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ote4Plot" sheetId="1" r:id="rId4"/>
    <sheet state="visible" name="vote4OVERLORD" sheetId="2" r:id="rId5"/>
    <sheet state="visible" name="vote4ITEMS" sheetId="3" r:id="rId6"/>
    <sheet state="visible" name="vote4TRAITS" sheetId="4" r:id="rId7"/>
    <sheet state="visible" name="vote4SURGE" sheetId="5" r:id="rId8"/>
    <sheet state="visible" name="vote4ACTIONS" sheetId="6" r:id="rId9"/>
    <sheet state="visible" name="Main Page" sheetId="7" r:id="rId10"/>
    <sheet state="visible" name="Detailed Info" sheetId="8" r:id="rId11"/>
    <sheet state="hidden" name="Main Page 1" sheetId="9" r:id="rId12"/>
    <sheet state="visible" name="Shop Items" sheetId="10" r:id="rId13"/>
    <sheet state="visible" name="Overlord relics" sheetId="11" r:id="rId14"/>
    <sheet state="visible" name="Heroes 1.1" sheetId="12" r:id="rId15"/>
    <sheet state="visible" name="Conditions" sheetId="13" r:id="rId16"/>
    <sheet state="visible" name="Familiars" sheetId="14" r:id="rId17"/>
    <sheet state="visible" name="Classes" sheetId="15" r:id="rId18"/>
    <sheet state="visible" name="Monsters" sheetId="16" r:id="rId19"/>
    <sheet state="visible" name="Lieutenants" sheetId="17" r:id="rId20"/>
    <sheet state="visible" name="Agents" sheetId="18" r:id="rId21"/>
    <sheet state="visible" name="Правила" sheetId="19" r:id="rId22"/>
    <sheet state="visible" name="Variables" sheetId="20" r:id="rId23"/>
    <sheet state="visible" name="Campaigns" sheetId="21" r:id="rId24"/>
    <sheet state="visible" name="Campaigns (beta)" sheetId="22" r:id="rId25"/>
    <sheet state="visible" name="Roadmap" sheetId="23" r:id="rId26"/>
    <sheet state="hidden" name="Heroes" sheetId="24" r:id="rId27"/>
  </sheets>
  <definedNames>
    <definedName name="TableEnd">#REF!</definedName>
    <definedName name="Trait_Filter">#REF!</definedName>
    <definedName name="Sort_Order">#REF!</definedName>
    <definedName name="OrderBy">#REF!</definedName>
    <definedName localSheetId="15" name="TableEnd">Monsters!$AO$222</definedName>
    <definedName name="Filter_Range">#REF!</definedName>
    <definedName name="FilterRange">#REF!</definedName>
    <definedName name="Debug">#REF!</definedName>
    <definedName hidden="1" localSheetId="0" name="_xlnm._FilterDatabase">vote4Plot!$A$1:$E$202</definedName>
    <definedName hidden="1" localSheetId="3" name="_xlnm._FilterDatabase">vote4TRAITS!$A$2:$R$125</definedName>
    <definedName hidden="1" localSheetId="4" name="_xlnm._FilterDatabase">vote4SURGE!$A$2:$R$81</definedName>
    <definedName hidden="1" localSheetId="5" name="_xlnm._FilterDatabase">vote4ACTIONS!$A$2:$R$64</definedName>
    <definedName hidden="1" localSheetId="9" name="_xlnm._FilterDatabase">'Shop Items'!$A$1:$W$184</definedName>
    <definedName hidden="1" localSheetId="10" name="_xlnm._FilterDatabase">'Overlord relics'!$A$1:$M$211</definedName>
    <definedName hidden="1" localSheetId="15" name="_xlnm._FilterDatabase">Monsters!$A$2:$AQ$222</definedName>
    <definedName hidden="1" localSheetId="23" name="_xlnm._FilterDatabase">Heroes!$A$1:$O$106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B48">
      <text>
        <t xml:space="preserve">Cursed monster trait - черепок у видов монстров</t>
      </text>
    </comment>
  </commentList>
</comments>
</file>

<file path=xl/comments2.xml><?xml version="1.0" encoding="utf-8"?>
<comments xmlns:r="http://schemas.openxmlformats.org/officeDocument/2006/relationships" xmlns="http://schemas.openxmlformats.org/spreadsheetml/2006/main">
  <authors>
    <author/>
  </authors>
  <commentList>
    <comment authorId="0" ref="AN18">
      <text>
        <t xml:space="preserve">======
ID#AAAALi2sdtY
Андрей Дубсон    (2021-02-24 21:37:12)
Что это за ульта вообще?
------
ID#AAAAH6aVBQc
Romeg Novani    (2021-02-25 19:19:44)
Массовое обездвиживание за действие</t>
      </text>
    </comment>
  </commentList>
</comments>
</file>

<file path=xl/comments3.xml><?xml version="1.0" encoding="utf-8"?>
<comments xmlns:r="http://schemas.openxmlformats.org/officeDocument/2006/relationships" xmlns="http://schemas.openxmlformats.org/spreadsheetml/2006/main">
  <authors>
    <author/>
  </authors>
  <commentList>
    <comment authorId="0" ref="D9">
      <text>
        <t xml:space="preserve">======
ID#AAAALjhUJNU
Андрей Дубсон    (2021-02-24 22:15:24)
Вроде, нужно сделать дейсвтие, но ты вылечишь все сопли, поставлю 3</t>
      </text>
    </comment>
  </commentList>
</comments>
</file>

<file path=xl/comments4.xml><?xml version="1.0" encoding="utf-8"?>
<comments xmlns:r="http://schemas.openxmlformats.org/officeDocument/2006/relationships" xmlns="http://schemas.openxmlformats.org/spreadsheetml/2006/main">
  <authors>
    <author/>
  </authors>
  <commentList>
    <comment authorId="0" ref="M3">
      <text>
        <t xml:space="preserve">======
ID#AAAAHtydEhs
Lingering Curse    (2021-01-29 11:30:40)
When this monster is defeated, each adjacent hero must test Willpower. Each hero that fails is Cursed.</t>
      </text>
    </comment>
    <comment authorId="0" ref="O3">
      <text>
        <t xml:space="preserve">======
ID#AAAAHtydEgI
Pincer Attack    (2021-01-29 11:30:40)
Perform an attack targeting up to 2 heroes adjacent to this monster. 1 attack roll is made but each hero rolls defense dice separately. Each target that suffers at least 1 Heart from this attack (after the defense roll) is Immobilized.</t>
      </text>
    </comment>
    <comment authorId="0" ref="M4">
      <text>
        <t xml:space="preserve">======
ID#AAAAHtydEcM
Lingering Curse    (2021-01-29 11:30:40)
When this monster is defeated, each adjacent hero must test Willpower. Each hero that fails is Cursed.</t>
      </text>
    </comment>
    <comment authorId="0" ref="O4">
      <text>
        <t xml:space="preserve">======
ID#AAAAHtydEho
Pincer Attack    (2021-01-29 11:30:40)
Perform an attack targeting up to 2 heroes adjacent to this monster. 1 attack roll is made but each hero rolls defense dice separately. Each target that suffers at least 1 Heart from this attack (after the defense roll) is Immobilized.</t>
      </text>
    </comment>
    <comment authorId="0" ref="O5">
      <text>
        <t xml:space="preserve">======
ID#AAAAHtydEio
Pincer Attack    (2021-01-29 11:30:40)
Perform an attack targeting up to 2 heroes adjacent to this monster. 1 attack roll is made but each hero rolls defense dice separately. Each target that suffers at least 1 Heart from this attack (after the defense roll) is Immobilized.</t>
      </text>
    </comment>
    <comment authorId="0" ref="O6">
      <text>
        <t xml:space="preserve">======
ID#AAAAHtydEiA
Pincer Attack    (2021-01-29 11:30:40)
Perform an attack targeting up to 2 heroes adjacent to this monster. 1 attack roll is made but each hero rolls defense dice separately. Each target that suffers at least 1 Heart from this attack (after the defense roll) is Immobilized.</t>
      </text>
    </comment>
    <comment authorId="0" ref="O7">
      <text>
        <t xml:space="preserve">======
ID#AAAAHtydEiw
Pillage    (2021-01-29 11:30:40)
Perform an attack that targets an adjacent hero. If that hero is knocked out by this attack, choose 1 of his Search cards and shuffle it into the Search deck.</t>
      </text>
    </comment>
    <comment authorId="0" ref="O8">
      <text>
        <t xml:space="preserve">======
ID#AAAAHtydEkQ
Pillage    (2021-01-29 11:30:40)
Perform an attack that targets an adjacent hero. If that hero is knocked out by this attack, choose 1 of his Search cards and shuffle it into the Search deck.</t>
      </text>
    </comment>
    <comment authorId="0" ref="O9">
      <text>
        <t xml:space="preserve">======
ID#AAAAHtydEb0
Pillage    (2021-01-29 11:30:40)
Perform an attack that targets an adjacent hero. If that hero is knocked out by this attack, choose 1 of his Search cards and shuffle it into the Search deck.</t>
      </text>
    </comment>
    <comment authorId="0" ref="O10">
      <text>
        <t xml:space="preserve">======
ID#AAAAHtydEpk
Pillage    (2021-01-29 11:30:41)
Perform an attack that targets an adjacent hero. If that hero is knocked out by this attack, choose 1 of his Search cards and shuffle it into the Search deck.</t>
      </text>
    </comment>
    <comment authorId="0" ref="O11">
      <text>
        <t xml:space="preserve">======
ID#AAAAHtydEYg
Cocoon    (2021-01-29 11:30:40)
Each hero adjacent to this monster must test Awareness. Each hero that fails is Immobilized.</t>
      </text>
    </comment>
    <comment authorId="0" ref="O12">
      <text>
        <t xml:space="preserve">======
ID#AAAAHtydEag
Cocoon    (2021-01-29 11:30:40)
Each hero adjacent to this monster must test Awareness. Each hero that fails is Immobilized.</t>
      </text>
    </comment>
    <comment authorId="0" ref="M15">
      <text>
        <t xml:space="preserve">======
ID#AAAAHtydEoo
Night Stalker    (2021-01-29 11:30:41)
If attacked by any non-adjacent hero, this monster may add 1 brown die to its defense roll.</t>
      </text>
    </comment>
    <comment authorId="0" ref="O15">
      <text>
        <t xml:space="preserve">======
ID#AAAAHtydEa8
Howl    (2021-01-29 11:30:40)
Each hero within 3 spaces of this monster must test Willpower. Each hero that fails suffers 1 Fatigue.</t>
      </text>
    </comment>
    <comment authorId="0" ref="M16">
      <text>
        <t xml:space="preserve">======
ID#AAAAHtydEpg
Night Stalker    (2021-01-29 11:30:41)
If attacked by any non-adjacent hero, this monster may add 1 brown die to its defense roll.</t>
      </text>
    </comment>
    <comment authorId="0" ref="O16">
      <text>
        <t xml:space="preserve">======
ID#AAAAHtydEk8
Howl    (2021-01-29 11:30:40)
Each hero within 3 spaces of this monster must test Willpower. Each hero that fails suffers 1 Fatigue.</t>
      </text>
    </comment>
    <comment authorId="0" ref="O17">
      <text>
        <t xml:space="preserve">======
ID#AAAAHtydEcs
Howl    (2021-01-29 11:30:40)
Each hero within 3 spaces of this monster must test Willpower. Each hero that fails suffers 1 Fatigue.</t>
      </text>
    </comment>
    <comment authorId="0" ref="O18">
      <text>
        <t xml:space="preserve">======
ID#AAAAHtydEpU
Howl    (2021-01-29 11:30:41)
Each hero within 3 spaces of this monster must test Willpower. Each hero that fails suffers 1 Fatigue.</t>
      </text>
    </comment>
    <comment authorId="0" ref="M19">
      <text>
        <t xml:space="preserve">======
ID#AAAAHtydEmE
Command    (2021-01-29 11:30:41)
Each minion within 3 spaces of this monster may reroll 1 die on each of its attacks. Each minion may only benefit from one monster with Command at a time.
Ravage: 
Both of this monster's actions on a turn may be attack actions.</t>
      </text>
    </comment>
    <comment authorId="0" ref="M20">
      <text>
        <t xml:space="preserve">======
ID#AAAAHtydEp8
Command    (2021-01-29 11:30:41)
Each minion within 3 spaces of this monster may reroll 1 die on each of its attacks. Each minion may only benefit from one monster with Command at a time.
Ravage: 
Both of this monster's actions on a turn may be attack actions.</t>
      </text>
    </comment>
    <comment authorId="0" ref="M21">
      <text>
        <t xml:space="preserve">======
ID#AAAAHtydEic
Ravage    (2021-01-29 11:30:40)
Both of this monster's actions on a turn may be attack actions.</t>
      </text>
    </comment>
    <comment authorId="0" ref="M22">
      <text>
        <t xml:space="preserve">======
ID#AAAAHtydEe8
Ravage    (2021-01-29 11:30:40)
Both of this monster's actions on a turn may be attack actions.</t>
      </text>
    </comment>
    <comment authorId="0" ref="M23">
      <text>
        <t xml:space="preserve">======
ID#AAAAHtydEbc
Ravage    (2021-01-29 11:30:40)
Both of this monster's actions on a turn may be attack actions.</t>
      </text>
    </comment>
    <comment authorId="0" ref="O23">
      <text>
        <t xml:space="preserve">======
ID#AAAAHtydEkI
Leap Attack    (2021-01-29 11:30:40)
This monster may move its Speed, ignoring enemy figures as it does so. When if finishes its movement, perform a single attack that targets each figure this monster moved through. Each figure rolls defense dice separately.</t>
      </text>
    </comment>
    <comment authorId="0" ref="M24">
      <text>
        <t xml:space="preserve">======
ID#AAAAHtydEeE
Ravage    (2021-01-29 11:30:40)
Both of this monster's actions on a turn may be attack actions.</t>
      </text>
    </comment>
    <comment authorId="0" ref="O24">
      <text>
        <t xml:space="preserve">======
ID#AAAAHtydEjw
Leap Attack    (2021-01-29 11:30:40)
This monster may move its Speed, ignoring enemy figures as it does so. When if finishes its movement, perform a single attack that targets each figure this monster moved through. Each figure rolls defense dice separately.</t>
      </text>
    </comment>
    <comment authorId="0" ref="M25">
      <text>
        <t xml:space="preserve">======
ID#AAAAHtydEco
Ravage    (2021-01-29 11:30:40)
Both of this monster's actions on a turn may be attack actions.</t>
      </text>
    </comment>
    <comment authorId="0" ref="M26">
      <text>
        <t xml:space="preserve">======
ID#AAAAHtydEpM
Ravage    (2021-01-29 11:30:41)
Both of this monster's actions on a turn may be attack actions.</t>
      </text>
    </comment>
    <comment authorId="0" ref="M27">
      <text>
        <t xml:space="preserve">======
ID#AAAAHtydEkk
Extend    (2021-01-29 11:30:40)
Each time this monster performs an attack, it may target a figure up to 3 spaces away and in its line of sight.
Lithesome:
Friendly figures do not block this monster's line of sight.</t>
      </text>
    </comment>
    <comment authorId="0" ref="M28">
      <text>
        <t xml:space="preserve">======
ID#AAAAHtydEoc
Extend    (2021-01-29 11:30:41)
Each time this monster performs an attack, it may target a figure up to 3 spaces away and in its line of sight.
Lithesome:
Friendly figures do not block this monster's line of sight.</t>
      </text>
    </comment>
    <comment authorId="0" ref="M29">
      <text>
        <t xml:space="preserve">======
ID#AAAAHtydEbI
Extend    (2021-01-29 11:30:40)
Each time this monster performs an attack, it may target a figure up to 3 spaces away and in its line of sight.
Lithesome:
Friendly figures do not block this monster's line of sight.</t>
      </text>
    </comment>
    <comment authorId="0" ref="M30">
      <text>
        <t xml:space="preserve">======
ID#AAAAHtydEh8
Extend    (2021-01-29 11:30:40)
Each time this monster performs an attack, it may target a figure up to 3 spaces away and in its line of sight.
Lithesome:
Friendly figures do not block this monster's line of sight.</t>
      </text>
    </comment>
    <comment authorId="0" ref="M31">
      <text>
        <t xml:space="preserve">======
ID#AAAAHtydElw
Overflowing    (2021-01-29 11:30:41)
Heroes treat each space adjacent to this monster as a Sludge space.
Hive Defense: 
Heroes treat each space adjacent to this monster as a Hazard space.</t>
      </text>
    </comment>
    <comment authorId="0" ref="M32">
      <text>
        <t xml:space="preserve">======
ID#AAAAHtydEko
Overflowing    (2021-01-29 11:30:40)
Heroes treat each space adjacent to this monster as a Sludge space.
Hive Defense: 
Heroes treat each space adjacent to this monster as a Hazard space.</t>
      </text>
    </comment>
    <comment authorId="0" ref="M33">
      <text>
        <t xml:space="preserve">======
ID#AAAAHtydEZs
Overflowing    (2021-01-29 11:30:40)
Heroes treat each space adjacent to this monster as a Sludge space.</t>
      </text>
    </comment>
    <comment authorId="0" ref="M34">
      <text>
        <t xml:space="preserve">======
ID#AAAAHtydEdI
Overflowing    (2021-01-29 11:30:40)
Heroes treat each space adjacent to this monster as a Sludge space.</t>
      </text>
    </comment>
    <comment authorId="0" ref="M35">
      <text>
        <t xml:space="preserve">======
ID#AAAAHtydEhc
Fly    (2021-01-29 11:30:40)
This monster may ignore enemy figures and the effects of terrain while moving. It must end its movement in an empty space following normal movement rules.
Plagued: 
When a hero adjacent to this monster would discard a Poisoned or Diseased Condition card, he instead keeps the card.</t>
      </text>
    </comment>
    <comment authorId="0" ref="M36">
      <text>
        <t xml:space="preserve">======
ID#AAAAHtydElI
Fly    (2021-01-29 11:30:40)
This monster may ignore enemy figures and the effects of terrain while moving. It must end its movement in an empty space following normal movement rules.
Plagued: 
When a hero adjacent to this monster would discard a Poisoned or Diseased Condition card, he instead keeps the card.</t>
      </text>
    </comment>
    <comment authorId="0" ref="M37">
      <text>
        <t xml:space="preserve">======
ID#AAAAHtydEeI
Fly    (2021-01-29 11:30:40)
This monster may ignore enemy figures and the effects of terrain while moving. It must end its movement in an empty space following normal movement rules.</t>
      </text>
    </comment>
    <comment authorId="0" ref="M38">
      <text>
        <t xml:space="preserve">======
ID#AAAAHtydEmU
Fly    (2021-01-29 11:30:41)
This monster may ignore enemy figures and the effects of terrain while moving. It must end its movement in an empty space following normal movement rules.</t>
      </text>
    </comment>
    <comment authorId="0" ref="M39">
      <text>
        <t xml:space="preserve">======
ID#AAAAHtydEX8
Web    (2021-01-29 11:30:40)
Each hero adjacent to this monster must suffer 1 Fatigue to move out of his current space; this is in addition to any other Fatigue suffered to move.</t>
      </text>
    </comment>
    <comment authorId="0" ref="M41">
      <text>
        <t xml:space="preserve">======
ID#AAAAHtydEn0
Web    (2021-01-29 11:30:41)
Each hero adjacent to this monster must suffer 1 Fatigue to move out of his current space; this is in addition to any other Fatigue suffered to move.</t>
      </text>
    </comment>
    <comment authorId="0" ref="M43">
      <text>
        <t xml:space="preserve">======
ID#AAAAHtydEh0
Hideous Laughter    (2021-01-29 11:30:40)
Each hero within 3 spaces of this monster applies -1 to his Might, Willpower, Knowledge, and Awareness (to a minimum of 1).</t>
      </text>
    </comment>
    <comment authorId="0" ref="O43">
      <text>
        <t xml:space="preserve">======
ID#AAAAHtydEcQ
Whisper    (2021-01-29 11:30:40)
Each hero adjacent to this monster tests Willpower. Each hero who fails moves 1 space in the direction of your choice.</t>
      </text>
    </comment>
    <comment authorId="0" ref="M44">
      <text>
        <t xml:space="preserve">======
ID#AAAAHtydEis
Hideous Laughter    (2021-01-29 11:30:40)
Each hero within 3 spaces of this monster applies -1 to his Might, Willpower, Knowledge, and Awareness (to a minimum of 1).</t>
      </text>
    </comment>
    <comment authorId="0" ref="O44">
      <text>
        <t xml:space="preserve">======
ID#AAAAHtydEfg
Whisper    (2021-01-29 11:30:40)
Each hero adjacent to this monster tests Willpower. Each hero who fails moves 1 space in the direction of your choice.</t>
      </text>
    </comment>
    <comment authorId="0" ref="O45">
      <text>
        <t xml:space="preserve">======
ID#AAAAHtydEjc
Whisper    (2021-01-29 11:30:40)
Each hero adjacent to this monster tests Willpower. Each hero who fails moves 1 space in the direction of your choice.</t>
      </text>
    </comment>
    <comment authorId="0" ref="O46">
      <text>
        <t xml:space="preserve">======
ID#AAAAHtydEYM
Whisper    (2021-01-29 11:30:40)
Each hero adjacent to this monster tests Willpower. Each hero who fails moves 1 space in the direction of your choice.</t>
      </text>
    </comment>
    <comment authorId="0" ref="M47">
      <text>
        <t xml:space="preserve">======
ID#AAAAHtydEaQ
Morph    (2021-01-29 11:30:40)
When this monster attacks, it uses the dice of a figure (overlord's choice) in its line of sight. If a hero is chosen, the overlord may choose which of the hero's equipped weapon to use. The monster cannot use any of the figure's other abilities, just the dice.</t>
      </text>
    </comment>
    <comment authorId="0" ref="K48">
      <text>
        <t xml:space="preserve">======
ID#AAAALae2Y0o
Romeg Novani    (2021-02-02 09:14:26)
По факту у него прочерк (нет кубов атаки). Добавил среднее значение кубов по уровню</t>
      </text>
    </comment>
    <comment authorId="0" ref="M48">
      <text>
        <t xml:space="preserve">======
ID#AAAAHtydEek
Morph    (2021-01-29 11:30:40)
When this monster attacks, it uses the dice of a figure (overlord's choice) in its line of sight. If a hero is chosen, the overlord may choose which of the hero's equipped weapon to use. The monster cannot use any of the figure's other abilities, just the dice.</t>
      </text>
    </comment>
    <comment authorId="0" ref="M49">
      <text>
        <t xml:space="preserve">======
ID#AAAAHtydEhw
Morph    (2021-01-29 11:30:40)
When this monster attacks, it uses the dice of a figure (overlord's choice) in its line of sight. If a hero is chosen, the overlord may choose which of the hero's equipped weapon to use. The monster cannot use any of the figure's other abilities, just the dice.</t>
      </text>
    </comment>
    <comment authorId="0" ref="M50">
      <text>
        <t xml:space="preserve">======
ID#AAAAHtydEaU
Morph    (2021-01-29 11:30:40)
When this monster attacks, it uses the dice of a figure (overlord's choice) in its line of sight. If a hero is chosen, the overlord may choose which of the hero's equipped weapon to use. The monster cannot use any of the figure's other abilities, just the dice.</t>
      </text>
    </comment>
    <comment authorId="0" ref="M51">
      <text>
        <t xml:space="preserve">======
ID#AAAAHtydEdk
Lifethirst    (2021-01-29 11:30:40)
Each time a hero within 5 spaces of this monster recovers 1 or more Heart, that hero reduces the amount of Heart recovered by X (to a minimum of 0).</t>
      </text>
    </comment>
    <comment authorId="0" ref="O51">
      <text>
        <t xml:space="preserve">======
ID#AAAAHtydEjA
Death Omen    (2021-01-29 11:30:40)
Choose 1 hero in this monster's line of sight. That hero may choose to suffer 2 Heart. If he does not, he suffers 1 condition of your choice.</t>
      </text>
    </comment>
    <comment authorId="0" ref="M52">
      <text>
        <t xml:space="preserve">======
ID#AAAAHtydEX4
Lifethirst    (2021-01-29 11:30:40)
Each time a hero within 5 spaces of this monster recovers 1 or more Heart, that hero reduces the amount of Heart recovered by X (to a minimum of 0).</t>
      </text>
    </comment>
    <comment authorId="0" ref="O52">
      <text>
        <t xml:space="preserve">======
ID#AAAAHtydEnk
Death Omen    (2021-01-29 11:30:41)
Choose 1 hero in this monster's line of sight. That hero may choose to suffer 2 Heart. If he does not, he suffers 1 condition of your choice.</t>
      </text>
    </comment>
    <comment authorId="0" ref="M53">
      <text>
        <t xml:space="preserve">======
ID#AAAAHtydEmo
Lifethirst    (2021-01-29 11:30:41)
Each time a hero within 5 spaces of this monster recovers 1 or more Heart, that hero reduces the amount of Heart recovered by X (to a minimum of 0).</t>
      </text>
    </comment>
    <comment authorId="0" ref="M54">
      <text>
        <t xml:space="preserve">======
ID#AAAAHtydEac
Lifethirst    (2021-01-29 11:30:40)
Each time a hero within 5 spaces of this monster recovers 1 or more Heart, that hero reduces the amount of Heart recovered by X (to a minimum of 0).</t>
      </text>
    </comment>
    <comment authorId="0" ref="M55">
      <text>
        <t xml:space="preserve">======
ID#AAAAHtydEaY
Horrifying    (2021-01-29 11:30:40)
Each hero adjacent to 1 or more monsters with Horrifying applies -1 to his Willpower (to a minimum of 1).</t>
      </text>
    </comment>
    <comment authorId="0" ref="O55">
      <text>
        <t xml:space="preserve">======
ID#AAAAHtydEjM
Cause Fear    (2021-01-29 11:30:40)
Choose a hero adjacent to this monster. That hero must test Willpower. If he fails, he moves 2 spaces directly away from this monster and is Immobilized.</t>
      </text>
    </comment>
    <comment authorId="0" ref="M56">
      <text>
        <t xml:space="preserve">======
ID#AAAAHtydEfE
Horrifying    (2021-01-29 11:30:40)
Each hero adjacent to 1 or more monsters with Horrifying applies -1 to his Willpower (to a minimum of 1).</t>
      </text>
    </comment>
    <comment authorId="0" ref="O57">
      <text>
        <t xml:space="preserve">======
ID#AAAAHtydEd0
Cause Fear    (2021-01-29 11:30:40)
Choose a hero adjacent to this monster. That hero must test Willpower. If he fails, he moves 2 spaces directly away from this monster and is Immobilized.</t>
      </text>
    </comment>
    <comment authorId="0" ref="M59">
      <text>
        <t xml:space="preserve">======
ID#AAAAHtydEZo
Bull Rush    (2021-01-29 11:30:40)
Each time this monster targets a space that it was not adjacent to at the start of its activation, add 1 red power die to its attack pool.
Filthy Murk: 
At the end of this monster's activation, each hero within 3 spaces of it is Diseased.
Putrid Boils: 
Each time a Diseased hero within 3 spaces of 1 or more monsters with Putrid Boils voluntarily suffers 1 or more fatigue, that hero suffers 1 heart.</t>
      </text>
    </comment>
    <comment authorId="0" ref="M60">
      <text>
        <t xml:space="preserve">======
ID#AAAAHtydEkU
Bull Rush    (2021-01-29 11:30:40)
Each time this monster targets a space that it was not adjacent to at the start of its activation, add 1 red power die to its attack pool.
Filthy Murk: 
At the end of this monster's activation, each hero within 3 spaces of it is Diseased.
Putrid Boils: 
Each time a Diseased hero within 3 spaces of 1 or more monsters with Putrid Boils voluntarily suffers 1 or more fatigue, that hero suffers 1 heart.</t>
      </text>
    </comment>
    <comment authorId="0" ref="M61">
      <text>
        <t xml:space="preserve">======
ID#AAAAHtydEoQ
Bull Rush    (2021-01-29 11:30:41)
Each time this monster targets a space that it was not adjacent to at the start of its activation, add 1 red power die to its attack pool.
Filthy Murk: 
At the end of this monster's activation, each hero within 3 spaces of it is Diseased.
Putrid Boils: 
Each time a Diseased hero within 3 spaces of 1 or more monsters with Putrid Boils voluntarily suffers 1 or more fatigue, that hero suffers 1 heart.</t>
      </text>
    </comment>
    <comment authorId="0" ref="M62">
      <text>
        <t xml:space="preserve">======
ID#AAAAHtydEg8
Bull Rush    (2021-01-29 11:30:40)
Each time this monster targets a space that it was not adjacent to at the start of its activation, add 1 red power die to its attack pool.
Filthy Murk: 
At the end of this monster's activation, each hero within 3 spaces of it is Diseased.
Putrid Boils: 
Each time a Diseased hero within 3 spaces of 1 or more monsters with Putrid Boils voluntarily suffers 1 or more fatigue, that hero suffers 1 heart.</t>
      </text>
    </comment>
    <comment authorId="0" ref="M63">
      <text>
        <t xml:space="preserve">======
ID#AAAAHtydEc8
Horrifying    (2021-01-29 11:30:40)
Each hero adjacent to 1 or more monsters with Horrifying applies -1 to his Willpower (to a minimum of 1).</t>
      </text>
    </comment>
    <comment authorId="0" ref="O63">
      <text>
        <t xml:space="preserve">======
ID#AAAAHtydEfU
Dark Prayer    (2021-01-29 11:30:40)
Each hero within 3 spaces of this monster must test Willpower. Each hero that fails suffers 1 Fatigue.
Heal: 
Choose a monster within 3 spaces of this monster and roll 1 red power die. The chosen monster recovers Heart equal to the Heart rolled.</t>
      </text>
    </comment>
    <comment authorId="0" ref="O64">
      <text>
        <t xml:space="preserve">======
ID#AAAAHtydElE
Dark Prayer    (2021-01-29 11:30:40)
Each hero within 3 spaces of this monster must test Willpower. Each hero that fails suffers 1 Fatigue.</t>
      </text>
    </comment>
    <comment authorId="0" ref="O65">
      <text>
        <t xml:space="preserve">======
ID#AAAAHtydEjU
Dark Prayer    (2021-01-29 11:30:40)
Each hero within 3 spaces of this monster must test Willpower. Each hero that fails suffers 1 Fatigue.
Heal: 
Choose a monster within 3 spaces of this monster and roll 1 red power die. The chosen monster recovers Heart equal to the Heart rolled.</t>
      </text>
    </comment>
    <comment authorId="0" ref="O66">
      <text>
        <t xml:space="preserve">======
ID#AAAAHtydEdc
Dark Prayer    (2021-01-29 11:30:40)
Each hero within 3 spaces of this monster must test Willpower. Each hero that fails suffers 1 Fatigue.</t>
      </text>
    </comment>
    <comment authorId="0" ref="M67">
      <text>
        <t xml:space="preserve">======
ID#AAAAHtydEeM
Stealthy    (2021-01-29 11:30:40)
Each attack that targets this monster must roll 3 additional range beyond the normally required amount or the attack is a miss.
Pierce X: 
This attack ignores X Shield rolled on the defense dice.
Riposte: 
Each time an adjacent figure resolves an attack that affects this monster, that figure suffers Heart equal to the defense results; if the attack is a miss, the figure suffers Heart equal to the Heart rolled instead.</t>
      </text>
    </comment>
    <comment authorId="0" ref="M68">
      <text>
        <t xml:space="preserve">======
ID#AAAAHtydEfA
Stealthy    (2021-01-29 11:30:40)
Each attack that targets this monster must roll 3 additional range beyond the normally required amount or the attack is a miss.
Pierce X: 
This attack ignores X Shield rolled on the defense dice.
Riposte: 
Each time an adjacent figure resolves an attack that affects this monster, that figure suffers Heart equal to the defense results; if the attack is a miss, the figure suffers Heart equal to the Heart rolled instead.</t>
      </text>
    </comment>
    <comment authorId="0" ref="M69">
      <text>
        <t xml:space="preserve">======
ID#AAAAHtydEcU
Stealthy    (2021-01-29 11:30:40)
Each attack that targets this monster must roll 3 additional range beyond the normally required amount or the attack is a miss.
Pierce X: 
This attack ignores X Shield rolled on the defense dice.</t>
      </text>
    </comment>
    <comment authorId="0" ref="M70">
      <text>
        <t xml:space="preserve">======
ID#AAAAHtydEZI
Stealthy    (2021-01-29 11:30:40)
Each attack that targets this monster must roll 3 additional range beyond the normally required amount or the attack is a miss.
Pierce X: 
This attack ignores X Shield rolled on the defense dice.</t>
      </text>
    </comment>
    <comment authorId="0" ref="M71">
      <text>
        <t xml:space="preserve">======
ID#AAAAHtydEnc
Aura X    (2021-01-29 11:30:41)
Each time a hero enters a space adjacent to this monster, that hero suffers 1 Heart.</t>
      </text>
    </comment>
    <comment authorId="0" ref="M72">
      <text>
        <t xml:space="preserve">======
ID#AAAAHtydEiU
Aura X    (2021-01-29 11:30:40)
Each time a hero enters a space adjacent to this monster, that hero suffers 1 Heart.</t>
      </text>
    </comment>
    <comment authorId="0" ref="O75">
      <text>
        <t xml:space="preserve">======
ID#AAAAHtydEqI
Fire    (2021-01-29 11:30:41)
Perform an attack targeting all figures adjacent to this monster. Each figure rolls defense dice separately.
Earth:
Each hero adjacent to this monster must test Awareness. Each hero that fails is Immobilized.
Water:
Each hero adjacent to this monster must test Willpower. Each hero that fails suffers 2 Fatigue.
Air:
Until the start of your next turn, this monster can only be affected by attacks from adjacent figures.</t>
      </text>
    </comment>
    <comment authorId="0" ref="O76">
      <text>
        <t xml:space="preserve">======
ID#AAAAHtydEd8
Fire    (2021-01-29 11:30:40)
Perform an attack targeting all figures adjacent to this monster. Each figure rolls defense dice separately.
Earth:
Each hero adjacent to this monster must test Awareness. Each hero that fails is Immobilized.
Water:
Each hero adjacent to this monster must test Willpower. Each hero that fails suffers 2 Fatigue.
Air:
Until the start of your next turn, this monster can only be affected by attacks from adjacent figures.</t>
      </text>
    </comment>
    <comment authorId="0" ref="O77">
      <text>
        <t xml:space="preserve">======
ID#AAAAHtydEXg
Fire    (2021-01-29 11:30:40)
Perform an attack targeting all figures adjacent to this monster. Each figure rolls defense dice separately.
Earth:
Each hero adjacent to this monster must test Awareness. Each hero that fails is Immobilized.
Water:
Each hero adjacent to this monster must test Willpower. Each hero that fails suffers 2 Fatigue.
Air:
Until the start of your next turn, this monster can only be affected by attacks from adjacent figures.</t>
      </text>
    </comment>
    <comment authorId="0" ref="O78">
      <text>
        <t xml:space="preserve">======
ID#AAAAHtydElU
Fire    (2021-01-29 11:30:40)
Perform an attack targeting all figures adjacent to this monster. Each figure rolls defense dice separately.
Earth:
Each hero adjacent to this monster must test Awareness. Each hero that fails is Immobilized.
Water:
Each hero adjacent to this monster must test Willpower. Each hero that fails suffers 2 Fatigue.
Air:
Until the start of your next turn, this monster can only be affected by attacks from adjacent figures.</t>
      </text>
    </comment>
    <comment authorId="0" ref="M79">
      <text>
        <t xml:space="preserve">======
ID#AAAAHtydEew
Reach    (2021-01-29 11:30:40)
This monster may attack targets up to 2 spaces away.</t>
      </text>
    </comment>
    <comment authorId="0" ref="O79">
      <text>
        <t xml:space="preserve">======
ID#AAAAHtydEcg
Throw    (2021-01-29 11:30:40)
Choose a hero adjacent to this monster. That hero must test Might. If he fails, remove the hero from the map, then place him on any empty space within 3 spaces of his original space. He counts as entering that space. Then the hero suffers 1 Heart.</t>
      </text>
    </comment>
    <comment authorId="0" ref="M80">
      <text>
        <t xml:space="preserve">======
ID#AAAAHtydElo
Reach    (2021-01-29 11:30:41)
This monster may attack targets up to 2 spaces away.</t>
      </text>
    </comment>
    <comment authorId="0" ref="O80">
      <text>
        <t xml:space="preserve">======
ID#AAAAHtydEqA
Throw    (2021-01-29 11:30:41)
Choose a hero adjacent to this monster. That hero must test Might. If he fails, remove the hero from the map, then place him on any empty space within 3 spaces of his original space. He counts as entering that space. Then the hero suffers 1 Heart.</t>
      </text>
    </comment>
    <comment authorId="0" ref="M81">
      <text>
        <t xml:space="preserve">======
ID#AAAAHtydEik
Reach    (2021-01-29 11:30:40)
This monster may attack targets up to 2 spaces away.</t>
      </text>
    </comment>
    <comment authorId="0" ref="M82">
      <text>
        <t xml:space="preserve">======
ID#AAAAHtydEmw
Reach    (2021-01-29 11:30:41)
This monster may attack targets up to 2 spaces away.</t>
      </text>
    </comment>
    <comment authorId="0" ref="O83">
      <text>
        <t xml:space="preserve">======
ID#AAAAHtydEc0
Extract    (2021-01-29 11:30:40)
Choose a hero adjacent to this monster. That hero tests Might. If he fails, that hero suffers 2 Fatigue and this monster recovers 2 Heart.</t>
      </text>
    </comment>
    <comment authorId="0" ref="O85">
      <text>
        <t xml:space="preserve">======
ID#AAAAHtydEmI
Extract    (2021-01-29 11:30:41)
Choose a hero adjacent to this monster. That hero tests Might. If he fails, that hero suffers 2 Fatigue and this monster recovers 2 Heart.</t>
      </text>
    </comment>
    <comment authorId="0" ref="M87">
      <text>
        <t xml:space="preserve">======
ID#AAAAHtydEgg
Combustible    (2021-01-29 11:30:40)
When this monster is defeated, each hero adjacent to this monster suffers 1 Heart.
Flame Fiend:
This monster ignores all effects of lava. Each time this monster ends its turn in a space containing lava, it recovers 1 Heart. In addition, this monster never suffers Heart from Burning.</t>
      </text>
    </comment>
    <comment authorId="0" ref="M88">
      <text>
        <t xml:space="preserve">======
ID#AAAAHtydEgU
Combustive    (2021-01-29 11:30:40)
Combustible: When this monster is defeated, each hero adjacent to this monster suffers 1 Heart. 
Flame Fiend:
This monster ignores all effects of lava. Each time this monster ends its turn in a space containing lava, it recovers 1 Heart. In addition, this monster never suffers Heart from Burning.</t>
      </text>
    </comment>
    <comment authorId="0" ref="M89">
      <text>
        <t xml:space="preserve">======
ID#AAAAHtydEeU
Flame Fiend    (2021-01-29 11:30:40)
This monster ignores all effects of lava. Each time this monster ends its turn in a space containing lava, it recovers 1 Heart. In addition, this monster never suffers Heart from Burning.</t>
      </text>
    </comment>
    <comment authorId="0" ref="M90">
      <text>
        <t xml:space="preserve">======
ID#AAAAHtydEY0
Flame Fiend    (2021-01-29 11:30:40)
This monster ignores all effects of lava. Each time this monster ends its turn in a space containing lava, it recovers 1 Heart. In addition, this monster never suffers Heart from Burning.</t>
      </text>
    </comment>
    <comment authorId="0" ref="O91">
      <text>
        <t xml:space="preserve">======
ID#AAAAHtydEhM
Heal    (2021-01-29 11:30:40)
Choose a monster within 3 spaces of this monster and roll 1 red power die. The chosen monster recovers Heart equal to the Heart rolled.</t>
      </text>
    </comment>
    <comment authorId="0" ref="O92">
      <text>
        <t xml:space="preserve">======
ID#AAAAHtydEnQ
Heal    (2021-01-29 11:30:41)
Choose a monster within 3 spaces of this monster and roll 1 red power die. The chosen monster recovers Heart equal to the Heart rolled.</t>
      </text>
    </comment>
    <comment authorId="0" ref="M95">
      <text>
        <t xml:space="preserve">======
ID#AAAAHtydEbQ
Reach    (2021-01-29 11:30:40)
This monster may attack targets up to 2 spaces away.</t>
      </text>
    </comment>
    <comment authorId="0" ref="O95">
      <text>
        <t xml:space="preserve">======
ID#AAAAHtydEZ0
Sweep    (2021-01-29 11:30:40)
Perform an attack. This attack affects each figure within two spaces and line of sight of this monster. Each figure rolls defense dice separately.</t>
      </text>
    </comment>
    <comment authorId="0" ref="M96">
      <text>
        <t xml:space="preserve">======
ID#AAAAHtydEfQ
Reach    (2021-01-29 11:30:40)
This monster may attack targets up to 2 spaces away.</t>
      </text>
    </comment>
    <comment authorId="0" ref="O96">
      <text>
        <t xml:space="preserve">======
ID#AAAAHtydEk0
Sweep    (2021-01-29 11:30:40)
Perform an attack. This attack affects each figure within two spaces and line of sight of this monster. Each figure rolls defense dice separately.</t>
      </text>
    </comment>
    <comment authorId="0" ref="M97">
      <text>
        <t xml:space="preserve">======
ID#AAAAHtydEmg
Reach    (2021-01-29 11:30:41)
This monster may attack targets up to 2 spaces away.</t>
      </text>
    </comment>
    <comment authorId="0" ref="M98">
      <text>
        <t xml:space="preserve">======
ID#AAAAHtydEcY
Reach    (2021-01-29 11:30:40)
This monster may attack targets up to 2 spaces away.</t>
      </text>
    </comment>
    <comment authorId="0" ref="M99">
      <text>
        <t xml:space="preserve">======
ID#AAAAHtydEks
Scamper    (2021-01-29 11:30:40)
This monster may move through spaces containing heroes.</t>
      </text>
    </comment>
    <comment authorId="0" ref="M100">
      <text>
        <t xml:space="preserve">======
ID#AAAAHtydEhQ
Scamper    (2021-01-29 11:30:40)
This monster may move through spaces containing heroes.</t>
      </text>
    </comment>
    <comment authorId="0" ref="M101">
      <text>
        <t xml:space="preserve">======
ID#AAAAHtydEnU
Scamper    (2021-01-29 11:30:41)
This monster may move through spaces containing heroes.
Cowardly:
This monster cannot spend surges on abilities unless it is within 3 spaces of any master monster or a lieutenant.</t>
      </text>
    </comment>
    <comment authorId="0" ref="M102">
      <text>
        <t xml:space="preserve">======
ID#AAAAHtydEnw
Scamper    (2021-01-29 11:30:41)
This monster may move through spaces containing heroes.
Cowardly:
This monster cannot spend surges on abilities unless it is within 3 spaces of any master monster or a lieutenant.</t>
      </text>
    </comment>
    <comment authorId="0" ref="O103">
      <text>
        <t xml:space="preserve">======
ID#AAAAHtydEYs
Bewitch    (2021-01-29 11:30:40)
Move each adjacent Cursed hero up to 2 spaces in any direction of your choice.</t>
      </text>
    </comment>
    <comment authorId="0" ref="O105">
      <text>
        <t xml:space="preserve">======
ID#AAAAHtydEkE
Bewitch    (2021-01-29 11:30:40)
Move each adjacent Cursed hero up to 2 spaces in any direction of your choice.</t>
      </text>
    </comment>
    <comment authorId="0" ref="M107">
      <text>
        <t xml:space="preserve">======
ID#AAAAHtydEZk
Ironskin    (2021-01-29 11:30:40)
This monster is immune to Pierce and to all conditions.
Unmovable:
This monster may choose to ignore any game effect that would force it to move.</t>
      </text>
    </comment>
    <comment authorId="0" ref="M108">
      <text>
        <t xml:space="preserve">======
ID#AAAAHtydEbA
Ironskin    (2021-01-29 11:30:40)
This monster is immune to Pierce and to all conditions.</t>
      </text>
    </comment>
    <comment authorId="0" ref="M109">
      <text>
        <t xml:space="preserve">======
ID#AAAAHtydEf8
Ironskin    (2021-01-29 11:30:40)
This monster is immune to Pierce and to all conditions.
Unmovable:
This monster may choose to ignore any game effect that would force it to move.</t>
      </text>
    </comment>
    <comment authorId="0" ref="M110">
      <text>
        <t xml:space="preserve">======
ID#AAAAHtydEfM
Ironskin    (2021-01-29 11:30:40)
This monster is immune to Pierce and to all conditions.</t>
      </text>
    </comment>
    <comment authorId="0" ref="M111">
      <text>
        <t xml:space="preserve">======
ID#AAAAHtydEnM
Fly    (2021-01-29 11:30:41)
This monster may ignore enemy figures and the effects of terrain while moving. It must end its movement in an empty space following normal movement rules.</t>
      </text>
    </comment>
    <comment authorId="0" ref="O111">
      <text>
        <t xml:space="preserve">======
ID#AAAAHtydEbo
Flock    (2021-01-29 11:30:40)
Each minion monster from this monster group within 5 spaces of this monster may immediately move 2 spaces.</t>
      </text>
    </comment>
    <comment authorId="0" ref="M112">
      <text>
        <t xml:space="preserve">======
ID#AAAAHtydEoI
Fly    (2021-01-29 11:30:41)
This monster may ignore enemy figures and the effects of terrain while moving. It must end its movement in an empty space following normal movement rules.</t>
      </text>
    </comment>
    <comment authorId="0" ref="M113">
      <text>
        <t xml:space="preserve">======
ID#AAAAHtydEcc
Fly    (2021-01-29 11:30:40)
This monster may ignore enemy figures and the effects of terrain while moving. It must end its movement in an empty space following normal movement rules.</t>
      </text>
    </comment>
    <comment authorId="0" ref="O113">
      <text>
        <t xml:space="preserve">======
ID#AAAAHtydEa0
Flock    (2021-01-29 11:30:40)
Each minion monster from this monster group within 5 spaces of this monster may immediately move 2 spaces.</t>
      </text>
    </comment>
    <comment authorId="0" ref="M114">
      <text>
        <t xml:space="preserve">======
ID#AAAAHtydEfs
Fly    (2021-01-29 11:30:40)
This monster may ignore enemy figures and the effects of terrain while moving. It must end its movement in an empty space following normal movement rules.</t>
      </text>
    </comment>
    <comment authorId="0" ref="M119">
      <text>
        <t xml:space="preserve">======
ID#AAAAHtydEds
Prey on the Weak    (2021-01-29 11:30:40)
Each of this monster's attacks targeting a hero with 2 or less Might gains +1 Heart. 
Fly: 
This monster may ignore enemy figures and the effects of terrain while moving. It must end its movement in an empty space following normal movement rules.</t>
      </text>
    </comment>
    <comment authorId="0" ref="M120">
      <text>
        <t xml:space="preserve">======
ID#AAAAHtydEjE
Prey on the Weak    (2021-01-29 11:30:40)
Each of this monster's attacks targeting a hero with 2 or less Might gains +1 Heart. 
Fly: 
This monster may ignore enemy figures and the effects of terrain while moving. It must end its movement in an empty space following normal movement rules.</t>
      </text>
    </comment>
    <comment authorId="0" ref="M121">
      <text>
        <t xml:space="preserve">======
ID#AAAAHtydEYA
Prey on the Weak    (2021-01-29 11:30:40)
Each of this monster's attacks targeting a hero with 2 or less Might gains +1 Heart. 
Fly: 
This monster may ignore enemy figures and the effects of terrain while moving. It must end its movement in an empty space following normal movement rules.</t>
      </text>
    </comment>
    <comment authorId="0" ref="M122">
      <text>
        <t xml:space="preserve">======
ID#AAAAHtydEY4
Prey on the Weak    (2021-01-29 11:30:40)
Each of this monster's attacks targeting a hero with 2 or less Might gains +1 Heart. 
Fly: 
This monster may ignore enemy figures and the effects of terrain while moving. It must end its movement in an empty space following normal movement rules.</t>
      </text>
    </comment>
    <comment authorId="0" ref="M123">
      <text>
        <t xml:space="preserve">======
ID#AAAAHtydEpQ
Entomb    (2021-01-29 11:30:41)
Knocked-out heroes within 1 space of this monster can only recover Heart from stand up actions and heroic feats.
Reach: 
This monster may attack targets up to 2 spaces away.
Freezing: 
Each time a hero enters a space adjacent to this monster, that hero suffers 1 Fatigue.</t>
      </text>
    </comment>
    <comment authorId="0" ref="M124">
      <text>
        <t xml:space="preserve">======
ID#AAAAHtydElg
Entomb    (2021-01-29 11:30:41)
Knocked-out heroes within 1 space of this monster can only recover Heart from stand up actions and heroic feats.
Reach: 
This monster may attack targets up to 2 spaces away.
Freezing: 
Each time a hero enters a space adjacent to this monster, that hero suffers 1 Fatigue.</t>
      </text>
    </comment>
    <comment authorId="0" ref="M125">
      <text>
        <t xml:space="preserve">======
ID#AAAAHtydEqQ
Entomb    (2021-01-29 11:30:41)
Knocked-out heroes within 1 space of this monster can only recover Heart from stand up actions and heroic feats.
Reach: 
This monster may attack targets up to 2 spaces away.</t>
      </text>
    </comment>
    <comment authorId="0" ref="M126">
      <text>
        <t xml:space="preserve">======
ID#AAAAHtydEnA
Entomb    (2021-01-29 11:30:41)
Knocked-out heroes within 1 space of this monster can only recover Heart from stand up actions and heroic feats.
Reach: 
This monster may attack targets up to 2 spaces away.</t>
      </text>
    </comment>
    <comment authorId="0" ref="M127">
      <text>
        <t xml:space="preserve">======
ID#AAAAHtydEhk
Ironskin    (2021-01-29 11:30:40)
This monster is immune to Pierce and to all conditions.
Reach: 
This monster may attack targets up to 2 spaces away.
Protect:
Each time a figure in this monster's line of sight performs an attack targeting a figure adjacent to this monster, you may suffer 1 Heart to become the target of the attack. Range and line of sight are still measured to the original figure's space.</t>
      </text>
    </comment>
    <comment authorId="0" ref="M128">
      <text>
        <t xml:space="preserve">======
ID#AAAAHtydEf0
Ironskin    (2021-01-29 11:30:40)
This monster is immune to Pierce and to all conditions.
Reach: 
This monster may attack targets up to 2 spaces away.
Protect:
Each time a figure in this monster's line of sight performs an attack targeting a figure adjacent to this monster, you may suffer 1 Heart to become the target of the attack. Range and line of sight are still measured to the original figure's space.</t>
      </text>
    </comment>
    <comment authorId="0" ref="M129">
      <text>
        <t xml:space="preserve">======
ID#AAAAHtydEak
Ironskin    (2021-01-29 11:30:40)
This monster is immune to Pierce and to all conditions.
Reach: 
This monster may attack targets up to 2 spaces away.
Protect:
Each time a figure in this monster's line of sight performs an attack targeting a figure adjacent to this monster, you may suffer 1 Heart to become the target of the attack. Range and line of sight are still measured to the original figure's space.</t>
      </text>
    </comment>
    <comment authorId="0" ref="M130">
      <text>
        <t xml:space="preserve">======
ID#AAAAHtydEiM
Ironskin    (2021-01-29 11:30:40)
This monster is immune to Pierce and to all conditions.
Reach: 
This monster may attack targets up to 2 spaces away.
Protect:
Each time a figure in this monster's line of sight performs an attack targeting a figure adjacent to this monster, you may suffer 1 Heart to become the target of the attack. Range and line of sight are still measured to the original figure's space.</t>
      </text>
    </comment>
    <comment authorId="0" ref="M131">
      <text>
        <t xml:space="preserve">======
ID#AAAAHtydEig
Scamper    (2021-01-29 11:30:40)
This monster may move through spaces containing heroes.
Spawner:
At the start of each overlord turn, place 1 minion kobold adjacent to this monster, respecting group limits.</t>
      </text>
    </comment>
    <comment authorId="0" ref="M132">
      <text>
        <t xml:space="preserve">======
ID#AAAAHtydEp0
Scamper    (2021-01-29 11:30:41)
This monster may move through spaces containing heroes.
Spawner:
At the start of each overlord turn, place 1 minion kobold adjacent to this monster, respecting group limits.</t>
      </text>
    </comment>
    <comment authorId="0" ref="M133">
      <text>
        <t xml:space="preserve">======
ID#AAAAHtydEgw
Scamper    (2021-01-29 11:30:40)
This monster may move through spaces containing heroes.
Small Beginnings:
Do not Place this monster during Setup.</t>
      </text>
    </comment>
    <comment authorId="0" ref="M134">
      <text>
        <t xml:space="preserve">======
ID#AAAAHtydEl8
Scamper    (2021-01-29 11:30:41)
This monster may move through spaces containing heroes.
Small Beginnings:
Do not Place this monster during Setup.</t>
      </text>
    </comment>
    <comment authorId="0" ref="M135">
      <text>
        <t xml:space="preserve">======
ID#AAAAHtydEhI
Ravage    (2021-01-29 11:30:40)
Both of this monster's actions on a turn may be attack actions.</t>
      </text>
    </comment>
    <comment authorId="0" ref="M136">
      <text>
        <t xml:space="preserve">======
ID#AAAAHtydEes
Ravage    (2021-01-29 11:30:40)
Both of this monster's actions on a turn may be attack actions.</t>
      </text>
    </comment>
    <comment authorId="0" ref="M137">
      <text>
        <t xml:space="preserve">======
ID#AAAAHtydEnY
Ravage    (2021-01-29 11:30:41)
Both of this monster's actions on a turn may be attack actions.</t>
      </text>
    </comment>
    <comment authorId="0" ref="M138">
      <text>
        <t xml:space="preserve">======
ID#AAAAHtydEd4
Ravage    (2021-01-29 11:30:40)
Both of this monster's actions on a turn may be attack actions.</t>
      </text>
    </comment>
    <comment authorId="0" ref="M139">
      <text>
        <t xml:space="preserve">======
ID#AAAAHtydEgk
Shadow Step    (2021-01-29 11:30:40)
Each time a hero performs an attack that targets this monster, he may spend 1 Surge. If he does not, this monster gains 5 movement points after the attack resolves.</t>
      </text>
    </comment>
    <comment authorId="0" ref="M140">
      <text>
        <t xml:space="preserve">======
ID#AAAAHtydEjg
Shadow Step    (2021-01-29 11:30:40)
Each time a hero performs an attack that targets this monster, he may spend 1 Surge. If he does not, this monster gains 5 movement points after the attack resolves.</t>
      </text>
    </comment>
    <comment authorId="0" ref="M141">
      <text>
        <t xml:space="preserve">======
ID#AAAAHtydEbU
Shadow Step    (2021-01-29 11:30:40)
Each time a hero performs an attack that targets this monster, he may spend 1 Surge. If he does not, this monster gains 5 movement points after the attack resolves.</t>
      </text>
    </comment>
    <comment authorId="0" ref="M142">
      <text>
        <t xml:space="preserve">======
ID#AAAAHtydEmc
Shadow Step    (2021-01-29 11:30:41)
Each time a hero performs an attack that targets this monster, he may spend 1 Surge. If he does not, this monster gains 5 movement points after the attack resolves.</t>
      </text>
    </comment>
    <comment authorId="0" ref="M147">
      <text>
        <t xml:space="preserve">======
ID#AAAAHtydEYc
Reach    (2021-01-29 11:30:40)
This monster may attack targets up to 2 spaces away.</t>
      </text>
    </comment>
    <comment authorId="0" ref="O147">
      <text>
        <t xml:space="preserve">======
ID#AAAAHtydEX0
Flail    (2021-01-29 11:30:40)
When attacking, this monster may target 2 separate heroes. This monster makes 1 attack roll and each hero rolls defense dice separately.</t>
      </text>
    </comment>
    <comment authorId="0" ref="M148">
      <text>
        <t xml:space="preserve">======
ID#AAAAHtydEgo
Reach    (2021-01-29 11:30:40)
This monster may attack targets up to 2 spaces away.</t>
      </text>
    </comment>
    <comment authorId="0" ref="O148">
      <text>
        <t xml:space="preserve">======
ID#AAAAHtydEmQ
Flail    (2021-01-29 11:30:41)
When attacking, this monster may target 2 separate heroes. This monster makes 1 attack roll and each hero rolls defense dice separately.</t>
      </text>
    </comment>
    <comment authorId="0" ref="M149">
      <text>
        <t xml:space="preserve">======
ID#AAAAHtydEmY
Reach    (2021-01-29 11:30:41)
This monster may attack targets up to 2 spaces away.</t>
      </text>
    </comment>
    <comment authorId="0" ref="M150">
      <text>
        <t xml:space="preserve">======
ID#AAAAHtydEdw
Reach    (2021-01-29 11:30:40)
This monster may attack targets up to 2 spaces away.</t>
      </text>
    </comment>
    <comment authorId="0" ref="O151">
      <text>
        <t xml:space="preserve">======
ID#AAAAHtydEls
Constrict    (2021-01-29 11:30:41)
Chose 1 hero adjacent to this monster. That hero tests Might. If he fails, he is Immobilized, this monster may move 1 space, and then you may place the hero in an empty space adjacent to this monster.</t>
      </text>
    </comment>
    <comment authorId="0" ref="O152">
      <text>
        <t xml:space="preserve">======
ID#AAAAHtydEcA
Constrict    (2021-01-29 11:30:40)
Chose 1 hero adjacent to this monster. That hero tests Might. If he fails, he is Immobilized, this monster may move 1 space, and then you may place the hero in an empty space adjacent to this monster.</t>
      </text>
    </comment>
    <comment authorId="0" ref="O153">
      <text>
        <t xml:space="preserve">======
ID#AAAAHtydEmA
Grab    (2021-01-29 11:30:41)
Choose a hero adjacent to this monster. The hero must test Might. If the hero fails, he is Immobilized.</t>
      </text>
    </comment>
    <comment authorId="0" ref="O154">
      <text>
        <t xml:space="preserve">======
ID#AAAAHtydEkg
Grab    (2021-01-29 11:30:40)
Choose a hero adjacent to this monster. The hero must test Might. If the hero fails, he is Immobilized.</t>
      </text>
    </comment>
    <comment authorId="0" ref="M155">
      <text>
        <t xml:space="preserve">======
ID#AAAAHtydEfY
Fleshmonger    (2021-01-29 11:30:40)
Each time a hero whose hero token is not on this card suffers 1 or more Heart from an attack performed by this monster, place 1 of his hero tokens on this card. For each hero token on this card, this monster applies +2 to its health. When this monster is defeated, discard all hero tokens from this card.</t>
      </text>
    </comment>
    <comment authorId="0" ref="M156">
      <text>
        <t xml:space="preserve">======
ID#AAAAHtydEpY
Fleshmonger    (2021-01-29 11:30:41)
Each time a hero whose hero token is not on this card suffers 1 or more Heart from an attack performed by this monster, place 1 of his hero tokens on this card. For each hero token on this card, this monster applies +2 to its health. When this monster is defeated, discard all hero tokens from this card.</t>
      </text>
    </comment>
    <comment authorId="0" ref="M159">
      <text>
        <t xml:space="preserve">======
ID#AAAAHtydEfI
Pestilence    (2021-01-29 11:30:40)
Each hero adjacent to this monster at the start of his turn must test Willpower. Each hero that fails is Diseased.</t>
      </text>
    </comment>
    <comment authorId="0" ref="O159">
      <text>
        <t xml:space="preserve">======
ID#AAAAHtydEmk
Burrow    (2021-01-29 11:30:41)
Remove the figure from the map and place it in an unoccupied or occupied space up to 3 spaces. Each figure occupying any target space is moved to the closest empty space of your choice and suffers 1 Fatigue. Limit once per monster per turn.</t>
      </text>
    </comment>
    <comment authorId="0" ref="M160">
      <text>
        <t xml:space="preserve">======
ID#AAAAHtydEdY
Pestilence    (2021-01-29 11:30:40)
Each hero adjacent to this monster at the start of his turn must test Willpower. Each hero that fails is Diseased.</t>
      </text>
    </comment>
    <comment authorId="0" ref="O160">
      <text>
        <t xml:space="preserve">======
ID#AAAAHtydEXo
Burrow    (2021-01-29 11:30:40)
Remove the figure from the map and place it in an unoccupied or occupied space up to 3 spaces. Each figure occupying any target space is moved to the closest empty space of your choice and suffers 1 Fatigue. Limit once per monster per turn.</t>
      </text>
    </comment>
    <comment authorId="0" ref="O161">
      <text>
        <t xml:space="preserve">======
ID#AAAAHtydEh4
Burrow    (2021-01-29 11:30:40)
Remove the figure from the map and place it in an unoccupied or occupied space up to 3 spaces. Each figure occupying any target space is moved to the closest empty space of your choice and suffers 1 Fatigue. Limit once per monster per turn.</t>
      </text>
    </comment>
    <comment authorId="0" ref="O162">
      <text>
        <t xml:space="preserve">======
ID#AAAAHtydEqM
Burrow    (2021-01-29 11:30:41)
Remove the figure from the map and place it in an unoccupied or occupied space up to 3 spaces. Each figure occupying any target space is moved to the closest empty space of your choice and suffers 1 Fatigue. Limit once per monster per turn.</t>
      </text>
    </comment>
    <comment authorId="0" ref="M163">
      <text>
        <t xml:space="preserve">======
ID#AAAAHtydEfo
Ravenous    (2021-01-29 11:30:40)
When attacking a hero that is Bleeding, this monster adds 1 Surge to its attack results.</t>
      </text>
    </comment>
    <comment authorId="0" ref="O163">
      <text>
        <t xml:space="preserve">======
ID#AAAAHtydEjI
Merge    (2021-01-29 11:30:40)
Choose 1 monster adjacent to this monster of the same group. This monster suffers Heart equal to its remaining health, and the chosen monster recovers an equal amount of Heart.
Rend: 
Choose a hero adjacent to this monster to test Might. If he fails, he is Bleeding.</t>
      </text>
    </comment>
    <comment authorId="0" ref="M164">
      <text>
        <t xml:space="preserve">======
ID#AAAAHtydEY8
Ravenous    (2021-01-29 11:30:40)
When attacking a hero that is Bleeding, this monster adds 1 Surge to its attack results.</t>
      </text>
    </comment>
    <comment authorId="0" ref="O164">
      <text>
        <t xml:space="preserve">======
ID#AAAAHtydEc4
Merge    (2021-01-29 11:30:40)
Choose 1 monster adjacent to this monster of the same group. This monster suffers Heart equal to its remaining health, and the chosen monster recovers an equal amount of Heart.
Rend: 
Choose a hero adjacent to this monster to test Might. If he fails, he is Bleeding.</t>
      </text>
    </comment>
    <comment authorId="0" ref="O165">
      <text>
        <t xml:space="preserve">======
ID#AAAAHtydEbk
Merge    (2021-01-29 11:30:40)
Choose 1 monster adjacent to this monster of the same group. This monster suffers Heart equal to its remaining health, and the chosen monster recovers an equal amount of Heart.
Rend: 
Choose a hero adjacent to this monster to test Might. If he fails, he is Bleeding.</t>
      </text>
    </comment>
    <comment authorId="0" ref="O166">
      <text>
        <t xml:space="preserve">======
ID#AAAAHtydEpw
Merge    (2021-01-29 11:30:41)
Choose 1 monster adjacent to this monster of the same group. This monster suffers Heart equal to its remaining health, and the chosen monster recovers an equal amount of Heart.
Rend: 
Choose a hero adjacent to this monster to test Might. If he fails, he is Bleeding.</t>
      </text>
    </comment>
    <comment authorId="0" ref="M167">
      <text>
        <t xml:space="preserve">======
ID#AAAAHtydEi8
Fly    (2021-01-29 11:30:40)
This monster may ignore enemy figures and the effects of terrain while moving. It must end its movement in an empty space following normal movement rules.</t>
      </text>
    </comment>
    <comment authorId="0" ref="M168">
      <text>
        <t xml:space="preserve">======
ID#AAAAHtydEiE
Fly    (2021-01-29 11:30:40)
This monster may ignore enemy figures and the effects of terrain while moving. It must end its movement in an empty space following normal movement rules.</t>
      </text>
    </comment>
    <comment authorId="0" ref="M169">
      <text>
        <t xml:space="preserve">======
ID#AAAAHtydEaw
Fly    (2021-01-29 11:30:40)
This monster may ignore enemy figures and the effects of terrain while moving. It must end its movement in an empty space following normal movement rules.</t>
      </text>
    </comment>
    <comment authorId="0" ref="M170">
      <text>
        <t xml:space="preserve">======
ID#AAAAHtydEXk
Fly    (2021-01-29 11:30:40)
This monster may ignore enemy figures and the effects of terrain while moving. It must end its movement in an empty space following normal movement rules.</t>
      </text>
    </comment>
    <comment authorId="0" ref="M171">
      <text>
        <t xml:space="preserve">======
ID#AAAAHtydEa4
Phalanx    (2021-01-29 11:30:40)
If this monster is adjacent to a figure from its monster group, replace its brown defense die with 1 gray defense die.
Reanimation: 
Each time this monster suffers Heart and is not defeated, it recovers Heart equal to either the amount suffered or the number of monsters from this monster group within 3 spaces of it, whichever is less.</t>
      </text>
    </comment>
    <comment authorId="0" ref="O171">
      <text>
        <t xml:space="preserve">======
ID#AAAAHtydEpo
Maneuver    (2021-01-29 11:30:41)
Choose 1 minion monster adjacent to this monster. That monster gains 2 movement points.</t>
      </text>
    </comment>
    <comment authorId="0" ref="M172">
      <text>
        <t xml:space="preserve">======
ID#AAAAHtydEdo
Phalanx    (2021-01-29 11:30:40)
If this monster is adjacent to a figure from its monster group, replace its brown defense die with 1 gray defense die.
Reanimation: 
Each time this monster suffers Heart and is not defeated, it recovers Heart equal to either the amount suffered or the number of monsters from this monster group within 3 spaces of it, whichever is less.</t>
      </text>
    </comment>
    <comment authorId="0" ref="O172">
      <text>
        <t xml:space="preserve">======
ID#AAAAHtydEps
Maneuver    (2021-01-29 11:30:41)
Choose 1 minion monster adjacent to this monster. That monster gains 2 movement points.</t>
      </text>
    </comment>
    <comment authorId="0" ref="M173">
      <text>
        <t xml:space="preserve">======
ID#AAAAHtydEns
Phalanx    (2021-01-29 11:30:41)
If this monster is adjacent to a figure from its monster group, replace its brown defense die with 1 gray defense die.
Reanimation: 
Each time this monster suffers Heart and is not defeated, it recovers Heart equal to either the amount suffered or the number of monsters from this monster group within 3 spaces of it, whichever is less.</t>
      </text>
    </comment>
    <comment authorId="0" ref="M174">
      <text>
        <t xml:space="preserve">======
ID#AAAAHtydEl4
Phalanx    (2021-01-29 11:30:41)
If this monster is adjacent to a figure from its monster group, replace its brown defense die with 1 gray defense die.
Reanimation: 
Each time this monster suffers Heart and is not defeated, it recovers Heart equal to either the amount suffered or the number of monsters from this monster group within 3 spaces of it, whichever is less.</t>
      </text>
    </comment>
    <comment authorId="0" ref="M175">
      <text>
        <t xml:space="preserve">======
ID#AAAAHtydEm4
Karcagi, Balazs    (2021-01-29 11:30:41)
Soul Shackle X:  Each time a hero within 3 spaces of this monster recovers 1 or more Fatigue, this monster may suffer X Heart to reduce the amount of Fatigue recovered by X (to a minimum of 0).</t>
      </text>
    </comment>
    <comment authorId="0" ref="O175">
      <text>
        <t xml:space="preserve">======
ID#AAAAHtydEe4
Karcagi, Balazs    (2021-01-29 11:30:40)
Flicker: Choose 1 hero within 3 spaces of this monster. Remove this monster from the map and place it adjacent to that hero. Then, if this monster has not performed an attack this activation, that hero tests Awareness. If he fails, perform an attack with this monster that targets that hero.</t>
      </text>
    </comment>
    <comment authorId="0" ref="M176">
      <text>
        <t xml:space="preserve">======
ID#AAAAHtydEXU
Karcagi, Balazs    (2021-01-29 11:30:40)
Soul Shackle X:  Each time a hero within 3 spaces of this monster recovers 1 or more Fatigue, this monster may suffer X Heart to reduce the amount of Fatigue recovered by X (to a minimum of 0).</t>
      </text>
    </comment>
    <comment authorId="0" ref="O176">
      <text>
        <t xml:space="preserve">======
ID#AAAAHtydEm0
Karcagi, Balazs    (2021-01-29 11:30:41)
Flicker: Choose 1 hero within 3 spaces of this monster. Remove this monster from the map and place it adjacent to that hero. Then, if this monster has not performed an attack this activation, that hero tests Awareness. If he fails, perform an attack with this monster that targets that hero.</t>
      </text>
    </comment>
    <comment authorId="0" ref="M177">
      <text>
        <t xml:space="preserve">======
ID#AAAAHtydEgs
Karcagi, Balazs    (2021-01-29 11:30:40)
Soul Shackle X:  Each time a hero within 3 spaces of this monster recovers 1 or more Fatigue, this monster may suffer X Heart to reduce the amount of Fatigue recovered by X (to a minimum of 0).</t>
      </text>
    </comment>
    <comment authorId="0" ref="O177">
      <text>
        <t xml:space="preserve">======
ID#AAAAHtydEfk
Karcagi, Balazs    (2021-01-29 11:30:40)
Flicker: Choose 1 hero within 3 spaces of this monster. Remove this monster from the map and place it adjacent to that hero. Then, if this monster has not performed an attack this activation, that hero tests Awareness. If he fails, perform an attack with this monster that targets that hero.</t>
      </text>
    </comment>
    <comment authorId="0" ref="M178">
      <text>
        <t xml:space="preserve">======
ID#AAAAHtydEZY
Karcagi, Balazs    (2021-01-29 11:30:40)
Soul Shackle X:  Each time a hero within 3 spaces of this monster recovers 1 or more Fatigue, this monster may suffer X Heart to reduce the amount of Fatigue recovered by X (to a minimum of 0).</t>
      </text>
    </comment>
    <comment authorId="0" ref="O178">
      <text>
        <t xml:space="preserve">======
ID#AAAAHtydEXs
Karcagi, Balazs    (2021-01-29 11:30:40)
Flicker: Choose 1 hero within 3 spaces of this monster. Remove this monster from the map and place it adjacent to that hero. Then, if this monster has not performed an attack this activation, that hero tests Awareness. If he fails, perform an attack with this monster that targets that hero.</t>
      </text>
    </comment>
    <comment authorId="0" ref="M179">
      <text>
        <t xml:space="preserve">======
ID#AAAAHtydEbM
Shadow    (2021-01-29 11:30:40)
A hero adjacent to this monster that declares an attack must spend 1 Surge or the attack is considered a miss.</t>
      </text>
    </comment>
    <comment authorId="0" ref="M180">
      <text>
        <t xml:space="preserve">======
ID#AAAAHtydEZM
Shadow    (2021-01-29 11:30:40)
A hero adjacent to this monster that declares an attack must spend 1 Surge or the attack is considered a miss.</t>
      </text>
    </comment>
    <comment authorId="0" ref="M181">
      <text>
        <t xml:space="preserve">======
ID#AAAAHtydEpI
Shadow    (2021-01-29 11:30:41)
A hero adjacent to this monster that declares an attack must spend 1 Surge or the attack is considered a miss.</t>
      </text>
    </comment>
    <comment authorId="0" ref="M182">
      <text>
        <t xml:space="preserve">======
ID#AAAAHtydEkw
Shadow    (2021-01-29 11:30:40)
A hero adjacent to this monster that declares an attack must spend 1 Surge or the attack is considered a miss.</t>
      </text>
    </comment>
    <comment authorId="0" ref="M183">
      <text>
        <t xml:space="preserve">======
ID#AAAAHtydEkY
Harrowing    (2021-01-29 11:30:40)
Each time a hero within 3 spaces of this monster performs an attack that targets this monster, before rolling dice, that hero tests Willpower. If he fails, he is Terrified.
Puncture: 
Each of this monster's attacks ignores 1 Shield for each defense die rolled by the target of that attack.</t>
      </text>
    </comment>
    <comment authorId="0" ref="M184">
      <text>
        <t xml:space="preserve">======
ID#AAAAHtydEjk
Harrowing    (2021-01-29 11:30:40)
Each time a hero within 3 spaces of this monster performs an attack that targets this monster, before rolling dice, that hero tests Willpower. If he fails, he is Terrified.
Puncture: 
Each of this monster's attacks ignores 1 Shield for each defense die rolled by the target of that attack.</t>
      </text>
    </comment>
    <comment authorId="0" ref="M185">
      <text>
        <t xml:space="preserve">======
ID#AAAAHtydEaE
Puncture    (2021-01-29 11:30:40)
Each of this monster's attacks ignores 1 Shield for each defense die rolled by the target of that attack.</t>
      </text>
    </comment>
    <comment authorId="0" ref="M186">
      <text>
        <t xml:space="preserve">======
ID#AAAAHtydEfc
Puncture    (2021-01-29 11:30:40)
Each of this monster's attacks ignores 1 Shield for each defense die rolled by the target of that attack.</t>
      </text>
    </comment>
    <comment authorId="0" ref="M187">
      <text>
        <t xml:space="preserve">======
ID#AAAAHtydEgc
Reanimation    (2021-01-29 11:30:40)
Each time this monster suffers Heart and is not defeated, it recovers Heart equal to either the amount suffered or the number of monsters from this monster group within 3 spaces of it, whichever is less.</t>
      </text>
    </comment>
    <comment authorId="0" ref="M188">
      <text>
        <t xml:space="preserve">======
ID#AAAAHtydEeo
Reanimation    (2021-01-29 11:30:40)
Each time this monster suffers Heart and is not defeated, it recovers Heart equal to either the amount suffered or the number of monsters from this monster group within 3 spaces of it, whichever is less.</t>
      </text>
    </comment>
    <comment authorId="0" ref="M189">
      <text>
        <t xml:space="preserve">======
ID#AAAAHtydEpE
Reanimation    (2021-01-29 11:30:41)
Each time this monster suffers Heart and is not defeated, it recovers Heart equal to either the amount suffered or the number of monsters from this monster group within 3 spaces of it, whichever is less.</t>
      </text>
    </comment>
    <comment authorId="0" ref="M190">
      <text>
        <t xml:space="preserve">======
ID#AAAAHtydEYI
Reanimation    (2021-01-29 11:30:40)
Each time this monster suffers Heart and is not defeated, it recovers Heart equal to either the amount suffered or the number of monsters from this monster group within 3 spaces of it, whichever is less.</t>
      </text>
    </comment>
    <comment authorId="0" ref="M191">
      <text>
        <t xml:space="preserve">======
ID#AAAAHtydEYQ
Sorcery X    (2021-01-29 11:30:40)
After making an attack roll, this monster may convert up to X range to Heart, or up to X Heart to range.
Death Wish: 
When this master monster would be defeated, the overlord may choose 1 minion monster of the same group to be defeated instead. If he does, this master monster recovers all Heart.</t>
      </text>
    </comment>
    <comment authorId="0" ref="O191">
      <text>
        <t xml:space="preserve">======
ID#AAAAHtydEe0
Summon    (2021-01-29 11:30:40)
Choose a minion within 3 spaces of this monster.  Place that minion in an empty space adjacent to this monster.</t>
      </text>
    </comment>
    <comment authorId="0" ref="M192">
      <text>
        <t xml:space="preserve">======
ID#AAAAHtydElk
Sorcery X    (2021-01-29 11:30:41)
After making an attack roll, this monster may convert up to X range to Heart, or up to X Heart to range.
Death Wish: 
When this master monster would be defeated, the overlord may choose 1 minion monster of the same group to be defeated instead. If he does, this master monster recovers all Heart.</t>
      </text>
    </comment>
    <comment authorId="0" ref="O192">
      <text>
        <t xml:space="preserve">======
ID#AAAAHtydEoM
Summon    (2021-01-29 11:30:41)
Choose a minion within 3 spaces of this monster.  Place that minion in an empty space adjacent to this monster.</t>
      </text>
    </comment>
    <comment authorId="0" ref="M193">
      <text>
        <t xml:space="preserve">======
ID#AAAAHtydEog
Sorcery X    (2021-01-29 11:30:41)
After making an attack roll, this monster may convert up to X range to Heart, or up to X Heart to range.</t>
      </text>
    </comment>
    <comment authorId="0" ref="O193">
      <text>
        <t xml:space="preserve">======
ID#AAAAHtydEiI
Summon    (2021-01-29 11:30:40)
Choose a minion within 3 spaces of this monster.  Place that minion in an empty space adjacent to this monster.</t>
      </text>
    </comment>
    <comment authorId="0" ref="M194">
      <text>
        <t xml:space="preserve">======
ID#AAAAHtydEaA
Sorcery X    (2021-01-29 11:30:40)
After making an attack roll, this monster may convert up to X range to Heart, or up to X Heart to range.</t>
      </text>
    </comment>
    <comment authorId="0" ref="O194">
      <text>
        <t xml:space="preserve">======
ID#AAAAHtydEcI
Summon    (2021-01-29 11:30:40)
Choose a minion within 3 spaces of this monster.  Place that minion in an empty space adjacent to this monster.</t>
      </text>
    </comment>
    <comment authorId="0" ref="M195">
      <text>
        <t xml:space="preserve">======
ID#AAAAHtydEYw
Ethereal Hold    (2021-01-29 11:30:40)
At the start of the Overlords turn, this monster may discard 1 hero token from its base. If it does, remove it from the map and place it within 3 spaces of the corresponding hero.</t>
      </text>
    </comment>
    <comment authorId="0" ref="O195">
      <text>
        <t xml:space="preserve">======
ID#AAAAHtydEoY
Fearbrand    (2021-01-29 11:30:41)
Choose a hero in this monsters line of sight and place that heros hero token on this monsters base.</t>
      </text>
    </comment>
    <comment authorId="0" ref="M196">
      <text>
        <t xml:space="preserve">======
ID#AAAAHtydEhA
Ethereal Hold    (2021-01-29 11:30:40)
At the start of the Overlords turn, this monster may discard 1 hero token from its base. If it does, remove it from the map and place it within 3 spaces of the corresponding hero.</t>
      </text>
    </comment>
    <comment authorId="0" ref="O196">
      <text>
        <t xml:space="preserve">======
ID#AAAAHtydEo0
Fearbrand    (2021-01-29 11:30:41)
Choose a hero in this monsters line of sight and place that heros hero token on this monsters base.</t>
      </text>
    </comment>
    <comment authorId="0" ref="M197">
      <text>
        <t xml:space="preserve">======
ID#AAAAHtydEbE
Ethereal Hold    (2021-01-29 11:30:40)
At the start of the Overlords turn, this monster may discard 1 hero token from its base. If it does, remove it from the map and place it within 3 spaces of the corresponding hero.</t>
      </text>
    </comment>
    <comment authorId="0" ref="O197">
      <text>
        <t xml:space="preserve">======
ID#AAAAHtydEqE
Fearbrand    (2021-01-29 11:30:41)
Choose a hero in this monsters line of sight and place that heros hero token on this monsters base.</t>
      </text>
    </comment>
    <comment authorId="0" ref="M198">
      <text>
        <t xml:space="preserve">======
ID#AAAAHtydEbw
Ethereal Hold    (2021-01-29 11:30:40)
At the start of the Overlords turn, this monster may discard 1 hero token from its base. If it does, remove it from the map and place it within 3 spaces of the corresponding hero.</t>
      </text>
    </comment>
    <comment authorId="0" ref="O198">
      <text>
        <t xml:space="preserve">======
ID#AAAAHtydEi0
Fearbrand    (2021-01-29 11:30:40)
Choose a hero in this monsters line of sight and place that heros hero token on this monsters base.</t>
      </text>
    </comment>
    <comment authorId="0" ref="M199">
      <text>
        <t xml:space="preserve">======
ID#AAAAHtydEoA
Reach    (2021-01-29 11:30:41)
This monster may attack targets up to 2 spaces away.
Backswing:
Use immediately after performing an attack to chose any number of figures affected by that attack. Each of those figures tests Awareness. If none of the figure pass, each chosen figure suffers 2 Heart and is Stunned.</t>
      </text>
    </comment>
    <comment authorId="0" ref="O199">
      <text>
        <t xml:space="preserve">======
ID#AAAAHtydEhU
Sweep    (2021-01-29 11:30:40)
Perform an attack. This attack affects each figure within two spaces and line of sight of this monster. Each figure rolls defense dice separately.</t>
      </text>
    </comment>
    <comment authorId="0" ref="M200">
      <text>
        <t xml:space="preserve">======
ID#AAAAHtydEZU
Reach    (2021-01-29 11:30:40)
This monster may attack targets up to 2 spaces away.
Backswing:
Use immediately after performing an attack to chose any number of figures affected by that attack. Each of those figures tests Awareness. If none of the figure pass, each chosen figure suffers 2 Heart and is Stunned.</t>
      </text>
    </comment>
    <comment authorId="0" ref="O200">
      <text>
        <t xml:space="preserve">======
ID#AAAAHtydEk4
Sweep    (2021-01-29 11:30:40)
Perform an attack. This attack affects each figure within two spaces and line of sight of this monster. Each figure rolls defense dice separately.</t>
      </text>
    </comment>
    <comment authorId="0" ref="M201">
      <text>
        <t xml:space="preserve">======
ID#AAAAHtydEcE
Reach    (2021-01-29 11:30:40)
This monster may attack targets up to 2 spaces away.
Backswing:
Use immediately after performing an attack to chose any number of figures affected by that attack. Each of those figures tests Awareness. If none of the figure pass, each chosen figure suffers 2 Heart and is Stunned.</t>
      </text>
    </comment>
    <comment authorId="0" ref="M202">
      <text>
        <t xml:space="preserve">======
ID#AAAAHtydEXw
Reach    (2021-01-29 11:30:40)
This monster may attack targets up to 2 spaces away.
Backswing:
Use immediately after performing an attack to chose any number of figures affected by that attack. Each of those figures tests Awareness. If none of the figure pass, each chosen figure suffers 2 Heart and is Stunned.</t>
      </text>
    </comment>
    <comment authorId="0" ref="M203">
      <text>
        <t xml:space="preserve">======
ID#AAAAHtydEm8
Ravage    (2021-01-29 11:30:41)
Both of this monster's actions on a turn may be attack actions.</t>
      </text>
    </comment>
    <comment authorId="0" ref="O203">
      <text>
        <t xml:space="preserve">======
ID#AAAAHtydEdQ
Skirmish    (2021-01-29 11:30:40)
This monster may move 3 spaces, then perform an attack.</t>
      </text>
    </comment>
    <comment authorId="0" ref="M204">
      <text>
        <t xml:space="preserve">======
ID#AAAAHtydEaI
Ravage    (2021-01-29 11:30:40)
Both of this monster's actions on a turn may be attack actions.</t>
      </text>
    </comment>
    <comment authorId="0" ref="O204">
      <text>
        <t xml:space="preserve">======
ID#AAAAHtydEYU
Skirmish    (2021-01-29 11:30:40)
This monster may move 3 spaces, then perform an attack.</t>
      </text>
    </comment>
    <comment authorId="0" ref="O205">
      <text>
        <t xml:space="preserve">======
ID#AAAAHtydEjY
Skirmish    (2021-01-29 11:30:40)
This monster may move 3 spaces, then perform an attack.</t>
      </text>
    </comment>
    <comment authorId="0" ref="O206">
      <text>
        <t xml:space="preserve">======
ID#AAAAHtydElY
Skirmish    (2021-01-29 11:30:41)
This monster may move 3 spaces, then perform an attack.</t>
      </text>
    </comment>
    <comment authorId="0" ref="M207">
      <text>
        <t xml:space="preserve">======
ID#AAAAHtydEoE
Ravage    (2021-01-29 11:30:41)
Both of this monster's actions on a turn may be attack actions.
Stealthy:  
Each attack that targets this monster must roll 3 additional range beyond the normally required amount or the attack is a miss.
Freezing: 
Each time a hero enters a space adjacent to this monster, that hero suffers 1 Fatigue.</t>
      </text>
    </comment>
    <comment authorId="0" ref="M208">
      <text>
        <t xml:space="preserve">======
ID#AAAAHtydEdU
Ravage    (2021-01-29 11:30:40)
Both of this monster's actions on a turn may be attack actions.
Stealthy:
Each attack that targets this monster must roll 3 additional range beyond the normally required amount or the attack is a miss.
Freezing:
Each time a hero enters a space adjacent to this monster, that hero suffers 1 Fatigue.</t>
      </text>
    </comment>
    <comment authorId="0" ref="M209">
      <text>
        <t xml:space="preserve">======
ID#AAAAHtydEjo
Ravage    (2021-01-29 11:30:40)
Both of this monster's actions on a turn may be attack actions.
Stealthy:
Each attack that targets this monster must roll 3 additional range beyond the normally required amount or the attack is a miss.</t>
      </text>
    </comment>
    <comment authorId="0" ref="M210">
      <text>
        <t xml:space="preserve">======
ID#AAAAHtydEec
Ravage    (2021-01-29 11:30:40)
Both of this monster's actions on a turn may be attack actions.
Stealthy:
Each attack that targets this monster must roll 3 additional range beyond the normally required amount or the attack is a miss.</t>
      </text>
    </comment>
    <comment authorId="0" ref="M211">
      <text>
        <t xml:space="preserve">======
ID#AAAAHtydEZg
Reaper    (2021-01-29 11:30:40)
When a hero within 5 spaces of this monster is knocked out, this monster may immediately move up to its Speed and then perform an attack. Limit once per round.</t>
      </text>
    </comment>
    <comment authorId="0" ref="O211">
      <text>
        <t xml:space="preserve">======
ID#AAAAHtydEdE
Death Cry    (2021-01-29 11:30:40)
Choose 1 hero within 3 spaces of this monster. That hero tests Willpower. If he fails, he is Doomed or suffers 1 Heart, your choice. Limit once per round.</t>
      </text>
    </comment>
    <comment authorId="0" ref="M212">
      <text>
        <t xml:space="preserve">======
ID#AAAAHtydEZc
Reaper    (2021-01-29 11:30:40)
When a hero within 5 spaces of this monster is knocked out, this monster may immediately move up to its Speed and then perform an attack. Limit once per round.</t>
      </text>
    </comment>
    <comment authorId="0" ref="O212">
      <text>
        <t xml:space="preserve">======
ID#AAAAHtydEbs
Death Cry    (2021-01-29 11:30:40)
Choose 1 hero within 3 spaces of this monster. That hero tests Willpower. If he fails, he is Doomed or suffers 1 Heart, your choice. Limit once per round.</t>
      </text>
    </comment>
    <comment authorId="0" ref="O213">
      <text>
        <t xml:space="preserve">======
ID#AAAAHtydEZQ
Death Cry    (2021-01-29 11:30:40)
Choose 1 hero within 3 spaces of this monster. That hero tests Willpower. If he fails, he is Doomed or suffers 1 Heart, your choice. Limit once per round.</t>
      </text>
    </comment>
    <comment authorId="0" ref="O214">
      <text>
        <t xml:space="preserve">======
ID#AAAAHtydEgQ
Death Cry    (2021-01-29 11:30:40)
Choose 1 hero within 3 spaces of this monster. That hero tests Willpower. If he fails, he is Doomed or suffers 1 Heart, your choice. Limit once per round.</t>
      </text>
    </comment>
    <comment authorId="0" ref="O215">
      <text>
        <t xml:space="preserve">======
ID#AAAAHtydEeg
Bloodrush    (2021-01-29 11:30:40)
This monster suffers 1 Heart and gains 5 movement points. Limit once per turn.</t>
      </text>
    </comment>
    <comment authorId="0" ref="O216">
      <text>
        <t xml:space="preserve">======
ID#AAAAHtydEp4
Bloodrush    (2021-01-29 11:30:41)
This monster suffers 1 Heart and gains 5 movement points. Limit once per turn.</t>
      </text>
    </comment>
    <comment authorId="0" ref="O217">
      <text>
        <t xml:space="preserve">======
ID#AAAAHtydEn8
Bloodrush    (2021-01-29 11:30:41)
This monster suffers 1 Heart and gains 5 movement points. Limit once per turn.</t>
      </text>
    </comment>
    <comment authorId="0" ref="O218">
      <text>
        <t xml:space="preserve">======
ID#AAAAHtydEg0
Bloodrush    (2021-01-29 11:30:40)
This monster suffers 1 Heart and gains 5 movement points. Limit once per turn.</t>
      </text>
    </comment>
    <comment authorId="0" ref="M219">
      <text>
        <t xml:space="preserve">======
ID#AAAAHtydEiQ
Shambling    (2021-01-29 11:30:40)
This monster may not perform more than 1 move action during a single turn.</t>
      </text>
    </comment>
    <comment authorId="0" ref="O219">
      <text>
        <t xml:space="preserve">======
ID#AAAAHtydElQ
Grab    (2021-01-29 11:30:40)
Choose a hero adjacent to this monster. The hero must test Might. If the hero fails, he is Immobilized.</t>
      </text>
    </comment>
    <comment authorId="0" ref="M220">
      <text>
        <t xml:space="preserve">======
ID#AAAAHtydEYY
Shambling    (2021-01-29 11:30:40)
This monster may not perform more than 1 move action during a single turn.</t>
      </text>
    </comment>
    <comment authorId="0" ref="O220">
      <text>
        <t xml:space="preserve">======
ID#AAAAHtydEbY
Grab    (2021-01-29 11:30:40)
Choose a hero adjacent to this monster. The hero must test Might. If the hero fails, he is Immobilized.</t>
      </text>
    </comment>
    <comment authorId="0" ref="M221">
      <text>
        <t xml:space="preserve">======
ID#AAAAHtydEZA
Shambling    (2021-01-29 11:30:40)
This monster may not perform more than 1 move action during a single turn.</t>
      </text>
    </comment>
    <comment authorId="0" ref="M222">
      <text>
        <t xml:space="preserve">======
ID#AAAAHtydEdM
Shambling    (2021-01-29 11:30:40)
This monster may not perform more than 1 move action during a single turn.</t>
      </text>
    </comment>
  </commentList>
</comments>
</file>

<file path=xl/comments5.xml><?xml version="1.0" encoding="utf-8"?>
<comments xmlns:r="http://schemas.openxmlformats.org/officeDocument/2006/relationships" xmlns="http://schemas.openxmlformats.org/spreadsheetml/2006/main">
  <authors>
    <author/>
  </authors>
  <commentList>
    <comment authorId="0" ref="P1">
      <text>
        <t xml:space="preserve">IFERROR(
(FILTER(Monsters!$AP:$AP; Monsters!$A:$A = O2 ; Monsters!$D:$D  = 'Main Page 1'!$U$3; Monsters!$B:$B = "Master")
*
SWITCH(
COUNTA('Main Page 1'!$C$3;'Main Page 1'!$J$3;'Main Page 1'!$C$25;'Main Page 1'!$J$25);
2;FILTER(Monsters!$AJ:$AJ; Monsters!$A:$A = O2 ; Monsters!$D:$D  = 'Main Page 1'!$U$3; Monsters!$B:$B = "Master");
3;FILTER(Monsters!$AL:$AL; Monsters!$A:$A = O2 ; Monsters!$D:$D  = 'Main Page 1'!$U$3; Monsters!$B:$B = "Master");
4;FILTER(Monsters!$AN:$AN; Monsters!$A:$A = O2 ; Monsters!$D:$D  = 'Main Page 1'!$U$3; Monsters!$B:$B = "Master");
))
+
(FILTER(Monsters!$AP:$AP; Monsters!$A:$A = O2 ; Monsters!$D:$D  = 'Main Page 1'!$U$3; Monsters!$B:$B = "Minion")
*
SWITCH(
COUNTA('Main Page 1'!$C$3;'Main Page 1'!$J$3;'Main Page 1'!$C$25;'Main Page 1'!$J$25);
2;FILTER(Monsters!$AJ:$AJ; Monsters!$A:$A = O2 ; Monsters!$D:$D  = 'Main Page 1'!$U$3; Monsters!$B:$B = "Minion");
3;FILTER(Monsters!$AL:$AL; Monsters!$A:$A = O2 ; Monsters!$D:$D  = 'Main Page 1'!$U$3; Monsters!$B:$B = "Minion");
4;FILTER(Monsters!$AN:$AN; Monsters!$A:$A = O2 ; Monsters!$D:$D  = 'Main Page 1'!$U$3; Monsters!$B:$B = "Minion");
))
;
)</t>
      </text>
    </comment>
  </commentList>
</comments>
</file>

<file path=xl/sharedStrings.xml><?xml version="1.0" encoding="utf-8"?>
<sst xmlns="http://schemas.openxmlformats.org/spreadsheetml/2006/main" count="10494" uniqueCount="3078">
  <si>
    <t>pack</t>
  </si>
  <si>
    <t>name</t>
  </si>
  <si>
    <t>Buy Cost</t>
  </si>
  <si>
    <t>Play Cost</t>
  </si>
  <si>
    <t>description</t>
  </si>
  <si>
    <t>BR Card</t>
  </si>
  <si>
    <t>1. На кого можно использовать?
1.1. Overlord = 1
1.2. Single target = 2
1.3. Defence = 3
1.4. Attack = 4
1.5 Group = 5</t>
  </si>
  <si>
    <t>2. Чего требует?
2.0. Ничего = 0
2.1. Простое условие \ 
Начало или конец раунда = -1
2.2. Проверку\Exhaust= -2
2.3. Урон по своим = -3
2.4. Раз в столкновение\Действие = -4
2.5. Раз в миссию = -5</t>
  </si>
  <si>
    <t>3. Что даёт?
3.1. Очень плохо = 1
3.2 Хуже действия = 2
3.3. Действие = 3
3.4. Действие с боунсом = 4
3.5. Примерно 2 действия = 5</t>
  </si>
  <si>
    <t>Андрий</t>
  </si>
  <si>
    <t>Димен</t>
  </si>
  <si>
    <t>Керелл</t>
  </si>
  <si>
    <t>Рома</t>
  </si>
  <si>
    <t>Ромег</t>
  </si>
  <si>
    <t>Burning Ambition</t>
  </si>
  <si>
    <t>Blazing Rage</t>
  </si>
  <si>
    <t>Exhaust this card when you activate a monster. That monster may perform 1 additional attack action this turn in addition to its normal 2 actions. At the end of the monster's activation, it suffers 2 Heart for each attack it performed this turn.
If that monster has the Hot monster trait, you may reroll 1 die during each attack the monster performs this turn.</t>
  </si>
  <si>
    <t>Crushing Exhaustion</t>
  </si>
  <si>
    <t>Exhaust this card at the end of your turn. Each hero tests Might or Willpower, your choice. Place 1 threat token from the supply on the Hero sheet of each hero who fails. A hero with a threat token on his Hero sheet suffers Fatigue equal to his Stamina at the end of his turn. Ech time a hero performs a rest action, he may test Might or Willpower, his choice. He discards his threat token if he passes that test, or if he is defeated.
This card does not refresh as normal. Refresh this card at the end of each quest.</t>
  </si>
  <si>
    <t>Demon's Bargain</t>
  </si>
  <si>
    <t>Exhaust this card at the end of your turn and choose 1 knocked-out hero and an amount of Heart and Fatigue. That hero may choose to immediately recover that amount of Heart and Fatigue. If he does, you gain 3 threat tokens.
This card does not refresh as normal. Refresh this card if the hero chooses to not recover the Heart and Fatigue or at the end of each quest.</t>
  </si>
  <si>
    <t>Enkindle</t>
  </si>
  <si>
    <t>Use this card after setup of an encounter and choose 1 monster group. During this encounter, that group gains the Hot monster trait.
Place 1 threat token from the supply on that group's Monster card as a reminder</t>
  </si>
  <si>
    <t>Inferno</t>
  </si>
  <si>
    <t>Exhaust this card when a monster performs an attack, before dice are rolled. That attack affects all figures adjacent to the target.
After that attack resolves, if that monster has the Hot monster trait, it recovers Heart equal to the number of figures affected by the attack.</t>
  </si>
  <si>
    <t>Shifting Earth</t>
  </si>
  <si>
    <t>Exhaust this card at the start of your turn and choose a space on the map. Each hero within 3 spaces of the chosen space tests Might or Awareness, your choice. Move each hero that fails 2 spaces.</t>
  </si>
  <si>
    <t>Summon Gargan Mirklace</t>
  </si>
  <si>
    <t>Exhaust this card after setup of an encounter and choose 1 open monster group. Replace that group with the Gargan Mirklace agent.
If the Gargan Mirklace agent is defeated, return this card to your Plot deck.
You cannot use this card in the "Shadow of Nerekhall" campaign.</t>
  </si>
  <si>
    <t>Taste of the Forbidden</t>
  </si>
  <si>
    <t>A hero may exhaust this card when he performs an attack, before dice are rolled. If he does, that attack gains +2 Heart and you gain 1 threat token.</t>
  </si>
  <si>
    <t>Ynfernael Bonds</t>
  </si>
  <si>
    <t>Exhaust this card when a monster performs an attack. You may measure range and line of sight from one of the other monsters in that monster's group for that attack.</t>
  </si>
  <si>
    <t>Scorching Presence</t>
  </si>
  <si>
    <t>Exhaust this card after setup of an encounter. While this card is exhausted, each time a hero enters a space adjacenet to at least 1 monster with the Hot monster trait, that hero suffers 1 Heart.
This card does not refresh as normal. Refresh this card at the end of each encounter.</t>
  </si>
  <si>
    <t>Goblin Uprising</t>
  </si>
  <si>
    <t>Spirited Retreat</t>
  </si>
  <si>
    <t>Exhaust this card when a small monster with the Wilderness monster trait declares a move action. Move that monster 1 space.
If that monster ends this move action within 3 spaces of a hero, it may move 1 additional space.</t>
  </si>
  <si>
    <t>Feral Instincts</t>
  </si>
  <si>
    <t>Use this card after setup of an encounter to choose one of your monster groups. During this encounter, that group gains the Wilderness monster trait.
Place a threat token from the supply on that group's Monster card as a reminder.</t>
  </si>
  <si>
    <t>Overfed</t>
  </si>
  <si>
    <t>Exhaust this card after setup of an encounter. While this card is exhausted, each monster with the Wilderness monster trait applies +2 to its Health and -1 to its Speed.
This card does not refresh as normal. Refresh this card at the end of each encounter.</t>
  </si>
  <si>
    <t>Meat Shield</t>
  </si>
  <si>
    <t>Exhaust this card when a monster suffers any amount of Heart. Choose a monster adjacent to that monster to suffer all of the Heart instead.</t>
  </si>
  <si>
    <t>Emergency Rations</t>
  </si>
  <si>
    <t>Exhaust this card during your turn to choose a monster and roll 1 red power die. The chosen monster recovers Heart equal to the Heart rolled.
If that monster has the Wilderness monster trait, it recovers 1 additional Heart.</t>
  </si>
  <si>
    <t>Dive into Cover</t>
  </si>
  <si>
    <t>Exhaust this card after a hero resolves an attack affecting a monster. If that monster was not defeated, it may immediately move 3 spaces.
If that monster has the Wilderness monster trait, it adds 1 additional black die to its defense pool until the start of your next turn.
Place a threat token from the supply on that monster's base as a reminder.</t>
  </si>
  <si>
    <t>Goblin Ambush</t>
  </si>
  <si>
    <t>Exhaust this card when a hero enters an empty space. Perform an attack targeting that hero as if from a master goblin archer. If the total range of this attack is less than 4, it is a miss.
This card does not refresh as normal. Refresh this card at the end of each encounter.</t>
  </si>
  <si>
    <t>Raided Armory</t>
  </si>
  <si>
    <t>Exhaust this card at the start of your turn and choose a monster group. Place this card near that group's Monster card. While this card is exhausted, each monster in that group adds 1 Surge to each of its attack results and 1 Shield to each of its defense results.
If that group has the Wilderness monster trait, each monster in that group gains +1 Heart on each attack.</t>
  </si>
  <si>
    <t>Scavenge</t>
  </si>
  <si>
    <t>Exhaust this card at the start of your turn. While this card is exhausted, each of your monsters gain:
Action: If this monster is in a space containing or adjacent to a knocked-out hero, place 1 threat token from the supply on this card.
No more than 6 threat tokens can be on this card at any time. At the end of the quest, gain all threat tokens on this card.</t>
  </si>
  <si>
    <t>Summon - Splig</t>
  </si>
  <si>
    <t>Exhaust this card after setup of an encounter to choose an open monster group. Replace 1 master monster in the chosen group with the Splig agent.
If the Splig agent is defeated, return this card to your Plot deck.
You cannot use this card in any quest that uses the Splig lieutenant.</t>
  </si>
  <si>
    <t>Hybrid Loyalty</t>
  </si>
  <si>
    <t>Dual Training</t>
  </si>
  <si>
    <t>Exhaust this card when you target a monster with the "Frenzy" Overlord card. During this turn, each monster in the target monster's group gains +1 Heart on each attack.
Exhaust this card when you target a monster with the "Dash" Overlord card. Each other monster in the target monster's group may immediately move 1 space.</t>
  </si>
  <si>
    <t>Fight with Honor</t>
  </si>
  <si>
    <t>Exhaust this card and discard a Trap Overlord card before triggering the ability of another Plot card. Reduce the Plot card's trigger cost by 1 (to a minimum of 0).</t>
  </si>
  <si>
    <t>Cut a Deal</t>
  </si>
  <si>
    <t>Exhaust this card at the end of a quest to add the following Rewards to that quest:
If the heroes win, the overlord gains 1 threat token and the heroes receive 25 gold.
If the overlord wins, he gains 2 threat tokens and the heroes receive 25 gold.</t>
  </si>
  <si>
    <t>Show of Force</t>
  </si>
  <si>
    <t>Exhaust this card when you knock out a hero, before drawing an overlord card or gaining a threat token for knocking out that hero. While this card is exhausted, each time you gain a threat token, you may draw an Overlord card.
This card does not refresh as normal. Refresh this card at the end of each quest.</t>
  </si>
  <si>
    <t>Make our Own Luck</t>
  </si>
  <si>
    <t>Exhaust this card after resolving a "Dark Fortune" Overlord card to change the rerolled die to a result of your choice.</t>
  </si>
  <si>
    <t>End It!</t>
  </si>
  <si>
    <t>Exhaust this card when you play a "Critical Blow" Overlord card to add 1 Surge to the attack results.</t>
  </si>
  <si>
    <t>Bribery</t>
  </si>
  <si>
    <t>Exhaust this card after resolving the effects of a "Dark Charm" Overlord card to return that card to your hand. Immediately play it, targeting a different hero.
This card does not refresh as normal. Refresh this card at the end of each encounter.</t>
  </si>
  <si>
    <t>Resourceful</t>
  </si>
  <si>
    <t>Exhaust this card at the start of your turn instead of drawing an Overlord card. Choose a basic Overlord card in your discard pile and place it on top of your Overlord deck.</t>
  </si>
  <si>
    <t>Hazard Pay</t>
  </si>
  <si>
    <t>Exhaust this card when placing reinforcements. You may spend threat tokens to place 1 additional monster from one of your monster groups that you can reinforce, respecting group limits. Spend threat tokens as follows:
Small monsters cost 1 threat token; Medium Monsters cost 2 threat tokens; Huge monsters cost 3 threat tokens; and Massive monsters cost 4 threat tokens.</t>
  </si>
  <si>
    <t>Summon - Belthir</t>
  </si>
  <si>
    <t>Exhaust this card after setup of an encounter to choose an open monster group. Replace 1 master and 1 minion monster in the chosen group with the Belthir agent.If the Belthir agent is defeated during this encounter, return this card to your Plot deck.You cannot use this card in any quest that uses the Belthir lieutenant.</t>
  </si>
  <si>
    <t>Seeds of Betrayal</t>
  </si>
  <si>
    <t>Sole Purpose</t>
  </si>
  <si>
    <t>Use this card when removing Overlord cards from your deck before a quest to remove additional Overlord cards, creating an Overlord deck with a minimum of 13 Overlord cards instead of 15.</t>
  </si>
  <si>
    <t>Scrying and Plotting</t>
  </si>
  <si>
    <t>Exhaust this card during quest setup. Instead of drawing your starting hand as normal, search your Overlord deck and choose a number of Overlord cards equal to the number of heroes. These cards are your starting hand. Then, shuffle your Overlord deck.</t>
  </si>
  <si>
    <t>Rush of Power</t>
  </si>
  <si>
    <t>Exhaust this card at the start of your turn. At the end of this turn, draw 2 Overlord cards.</t>
  </si>
  <si>
    <t>Two-Pronged Gambit</t>
  </si>
  <si>
    <t>Exhaust this card during setup of the first encounter. Then, place a threat token from the supply beneath this card with either the threat or fortune side faceup. No hero player can know which side is faceup.
Reveal the token at the end of the quest. If the threat side is faceup and the overlord won, gain 3 threat. If the fortune side is faceup and the heroes won, gain 3 threat.</t>
  </si>
  <si>
    <t>Nefarious Power</t>
  </si>
  <si>
    <t>Exhaust this card when a hero performs an attribute test, after dice are rolled, to add 1 Shield to his results.</t>
  </si>
  <si>
    <t>Always Prepared</t>
  </si>
  <si>
    <t>Exhaust this card at the start of your turn and discard up to 2 Overlord cards from your hand. Then, draw Overlord cards equal to the number of discarded cards.</t>
  </si>
  <si>
    <t>False Friends</t>
  </si>
  <si>
    <t>Exhaust this card during setup of the first encounter. While this card is exhausted, reveal 2 fewer Shop Item cards during the next Shopping step of the Campaign phase.
This card does not refresh as normal. Refresh this card after the next Shopping step.</t>
  </si>
  <si>
    <t>Trouble on the Road</t>
  </si>
  <si>
    <t>Exhaust this card after the Travel step of the Campaign phase. Each hero tests one attribute of your choice.
Each hero that tests Might or Knowledge and fails is Stunned.
Each hero that tests Awareness and fails is Diseased.
Each hero that tests Willpower and fails is Poisoned.</t>
  </si>
  <si>
    <t>Meticulous Planning</t>
  </si>
  <si>
    <t>Exhaust this card after a hero draws (and chooses to keep) a Search card to force that hero to place that Search card on the bottom of the deck and draw a new one.</t>
  </si>
  <si>
    <t>Summon - Zachareth</t>
  </si>
  <si>
    <t>Exhaust this card after setup of each encounter to choose an open monster group. Replace 1 master and 1 minion monster in the chosen group with the Baron Zachareth agent.
If the Baron Zachareth agent is defeated, return this card to your Plot deck.
You cannot use this card in The Shadow Rune campaign.</t>
  </si>
  <si>
    <t>The Fallen Elite</t>
  </si>
  <si>
    <t>Armor of Darkness</t>
  </si>
  <si>
    <t>Exhaust this card when a monster is attacked, after dice are rolled, to add 2 Shield to the result.</t>
  </si>
  <si>
    <t>Dark Champions</t>
  </si>
  <si>
    <t>Exhaust this card after the setup of an encounter. While this card is exhausted, each master monsters gains +2 Health and adds 1 additional brown die to its defense pool. Each of its attacks gains:
Surge: +2 Heart
This card does not refresh as normal. Refresh this card at the end of each encounter.</t>
  </si>
  <si>
    <t>Fight in Formation</t>
  </si>
  <si>
    <t>Exhaust this card when a monster is attacked, before dice are rolled. Add 1 Shield to the results for each monster in the monster's group that is adjacent to it (to a maximum of 3 Shield).
If the defending monster does not suffer at least 1 Heart from this attack, gain 1 threat token.</t>
  </si>
  <si>
    <t>Trial of Knighthood</t>
  </si>
  <si>
    <t>Exhaust this card when a master monster performs an attack, before dice are rolled. If this attack defeats a hero that has at least 4 Might, gain 2 threat tokens.
This card does not refresh as normal. Refresh this card at the end of each encounter.</t>
  </si>
  <si>
    <t>Veteran Council</t>
  </si>
  <si>
    <t>Exhaust this card after setup of an encounter. At the end of this encounter, gain 1 threat token for each master monster remaining on the map (to a maximum of 3 threat tokens).
This card does not refresh as normal. Refresh this card at the end of each quest.</t>
  </si>
  <si>
    <t>Knight Training</t>
  </si>
  <si>
    <t>After setup of an encounter, choose a monster group of SMALL monsters and place this card next to the chosen group's Monster card.
Exhaust this card when a monster of the chosen group is attacked, after dice are rolled, to reroll 1 defense die. While this card is exhausted, each time a monster of that group is attacked, after dice are rolled, you ma reroll 1 defense die.</t>
  </si>
  <si>
    <t>Unkillable</t>
  </si>
  <si>
    <t>Exhaust this card when a master monster is defeated. Replace the master monster with a minion monster from the same monster group, respecting group limits.
This card does not refresh as normal. Refresh this card at the end of each encounter.</t>
  </si>
  <si>
    <t>Vengeful Resolve</t>
  </si>
  <si>
    <t>After setup of each encounter, choose a monster group of SMALL monsters and place this card next to the chosen group's Monster card.
Exhaust this card at the end of your turn. While this card is exhausted, each time a hero performs an attack that deals at least 1 Heart to a monster of that group, that hero suffers 1 Heart.</t>
  </si>
  <si>
    <t>Refuse to Die</t>
  </si>
  <si>
    <t xml:space="preserve">
Exhaust this card at the start of your turn to choose a monster. Place a threat token on that monster's base as a reminder. While this card is exhausted, that monster applies +2 to its Health. The monster also recovers 2 Heart at the start of each overlord turn.
This card does not refresh as normal. It refreshes when the chosen monster is defeated or at the end of the encounter.</t>
  </si>
  <si>
    <t>Summon - Alric</t>
  </si>
  <si>
    <t>Exhaust this card after setup of an encounter to choose an open monster group. Replace 1 master monster and 1 minion monster in the chosen group with the Sir Alric Farrow agent.
If the Sir Alric Farrow agent is defeated, return this card to the Plot deck.
You cannot use this card in any quest that uses the Sir Alric Farrow lieutenant.</t>
  </si>
  <si>
    <t>Cursed by Power</t>
  </si>
  <si>
    <t>Dark Pact</t>
  </si>
  <si>
    <t>After setup of the first encounter of each quest, the hero players choose a hero and place that hero's hero token on this card.
When the chosen hero suffers any amount of Heart, he may exhaust this card to reduce amount of Heart suffered by up to 2. If he does, you gain 1 threat token.
At the end of each quest, discard the hero token from this card</t>
  </si>
  <si>
    <t>Greater Power</t>
  </si>
  <si>
    <t>Exhaust this card when a monster performs and attack, after dice are rolled, to discard the top card from your Overlord deck. This attack gains +2 Heart. If the discarded card was a Magic Overlord card, this attack gains +3 Heart instead.</t>
  </si>
  <si>
    <t>Masques</t>
  </si>
  <si>
    <t>Exhaust this card when a hero performs and attack, before dice are rolled. If you do, the attack is a miss.
This card does not refresh as normal. Refresh the card at the end of each quest.</t>
  </si>
  <si>
    <t>The Dark Mark</t>
  </si>
  <si>
    <t>After setup of the first encounter of each quest, the hero players choos a hero and place that hero's hero token on this card.
Exhaust this card when a hero suffers at least 1 Heart. That hero suffers no Heart and the hero whose hero token is in this card suffers 2 Heart instead.
At the end of each quest, discard the hero token from this card.</t>
  </si>
  <si>
    <t>The Grasping Grave</t>
  </si>
  <si>
    <t>Exhaust this card when a hero performs a stand-up action or is revived by another hero. That hero rolls 1 red power die instead of 2.</t>
  </si>
  <si>
    <t>Bolt from the Blue</t>
  </si>
  <si>
    <t>Exhaust this card during your turn to choose a hero. Perform and attack targeting the chosen hero using the following dice:
Template:RangedTemplate:BlueTemplate:Yellow
If the total range of the attack is less than 4, it is a miss. This attack gains:
Surge: +2 Range
Surge +2 Heart</t>
  </si>
  <si>
    <t>Mystic Might</t>
  </si>
  <si>
    <t>Use this card after you play a Magic Overlord Card. Place 1 Fatigue token on this card.
You may discard 1 Fatigue token from this card, after dice are rolled, to either gain +2 Heart for an attack or +2 Shield to a defense result.
At the end of each quest, discard all Fatigue tokens from this card.</t>
  </si>
  <si>
    <t>Thaumaturgy</t>
  </si>
  <si>
    <t>Exhaust this card at the end of your turn and discard a Magic Overlord card from your hand to search your discard pile for a Magic Overlord card of your choice. Reveal that card and place it in your hand.</t>
  </si>
  <si>
    <t>Cabal</t>
  </si>
  <si>
    <t>Exhaust this card after setup of an encounter to choose a monster group and place this card near that group's Monster card. Each master monster in that group gains:
Surge Overseer: This monster deals +1 Heart for each other monster in its group within 3 spaces of the target (to a maximum of +4 Heart).</t>
  </si>
  <si>
    <t>Summon - Merick</t>
  </si>
  <si>
    <t>Exhaust this card after setup of an encounter to choose an open monster group. Replace 1 master monster in that group with the Lord Merick Farrow agent.
If the Lord Merick Farrow agent is defeated, return this card to your Plot deck.
You cannot use this card in any quest that uses the Lord Merick Farrow lieutenant</t>
  </si>
  <si>
    <t>Endless Thirst</t>
  </si>
  <si>
    <t>Bloodline</t>
  </si>
  <si>
    <t>Exhaust this card during your turn to choose two monsters. One monster suffers 2 Heart and the other monster recovers 1 Heart. If both monsters have the Dark monster trait, the monster suffering Heart suffers 1 fewer Heart.</t>
  </si>
  <si>
    <t>Bad Dreams</t>
  </si>
  <si>
    <t>Exhaust this card at the end of the Travel step of the Campaign phase. Each hero tests Willpower. Each hero who fails suffers 2 Fatigue</t>
  </si>
  <si>
    <t>Night's Embrace</t>
  </si>
  <si>
    <t>Use this card after setup of an Encounter to choose one of your monster groups. During this encounter, that monster group gains the Dark monster trait.
Place a thread token from the supply on that group's Monster card as a reminder.</t>
  </si>
  <si>
    <t>Fangs in the Dark</t>
  </si>
  <si>
    <t>Exhaust this card when a monster deals at least 1 Heart from an attack. That monster recovers 2 Heart.
If that monster has the Dark monster trait, it recovers an additional 1 Heart.</t>
  </si>
  <si>
    <t>The Power of Blood</t>
  </si>
  <si>
    <t>Exhaust this card when a SMALL monster declares a move action. Move that monster 1 space.
While this card is exhausted, if that monster has the Dark monster trait, it gains +1 Heart on each attack.</t>
  </si>
  <si>
    <t>Nighttime Hunt</t>
  </si>
  <si>
    <t>Exhaust this card when a monster with the Dark monster trait performs an attack, before dice are rolled, to add 1 additional yellow power die to its attack pool.
Exhaust this card when a monster with the Dark monster trait is attacked, before dice are rolled, to add 1 additional black die to its defense pool.</t>
  </si>
  <si>
    <t>Scent of Blood</t>
  </si>
  <si>
    <t>Exhaust this card when a monster attacks a hero that has 6 or more damage tokens on his Hero sheet, before dice are rolled. This attack gains:
Surge: +3 Heart
If the monster has the Dark monster trait, you may reroll the attack die once during this attack.</t>
  </si>
  <si>
    <t>The Taste of Suffering</t>
  </si>
  <si>
    <t>Exhaust this card when a monster knocks out a hero. Mark that monster by placing 1 threat token from the supply on its base. If it has the Dark monster trait, you may immediately move it up to its Speed.
Each marked monster applies +1 to its Health per hero.</t>
  </si>
  <si>
    <t>Summon - Eliza</t>
  </si>
  <si>
    <t>Exhaust this card after setup of an encounter to choose an open monster group. Replace 1 master monster in that group with the Lady Eliza Farrow agent.
If the Lady Eliza Farrow agent is defeated, return this card to your Plot deck.
You cannot use this card in any quest that uses the Lady Eliza Farrow lieutenant.</t>
  </si>
  <si>
    <t>The Lady's Care</t>
  </si>
  <si>
    <t>Exhaust this card during your turn to choose a monster and roll 1 red power die. The chosen monster recovers Heart equal to the Heart rolled.
If the chosen monster has the Dark monster trait, each other monster in its group recovers 1 Heart.</t>
  </si>
  <si>
    <t>Dragon's Greed</t>
  </si>
  <si>
    <t>Mine All Mine</t>
  </si>
  <si>
    <t>At the end of each encounter, place a number of threat tokens on this card equal to the number of search tokens remaining on the map.
You may return this card to the game box at the end of any quest to gain all threat tokens on this card. If you do not do this, discard all threat tokens on this card.</t>
  </si>
  <si>
    <t>Terrifying Presence</t>
  </si>
  <si>
    <t>Exhaust this card at the start of your turn. While this card is exhausted, each hero within 3 spaces of a HUGE or MASSIVE monster applies -1 to his Might, Willpower, Knowledge, and Awareness, (to a minimum of 1).</t>
  </si>
  <si>
    <t>Iron-Hard Scales</t>
  </si>
  <si>
    <t>Exhaust this card when a monster is attacked, before dice are rolled, to add 2 Shield to the result. If you roll one or more blanks, add an additional 1 Shield to the results.</t>
  </si>
  <si>
    <t>Jealous Rage</t>
  </si>
  <si>
    <t>Exhaust this card when a hero declares a search action to choose a monster within 5 spaces of that hero. Remove that monster from the map and place it in an empty space adjacent to that hero. Then, that monster immediately performs an attack targeting that hero. After resolving this attack, if the hero was not defeated, he may continue his turn.</t>
  </si>
  <si>
    <t>Massive Bulk</t>
  </si>
  <si>
    <t>Exhaust this card when a HUGE or MASSIVE monster ends or interrupts its movement. You can place that monster's base in spaces occupied by heroes. Move each hero in the occupied spaces to the closest empty space. The HUGE or MASSIVE monster suffers 1 Heart for each hero it moves.</t>
  </si>
  <si>
    <t>Punish the Weak</t>
  </si>
  <si>
    <t>Exhaust this card at the start of your turn. While this card is exhausted, each of your monsters gain:
Surge Crush: This monster deals +1 Heart for each space its base occupies that exceeds the targets hero's Might</t>
  </si>
  <si>
    <t>Aurium Plating</t>
  </si>
  <si>
    <t>Exhaust this card after setup of an encounter to choose a HUGE or MASSIVE monster group. Place this card near that group's Monster card.
Each monster in that group applies +2 to its Health and is immune to Pierce.
This card does not refresh as normal. Refresh this card at the start of each encounter.</t>
  </si>
  <si>
    <t>Valyndra's Shadow</t>
  </si>
  <si>
    <t>Exhaust this card at the end of your turn to choose a hero. Mark him with a threat token from the supply. At the start of your next turn, perform an attack targeting the marked hero as if from the Valyndra agent.
You cannot use this card in any quest that uses the Valyndra lieutenant or the Valyndra agent.
This card does not refresh as normal. Refresh this card at the end of each quest.</t>
  </si>
  <si>
    <t>Guardians of the Hoard</t>
  </si>
  <si>
    <t>Use this card after setup of an encounter to place any number of your threat tokens on this card. Threat tokens on this card cannot be spent during this encounter. Return all threat tokens from this card to your play area at the end of each encounter.
If there are more threat tokens on this card than there are HUGE or MASSIVE monsters on the map, each HUGE and MASSIVE monster gains gain +1 Heart on each attack.</t>
  </si>
  <si>
    <t>Summon - Valyndra</t>
  </si>
  <si>
    <t>Exhaust this card after setup of an encounter to choose an open monster group. Replace 1 master and 2 minion monsters in the chosen group with the Valyndra agent.
If the Valyndra agent is defeated, return this card to your Plot deck.
You cannot use this card in any quest that uses the Valyndra lieutenant.</t>
  </si>
  <si>
    <t>Raging Infection</t>
  </si>
  <si>
    <t>Plague Release</t>
  </si>
  <si>
    <t>Exhaust this card when a hero who is Poisoned or Diseased is defeated.
If that hero was Poisoned, each hero within 3 spaces test Might. Each hero who fails is Poisoned.
If that hero was Diseased, each hero within 3 spaces test Willpower. Each hero who fails is Diseased.</t>
  </si>
  <si>
    <t>Infected</t>
  </si>
  <si>
    <t>Exhaust this card after setup of an encounter to choose one of your monster groups, and place this card near that group's Monster card.
While this card is exhausted, each master monster in that group gains:
Surge: Disease
This card does not refresh as normal. Refresh this card at the end of each encounter.</t>
  </si>
  <si>
    <t>Envenom</t>
  </si>
  <si>
    <t>Exhaust this card after setup of an encounter to choose one of your monster groups, and place this card near that group's Monster card.
While this card is exhausted, each master monster in that group gains:
Surge: Poison
This card does not refresh as normal. Refresh this card at the end of each encounter.</t>
  </si>
  <si>
    <t>Mass Mutation</t>
  </si>
  <si>
    <t>Exhaust this card at the start of your turn. Each hero discards all Condition cards from his play area. For each Condition card discarded, gain 1 threat token (to a maximum of 4).
This card does not refresh as normal. Refresh this card at the end of each quest</t>
  </si>
  <si>
    <t>Affliction Aura</t>
  </si>
  <si>
    <t>Use this card after setup of an encounter to choose a monster. Each hero that starts his turn within 5 spaces of monster is Diseased.
Place a threat token on the monster's base as a reminder.</t>
  </si>
  <si>
    <t>Fetid Stench</t>
  </si>
  <si>
    <t>Exhaust this card when a hero passes an attribute test from a Poisoned or Diseased Condition card. That hero fails the test instead.</t>
  </si>
  <si>
    <t>Weakness Within</t>
  </si>
  <si>
    <t>Exhaust this card when a hero is defeated to mark that hero with a threat token from the supply. Each marked hero applies -1 to his Willpower (to a minimum of 1) while he is Diseased and -1 to his Might (to a minimum of 1) while he is Poisoned.
Discard all threat tokens on heroes at the end of the quest.</t>
  </si>
  <si>
    <t>Weakened Spirit</t>
  </si>
  <si>
    <t>Exhaust this card when a hero is defeated to mark that hero with a threat token from the supply. Each marked hero applies -1 to his (to a minimum of 1) while he is Diseased and -1 to his (to a minimum of 1) while he is Poisoned. Discard all threat tokens on heroes at the end of the quest.</t>
  </si>
  <si>
    <t>Virulent Cloud</t>
  </si>
  <si>
    <t>Exhaust this card during your turn. Each hero with the Poisoned condition suffers 1 Heart and each hero with the Diseased condition suffers 1 Fatigue.
This card does not refresh as normal. Refresh this card at the end of each encounter.</t>
  </si>
  <si>
    <t>Summon - Bol'Goreth</t>
  </si>
  <si>
    <t>Exhaust this card after setup of an encounter to choose an open monster group. Replace 1 master and 2 minion monsters in the chosen group with the Bol'Goreth agent.
If the Bol'Goreth agent is defeated, return this card to the Plot deck.
You cannot use this card in a quest that uses the Bol'Goreth lieutenant</t>
  </si>
  <si>
    <t>Dark Illusions</t>
  </si>
  <si>
    <t>Misdirection</t>
  </si>
  <si>
    <t>Exhaust this card when a monster performs an attack that is a miss. Reroll the attack die.
If that monster has the Cursed monster trait, you may also reroll 1 power die.
If that attack deals at least 1 Heart (after the defense roll), the monster that performed the attack may move 1 space.</t>
  </si>
  <si>
    <t>Tainted Blood</t>
  </si>
  <si>
    <t>Use this card after setup of an encounter to choose one of your monster groups. During this encounter, that monster group gains the Cursed monster trait.
Place 1 threat token from the supply on that group's Monster card as a reminder.</t>
  </si>
  <si>
    <t>Intricate Schemes</t>
  </si>
  <si>
    <t>During the Choose Next Quest step of the Campaign Phase, each time you would choose the next quest to be played, you may force the heroes to choose which quest will be played next. If you do, gain 3 threat tokens.</t>
  </si>
  <si>
    <t>Malediction</t>
  </si>
  <si>
    <t>Exhaust this card at the end of your turn. While this card is exhausted, each attack that targets a monster with the Cursed monster trait gains +1 Heart. After resolving each of these attacks, the attacking hero suffers 1 Heart and 1 Fatigue.</t>
  </si>
  <si>
    <t>Mirage</t>
  </si>
  <si>
    <t>Exhaust this card when a hero resolves an attack that does not deal at least 1 Heart (after the defense roll). Remove 1 monster affected by this attack from the map and place it in an empty space within 3 spaces of its original space.
If that monster has the Cursed monster trait, the attacking hero suffers 1 Fatigue.</t>
  </si>
  <si>
    <t>Enthrall</t>
  </si>
  <si>
    <t>Exhaust this card at the start of your turn to choose 1 monster. Each hero in that monster's line of sight tests Willpower. If that monster has the Cursed monster trait, add 1 Shield to the results of each test. You may move each hero who fails 2 spaces.</t>
  </si>
  <si>
    <t>Phantasm</t>
  </si>
  <si>
    <t>Exhaust this card when a hero attacks a master monster with the Cursed monster trait, before dice are rolled. While this card is exhausted, each attack that targets that monster must roll 3 range in addition to any other range requirements, or the attack is a miss.</t>
  </si>
  <si>
    <t>Darkness Falls</t>
  </si>
  <si>
    <t>Exhaust this card at the start of your turn. Until the start of your next turn, line of sight for Ranged attacks can only be measured up to a range of 2. Monsters with the Cursed monster trait, lieutenants, and agents are not affected by this card.
This card does not refresh as normal. Refresh this card at the start of each encounter.</t>
  </si>
  <si>
    <t>The Ritual Continues</t>
  </si>
  <si>
    <t>At the start of each encounter, place fatigue tokens on this card equal to the number of heroes. Each of your master monsters gains:
Action: Discard 1 fatigue token from "The Ritual Continues."
At the end of each encounter, if there are no fatigue tokens on this card, gain 2 threat tokens. Then, discard all tokens from this card.</t>
  </si>
  <si>
    <t>Summon - Ariad</t>
  </si>
  <si>
    <t>Exhaust this card after setup of an encounter to choose an open monster group. Replace 1 master and 1 minion monster in that group with the Ariad agent.
If the Ariad agent is defeated, return this card to your Plot deck.
You cannot use this card in any quest that uses the Ariad or Queen Ariad lieutenant.</t>
  </si>
  <si>
    <t>Tangled Web</t>
  </si>
  <si>
    <t>Embrace Darkness</t>
  </si>
  <si>
    <t>Exhaust this card during your turn. Gain 1 threat token for each knocked-out hero. This card does not refresh as normal. Refresh this card at the end of each encounter.</t>
  </si>
  <si>
    <t>Entangling Weave</t>
  </si>
  <si>
    <t>Exhaust this card at the end of your turn to choose a monster group and place this card near that group's Monster card. While this card is exhausted, each hero must spend 1 additional movement point to enter a space adjacent to at least 1 monster in that group.</t>
  </si>
  <si>
    <t>Hidden Predator</t>
  </si>
  <si>
    <t>Exhaust this card after setup of an encounter. While this card is exhausted, each monster with the Wilderness monster trait gains:
Ambush: Each time this monster performs an attack that targets a hero that did not have line of sight to this monster at the start of its activation, that attack gains Pierce 2.
This card does not refresh as normal. Refresh this card at the end of each encounter.</t>
  </si>
  <si>
    <t>Natural Camouflage</t>
  </si>
  <si>
    <t>At the start of an encounter, exhaust this card. While this card is exhausted, each time a monster with the Wilderness monster trait rolls at least 1 blank when rolling defense dice, add 1 Shield to the results for each blank rolled.
This card does not refresh as normal. Refresh this card at the end of each encounter.</t>
  </si>
  <si>
    <t>Savage Exploitation</t>
  </si>
  <si>
    <t>Exhaust this card when you resolve a Trap card played on a hero during his turn. Choose 1 monster with the Wilderness monster trait. That monster may immediately perform an attack targeting that hero. After this attack is resolved, the active player resumes his turn.</t>
  </si>
  <si>
    <t>Solitary Prey</t>
  </si>
  <si>
    <t>Exhaust this card when a monster performs an attack that targets a hero who is not adjacent to any other hero, before dice are rolled. This attack gains +2 Heart.
Additionally, if the monster has the Wilderness monster trait, this attack gains Pierce 1.</t>
  </si>
  <si>
    <t>Summon - Queen Ariad</t>
  </si>
  <si>
    <t>Exhaust this card after setup of an encounter to choose an open monster group. Replace that group with the Queen Ariad agent.
If the Queen Ariad agent is defeated, return this card to your Plot deck.
You cannot use this card in the "Labyrinth of Ruin" campaign.</t>
  </si>
  <si>
    <t>Unsafe Passage</t>
  </si>
  <si>
    <t>Exhaust this card after resolving a Trap card to return that card to your hand.
This card does not refresh as normal. Refresh this card at the end of each encounter.</t>
  </si>
  <si>
    <t>Web of Deception</t>
  </si>
  <si>
    <t>Exhaust this card when a hero gains a Condition card. Replace that card with a different Condition card of your choice.</t>
  </si>
  <si>
    <t>Skullduggery</t>
  </si>
  <si>
    <t>Petty Theft - Starting card</t>
  </si>
  <si>
    <t>Exhaust this card at the start of your turn. While this card is exhausted, each of your monster gain the following abilities:
This monster may spend 2 movement points to reveal 1 adjacent search token. If it is not a unique search token, please it on this monster's base. While a search token is on this monster's base, the token cannot be searched by any hero.
If this monster is defeated or leaves the map for any reason, place any search tokens on its base on the space last occupied by the monster.</t>
  </si>
  <si>
    <t>Cursed Treasure</t>
  </si>
  <si>
    <t>Exhaust this card when a hero within 3 spaces of a monster searches a search token. You may place 1 threat token on this card.
This card cannot hold more than 4 threat tokens at any time. At the end of the quest gain all threat tokens on this card.</t>
  </si>
  <si>
    <t>Concealment</t>
  </si>
  <si>
    <t xml:space="preserve">
Exhaust this card when you activate a monster with a least 1 search token on its base. Look at the top 2 cards of the Search deck. Place 1 card on the top of the Search deck and 1 card on the bottom.
This card does not refresh as normal. Refresh this card at the end of each quest, or spend 1 threat token at the start of your turn to refresh it.</t>
  </si>
  <si>
    <t>Slippery</t>
  </si>
  <si>
    <t>Exhaust this card when you activate a monster. That monster may move into spaces occupied by enemy figures at a cost of 1 additional movement point per space. The monster must end its movement in an empty space following normal movement rules.
If that monster has at least 1 search token on its base, refresh this card at the end of that monster's activation.</t>
  </si>
  <si>
    <t>Distraction</t>
  </si>
  <si>
    <t xml:space="preserve">
Exhaust this card when a hero declared an attack targeting a monster with at least 1 search token on its base. Remove 1 search token from that monster's base and place it in a space adjacent to the hero performing the attack. That hero immediatly searches tat search token instead of performing the attack. Then, he is Stunned, and you may move the monster up to 2 spaces.</t>
  </si>
  <si>
    <t>Bait and Switch</t>
  </si>
  <si>
    <t>Exhaust this card when a hero enters an empty space adjacent to a search token. Choose 1 SMALL monster within 5 spaces of that search token. The chosen monster and that search token trade spaces. Then, that monster may immediately perform an attack targeting that hero. After this attack is resolved, the active player resumes their turn.</t>
  </si>
  <si>
    <t>Covetous</t>
  </si>
  <si>
    <t xml:space="preserve">
Exhaust this card when a hero draws a Search card. While this card is exhausted, add 1 Surge to the results of each attack that targets a hero with a least 1 faceup Search card in his play area.
This card does not refresh as normal. Refresh this card at the end of your turn.</t>
  </si>
  <si>
    <t>Foiled Again</t>
  </si>
  <si>
    <t>Exhaust this card after a hero draws (and chooses to keep) a Search card. Set that Search card aside and that hero draws another Search card. Then return the Search card that was set aside to the top of the Search deck.</t>
  </si>
  <si>
    <t>Guarded Treasure</t>
  </si>
  <si>
    <t>Each monster with at least 1 search token on its base adds 1 Shield to its defense results.
At the end of each encounter, if there is at least 1 monster with a search token on its base, gain 1 threat token.</t>
  </si>
  <si>
    <t>Summon - Raythen</t>
  </si>
  <si>
    <t>Exhaust this card after setup of an encounter to choose an open monster group. Replace 1 master in that group with the Raythen agent.
If the Raythen agent is defeated, return this card to the Plot deck.
You cannot use this card in any quest that uses the Raythen lieutenant.</t>
  </si>
  <si>
    <t>Silent Protector</t>
  </si>
  <si>
    <t>Brethren</t>
  </si>
  <si>
    <t xml:space="preserve">
Exhaust this card when you activate a monster group with the Civilized monster trait. Choose 2 monsters in that group. The first monster performa 1 less action this turn, and the second monster may perform 1 additional action this turn.</t>
  </si>
  <si>
    <t>Diplomatic</t>
  </si>
  <si>
    <t>Use this card after setup of an encounter to choose one of your monster groups. During this encounter, that group gains the Civilized monster trait.
Place 1 threat token from the supply on that group's Monster card as a reminder.</t>
  </si>
  <si>
    <t>Curative Spirit</t>
  </si>
  <si>
    <t>Exhaust this card at the start of your turn. While this card is exhausted each master monster with the Civilized monster trait gains:
Action: Perform an attack. If this attack deals at least 1 Heart (after the defense roll), this monster and 1 monster within 3 spaces of this moster each recover 2 Heart.</t>
  </si>
  <si>
    <t>Traveler's Rest</t>
  </si>
  <si>
    <t>Exhaust this card at the end of your turn. While this card is exhausted, heroes cannot suffer Fatigue to gain movement points.</t>
  </si>
  <si>
    <t>Pity the Weak</t>
  </si>
  <si>
    <t>Exhaust this card when a hero performs an attack targeting a monster that has at least 1 Heart token, before dice are rolled. The hero suffers 1 Fatigue and tests Willpower. If he fails, he removes 1 Surge from the attack results.
After the attack is resolved, if that monster has the Civilized monster trait and was not defeated, the monster may move 2 spaces.</t>
  </si>
  <si>
    <t>Pacify</t>
  </si>
  <si>
    <t xml:space="preserve">
Exhaust this card when a monster performs an attack that targets a hero, before dice are rolled.
If that attack is not a miss, that hero is Stunned.</t>
  </si>
  <si>
    <t>Shared Burdens</t>
  </si>
  <si>
    <t>Exhaust this card when a monster suffers at least 2 Heart to reduce the amount of Heart that monster suffers to a minimum of 1 Heart. Then, all monsters in that monster's group suffer an amount of Heart equal to the amount by which you reduced the first monster's Heart, divided any way you choose between those monster.</t>
  </si>
  <si>
    <t>Power in Mourning</t>
  </si>
  <si>
    <t>Exhaust this card when a master monster is defeated. You may place 2 threat tokens on this card.
This card cannot hold more than 8 threat tokens at any time. At the end of the quest, gain all threat tokens on this card.</t>
  </si>
  <si>
    <t>Oath of Silence</t>
  </si>
  <si>
    <t>Exhaust this card after setup of an encounter to choose a monster. While this card is exhausted, that monster cannot perfom any actions except for move actions. At the end of each of your turns, each monster within 3 spaces of that monster recovers 2 Heart. Place 1 threat token from the supply on that monster's base as a reminder.
This card does not refresh as normal. Refresh this card at the end of each encounter.</t>
  </si>
  <si>
    <t>Summon - Serena</t>
  </si>
  <si>
    <t>Exhaust this card after setup of an encounter to choose an open monster group. Replace 1 master monster in that group with the Serena Agent.
If the Serena agent is defeated, return this card to your Plot deck.
You cannot use this card in any quest that uses the Serena lieutenant, ally, or hero.</t>
  </si>
  <si>
    <t>Inner Corruption</t>
  </si>
  <si>
    <t>One of Us</t>
  </si>
  <si>
    <t>Exhaust this card when a hero tests Willpower and fails. Immediately move that hero up to his Speed. Then, perform an attack with that hero as if he were 1 of your monsters.
This card does not refresh as normal. Refresh this card at the end of each encounter.</t>
  </si>
  <si>
    <t>Thieve's Guild</t>
  </si>
  <si>
    <t>Exhaust this card after setup of an encounter to look at the top 3 cards of the Search deck. Place 2 of those cards on top of the Search deck in the order of your choice and place the remaining card on the bottom of the Search deck.</t>
  </si>
  <si>
    <t>Mages' Guild</t>
  </si>
  <si>
    <t>Exhaust this card at the end of your turn. Each hero tests Knowledge. Each hero who fails suffers 1 Fatigue. If 2 or more heroes fail, draw 1 Overlord card. If 3 or more heroes fail, 1 of those heroes is Stunned, your choice. If 4 or more heroes fail, gain 1 threat token.
This card does not refresh as normal. Refresh this card at the end of each encounter.</t>
  </si>
  <si>
    <t>Merchants' Guild</t>
  </si>
  <si>
    <t>Exhaust this card during the Shopping step of the Campaign phase, after revealing the Shop Item cards, and discard 1 threat token to choose 1 Shop Item card. That card costs an additional 50 gold to purchase.</t>
  </si>
  <si>
    <t>Shadow Council</t>
  </si>
  <si>
    <t>Exhaust this card after setup of the first encounter of each quest and place up to 3 Overlord cards from your hand facedown under this card. Gain 1 threat token for each card placed under this card. While this card is exhausted, you cannot use cards under this card. When you refresh this card, discard all cards under this card.
This card does not refresh as normal. Refresh this card at the end of the first encounter.</t>
  </si>
  <si>
    <t>Friend or Foe</t>
  </si>
  <si>
    <t>Exhaust this card at the end of your turn and choose 1 monster. Until the start of your next turn, a hero cannot declare that monster as the target of an attack if there is another monster within 3 spaces of that monster.
Place 1 threat token from the supply on that monster's base as a reminder.
This card does not refresh as normal. Refresh this card at the end of each quest.</t>
  </si>
  <si>
    <t>Deceitful Scribe</t>
  </si>
  <si>
    <t>Use this card during the Spend Experience Points step of the Campaign phase. You receive 1 XP. Then return this card to the game box.</t>
  </si>
  <si>
    <t>Traitorous Friend</t>
  </si>
  <si>
    <t>Exhaust this card when a hero starts his turn. That hero tests Willpower. If he fails, he suffers Fatigue equal to his Willpower. If he passes, gain 2 threat tokens.
This card does not refresh as normal. Refresh this card at the end of each encounter.</t>
  </si>
  <si>
    <t>False Information</t>
  </si>
  <si>
    <t>Используй эту карту в конце путешествия. Герои выбирают одного героя и он должен проверить глазик. если онн ее провалит, то герои должны вернуться в локаю с которой начинали свое путешествие и пройти весь путь еще раз</t>
  </si>
  <si>
    <t>Summon - Rylan</t>
  </si>
  <si>
    <t>Exhaust this card after setup of an encounter to choose 1 open monster group. Replace 1 master and 1 minion monster in that group with the Rylan Olliven agent.
If the Rylan Olliven agent is defeated, return this card to your Plot deck.
You cannot use this card in the "Shadow of Nerekhall" campaign.</t>
  </si>
  <si>
    <t>Unstable Forces</t>
  </si>
  <si>
    <t>Wild Energy</t>
  </si>
  <si>
    <t>Exhaust this card when a master monster performs an attack, before dice are rolled, to add 1 Surge to the attack results. When you exhaust this card, you may discard 1 threat token.
After resolving that attack, if you did not discard 1 threat token and that attack did not deal 1 or more Heart, discard 1 threat token and the monster that attacked is defeated.</t>
  </si>
  <si>
    <t>Pariah</t>
  </si>
  <si>
    <t>Exhaust this card during your turn and choose 1 monster group. Place this card near that group's Monster card. While this card is exhausted, you may activate 1 master monster of the chosen group during any other monster group's activation instead of the chosen group's activation.</t>
  </si>
  <si>
    <t>Power and Sacrifice</t>
  </si>
  <si>
    <t>Exhaust this card when a master monster performs an attack, before dice are rolled. That monster may suffer up to 2 Heart. If it does, the attack deals additional Heart equal to the Heart suffered. That monster cannot do this if suffering the Heart would defeat it.</t>
  </si>
  <si>
    <t>Explosive Fall</t>
  </si>
  <si>
    <t>Exhaust this card when a monster is defeated. Each figure within 3 spaces of that monster suffers 2 Heart</t>
  </si>
  <si>
    <t>Mortal Coil</t>
  </si>
  <si>
    <t>Exhaust this card when a master monster is defeated to place 1 fatigue token in its space. At the start of your next turn, replace the fatigue token with a master monster in the same group as the defeated monster, respecting group limits.
This card does not refresh as normal. Refresh this card at the end of each quest.</t>
  </si>
  <si>
    <t>Descend into Madness</t>
  </si>
  <si>
    <t>Exhaust this card at the end of your turn. Each hero tests Knowledge or Willpower, your choice, in an order of your choice. Each time a hero fails, gain 1 threat token. If a hero passes, all heroes after that hero do not test.
This card does not refresh as normal. Refresh this card at the end of each encounter.</t>
  </si>
  <si>
    <t>Onslaught</t>
  </si>
  <si>
    <t>Exhaust this card at the start of your turn and choose 1 monster group. Place this card near the chosen group's Monster card. While this card is exhausted, each monster in the chosen group gains:
Ravage: Both of this monster's actions on a turn may be attack actions.</t>
  </si>
  <si>
    <t>Love of Chaos</t>
  </si>
  <si>
    <t>Exhaust this card during your turn and choose 1 master monster on the map. That monster is immediately defeated, and you gain 2 threat tokens. If that monster is a large monster, you gain 1 additional threat token.
This card does not refresh as normal. Refresh this card at the end of each encounter.</t>
  </si>
  <si>
    <t>Soul Ensnare</t>
  </si>
  <si>
    <t xml:space="preserve">
Exhaust this card at the end of your turn. While this card is exhausted, each time a knocked-out hero recovers 1 or more Heart, each hero within 3 spaces of that hero suffers 1 Heart.</t>
  </si>
  <si>
    <t>Summon - Tristayne</t>
  </si>
  <si>
    <t>Exhaust this card after setup of an encounter to choose 1 open monster group. Replace 1 master and 1 minion monster in that group with the Tristayne Olliven agent.
If the Tristayne Olliven agent is defeated, return this card to your Plot deck.
You cannot use this card in the "Shadow of Nerekhall" campaign.</t>
  </si>
  <si>
    <t>Unseen Legions</t>
  </si>
  <si>
    <t>Mouths to Feed</t>
  </si>
  <si>
    <t>Exhaust this card when a monster with 4 or less Health defeats a hero. Gain 1 threat token.
This card does not refresh as normal. Refresh this card at the end of each encounter.
After transitioning to Act II, Plot cards that require monster with 4 or less Health require monster with 6 or less Health instead (even while this card is exhausted).</t>
  </si>
  <si>
    <t>Into the Shadow</t>
  </si>
  <si>
    <t>Use this card when you activate a monster with 4 or less Health. Instead of performing actions, remove that monster from the map and place it on the card. Each monster on this card still counts toward the group limit of its monster group.
When a hero declares a rest action, you must place each monster on this card in an empty space adjacent to that hero. Then, each of those monsters may perform an attack that targets that hero.</t>
  </si>
  <si>
    <t>In Every Shadow</t>
  </si>
  <si>
    <t>Exhaust this card and discard 1 Trap Overlord card from your hand when a hero declares an open door or search action. That hero test Awareness. If he fails, perform an attack that targets that hero with 1 monster with 4 or less Health that is on the map, ignoring range and line of sight.</t>
  </si>
  <si>
    <t>Infestation</t>
  </si>
  <si>
    <t>Exhaust this card when you place a monster as a reinforcement. Place 1 minion monster with 4 or less Health from the same monster group in an empty space adjacent to that monster respecting group limits.</t>
  </si>
  <si>
    <t>Ignoble Sacrifice</t>
  </si>
  <si>
    <t>Use this card when more than 1 monster in a monster group is affected by an attack. Before damage is dealt, choose 1 monster affected by that attack. That monster suffers all damage all other monsters in its group would suffer from that attack.</t>
  </si>
  <si>
    <t>Envious Swarm</t>
  </si>
  <si>
    <t>Exhaust this card at the start of your turn. While this card is exhausted, each monster with 4 or less Health gains:
Action: Perform an attack that targets 1 hero with 1 or more Relic cards equipped. This attack gains +1 Heart.</t>
  </si>
  <si>
    <t>Initiation</t>
  </si>
  <si>
    <t>Use this card when a minion monster with 4 or less Health knocks out a hero. Until that monster is defeated, it uses the characteristics, abilities, and diece of the master monster (not including an agent) in its group. Place 1 threat token on that monster's base as a reminder.</t>
  </si>
  <si>
    <t>Always Watching</t>
  </si>
  <si>
    <t>Exhaust this card at the start of an encounter. While this card is exhausted, at the start of each overlord turn, you may look at the top card of the Overlord deck. Then, placethat card on the top or bottom of the Overlord deck.
This card does not refresh as normal. Refresh this card at the end of each quest.</t>
  </si>
  <si>
    <t>Flee the Light</t>
  </si>
  <si>
    <t>Exhaust this card at the end of your turn. Until the start of your next turn, each monster with 4 or less Health gains:
Skittish: Each time a hero within 3 spaces of this figure suffers 1 Fatigue to gain 1 movement point, this monster may move 1 space.
This card does not refresh as normal. Refresh this card at the end of each encounter.</t>
  </si>
  <si>
    <t>Summon - Verminous</t>
  </si>
  <si>
    <t>Exhaust this card after setup of an encounter to choose 1 open monster group. Replace 1 master monster in that group with the Verminous agent.
If the Verminous agent is defeated, return this card to your Plot deck.
You cannot use this card in any quest that uses the Verminous lieutenant.</t>
  </si>
  <si>
    <t>Twisted Soul</t>
  </si>
  <si>
    <t>What Doesn't Kill You</t>
  </si>
  <si>
    <t>Exhaust this card when a monster suffers 1 or more Heart. If that monster was not defeated, it recovers 1 Heart. Mark that monster with a threat token from the supply. Each marked monster adds 1 brown die to its defense pool.</t>
  </si>
  <si>
    <t>Possessive Nature</t>
  </si>
  <si>
    <t>Use this card when you exhaust the "Summon Skarn" Plot card. Gain threat tokens equal to the number of relics in the play areas of heroes and overlord. Then, return this card to the game box.</t>
  </si>
  <si>
    <t>Bitter Rage</t>
  </si>
  <si>
    <t>Exhaust this card at the start of your turn. While this card is exhausted, each time a monster marked with a threat token performs an attack, that attack gains +2 Heart.
This card does not refresh as normal. Refresh this card at the end of each quest.</t>
  </si>
  <si>
    <t>Desolation</t>
  </si>
  <si>
    <t>Exhaust this card at the start of your turn. While this card is exhausted, each time a hero suffers 1 or more Fatigue, that hero suffers 1 additional Fatigue.</t>
  </si>
  <si>
    <t>Thick Scars</t>
  </si>
  <si>
    <t>Exhaust this card at the start of your turn. While this card is exhausted, each monster marked with a threat token applies +2 to its Health.
This card does not refresh as normal. Refresh this card at the end of each quest</t>
  </si>
  <si>
    <t>Thunderous Fall</t>
  </si>
  <si>
    <t>Exhaust this card when a Huge or Massive monster suffers damage equal to its health and is defeated. Each hero adjacent to that monster is Stunned</t>
  </si>
  <si>
    <t>Delusional Path</t>
  </si>
  <si>
    <t>Exhaust this card when a hero enters an empty space that is 5 or more spaces from each other hero. That hero tests Willpower. If he fails, you may immediately move him up to his Speed. Then, the active hero continues his turn.</t>
  </si>
  <si>
    <t>Unknown Origin</t>
  </si>
  <si>
    <t>Use this card when you exhaust the "Summon Skarn" Plot card. Each hero tests Knowledge. For each hero who fails, you gain 1 threat token.</t>
  </si>
  <si>
    <t>Faithful Guardian</t>
  </si>
  <si>
    <t>Exhaust this card when the Skarn agent is defeated. Gain 3 threat tokens.</t>
  </si>
  <si>
    <t>Summon - Skarn</t>
  </si>
  <si>
    <t>3</t>
  </si>
  <si>
    <t>2</t>
  </si>
  <si>
    <t>Exhaust this card after setup of each encounter to choose an open monster group. Replace 1 master and 2 minion monsters in the chosen group with the Skarn (Agent).
If the Skarn (Agent)t is defeated, return this card to your Plot deck.
You cannot use this card in a quest that uses the Skarn lieutenant</t>
  </si>
  <si>
    <t>First Legion</t>
  </si>
  <si>
    <t>Strength In Numbers</t>
  </si>
  <si>
    <t>Exhaust this card when a SMALL monster performs an attack, before dice are rolled. This attack gains:
Pierce X, where X is the number of monsters from that monster's group adjacent to the target.</t>
  </si>
  <si>
    <t>Retribution</t>
  </si>
  <si>
    <t>Exhaust this card when 2 or more SMALL monsters are defeated by the same attack. Choose 1 monster from the same monster group as 1 of the defeated monsters. The chosen monster immediately moves up to its Speed and then performs an attack. This attack gains:
Pierce X, where X is the number of monsters defeated by the hero's attack.</t>
  </si>
  <si>
    <t>Swarming Tide</t>
  </si>
  <si>
    <t>Exhaust this card at the end of your turn. While this card is exhausted, at the start of each hero's turn, that hero test Willpower. If he fails, he suffers 1 Fatigue for each monster adjacent to him.</t>
  </si>
  <si>
    <t>Threatening Masses</t>
  </si>
  <si>
    <t>Exhaust this card when a hero enters an empty space adjacent to 1 or more monsters during this turn. That hero must choose to either immediately end his turn or test Might. If he tests and fails, gain 1 threat token for each monster adjacent to that hero.
This card does not refresh as normal. Refresh this card at the end of each encounter.</t>
  </si>
  <si>
    <t>Camaraderie</t>
  </si>
  <si>
    <t>Use this card during setup of an encounter and choose 1 monster group; place a threat token from the supply on that group's Monster card as a reminder. During this encounter, each SMALL monster in that group gains:
Comrade: Each time a hero performs an attack that targets a SMALL monster adjacent to this monster, after dice are rolled, that hero must choose to either suffer 1 Fatigue or not spend Surge during that attack.</t>
  </si>
  <si>
    <t>Fealty</t>
  </si>
  <si>
    <t>Exhaust this card at the end of your turn. While this card is exhausted, each time a master monster or lieutenant is affected by an attack, after dice are rolled, you may choose 1 SMALL minion monster adjacent to that master monster or lieutenant to suffer 5 Heart. If you do, add 2 Shield to that master monster or lieutenant's defense results.</t>
  </si>
  <si>
    <t>Defensive Position</t>
  </si>
  <si>
    <t>Exhaust this card at the end of your turn and choose 1 tile; place a threat token from the supply on that tile as a reminder. While this card is exhausted, each time a hero spends movement points to enter a space on the chosen tile, he must spend 1 additional movement point.</t>
  </si>
  <si>
    <t>Rise to the Challenge</t>
  </si>
  <si>
    <t>Exhaust this card when a SMALL master monster is defeated. While this card is exhausted, each minion monster in that monster's group uses the Speed, Health, Defense, surge abilities and attack dice of the master monster (not including an agent) in it's group; place this card near that monster group as a reminder.
This card does not refresh as normal. Refresh this card at the end of your turn.</t>
  </si>
  <si>
    <t>Loyalty Rewarded</t>
  </si>
  <si>
    <t>Exhaust this card after setup of an encounter and choose 1 of your open groups. While this card is exhausted, each SMALL monster that belongs to the chosen group applies +1 to its Health.
This card does not refresh as normal. Refresh this card at the end of each encounter.</t>
  </si>
  <si>
    <t>Summon Ardus Ix'Erebus</t>
  </si>
  <si>
    <t>Exhaust this card after setup of an encounter and choose 1 open monster group. Replace 1 master and 1 minion monster in that group with the Ardus Ix'Erebus agent.
If the Ardus Ix'Erebus agent is defeated, return this card to your Plot deck. You cannot use this card in any quest taht uses the Ardus Ix'Erebus lieutenant.</t>
  </si>
  <si>
    <t>Eternal Agony</t>
  </si>
  <si>
    <t>Spite</t>
  </si>
  <si>
    <t>Exhaust this card when a hero performs an attack, before rolling dice. After the attack resolves, that hero must suffer an amount of Fatigue equal to the Surge results.
If that hero did not spend all Surge results during that attack, refresh this card after that attack resolves.</t>
  </si>
  <si>
    <t>If Looks Could Kill</t>
  </si>
  <si>
    <t>Exhaust his card when a master monster performs an attack, after spending Surge. If the Shield results are equal to or greater than the Heart results, the target is Poisoned or Diseased, your choice.</t>
  </si>
  <si>
    <t>Long Suffering</t>
  </si>
  <si>
    <t>Each time the Zarihell agent is affected by an attack, before Heart is dealt, place 1 damage token on this card.
Use this card when the Zarihell agent is defeated. Each hero suffers an amount of equal to the number of damage tokens on this card minus his value. Then, gain 1 threat token for each hero defeated by this Heart.</t>
  </si>
  <si>
    <t>Make No Excuse</t>
  </si>
  <si>
    <t>Exhaust this card when a monster rolls an X. That monster is immediately defeated.
While this card is exhausted, you may change each X result to another result of your choice.</t>
  </si>
  <si>
    <t>Pins And Needles</t>
  </si>
  <si>
    <t>Exhaust this card when a hero suffers exactly 1 Heart. That hero suffers and additional 2 Heart and 1 Fatigue.</t>
  </si>
  <si>
    <t>Branded</t>
  </si>
  <si>
    <t>Use this card when a hero is defeated. Place 1 threat token from the supply on his Hero sheet.
Each hero applies -1 to his Willpower and Might for each threat token on his Hero sheet (to a minimum of 1). Each time a hero performs a rest action, he may suffer 2 Fatigue to discard 1 threat token from his Hero sheet. Limit once per rest action.</t>
  </si>
  <si>
    <t>Idle Hands</t>
  </si>
  <si>
    <t>Exhaust this card when a monster that did not perform an attack during its activation end its activation. That monster suffers 2 Heart, and 1 other monster in its group immediately performs an attack.</t>
  </si>
  <si>
    <t>Time on the Rack</t>
  </si>
  <si>
    <t>Use this card when a hero ends his turn while knocked out. Choose 1 hero and place 1 of that hero's hero tokens on this card.
Each hero applies -1 to his Stamina (to a minimum of 0) for each of his hero tokens on this card. Discard all hero tokens from this card at the end of each quest.</t>
  </si>
  <si>
    <t>Sadist</t>
  </si>
  <si>
    <t>Exhaust this card at the start of your turn.
While this card is exhausted, each of your plot cards costs 1 less threat to trigger.</t>
  </si>
  <si>
    <t>Summon Zarihell</t>
  </si>
  <si>
    <t>Exhaust htis card after setup of an encounter and choose 1 open monster group. Replace 1 master and 2 minion monsters in that group with the Zarihell agent.
If the Zarihell agent is defeated, return this card to your Plot deck. You cannot use this card in any quest that uses the Zarihell lieutenant.</t>
  </si>
  <si>
    <t>Vital Essence</t>
  </si>
  <si>
    <t>Broken</t>
  </si>
  <si>
    <t>Exhaust this card when a hero is defeated. Instead of gaining 1 threat token or drawing 1 Overlord card, you may place 1 threat token from the supply on 1 of that hero's Class cards that has a fatigue cost.
Each Class card with 1 or more threat tokens on it costs 1 additional fatigue to use. At the end of each quest return all threat tokens on Class cards to the supply.</t>
  </si>
  <si>
    <t>Last Words</t>
  </si>
  <si>
    <t>Exhaust this card when a hero defeats a lieutenant or agent. Place 1 threat token from the supply on 1 of that hero's Class cards that has a fatigue cost. Then, that hero suffers Fatigue equal to the number of threat tokens on all of his Class cards</t>
  </si>
  <si>
    <t>No Interference</t>
  </si>
  <si>
    <t>Exhaust this card at the start of your turn. While this card is exhausted, each time a hero uses a Class card with 1 or more threat tokens on it, that hero suffers 3 Heart.
This card does not refresh as normal. Refresh this card at the end of your turn.</t>
  </si>
  <si>
    <t>Dangerous Knowledge</t>
  </si>
  <si>
    <t>Exhaust this card after a hero discards an overlord card from your hand or forces you to place an overlord card on top of your deck. That hero test Knowledge. If he fails, he suffers Heart equal to the Shield rolled in excess of his Knowledge value. If he passes, gain 1 threat token.</t>
  </si>
  <si>
    <t>Plague of the Mind</t>
  </si>
  <si>
    <t>Exhaust this card at the end of your turn and choose 1 hero; mark that hero with a threat token.
Each time a marked hero would refresh a Class card with 1 or more threat tokens on it, he may choose to not refresh it. If he does refresh that card, he suffers 1 condition of your choice. When you referesh this card, discard the threat token from the marked hero.</t>
  </si>
  <si>
    <t>Worn Down</t>
  </si>
  <si>
    <t>Exhaust this card after a hero uses a Class card that has a fatigue cost. Place 1 threat token from the supply on that Class card.</t>
  </si>
  <si>
    <t>Slow Bones</t>
  </si>
  <si>
    <t>Exhaust this card at the start of your turn. While this card is exhausted, each hero reduces his Speed by the number of threat tokens on all his Class cards (to a minimum of 1).</t>
  </si>
  <si>
    <t>Bleed it Out</t>
  </si>
  <si>
    <t>Exhaust this card after a hero uses a Class card with 1 or more threat tokens on it. Discard 1 threat token from that Class card. Then, that hero suffers 1 Heart and 1 Fatigue.</t>
  </si>
  <si>
    <t>Invest in the Flesh</t>
  </si>
  <si>
    <t>Use this card at the end of each quest. For each hero with 1 or more threat tokens on 1 or more of his Class cards, gain 1 threat token.</t>
  </si>
  <si>
    <t>Summon Kyndrithul</t>
  </si>
  <si>
    <t>Exhaust htis card after setup of an encounter and choose 1 open monster group. Replace 1 master and 2 minion monsters in that group with the Kyndrithul agent.
If the Kyndrithul agent is defeated, return this card to your Plot deck. You cannot use this card in any quest that uses the Kyndrithul lieutenant.</t>
  </si>
  <si>
    <t>Class</t>
  </si>
  <si>
    <t>Name</t>
  </si>
  <si>
    <t>XP</t>
  </si>
  <si>
    <t>Qt</t>
  </si>
  <si>
    <t>Type</t>
  </si>
  <si>
    <t>Text</t>
  </si>
  <si>
    <t>2. Чего требует?
2.0. Ничего = 0
2.1. Простое условие \ 
Начало или конец раунда = -1
2.2. Проверку = -2
2.3. Урон по своим = -3
2.4. Раз в столкновение = -4</t>
  </si>
  <si>
    <t>Warlord</t>
  </si>
  <si>
    <t>Dark Fortitude</t>
  </si>
  <si>
    <t>Event</t>
  </si>
  <si>
    <t>Play this card after rolling defense dice. Add 2 Shield to the results.</t>
  </si>
  <si>
    <t>Blood Rage</t>
  </si>
  <si>
    <t>Play this card at the end of your turn and choose a monster. That monster immediately performs 2 attack actions, and is then defeated.</t>
  </si>
  <si>
    <t>Expert Blow</t>
  </si>
  <si>
    <t>Play this card when a monster attacks a hero, before rolling dice.
The attack gains +2 Heart and:
Surge: Return this card to your hand.</t>
  </si>
  <si>
    <t>Bloodlust</t>
  </si>
  <si>
    <t>Play this card when a hero is knocked out. Draw 2 Overlord cards. This is in addition to your normal 1 Overlord card drawn for defeating a hero.</t>
  </si>
  <si>
    <t>Reinforce</t>
  </si>
  <si>
    <r>
      <rPr>
        <rFont val="Calibri"/>
        <color theme="1"/>
      </rPr>
      <t xml:space="preserve">Play this card at the end of your turn and choose a master monster on the map.
Place minion monsters of that monster’s group in empty spaces adjacent to that monster, up to the group limit.
</t>
    </r>
    <r>
      <rPr>
        <rFont val="Calibri"/>
        <strike/>
        <color theme="1"/>
      </rPr>
      <t>These monsters may not be placed within 3 spaces of any hero, but may otherwise be placed in any empty space.</t>
    </r>
  </si>
  <si>
    <t>Magus</t>
  </si>
  <si>
    <t>Unholy Ritual</t>
  </si>
  <si>
    <t>Magic</t>
  </si>
  <si>
    <t>Play this card at the start of your turn. Choose one of your monster groups and draw Overlord cards equal to the number of figures from that group on the map. Choose and keep 2 cards and discard the rest. Each monster in that group performs 1 less action during this turn.</t>
  </si>
  <si>
    <t>Word of Despair</t>
  </si>
  <si>
    <t>Play this card at the end of your turn. Each hero tests Willpower. Each hero who fails suffers 1 Fatigue each time he performs an action during his next turn. This Fatigue is suffered after the hero completely resolves the action. (He may perform actions even if his Fatigue equals his Stamina; excess Fatigue is converted to Heart as usual.</t>
  </si>
  <si>
    <t>Rise Again</t>
  </si>
  <si>
    <t>Play this card when a minion or master monster is defeated to place a fatigue token on the map in that monster's space. At the start of your next turn, place that monster on the map within 5 spaces of where it was defeated. At the end of your next turn, remove that monster (and the token) from the map.</t>
  </si>
  <si>
    <t>Word of Pain</t>
  </si>
  <si>
    <t>Play this card at the end of your turn. Each hero tests Might. Each hero who fails suffers 1 Heart.</t>
  </si>
  <si>
    <t>Diabolic Power</t>
  </si>
  <si>
    <t>Play this card during your turn. Search your deck and discard pile for the card of your choice, reveal it, and place it in your hand, then shuffle your deck.
If the chosen card is an Event, every hero tests Willpower. If it is a Trap, every hero tests Awareness. If it is Magic, every hero tests Knowledge. Each hero who fails suffers 2 Heart.</t>
  </si>
  <si>
    <t>Saboteur</t>
  </si>
  <si>
    <t>Explosive Runes</t>
  </si>
  <si>
    <t>Trap</t>
  </si>
  <si>
    <t>Play this card after a hero opens a door or searches. That hero, and each hero within 2 spaces of him tests Awareness. Each hero who fails suffers 1 Heart for each Shield rolled in excess of his Awareness.</t>
  </si>
  <si>
    <t>Web Trap</t>
  </si>
  <si>
    <t>Play this card when a hero enters an empty space. That hero and each hero adjacent to him tests Might. Each hero who fails is Immobilized.</t>
  </si>
  <si>
    <t>Wicked Laughter</t>
  </si>
  <si>
    <t>Play this card when a hero passes an attribute test. The hero must take the test again, this time treating his attribute as if it were 1 lower. If the hero passes this new attribute test, draw 1 Overlord card.</t>
  </si>
  <si>
    <t>Curse of the Monkey God</t>
  </si>
  <si>
    <t>Play this card after a hero searches. That hero tests Knowledge. If he passes, draw 1 Overlord card. If he fails, he becomes a monkey until the end of his next turn. Take 1 of his hero tokens as a reminder.
Monkeys cannot roll defense dice (except to test an attribute), have a Speed of 5, and cannot attack for any reason.</t>
  </si>
  <si>
    <t>Uthuk Demon Trap</t>
  </si>
  <si>
    <t>Play this card after a hero opens a door or searches. He tests Awareness or Might (his choice). If he passes, he suffers Heart equal to the attribute tested. If he fails, he is defeated.</t>
  </si>
  <si>
    <t>Punisher</t>
  </si>
  <si>
    <t>No Rest for the Wicked</t>
  </si>
  <si>
    <t>Play this card after a hero suffers 1 Fatigue to gain an additional movement point. Choose 1 monster to move 1 space immediately after the hero spends that movement points.
Until the start of your turn, you may trigger this ability each time a hero suffers 1 Fatigue to gain an additionnal movement point.</t>
  </si>
  <si>
    <t>Trading Pains</t>
  </si>
  <si>
    <t>Play this card on a hero when he would recover any amount of Heart. In response to this card, the hero may choose to reduce the amount of Heart he recovers.
Another hero of your choice within 3 spaces of that hero suffers Heart equal to half (rounded up) the Heart recovered.</t>
  </si>
  <si>
    <t>Price of Prevention</t>
  </si>
  <si>
    <t>Play this card on a hero at the start of your turn. The hero may suffer Heart equal to an attribute of his choice to test that attribute. If he passes, discard this card.
If he fails or chooses not to test an attribute, you may search your discard pile for 1 Event or Trap card and add it to your hand.</t>
  </si>
  <si>
    <t>Exploit Weakness</t>
  </si>
  <si>
    <t>Play this card after a hero ends his turn with an amount of Fatigue on his Hero sheet equal to his Stamina.
Immediately move a monster up to its Speed toward that hero. Then perform an attack with that monster against that hero, if able.</t>
  </si>
  <si>
    <t>Blood Bargaining</t>
  </si>
  <si>
    <t>Play this card at the start of a hero's turn. Take 1 hero token from each hero and choose an equal number of monsters in play. Assign 1 token to each chosen monster.
Until the end of this round, each time a monster suffers Heart, the hero whose token is assigned to that monster suffers an equal amount of Heart.</t>
  </si>
  <si>
    <t>Infector</t>
  </si>
  <si>
    <t>Contaminated</t>
  </si>
  <si>
    <t>Play this card during your turn and keep it in your play area. During this quest, each of your monsters gain:
Surge: Infect your target
Additionally, each time a monster performs an attack targeting an infected hero, you may discard 1 infection token from that hero after rolling dice to gain +1 Heart on the attack.</t>
  </si>
  <si>
    <t>Adaptive Contagion</t>
  </si>
  <si>
    <t>Play this card during your turn and keep it in your play area. During this quest, when a hero would be Poisoned or Diseased, you may instead place 1 infection token in his play area.
Additionally, when an infected hero performs an attribute test, you may discard 1 infection token from that hero before rolling dice to add 1 Shield to his results.</t>
  </si>
  <si>
    <t>Virulent Infection</t>
  </si>
  <si>
    <t>Play this card at the start of your turn. During this turn, each time a hero gains an infection token, he gains 1 additional infection token.</t>
  </si>
  <si>
    <t>Airborne</t>
  </si>
  <si>
    <t>Play this card during your turn and keep it in your play area. During this quest, each time a monster misses or deals no Heart on an attack, the targeted hero gains 1 infection token.
Additionally, when an infected hero performs an attack, you may discard 1 infection token from that hero after rolling dice to add 1 Shield to the defense results.</t>
  </si>
  <si>
    <t>Tainted Blow</t>
  </si>
  <si>
    <t>Play this card when a monster attacks a hero, before rolling dice.
This attack gains 1 Surge and +1 Heart.
Discard 2 infection tokens from the target hero to return this card to your hand.</t>
  </si>
  <si>
    <t>Outbreak</t>
  </si>
  <si>
    <t>Play this card at the start of an infected hero's turn. Each hero within 3 spaces of that hero must test Might. Each hero that fails gains 1 infection token and then suffers Heart equal to the number of infection tokens he has in his play area.</t>
  </si>
  <si>
    <t>Dark Host</t>
  </si>
  <si>
    <t>Play this card at the start of your turn and discard 3 infection tokens from 1 infected hero. During this turn, you may perform 1 move action and 1 attack action with this hero, treating him as a monster in his own monster group</t>
  </si>
  <si>
    <t>Shadowmancer</t>
  </si>
  <si>
    <t>Imploding Rift</t>
  </si>
  <si>
    <t>Play this card when a hero enters an empty space. That hero and each hero adjacent to him tests Willpower. Each hero that fails suffers Fatigue up to his stamina.</t>
  </si>
  <si>
    <t>Out of Darkness</t>
  </si>
  <si>
    <t>Play this card when a hero is revived. Immediately perform an attack with that hero as if he were one of your monsters. This attack must target another hero.</t>
  </si>
  <si>
    <t>Shadow of Doubt</t>
  </si>
  <si>
    <t>Play this card at the end of your turn and choose 1 hero. Next round, that hero takes his turn after all other heroes have taken their turns.</t>
  </si>
  <si>
    <t>Mistrust</t>
  </si>
  <si>
    <t>Play this card at the end of your turn. Until the start of your next turn, each time a hero enters a space adjacent to another hero, the first hero suffers 1 Fatigue.</t>
  </si>
  <si>
    <t>Black Out</t>
  </si>
  <si>
    <t>Play this card at the end of your turn. Until the start of your next turn, monsters cannot be targeted by an attack unless the attacking hero is within 2 spaces of them.</t>
  </si>
  <si>
    <t>Shadow Walk</t>
  </si>
  <si>
    <t>Play this card when you activate a monster. During this activation, that monster gains:
Fly: This figure may ignore enemy figures and the effects of terrain while moving. It must end its movement in an empty space following normal movement rules.</t>
  </si>
  <si>
    <t>Treacherous Shadows</t>
  </si>
  <si>
    <t>Play this card at the start of your turn. Each hero tests Willpower. For each hero who fails, you may perform an attack with that hero as if he were one of your monsters. You can force him to attack himself.</t>
  </si>
  <si>
    <t>Enchanter</t>
  </si>
  <si>
    <t>Wristlet of Wind</t>
  </si>
  <si>
    <t>Play this card on 1 monster group during your turn and keep it in your play area.
After a monster in this group performs an attack, it may move 1 space.
Discard this card immediately if a monster in this group does not move 1 or more spaces during its activation.</t>
  </si>
  <si>
    <t>Dragonbone Pendant</t>
  </si>
  <si>
    <t>Play this card on 1 monster group during your turn and keep it in your play area.
Each attack performed by a monster in this group gains +1 Heart.
Discard this card if a monster in this group defeats a hero.</t>
  </si>
  <si>
    <t>Rings of Zhol'alam</t>
  </si>
  <si>
    <t>Play this card on 1 monster group during your turn and keep it in your play area.
Each time a monster in this group is defeated, each hero within 2 spaces of that monster suffers 1 Heart.
Discard this card there are no monsters in this group on the map.</t>
  </si>
  <si>
    <t>Elixir of Stone</t>
  </si>
  <si>
    <t>Play this card on 1 monster group during your turn and keep it in your play area.
Each time a monster in this group is attacked, add 1 Shield to the results.
Each attack that targets a monster in this group gains:
Surge Surge: Discard "Elixir of Stone"</t>
  </si>
  <si>
    <t>Ward of Peace</t>
  </si>
  <si>
    <t>Play this card on 1 monster group during your turn and keep it in your play area.
Discard all conditions from this monster group.
Each monster in this group is immune to all conditions. Discard this card if a monster in this group spends a surge result during an attack.</t>
  </si>
  <si>
    <t>Rune of the Phoenix</t>
  </si>
  <si>
    <t>Play this card on 1 monster group during your turn and keep it in your play area.
Discard this card when a monster in this group suffers Heart equal to its Health. That monster immediately recovers 5 Heart.</t>
  </si>
  <si>
    <t>Sign of the Last Zenith</t>
  </si>
  <si>
    <t>Play this card on 1 monster group during your turn and keep it in your play area.
Each time an Enchanter Overlord card is discarded from another monster group, play that card on this monster group and keep it in your play area. Then, draw an Overlord card.</t>
  </si>
  <si>
    <t>Unkindness</t>
  </si>
  <si>
    <t>Call of the Ravens</t>
  </si>
  <si>
    <t>When purchased, place this card in your play area. This card cannot be discarded or shuffled into your deck.
Exhaust this card at the start of your turn and choose 1 monster. Place 1 Raven Flock Servant token in a space adjacent to that monster. Then, that monster suffers 4 Heart.</t>
  </si>
  <si>
    <t>Beneath the Shadow</t>
  </si>
  <si>
    <t>Play this card on 1 servant at the end of your turn and keep this card in your play area. This servant gains:
Shadow: A hero adjacent to this monster that declares an attack must spend 1 Surge or that attack is a miss.
Discard this card if this servant is defeated.</t>
  </si>
  <si>
    <t>Ill Omen</t>
  </si>
  <si>
    <t>Play this card on 1 servant at the end of your turn and keep this card in your play area. This servant gains:
Ominous: Each time a hero starts his turn within 3 spaces of this figure, he tests Willpower. If he fails, he is Doomed.
Discard this card if this servant is defeated.</t>
  </si>
  <si>
    <t>--3</t>
  </si>
  <si>
    <t>Feast</t>
  </si>
  <si>
    <t>Play this card when a hero is defeated within 5 spaces of a servant and keep this card in your play area. That servant recovers all Heart.
That servant applies +3 to its Health while this card is in your play area.
Discard this card if that servant is defeated.</t>
  </si>
  <si>
    <t>Sudden Flurry</t>
  </si>
  <si>
    <t>Play this card when you activate a servant during your turn. Perform 1 additional attack with that servant. This attack affects each hero within 2 spaces of the servant.</t>
  </si>
  <si>
    <t>Imitation</t>
  </si>
  <si>
    <t>Play this card on 1 servant when a hero declares an attack that targets that servant. Immediately perform an attack that targets that hero, using the same attack type, special abilities, and dice of the weapon the hero declared for his attack.
After this attack is resolved, if the hero was not defeated, he continues with his attack.</t>
  </si>
  <si>
    <t>Beware</t>
  </si>
  <si>
    <t>Play this card on 1 servant at the end of your turn and keep this card in your play area. This servant gains:
Skittish: Each time a hero within 3 spaces of this figure suffers 1 {fatigue} to gain 1 movement point, this monster may move 1 space.
Discard this card if this servant is defeated.</t>
  </si>
  <si>
    <t>Envelop</t>
  </si>
  <si>
    <t>Play this card when 1 servant resolves an attack that defeats a hero. Remove his hero token from the map and place it on this card. If the servant is defeated (or if it is removed from the map for any reason), place the hero token in its place and discard this card. The hero cannot recover Heart for any reason until this card is discarded.</t>
  </si>
  <si>
    <t>Soulbinder</t>
  </si>
  <si>
    <t>Grotesque</t>
  </si>
  <si>
    <t>Play this card when a hero adjacent to a servant declares an attack. That hero test Willpower. If he passes, he suffers 2 Fatigue. If he fails, he is Terrified.</t>
  </si>
  <si>
    <t>Ties That Bind</t>
  </si>
  <si>
    <t>When purchased, place this card in your play area. This card cannot be discarded or shuffled into your deck.
Exhaust this card when a non-servant monster is defeated. Place 1 Scourge Servant token in that monster's space</t>
  </si>
  <si>
    <t>Restless Spirit</t>
  </si>
  <si>
    <t>Play this card on 1 servant at the end of your turn and keep this card in your play area.
This servant applies +2 to its Speed while this card is in your play area.
Discard this card if this servant is defeated.</t>
  </si>
  <si>
    <t>Possessive</t>
  </si>
  <si>
    <t>Play this card when a hero defeats a servant. That hero suffers 2 Heart.
Then, if that hero was not defeated, perform an attack with that hero as if he were one of your monsters.</t>
  </si>
  <si>
    <t>Dark Silhouette</t>
  </si>
  <si>
    <t>Play this card when a hero declares an attack that targets another non-large monster within 3 spaces of a servant.
Place that monster in the servant's space and that servant in the target space. That servant is now the target of this attack.</t>
  </si>
  <si>
    <t>Unblinking</t>
  </si>
  <si>
    <t>Play this card at the end of a servant's activation.
Each hero in line of sight of that servant may choose to suffer either 2 Fatigue or 4 Heart. For each hero wo does not or cannot suffer either 2 Fatigue or 4 Heart, draw 1 Overlord card.</t>
  </si>
  <si>
    <t>Haunted Steps</t>
  </si>
  <si>
    <t>Play this card on 1 servant when a hero adjacent to that servant exits its current space. Move that servant 1 space, and keep this card in your play area.
Each time a hero adjacent to this servant exits a space, you may move this servant 1 space.
Discard this card if this servant is defeated.</t>
  </si>
  <si>
    <t>Danse Macabre</t>
  </si>
  <si>
    <t>Play this card at the start of a servant's activation. Trace a path of 4 spaces starting in a space adjacent to that servant. Each hero on that path suffers Fatigue up to his Stamina. Then, move that servant and each of those heroes up to 3 spaces.</t>
  </si>
  <si>
    <t>Basic II</t>
  </si>
  <si>
    <t>Uncontrolled Power</t>
  </si>
  <si>
    <t xml:space="preserve">Play this card when a hero attacks a monster, after rolling dice. He tests Willpower. If he fails, you choose how he spends his Surge results. You must spend as many Surge results as possible and the attack gains
Surge: Suffer 1 Fatigue
Mage: If he fails, the attack also gains:
Surge: Suffer 1 Heart and 1 Fatigue
</t>
  </si>
  <si>
    <t>Blinding Speed</t>
  </si>
  <si>
    <t xml:space="preserve">Play this card when activating a monster. Choose a hero to test both Knowledge and Awareness. If he passes both tests, draw 1 Overlord card. If he fails at least one test, the monster gains 2 movement points.
Warrior: If he fails both tests, the monster gains 4 movement points.
</t>
  </si>
  <si>
    <t>Dirty Fighting</t>
  </si>
  <si>
    <t>Play this card when a monster attacks a hero, after rolling dice. Add 1 Surge to the results.
Healer: This attack gains Pierce 1.</t>
  </si>
  <si>
    <t>Befuddle</t>
  </si>
  <si>
    <t>Play this card immediately after a hero passes an attribute test. The hero must reroll the test and add 1 Shield to the results.
Scout: The hero also suffers 1 Fatigue</t>
  </si>
  <si>
    <t>Grease Trap</t>
  </si>
  <si>
    <t>Play this card when a hero enters an empty space from an adjacent space. He tests Awareness. If he passes, he suffers 1 Fatigue. If he fails, move the hero 3 spaces in a straight line in the same direction he last moved. For each space he cannot move, he suffers 1 Heart or 1 Fatigue (your choice).
Mage: If he fails, the hero is also Stunned.</t>
  </si>
  <si>
    <t>Mental Error</t>
  </si>
  <si>
    <t>Play this card when a monster attacks a hero, after rolling dice. The hero tests Knowledge. If he passes, the hero suffers 1 Fatigue. If he fails, the attack gains +2 Heart.
Warrior: If he fails, the attack also gains 1 Surge.</t>
  </si>
  <si>
    <t>Mimic</t>
  </si>
  <si>
    <t>Play this card when a hero searches, before revealing the search token. Place a fatigue token on the search token. The search token is now treated as a minion Volucrix Reaver. Once defeated, the search token is immediately revealed and is considered searched by the closest hero.
Scout: The Volucrix Reaver may perform an immediate Skirmish action.</t>
  </si>
  <si>
    <t>Flurry</t>
  </si>
  <si>
    <t xml:space="preserve">Play this card when a monster attacks a hero, after rolling dice. This attack gains:
Surge: Perform an additional attack after resolving this attack. Add 1 additional green power die to the monster's attack pool.
</t>
  </si>
  <si>
    <t>Reflective Ward</t>
  </si>
  <si>
    <t>Play this card when a hero attacks a monster, before rolling dice.
The attacking hero may choose to suffer 2 Fatigue. If he cannot suffer the Fatigue, or chooses not to, he will be dealt Heart equal to the Heart dealt to the monster.</t>
  </si>
  <si>
    <t>Overwhelm</t>
  </si>
  <si>
    <t>Play this card during your turn on a hero adjacent to 4 or more monsters. He tests Willpower. If he passes, immediately perform an attack with 1 adjacent monster of your choice. If he fails, the hero is Stunned and Immobilized.</t>
  </si>
  <si>
    <t>Sign of Weakness</t>
  </si>
  <si>
    <t>Play this card when a hero performs a rest action. He tests Awareness. If he passes, draw 1 Overlord card. If he fails, each monster in that hero's line of sight may move 1 space.
Healer: If he fails, the hero is also Cursed.</t>
  </si>
  <si>
    <t>Basic I</t>
  </si>
  <si>
    <t>Dark Might</t>
  </si>
  <si>
    <t>Play this card after you roll dice for an attack. Add 1 Surge to the results.</t>
  </si>
  <si>
    <t>Tripwire</t>
  </si>
  <si>
    <t>Play this card when a hero enters an empty space during a move action. He tests Awareness. If he fails, he must end his move action (he can still suffer Fatigue to move further, or perform a second move action if this was his first action)</t>
  </si>
  <si>
    <t>Dash</t>
  </si>
  <si>
    <t>Play this card when activating a monster during your turn. That monster may perform an additional move action this turn in addition to its normal 2 actions.</t>
  </si>
  <si>
    <t>Frenzy</t>
  </si>
  <si>
    <t>Play this card when activating a monster during your turn. That monster may perform an additional attack action this turn in addition to its normal 2 actions.</t>
  </si>
  <si>
    <t>Dark Fortune</t>
  </si>
  <si>
    <t>Play this card after you roll dice. You may reroll 1 die</t>
  </si>
  <si>
    <t>Pit Trap</t>
  </si>
  <si>
    <t>Play this card when a hero enters an empty space. He tests Awareness. If he fails, he suffers 1 Heart and loses 1 movement point. If he has no movement points to lose (such as if he suffered fatigue to move), he is Stunned.</t>
  </si>
  <si>
    <t>Critical Blow</t>
  </si>
  <si>
    <t>Play this card when a monster attacks a hero, after rolling dice.
The attack gains:
Surge: +3 Heart</t>
  </si>
  <si>
    <t>Poison Dart</t>
  </si>
  <si>
    <t>Play this card when a hero opens a door or searches. He tests Awareness or Might (your choice). If he passes, draw 1 Overlord Card. If he fails, he suffers 1 Heart, 1 Fatigue, and he is Poisoned.</t>
  </si>
  <si>
    <t>Word of Misery</t>
  </si>
  <si>
    <t>Play this card at the start of your turn. During this turn, each time a hero suffers any Heart, he also suffers 1 Fatigue in addition to the Heart suffered.</t>
  </si>
  <si>
    <t>Dark Charm</t>
  </si>
  <si>
    <t>Play this card on a hero at the start of your turn. The hero tests Willpower. If he passes, draw 1 Overlord Card. If he fails, you may perform a move or attack action with that hero as if he were one of your monsters this turn. You cannot force him to suffer Fatigue or use a Potion, but you may force him to attack himself.</t>
  </si>
  <si>
    <t>Universal</t>
  </si>
  <si>
    <t>Plan Ahead</t>
  </si>
  <si>
    <t>Play this card on your turn. Look at the top 5 cards of the Overlord deck and place them on top of the deck in the order of your choice.</t>
  </si>
  <si>
    <t>Dark Remedy</t>
  </si>
  <si>
    <t>Play this card on a monster group during your turn and choose 1 condition. Each monster in that group may discard 1 token corresponding to the chosen condition.</t>
  </si>
  <si>
    <t>Dark Resilience</t>
  </si>
  <si>
    <t>Play this card on a monster during your turn. Roll 2 red dice. The monster recovers Heart equal to the Heart rolled.</t>
  </si>
  <si>
    <t>Schemes</t>
  </si>
  <si>
    <t>Play this card on your turn. Choose Event, Magic, or Trap. Reveal cards from the top of the Overlord deck until you find a card with the chosen trait or until you run out of cards in your deck. Add the card with the chosen trait (if possible) to your hand and discard all other cards revealed.</t>
  </si>
  <si>
    <t>Placebo</t>
  </si>
  <si>
    <t>Play this card at the start of any turn and choose a faceup Search card in a hero's play area. Flip that card facedown.</t>
  </si>
  <si>
    <t>Solidarity</t>
  </si>
  <si>
    <t xml:space="preserve">	Event</t>
  </si>
  <si>
    <t>Play this card at the start of your turn and choose 1 Hero sheet. Until the start of your next turn, each time any hero tests an attribute, he must use the attribute value on that Hero sheet.</t>
  </si>
  <si>
    <t>Upgrade</t>
  </si>
  <si>
    <t>Play this card during your turn and discard any 1 card from your hand. Search your Overlord deck for 1 card of your choice with the same trait (Event, Magic, Trap) as the discarded card. Reveal the chosen card and place it in your hand. Then shuffle your Overlord deck.</t>
  </si>
  <si>
    <t>Refresh</t>
  </si>
  <si>
    <t>Play this card during your turn to shuffle the Overlord discard pile into the Overlord deck. Then, draw 1 Overlord card.</t>
  </si>
  <si>
    <t>Diverse Means</t>
  </si>
  <si>
    <t>Play this card when a monster is attacked and defense dice are rolled. Reveal any number of Overlord cards from your hand.
That monster recovers 1 Heart and adds 1 Shield to his defense results for each non-Basic Overlord card you reveal.</t>
  </si>
  <si>
    <t>Overlord Reward</t>
  </si>
  <si>
    <t>The Wyrm Queen's Favor</t>
  </si>
  <si>
    <t>Special</t>
  </si>
  <si>
    <t>Play this card at the start of your turn. Each hero tests insight. If all heroes pass, shuffle this card back into your deck. If a hero fails, choose 1 hero that failed this test and place 1 master hybrid sentinel within 3 spaces of that hero, respecting group limits. You may play this card even when hybrid sentinels are not 1 of your open monster groups.</t>
  </si>
  <si>
    <t>Splig's Revenge</t>
  </si>
  <si>
    <t>Reeturn this card to the game box at the start of your turn. Replace a figure with goblin in its name with Splig. Splig cannot wield a relic.
At the end of this quest, if Splig was not defeated, regain this card from the game box.</t>
  </si>
  <si>
    <t>Twin Souls</t>
  </si>
  <si>
    <t>Play this card when activating Lord Merick Farrow. Immediately remove Lord Merick Farrow from the map and replace him with Sir Alric Farrow.
Sir Alric Farrow cannot wield a relic.</t>
  </si>
  <si>
    <t>Offertory Affliction</t>
  </si>
  <si>
    <t>Play this card when activating a monster with a condition token during your turn. Coose a hero adjacent to that monster. Discard the condition token from the monster, and the chosen hero gains the corresponding Condition card.</t>
  </si>
  <si>
    <t>Secrets of Flesh</t>
  </si>
  <si>
    <t>Play this card at the start of your turn and roll 1 red power die. Each of your monsters recovers health equal to the hearths rolled.</t>
  </si>
  <si>
    <t>Toxic Reprisal</t>
  </si>
  <si>
    <t>Play this card when a monster is defeated. A hero of your choice within 3 spaces of that monster is Diseased and Weakened.</t>
  </si>
  <si>
    <t>Down and Out</t>
  </si>
  <si>
    <t>Play this card when a hero performs a revive action, before dice are rolled. That hero or the knocked-out hero immediately tests Might, the heroes choice. If the chosen hero fails, the knocked-out hero does not recover any Heart and remains knocked-out. If the chosen hero passes, draw 1 Overlord card.</t>
  </si>
  <si>
    <t xml:space="preserve">Endless Supply </t>
  </si>
  <si>
    <t>Play this card at the start of your turn. If you started this quest with 20 or more cards in your Overlord deck, draw 4 Overlord cards.</t>
  </si>
  <si>
    <t>Unbroken</t>
  </si>
  <si>
    <t>Play this card on 1 monster at the end of your turn. Until the start of your next turn, each time that monster suffers 3 or more Heart, it suffers 2 Heart instead.</t>
  </si>
  <si>
    <t>Unseen Wings</t>
  </si>
  <si>
    <t>Play this card during your turn and choose 1 monster group. Move up to 3 monsters in that group up to 3 spaces.</t>
  </si>
  <si>
    <t>Fire Gems</t>
  </si>
  <si>
    <t>Play this card when a hero enters an empty space. He tests Awareness. If he fails, roll 1 red power die. That hero and each figure adjacent to him suffers Heart equal to the Heart rolled.</t>
  </si>
  <si>
    <t>Forgotten Sorcery</t>
  </si>
  <si>
    <t>Play this card when you activate a monster group with with the ranged attack type. Until the end of the round, each monster in that group gains: Sorcery 2</t>
  </si>
  <si>
    <t>Power in Numbers</t>
  </si>
  <si>
    <t>Play this card during your turn and choose a map tile. If there are more monsters on that map tile than heroes, each hero on that tile suffers 1 Heart and two Fatigue, and each monster on that tile recovers 2 Heart.</t>
  </si>
  <si>
    <t>Hard Knocks</t>
  </si>
  <si>
    <t>Play this card when a monster attacks a hero after rolling dice. This attack gains:
Surge: Remove the target from the map, then place him on any empty space within 3 spaces of his original space. He counts as entering that space and is stunned.</t>
  </si>
  <si>
    <t xml:space="preserve">Hunk of Junk </t>
  </si>
  <si>
    <t>Play this card when a hero uses a potion or item Search card before the effect is resolved. The hero tests knowledge. If he passes, draw 1 Overlord card. If he fails, flip that Search card face down without resolving its effects.</t>
  </si>
  <si>
    <t>Splice</t>
  </si>
  <si>
    <t>Play this card on 1 monster group during your turn and keep it in your play area.
Each time a monster in this group performs an attack, that attack gains:
Surge: +2 Heart and a monster within 3 spaces of this monster suffers 2 Heart.</t>
  </si>
  <si>
    <t>Mockery</t>
  </si>
  <si>
    <t>Play this card when a hero fails a Willpower test. Place this card in that hero's play area. Each time that hero tests any attribute, he rolls 1 additional grey die.
If this card is in a hero's play area at the end of an encounter, the overlord may either discard it or return it to his hand.</t>
  </si>
  <si>
    <t>Hag's Hunger</t>
  </si>
  <si>
    <t>Play this card when a hero is defeated. Each hero within 3 spaces of that hero suffers 2 Fatigue.</t>
  </si>
  <si>
    <t>Properties</t>
  </si>
  <si>
    <t>BR Properties</t>
  </si>
  <si>
    <t>1. На кого можно использовать?
1.1. На себя \ союзник на расстоянии = 2
1.2. Все вокруг = 5
1.3. Все, кроме монстра = 3
1.4. Враги = 4
1.5 Рядом = 1</t>
  </si>
  <si>
    <t>2. Как часто?
2.0 Постоянно = 0
2.1. При условии = -1
2.2. Поверните карту = -2
2.4. За действие (A:) = -4</t>
  </si>
  <si>
    <t>3. Что даёт?
3.1. Примерно 2 действия = 5
3.2 Действие с боунсом = 4
3.2. Действие = 3
3.3. Хуже действия = 2
3.4. Очень плохо = 1</t>
  </si>
  <si>
    <t>Archaic Scroll</t>
  </si>
  <si>
    <t>Return this card to the game box and return up to 2 of your Class cards to your Class deck.  You gain XP equal to the XP cost of those cards.</t>
  </si>
  <si>
    <t>Aurium Mail</t>
  </si>
  <si>
    <t>Before rolling your defense dice, exhaust this card to add 1 additional brown die to your defense pool.</t>
  </si>
  <si>
    <t>Azathea's Triumph</t>
  </si>
  <si>
    <t>Action: Exhaust this card to deal 2 Heart to an enemy in line of sight.</t>
  </si>
  <si>
    <t>Band of Foresight</t>
  </si>
  <si>
    <t>Exhaust this card during your turn and name an Overlord card trait. Reveal the top card of your deck. If it has the trait you names, add it to your hand. Otherwise, discard it.</t>
  </si>
  <si>
    <t>Baron's Cloak</t>
  </si>
  <si>
    <t>You are immune to Pierce.</t>
  </si>
  <si>
    <t>Bearded Axe</t>
  </si>
  <si>
    <t>If, after resolving Pierce, the target has no Shields on its defense roll, this attack gains +2 Wounds.</t>
  </si>
  <si>
    <t>Belt of Alchemy</t>
  </si>
  <si>
    <t>A: Exhaust this card.  You or an adjacent hero may discard a Condition card or infection token. Limit 1 Belt equipped at a time.</t>
  </si>
  <si>
    <t>Belt of Strength</t>
  </si>
  <si>
    <t>A: Exhaust this card and test Might.  If you pass, choose an adjacent monster and move it 2 spaces.  Limit 1 Belt equipped at a time.</t>
  </si>
  <si>
    <t>Belt of Waterwalking</t>
  </si>
  <si>
    <t>You treat water spaces as normal spaces. Limit 1 Belt equipped at a time.</t>
  </si>
  <si>
    <t>Black Iron Helm</t>
  </si>
  <si>
    <t>Add 1 Shield to your defense pool results. Limit 1 Helmet equipped at a time.</t>
  </si>
  <si>
    <t>Blasting Rune</t>
  </si>
  <si>
    <t>When a monster is defeated during an attack with this weapon, each figure adjacent to the defeated monster suffers 2 Hearts</t>
  </si>
  <si>
    <t>Blessed Armor</t>
  </si>
  <si>
    <t>You cannot equip Runes. Each time you perform an attribute test, roll 2 Grey defense dice instead of 1 Grey and 1 black defense dice.</t>
  </si>
  <si>
    <t>Blessed Shield</t>
  </si>
  <si>
    <t>Exhaust this card after rolling defense dice to add 1 Shield to the results.  If you receive a Condition card as the result of that attack, discard that card instead.</t>
  </si>
  <si>
    <t>Bloodthirsty Bracers</t>
  </si>
  <si>
    <t>Exhaust this card when you perform an attack, after dice are rolled. Reroll any or all of your attack and power dice. If this attack does not defeat a monster, suffer 2 Hearts.</t>
  </si>
  <si>
    <t>Bloody Dagger</t>
  </si>
  <si>
    <t>During your turn, you may suffer 1 Fatigue to become Bleeding.  If you are Bleeding, each of your attacks gains: S: +4 Wounds.</t>
  </si>
  <si>
    <t>Bone Wand</t>
  </si>
  <si>
    <t>When a hero within 3 spaces of you is defeated, 1 other hero within 3 spaces of you recovers 1 Fatigue.</t>
  </si>
  <si>
    <t>Boneborn Bow</t>
  </si>
  <si>
    <t>You cannot be Terrified</t>
  </si>
  <si>
    <t>Book of Stars</t>
  </si>
  <si>
    <t>A: Test Knowledge. If you pass, discard 1 Condition card from 1 hero of your choice</t>
  </si>
  <si>
    <t>Boomerang</t>
  </si>
  <si>
    <t>If an attack with this weapon deals at least 1 Heart, unequip this weapon</t>
  </si>
  <si>
    <t>Boots of Iron</t>
  </si>
  <si>
    <t>You treat hazard spaces as normal spaces. Limit 1 Boots equipped at a time.</t>
  </si>
  <si>
    <t>Bow of Bone</t>
  </si>
  <si>
    <t xml:space="preserve">If you have not moved this turn, add 1 additional green power die to your attack pool. </t>
  </si>
  <si>
    <t>Chainmail</t>
  </si>
  <si>
    <t>You cannot equip Runes. Your Speed is reduced to 4 and cannot be increased above 4.</t>
  </si>
  <si>
    <t>Cloak of Deception</t>
  </si>
  <si>
    <t>If you roll a blank on any of your defense dice, you may exhaust this card to test Awareness.  If you pass, you are not affected by the attack.</t>
  </si>
  <si>
    <t>Cloak of Mists</t>
  </si>
  <si>
    <t>When you suffer any amount of Hearts, you may choose to suffer some or all of that amount as Fatigue instead; you cannot suffer Fatigue in excess of your Stamina.</t>
  </si>
  <si>
    <t>Corpsebug Brooch</t>
  </si>
  <si>
    <t>If you end your turn in a hazard space, you are not defeated.</t>
  </si>
  <si>
    <t>Curative Vial</t>
  </si>
  <si>
    <t>Action: Exhaust this card. This lieutenant or an adjacent monster may discard 1 Condition token.</t>
  </si>
  <si>
    <t>Deflecting Shield</t>
  </si>
  <si>
    <t>Exhaust this card after rolling defense dice to add 1 Shield to the results.  Then, choose an adjacent figure.  That figure suffers 1 Heart.</t>
  </si>
  <si>
    <t>Demonhide Leather</t>
  </si>
  <si>
    <t>When you perform 2 move actions on your turn, suffer 1 Fatigue at the end of your turn.</t>
  </si>
  <si>
    <t>Dire Flail</t>
  </si>
  <si>
    <t>If this attack misses or deals no Hearts, you suffer 1 Heart.</t>
  </si>
  <si>
    <t>Dragontooth Hammer</t>
  </si>
  <si>
    <t>If your other hand is empty, your attacks gain +1 Wound</t>
  </si>
  <si>
    <t>Elm Greatbow</t>
  </si>
  <si>
    <t>Adjacent figures do not block your line of sight</t>
  </si>
  <si>
    <t>Elven Boots</t>
  </si>
  <si>
    <t>You gain 1 movement point at the start of your turn. Limit 1 Boots equipped at a time.</t>
  </si>
  <si>
    <t>Elven Cloak</t>
  </si>
  <si>
    <t>Exhaust this card after rolling defense dice to replace the results with a number of Shields equal to your Awareness.</t>
  </si>
  <si>
    <t>Fallen Heart</t>
  </si>
  <si>
    <t>Exhaust this card when a minion or master monster is defeated. Roll 1 Red power die, the monster immediately recovers Heart equal to the Heart rolled. Limit once per encounter.</t>
  </si>
  <si>
    <t>Fear Eater</t>
  </si>
  <si>
    <t>Each time you declare an attack that targets a Terrified monster, that attack gains:
Surge: +2 Wounds, Recover 2 Heart</t>
  </si>
  <si>
    <t>Fists of Iron</t>
  </si>
  <si>
    <t>Once during each of your turns, you may perform 1 attack that does not require an action</t>
  </si>
  <si>
    <t>Flash Powder</t>
  </si>
  <si>
    <t>A: Test Awareness.  If you pass, 1 monster adjacent to you (your choice) is Stunned and you may move up to your Speed.</t>
  </si>
  <si>
    <t>Forewarned Ring</t>
  </si>
  <si>
    <t>Each time the overlord plays an Overlord card, before that card is resolved, you may recover 1 Heart.</t>
  </si>
  <si>
    <t>Fortuna's Dice</t>
  </si>
  <si>
    <t xml:space="preserve">Exhaust this card and suffer 1 Fatigue to reroll any 1 die you have just rolled.
</t>
  </si>
  <si>
    <t>Gauntlets of Power</t>
  </si>
  <si>
    <t>Exhaust this card to cancel 1 Surge from an attack targeting you. Then place 1 Fatigue on this card. You may discard 1 Fatigue from this card when attacking to gain 1 Surge</t>
  </si>
  <si>
    <t>Gauntlets of Spite</t>
  </si>
  <si>
    <t>Exhaust this card to cancel 1 Surge from an attack targeting this lieutenant. Then place 1 Fatigue on this card. You may discard 1 Fatigue from this card when this lieutenant is attacking to gain 1 Surge.</t>
  </si>
  <si>
    <t>Glaive</t>
  </si>
  <si>
    <t>When attacking a nonadjacent target, add 1 additional red power die to your attack pool</t>
  </si>
  <si>
    <t>Golden Mask</t>
  </si>
  <si>
    <t>Each time you perform an attack, all X results are treated as blank results. Limit 1 Helmet equipped at a time.</t>
  </si>
  <si>
    <t>Guardian Axe</t>
  </si>
  <si>
    <t>When you defeat a monster, you may unequip this weapon to gain 2 Shields to your defense results until the start of your next turn</t>
  </si>
  <si>
    <t>Halberd</t>
  </si>
  <si>
    <t xml:space="preserve">After rolling attack dice, you may suffer 1 Fatigue to reroll 1 power die. Reach. </t>
  </si>
  <si>
    <t>Handbow</t>
  </si>
  <si>
    <t>You may only perform 1 attack with this weapon each turn</t>
  </si>
  <si>
    <t>Harvester Scythe</t>
  </si>
  <si>
    <t>After you defeat a monster with this weapon, recover 1 Heart</t>
  </si>
  <si>
    <t>Heart Seeker</t>
  </si>
  <si>
    <t>You do not need line of sight to perform an attack with this weapon</t>
  </si>
  <si>
    <t>Heavy Cloak</t>
  </si>
  <si>
    <t>Exhaust this card after the dice are rolled to cancel 1 Surge on an attack that targets you.</t>
  </si>
  <si>
    <t>Heavy Steel Shield</t>
  </si>
  <si>
    <t>Exhaust this card after rolling defense dice to reroll 1 defense die and add 1 Shield to the results.</t>
  </si>
  <si>
    <t>Horn of Courage</t>
  </si>
  <si>
    <t>Exhaust this card during your turn and choose another hero within 3 spaces of you. The chosen hero gains 1 valor.</t>
  </si>
  <si>
    <t>Horned Shield</t>
  </si>
  <si>
    <t>Each time a figure adjacent to you performs an attack that targets you, before dice are rolled, that figure may suffer 2 Hearts to remove 1 Grey defense die from your defense pool.</t>
  </si>
  <si>
    <t>Immunity Elixir</t>
  </si>
  <si>
    <t>You cannot be Diseased.
This card cannot be traded between heroes.</t>
  </si>
  <si>
    <t>Incendiary Arrows</t>
  </si>
  <si>
    <t>Exhaust this card when you perform an attack with a Bow, before dice are rolled.  If this attack does not miss, each figure adjacent to the target suffers 1 Heart.</t>
  </si>
  <si>
    <t>Inscribed Robes</t>
  </si>
  <si>
    <t>Exhaust this card after rolling defense dice to replace the results with a number of Shields equal to your Knowledge.</t>
  </si>
  <si>
    <t>Iron Claws</t>
  </si>
  <si>
    <t>If your other hand is empty, add 1 additional green power die to your attack pool</t>
  </si>
  <si>
    <t>Iron Flail</t>
  </si>
  <si>
    <t>Iron Shield</t>
  </si>
  <si>
    <t>Exhaust this card after rolling defense dice to either reroll 1 die or add 1 Shield to the results.</t>
  </si>
  <si>
    <t>Iron-Bound Ring</t>
  </si>
  <si>
    <t>If you roll one or more blanks when rolling defense dice, add 1 Shield to your results.</t>
  </si>
  <si>
    <t>Ironbound Rune</t>
  </si>
  <si>
    <t xml:space="preserve">Exhaust this card, after you roll defense dice, to add 1 Shield to the results. </t>
  </si>
  <si>
    <t>Ironbound Shield</t>
  </si>
  <si>
    <t>Exhaust this card, after you roll defense dice, to reroll 1 defense die. Your Speed is reduced to 4 and cannot be increased above 4.</t>
  </si>
  <si>
    <t>Jagged Handaxe</t>
  </si>
  <si>
    <t>Before you roll attack dice, you may suffer 1 Fatigue to replace the yellow power die with 1 red power die.</t>
  </si>
  <si>
    <t>Jinn's Lamp</t>
  </si>
  <si>
    <t>A: Exhaust this card to draw 1 card from the Act I Shop Item deck.  Either equip it or shuffle it back into the deck.  If you equip it, return this card to the game box.</t>
  </si>
  <si>
    <t>Lifedrain Scepter</t>
  </si>
  <si>
    <t>If this attack deals at least 1 Heart, recover 1 Heart</t>
  </si>
  <si>
    <t>Lightning Javelin</t>
  </si>
  <si>
    <t>Each of your attacks gain +X Range, where X is equal to your Might</t>
  </si>
  <si>
    <t>Living Heart</t>
  </si>
  <si>
    <t>Exhaust this card to revive all heroes within 3 spaces of you. Each revived hero rolls 3 red power dice instead of 2. Limit once per encounter.</t>
  </si>
  <si>
    <t>Lucky Charm</t>
  </si>
  <si>
    <t>Exhaust this card to reroll an attribute test.  You must keep the new results.</t>
  </si>
  <si>
    <t>Lute</t>
  </si>
  <si>
    <t>Exhaust this card during your turn and suffer 1 Fatigue to choose a hero within 3 spaces of you. That hero recovers 1 Fatigue</t>
  </si>
  <si>
    <t>Mana Weave</t>
  </si>
  <si>
    <t>After rolling attack dice, exhaust this card to add 1 Surge to the results.</t>
  </si>
  <si>
    <t>Mapstone</t>
  </si>
  <si>
    <t>Once during each Travel step of the Campaign phase, you may choose not to draw a Travel Event card for a travel icon you stop at.</t>
  </si>
  <si>
    <t>Marsh Cloak</t>
  </si>
  <si>
    <t>You treat water and sludge spaces as normal spaces.</t>
  </si>
  <si>
    <t>Mask of Horrors</t>
  </si>
  <si>
    <t>Exhaust this card when you are dealt Hearts from an attack. The figure performing the attack is Terrified. Limit 1 Helmet equipped at a time.</t>
  </si>
  <si>
    <t>Mending Talisman</t>
  </si>
  <si>
    <t>Action: Exhaust this card and choose a hero. Roll 1 red power die. The chosen hero recovers Heart equal to the Heart rolled and may discard 1 Condition card or infection token.</t>
  </si>
  <si>
    <t>Merciful Boots</t>
  </si>
  <si>
    <t>After reviving a hero, you gain 2 movement points and the revived hero recovers 2 Fatigue. Limit 1 Boots equipped at a time.</t>
  </si>
  <si>
    <t>Mirror of Souls</t>
  </si>
  <si>
    <t>Each time you discard 1 of your Conditions, place 1 damage token on Essence Harvest</t>
  </si>
  <si>
    <t>Mistbane</t>
  </si>
  <si>
    <t xml:space="preserve">Each time you defeat a monster, you may suffer 1 Heart to recover 1 Fatigue. </t>
  </si>
  <si>
    <t>Nerekhall Plate</t>
  </si>
  <si>
    <t>You cannot equip Runes.</t>
  </si>
  <si>
    <t>Obsidian Greataxe</t>
  </si>
  <si>
    <t>Each time you defeat a monster with this weapon, recover 1 Fatigue</t>
  </si>
  <si>
    <t>Obsidian Scalemail</t>
  </si>
  <si>
    <t>You cannot be Cursed. Each time you are attacked and suffer no Hearts, recover 2 Fatigue. You may perform only 1 Action skill or ability per turn.</t>
  </si>
  <si>
    <t>Phoenix Pendant</t>
  </si>
  <si>
    <t>Each time you stand up or are revived by another hero, you recover 3 additional Hearts.</t>
  </si>
  <si>
    <t>Platemail</t>
  </si>
  <si>
    <t>You cannot equip Runes. Your speed is reduced to 3 and cannot be increased above 3.</t>
  </si>
  <si>
    <t>Rage Blade</t>
  </si>
  <si>
    <t>If you have already attacked this turn, add 1 additional green power die to your attack pool</t>
  </si>
  <si>
    <t>Repeating Crossbow</t>
  </si>
  <si>
    <t>This attack affects 1 additional figure adjacent to your target</t>
  </si>
  <si>
    <t>Robes of the Last</t>
  </si>
  <si>
    <t>While you are the target of an attack, add 1 Shield to your defense results for each Surge spent by the figure performing the attack.</t>
  </si>
  <si>
    <t>Rune Plate</t>
  </si>
  <si>
    <t>If your Knowledge is 4 or higher, gain +2 Health. If you have a Rune equipped, replace this card's Grey defense die with a black defense die.</t>
  </si>
  <si>
    <t>Rune-Touched Leather</t>
  </si>
  <si>
    <t>If you have 2 Runes equipped, replace this card’s brown defense die with a Grey defense die. If you have 3 or more Runes equipped, replace it with a black defense die.</t>
  </si>
  <si>
    <t xml:space="preserve">Runeshard Cache
</t>
  </si>
  <si>
    <t>Exhaust this card after you defeat a monster with a Magic weapon. While this card is exhausted, it is an exhausted Fatigue card.</t>
  </si>
  <si>
    <t>Rusted Handaxe</t>
  </si>
  <si>
    <t>After you roll attack dice, you may suffer 1 Fatigue to reroll 1 power die.</t>
  </si>
  <si>
    <t>Sage's Tome</t>
  </si>
  <si>
    <t>Exhaust this card before rolling dice of an attribute test to subtract 1 Shield from the results.</t>
  </si>
  <si>
    <t>Sash of the Slayer</t>
  </si>
  <si>
    <t>Exhaust this card when you defeat a monster. Choose 1 monster adjacent to you. That monster is Terrified. Limit 1 Belt equipped at a time.</t>
  </si>
  <si>
    <t>Scalemail</t>
  </si>
  <si>
    <t>You cannot equip Runes. Before rolling defense dice, you may suffer 1 Fatigue to add 1 additional brown die to your defense pool.</t>
  </si>
  <si>
    <t>Scorpion's Kiss</t>
  </si>
  <si>
    <t>Action: Exhaust this card and choose an enemy in your line of sight. That enemy tests Awareness. If he fails, he is Immobilized and Poisoned. If he passes, he only suffers 1 of those conditions of your choice.</t>
  </si>
  <si>
    <t>Serpent Dagger</t>
  </si>
  <si>
    <t>If the target is Poisoned, this attack gains +2 Wounds.</t>
  </si>
  <si>
    <t>Shadow Bracers</t>
  </si>
  <si>
    <t>Exhaust this card during an attack that targets you, after dice are rolled.  Cancel 1 Surge.</t>
  </si>
  <si>
    <t>Shadow Plotter</t>
  </si>
  <si>
    <t>Exhaust this card during your turn. This overlord reveals his hand.
This card does not refresh as normal. Refresh this card at the start of each encounter</t>
  </si>
  <si>
    <t>Shadow Plotter (Overlord)</t>
  </si>
  <si>
    <t>Exhaust this card during your turn to draw 3 Overlord cards. Add 1 card to your hand and discard the other 2 cards. Then, this lieutenant suffers 2 Heart.</t>
  </si>
  <si>
    <t>Shadow Tome</t>
  </si>
  <si>
    <t>Exhaust this card and suffer 1 Heart.  While this card is exhausted, each time a monster enters a space adjacent to your figure, that monster suffers 2 Hearts.</t>
  </si>
  <si>
    <t>Shards of Ithyndrus</t>
  </si>
  <si>
    <t>Exhaust this card when a monster in this group performs an attack, after dice are rolled, to add 1 Surge to the results.</t>
  </si>
  <si>
    <t>Shield of Light</t>
  </si>
  <si>
    <t>Exhaust this card after rolling defense dice to either reroll 1 die or add 1 Shield to the results.  If you suffer no Hearts from this attack, recover 1 Heart.</t>
  </si>
  <si>
    <t>Shield of the Dark God</t>
  </si>
  <si>
    <t xml:space="preserve">Exhaust this card after rolling defense dice to reroll some or all of the defense dice. Keep the new result only if it is better.
</t>
  </si>
  <si>
    <t xml:space="preserve">Signet Ring
</t>
  </si>
  <si>
    <t>Exhaust this card when you or an adjacent hero is attacked, before dice are rolled, to add 1 Shield to the results.</t>
  </si>
  <si>
    <t>Skinning Knife</t>
  </si>
  <si>
    <t>If the target has any number of damage tokens, this attack gains:  Surge: +3 Heart</t>
  </si>
  <si>
    <t>Soulbound Sword</t>
  </si>
  <si>
    <t xml:space="preserve">At the start of each of your turns, test Willpower.  If you fail, you are Terrified. </t>
  </si>
  <si>
    <t>Soulless Scythe</t>
  </si>
  <si>
    <t>Exhaust this card when this lieutenant enters a space adjacent to a hero. That hero is Bleeding.
Each attack this lieutenant performs that targets a Bleeding hero gains Pierce 3.</t>
  </si>
  <si>
    <t>Soulstone</t>
  </si>
  <si>
    <t>Each time you defeat a monster, place 1 Heart on this card.  Each time you recover Hearts, discard 1 Heart from this card. S: Pierce X, where X is the Hearts on this card.</t>
  </si>
  <si>
    <t>Spirited Scythe</t>
  </si>
  <si>
    <t>Action: Perform an attack targeting each monster adjacent to you. Each monster rolls defense dice separately. Each monster that suffer at least 1 Heart is Bleeding.</t>
  </si>
  <si>
    <t>Staff of Light</t>
  </si>
  <si>
    <t>Action: Each hero within 3 spaces of you recovers 1 Heart and 1 Fatigue</t>
  </si>
  <si>
    <t>Staff of Shadows</t>
  </si>
  <si>
    <t>Exhaust this card and discard 1 Overlord card from your hand to either draw 1 Overlord card or force a reroll of any 1 die. You may do this at any time, even if it's not your turn.</t>
  </si>
  <si>
    <t>Star of Kellos</t>
  </si>
  <si>
    <t>Add 1 additional green power die to your attack pool.</t>
  </si>
  <si>
    <t>Steel Broadsword</t>
  </si>
  <si>
    <t>Once per attack roll, you may reroll 1 red power die.</t>
  </si>
  <si>
    <t>Steel Greatsword</t>
  </si>
  <si>
    <t>Once per attack, you may reroll 1 power die</t>
  </si>
  <si>
    <t>Stone Armor</t>
  </si>
  <si>
    <t>Your Speed is reduced to 3 and cannot be increased above 3. You cannot suffer Fatigue to gain movement points.</t>
  </si>
  <si>
    <t>Sun Stone</t>
  </si>
  <si>
    <t>Add 1 additional green power die to your attack pool.
If you are defeated, place the sun stone token in your space</t>
  </si>
  <si>
    <t>Sun's Fury</t>
  </si>
  <si>
    <t>Return this card to the game box during any Campaing phase to gain 1 XP.</t>
  </si>
  <si>
    <t>The Dead Man's Compass</t>
  </si>
  <si>
    <t>Exhaust this card during your turn. If you are within 3 spaces of a search token, immediately gain 1 movement point.</t>
  </si>
  <si>
    <t>The Manor's Heart</t>
  </si>
  <si>
    <t>Exhaust this card during your turn. Recover Heart or Fatigue equal to the number of Overlord cards in the overlord's discard pile. Limit once per quest</t>
  </si>
  <si>
    <t>The Manor's Heart (Overlord)</t>
  </si>
  <si>
    <t>Action: Perform an attack. Measure range and line of sight from 1 minion monster in this monster's group.</t>
  </si>
  <si>
    <t>The Shadow Rune</t>
  </si>
  <si>
    <t>Each time you defeat a monster with this weapon, recover 1 Fatigue.</t>
  </si>
  <si>
    <t>The White Crown</t>
  </si>
  <si>
    <t>Apply +1 Willpower to each hero (to a maximum of 6). 
You may unequip this card when a hero fails a Willpower test to reroll that test.
Limit 1 Helmet equipped at a time</t>
  </si>
  <si>
    <t>Throwing Knives</t>
  </si>
  <si>
    <t xml:space="preserve">When attacking an adjacent monster, gain +1 Wound </t>
  </si>
  <si>
    <t>Tival Crystal</t>
  </si>
  <si>
    <t>A: Exhaust this card to roll 1 red power die.  You recover Hearts equal to the Hearts rolled.</t>
  </si>
  <si>
    <t>Tome of the Five Lies</t>
  </si>
  <si>
    <t>Exhaust this card after drawing your starting hand. Shuffle those cards back into the Overlord deck and then draw a number of cards equal to the number of heroes.</t>
  </si>
  <si>
    <t>Tribal Cloak</t>
  </si>
  <si>
    <t>Exhaust this card when you perform a rest action. While this card is exhausted, add 1 additional brown die to your defense pool.</t>
  </si>
  <si>
    <t>Undertaker's Coat</t>
  </si>
  <si>
    <t>At the start of your turn, you may suffer 1 Fatigue to place the hero token of a knocked-out hero adjacent to you.</t>
  </si>
  <si>
    <t>Undertaker's Coat (Overlord)</t>
  </si>
  <si>
    <t>Exhaust this card after this lieutenant rolls defense dice and rolls 1 or more blanks. Add a number of Shield to the results equal to this lieutenant's Knowledge.</t>
  </si>
  <si>
    <t>Undying Skull</t>
  </si>
  <si>
    <t>You cannot spend Surges to recover Fatigue.</t>
  </si>
  <si>
    <t>Valyndra's Bane</t>
  </si>
  <si>
    <t>Each time you attack a large monster, you may add 1 yellow power die to your attack roll.</t>
  </si>
  <si>
    <t>Valyndra's Gift</t>
  </si>
  <si>
    <t>Before any attack roll, exhaust this card to choose this lieutenant or a figure adjacent to this lieutenant. The chosen figure adds 1 Grey die to his defense pool.</t>
  </si>
  <si>
    <t>Vestments of Kellos</t>
  </si>
  <si>
    <t>Exhaust this card, before you roll defense dice, and suffer 1 Fatigue.  Add 1 additional Grey defense die to your defense pool.</t>
  </si>
  <si>
    <t>Wanderer's Stone</t>
  </si>
  <si>
    <t>Each time you declare a move action, recover 1 Fatigue</t>
  </si>
  <si>
    <t>War Hammer</t>
  </si>
  <si>
    <t>You cannot spend Surge to recover fatigue</t>
  </si>
  <si>
    <t>White Wolf Cloak</t>
  </si>
  <si>
    <t>Exhaust this card to reroll 1 attribute test.</t>
  </si>
  <si>
    <t>Winged Blade</t>
  </si>
  <si>
    <t>Each time you perform an attack, you may change the result of 1 defense die to the result of your choice</t>
  </si>
  <si>
    <t>Wooden Shield</t>
  </si>
  <si>
    <t>Exhaust this card after rolling defense dice to add 1 Shield to the results.</t>
  </si>
  <si>
    <t>Workman's Ring</t>
  </si>
  <si>
    <t>Each time you would suffer any amount of Fatigue, you may instead place it on this card (to a maximum of 3). Discard all Fatigue on this card at the end of each encounter.</t>
  </si>
  <si>
    <t>Worn Greatsword</t>
  </si>
  <si>
    <t>Before rolling your attack dice, you may suffer 1 Fatigue to add 1 Surge to your attack results.</t>
  </si>
  <si>
    <t>Ynfernal Rune</t>
  </si>
  <si>
    <t xml:space="preserve">Each time you perform an attack with this weapon, suffer 1 Heart.
</t>
  </si>
  <si>
    <t>Monster Traits</t>
  </si>
  <si>
    <t>Traits Description</t>
  </si>
  <si>
    <t>BR Trait</t>
  </si>
  <si>
    <t>1. На кого можно использовать?
1.1. Монстр или другой монстр на расстоянии = 2
1.2. Все вокруг = 5
1.3. Все, кроме монстра = 3
1.4. Враги = 4
1.5 Рядом = 1</t>
  </si>
  <si>
    <t>2. Как часто?
2.1. Постоянно = 0
2.2. Стоит молнии? = -2
2.3. При условии = -1
2.4. Раз за раунд = -3</t>
  </si>
  <si>
    <t>-1 Willpower</t>
  </si>
  <si>
    <t>+1 Awareness</t>
  </si>
  <si>
    <t>+1 Health</t>
  </si>
  <si>
    <t>+1 Knowledge</t>
  </si>
  <si>
    <t>+1 Might</t>
  </si>
  <si>
    <t>+1 Range</t>
  </si>
  <si>
    <t>+1 Stamina</t>
  </si>
  <si>
    <t>+1 Willpower</t>
  </si>
  <si>
    <t>+2 Health</t>
  </si>
  <si>
    <t>+2 Range</t>
  </si>
  <si>
    <t>+2 Stamina</t>
  </si>
  <si>
    <t>+3 Health</t>
  </si>
  <si>
    <t>+3 Range</t>
  </si>
  <si>
    <t>+4 Health</t>
  </si>
  <si>
    <t>Aftershock</t>
  </si>
  <si>
    <t>When an adjacent enemy attacks, after the attack is resolved, the enemy must test Willpower. If he fails, he suffers 1 Fatigue.</t>
  </si>
  <si>
    <t>Agony</t>
  </si>
  <si>
    <t>Each time a hero performs an attack within 3 spaces of Zarihell, that hero cannot spend more than 1 Surge</t>
  </si>
  <si>
    <t>Aura 1</t>
  </si>
  <si>
    <t>Each time a hero enters a space adjacent to this monster, that hero suffers 1 Heart.</t>
  </si>
  <si>
    <t>Aura 2</t>
  </si>
  <si>
    <t>Aura 3</t>
  </si>
  <si>
    <t>Backswing</t>
  </si>
  <si>
    <t>Use immediately after performing an attack to chose any number of figures affected by that attack. Each of those figures tests Awareness. If none of the figure pass, each chosen figure suffers 2 Heart and is Stunned.</t>
  </si>
  <si>
    <t>Bloodlines</t>
  </si>
  <si>
    <t>Add 1 Shield to defense results for each knocked-out hero.</t>
  </si>
  <si>
    <t>Bloodthirst</t>
  </si>
  <si>
    <t>Each time a hero is knocked out, Kyndrithul recovers 3 Heart.</t>
  </si>
  <si>
    <t>Bones of Woe</t>
  </si>
  <si>
    <t>At the start of each of your turns, roll the blue attack die. On a Surge, draw 1 Overlord card.</t>
  </si>
  <si>
    <t>Brightblaze</t>
  </si>
  <si>
    <t>This familiar is treated as a figure.
It may perform 1 Melee attack during its activation using the dice and abilities of a Magic weapon you have equipped.</t>
  </si>
  <si>
    <t>Bull Rush</t>
  </si>
  <si>
    <t>Each time this monster targets a space that it was not adjacent to at the start of its activation, add 1 red power die to its attack pool.</t>
  </si>
  <si>
    <t>Can be used by monster group</t>
  </si>
  <si>
    <t>This relic can be used by monster group.</t>
  </si>
  <si>
    <t>Captive Soul</t>
  </si>
  <si>
    <t>Each time Zarihell performs an attack that would defeat a hero, before that hero is knocked out, the overlord may perform an attack with that hero as if it were a monster. Then, that hero is defeated</t>
  </si>
  <si>
    <t>Chaotic Energy</t>
  </si>
  <si>
    <t>When performs an attack, before dice are rolled, you may suffer up to 3 Heart. This attack deals additional Heart equal to the Heart suffered. Cannot do this if suffering the Heart would defeat you.</t>
  </si>
  <si>
    <t>Combustible</t>
  </si>
  <si>
    <t>When this monster is defeated, each hero adjacent to this monster suffers 1 Heart.</t>
  </si>
  <si>
    <t>Command</t>
  </si>
  <si>
    <t>Each minion within 3 spaces of this monster may reroll 1 die on each of its attacks. Each minion may only benefit from one monster with Command at a time.</t>
  </si>
  <si>
    <t>Contempt</t>
  </si>
  <si>
    <t>Each time you performs an attack that targets an enemy with a Condition card, that attack gains +1 Wound.</t>
  </si>
  <si>
    <t>Corrupted</t>
  </si>
  <si>
    <t>Each time you performs an attack targeting a Cursed enemy, add 1 additional yellow power die to attack pool for each Cursed enemy targeted.</t>
  </si>
  <si>
    <t>Cowardly</t>
  </si>
  <si>
    <t>This monster cannot spend surges on abilities unless it is within 3 spaces of any master monster or a lieutenant.</t>
  </si>
  <si>
    <t>Death Wish</t>
  </si>
  <si>
    <t>When this master monster would be defeated, the overlord may choose 1 minion monster of the same group to be defeated instead. If he does, this master monster recovers all Heart.</t>
  </si>
  <si>
    <t>Duskblade</t>
  </si>
  <si>
    <t>Adjacent enemy that starts his turn receives -1 Speed for that turn</t>
  </si>
  <si>
    <t>Energy Drain 3</t>
  </si>
  <si>
    <t>You may cause enemies to suffer up to X Heart as Fatigue instead.</t>
  </si>
  <si>
    <t>Energy Drain 4</t>
  </si>
  <si>
    <t>At the start of activation, you may choose any number of heroes in line of sight to test Willpower. If none of the heroes pass, perform an attack with each chosen hero as if it were a monster.</t>
  </si>
  <si>
    <t>Entomb</t>
  </si>
  <si>
    <t>Knocked-out heroes within 1 space of this monster can only recover Heart from stand up actions and heroic feats.</t>
  </si>
  <si>
    <t>Ethereal Hold</t>
  </si>
  <si>
    <t>At the start of the Overlords turn, this monster may discard 1 hero token from its base. If it does, remove it from the map and place it within 3 spaces of the corresponding hero.</t>
  </si>
  <si>
    <t>Exploit Agony</t>
  </si>
  <si>
    <t>Each time a hero resolves an attack within 3 spaces of Zarihell, that hero suffers 1 Fatigue for each Surge he did not spend</t>
  </si>
  <si>
    <t>Extend</t>
  </si>
  <si>
    <t>Each time this monster performs an attack, it may target a figure up to 3 spaces away and in its line of sight.</t>
  </si>
  <si>
    <t>Filthy Murk</t>
  </si>
  <si>
    <t>At the end of this monster's activation, each hero within 3 spaces of it is Diseased.</t>
  </si>
  <si>
    <t>Flail</t>
  </si>
  <si>
    <t>When attacking, you may target 2 separate enemies. Make 1 attack roll and each enemie rolls defense dice separately.</t>
  </si>
  <si>
    <t>Flame Fiend</t>
  </si>
  <si>
    <t>This monster ignores all effects of lava. Each time this monster ends its turn in a space containing lava, it recovers 1 Heart. In addition, this monster never suffers Heart from Burning.</t>
  </si>
  <si>
    <t>Flanking</t>
  </si>
  <si>
    <t>Each time Ardus Ix'Erebus performs an attack, he may choose 1 monster with the Cursed monster trait adjacent to the target. During that attack, Ardus Ix'Erebus may use the Surge abilites of that monster.</t>
  </si>
  <si>
    <t>Fleshmonger</t>
  </si>
  <si>
    <t>Each time a hero whose hero token is not on this card suffers 1 or more Heart from an attack performed by this monster, place 1 of his hero tokens on this card. For each hero token on this card, this monster applies +2 to its health. When this monster is defeated, discard all hero tokens from this card.</t>
  </si>
  <si>
    <t>Fly</t>
  </si>
  <si>
    <t>This monster may ignore enemy figures and the effects of terrain while moving. It must end its movement in an empty space following normal movement rules.</t>
  </si>
  <si>
    <t>Forceful Blow</t>
  </si>
  <si>
    <t>Each time you declares an attack, the target tests Might. If the target fails, add 1 Surge to the results.</t>
  </si>
  <si>
    <t>Freezing</t>
  </si>
  <si>
    <t>Each time a hero enters a space adjacent to this monster, that hero suffers 1 Fatigue.</t>
  </si>
  <si>
    <t>Fury</t>
  </si>
  <si>
    <t>Each time you performs an attack, after rolling dice, you may test might. If you passes, add 1 surge to the results. If fails, that attack is a miss.</t>
  </si>
  <si>
    <t>Harrowing</t>
  </si>
  <si>
    <t>Each time a hero within 3 spaces of this monster performs an attack that targets this monster, before rolling dice, that hero tests Willpower. If he fails, he is Terrified.</t>
  </si>
  <si>
    <t>Hideous Laughter</t>
  </si>
  <si>
    <t>Each hero within 3 spaces of this monster applies -1 to his Might, Willpower, Knowledge, and Awareness (to a minimum of 1).</t>
  </si>
  <si>
    <t>Hive Defense</t>
  </si>
  <si>
    <t>Heroes treat each space adjacent to this monster as a Hazard space.</t>
  </si>
  <si>
    <t>Hoarder</t>
  </si>
  <si>
    <t>When a hero performs a search action, Valyndra may test Awareness. If she passes, she may immediately move up to 2 spaces. Then the hero's turn resumes.</t>
  </si>
  <si>
    <t>Horrifying</t>
  </si>
  <si>
    <t>Each hero adjacent to 1 or more monsters with Horrifying applies -1 to his Willpower (to a minimum of 1).</t>
  </si>
  <si>
    <t>Ironskin</t>
  </si>
  <si>
    <t>This monster is immune to Pierce and to all conditions.</t>
  </si>
  <si>
    <t>Lifethirst 1</t>
  </si>
  <si>
    <t>Each time a hero within 5 spaces of this monster recovers 1 or more Heart, that hero reduces the amount of Heart recovered by X (to a minimum of 0).</t>
  </si>
  <si>
    <t>Lifethirst 2</t>
  </si>
  <si>
    <t>Lingering Curse</t>
  </si>
  <si>
    <t>When this monster is defeated, each adjacent hero must test Willpower. Each hero that fails is Cursed.</t>
  </si>
  <si>
    <t>Lithesome</t>
  </si>
  <si>
    <t>Friendly figures do not block this monster's line of sight.</t>
  </si>
  <si>
    <t>Master Plan</t>
  </si>
  <si>
    <t>Each time you play an Overlord card, choose one hero within 3 spaces of Verminous. That hero suffers 1 Heart.</t>
  </si>
  <si>
    <t>Miser</t>
  </si>
  <si>
    <t>When a hero performs a search action, Valyndra may immediately move up to 2 spaces. Then the hero's turn resumes</t>
  </si>
  <si>
    <t>Morph</t>
  </si>
  <si>
    <t>When this monster attacks, it uses the dice of a figure (overlord's choice) in its line of sight. If a hero is chosen, the overlord may choose which of the hero's equipped weapon to use. The monster cannot use any of the figure's other abilities, just the dice.</t>
  </si>
  <si>
    <t>Night Stalker</t>
  </si>
  <si>
    <t>If attacked by any non-adjacent hero, this monster may add 1 brown die to its defense roll.</t>
  </si>
  <si>
    <t>Not Me</t>
  </si>
  <si>
    <t>If attacked, before the dice are rolled, test Awareness. If passes, a ally adjacent to you becomes the target of the attack. Range and line of sight are still measured to your space.</t>
  </si>
  <si>
    <t>Opportunist</t>
  </si>
  <si>
    <t>Each attack gains 1 Surge for each adjacent Immobilized enemy and 2 Surge for each adjacent Stunned.</t>
  </si>
  <si>
    <t>Overflowing</t>
  </si>
  <si>
    <t>Heroes treat each space adjacent to this monster as a Sludge space.</t>
  </si>
  <si>
    <t>Pestilence</t>
  </si>
  <si>
    <t>Each hero adjacent to this monster at the start of his turn must test Willpower. Each hero that fails is Diseased.</t>
  </si>
  <si>
    <t>Phalanx</t>
  </si>
  <si>
    <t>If this monster is adjacent to a figure from its monster group, replace its brown defense die with 1 Grey defense die.</t>
  </si>
  <si>
    <t>Pico</t>
  </si>
  <si>
    <t>During another hero's turn, if that hero is adjacent to Pico, he may search a search token in the space containing Pico (this does not require an action).
If Pico is in a space that does not contain a search token, place Pico on your Hero sheet.</t>
  </si>
  <si>
    <t>Pierce 1</t>
  </si>
  <si>
    <t>This attack ignores X Shield rolled on the defense dice.</t>
  </si>
  <si>
    <t>Pierce 2</t>
  </si>
  <si>
    <t>Pierce 3</t>
  </si>
  <si>
    <t>Pierce 4</t>
  </si>
  <si>
    <t>Plagued</t>
  </si>
  <si>
    <t>When a hero adjacent to this monster would discard a Poisoned or Diseased Condition card, he instead keeps the card.</t>
  </si>
  <si>
    <t>Precise</t>
  </si>
  <si>
    <t>Adjacent figures do not block line of sight</t>
  </si>
  <si>
    <t>Prey on the Weak</t>
  </si>
  <si>
    <t>Each of this monster's attacks targeting a hero with 2 or less Might gains +1</t>
  </si>
  <si>
    <t>Protect</t>
  </si>
  <si>
    <t>Each time a figure in this monster's line of sight performs an attack targeting a figure adjacent to this monster, you may suffer 1 Heart to become the target of the attack. Range and line of sight are still measured to the original figure's space.</t>
  </si>
  <si>
    <t>Puncture</t>
  </si>
  <si>
    <t>Each of this monster's attacks ignores 1 Shield for each defense die rolled by the target of that attack.</t>
  </si>
  <si>
    <t>Purity of Body</t>
  </si>
  <si>
    <t>Cannot be Poisoned or Diseased</t>
  </si>
  <si>
    <t>Putrid Boils</t>
  </si>
  <si>
    <t>Each time a Diseased hero within 3 spaces of 1 or more monsters with Putrid Boils voluntarily suffers 1 or more fatigue, that hero suffers 1 heart.</t>
  </si>
  <si>
    <t>Ravage</t>
  </si>
  <si>
    <t>Both of this monster's actions on a turn may be attack actions.</t>
  </si>
  <si>
    <t>Ravenous</t>
  </si>
  <si>
    <t>When attacking a hero that is Bleeding, this monster adds 1 Surge to its attack results.</t>
  </si>
  <si>
    <t>Reach</t>
  </si>
  <si>
    <t>This monster may attack targets up to 2 spaces away.</t>
  </si>
  <si>
    <t>Reanimate</t>
  </si>
  <si>
    <t>This familiar cannot recover any amount of Heart. It may perform 1 attack action during its activation.</t>
  </si>
  <si>
    <t>Reanimation</t>
  </si>
  <si>
    <t>Each time this monster suffers Heart and is not defeated, it recovers Heart equal to either the amount suffered or the number of monsters from this monster group within 3 spaces of it, whichever is less.</t>
  </si>
  <si>
    <t>Reaper</t>
  </si>
  <si>
    <t>When a hero within 5 spaces of this monster is knocked out, this monster may immediately move up to its Speed and then perform an attack. Limit once per round.</t>
  </si>
  <si>
    <t>Reaper's Scythe</t>
  </si>
  <si>
    <t>Each time you defeat a monster with this weapon, recover 1 Heart.</t>
  </si>
  <si>
    <t>Regeneration 1</t>
  </si>
  <si>
    <t>At the beginning of the overlord player's turn, this monster recovers 1 Heart.</t>
  </si>
  <si>
    <t>Resilient</t>
  </si>
  <si>
    <t>At the start of the overlord turn, discard 1 Condition token.</t>
  </si>
  <si>
    <t>Riposte</t>
  </si>
  <si>
    <t>Each time an adjacent figure resolves an attack that affects this monster, that figure suffers Heart equal to the defense results; if the attack is a miss, the figure suffers Heart equal to the Heart rolled instead.</t>
  </si>
  <si>
    <t>Can be used by monster group.
Each master monster in this group applies +2 Health.
Each hero within 3 spaces of 1 or more monsters in this group applies -1 to his Knowledge (to a minimum of 1).</t>
  </si>
  <si>
    <t>Scamper</t>
  </si>
  <si>
    <t>This monster may move through spaces containing heroes.</t>
  </si>
  <si>
    <t>Scourge</t>
  </si>
  <si>
    <t>Each time a hero adjacent to the Scourge suffers 1 or more Fatigue from an effect other than this, choose another hero to suffer 1 Fatigue.</t>
  </si>
  <si>
    <t>Shadow</t>
  </si>
  <si>
    <t>A hero adjacent to this monster that declares an attack must spend 1 Surge or the attack is considered a miss.</t>
  </si>
  <si>
    <t>Shadow Soul</t>
  </si>
  <si>
    <t>The Shadow Soul may occupy any space containing figures or terrain.
Each time a monster in a space adjacent or containing a Shadow Soul suffers Heart from an attack, it suffers 1 additional Heart.</t>
  </si>
  <si>
    <t>Shadow Step</t>
  </si>
  <si>
    <t>Each time a hero performs an attack that targets this monster, he may spend 1 Surge. If he does not, this monster gains 5 movement points after the attack resolves.</t>
  </si>
  <si>
    <t>Shambling</t>
  </si>
  <si>
    <t>This monster may not perform more than 1 move action during a single turn.</t>
  </si>
  <si>
    <t>Shield of Zorek's Favor</t>
  </si>
  <si>
    <t>Each time an attack targeting this lieurenant is resolved and he is not defeated, he tests Might. If he passes, the attacker suffers 1 Heart for each Shield rolled on this test.</t>
  </si>
  <si>
    <t>Skye</t>
  </si>
  <si>
    <t>Skye ignores the effects of terrain.
Each time a hero performs a Ranged attack that targets a monster adjacent to Skye, that attack gains +2 Range. After dice are rolled, you may discard Skye. If you do, that attack gains +1 Heart.</t>
  </si>
  <si>
    <t>Small Beginnings</t>
  </si>
  <si>
    <t>Do not Place this monster during Setup.</t>
  </si>
  <si>
    <t>Sorcery 1</t>
  </si>
  <si>
    <t>After making an attack roll, this monster may convert up to X range to Heart, or up to X Heart to range.</t>
  </si>
  <si>
    <t>Sorcery 2</t>
  </si>
  <si>
    <t>Sorcery 3</t>
  </si>
  <si>
    <t>Sorcery 4</t>
  </si>
  <si>
    <t>Soul Mastery</t>
  </si>
  <si>
    <t>Each time a hero within 3 spaces of Zarihell would be defeated, she may test knowledge. If she passes, before that hero is knocked out, perform an attack with that hero as if it were a monster. Then, that hero is defeated.</t>
  </si>
  <si>
    <t>Soul Shackle 1</t>
  </si>
  <si>
    <t>Soul Shackle X: Each time a hero within 3 spaces of this monster recovers 1 or more Fatigue, this monster may suffer X Heart to reduce the amount of Fatigue recovered by X (to a minimum of 0).</t>
  </si>
  <si>
    <t>Soul Shackle 2</t>
  </si>
  <si>
    <t>Soul Shackle 3</t>
  </si>
  <si>
    <t>Soul Siphon</t>
  </si>
  <si>
    <t>Each time you suffers Heart from any source other than an attack, you may choose an adjacent ally. That ally suffers that amount of Heart instead.</t>
  </si>
  <si>
    <t>Spawner</t>
  </si>
  <si>
    <t>At the start of each overlord turn, place 1 minion kobold adjacent to this monster, respecting group limits.</t>
  </si>
  <si>
    <t>Stealthy</t>
  </si>
  <si>
    <t>Each attack that targets this monster must roll 3 additional range beyond the normally required amount or the attack is a miss.</t>
  </si>
  <si>
    <t>Strong Spirit</t>
  </si>
  <si>
    <t>Cannot be Cursed or Diseased.</t>
  </si>
  <si>
    <t>Zachareth Only</t>
  </si>
  <si>
    <t>The Summoned Stone</t>
  </si>
  <si>
    <t>This familiar is treated as an obstacle, but may be targeted and affected by any attack (even from heroes). You cannot have more than 1 Summoned Stone on the map at a time, unless an ability allows it. Each of your attacks targeting a monster adjacent to a Summoned Stone gains 1 Surge.</t>
  </si>
  <si>
    <t>Tormentress</t>
  </si>
  <si>
    <t>When a hero starts his turn within 3 spaces of Zarihell or enters a space within 3 spaces of Zarihell, that hero is Terrified.</t>
  </si>
  <si>
    <t>Trap Springer</t>
  </si>
  <si>
    <t>Each time you play a Trap Overlord card, Queen Ariad may immediately move 1 space.</t>
  </si>
  <si>
    <t>Unmovable</t>
  </si>
  <si>
    <t>This monster may choose to ignore any game effect that would force it to move.</t>
  </si>
  <si>
    <t>Waiqar's Favor</t>
  </si>
  <si>
    <t>Can be used by monster group.
Each monster in this group cannot be Terrified.</t>
  </si>
  <si>
    <t>Web</t>
  </si>
  <si>
    <t>Each hero adjacent to this monster must suffer 1 Fatigue to move out of his current space; this is in addition to any other Fatigue suffered to move.</t>
  </si>
  <si>
    <t>Wolf</t>
  </si>
  <si>
    <t>This familiar is treated as a figure. It may perform 1 attack action during its activation.</t>
  </si>
  <si>
    <t>Ignore effects of hazard spaces.</t>
  </si>
  <si>
    <t>Surge Abilities</t>
  </si>
  <si>
    <t>Abilitie Description</t>
  </si>
  <si>
    <t>BR Surge</t>
  </si>
  <si>
    <t>1. На кого можно использовать?
1.1. На себя \ на союзника = 2
1.2. Все вокруг = 5
1.3. Все, кроме монстра = 3
1.4. Враги = 4
1.5 Рядом = 1</t>
  </si>
  <si>
    <t>2. Как часто?
2.1. Постоянно = 0
2.2. Стоит молнии? = -2
2.3. При условии = -1
2.4. За действие = -4</t>
  </si>
  <si>
    <t>+1 Range, +1 Wound</t>
  </si>
  <si>
    <t>+1 Range, +2 Wounds</t>
  </si>
  <si>
    <t>+1 Range, +3 Wounds</t>
  </si>
  <si>
    <t>+1 Wound</t>
  </si>
  <si>
    <t>+1 Wound and move the target 1 space</t>
  </si>
  <si>
    <t>+1 Wound, Poison</t>
  </si>
  <si>
    <t>+1 Wound, Recover 1 Fatigue</t>
  </si>
  <si>
    <t>+1 Wound, Recover 1 Heart</t>
  </si>
  <si>
    <t>+2 Range, +1 Wound</t>
  </si>
  <si>
    <t>+2 Wounds</t>
  </si>
  <si>
    <t>+2 Wounds, Curse</t>
  </si>
  <si>
    <t>+2 Wounds, Disease</t>
  </si>
  <si>
    <t>+3 Wounds</t>
  </si>
  <si>
    <t>+4 Range</t>
  </si>
  <si>
    <t>+4 Wounds</t>
  </si>
  <si>
    <t>+5 Wounds</t>
  </si>
  <si>
    <t>Battle Tome</t>
  </si>
  <si>
    <t>+X Hearts, where X is equal to your Knowledge.  After this attack resolves, unequip this weapon.</t>
  </si>
  <si>
    <t>Black Venom</t>
  </si>
  <si>
    <t>If this attack deals at least 1 Heart (after the defense roll), the target is Doomed and Poisoned.</t>
  </si>
  <si>
    <t>Blade of Brivala</t>
  </si>
  <si>
    <t>If this attack deals at least 1 Heart, choose 1 hero within 3 spaces of the target. That hero is now Terrified.</t>
  </si>
  <si>
    <t>Blast</t>
  </si>
  <si>
    <t>This attack affects all figures adjacent to the target space.</t>
  </si>
  <si>
    <t>Bleed</t>
  </si>
  <si>
    <t>If this attack deals at least 1 Heart (after the defense roll), the target is Bleeding.</t>
  </si>
  <si>
    <t>Blood Call</t>
  </si>
  <si>
    <t>You recovers Heart equal to the amount of Heart dealt with this attack (after rolling defense dice).</t>
  </si>
  <si>
    <t>Bone Splinter</t>
  </si>
  <si>
    <t>Each figure adjacent to the target suffers 2 Heart.</t>
  </si>
  <si>
    <t>Burn</t>
  </si>
  <si>
    <t>If this attack deals at least 1 Heart (after the defense roll), the target is Burning.</t>
  </si>
  <si>
    <t>Charge</t>
  </si>
  <si>
    <t>If this monster was not adjacent to the target at the start of this turn, this attack gains +3 Heart.</t>
  </si>
  <si>
    <t>Colonize</t>
  </si>
  <si>
    <t>If this attack deals at least 1 Heart (after the defense roll), the target is Immobilized and Terrified.</t>
  </si>
  <si>
    <t>Curse</t>
  </si>
  <si>
    <t>If this attack deals at least 1 Heart (after the defense roll), the target is Cursed.</t>
  </si>
  <si>
    <t>Dawnblade</t>
  </si>
  <si>
    <t>This attack affects a second monster adjacent to you</t>
  </si>
  <si>
    <t>Disease</t>
  </si>
  <si>
    <t>If this attack deals at least 1 Heart (after the defense roll), the target is Diseased.</t>
  </si>
  <si>
    <t>Disease, Poison</t>
  </si>
  <si>
    <t>If this attack deals at least 1 Heart (after the defense roll) Diseased and Poisoned.</t>
  </si>
  <si>
    <t>Doom</t>
  </si>
  <si>
    <t>If this attack deals at least 1 Heart (after the defense roll) the target is Doomed.</t>
  </si>
  <si>
    <t>This attack gains +X Heart, where X is equal to the monster's remaining Health.</t>
  </si>
  <si>
    <t>Fire Breath</t>
  </si>
  <si>
    <t>Starting with the target space, trace a path of 4 spaces in any direction. All figures on this path are affected by this attack. Each figure rolls defense dice separately.</t>
  </si>
  <si>
    <t>Gain 2 movement points</t>
  </si>
  <si>
    <t>Her Majesty's Malice</t>
  </si>
  <si>
    <t>After resolving this attack, you may perform a second attack action against the same target (once per turn).</t>
  </si>
  <si>
    <t>Hunt</t>
  </si>
  <si>
    <t>After this attack resolves, you may remove the target from the map and place it in an empty space adjacent to this monster.</t>
  </si>
  <si>
    <t>Immobilize</t>
  </si>
  <si>
    <t>If this attack deals at least 1 Heart (after the defense roll), the target is Immobilized.</t>
  </si>
  <si>
    <t>Iron Longsword</t>
  </si>
  <si>
    <t>You may force the target to reroll 1 defense die</t>
  </si>
  <si>
    <t>Knockback</t>
  </si>
  <si>
    <t>Remove the target from the map, then place him on any empty space within 3 spaces of his original space. He counts as entering that space.</t>
  </si>
  <si>
    <t>Lash</t>
  </si>
  <si>
    <t>After this attack resolves, place the target in an empty space up to 2 spaces away from this monster.</t>
  </si>
  <si>
    <t>Leather Whip</t>
  </si>
  <si>
    <t>Move the target 1 space</t>
  </si>
  <si>
    <t>Mace of Kellos</t>
  </si>
  <si>
    <t>Each enemy adjacent to you suffers 1 Heart</t>
  </si>
  <si>
    <t>Magic Staff</t>
  </si>
  <si>
    <t>Deal 1 Heart to another monster within 3 spaces of the target</t>
  </si>
  <si>
    <t>Mend 2</t>
  </si>
  <si>
    <t>This monster recovers X Heart.</t>
  </si>
  <si>
    <t>Mend 3</t>
  </si>
  <si>
    <t>Mend 4</t>
  </si>
  <si>
    <t>Mortal Binding</t>
  </si>
  <si>
    <t>The target tests Knowledge. If he fails, place his hero token on this card. A hero whose token is on this card cannot recover Heart by any means. When a monster from this group is defeated or a hero is knocked out, discard all hero tokens from this card.</t>
  </si>
  <si>
    <t>Omen of Blight</t>
  </si>
  <si>
    <t>If this attack deals at least one Heart (after the defense roll), choose one condition. The target suffers the chosen condition.</t>
  </si>
  <si>
    <t>Pierce 1, +1 Wound</t>
  </si>
  <si>
    <t>Pierce 5</t>
  </si>
  <si>
    <t>Poison</t>
  </si>
  <si>
    <t>If this attack deals at least 1 Heart (after the defense roll) Poisoned.</t>
  </si>
  <si>
    <t>Recover 1 Fatigue</t>
  </si>
  <si>
    <t>Recover 1 Heart</t>
  </si>
  <si>
    <t>Recover 2 Fatigue</t>
  </si>
  <si>
    <t>Recover 2 Heart</t>
  </si>
  <si>
    <t>Recover 3 Heart</t>
  </si>
  <si>
    <t>Scheme</t>
  </si>
  <si>
    <t>Discard 1 Overlord card from your hand to draw 1 Overlord card.</t>
  </si>
  <si>
    <t>Poison (even if you didn't deal any Hearts)</t>
  </si>
  <si>
    <t>Spire of Conflux</t>
  </si>
  <si>
    <t>If 2 or more of your Fatigue cards are exhausted, +2 Heart.
Классовая пушка для класса, основанного на повёрнутых картах.</t>
  </si>
  <si>
    <t>Staff of the Wild</t>
  </si>
  <si>
    <t xml:space="preserve">Curse, Disease, Poison, or Stun on your choise. </t>
  </si>
  <si>
    <t>Stun</t>
  </si>
  <si>
    <t>If this attack deals at least 1 Heart (after the defense roll), the target is Stunned.</t>
  </si>
  <si>
    <t>Subdue</t>
  </si>
  <si>
    <t>If this attack deals at least 1Heart, choose 1 condition. The target suffers from the chosen condition.</t>
  </si>
  <si>
    <t>Swarm</t>
  </si>
  <si>
    <t>This monster deals +1 Heart for each other monster adjacent to the target.</t>
  </si>
  <si>
    <t>Teleportation Rune</t>
  </si>
  <si>
    <t>After resolving this attack, you may choose an empty space within 2 spaces of you and place your figure in the chosen space.</t>
  </si>
  <si>
    <t>Terrify</t>
  </si>
  <si>
    <t>If this attack deals at least 1 Heart (after the defense roll), the target is Terrified.</t>
  </si>
  <si>
    <t>Draw 1 Overlord Card</t>
  </si>
  <si>
    <t>Traveler's Blade</t>
  </si>
  <si>
    <t>Gain 1 movement point</t>
  </si>
  <si>
    <t>Trident</t>
  </si>
  <si>
    <t>Gain 2 movement points.</t>
  </si>
  <si>
    <t>Trueshot</t>
  </si>
  <si>
    <t>Weaken</t>
  </si>
  <si>
    <t>If this attack deals at least 1 Heart (after the defense roll), the target is Weakened.</t>
  </si>
  <si>
    <t>Wither</t>
  </si>
  <si>
    <t>The target suffers 1 Fatigue.</t>
  </si>
  <si>
    <t>Monster Actions</t>
  </si>
  <si>
    <t>Action Description</t>
  </si>
  <si>
    <t>BR Action</t>
  </si>
  <si>
    <t>2. Как часто?
2.1. Постоянно = 0
2.2. Стоит молнии? \ Поверните карту = -2
2.3. При условии = -1
2.4. За действие = -4</t>
  </si>
  <si>
    <t>Air</t>
  </si>
  <si>
    <t>Until the start of your next turn, this monster can only be affected by attacks from adjacent figures.</t>
  </si>
  <si>
    <t>Allure</t>
  </si>
  <si>
    <t>You may choose a hero within 3 spaces of Lady Eliza Farrow to test Willpower. If the hero fails, move the hero 1 space in any direction and the hero is stunned</t>
  </si>
  <si>
    <t>Ancient Curse</t>
  </si>
  <si>
    <t>Each enemy within 3 spaces of you must test Willpower. Each enemy that fails is Cursed.</t>
  </si>
  <si>
    <t>Bewitch</t>
  </si>
  <si>
    <t>Move each adjacent Cursed hero up to 2 spaces in any direction of your choice.</t>
  </si>
  <si>
    <t>Bloodrush</t>
  </si>
  <si>
    <t>This monster suffers 1 Heart and gains 5 movement points. Limit once per turn.</t>
  </si>
  <si>
    <t>Burrow</t>
  </si>
  <si>
    <t>Remove the figure from the map and place it in an unoccupied or occupied space up to 3 spaces. Each figure occupying any target space is moved to the closest empty space of your choice and suffers 1 Fatigue. Limit once per monster per turn.</t>
  </si>
  <si>
    <t>Cause Fear</t>
  </si>
  <si>
    <t>Choose a hero adjacent to this monster. That hero must test Willpower. If he fails, he moves 2 spaces directly away from this monster and is Immobilized.</t>
  </si>
  <si>
    <t>Cocoon</t>
  </si>
  <si>
    <t>Each hero adjacent to this monster must test Awareness. Each hero that fails is Immobilized.</t>
  </si>
  <si>
    <t>Constrict</t>
  </si>
  <si>
    <t>Chose 1 hero adjacent to this monster. That hero tests Might. If he fails, he is Immobilized, this monster may move 1 space, and then you may place the hero in an empty space adjacent to this monster.</t>
  </si>
  <si>
    <t>Cry Havoc</t>
  </si>
  <si>
    <t>Perform a move action and then attack action. The attack targets every figure you moves through.</t>
  </si>
  <si>
    <t>Cursed Assault</t>
  </si>
  <si>
    <t>Perform an attack that targets each enemy in line of sight. If insufficient ranged is rolled for any one target, the entire attack is a miss.</t>
  </si>
  <si>
    <t>Cursed Blast</t>
  </si>
  <si>
    <t>Perform an attack targeting each Cursed enemy in line of sight. If insufficient range is rolled for any one target, the entire attack is considered a miss.</t>
  </si>
  <si>
    <t>Dark Prayer</t>
  </si>
  <si>
    <t>Each hero within 3 spaces of this monster must test Willpower. Each hero that fails suffers 1 Fatigue.</t>
  </si>
  <si>
    <t>Death Cry</t>
  </si>
  <si>
    <t>Choose 1 hero within 3 spaces of this monster. That hero tests Willpower. If he fails, he is Doomed or suffers 1 Heart, your choice. Limit once per round.</t>
  </si>
  <si>
    <t>Death Omen</t>
  </si>
  <si>
    <t>Choose 1 hero in this monster's line of sight. That hero may choose to suffer 2 Heart. If he does not, he suffers 1 condition of your choice.</t>
  </si>
  <si>
    <t>Despair</t>
  </si>
  <si>
    <t>Each hero within 3 spaces of you tests willpower. Each enemy that fails suffers 2 fatigue.</t>
  </si>
  <si>
    <t>Dominion</t>
  </si>
  <si>
    <t>Test Willpower. If passes, you may move an enemy within his line of sight 2 spaces in any direction. After the movement, the enemy tests Willpower. If he fails, he is Immobilized.</t>
  </si>
  <si>
    <t>Earth</t>
  </si>
  <si>
    <t>Exploit Fear</t>
  </si>
  <si>
    <t>Each Terrified enemy within 3 spaces of you tests willpower. Each enemy that fails is Stunned.</t>
  </si>
  <si>
    <t>Extract</t>
  </si>
  <si>
    <t>Choose a hero adjacent to this monster. That hero tests Might. If he fails, that hero suffers 2 Fatigue and this monster recovers 2 Heart.</t>
  </si>
  <si>
    <t>Fearbrand</t>
  </si>
  <si>
    <t>Choose a hero in this monsters line of sight and place that heros hero token on this monsters base.</t>
  </si>
  <si>
    <t>Fire</t>
  </si>
  <si>
    <t>Perform an attack targeting all figures adjacent to this monster. Each figure rolls defense dice separately.</t>
  </si>
  <si>
    <t>When attacking, this monster may target 2 separate heroes. This monster makes 1 attack roll and each hero rolls defense dice separately.</t>
  </si>
  <si>
    <t>Flicker</t>
  </si>
  <si>
    <t>Choose 1 hero within 3 spaces of this monster. Remove this monster from the map and place it adjacent to that hero. Then, if this monster has not performed an attack this activation, that hero tests Awareness. If he fails, perform an attack with this monster that targets that hero.</t>
  </si>
  <si>
    <t>Flock</t>
  </si>
  <si>
    <t>Each minion monster from this monster group within 5 spaces of this monster may immediately move 2 spaces.</t>
  </si>
  <si>
    <t>Grab</t>
  </si>
  <si>
    <t>Choose a hero adjacent to this monster. The hero must test Might. If the hero fails, he is Immobilized.</t>
  </si>
  <si>
    <t>Heal</t>
  </si>
  <si>
    <t>Choose a monster within 3 spaces of this monster and roll 1 red power die. The chosen monster recovers Heart equal to the Heart rolled.</t>
  </si>
  <si>
    <t>Howl</t>
  </si>
  <si>
    <t>Ignite</t>
  </si>
  <si>
    <t>Suffers 1 wound to perform an attack that targets all adjacent figures. Each figure rolls defense dice separately. You may not perform this action if suffering the wound would defeat you.</t>
  </si>
  <si>
    <t>Influence</t>
  </si>
  <si>
    <t>Choose 1 adjacent figure. That figure immediately performs an action of the controlling player's choice. Limit once per round.</t>
  </si>
  <si>
    <t>Leap Attack</t>
  </si>
  <si>
    <t>This monster may move its Speed, ignoring enemy figures as it does so. When if finishes its movement, perform a single attack that targets each figure this monster moved through. Each figure rolls defense dice separately.</t>
  </si>
  <si>
    <t>Maneuver</t>
  </si>
  <si>
    <t>Choose 1 minion monster adjacent to this monster. That monster gains 2 movement points.</t>
  </si>
  <si>
    <t>Merge</t>
  </si>
  <si>
    <t>Choose 1 monster adjacent to this monster of the same group. This monster suffers Heart equal to its remaining health, and the chosen monster recovers an equal amount of Heart.</t>
  </si>
  <si>
    <t>Miasma</t>
  </si>
  <si>
    <t>Each enemy within 3 spaces must test Willpower. Each enemy that fails, suffers 1 Heart and 1 Fatigue.</t>
  </si>
  <si>
    <t>Overpower</t>
  </si>
  <si>
    <t>Perform a move action. Each time you moves into a space adjacent to an enemy, you may test Might. If passes, you may trade spaces with that enemy and that enemy suffers 1 Fatigue.</t>
  </si>
  <si>
    <t>Overrun</t>
  </si>
  <si>
    <t>Perform a move action. Each time you moves into a space adjacent to an enemy, you may trade spaces with that enemy and the enemy suffers 1 Fatigue</t>
  </si>
  <si>
    <t>Pilfer</t>
  </si>
  <si>
    <t>If adjacent to a search token, you may look at the top card of the Search deck. Then place it at the top or the bottom of the deck.</t>
  </si>
  <si>
    <t>Pillage</t>
  </si>
  <si>
    <t>Perform an attack that targets an adjacent hero. If that hero is knocked out by this attack, choose 1 of his Search cards and shuffle it into the Search deck.</t>
  </si>
  <si>
    <t>Pincer Attack</t>
  </si>
  <si>
    <t>Perform an attack targeting up to 2 heroes adjacent to this monster. 1 attack roll is made but each hero rolls defense dice separately. Each target that suffers at least 1 Heart from this attack (after the defense roll) is Immobilized.</t>
  </si>
  <si>
    <t>Promotion</t>
  </si>
  <si>
    <t>Splig tests Willpower. If he passes, you may replace an adjacent minion monster with a master monster of that type. This may not exceed that monster group limit.</t>
  </si>
  <si>
    <t>Rally</t>
  </si>
  <si>
    <t>Each ally within 3 spaces of you discards 1 condition.</t>
  </si>
  <si>
    <t>Rampage</t>
  </si>
  <si>
    <t>Perform a move action followed by an attack action. This attack affects each figure within 2 spaces of each space you entered during this movement. After this attack, you are stunned and weakened.</t>
  </si>
  <si>
    <t>Rend</t>
  </si>
  <si>
    <t>Choose a hero adjacent to this monster to test Might. If he fails, he is Bleeding.</t>
  </si>
  <si>
    <t>Sacrifice</t>
  </si>
  <si>
    <t>The Sacrifice keyword allows a monster to heal itself at the cost of an adjacent monster's health.
Ability text: Sacrifice: Deal up to 5 Heart to an adjacent monster to allow Lady Eliza Farrow to recover an equal amount of Heart.</t>
  </si>
  <si>
    <t>Seduce</t>
  </si>
  <si>
    <t>You may choose an enemy within 3 spaces and test Willpower. If passes, move the enemy 1 space in any direction and the enemy is Stunned</t>
  </si>
  <si>
    <t>Shadow Bolt</t>
  </si>
  <si>
    <t>Perform a Ranged attack</t>
  </si>
  <si>
    <t>Skirmish</t>
  </si>
  <si>
    <t>This monster may move 3 spaces, then perform an attack.</t>
  </si>
  <si>
    <t>Split Earth</t>
  </si>
  <si>
    <t>Starting with a space adjacent to you, trace a path of 4 spaces in any direction. Each figure on this path suffers 1 Heart and moves to an empty adjacent space of your choice. Limit once per round.</t>
  </si>
  <si>
    <t>Summon</t>
  </si>
  <si>
    <t>Choose a minion within 3 spaces of this monster. Place that minion in an empty space adjacent to this monster.</t>
  </si>
  <si>
    <t>Sweep</t>
  </si>
  <si>
    <t>Perform an attack. This attack affects each figure within two spaces and line of sight of this monster. Each figure rolls defense dice separately.</t>
  </si>
  <si>
    <t>Thrash</t>
  </si>
  <si>
    <t>Perform an attack. This attack affects each figure adjacent to you. Each figure rolls defense dice separately.</t>
  </si>
  <si>
    <t>Throw</t>
  </si>
  <si>
    <t>Choose a hero adjacent to this monster. That hero must test Might. If he fails, remove the hero from the map, then place him on any empty space within 3 spaces of his original space. He counts as entering that space. Then the hero suffers 1 Heart.</t>
  </si>
  <si>
    <t>Wail</t>
  </si>
  <si>
    <t>All enemies within 3 spaces of you must test Willpower. Each enemy that fails suffers 2 Fatigue.</t>
  </si>
  <si>
    <t>Water</t>
  </si>
  <si>
    <t>Each hero adjacent to this monster must test Willpower. Each hero that fails suffers 2 Fatigue.</t>
  </si>
  <si>
    <t>Whisper</t>
  </si>
  <si>
    <t>Each hero adjacent to this monster tests Willpower. Each hero who fails moves 1 space in the direction of your choice.</t>
  </si>
  <si>
    <t>HERO 1</t>
  </si>
  <si>
    <t>HERO 2</t>
  </si>
  <si>
    <t>OVERLORD</t>
  </si>
  <si>
    <t>BR</t>
  </si>
  <si>
    <t>BR Deck</t>
  </si>
  <si>
    <t>Base Deck</t>
  </si>
  <si>
    <t>Campaign</t>
  </si>
  <si>
    <t>Default Monsters</t>
  </si>
  <si>
    <t>4H Group</t>
  </si>
  <si>
    <t>3H Group</t>
  </si>
  <si>
    <t>2H Group</t>
  </si>
  <si>
    <t>Challara</t>
  </si>
  <si>
    <t>Necromancer</t>
  </si>
  <si>
    <t>Trenloe the Strong</t>
  </si>
  <si>
    <t>Skirmisher</t>
  </si>
  <si>
    <t>Full Deck</t>
  </si>
  <si>
    <t>Act</t>
  </si>
  <si>
    <t>Mission</t>
  </si>
  <si>
    <t>Encounter</t>
  </si>
  <si>
    <t>The Wyrm Rises</t>
  </si>
  <si>
    <t>Equipment</t>
  </si>
  <si>
    <t>Skill</t>
  </si>
  <si>
    <t>Open groups</t>
  </si>
  <si>
    <t>Lieutenants</t>
  </si>
  <si>
    <t>Relic</t>
  </si>
  <si>
    <t>BR Relic</t>
  </si>
  <si>
    <t>4H</t>
  </si>
  <si>
    <t>HP</t>
  </si>
  <si>
    <t>Def</t>
  </si>
  <si>
    <t>3H</t>
  </si>
  <si>
    <t>2H</t>
  </si>
  <si>
    <t>Staff of Greyhaven</t>
  </si>
  <si>
    <t>Plot Deck</t>
  </si>
  <si>
    <t>Open Group Available Monsters</t>
  </si>
  <si>
    <t>Hybrid Sentinel</t>
  </si>
  <si>
    <t>Ice Wyrm</t>
  </si>
  <si>
    <t>Shade</t>
  </si>
  <si>
    <t>Crypt Dragon</t>
  </si>
  <si>
    <t>Skeleton Archer</t>
  </si>
  <si>
    <t>Dark Minotaur</t>
  </si>
  <si>
    <t>Bone Horror</t>
  </si>
  <si>
    <t>Familiars</t>
  </si>
  <si>
    <t>Hell Hound</t>
  </si>
  <si>
    <t>Plague Worm</t>
  </si>
  <si>
    <t>Shambling Colossus</t>
  </si>
  <si>
    <t>FREE POINTS</t>
  </si>
  <si>
    <t>Raven Flock</t>
  </si>
  <si>
    <t>Ettins</t>
  </si>
  <si>
    <t>HERO 3</t>
  </si>
  <si>
    <t>HERO 4</t>
  </si>
  <si>
    <t>Wendigo</t>
  </si>
  <si>
    <t>Demon Lord</t>
  </si>
  <si>
    <t>Jaine Fairwood</t>
  </si>
  <si>
    <t>Wildlander</t>
  </si>
  <si>
    <t>Avric Albright</t>
  </si>
  <si>
    <t>Spiritspeaker</t>
  </si>
  <si>
    <t>Ferrox</t>
  </si>
  <si>
    <t>Wraith</t>
  </si>
  <si>
    <t>The Dispossessed</t>
  </si>
  <si>
    <t>Naga</t>
  </si>
  <si>
    <t>Chaos Beast</t>
  </si>
  <si>
    <t>Leather Armor</t>
  </si>
  <si>
    <t>Blood Ape</t>
  </si>
  <si>
    <t>Fire Imps</t>
  </si>
  <si>
    <t>Cave Spider</t>
  </si>
  <si>
    <t>Goblin Archers</t>
  </si>
  <si>
    <t>Flesh Moulder</t>
  </si>
  <si>
    <t>Medusa</t>
  </si>
  <si>
    <t>Bane Spider</t>
  </si>
  <si>
    <t>Troll</t>
  </si>
  <si>
    <t>Deep Elf</t>
  </si>
  <si>
    <t>Goblin Witcher</t>
  </si>
  <si>
    <t>Ynfernael Hulk</t>
  </si>
  <si>
    <t>Arachyura</t>
  </si>
  <si>
    <t>Razorwing</t>
  </si>
  <si>
    <t>Kobold</t>
  </si>
  <si>
    <t>Dark Priest</t>
  </si>
  <si>
    <t>Ogre</t>
  </si>
  <si>
    <t>Zombie</t>
  </si>
  <si>
    <t>Speed</t>
  </si>
  <si>
    <t>Health</t>
  </si>
  <si>
    <t>Str</t>
  </si>
  <si>
    <t>Knw</t>
  </si>
  <si>
    <t>Stamina</t>
  </si>
  <si>
    <t>Defence</t>
  </si>
  <si>
    <t>Wlp</t>
  </si>
  <si>
    <t>Awr</t>
  </si>
  <si>
    <t>Gold</t>
  </si>
  <si>
    <t>Equip</t>
  </si>
  <si>
    <t>Attack</t>
  </si>
  <si>
    <t>Dice</t>
  </si>
  <si>
    <t>Tags</t>
  </si>
  <si>
    <t>Mvmnt</t>
  </si>
  <si>
    <t>Wounds</t>
  </si>
  <si>
    <t>Attack Type</t>
  </si>
  <si>
    <t>Attack Dice</t>
  </si>
  <si>
    <t>Surge</t>
  </si>
  <si>
    <t>Trait</t>
  </si>
  <si>
    <t>BR Plot Deck</t>
  </si>
  <si>
    <t>The Overlord Revealed</t>
  </si>
  <si>
    <t>BR Monsters</t>
  </si>
  <si>
    <t>BR Lieutenants</t>
  </si>
  <si>
    <t>Plot Deck Cards</t>
  </si>
  <si>
    <t>Grinding Axe</t>
  </si>
  <si>
    <t>Thief</t>
  </si>
  <si>
    <t>Shopping Act</t>
  </si>
  <si>
    <t>Attack
Type</t>
  </si>
  <si>
    <t>BR Dice</t>
  </si>
  <si>
    <t>Traits</t>
  </si>
  <si>
    <t>BR Traits</t>
  </si>
  <si>
    <t>Surge Abilitie 1</t>
  </si>
  <si>
    <t>BR Surge 1</t>
  </si>
  <si>
    <t>Surge Abilitie 2</t>
  </si>
  <si>
    <t>BR Surge 2</t>
  </si>
  <si>
    <t>Surge Abilitie 3</t>
  </si>
  <si>
    <t>BR Surge 3</t>
  </si>
  <si>
    <t>Count abilities</t>
  </si>
  <si>
    <t>Surge Chance</t>
  </si>
  <si>
    <t>BR Surges</t>
  </si>
  <si>
    <t>Закуп 1</t>
  </si>
  <si>
    <t>Закуп 2</t>
  </si>
  <si>
    <t>Закуп 3</t>
  </si>
  <si>
    <t>Закуп 4</t>
  </si>
  <si>
    <t>Two Hands</t>
  </si>
  <si>
    <t>Melee</t>
  </si>
  <si>
    <t>Blue, Red, Green</t>
  </si>
  <si>
    <t>Exotic, Blade</t>
  </si>
  <si>
    <t>S: Pierce 2</t>
  </si>
  <si>
    <t>Blue, Red</t>
  </si>
  <si>
    <t>Axe</t>
  </si>
  <si>
    <t>One Hand</t>
  </si>
  <si>
    <t>Blue, Red, Red</t>
  </si>
  <si>
    <t>Hammer</t>
  </si>
  <si>
    <t>Rune of Blades</t>
  </si>
  <si>
    <t>Range</t>
  </si>
  <si>
    <t>Blue, Yellow, Green</t>
  </si>
  <si>
    <t>Magic, Rune</t>
  </si>
  <si>
    <t>S: +2 Wounds</t>
  </si>
  <si>
    <t>S: Bleed</t>
  </si>
  <si>
    <t>Ironbound Glaive</t>
  </si>
  <si>
    <t>Blue, Red, Yellow</t>
  </si>
  <si>
    <t>Blade, Staff</t>
  </si>
  <si>
    <t>S: +3 Wounds</t>
  </si>
  <si>
    <t>S: Pierce 3</t>
  </si>
  <si>
    <t>Bow, Exotic</t>
  </si>
  <si>
    <t>Hammer of Doom</t>
  </si>
  <si>
    <t>Hammer, Magic</t>
  </si>
  <si>
    <t>S: Doom</t>
  </si>
  <si>
    <t>SS: +4 Wounds</t>
  </si>
  <si>
    <t>Blue, Yellow, Yellow</t>
  </si>
  <si>
    <t>Bow, Magic</t>
  </si>
  <si>
    <t>Blue, Yellow</t>
  </si>
  <si>
    <t>Hammer, Exotic</t>
  </si>
  <si>
    <t>S: Weaken</t>
  </si>
  <si>
    <t>Rat-Tooth Dagger</t>
  </si>
  <si>
    <t>Blade, Exotic</t>
  </si>
  <si>
    <t>S: Disease</t>
  </si>
  <si>
    <t>Bow</t>
  </si>
  <si>
    <t>S: +2 Range</t>
  </si>
  <si>
    <t>Hero Relic</t>
  </si>
  <si>
    <t>Blade</t>
  </si>
  <si>
    <t>Bone Blade</t>
  </si>
  <si>
    <t>Exotic, Magic</t>
  </si>
  <si>
    <t>S: Stun</t>
  </si>
  <si>
    <t>Exotic</t>
  </si>
  <si>
    <t>S: +1 Wound</t>
  </si>
  <si>
    <t>Iron Battleaxe</t>
  </si>
  <si>
    <t>S: Pierce 1</t>
  </si>
  <si>
    <t>S: Pierce 1, +1 Wound</t>
  </si>
  <si>
    <t>SS: +3 Wounds</t>
  </si>
  <si>
    <t>Ranged</t>
  </si>
  <si>
    <t>S: +4 Range</t>
  </si>
  <si>
    <t>Blue, Yellow, Green, Green</t>
  </si>
  <si>
    <t>Magic, Staff</t>
  </si>
  <si>
    <t>S: +1 Range, +2 Wounds</t>
  </si>
  <si>
    <t>S: +1 Wound, Recover 1 Fatigue</t>
  </si>
  <si>
    <t>S: Curse, Disease, Poison, or Stun on your choise</t>
  </si>
  <si>
    <t>S: Gain 2 movement points</t>
  </si>
  <si>
    <t>Iron Spear</t>
  </si>
  <si>
    <t>Crossbow</t>
  </si>
  <si>
    <t>S: +1 Wound and move the target 1 space</t>
  </si>
  <si>
    <t>Immolation</t>
  </si>
  <si>
    <t>S: +1 Range</t>
  </si>
  <si>
    <t xml:space="preserve">Each time you defeat a monster with this weapon, recover 1 Fatigue.
</t>
  </si>
  <si>
    <t>S: +1 Range, +1 Wound</t>
  </si>
  <si>
    <t>Bow of the Eclipsed</t>
  </si>
  <si>
    <t>SS: +1 Range, +3 Wounds</t>
  </si>
  <si>
    <t>Latari Longbow</t>
  </si>
  <si>
    <t>Blue, Yellow, Yellow, Green</t>
  </si>
  <si>
    <t>SS: +2 Wounds</t>
  </si>
  <si>
    <t>SS: +5 Wounds</t>
  </si>
  <si>
    <t>S: Recover 2 Heart</t>
  </si>
  <si>
    <t>S: Recover 2 Fatigue</t>
  </si>
  <si>
    <t>S: This attack affects a second monster adjacent to you</t>
  </si>
  <si>
    <t>Poisoned Blowgun</t>
  </si>
  <si>
    <t>Blue, Green</t>
  </si>
  <si>
    <t>S: +1 Wound, Poison</t>
  </si>
  <si>
    <t>Dwarven Firebomb</t>
  </si>
  <si>
    <t>S: Blast</t>
  </si>
  <si>
    <t>Magic, Wand</t>
  </si>
  <si>
    <t>Oak Staff</t>
  </si>
  <si>
    <t>Staff</t>
  </si>
  <si>
    <t>S: Move the target 1 space</t>
  </si>
  <si>
    <t>S: Terrify</t>
  </si>
  <si>
    <t>Lightning Strike</t>
  </si>
  <si>
    <t>Magma Blast</t>
  </si>
  <si>
    <t>S: Burn</t>
  </si>
  <si>
    <t>Rune of Fate</t>
  </si>
  <si>
    <t>S: +2 Range, +1 Wound</t>
  </si>
  <si>
    <t>Staff of Kellos</t>
  </si>
  <si>
    <t>S: Recover 1 Heart</t>
  </si>
  <si>
    <t>SS: Poison (even if you didn't deal any Hearts)</t>
  </si>
  <si>
    <t>Bow of the Sky</t>
  </si>
  <si>
    <t>Rune of Misery</t>
  </si>
  <si>
    <t>S: Curse</t>
  </si>
  <si>
    <t>Ice Storm</t>
  </si>
  <si>
    <t>S: Immobilize</t>
  </si>
  <si>
    <t>S: Pierce 4</t>
  </si>
  <si>
    <t>Feathered Hatchet</t>
  </si>
  <si>
    <t>Axe, Exotic</t>
  </si>
  <si>
    <t>Mace of Aver</t>
  </si>
  <si>
    <t>Blue, Green, Green</t>
  </si>
  <si>
    <t>Prismatic Staff</t>
  </si>
  <si>
    <t>Armor</t>
  </si>
  <si>
    <t>Brown</t>
  </si>
  <si>
    <t>Cloak</t>
  </si>
  <si>
    <t>You gain +1 Health</t>
  </si>
  <si>
    <t>SS: Weaken</t>
  </si>
  <si>
    <t>Witch Hazel Bow</t>
  </si>
  <si>
    <t>Black Widow's Web</t>
  </si>
  <si>
    <t>Double Crossbow</t>
  </si>
  <si>
    <t>Magic, Blade, Staff</t>
  </si>
  <si>
    <t>Other</t>
  </si>
  <si>
    <t>Light Hammer</t>
  </si>
  <si>
    <t>Sunburst</t>
  </si>
  <si>
    <t>City Guard's Bow</t>
  </si>
  <si>
    <t>S: +3 Range</t>
  </si>
  <si>
    <t>Chipped Greataxe</t>
  </si>
  <si>
    <t>Helmet</t>
  </si>
  <si>
    <t>S: If 2 or more of your Fatigue cards are exhausted, add 2 Wounds</t>
  </si>
  <si>
    <t>Yew Shortbow</t>
  </si>
  <si>
    <t>Sling</t>
  </si>
  <si>
    <t>Jeweled Mace</t>
  </si>
  <si>
    <t>You gain +2 Health</t>
  </si>
  <si>
    <t>Trinket</t>
  </si>
  <si>
    <t>One hand</t>
  </si>
  <si>
    <t>S: You may force the target to reroll 1 defense die</t>
  </si>
  <si>
    <t>S: Deal 1 Heart to another monster within 3 spaces of the target</t>
  </si>
  <si>
    <t>Book, Magic</t>
  </si>
  <si>
    <t>SS: +X Hearts, where X is equal to your Knowledge.  After this attack resolves, unequip this weapon.</t>
  </si>
  <si>
    <t>S: After resolving this attack, you may choose an empty space within 2 spaces of you and place your figure in the chosen space.</t>
  </si>
  <si>
    <t>Ring</t>
  </si>
  <si>
    <t>Bloodscript Ring</t>
  </si>
  <si>
    <t>Apply -1 Willpower (to a minimum of 1) and +2 Health</t>
  </si>
  <si>
    <t>Smoking Vials</t>
  </si>
  <si>
    <t>S: Poison</t>
  </si>
  <si>
    <t xml:space="preserve">Hunting Spear
</t>
  </si>
  <si>
    <t>Hunting Knife</t>
  </si>
  <si>
    <t>S: Recover 1 Fatigue</t>
  </si>
  <si>
    <t>Light Armor</t>
  </si>
  <si>
    <t xml:space="preserve">Exhaust this card during an attack that targets you, after dice are rolled.  Cancel 1 Surge. Each of your attacks gains: </t>
  </si>
  <si>
    <t>Iron Mace</t>
  </si>
  <si>
    <t>Belt</t>
  </si>
  <si>
    <t>You gain +1 Willpower up to a maximum of 6</t>
  </si>
  <si>
    <t>Apply +2 Health</t>
  </si>
  <si>
    <t>S: Gain 1 movement point</t>
  </si>
  <si>
    <t>Grey</t>
  </si>
  <si>
    <t>Heavy Armor</t>
  </si>
  <si>
    <t>If the target has any number of damage tokens, this attack gains:  Surge: +3 Wounds</t>
  </si>
  <si>
    <t>Boots</t>
  </si>
  <si>
    <t>Staff of the Grave</t>
  </si>
  <si>
    <t>S: +1 Wound, Recover 1 Heart</t>
  </si>
  <si>
    <t>Light Armor, Rune</t>
  </si>
  <si>
    <t>bbb</t>
  </si>
  <si>
    <t>Black</t>
  </si>
  <si>
    <t>Shield</t>
  </si>
  <si>
    <t>Rune</t>
  </si>
  <si>
    <t>Shroud of Dusk</t>
  </si>
  <si>
    <t>You gain +1 Might, +1 Willpower, +1 Knowledge, and +1 Awareness up to a maximum of 6. Limit 1 Helmet equipped at a time.</t>
  </si>
  <si>
    <t>Black, Black</t>
  </si>
  <si>
    <t>Book</t>
  </si>
  <si>
    <t>Thief's Vest</t>
  </si>
  <si>
    <t>You gain +1 Might and +1 Awareness up to a maximum of 6.</t>
  </si>
  <si>
    <t>Apply +1 Knowledge, (to a maximum of 6)</t>
  </si>
  <si>
    <t>Ring of Power</t>
  </si>
  <si>
    <t>You gain +1 Stamina</t>
  </si>
  <si>
    <t>Scorpion Helm</t>
  </si>
  <si>
    <t>Your Ranged attacks gain +1 Range. Limit 1 Helmet equipped at a time.</t>
  </si>
  <si>
    <t>и</t>
  </si>
  <si>
    <t>Surges</t>
  </si>
  <si>
    <t>SS</t>
  </si>
  <si>
    <t>BR 2xSurges</t>
  </si>
  <si>
    <t>Overlord Relic</t>
  </si>
  <si>
    <t>Action: Exhaust this card to deal 2 Heart to a hero in this lieutenants line of sight.</t>
  </si>
  <si>
    <t>S: If this attack deals at least 1 Heart, choose 1 hero within 3 spaces of the target. That hero is now Terrified.</t>
  </si>
  <si>
    <t>A hero that starts his turn adjacent to this lieutenant receives -1 Speed for that turn.</t>
  </si>
  <si>
    <t>Surge: If this attack deals at least one Heart (after the defense roll), choose one condition. The target suffers the chosen condition.</t>
  </si>
  <si>
    <t>Can be used by monster group
Each master monster in this group applies +2 Health.
Each hero within 3 spaces of 1 or more monsters in this group applies -1 to his Knowledge (to a minimum of 1).</t>
  </si>
  <si>
    <t>Action: Exhaust this card and choose a hero in your line of sight. That hero tests Awareness. If he fails, he is Immobilized and Poisoned. If he passes, he only suffers 1 of those conditions of your choice.</t>
  </si>
  <si>
    <t>Stone of Wayward Means</t>
  </si>
  <si>
    <t>Green</t>
  </si>
  <si>
    <t>Taskmaster's Ring</t>
  </si>
  <si>
    <t>S: +2 Wounds,
S: +1 Range, +1 Wound,
S: Draw 1 Overlord Card</t>
  </si>
  <si>
    <t>Can be used by monster group
Each monster in this group cannot be Terrified.</t>
  </si>
  <si>
    <t>This lieutenant ignores the effects of hazard spaces.</t>
  </si>
  <si>
    <t>Defence Die</t>
  </si>
  <si>
    <t>Strength</t>
  </si>
  <si>
    <t>Willpower</t>
  </si>
  <si>
    <t>Knowledge</t>
  </si>
  <si>
    <t>Awareness</t>
  </si>
  <si>
    <t>Hero Ability</t>
  </si>
  <si>
    <t>Heroic Feat</t>
  </si>
  <si>
    <t>Expansion</t>
  </si>
  <si>
    <t>Оценка Абилки</t>
  </si>
  <si>
    <t>Оценка Ульты</t>
  </si>
  <si>
    <t>1. На кого можно использовать?
1.1. Герой или другой герой на расстоянии = 2
1.2. Все вокруг = 5
1.3. Все, кроме героя = 3
1.4. Враги = 4
1.5 Другой герой рядом = 1</t>
  </si>
  <si>
    <r>
      <rPr>
        <rFont val="Calibri"/>
        <color theme="1"/>
      </rPr>
      <t xml:space="preserve">2. Как часто?
2.1. Постоянно = 0
</t>
    </r>
    <r>
      <rPr>
        <rFont val="Calibri"/>
        <b/>
        <i/>
        <color theme="1"/>
      </rPr>
      <t>2.2. При условии = -2</t>
    </r>
    <r>
      <rPr>
        <rFont val="Calibri"/>
        <color theme="1"/>
      </rPr>
      <t xml:space="preserve">
2.3. Раз в раунд = -1
2.4. Раз в столкновение = -3</t>
    </r>
  </si>
  <si>
    <t>3. Что даёт?
3.1. Сильно = 5
3.2 Хорошо = 4
3.3. Норм = 3
3.4. Слабо = 2
3.5. Сомнительно = 1</t>
  </si>
  <si>
    <t>2. Как часто?
2.1. Постоянно = 0
2.2. При условии = -2
2.3. Раз в раунд = -1
2.4. Раз в столкновение = -3</t>
  </si>
  <si>
    <t>Lord Hawthorne</t>
  </si>
  <si>
    <t>Warrior</t>
  </si>
  <si>
    <t>Each time you perform an attack with a Melee weapon, that attacks gains Reach.</t>
  </si>
  <si>
    <t>Action: Perform an attack, then you may move up to 2 spaces and perform another attack against a different target.</t>
  </si>
  <si>
    <t>Guardians of Deephall</t>
  </si>
  <si>
    <t>Healer</t>
  </si>
  <si>
    <t>Each hero within 3 spaces of you (including yourself) gains "Surge: Recover 1 Heart" on all attack rolls.</t>
  </si>
  <si>
    <t>Action: Roll 2 red power dice. Each hero within 3 spaces of you (including yourself) may recover Heart equal to the Heart rolled.</t>
  </si>
  <si>
    <t>Descent 2ed</t>
  </si>
  <si>
    <t>Sir Valadir</t>
  </si>
  <si>
    <t>Once per turn, after dice are rolled, you may suffer 1 Fatigue to add 1 Surge to your attack roll.</t>
  </si>
  <si>
    <t>Action: Recover Fatigue up to your stamina. Then, perform an attack. This attack gains: Surge: +3 Heart</t>
  </si>
  <si>
    <t>Visions of Darkness</t>
  </si>
  <si>
    <t>Lyssa</t>
  </si>
  <si>
    <t>Mage</t>
  </si>
  <si>
    <t>Each time you perform an attack that targets a figure adjacent to you, before dice are rolled, you may replace 1 of your power dice with 1 red power die.</t>
  </si>
  <si>
    <t>Use after you resolve an attack. Perform an additional attack that targets a figure adjacent to you. Replace 1 blue attack die with 1 power die of your choice, before dice are rolled. This attack ignores range.</t>
  </si>
  <si>
    <t>Bonds of the Wild</t>
  </si>
  <si>
    <t>Mordrog</t>
  </si>
  <si>
    <t>Each time you suffer 1 or more Heart, you may recover 1 Fatigue.</t>
  </si>
  <si>
    <t>Use after you perform an attack that does not defeat a target. Perform an additional attack, using the same target. This attack adds 1 Surge to the results.</t>
  </si>
  <si>
    <t>Tatianna</t>
  </si>
  <si>
    <t>Scout</t>
  </si>
  <si>
    <t>Each of your attacks gain +1 range. Each Ranged attack that targets you requires an additional 1 Range.</t>
  </si>
  <si>
    <t>Use when you perform an attack, after dice are rolled. Choose 1 of you targets's defense dice and change the result of that die to another result of you choice.</t>
  </si>
  <si>
    <t>Stewards of the Secret</t>
  </si>
  <si>
    <t>Krutzbeck</t>
  </si>
  <si>
    <t>While you or a hero adjacent to you has 6 or more damage tokens on his Hero sheet, each of your attacks gains +2 Heart.</t>
  </si>
  <si>
    <t>Use when you perform an attack, after dice are rolled. Suffer 3 Heart. Then, roll 3 red power dice and replace the results of your attack roll with the results of the red power dice.</t>
  </si>
  <si>
    <t>Treaty of Champions</t>
  </si>
  <si>
    <t>Each of your attacks gains: +1 Heart
 Each time you are affected by an attack, add 1 Shield to your defense results.</t>
  </si>
  <si>
    <t>Use when you perform an attack action, before dice are rolled. Choose and remove 1 defense die from the defense pool of your target.</t>
  </si>
  <si>
    <t>Oath of the Outcast</t>
  </si>
  <si>
    <t>Widow Tarha</t>
  </si>
  <si>
    <t>Once per round, after you roll a dice for an attack, you may reroll 1 attack or power die. You must keep the new result.</t>
  </si>
  <si>
    <t>Action: Perform an attack. This attack affects 2 different monsters in your line of sight. 1 attack roll is made but each monster rolls defense dice separately. Both monsters are considered targets of your attack.</t>
  </si>
  <si>
    <t>Leorik of the Book</t>
  </si>
  <si>
    <t>Each monster within 3 spaces of you receives -1 Heart on all attack rolls (to a minimum of 1).</t>
  </si>
  <si>
    <t>Action: Perform an attack with a Magic weapon. This attack ignores range and targets each figure adjacent to you. 1 attack roll is made but each figure rolls defense dice separately.</t>
  </si>
  <si>
    <t>Steelhorns</t>
  </si>
  <si>
    <t>Each time you perform an attack that targets a figure adjacent to you that was not adjacent to you at the start of your turn, that attacks gains +1 Heart.</t>
  </si>
  <si>
    <t>Use during your turn. Roll 1 power die of your choice. You and each figure adjacent to you suffers Heart equal to the Heart rolled. If you roll a least 1 Surge, you may also move each affected figure up to 1 space</t>
  </si>
  <si>
    <t>Shards of Everdark</t>
  </si>
  <si>
    <t>Lindel</t>
  </si>
  <si>
    <t>Each time you perform an attribute test, roll 2 Grey defense die instead of 1 Grey and 1 black defense die.</t>
  </si>
  <si>
    <t>Action: Perform an attack. After rolling dice, you may change the attack die to a different result of your choice.</t>
  </si>
  <si>
    <t>Crown of Destiny</t>
  </si>
  <si>
    <t>Augur Grisom</t>
  </si>
  <si>
    <t>Each other hero within 3 spaces of you gains: Each time a monster misses or deals no Heart on an attack targeting you, recover 1 Heart.</t>
  </si>
  <si>
    <t>Use during your turn. Each hero in your line of sight recovers 2 Heart and 2 Fatigue.</t>
  </si>
  <si>
    <t>The Trollfens</t>
  </si>
  <si>
    <t>Corbin</t>
  </si>
  <si>
    <t>Each time you suffer 2 or more Heart, reduce the amount of Heart suffered by 1.</t>
  </si>
  <si>
    <t>Use when attacked, before you roll defense dice. After you roll defense dice, you may change each defense die to a different result of your choice.</t>
  </si>
  <si>
    <t>Shiver</t>
  </si>
  <si>
    <t>Monsters must spend 1 additional movement point to enter any space adjacent to you.</t>
  </si>
  <si>
    <t>Action: Each figure adjacent to you is Immobilized.</t>
  </si>
  <si>
    <t>Nara the Fang</t>
  </si>
  <si>
    <t>Once per round, after you defeat a monster with a Melee weapon, before removing its figure from the map, you may place your figure in any empty space adjacent to that monster.</t>
  </si>
  <si>
    <t>Action: Choose any empty space within 3 spaces of your figure. Remove your figure from the map and place it in the chosen space. Then perform an attack. This attack gains Pierce 2.</t>
  </si>
  <si>
    <t>When you suffer any amount of Heart from an attack, you may choose to suffer some or all of that amount as Fatigue instead; you cannot suffer Fatigue in excess of your stamina.</t>
  </si>
  <si>
    <t>Action: You may move double your Speed and perform an attack. This attack may be performed before, after, or during this movement.</t>
  </si>
  <si>
    <t>Karnon</t>
  </si>
  <si>
    <t>Each time a monster adjacent to you is defeated, recover 1 Fatigue</t>
  </si>
  <si>
    <t>Use when you perform an attack with a Melee weapon that targets a minion monster, after dice are rolled. You may change the result of each attack die and power die to a different result of your choice</t>
  </si>
  <si>
    <t>Brother Gherinn</t>
  </si>
  <si>
    <t>Each time you perform an attack, after the dice are rolled, you may suffer 1 Heart to add +1 Heart to the results. Limit once per attack.</t>
  </si>
  <si>
    <t>Use after you defeat a monster. Roll 2 red power dice. You and each hero within 3 spaces of you recover Heart equal to the Heart rolled.</t>
  </si>
  <si>
    <t>Ashrian</t>
  </si>
  <si>
    <t>When a minion monster begins its activation adjacent to you, it is Stunned.</t>
  </si>
  <si>
    <t>Action: Choose a monster within 3 spaces of you. Each monster in that monster group is Stunned.</t>
  </si>
  <si>
    <t>Nanok of the Blade</t>
  </si>
  <si>
    <t>black</t>
  </si>
  <si>
    <t>You cannot equip Light Armor or Heavy Armor. Once during your turn, you may choose 1 non-large monster adjecent to you. Suffer 1 Heart and move that monster one space.</t>
  </si>
  <si>
    <t>Use after another hero performs an attack. Immediately perform an attack with a Melee weapon that targets 1 of the same monsters. Then, that hero may perform an attack that targets that same monster.</t>
  </si>
  <si>
    <t>Grisban the Thirsty</t>
  </si>
  <si>
    <t>Each time you perform a rest action, you may immediately discard 1 Condition card from yourself. (errata)</t>
  </si>
  <si>
    <t>Use during your turn to perform 1 attack action. This is in addition to your 2 actions on your turn.</t>
  </si>
  <si>
    <t>Andira Runehand</t>
  </si>
  <si>
    <t>Each time a hero within 3 spaces of you suffers 1 or more Heart from an attack, the figure that performed the attack suffers 1 Heart.</t>
  </si>
  <si>
    <t>Action: Choose 1 hero within 3 spaces of you. Then, perform an attack that targets a monster within 3 spaces of you. The chosen hero recovers Heart equal to twice the amount of Heart the target monster suffers from this attack.</t>
  </si>
  <si>
    <t>Crusade of the Forgotten</t>
  </si>
  <si>
    <t>Ispher</t>
  </si>
  <si>
    <t>You cannot be Poisoned. At the start of your turn, recover 2 Heart.</t>
  </si>
  <si>
    <t>Action: Choose yourself or an adjacent hero. That hero recovers 8 Heart and discards all conditions.</t>
  </si>
  <si>
    <t>Alys Raine</t>
  </si>
  <si>
    <t>Each time a hero adjacent to you suffers 1 or more Heart from an attack, you recover 1 Fatigue.</t>
  </si>
  <si>
    <t>Use during a player's turn to refresh all exhausted cards in your play area and recover 2 Fatigue.</t>
  </si>
  <si>
    <t>Manor of Ravens</t>
  </si>
  <si>
    <t>Reynhart the Worthy</t>
  </si>
  <si>
    <t>If you roll an X during an attack roll, you may suffer 1 Fatigue and reroll 1 attack die. Limit once per attack.</t>
  </si>
  <si>
    <t>Use after rolling an X during an attack roll to recover all of your Fatigue and to reroll any or all of the dice in your attack pool.</t>
  </si>
  <si>
    <t>Lair of the Wyrm</t>
  </si>
  <si>
    <t>Seer Kel</t>
  </si>
  <si>
    <t>Figures and obstacles do not block your line of sight. Doors still block your line of sight as normal.</t>
  </si>
  <si>
    <t>Use during your turn to look at the top 5 cards of the Overlord deck. Place 1 of the cards on the bottom of the deck and randomly place the rest back on top.</t>
  </si>
  <si>
    <t>Tahlia</t>
  </si>
  <si>
    <t>Each time you defeat a monster, you receive 2 movement points.</t>
  </si>
  <si>
    <t>Use when a monster starts its activation or moves into a space adjacent to you. Immediately perform an attack that targets that monster. After the attack is resolved, the monster's activation resumes.</t>
  </si>
  <si>
    <t>Jaes the Exile</t>
  </si>
  <si>
    <t>Your armor loses all text that prevents you from equipping Runes.
 Apply +1 to your Stamina for each Rune you have equipped.</t>
  </si>
  <si>
    <t>Action: Perform 1 attack with a Magic weapon. This attack gains Pierce 3. If you perform this attack with a Rune weapon, add 1 Surge to the results.</t>
  </si>
  <si>
    <t>Vyrah the Falconer</t>
  </si>
  <si>
    <t>You have the Skye familiar. At the start of your turn, if Skye is not on the map, place him in your space.</t>
  </si>
  <si>
    <t>Action: Skye performs a Melee attack with a blue, red, and yellow die. This attack gains: Surge: Stun</t>
  </si>
  <si>
    <t>Syndrael</t>
  </si>
  <si>
    <t>If you have not moved during this turn, you recover 2 Fatigue at the end of your turn.</t>
  </si>
  <si>
    <t>Use during your turn to choose a hero within 3 spaces of you. You and that hero may each immediately perform a move action. This is in addition to the 2 actions each hero receives on his turn.</t>
  </si>
  <si>
    <t>Pathfinder Durik</t>
  </si>
  <si>
    <t>During each of your move actions, you may move through spaces containing monsters by spending one additional movement point for each occupied space.</t>
  </si>
  <si>
    <t>Use when you move out of a space containing a monster to immediately perform an attack targeting that monster. This attack does not require an action and gains Surge: Pierce 3.</t>
  </si>
  <si>
    <t>Labyrinth of Ruin</t>
  </si>
  <si>
    <t>Tetherys</t>
  </si>
  <si>
    <t>Each time you perform an attack, you may roll your attack pool before you declare the target. If any power dice are added after you declare the target, roll those dice during the Roll Dice step.</t>
  </si>
  <si>
    <t>Use after rolling your attack dice to choose 2 additional valid targets for that attack. Each target rolls defense dice separately.</t>
  </si>
  <si>
    <t>You have the Brightblaze familiar. At the start of each encounter, place Brightblaze in the closest empty space to you.</t>
  </si>
  <si>
    <t>Action: If Brightblaze is not on the map, place Brightblaze in an empty space adjacent to you. Then, immediately activate Brightblaze. Brightblaze also activates this turn as normal.</t>
  </si>
  <si>
    <t>Grey Ker</t>
  </si>
  <si>
    <t>After you have performed your first action each round, you may choose to suspend your turn. If you do, resume your turn after another hero finishes his turn this round.</t>
  </si>
  <si>
    <t>Use at the start of your turn to receive 1 additional action this turn.</t>
  </si>
  <si>
    <t>Jonas the Kind</t>
  </si>
  <si>
    <t>Each hero within 3 spaces of you that has not performed an attack this round adds 1 Shield to each of his defense rolls.</t>
  </si>
  <si>
    <t>Action: Test Willpower for each minion monster within 3 spaces of you. Each time you pass, perform an attack with that monster that targets itself.</t>
  </si>
  <si>
    <t>Roganna the Shade</t>
  </si>
  <si>
    <t>Each of your attacks targeting a monster that is not adjacent to any other hero gains +1 Heart.</t>
  </si>
  <si>
    <t>Use at the end of your turn. Until the start of your next turn, each hero within 3 spaces of you may only be targeted by an attack if the attacking monster is adjacent to the targeted hero.</t>
  </si>
  <si>
    <t>Astarra</t>
  </si>
  <si>
    <t>Once per round, you may spend 1 movement point to remove your figure from the map and place it in an empty space adjacent to 1 hero who is within 3 spaces of you.</t>
  </si>
  <si>
    <t>Use at the start of your turn to move each other figure within 3 spaces of you 1 space.</t>
  </si>
  <si>
    <t>Laurel of Bloodwood</t>
  </si>
  <si>
    <t>Each time you perform a Ranged attack and the total range exceeds the distance to the target, that attack gains +1 Heart.</t>
  </si>
  <si>
    <t>Action: Perform an attack with a Ranged weapon. If you roll an X, treat it as a blank result. This attack gains +10 Range, and adds 1 Surge to the results.</t>
  </si>
  <si>
    <t>High Mage Quellen</t>
  </si>
  <si>
    <t>At the start of your turn, you may choose another hero within 3 spaces of you. If the chosen hero has at least 1 fatigue token on his Hero sheet, you recover 1 Fatigue. If he has fatigue tokens equal to his Stamina, you recover 2 Fatigue.</t>
  </si>
  <si>
    <t>Use at the start of your turn to increase your Stamina by 4 for the remainder of this turn. At the end of your turn, recover all of your Fatigue.</t>
  </si>
  <si>
    <t>Logan Lashley</t>
  </si>
  <si>
    <t>You cannot be Immobilized. Additionally, immediately after you perform an attack with an Exotic weapon, you may move 1 space.</t>
  </si>
  <si>
    <t>Use after one of your attacks deals at least 1 Heart (after rolling defense dice). You may move up to your Speed and perform an attack. This does not require an action and the attack may be performed before, after, or during this movement</t>
  </si>
  <si>
    <t>Silhouette</t>
  </si>
  <si>
    <t>Each time you perform an attack and roll an X result, choose 1 monster adjacent to you. That monster suffers Heart equal to 1 plus the number of weapons you have equipped.</t>
  </si>
  <si>
    <t>Action: You may move double your Speed. During this movement, each time you enter a space that contains a search token, you may suffer 1 Fatigue to search that search token.</t>
  </si>
  <si>
    <t>Orkell the Swift</t>
  </si>
  <si>
    <t>brown</t>
  </si>
  <si>
    <t>Each time you are attacked by a monster and suffer at least 1 Heart, you may move 1 space after the attack.</t>
  </si>
  <si>
    <t>Use during your turn, while you are knocked out, to perform a stand up action. Then, you may either recover all Heart or move each monster adjacent to your figure 1 space. You can still perform 2 actions this turn.</t>
  </si>
  <si>
    <t>Shadow of Nerekhall</t>
  </si>
  <si>
    <t>Elder Mok</t>
  </si>
  <si>
    <t>Once per turn, when another hero within 3 spaces of you recovers 1 or more Heart or Fatigue, you may recover 1 Heart or 1 Fatigue.</t>
  </si>
  <si>
    <t>Use at the start of your turn to look at the overlord's hand of Overlord cards. The overlord discards 1 card of your choice.</t>
  </si>
  <si>
    <t>One Fist</t>
  </si>
  <si>
    <t>If 1 of your hands is empty, add 1 yellow power die to each of your Melee attacks.</t>
  </si>
  <si>
    <t>Use when you are defeated to perform 1 Melee attack. For each Monster you defeat during this heroic feat, you may perform an additional Melee attack. Then, you are knocked out.</t>
  </si>
  <si>
    <t>Ravaella Lightfoot</t>
  </si>
  <si>
    <t>If you roll 1 or more blanks when rolling defense dice, add 1 Shield to your defense results.</t>
  </si>
  <si>
    <t>Use when you are attacked, after you roll defense dice, to test Knowledge and Awareness. For each test you pass, add 3 Shield to your defense results.</t>
  </si>
  <si>
    <t>Zyla</t>
  </si>
  <si>
    <t>You may enter blocked spaces and ignore the effects of terrain while moving. You cannot end your movement in a blocked space.</t>
  </si>
  <si>
    <t>Use when a monster activates. Remove your figure from the map and place a hero token in your space. At the start of your next turn, replace that hero token with your figure.</t>
  </si>
  <si>
    <t>Sahla</t>
  </si>
  <si>
    <t>At the start of your turn, you may test Willpower. If you pass, discard 1 condition from 1 figure within 3 spaces of you. Then, choose 1 figure within 3 spaces of you to gain that condition.</t>
  </si>
  <si>
    <t>Use at the start of your turn and choose a hero in your line of sight. Until the end of your turn, you may use 1 of that hero's skills as if it were your own.</t>
  </si>
  <si>
    <t>Tomble Burrowell</t>
  </si>
  <si>
    <t>If you are attacked while adjacent to at least one other hero, you may choose an adjacent hero and add the defense pool of that hero to your own.</t>
  </si>
  <si>
    <t>Action: Remove your figure from the map and place a hero token in your space. At the start of your next turn, place your figure in any empty space within 4 spaces of your hero token.</t>
  </si>
  <si>
    <t>Raythen</t>
  </si>
  <si>
    <t>Once per turn, you may suffer 1 Fatigue to allow 1 hero on the same map tile as you to reroll an attribute test. He may use your attribute value instead for the reroll.</t>
  </si>
  <si>
    <t>Use during your turn to search a search token adjacent to another hero. This is in addition to your 2 actions on your turn.</t>
  </si>
  <si>
    <t>Raythen Lieutenant Pack</t>
  </si>
  <si>
    <t>Tinashi the Wanderer</t>
  </si>
  <si>
    <t>Each time you defeat a monster, you recover 1 Fatigue</t>
  </si>
  <si>
    <t>Use during your turn to choose an empty space within 3 spaces of your figure. Remove your figure from the map and place it in the chosen space.</t>
  </si>
  <si>
    <t>Arvel Worldwalker</t>
  </si>
  <si>
    <t>Each time you fail an attribute test, you may recover 1 Fatigue. Once per round, when you fail an attibute test, you may reroll that test instead of recovering 1 Fatigue.</t>
  </si>
  <si>
    <t>Use during your turn. Return up to 2 of your Class cards to you Class deck. Then, gain any number of Class cards from your Class deck worth an equal amount of XP.</t>
  </si>
  <si>
    <t>Master Thorn</t>
  </si>
  <si>
    <t>Each of your attacks gains:
 Surge: After resolving this attack, you may choose an empty space within 2 spaces of you and place your figure in the chosen space.</t>
  </si>
  <si>
    <t>Use when you are affected by an attack and suffer 1 or more Heart. Reduce the amount of Heart by up to 5 and gain an equal amount of movement points.</t>
  </si>
  <si>
    <t>Serena</t>
  </si>
  <si>
    <t>Each time you are targeted by an attack,a hero adjacent to you may suffer 1 Fatigue to declare himself as the target of the attack instead. Range and line of sight are still measured to your space.</t>
  </si>
  <si>
    <t>Action:Test Willpower and Knowledge.For each test you pass, each hero within 3 spaces of you recovers 3 Heart and 1 Fatigue.</t>
  </si>
  <si>
    <t>Serena Lieutenant Pack</t>
  </si>
  <si>
    <t>Thaiden Mistpeak</t>
  </si>
  <si>
    <t>Each time you perform an attack, after dice are rolled, you may cancel the attack and immediately search a search token within 3 spaces of you. (errata)</t>
  </si>
  <si>
    <t>Use when a monster enters an empty space adjacent to you. The monster is Immobilized, and you immediately move up to 3 spaces.</t>
  </si>
  <si>
    <t>Okaluk and Rakash</t>
  </si>
  <si>
    <t>At the start of your turn, you gain 4 movement points.</t>
  </si>
  <si>
    <t>Use during your turn, even if you are knocked out. Roll 2 red power dice. You and each knocked-out hero within 3 spaces of you recover Heart equal to the Heart rolled.</t>
  </si>
  <si>
    <t>Rendiel</t>
  </si>
  <si>
    <t>Each time you revive a hero, you recover 2 Heart and 2 Fatigue.</t>
  </si>
  <si>
    <t>Action: Revive an adjacent, knocked-out hero. Instead of rolling 2 red power dice, that hero recovers all Heart and Fatigue.</t>
  </si>
  <si>
    <t>Ronan of the Wild</t>
  </si>
  <si>
    <t>You have the Pico familiar. At the beginning of each encounter, place the Pico familiar token on your Hero sheet. During your turn, you may choose 1 search token within 3 spaces of you, and place the Pico in it's place.</t>
  </si>
  <si>
    <t>Use at the start of your turn if the Pico token is in your Hero sheet. Choose 1 other hero. You and that hero may immediately trade any Shop Item cards, Relic cards, and Search cards.</t>
  </si>
  <si>
    <t>Dezra the Vile</t>
  </si>
  <si>
    <t>At the start of your turn, you may recover 1 Heart or 1 Fatigue for each monster figure adjacent to you.</t>
  </si>
  <si>
    <t>Use when the overlord chooses to activate a monster figure adjacent to you, before he performs any actions. All monsters adjacent to you are Immobilized.</t>
  </si>
  <si>
    <t>Ulma Grimstone</t>
  </si>
  <si>
    <t>Each time a hero within 3 spaces of you (including yourself) would draw a Search card, he may instead reveal Search cards until he finds a Potion. He may take that card and shuffle the rest back into the deck.</t>
  </si>
  <si>
    <t>Use during your turn to flip one of your facedown Potion Search cards faceup. In addition, each hero adjacent to you may also flip one of their facedown Potion Search cards faceup.</t>
  </si>
  <si>
    <t>Status</t>
  </si>
  <si>
    <t>Descriprion</t>
  </si>
  <si>
    <t>BR Status</t>
  </si>
  <si>
    <t xml:space="preserve">1. Что сделать, чтобы сбросить?
1.1. At the end of your turn = 1
1.2. No enemy figures in your line of sight = 2
1.3. Surge = 2
1.4. Attribute test = 3
1.5. Action = 4
</t>
  </si>
  <si>
    <t>3. Насколько херовый эффект?
3.1. Херня, жить можно = 1
3.2. Немного Мешает = 2
3.3. Неприятно = 3
3.4. Плохо = 4
3.5. Очень плохо = 5</t>
  </si>
  <si>
    <t>Diseased</t>
  </si>
  <si>
    <t>At the start of your turn, test Willpower. If you pass, discard this card or token. If you fail, suffer 1 Fatigue and keep this card or token.</t>
  </si>
  <si>
    <t>Immobilized</t>
  </si>
  <si>
    <t>You cannot perform move actions or suffer Fatigue to gain movement points. Discard this card or token at the end of your turn</t>
  </si>
  <si>
    <t>Poisoned</t>
  </si>
  <si>
    <t>At the start of your turn, test Might. If you pass, discard this card or token. If you fail, suffer 1 Heart and keep this card or token</t>
  </si>
  <si>
    <t>Stunned</t>
  </si>
  <si>
    <t>Action: discard this card or token. This is the only action you may perform on your turn while you have this card or token.</t>
  </si>
  <si>
    <t>Burning</t>
  </si>
  <si>
    <t>You or a figure adjacent to you may perform an action to discard this card or token. At the end of your turn, you and each friendly figure adjacent to you suffers 1 Heart.</t>
  </si>
  <si>
    <t>Cursed</t>
  </si>
  <si>
    <t>You cannot use monster actions or skills denoted with a Action. At the start of your turn, test Knowledge. If you pass, discard this card or token. If you fail, keep this card or token.</t>
  </si>
  <si>
    <t>Weakened</t>
  </si>
  <si>
    <t>Remove 1 Shield  from each of your defense rolls and 1 Heart from each of your attack rolls.
When you perform a rest action, discard this card.</t>
  </si>
  <si>
    <t>Bleeding</t>
  </si>
  <si>
    <t>Action: Discard this card or token. For each other action you resolve while you have this card or token, suffer 1 Fatigue</t>
  </si>
  <si>
    <t>Doomed</t>
  </si>
  <si>
    <t>Each time you suffer 1 or more Heart, suffer 1 additional Heart.
Each of your attacks gains:
Surge: Discard this card or token.</t>
  </si>
  <si>
    <t>Terrified</t>
  </si>
  <si>
    <t>You cannot spend Surge
If there are no enemy figures in your line of sight at the end of your turn, discard this card or token.</t>
  </si>
  <si>
    <t>Source</t>
  </si>
  <si>
    <t>Size</t>
  </si>
  <si>
    <t>Movement</t>
  </si>
  <si>
    <t>Defense</t>
  </si>
  <si>
    <t>БР кубов защиты</t>
  </si>
  <si>
    <t>БР Кубов Атаки</t>
  </si>
  <si>
    <t>БР Свойств</t>
  </si>
  <si>
    <t>БР Способностей</t>
  </si>
  <si>
    <t>БР Молний</t>
  </si>
  <si>
    <t>-</t>
  </si>
  <si>
    <t>Geomancer</t>
  </si>
  <si>
    <t>Beastmaster</t>
  </si>
  <si>
    <t>Shadow Walker</t>
  </si>
  <si>
    <t>Overlord</t>
  </si>
  <si>
    <t>Archetype</t>
  </si>
  <si>
    <t>XP Cost</t>
  </si>
  <si>
    <t>Fatigue Cost</t>
  </si>
  <si>
    <t>Skill Text</t>
  </si>
  <si>
    <t>Link</t>
  </si>
  <si>
    <t>1. На кого можно использовать?
1.1. Герой / другой герой на расстоянии = 2
1.2. Все вокруг = 5
1.3. Все, кроме героя / защита = 3
1.4. Враги / Атака = 4
1.5 Другой герой рядом = 1</t>
  </si>
  <si>
    <t>2. Как часто?
2.1. Постоянно = 0
2.2. Поверните карту = -2
2.3. До / после чего-то = -1
2.4. Действие  = -3</t>
  </si>
  <si>
    <t>Runemaster</t>
  </si>
  <si>
    <t>Runic Knowledge</t>
  </si>
  <si>
    <r>
      <rPr>
        <rFont val="Arial"/>
        <color theme="1"/>
        <sz val="11.0"/>
      </rPr>
      <t xml:space="preserve">While you have a </t>
    </r>
    <r>
      <rPr>
        <rFont val="Arial"/>
        <i/>
        <color theme="1"/>
        <sz val="11.0"/>
      </rPr>
      <t>Magic</t>
    </r>
    <r>
      <rPr>
        <rFont val="Arial"/>
        <color theme="1"/>
        <sz val="11.0"/>
      </rPr>
      <t xml:space="preserve"> or </t>
    </r>
    <r>
      <rPr>
        <rFont val="Arial"/>
        <i/>
        <color theme="1"/>
        <sz val="11.0"/>
      </rPr>
      <t>Rune</t>
    </r>
    <r>
      <rPr>
        <rFont val="Arial"/>
        <color theme="1"/>
        <sz val="11.0"/>
      </rPr>
      <t xml:space="preserve"> weapon equipped, each of your attacks gains: Surge: Suffer 1 Fatigue to gain +2 ♥</t>
    </r>
  </si>
  <si>
    <t>Exploding Rune</t>
  </si>
  <si>
    <r>
      <rPr>
        <rFont val="Arial"/>
        <color theme="1"/>
        <sz val="11.0"/>
      </rPr>
      <t xml:space="preserve">Action: Perform an attack with a </t>
    </r>
    <r>
      <rPr>
        <rFont val="Arial"/>
        <i/>
        <color theme="1"/>
        <sz val="11.0"/>
      </rPr>
      <t>Rune</t>
    </r>
    <r>
      <rPr>
        <rFont val="Arial"/>
        <color theme="1"/>
        <sz val="11.0"/>
      </rPr>
      <t xml:space="preserve"> weapon. The attack gains Blast.</t>
    </r>
  </si>
  <si>
    <t>Ghost Armor</t>
  </si>
  <si>
    <t>After you roll defense dice when attacked, use this card to add 1 Shield to the results.</t>
  </si>
  <si>
    <t>Inscribe Rune</t>
  </si>
  <si>
    <r>
      <rPr>
        <rFont val="Arial"/>
        <color theme="1"/>
        <sz val="11.0"/>
      </rPr>
      <t xml:space="preserve">Any weapon you equip gains the </t>
    </r>
    <r>
      <rPr>
        <rFont val="Arial"/>
        <i/>
        <color theme="1"/>
        <sz val="11.0"/>
      </rPr>
      <t>Rune</t>
    </r>
    <r>
      <rPr>
        <rFont val="Arial"/>
        <color theme="1"/>
        <sz val="11.0"/>
      </rPr>
      <t xml:space="preserve"> trait while equipped.</t>
    </r>
  </si>
  <si>
    <t>Rune Mastery</t>
  </si>
  <si>
    <r>
      <rPr>
        <rFont val="Arial"/>
        <color theme="1"/>
        <sz val="11.0"/>
      </rPr>
      <t xml:space="preserve">When you attack with a </t>
    </r>
    <r>
      <rPr>
        <rFont val="Arial"/>
        <i/>
        <color theme="1"/>
        <sz val="11.0"/>
      </rPr>
      <t>Rune</t>
    </r>
    <r>
      <rPr>
        <rFont val="Arial"/>
        <color theme="1"/>
        <sz val="11.0"/>
      </rPr>
      <t xml:space="preserve"> weapon, you may exhaust this card to add 1 Surge to the results.</t>
    </r>
  </si>
  <si>
    <t>Iron Will</t>
  </si>
  <si>
    <t>You gain +1 Stamina. Each time you spend 1 Surge during an attack to recover 1 Fatigue, you instead recover 2 Fatigue.</t>
  </si>
  <si>
    <t>Runic Sorcery</t>
  </si>
  <si>
    <r>
      <rPr>
        <rFont val="Arial"/>
        <color theme="1"/>
        <sz val="11.0"/>
      </rPr>
      <t xml:space="preserve">Action: Perform an attack with a </t>
    </r>
    <r>
      <rPr>
        <rFont val="Arial"/>
        <i/>
        <color theme="1"/>
        <sz val="11.0"/>
      </rPr>
      <t>Rune</t>
    </r>
    <r>
      <rPr>
        <rFont val="Arial"/>
        <color theme="1"/>
        <sz val="11.0"/>
      </rPr>
      <t xml:space="preserve"> weapon. If this attack deals at least 1 ♥ (after rolling defense dice), choose 1 condition. The target suffers the chosen condition.</t>
    </r>
  </si>
  <si>
    <t>Quick Casting</t>
  </si>
  <si>
    <r>
      <rPr>
        <rFont val="Arial"/>
        <color theme="1"/>
        <sz val="11.0"/>
      </rPr>
      <t xml:space="preserve">After you perform an attack with a </t>
    </r>
    <r>
      <rPr>
        <rFont val="Arial"/>
        <i/>
        <color theme="1"/>
        <sz val="11.0"/>
      </rPr>
      <t>Rune</t>
    </r>
    <r>
      <rPr>
        <rFont val="Arial"/>
        <color theme="1"/>
        <sz val="11.0"/>
      </rPr>
      <t xml:space="preserve"> weapon, exhaust this card to immediately perform an additional attack.</t>
    </r>
  </si>
  <si>
    <t>Break The Rune</t>
  </si>
  <si>
    <r>
      <rPr>
        <rFont val="Arial"/>
        <color theme="1"/>
        <sz val="11.0"/>
      </rPr>
      <t xml:space="preserve">Action: Perform an attack with a </t>
    </r>
    <r>
      <rPr>
        <rFont val="Arial"/>
        <i/>
        <color theme="1"/>
        <sz val="11.0"/>
      </rPr>
      <t>Rune</t>
    </r>
    <r>
      <rPr>
        <rFont val="Arial"/>
        <color theme="1"/>
        <sz val="11.0"/>
      </rPr>
      <t xml:space="preserve"> weapon. This attack ignores range and targets each monster and hero figure within 3 spaces of you in your line of sight. Each figure rolls defense dice separately. This attack cannot be affected by Blast.</t>
    </r>
  </si>
  <si>
    <t>Raise Dead</t>
  </si>
  <si>
    <t>Action: Place your Reanimate familiar token in a space adjacent to you. You may only control 1 Reanimate at a time. You may discard your Reanimate token at any time during your turn.</t>
  </si>
  <si>
    <t>Corpse Blast</t>
  </si>
  <si>
    <r>
      <rPr>
        <rFont val="Arial"/>
        <color theme="1"/>
        <sz val="11.0"/>
      </rPr>
      <t xml:space="preserve">Action: Perform an attack targeting your Reanimate's space with a </t>
    </r>
    <r>
      <rPr>
        <rFont val="Arial"/>
        <i/>
        <color theme="1"/>
        <sz val="11.0"/>
      </rPr>
      <t>Magic</t>
    </r>
    <r>
      <rPr>
        <rFont val="Arial"/>
        <color theme="1"/>
        <sz val="11.0"/>
      </rPr>
      <t xml:space="preserve"> weapon. This attack gains Blast. You do not need range or line of sight to the space. After the attack is resolved, the Reanimate is defeated.</t>
    </r>
  </si>
  <si>
    <t>Fury Of Undeath</t>
  </si>
  <si>
    <t>Action: Exhaust this card to activate your Reanimate. Your Reanimate still activates this turn as normal.</t>
  </si>
  <si>
    <t>Deathly Haste</t>
  </si>
  <si>
    <t>Each time you suffer 1 Fatigue to gain 1 movement point, you may then move your Reanimate 1 space.</t>
  </si>
  <si>
    <t>Vampiric Blood</t>
  </si>
  <si>
    <t>Your Reanimate adds 1 additional yellow power die to its attack pool. Each time you or your Reanimate defeats a monster, you recover 1 Fatigue.</t>
  </si>
  <si>
    <t>Your Reanimate adds 1 additional brown die to its defense pool. Each time you suffer ♥, you may choose to have your Reanimate suffer all of the ♥ instead. Each time your Reanimate suffers ♥, you may choose to suffer all the ♥ instead.</t>
  </si>
  <si>
    <t>Undead Might</t>
  </si>
  <si>
    <t>Your Reanimate gains +2 Health, even when this card is exhausted. Exhaust this card when your Reanimate attacks a monster. This attack gains +1 ♥</t>
  </si>
  <si>
    <t>Dying Command</t>
  </si>
  <si>
    <t>When you or your Reanimate defeats a monster, exhaust this card to test Knowledge. If you fail, recover 1 Fatigue. If you pass , return that monster to the map. Then move the monster up to its Speed and perform an attack with it. Then remove the monster from the map.</t>
  </si>
  <si>
    <t>Army Of Death</t>
  </si>
  <si>
    <t>Action: Perform an attack with your Reanimate. This attack affects each monster in your line of sight, ignoring range; your Reanimate does not need line of sight to the affected monsters but does need to be on the map.</t>
  </si>
  <si>
    <t>Terracall</t>
  </si>
  <si>
    <t>Action: Exhaust this card to place a Summoned Stone in an empty space within 3 spaces of you.While this card is exhausted, 1 of your Summoned Stones may perform an attack during its activation (using 1 of your equipped Magic weapons).</t>
  </si>
  <si>
    <t>https://descent2e.fandom.com/wiki/Geomancer</t>
  </si>
  <si>
    <t>Quaking Word</t>
  </si>
  <si>
    <t>Action: Perform an attack with a Magic weapon. This attack gains:Surge: Each monster within 2 spaces of a Summoned Stone tests Awareness. Each figure that fails is Stunned.</t>
  </si>
  <si>
    <t>Stone Tongue</t>
  </si>
  <si>
    <t>You may have 1 additional Summoned Stone on the map at a time.Your Summoned Stones now have a Speed of 3.In addition, each of your Summoned Stones adds 1 additional Grey die to its defense pool.</t>
  </si>
  <si>
    <t>Earthen Anguish</t>
  </si>
  <si>
    <t>Action: Exhaust this card to perform an attack with a Magic weapon targeting a space containing a Summoned Stone (ignoring range and line of sight). This attack gains Blast. After the attack is resolved, the Summoned Stone is defeated.</t>
  </si>
  <si>
    <t>Ley Line</t>
  </si>
  <si>
    <t>You may have 1 additional Summoned Stone on the map at a time.While you are within 3 spaces of any 2 Summoned Stones on the map, you may exhaust this card before any dice are rolled to either add 1 Shield to your defense result or 1 Surge to your attack results.</t>
  </si>
  <si>
    <t>Molten Fury</t>
  </si>
  <si>
    <t>Action: Perform an attack with a Magic weapon, measuring range and line of sight from a space containing a Summoned Stone. This attack gains:Burn; Surge: Blast</t>
  </si>
  <si>
    <t>Ways of Stone</t>
  </si>
  <si>
    <t>Action: Exhaust this card to remove your figure from the map and place it in an empty space adjacent to a Summoned Stone.While this card is exhausted, each of your Summoned Stones may add 1 additional Grey die to its defense pool.</t>
  </si>
  <si>
    <t>Gravity Spike</t>
  </si>
  <si>
    <t>Action: Exhaust this card to choose a monster group. Move each figure of that monster group up to 2 spaces toward a Summoned Stone. Each monster figure that ends this movement adjacent to a Summoned Stone suffers 1 Heart.</t>
  </si>
  <si>
    <t>Cataclysm</t>
  </si>
  <si>
    <t>Action: Exhaust this card. For each Summoned Stone on the map, perform 1 attack with a Magic weapon, measuring range and line of sight from a space containing a Summoned Stone. After resolving each attack, remove the Summoned Stone from the map.</t>
  </si>
  <si>
    <t>Conjurer</t>
  </si>
  <si>
    <t>Channeling</t>
  </si>
  <si>
    <t>You may discard any number of image tokens at any time during your turn.
You may spend 1 movement point during your turn to move an image token 1 space.
Action: Perform an attack with a Magic weapon. Measure range and line of sight from one of your image tokens.</t>
  </si>
  <si>
    <t>https://descent2e.fandom.com/wiki/Conjurer</t>
  </si>
  <si>
    <t>Mirror Image</t>
  </si>
  <si>
    <t>Use this card during your turn and suffer Fatigue equal to the number of image tokens on the map. Then, place 1 image token in an empty space within 2 spaces of your figure.
An image token is treated as a hero figure with your attributes and a grey defense die. If an image token suffers Heart or Fatigue, it is discarded, and you suffer 1 Heart and 1 Fatigue.</t>
  </si>
  <si>
    <t>Illusory Path</t>
  </si>
  <si>
    <t>Monsters must spend 1 additional movement point to enter a space adjacent to an image token.
Each time you suffer 1 Fatigue to gain 1 movement point, you may move an image token 1 space.</t>
  </si>
  <si>
    <t>Refraction</t>
  </si>
  <si>
    <t xml:space="preserve">Action: Exhaust this card to place 1 image token in an empty space within 3 spaces of another image token. Then, you may perform an attack with a Magic weapon. If you do, measure range and line of sight from one of those image tokens.	</t>
  </si>
  <si>
    <t>Many Friends</t>
  </si>
  <si>
    <t>If you are adjacent to 1 or more image tokens, add 1 additional brown die to your defense pool.
If there are 3 or more image tokens on the map, add 1 additional green power die to your attack pool.</t>
  </si>
  <si>
    <t>Sleight of Mind</t>
  </si>
  <si>
    <t xml:space="preserve">Action: Choose 1 image token within 5 spaces of your figure and remove your figure from the map. Replace the chosen image token with your figure and discard the token. Then each monster adjacent to your figure is Stunned.	</t>
  </si>
  <si>
    <t>Blinding Light</t>
  </si>
  <si>
    <t xml:space="preserve">Exhaust this card when you are attacked, before dice are rolled to add 2 Shield to your defense result. After the attack resolves, place 1 image token in an empty space adjacent to your figure. If this attack did not deal at least 1 Heart (after defense roll), you may move up to 2 spaces.	</t>
  </si>
  <si>
    <t>Focus Fire</t>
  </si>
  <si>
    <t xml:space="preserve">Action: Perform an attack with a Magic weapon. This attack gains +1 Heart for every image token within 3 spaces of the target.	</t>
  </si>
  <si>
    <t>Vortex</t>
  </si>
  <si>
    <t xml:space="preserve">Action: Exhaust this card and choose an image token on the map. Move each monster within 3 spaces of that image token up to 2 spaces. Each monster must end his movement within 3 spaces of the image token. Each of those monsters suffers 2 Heart.	</t>
  </si>
  <si>
    <t>Prismatic Assault</t>
  </si>
  <si>
    <t xml:space="preserve">Action: Exhaust this card. For each image token on the map, you may either move the image token up to your speed or perform an attack with a Magic weapon. If you perform an attack, measure line of sight and range from the image token.	</t>
  </si>
  <si>
    <t>Hexer</t>
  </si>
  <si>
    <t>Enfeebling Hex</t>
  </si>
  <si>
    <t>When you have a Magic weapon equipped, each of your attacks gains:
Surge: Hex 1 monster within 3 spaces of your target.
When performing an attack targeting a hexed monster, a hero may discard any number of hex tokens before spending Surge. The attack gains +1Heart for each hex token discarded.</t>
  </si>
  <si>
    <t>https://descent2e.fandom.com/wiki/Hexer</t>
  </si>
  <si>
    <t>Affliction</t>
  </si>
  <si>
    <t>Exhaust this card when a hexed monster declares a move action and discard one hex token from that monster. That monster immediately suffers 1 Heart. In addition, that monster suffers 1 additional Heart for each space it moves during its activation.</t>
  </si>
  <si>
    <t>Plague Spasm</t>
  </si>
  <si>
    <t xml:space="preserve">Exhaust this card when a hexed monster declares an attack, before dice are rolled, and discard 1 hex token from that monster. The target of its attack may add 1 black die to his defense pool.	</t>
  </si>
  <si>
    <t>Viral Hex</t>
  </si>
  <si>
    <t xml:space="preserve">Exhaust this card during your turn to take a number of hex tokens equal to the number to hexed monsters within 3 spaces of you. You may place each hex token on a monster of your choice within 3 spaces of you.	</t>
  </si>
  <si>
    <t>Internal Rot</t>
  </si>
  <si>
    <t>Each time a monster becomes hexed, you may place 1 additional hex token on that monster.
Each of your attacks with a Magic weapon targeting a hexed monster gains Pierce 2.</t>
  </si>
  <si>
    <t>Crippling Curse</t>
  </si>
  <si>
    <t xml:space="preserve">Action: Exhaust this card to choose any number of hexed monsters. For each monster chosen, test Knowledge. For each test you pass, you may choose 1 condition for the corresponding monster to suffer.	</t>
  </si>
  <si>
    <t>Fel Command</t>
  </si>
  <si>
    <t xml:space="preserve">Exhaust this card when the overlord chooses a hexed monster to activate. Discard 1 hex token from that monster to immediately perform an attack with it. You make all choices during the attack. After the attack is resolved, the monster activates as normal.	</t>
  </si>
  <si>
    <t>Plague Cloud</t>
  </si>
  <si>
    <t xml:space="preserve">Action: Perform an attack with a Magic weapon. This attack targets each hexed monster in your line of sight and ignores range. Each figure rolls defense dice separately. Before rolling dice for the attack, each monster adjacent to a target monster is hexed.	</t>
  </si>
  <si>
    <t>Accursed Arms</t>
  </si>
  <si>
    <t xml:space="preserve">Exhaust this card during your turn to choose 1 hero adjacent to a hexed monster. The chosen hero may immediately perform 1 attack targeting a hexed monster.	</t>
  </si>
  <si>
    <t>Battlemage</t>
  </si>
  <si>
    <t>Arcane Veteran</t>
  </si>
  <si>
    <t>When you gain this card, choose 1 standard Class deck belonging to the Warrior archetype.
When you spend experience points, you may purchase skills from either Class deck, excluding cards with an XP cost of 3 from the chosen standard Class deck.</t>
  </si>
  <si>
    <t>https://descent2e.fandom.com/wiki/Battlemage</t>
  </si>
  <si>
    <t>Planar Weapon</t>
  </si>
  <si>
    <t>Each Rune weapon you have equipped loses the Ranged icon; gains the Melee icon and the Blade, Hammer, Axe and Exotic traits; and may lose 1 hand icon (even while this card is exhausted).
Exhaust this card when you perform an attack with a Rune weapon, before dice are rolled. Add 1 Surge to the results.</t>
  </si>
  <si>
    <t>Runic Weave</t>
  </si>
  <si>
    <t>Apply +2 to your Health for each Rune you have equipped (even while this card is exhausted).
When you would exhaust a Cloak or Shield you have equipped, you may exhaust this card instead</t>
  </si>
  <si>
    <t>Death Siphon</t>
  </si>
  <si>
    <t>Each time a monster adjacent to you is defeated, recover 1 Heart or 1 Fatigue.
Exhaust this card when you suffer Heart equal to your Health, before you are knocked out. Immediately perform an attack. If the target is defeated, recover 1 Heart.</t>
  </si>
  <si>
    <t>Truthseer</t>
  </si>
  <si>
    <t>Clairvoyance</t>
  </si>
  <si>
    <t>When you gain this card, choose 1 standard Class deck belonging to the Scout archetype.
When you spend experience points, you may purchase skills from either Class deck, excluding cards with an XP cost of 3 from the chosen standard Class deck.</t>
  </si>
  <si>
    <t>https://descent2e.fandom.com/wiki/Truthseer</t>
  </si>
  <si>
    <t>True Sight</t>
  </si>
  <si>
    <t>You can count Range and trace line of sight from search tokens that are in your line of sight.</t>
  </si>
  <si>
    <t>Translocation</t>
  </si>
  <si>
    <t xml:space="preserve">Exhaust this card at the end of your turn to choose 2 heroes. Those heroes switch spaces.	</t>
  </si>
  <si>
    <t>Premonition</t>
  </si>
  <si>
    <t>Exhaust this card when a monster enters an adjacent space to perform an attack that targets that monster.
That attack gains:
Surge: If the attack deals 1 or more Heart, the target suffers 1 Condition of your choice.</t>
  </si>
  <si>
    <t>Lorekeeper</t>
  </si>
  <si>
    <t>Interdisciplinary</t>
  </si>
  <si>
    <t>When you gain this card, choose 1 standard Class deck belonging to the Healer archetype.
When you spend experience points, you may purchase skills from either Class deck, excluding cards with an XP cost of 3 from the chosen standard Class deck.</t>
  </si>
  <si>
    <t>https://descent2e.fandom.com/wiki/Lorekeeper</t>
  </si>
  <si>
    <t>Ancient Remedy</t>
  </si>
  <si>
    <t>You gain X health where X is your Knowledge.
Exhaust this card when a hero within 3 spaces of you gains a Condition. Test Knowledge. If you succeed, that hero immediately discards that Condition.</t>
  </si>
  <si>
    <t>Careful Balance</t>
  </si>
  <si>
    <t>Exhaust this card when you perform an attack, before dice are rolled. Suffer any amount of damage, up to your Knowledge. That attack gains +1 Heart for each Heart you suffer.
If the monster suffers Heart during this attack, recover 2 Heart</t>
  </si>
  <si>
    <t>All-Knowing</t>
  </si>
  <si>
    <t xml:space="preserve">	Apply 1 Knowledge (to a maximum of 6).
Choose any number of your skill cards and test Knowledge. Add Shield to the results equal to the number of chosen cards. If you pass, unexhaust each of those cards and ignore their fatigue cost until the end of the round.</t>
  </si>
  <si>
    <t>Elementalist</t>
  </si>
  <si>
    <t>Elemental Focus</t>
  </si>
  <si>
    <t>When you gain this card, choose 2 Fatigue cards and immediately gain them.
Fatigue cards are Class cards that have Fatigue in place of an XP cost.</t>
  </si>
  <si>
    <t>https://descent2e.fandom.com/wiki/Elementalist</t>
  </si>
  <si>
    <t>Gust</t>
  </si>
  <si>
    <t>Exhaust this card during your turn to choose another friendly figure within 3 spaces of you. Move that figure up to a number of spaces equal to the number of exhausted Fatigue cards.</t>
  </si>
  <si>
    <t>Tide</t>
  </si>
  <si>
    <t>Exhaust this card after you perform an attack. A monster adjacent to the target space suffers Heart equal to the number of exhausted Fatigue cards.</t>
  </si>
  <si>
    <t>Blaze</t>
  </si>
  <si>
    <t xml:space="preserve">Exhaust this card when you perform an attach, after dice are rolled. This attack gains Pierce X, where X is equal to the number of exhausted Fatigue cards.	</t>
  </si>
  <si>
    <t>Grasp</t>
  </si>
  <si>
    <t xml:space="preserve">Exhaust this card during your turn to choose a non-lieutenant monster within 3 spaces of you. If the number exhausted Fatigue cards is equal to or greater than the number of spaces that monster occupies, it is Stunned.	</t>
  </si>
  <si>
    <t>Primal Harmony</t>
  </si>
  <si>
    <t xml:space="preserve">	Exhaust this card during your turn to refresh 1 of your Fatigue cards.</t>
  </si>
  <si>
    <t>Sun and Sea</t>
  </si>
  <si>
    <t>When you use Tide or Blaze, you may exhaust this card to reroll 1 attack or power die.
When you purchase this card, gain an additional Fatigue skill.</t>
  </si>
  <si>
    <t>Earth and Sky</t>
  </si>
  <si>
    <t>When you use Gust or Grasp, you may choose a figure that is 5 spaces away instead of 3.
When you purchase this card, gain an additional Fatigue skill.</t>
  </si>
  <si>
    <t>Spiritual Balance</t>
  </si>
  <si>
    <t xml:space="preserve">	Exhaust this card after you exhaust an Fatigue card. If there are 2 or more exhausted Fatigue cards, recover 2 Fatigue.</t>
  </si>
  <si>
    <t>Volcanic Might</t>
  </si>
  <si>
    <t>While Grasp is exhausted, add 1 Shield to your defense results.
While Blaze is exhausted after a monster resolves an attack that targets you, that monster suffers 1 Heart.</t>
  </si>
  <si>
    <t>Storm's Fury</t>
  </si>
  <si>
    <t>When you use Tide, you may choose a monster within 2 spaces instead of an adjacent monster.
When you use Gust you may chose 1 non-lieutenant instead.</t>
  </si>
  <si>
    <t>Nature's Fury</t>
  </si>
  <si>
    <t>Apply +1 to your Stamina.
When you use Blaze, add 1 additional yellow power die to your attack pool during this attack.
When you use Gust, you can choose yourself.</t>
  </si>
  <si>
    <t>Nature's Embrace</t>
  </si>
  <si>
    <t xml:space="preserve">	Apply +1 to your Stamina.
When you use Tide, you may choose 1 additional monster.
When you use Grasp, you may target a number of non-lieutenant figures equal to the number of exhausted Fatigue cards.</t>
  </si>
  <si>
    <t>Knight</t>
  </si>
  <si>
    <t>Oath Of Honor</t>
  </si>
  <si>
    <t>Action: Choose another hero within 3 spaces of you who has a monster adjacent to him. Place your hero figure in the closest empty space adjacent to the monster and perform an attack with a Melee weapon against that monster.</t>
  </si>
  <si>
    <t>Challenge</t>
  </si>
  <si>
    <t>Exhaust this card to choose a monster in you line of sight and place your hero token on it. While this card is exhausted, each attack performed by you or the monster, when targeting each other, gains +1 Heart.</t>
  </si>
  <si>
    <t>Defend</t>
  </si>
  <si>
    <t>When a hero adjacent to you is targeted by an attack, use this card to instead declare yourself as the target of the attack. Range and line of sight are still measured to the targeted hero's space.</t>
  </si>
  <si>
    <t>Advance</t>
  </si>
  <si>
    <t>After defeating a monster with an attack using a Melee weapon, exhaust this card to move up to you Speed and perform an additional attack.</t>
  </si>
  <si>
    <t>Shield Slam</t>
  </si>
  <si>
    <t>While you have a Shield equipped (even if exhausted), each of your attacks with a Melee weapon gain:
Surge: Choose a monster adjacent to you. That monster is Stunned.</t>
  </si>
  <si>
    <t>Defense Training</t>
  </si>
  <si>
    <t>As long as you have a Shield equipped, add 1 additional brown die to your defense pool (even if this card is exhausted).
When you would exhaust your equipped Shield (such as to use the Shield's ability), you may exhaust this card instead.</t>
  </si>
  <si>
    <t>Guard</t>
  </si>
  <si>
    <t>When a monster moves into an empty space adjacent to you, exhaust this card to interrupt that monster’s activation and perform an attack with a Melee weapon. After this attack is resolved, if the monster was not defeated, it may continue its activation.</t>
  </si>
  <si>
    <t>Stalwart</t>
  </si>
  <si>
    <t>You gain +2 Health.
When you are defeated, you may immediatly move up to your Speed and perform an attack with a Melee weapon. After the attack is resolved, you are knocked out.</t>
  </si>
  <si>
    <t>Inspiration</t>
  </si>
  <si>
    <t>At the start of your turn. if you are adjacent to at least one other hero, you and each other hero adjacent to your recover 1 Fatigue.</t>
  </si>
  <si>
    <t>Beserker</t>
  </si>
  <si>
    <t>Rage</t>
  </si>
  <si>
    <t xml:space="preserve">Action:  Perform an attack with a Melee weapon.
This attack gains +1 Heart. </t>
  </si>
  <si>
    <t>Cripple</t>
  </si>
  <si>
    <t>Exhaust this card during your turn to choose a monster adjacent to you and test Might. If you pass, the monster is Immobilized.</t>
  </si>
  <si>
    <t>Brute</t>
  </si>
  <si>
    <t>You gain +4 Health.
Whenever you stand up or are revived by another hero, you recover 2 additional Heart.</t>
  </si>
  <si>
    <t>Counter Attack</t>
  </si>
  <si>
    <t>After an adjacent monster resolves an attack that affects you, exhaust this card to perform an attack with a Melee weapon against the attacking monster. After this attack is resolved, if the monster was not defeated, it may continue its activation.</t>
  </si>
  <si>
    <t>Weapon Mastery</t>
  </si>
  <si>
    <t>Each time you perform an attack with either 1 Melee weapon with 2 Hand icons or 2 Melee weapons with 1 hand icon each, you may exhaust this card to add 1 Surge to the results.</t>
  </si>
  <si>
    <t>Action: Move up to your Speed and then perform an attack with a Melee weapon.</t>
  </si>
  <si>
    <t>Whirlwind</t>
  </si>
  <si>
    <t>Action: Perform an attack with a Melee weapon targeting all adjacent monsters. You make 1 attack roll and each monster rolls its defense dice separately.</t>
  </si>
  <si>
    <t>Execute</t>
  </si>
  <si>
    <t>When performing an attack with a Melee weapon, after the dice are rolled, exhaust this card to gain +X Heart, where X is the amount of Fatigue suffered to use this skill.</t>
  </si>
  <si>
    <t>Death Rage</t>
  </si>
  <si>
    <t xml:space="preserve">	Action: Perform an attack with a Melee weapon.
This attack gains:
Surge: +1 Heart for every 2 Heart on your Hero sheet.</t>
  </si>
  <si>
    <t>Champion</t>
  </si>
  <si>
    <t>Valor of Heroes</t>
  </si>
  <si>
    <t>Each time you defeat a monster with an attack using a Melee weapon you gain 1 valor.
Before rolling his attack dice, a hero may spend 1 valor to add 1 Heart to his attack results (limit once per attack).</t>
  </si>
  <si>
    <t>https://descent2e.fandom.com/wiki/Champion</t>
  </si>
  <si>
    <t>Glory of Battle</t>
  </si>
  <si>
    <t xml:space="preserve">	Each time you defeat a monster, each other hero within 3 spaces of you gains 1 valor.
Before rolling his defense dice, a hero may spend 1 valor to add 1 Shield to his defense results (limit once per defense roll)</t>
  </si>
  <si>
    <t>Inspiring Presence</t>
  </si>
  <si>
    <t>Each time a hero within 3 spaces of you (including yourself) performs an attack, this attack gains:
Surge: Gain 1 valor
In addition, you may spend 1 valor to allow a hero within 3 spaces of you to reroll a failed Willpower test (once per Willpower test).</t>
  </si>
  <si>
    <t>A Living Legend</t>
  </si>
  <si>
    <t>Exhaust this card when you would suffer any amount of Heart (from any source). You may spend up to 3 valor to reduce the Heart suffered by 1 for each valor spent.</t>
  </si>
  <si>
    <t>Motivating Charge</t>
  </si>
  <si>
    <t>Action: Exhaust this card to move up to your Speed and perform an attack with a Melee weapon.
If this attack defeats a monster, each hero within 3 spaces of you (including yourself) may either gain 1 valor or recover 1 Fatigue.</t>
  </si>
  <si>
    <t>No Mercy</t>
  </si>
  <si>
    <t>After the overlord completes a monster group's activation, a hero within 3 spaces of you (including yourself) may spend 2 valor to exhaust this card and immediately perform an attack.</t>
  </si>
  <si>
    <t>Stoic Resolve</t>
  </si>
  <si>
    <t>Each time you or a hero within 3 spaces of you spends any number of valor, you or 1 hero adjacent to you may recover 1 Fatigue.</t>
  </si>
  <si>
    <t>For the Cause</t>
  </si>
  <si>
    <t xml:space="preserve">	Add 1 brown die to your defense pool (even if this card is exhausted).
Exhaust this card when a monster declares an attack targeting you or a hero adjacent to you and spend any number of valor. For each valor spent, add 1 Grey die to the target hero's defense pool.</t>
  </si>
  <si>
    <t>Valorous Strike</t>
  </si>
  <si>
    <t>Each time you gain valor, you may instead place a damage token on this card.
After one of your attacks with a Melee weapon deals at least 1 Heart (after rolling defense dice), you may exhaust this card to deal +1 Heart for each damage token on this card.
Then discard all damage tokens from this card.</t>
  </si>
  <si>
    <t>Dual Strike</t>
  </si>
  <si>
    <t>Exhaust this card when you perform an attack, before dice are rolled. If you have 2 Melee weapons with 1 hand icon each equipped, add 1 Surge to the results. You may use the Surge abilities on both weapons during the attack.</t>
  </si>
  <si>
    <t>https://descent2e.fandom.com/wiki/Skirmisher</t>
  </si>
  <si>
    <t>Back in Action</t>
  </si>
  <si>
    <t>Apply +2 to your Health.
Each time you stand up or are revived by another hero, you may immediately move up to your Speed.</t>
  </si>
  <si>
    <t>Keen Edge</t>
  </si>
  <si>
    <t>Each attack you perform with a Blade or Axe weapon gains Pierce 1.</t>
  </si>
  <si>
    <t>Deep Wounds</t>
  </si>
  <si>
    <t>Exhaust this card when you resolve an attack that dealt at least 1 Heart to a monster (after the defense roll). That monster suffers 1 additional Heart and is Bleeding.</t>
  </si>
  <si>
    <t>Unrelenting</t>
  </si>
  <si>
    <t>Exhaust this card after resolving an attack with a Melee weapon with 1 hand icon. Perform an attack that targets one of the same monsters with a different Melee weapon with 1 hand icon.</t>
  </si>
  <si>
    <t>Born in Battle</t>
  </si>
  <si>
    <t>Each time you defeat a monster with an attack using a Melee weapon with 1 hand icon, you recover 1 Heart and 1 Fatigue</t>
  </si>
  <si>
    <t>Ever in Motion</t>
  </si>
  <si>
    <t>When you are knocked out, you may place your hero token in an empty space within 3 spaces of your hero figure (even while this card is exhausted).
Exhaust this card at the start of your turn to discard a Stunned or Immobilized Condition card.</t>
  </si>
  <si>
    <t>Unstoppable</t>
  </si>
  <si>
    <t>Apply +1 to your Stamina.
Each time you perform an attack with a Melee weapon, after dice are rolled, you may change each X result to another result of your choice.</t>
  </si>
  <si>
    <t>Carve a Path</t>
  </si>
  <si>
    <t>Apply +1 to your Speed.Action: Move up to your Speed, then perform an attack. During this movement, you may move through spaces containing enemy figures. This attack affects each monster you moved through during this action.</t>
  </si>
  <si>
    <t>Marshal</t>
  </si>
  <si>
    <t xml:space="preserve">	Exhaust this card after a monster within 2 spaces of you resolves an attack that affects another hero. That monster suffers 2 Heart.</t>
  </si>
  <si>
    <t>https://descent2e.fandom.com/wiki/Marshal</t>
  </si>
  <si>
    <t>Zealous Fire</t>
  </si>
  <si>
    <t>Exhaust this card when the overlord plays an Overlord card. Recover 1 Fatigue.
When you refresh this card, choose 1 monster within 2 spaces of you. That monster suffers 1 Heart.</t>
  </si>
  <si>
    <t>Shockwave</t>
  </si>
  <si>
    <t xml:space="preserve">	Exhaust this card when you perform an attack with a Melee weapon with two hand icons, before dice are rolled. If that attack deals 1 or more Heart (after the defense roll), each monster adjacent to your target suffers 1 Heart.</t>
  </si>
  <si>
    <t>Just Reward</t>
  </si>
  <si>
    <t>Exhaust this card when the overlord activates a monster group. While this card is exhausted, each time a monster that is in your line of sight and in that group resolves an attack that targets another hero within 3 spaces of you, you may force the overlord to discard 1 Overlord card from his hand at random after the attack.</t>
  </si>
  <si>
    <t>By the Book</t>
  </si>
  <si>
    <t>Exhaust this card when the overlord plays an Overlord card. Test Knowledge. Add Shield to the results equal to the experience cost of the Overlord card. If you pass, the overlord places that card facedown on top of his Overlord deck without resolving its effect. If you fail, suffer 1 Fatigue.</t>
  </si>
  <si>
    <t>Vigilant Watch</t>
  </si>
  <si>
    <t>Exhaust this card when a monster enters a space adjacent to you. While this card is exhausted, each time a monster moves out of a space within 2 spaces of you, that monster suffers 1 Heart.</t>
  </si>
  <si>
    <t>I am the Law</t>
  </si>
  <si>
    <t>Exhaust this card after a monster within 2 spaces of you resolves an attack that affects you. Perform an attack that targets that monster. Then, you may test Knowledge. If you pass, suffer 1 Fatigue, and that monster gains 1 condition of your choice.</t>
  </si>
  <si>
    <t>Crushing Blow</t>
  </si>
  <si>
    <t>Exhaust this card when a monster within 2 spaces of you and in your line of sight performs an attack that deals no Heart. Perform an attack with a Melee weapon with 2 hand icons that targets that monster. If you do, remove all defense dice from the target monster's defense pool during this attack.</t>
  </si>
  <si>
    <t>Last Stand</t>
  </si>
  <si>
    <t>Exhaust this card when a hero within 5 spaces of you is knocked out. Remove your figure from the map and place it in that hero's space. Then, you may perform an attack.
When this card refreshes, you may revive 1 knocked-out hero in your space.</t>
  </si>
  <si>
    <t>Bound by the Hunt</t>
  </si>
  <si>
    <t>Action: Place your Wolf familiar token in an empty space adjacent to you.
You may only control 1 Wolf at a time. You may discard your Wolf familiar token at any time during your turn.</t>
  </si>
  <si>
    <t>https://descent2e.fandom.com/wiki/Beastmaster</t>
  </si>
  <si>
    <t>Bestial Rage</t>
  </si>
  <si>
    <t>Action: Perform an attack. If you are adjacent to your Wolf, you may reroll 1 attack die.
This attack gains:
Surge: Roll 1 red power die and add the Heart rolled to your attack results.</t>
  </si>
  <si>
    <t>Stalker (Beastmaster skill)</t>
  </si>
  <si>
    <t>Immediately after declaring the target of your attack, you may move your Wolf 1 space.
Additionally, a monster cannot declare your Wolf as the target of an attack if it could legally target a hero figure instead.</t>
  </si>
  <si>
    <t>Survivalist</t>
  </si>
  <si>
    <t>You gain +2 Health.
Each hero adjacent to your Wolf adds 1 additional brown die to his defense pool.
While your Wolf is adjacent to a hero, your Wolf adds 1 additional brown die to its defense pool.</t>
  </si>
  <si>
    <t>Feral Frenzy</t>
  </si>
  <si>
    <t>Action: Exhaust this card to perform an attack. After resolving the attack, your Wolf may immediately perform an attack.
While this card is exhausted, each hero attacking a monster adjacent to you or your Wolf may add 1 green die to his attack pool.</t>
  </si>
  <si>
    <t>Savagery</t>
  </si>
  <si>
    <t xml:space="preserve">	Each time a hero performs an attack that targets a monster adjacent to your Wolf, he may add 1 additional green power die to its attack pool. Each time your Wolf performs an attack that targets a monster adjacent to a hero figure, your Wolf may add 1 additional green power die to its attack pool.</t>
  </si>
  <si>
    <t>Shadow Hunter</t>
  </si>
  <si>
    <t xml:space="preserve">	Your Wolf adds 1 additional Grey die to its defense pool.
Before activating your Wolf, you may choose to perform an attack with it, rolling the dice shown below. Then your Wolf is defeated.</t>
  </si>
  <si>
    <t>Changing Skins</t>
  </si>
  <si>
    <t>Action: Exhaust this card to perform an attack as if you occupied your Wolf's space.
While this card is exhausted, each attack you or your Wolf perform gains:
Surge: Pierce 2
SurgeSurge: +5 Heart</t>
  </si>
  <si>
    <t>Predator</t>
  </si>
  <si>
    <t>You and your Wolf each gain +4 Health.
Whenever you stand up or are revived by another hero, you recover 2 additional Heart.
Your Wolf's attacks gain:
Surge: +1 Heart
Surge: You recover 1 Fatigue</t>
  </si>
  <si>
    <t>Steelcaster</t>
  </si>
  <si>
    <t>Runeguard</t>
  </si>
  <si>
    <t xml:space="preserve">	When you gain this card, choose 1 standard Class deck belonging to the Mage archetype.
When you spend experience points, you may purchase skills from either Class deck, excluding cards with an XP cost of 3 from the chosen standard Class deck.</t>
  </si>
  <si>
    <t>https://descent2e.fandom.com/wiki/Steelcaster</t>
  </si>
  <si>
    <t>Rune Grafting</t>
  </si>
  <si>
    <t xml:space="preserve">	Apply +1 to your Knowledge.
Your armor loses all text that prevents your from equipping Runes.
Each time you perform an attack with a Rune weapon while you have Heavy Armor equipped, that attack gains:
Surge: Recover 2 Heart and 1 Fatigue</t>
  </si>
  <si>
    <t>Shield Mage</t>
  </si>
  <si>
    <t xml:space="preserve">	1 Shield you have equipped loses 1 hand icon.
Exhaust this card when a hero within 3 spaces of you is affected by an attack, before rolling dice. That hero chooses 1 Shield you have equipped and treats it as if he had it equipped during that attack. After the attack resolves, you may suffer 1 Fatigue to refresh this card and that Shield.</t>
  </si>
  <si>
    <t>Iron Blooded</t>
  </si>
  <si>
    <t xml:space="preserve">	Apply -1 to your Speed, +4 to your Health, and +1 to your Stamina.
Each time you roll 1 or more blanks when rolling defense dice, add 1 Shield to your defense results.
Use this card when you gain a Condition card to immediately discard that Condition card.</t>
  </si>
  <si>
    <t>Avenger</t>
  </si>
  <si>
    <t>Justicar</t>
  </si>
  <si>
    <t xml:space="preserve">	When you gain this card, choose 1 standard Class deck belonging to the HEALER archetype.
When you spend experience points, you may purchase skills from either Class deck, exluding cards with an XP cost of 3 from the chosen standard Class deck.</t>
  </si>
  <si>
    <t>https://descent2e.fandom.com/wiki/Avenger</t>
  </si>
  <si>
    <t>Holy Champion</t>
  </si>
  <si>
    <t>When another hero within 3 spaces of you deals Heart during an attack, put 1 damage token on this card.
During your turn, you may discard 2 damage tokens from this card to recover 1 Fatigue.
If you are defeated, discard all tokens from this card.</t>
  </si>
  <si>
    <t>Vengeful Smite</t>
  </si>
  <si>
    <t>When another hero within 3 spaces of you suffers Heart during an attack, place 1 damage token on this card. When you perform an attack, before dice are rolled, you may discard 2 damage tokens from this card. If you do, the attack gains +2 Heart and Pierce 2.</t>
  </si>
  <si>
    <t>Death From Above</t>
  </si>
  <si>
    <t>Use this card after a monster resolves an attack that targets another hero. Discard 2 damage tokens from either Holy Champion or Vengeful Smite and place yourself in a space adjacent to that hero. You may then perform an attack that targets that monster without using an action.</t>
  </si>
  <si>
    <t>Raider</t>
  </si>
  <si>
    <t>Into the Fray</t>
  </si>
  <si>
    <t>When you gain this card, choose 1 standard Class deck belonging to the SCOUT archetype.
When you spend experience points, you may purchase skills from either Class deck, excluding cards with an XP cost of 3 from the chosen standard Class deck.</t>
  </si>
  <si>
    <t>https://descent2e.fandom.com/wiki/Raider</t>
  </si>
  <si>
    <t>Surprise Assault</t>
  </si>
  <si>
    <t>When you perform an attack that targets a monster that did not have line of sight to you at the start of your turn, add +1 Surge to the attack.</t>
  </si>
  <si>
    <t>Divide the Spoils</t>
  </si>
  <si>
    <t>Apply +1 to your Stamina.
When you draw and keep a Search card, each hero recovers 1 Fatigue. Then, you may immediately give that Search card to any other hero.</t>
  </si>
  <si>
    <t>Close the Gap</t>
  </si>
  <si>
    <t>Apply +1 to your Speed.
Exhaust this card after you resolve an attack with Ranged weapon. You may immediately equip and unequip any number of weapons. Then, move up to your Speed and perform an attack with a Melee weapon.</t>
  </si>
  <si>
    <t>Greedy</t>
  </si>
  <si>
    <t>Action: Search a search token within 3 spaced of you.</t>
  </si>
  <si>
    <t>Appraisal</t>
  </si>
  <si>
    <t>After you draw a Search card, you may discard it to draw a new Search card. You must keep the second card.</t>
  </si>
  <si>
    <t>Sneaky</t>
  </si>
  <si>
    <t>You again +1 ♥ on attacks against monsters that did not have line of sight of you at the start of your turn (even if this card is exhausted). You may exhaust this card to perform an open or close a door action without using an action.</t>
  </si>
  <si>
    <t>Dirty Tricks</t>
  </si>
  <si>
    <r>
      <rPr>
        <rFont val="Arial"/>
        <color theme="1"/>
        <sz val="11.0"/>
      </rPr>
      <t xml:space="preserve">Action: Perform an attack with a </t>
    </r>
    <r>
      <rPr>
        <rFont val="Arial"/>
        <i/>
        <color theme="1"/>
        <sz val="11.0"/>
      </rPr>
      <t>Melee</t>
    </r>
    <r>
      <rPr>
        <rFont val="Arial"/>
        <color theme="1"/>
        <sz val="11.0"/>
      </rPr>
      <t xml:space="preserve"> or </t>
    </r>
    <r>
      <rPr>
        <rFont val="Arial"/>
        <i/>
        <color theme="1"/>
        <sz val="11.0"/>
      </rPr>
      <t>Blade</t>
    </r>
    <r>
      <rPr>
        <rFont val="Arial"/>
        <color theme="1"/>
        <sz val="11.0"/>
      </rPr>
      <t xml:space="preserve"> weapon weapon. If the attack deals at least 1 ♥ (after rolling defense dice), the target is Stunned.</t>
    </r>
  </si>
  <si>
    <t>Caltrops</t>
  </si>
  <si>
    <t>When a monster moves into an empty space adjacent to you, exhaust this card to test Awareness. If you pass, the monster suffers 1 ♥ and is Immobilized.</t>
  </si>
  <si>
    <t>Unseen</t>
  </si>
  <si>
    <t>Exhaust this card during your turn. While this card is exhausted, each attack that targets you misses unless the attacker spends 1 Surge.</t>
  </si>
  <si>
    <t>Tumble</t>
  </si>
  <si>
    <t>Exhaust this card during your turn. While this card is exhausted, you may move through enemy figures.</t>
  </si>
  <si>
    <t>Lurk</t>
  </si>
  <si>
    <t>Exhaust this card during your turn to perform a search action; this does not require an action. While this card is exhausted, add 1 additional brown die to your defense pool.</t>
  </si>
  <si>
    <t>Bushwhack</t>
  </si>
  <si>
    <t>Exhaust this card during your turn to attack a monster that is the only monster in your line of sight. This attack does not require an action.</t>
  </si>
  <si>
    <t>Nimble</t>
  </si>
  <si>
    <t>Each time a monster moves into a space adjacent to you, you may use this card to move 1 space; then the monster may continue its activation.</t>
  </si>
  <si>
    <t>Accurate</t>
  </si>
  <si>
    <t>Each time you perform an attack with a Bow, you may reroll 1 power die (limit once per attack).</t>
  </si>
  <si>
    <t>Danger Sense</t>
  </si>
  <si>
    <t>Action: Exhaust this card to force the overlord to discard 1 Overlord card from his hand at random.</t>
  </si>
  <si>
    <t>Eagle Eyes</t>
  </si>
  <si>
    <r>
      <rPr>
        <rFont val="Arial"/>
        <color theme="1"/>
        <sz val="11.0"/>
      </rPr>
      <t xml:space="preserve">When you perform an attack with a </t>
    </r>
    <r>
      <rPr>
        <rFont val="Arial"/>
        <i/>
        <color theme="1"/>
        <sz val="11.0"/>
      </rPr>
      <t>Bow</t>
    </r>
    <r>
      <rPr>
        <rFont val="Arial"/>
        <color theme="1"/>
        <sz val="11.0"/>
      </rPr>
      <t>, friendly figures do no block your line of sight.</t>
    </r>
  </si>
  <si>
    <t>Bow Mastery</t>
  </si>
  <si>
    <r>
      <rPr>
        <rFont val="Arial"/>
        <color theme="1"/>
        <sz val="11.0"/>
      </rPr>
      <t xml:space="preserve">When you attack with a </t>
    </r>
    <r>
      <rPr>
        <rFont val="Arial"/>
        <i/>
        <color theme="1"/>
        <sz val="11.0"/>
      </rPr>
      <t>Bow</t>
    </r>
    <r>
      <rPr>
        <rFont val="Arial"/>
        <color theme="1"/>
        <sz val="11.0"/>
      </rPr>
      <t>, you may exhaust this card to add 1 Surge to the results.</t>
    </r>
  </si>
  <si>
    <t>Fleet Of Foot</t>
  </si>
  <si>
    <t>Each time you suffer 1 Fatigue to gain 1 movement point, you instead receive 2 movement points. Each time you use Nimble, you may move 2 spaces instead of 1.</t>
  </si>
  <si>
    <t>First Strike</t>
  </si>
  <si>
    <r>
      <rPr>
        <rFont val="Arial"/>
        <color theme="1"/>
        <sz val="11.0"/>
      </rPr>
      <t xml:space="preserve">During the overlord's turn, immediately after he chooses a monster to activate, you may exhaust this card to perform an attack targeting that monster with a </t>
    </r>
    <r>
      <rPr>
        <rFont val="Arial"/>
        <i/>
        <color theme="1"/>
        <sz val="11.0"/>
      </rPr>
      <t>Bow</t>
    </r>
    <r>
      <rPr>
        <rFont val="Arial"/>
        <color theme="1"/>
        <sz val="11.0"/>
      </rPr>
      <t>. After this attack is resolved, if the monster was not defeated, it may continue its activation.</t>
    </r>
  </si>
  <si>
    <t>Black Arrow</t>
  </si>
  <si>
    <r>
      <rPr>
        <rFont val="Arial"/>
        <color theme="1"/>
        <sz val="11.0"/>
      </rPr>
      <t xml:space="preserve">Action: Perform an attack with a </t>
    </r>
    <r>
      <rPr>
        <rFont val="Arial"/>
        <i/>
        <color theme="1"/>
        <sz val="11.0"/>
      </rPr>
      <t>Bow</t>
    </r>
    <r>
      <rPr>
        <rFont val="Arial"/>
        <color theme="1"/>
        <sz val="11.0"/>
      </rPr>
      <t>. This attack gains +2 range. If you deal less than 3 ♥ (after rolling defense dice), deal 3 ♥ instead (unless this attack misses).</t>
    </r>
  </si>
  <si>
    <t>Running Shot</t>
  </si>
  <si>
    <r>
      <rPr>
        <rFont val="Arial"/>
        <color theme="1"/>
        <sz val="11.0"/>
      </rPr>
      <t xml:space="preserve">Each time you perform an attack with a </t>
    </r>
    <r>
      <rPr>
        <rFont val="Arial"/>
        <i/>
        <color theme="1"/>
        <sz val="11.0"/>
      </rPr>
      <t>Bow</t>
    </r>
    <r>
      <rPr>
        <rFont val="Arial"/>
        <color theme="1"/>
        <sz val="11.0"/>
      </rPr>
      <t xml:space="preserve">, you receive 2 movement points before or after the attack. If you have </t>
    </r>
    <r>
      <rPr>
        <rFont val="Arial"/>
        <i/>
        <color theme="1"/>
        <sz val="11.0"/>
      </rPr>
      <t>Heavy Armor</t>
    </r>
    <r>
      <rPr>
        <rFont val="Arial"/>
        <color theme="1"/>
        <sz val="11.0"/>
      </rPr>
      <t xml:space="preserve"> equipped, you receive only 1 movement point before or after the attack.</t>
    </r>
  </si>
  <si>
    <t>Soul Bound</t>
  </si>
  <si>
    <t>Use this card when you perform an attack that is not a miss. Place a Shadow Soul in any space adjacent to the target.
Only 1 Shadow Soul can be on the map at any time.</t>
  </si>
  <si>
    <t>https://descent2e.fandom.com/wiki/Shadow_Walker</t>
  </si>
  <si>
    <t>Dark Servant</t>
  </si>
  <si>
    <t xml:space="preserve">Action: Exhaust this card to search a search token within 3 spaces of a Shadow Soul. Then, discard that Shadow Soul.	</t>
  </si>
  <si>
    <t>Through the Veil</t>
  </si>
  <si>
    <t xml:space="preserve">Exhaust this card when you perform an attack that targets a monster in a space containing or adjacent to a Shadow Soul, before dice are rolled. Add 1 additional Green power die to you attack pool.	</t>
  </si>
  <si>
    <t>Faithful Friend</t>
  </si>
  <si>
    <t xml:space="preserve">Exhaust this card at the start of your turn to place a Shadow Soul in a space within 3 space of you.	</t>
  </si>
  <si>
    <t>Dark Shift</t>
  </si>
  <si>
    <t>Add +1 to your Stamina.
Each time a hero enters a space containing a Shadow Soul, that hero gains 1 movement point.</t>
  </si>
  <si>
    <t>Endless Void</t>
  </si>
  <si>
    <t>Each time a Shadow Soul is discarded due to your class skills, you recover 1 Heart and 1 Fatigue.
If a hero figure in a space containing a Shadow Soul is the target of an attack, that attack is a miss unless the attacker spends 1 Surge.</t>
  </si>
  <si>
    <t>Otherworldly</t>
  </si>
  <si>
    <t>Each attack that targets a monster in a space containing or adjacent to a Shadow Soul gains Pierce 1.
Each time you spend 1 Surge to recover 1 Fatigue, your attack gains +1 Heart.</t>
  </si>
  <si>
    <t>Action: Exhaust this card to place your hero figure in a space that contains only a Shadow Soul. Then you may discard that Shadow Soul to perform an attack. If you do, add 1 Surge to the results.</t>
  </si>
  <si>
    <t>Shadow Puppet</t>
  </si>
  <si>
    <t>Action: Exhaust this card to choose a monster within 3 spaces of a Shadow Soul. Perform an attack with that Shadow Soul, using the attack type, dice, and surge abilities of that monster.</t>
  </si>
  <si>
    <t>Treasure Hunter</t>
  </si>
  <si>
    <t>Delver</t>
  </si>
  <si>
    <t>If you are not adjacent to any other hero, each of your attacks gains +1 Heart.
Each time you would draw a Search card, instead draw 2 and choose 1 to keep. Then place the other Search card either at the top or bottom of the Search deck.</t>
  </si>
  <si>
    <t>https://descent2e.fandom.com/wiki/Treasure_Hunter</t>
  </si>
  <si>
    <t>Dungeoneer</t>
  </si>
  <si>
    <t xml:space="preserve">	Action: Exhaust this card to perform a search action. While this card is exhausted, you may perform 1 attack during your turn without using an action.</t>
  </si>
  <si>
    <t>Gold Rush</t>
  </si>
  <si>
    <t xml:space="preserve">	Exhaust this card during your turn immediately after performing a search action to gain movement points equal to the number of Search cards you have (facedown or faceup), up to a maximum of 5.
While this card is exhausted, you may move through enemy figures.</t>
  </si>
  <si>
    <t>Survey</t>
  </si>
  <si>
    <t>You gain +1 Stamina, even while this card is exhausted.
Exhaust this card during your turn to look at the top 3 cards of the Search deck. You may return the cards to the top of the Search deck in any order you choose.</t>
  </si>
  <si>
    <t>Guard the Spoils</t>
  </si>
  <si>
    <t>Exhaust this card when you are targeted by an attack, before dice are rolled. Add the following dice to your defense pool, depending on how many Search cards you have:
0-1 Search cards: 1 brown
2 Search cards: 1 Grey
3+ Search cards: 1 black</t>
  </si>
  <si>
    <t>Lure of Fortune</t>
  </si>
  <si>
    <t>Each time you perform a search action, you recover 1 Heart and 1 Fatigue.
Additionally, each time you defeat a monster you may move the top card of the Search deck to the bottom of the deck without looking at it.</t>
  </si>
  <si>
    <t>Sleight of Hand</t>
  </si>
  <si>
    <t>While you have an Exotic or Bow weapon equipped, each of your attacks gains Pierce 2 (even while this card is exhausted).
When another hero draws a Search card, exhaust this card to allow him to immediately give the Search card to you.</t>
  </si>
  <si>
    <t>Finder's Keeper's</t>
  </si>
  <si>
    <t>Action: Perform an attack with an Exotic weapon, adding 1 additional green power die to your attack pool. This attack agains:
Surge: +1 Heart for each Search card you have (facedown or faceup), up to a maximum of +4 Heart</t>
  </si>
  <si>
    <t>Trail of Riches</t>
  </si>
  <si>
    <t>If you have 2 or more Search cards in front of you (facedown or faceup), you may exhaust this card to search a search token within 3 spaces of you without using an action.</t>
  </si>
  <si>
    <t>Stalker</t>
  </si>
  <si>
    <t>Set Trap</t>
  </si>
  <si>
    <t>Exhaust this card to place 1 trap token in an empty space adjacent to you.
While you are adjacent to a trap token, each of your attacks gains + 1 Heart. If a monster enters a space adjacent to a trap token, discard the trap token from the map and that monster suffers 1 Heart.</t>
  </si>
  <si>
    <t>https://descent2e.fandom.com/wiki/Stalker</t>
  </si>
  <si>
    <t>Exploit</t>
  </si>
  <si>
    <t>Action: Perform an attack. If this attack targets a monster within 3 spaces of a trap token, add 1 additional green die to your attack pool.
This attack gains:
Surge: The target is Weakened (even if you didn't deal any Heart)</t>
  </si>
  <si>
    <t>Hunter's Mark</t>
  </si>
  <si>
    <t xml:space="preserve">	Exhaust this card during your turn and choose a monster within 3 spaces of a trap token and place 1 of your hero tokens on that monster's base, indicating that it is marked.
The next hero to attack a marked monster adds 1 Surge to his attack results.</t>
  </si>
  <si>
    <t>Makeshift Trap</t>
  </si>
  <si>
    <t>Exhaust this card immediately after performing a search action to place 1 trap token in an empty space adjacent to you.
While this card is exhausted, each hero adjacent to a trap token recovers 1 Fatigue at the start of their turn.</t>
  </si>
  <si>
    <t>Easy Prey</t>
  </si>
  <si>
    <t xml:space="preserve">	Action: Exhaust this card to perform an attack. Before rolling dice, place 1 trap token in the closest empty space adjacent to the target. While this card is exhausted, each attack targeting a monster adjacent to a trap token gain Pierce 1.</t>
  </si>
  <si>
    <t>Lay of the Land</t>
  </si>
  <si>
    <t xml:space="preserve">	Any hero adjacent to a search token and within 3 spaces of a trap token during their turn may suffer 1 Fatigue to exhaust this card and search the search token without using an action.</t>
  </si>
  <si>
    <t>Poison Barbs</t>
  </si>
  <si>
    <t>Exhaust this card during your turn to choose a trap token on the map.
Roll the blue attack die for each monster within 3 spaces of the chosen trap token. Each time you do not roll an X, the monster is Poisoned.
Then, discard the trap token.</t>
  </si>
  <si>
    <t>Ambush</t>
  </si>
  <si>
    <t xml:space="preserve">	Exhaust this card when a monster enters an empty space within 3 spaces of a trap token to immediately perform an attack targeting that monster. After the attack is resolved, if the monster was not defeated, it may continue its activation.</t>
  </si>
  <si>
    <t>Upper Hand</t>
  </si>
  <si>
    <t>You gain +1 Stamina and +2 Health.
Action: Perform an attack. Before rolling dice, you may discand any number of trap tokens from the map. For each trap token discarded from the map, this attack gains +1 Heart.</t>
  </si>
  <si>
    <t>Bounty Hunter</t>
  </si>
  <si>
    <t>Chosen Target</t>
  </si>
  <si>
    <t xml:space="preserve">	Exhaust this card at the start of your turn to track a monster in your line of sight.
Each time you perform an attack that targets a tracked monster, that attack gains +1 Heart (even while this card is exhausted).</t>
  </si>
  <si>
    <t>https://descent2e.fandom.com/wiki/Bounty_Hunter</t>
  </si>
  <si>
    <t>Lie In Wait</t>
  </si>
  <si>
    <t>Action: Exhaust this card. While this card is exhausted, you cannot perform actions, and you cannot move or be moved.
When you refresh this card, perform an attack. This is in addition to your 2 normal actions. Add 1 additional yellow power die to your attack pool during this attack.</t>
  </si>
  <si>
    <t>Not So Fast</t>
  </si>
  <si>
    <t>Use this card when a tracked monster in your line of sight performs a move action.
Reduce that monster's movement points by 1 (to a minimum of 1). You may immediately move 2 spaces.</t>
  </si>
  <si>
    <t>Longshot</t>
  </si>
  <si>
    <t>Exhaust this card when you perform an attack with a Bow weapon, before dice are rolled. If the target is 5 or more spaces away from you, this attack gains +3 Range and +1 Heart.</t>
  </si>
  <si>
    <t>Evil Eye</t>
  </si>
  <si>
    <t>Exhaust this card at the end of your turn and choose 1 tracked monster. That monster is Doomed.
Exhaust this card at the end of your turn and choose 1 Doomed monster that is tracked. That monster suffers 1 Heart.</t>
  </si>
  <si>
    <t>Undercover</t>
  </si>
  <si>
    <t>Exhaust this card at the end of your turn if you did not perform an attack that turn. While this card is exhausted, add 1 grey die to your defense pool.
When you refresh this card, gain 3 movement points.</t>
  </si>
  <si>
    <t>Dark Iron Chains</t>
  </si>
  <si>
    <t>Use this card when a tracked monster in your line of sight performs an attack, after dice are rolled; X is equal to the number of Surge results. Then, test Awareness. If you pass, that monster cannot spend Surge during that attack.</t>
  </si>
  <si>
    <t>Payday</t>
  </si>
  <si>
    <t xml:space="preserve">	Exhaust this card after you defeat a master monster. The Overlord must choose 1 search token on the map. Search that search token. Place 1 hero token on that monster's Monster card as a reminder.
This card cannot be used on the same monster group twice during the same encounter.</t>
  </si>
  <si>
    <t>Rapid Fire</t>
  </si>
  <si>
    <t>Use this card after you use a Bow weapon to defeat a tracked monster to move up to 2 spaces. Then, choose 1 monster in your line of sight. Perform an additional attack that targets that monster. Then, if you do not defeat that monster, track that monster.</t>
  </si>
  <si>
    <t>Monk</t>
  </si>
  <si>
    <t>Greater Calling</t>
  </si>
  <si>
    <t>When you gain this card, choose 1 standard Class deck belonging to the Healer archetype. When you spend experience points, you may purchase skills from either Class deck, excluding cards with an XP cost of 3 from the chosen standard Class deck.</t>
  </si>
  <si>
    <t>https://descent2e.fandom.com/wiki/Monk</t>
  </si>
  <si>
    <t>Inner Balance</t>
  </si>
  <si>
    <t xml:space="preserve">	Exhaust this card when you declare a rest action. 1 hero within 3 spaces of you may discard 1 Condition card.
While this card is exhausted, apply +1 to your Awareness, Might, Willpower and Knowledge (to a maximum of 6 each).</t>
  </si>
  <si>
    <t>Openhanded</t>
  </si>
  <si>
    <t xml:space="preserve">	Use this card when you defeat a monster with your bare hands to immediately perform 1 additional attack.
Each time you perform an attack with your bare hands, that attack gains:
Pierce X, where X is equal to the Range result.
Surge: Stun</t>
  </si>
  <si>
    <t>Vow of Freedom</t>
  </si>
  <si>
    <t>Each time you perform an attack with your bare hands or an Exotic weapon, after dice are rolled, you may change each X result to another result of your choice.
If you do not have Light Armor or Heavy Armor equipped, you may change each of your blank defense results to another result of your choice.</t>
  </si>
  <si>
    <t>Trickster</t>
  </si>
  <si>
    <t>Razzle-Dazzle</t>
  </si>
  <si>
    <t>When you gain this card, choose 1 standard Class deck belonging to the Mage archetype.When you spend experience points, you may purchase skills from either Class deck, exluding cards with an XP cost of 3 from the chosen standard Class deck.</t>
  </si>
  <si>
    <t>https://descent2e.fandom.com/wiki/Trickster</t>
  </si>
  <si>
    <t>Private Collection</t>
  </si>
  <si>
    <t xml:space="preserve">	Each time you draw and keep a Search card, place a fatigue token on this card.
Each time you use a skill card, you may discard 1 fatigue token from this card to ignore the fatigue cost on that card for that use.</t>
  </si>
  <si>
    <t>Now You See Me</t>
  </si>
  <si>
    <t xml:space="preserve">	Use this card when you are targeted by an attack. 1 hero within 5 spaces of you who is not affected by the attack may choose to switch spaces with you. If he does, he becomes the target of the attack instead.</t>
  </si>
  <si>
    <t>Arcane Fusion</t>
  </si>
  <si>
    <t xml:space="preserve">At the start of each encounter, you may choose 1 unequipped Magic weapon you are carrying. Place that card near 1 of your equipped weapons. As long as that weapon remains equipped, it gains the abilities and traits of the chosen weapon.	</t>
  </si>
  <si>
    <t>Ravager</t>
  </si>
  <si>
    <t>Battle-Hardened</t>
  </si>
  <si>
    <t>When you gain this card, choose 1 standard Class deck belonging to the Warrior archetype.When you spend experience points, you may purchase skills from either Class deck, exluding cards with an XP cost of 3 from the chosen standard Class deck.</t>
  </si>
  <si>
    <t>https://descent2e.fandom.com/wiki/Ravager</t>
  </si>
  <si>
    <t>Momentum</t>
  </si>
  <si>
    <t>Exhaust this card after you perform an attack with a Melee weapon. Gain a number of movement points equal to the Heart the target suffered.</t>
  </si>
  <si>
    <t>Charging Assault</t>
  </si>
  <si>
    <t>When you perform an attack with a Melee weapon, before the dice are rolled, you may spend up to 3 movement points. That attack gains +1 Heart for each movement point spent.</t>
  </si>
  <si>
    <t>Vicious Throw</t>
  </si>
  <si>
    <t>Apply +1 to your Speed.
Action: Perform a Ranged attack with en equipped Melee weapon. This attack gains Range equal to your Speed. After the attack, unequip that weapon.</t>
  </si>
  <si>
    <t>Disciple</t>
  </si>
  <si>
    <t>Prayer Of Healing</t>
  </si>
  <si>
    <t>Exhaust this card during your turn and choose yourself or an adjacent hero. Roll 1 red power die. The chosen hero recovers ♥ equal to the ♥ rolled.</t>
  </si>
  <si>
    <t>Cleansing Touch</t>
  </si>
  <si>
    <t>Each time you use Prayer Of Healing on a hero, that hero may also discard 1 of his Condition cards.</t>
  </si>
  <si>
    <t>Blessed Strike</t>
  </si>
  <si>
    <r>
      <rPr>
        <rFont val="Arial"/>
        <color theme="1"/>
        <sz val="11.0"/>
      </rPr>
      <t xml:space="preserve">Action: Perform an attack with a </t>
    </r>
    <r>
      <rPr>
        <rFont val="Arial"/>
        <i/>
        <color theme="1"/>
        <sz val="11.0"/>
      </rPr>
      <t>Melee</t>
    </r>
    <r>
      <rPr>
        <rFont val="Arial"/>
        <color theme="1"/>
        <sz val="11.0"/>
      </rPr>
      <t xml:space="preserve"> weapon. If you deal at least 1 ♥ (after rolling defense dice), you and 1 hero of your choice adjacent to you each recover 2 ♥.</t>
    </r>
  </si>
  <si>
    <t>Armor Of Faith</t>
  </si>
  <si>
    <t>Each time you use Prayer Of Healing on a hero, that hero adds 1 additional brown die to his defense pool until the start of your next turn. Place a hero token belonging to that hero on this card as a reminder.</t>
  </si>
  <si>
    <t>Divine Fury</t>
  </si>
  <si>
    <t>Each time you use Prayer Of Healing on a hero, that hero adds 1 additional yellow power die to his attack pool on his next attack this round. Place a hero token belonging to that hero on this card as a reminder.</t>
  </si>
  <si>
    <t>Time Of Need</t>
  </si>
  <si>
    <t>Action: You receive 2 movement points and recover 2 Fatigue.</t>
  </si>
  <si>
    <t>Prayer Of Peace</t>
  </si>
  <si>
    <t>Action: Exhaust this card. While this card is exhausted, monsters cannot perform an attack while adjacent to you.</t>
  </si>
  <si>
    <t>Radiant Light</t>
  </si>
  <si>
    <t>Action: Roll 1 red power die. Each hero in your line of sight (including yourself) recovers the amount of ♥ rolled. Each monster in your line of sight suffers the amount of ♥ rolled.</t>
  </si>
  <si>
    <t>Holy Power</t>
  </si>
  <si>
    <t>Your Prayer Of Healing may now affect 2 different heroes. If you roll a Surge on the red power die when using Prayer Of Healing, both heroes recover 1 Fatigue.</t>
  </si>
  <si>
    <t>Stoneskin</t>
  </si>
  <si>
    <t>When you or a hero within 3 spaces of you is attacked, before dice are rolled, exhaust this card to add 1 additional Grey die to that hero's defense pool.</t>
  </si>
  <si>
    <t>Healing Rain</t>
  </si>
  <si>
    <t>Action: Roll 1 red power die. Each hero within 3 spaces of you (including yourself) recovers ♥ equal to the ♥ rolled.</t>
  </si>
  <si>
    <t>Drain Spirit</t>
  </si>
  <si>
    <t>Action: Perform an attack. If you deal at least 1 ♥ (after rolling defense dice), each hero within 3 spaces of you (including yourself) recovers 1 ♥.</t>
  </si>
  <si>
    <t>Shared Pain</t>
  </si>
  <si>
    <t>Action: Perform an attack. If you deal at least 1 ♥ (after rolling defense dice), each other figure in the target's monster group suffers 1 ♥.</t>
  </si>
  <si>
    <t>Tempest</t>
  </si>
  <si>
    <t>Action: Exhaust this card and test Wisdom. If you fail, recover 1 Fatigue. If you pass, each monster within 3 spaces of you suffers 2 ♥ and each hero within 3 spaces of you recovers 1 ♥.</t>
  </si>
  <si>
    <t>Cloud Of Mist</t>
  </si>
  <si>
    <t>Action: Exhaust this card. While this card is exhausted, each attack that targets a space within 3 spaces of you misses unless the attacker spends 1 Surge.</t>
  </si>
  <si>
    <t>Nature's Bounty</t>
  </si>
  <si>
    <t>Each time you recover Fatigue by resting, you also recover ♥ equal to the amount of Fatigue recovered.</t>
  </si>
  <si>
    <t>Ancestor Spirits</t>
  </si>
  <si>
    <t>When a monster suffers ♥ due to 1 of your class skills, exhaust this card. That monster is Poisoned. When a hero recovers ♥ or Fatigue due to 1 of your class skills, exhaust this card to allow that hero to recover 1 ♥ and 1 Fatigue.</t>
  </si>
  <si>
    <t>Vigor</t>
  </si>
  <si>
    <t>Each of your attacks gains: Surge: Each hero recovers 1 Fatigue</t>
  </si>
  <si>
    <t>Prophet</t>
  </si>
  <si>
    <t>Soothing Insight</t>
  </si>
  <si>
    <t>Exhaust this card during your turn. You or 1 hero of your choice gains the insight token.When a hero gains the insight token, he recovers 1Heart and 1Fatigue. A hero with the insight token may discard it during his turn to recover 1Heart.</t>
  </si>
  <si>
    <t>https://descent2e.fandom.com/wiki/Prophet</t>
  </si>
  <si>
    <t>Battle Vision</t>
  </si>
  <si>
    <t>You gain +1 Awareness up to a maximum of 6.Each hero within two spaces of the hero with the insight token may suffer 2 Fatigue to reroll 1 attack die once on each attack.</t>
  </si>
  <si>
    <t>Grim Fate</t>
  </si>
  <si>
    <t>A hero with the insight token may suffer 2 Fatigue and exhaust this card during his turn to force the overlord to reveal the top card of the Overlord deck.That hero forces the overlord to place the revealed card either on the top or the bottom of the Overlord deck.</t>
  </si>
  <si>
    <t>Forewarning</t>
  </si>
  <si>
    <t>Exhaust this card when a monster attacks a hero with the insight token, after rolling dice. Discard the insight token to add 2 Shield to his result.</t>
  </si>
  <si>
    <t>All-Seeing</t>
  </si>
  <si>
    <t>Exhaust this card when the insight token is discarded. Another hero of your choice gains the insight token.</t>
  </si>
  <si>
    <t>Lifeline</t>
  </si>
  <si>
    <t>Exhaust this card when a hero with the insight token would be defeated. Discard the insight token for that hero to immediately recover 1 Heart.</t>
  </si>
  <si>
    <t>Victory Foretold</t>
  </si>
  <si>
    <t>Exhaust this card when a hero with the insight token attacks a monster, before rolling dice. Discard the insight token for that hero to roll an additional green power die on the attack.If the monster is defeated, the hero recovers 3 Heart.</t>
  </si>
  <si>
    <t>Focused Insights</t>
  </si>
  <si>
    <t>You gain +2 Health.When a hero gains the insight token, each hero adjacent to that hero recovers 1 Heart and 1 Fatigue.</t>
  </si>
  <si>
    <t>Omniscience</t>
  </si>
  <si>
    <t>Exhaust this card when a monster declares a hero with the insight token as the target of an attack, before rolling dice. Discard the insight token to cause the attack to automatically miss.</t>
  </si>
  <si>
    <t>Apothecary</t>
  </si>
  <si>
    <t>Brew Elixir</t>
  </si>
  <si>
    <t>Exhaust this card during your turn. Choose yourself or an adjacent hero to gain 1 elixir token.
Once during his turn, a hero may discard 1 elixir token to roll 1 red power die and recover Heart equal to the Heart rolled.</t>
  </si>
  <si>
    <t>https://descent2e.fandom.com/wiki/Apothecary</t>
  </si>
  <si>
    <t>Concoction</t>
  </si>
  <si>
    <t>Action: Perform an attack. If you have at least 1 elixir token, add 1 Surge to the results. This attack gains:
Pierce 1
Surge: +1 Heart</t>
  </si>
  <si>
    <t>Herbal Lore</t>
  </si>
  <si>
    <t>Exhaust this card when a hero discards 1 elixir token. In addition to any other effect from the discarded elixir token, the hero may also discard 1 of his Condition cards.</t>
  </si>
  <si>
    <t>Inky Substance</t>
  </si>
  <si>
    <t>Exhaust this card to choose 1 monster within 3 spaces of you and place an elixir token on it.
A hero targeting that monster with an attack may discard the elixir token, before his attack roll, to add 1 additional green power die to his attack pool.</t>
  </si>
  <si>
    <t>Bottled Courage</t>
  </si>
  <si>
    <t>Exhaust this card during your turn to perform an attack. This attack does not require an action. If you deal at least 1 Heart (after rolling defense dice), choose yourself or an adjacent hero to gain 1 elixir token.</t>
  </si>
  <si>
    <t>Secret Formula</t>
  </si>
  <si>
    <t>You gain +2 Health, even while this card is exhausted.
Exhaust this card when a hero with an elixir token declares the target for an attack. He may add 1 additional green power die to his attack pool and the attack gains:
Surge: +2 Heart</t>
  </si>
  <si>
    <t>Protective Tonic</t>
  </si>
  <si>
    <t>Exhaust this card immediately after a hero discards an elixir token to place 1 of his hero tokens on this card.
A hero may discard 1 of his hero tokens from this card, before rolling defense dice, to add 1 Grey die to his defense pool.</t>
  </si>
  <si>
    <t>Hidden Stash</t>
  </si>
  <si>
    <t>Action: Exhaust this card. You and each adjacent hero gain 1 elixir token.</t>
  </si>
  <si>
    <t>Potent Remedies</t>
  </si>
  <si>
    <t>When a hero discards an elixir token from his Hero sheet, he may roll 1 additional green power die and recover Fatigue equal to the Surge rolled, in addition to any Heart recovered (even if this card is exhausted).
You may exhaust this card to revive an adjacent hero without using an action.</t>
  </si>
  <si>
    <t>Bard</t>
  </si>
  <si>
    <t>Song of Mending</t>
  </si>
  <si>
    <t>Use this card during your turn to place a song token on this card.
𝄞 At the end of your turn, each hero within 3 spaces of you recovers 1 Heart
𝄢 At the end of your turn, each other hero within 3 spaces of you recovers 1 Fatigue</t>
  </si>
  <si>
    <t>https://descent2e.fandom.com/wiki/Bard</t>
  </si>
  <si>
    <t>Dissonance</t>
  </si>
  <si>
    <t>Use this card during your turn to place a song token on this card.
𝄞 If a hero starts his turn within 3 spaces of you, he gains 1 movement point.
𝄢 If a monster within 3 spaces of you is activated, it suffers 1 Heart.</t>
  </si>
  <si>
    <t>Understudy</t>
  </si>
  <si>
    <t>Use this card during your turn to place a song token on this card.
𝄞 Each time a hero within 3 spaces of your recovers 1 or more Heart, he recovers 1 additional Heart.
𝄢 Each time a hero within 3 spaces of your recovers 1 or more Fatigue, he recovers 1 additional Fatigue.</t>
  </si>
  <si>
    <t>Peaceful Rest</t>
  </si>
  <si>
    <t>If a hero within 3 spaces of you recovers Fatigue as the result of a rest action, he recovers 2 Heart in addition to the Fatigue.</t>
  </si>
  <si>
    <t>Aria of War</t>
  </si>
  <si>
    <t>Use this card during your turn to place a song token on this card.
𝄞 If a hero within 3 spaces of you is attacked, he adds 1 Shield to his defense results.
𝄢 If a hero within 3 spaces of you performs an attack, his attack gains +1 Heart.</t>
  </si>
  <si>
    <t>Rehearsal</t>
  </si>
  <si>
    <t>Use this card during your turn to place a song token on this card. At the end of your turn, choose 1 hero within 3 spaces of you. He may discard 1 Condition card. Each hero within 3 spaces of you may reroll 1 die once per round.</t>
  </si>
  <si>
    <t>Concentration</t>
  </si>
  <si>
    <t>At the start of your turn, if both your song tokens are on different Class cards, you recover 1 Heart and 1 Fatigue.
Exhaust this card when a hero within 3 spaces of you recovers 1 or more Heart. That hero recovers 2 additional Heart.</t>
  </si>
  <si>
    <t>Cacophony</t>
  </si>
  <si>
    <t>Apply +1 to your Stamina (even while this card is exhausted).
Exhaust this card and choose 1 of your Class cards. While this card is exhausted the 𝄞 and 𝄢 effects of the chosen card trigger.</t>
  </si>
  <si>
    <t>Wayfarer</t>
  </si>
  <si>
    <t>Apply +2 to your Health.
All of your 𝄞 and 𝄢 effects apply within 5 spaces instead of 3 spaces.
Each time you place a song token on one of your Class cards, you may move 1 space.</t>
  </si>
  <si>
    <t>Watchman</t>
  </si>
  <si>
    <t>Vigilance</t>
  </si>
  <si>
    <t>When you gain this card, choose 1 standard Class deck belonging to the Scout archetype. When you spend experience points, you may purchase skills from either Class deck, excluding cards with an XP cost of 3 from the chosen standard Class deck.</t>
  </si>
  <si>
    <t>https://descent2e.fandom.com/wiki/Watchman</t>
  </si>
  <si>
    <t>Quick Recovery</t>
  </si>
  <si>
    <t>Use this card when a hero in your line of sight starts his turn. That hero gains 1 movement point and recovers 1 Heart.Use this card during a heros turn. That hero may immediately flip 1 search card in his play area facedown to discard 1 Condition card.</t>
  </si>
  <si>
    <t>Trailblazer</t>
  </si>
  <si>
    <t>During the Travel step, apply +2 to your Might, Awareness, Willpower, and Knowledge (to a maximum of 6 each).Exhaust this card during a heros turn. You and each hero adjacent to you may immediately move 1 space.</t>
  </si>
  <si>
    <t>Unity</t>
  </si>
  <si>
    <t>Use this card when a hero in your line of sight recovers 1 or more Heart. That hero also recovery 1 Fatigue. Then test Willpower. If you fail, exhaust this card.Each other hero may treat Search cards in your play area as if they were also in his own play area.</t>
  </si>
  <si>
    <t>Soul Reaper</t>
  </si>
  <si>
    <t>Essence Harvest</t>
  </si>
  <si>
    <t>When any monster is defeated, place one damage token on this card.
Damage tokens on this card are essence.
If you are defeated, discard all essence on this card.</t>
  </si>
  <si>
    <t>https://descent2e.fandom.com/wiki/Soul_Reaper</t>
  </si>
  <si>
    <t>Stream of Life</t>
  </si>
  <si>
    <t>Exhaust this card during your turn and discard up to 4 essence. Then choose a hero within 3 spaces of you to recover an equal amount of Heart.</t>
  </si>
  <si>
    <t>Blight Extraction</t>
  </si>
  <si>
    <t>Each time you use Stream of Life, the chosen hero may also discard 1 Condition. If they do, you may gain that Condition and place 2 damage tokens on Essence Harvest.</t>
  </si>
  <si>
    <t>Unholy Bond</t>
  </si>
  <si>
    <t>Each time a monster within 3 spaces performs an attack, you may spend 1 essence to reroll 1 attack or power die.</t>
  </si>
  <si>
    <t>Spirit Link</t>
  </si>
  <si>
    <t>At the start of each encounter, place 4 damage tokens on Essence Harvest.
Exhaust this card when another hero within 3 spaces of you would be knocked out. Discard any amount of essence. That hero recovers an equal amount of Heart instead.</t>
  </si>
  <si>
    <t>Cursed Soul</t>
  </si>
  <si>
    <t>Exhaust this card during your turn and discard 2 essence to choose a monster within 3 spaces of you. Until you refresh this card, each attack that targets that monster deals +1 Heart. Place one of your hero tokens near that monster as a reminder.</t>
  </si>
  <si>
    <t>Galvanize</t>
  </si>
  <si>
    <t>A hero may discard their hero token from this card to do the 1 of the following:
- Reroll any 1 die.
- Move up to 2 spaces and recover 1 Heart during their turn.</t>
  </si>
  <si>
    <t>Ethereal Armor</t>
  </si>
  <si>
    <t>Exhaust this card during your turn to choose yourself or an adjacent hero. Place that hero's hero token on this card as a reminder. 
Until this card is refreshed, each time that hero is affected by an attack, add 1 Shield to the defense results and place 1 damage token on Essence Harvest.</t>
  </si>
  <si>
    <t>Reaper's Pact</t>
  </si>
  <si>
    <t>When you use Stream of Life, you may spend 2 additional essence to choose 1 additional hero.
When you use Stream of Life, you may spend 1 additional essence to have each chosen hero recover 1 Fatigue.</t>
  </si>
  <si>
    <t>Font of Vitality</t>
  </si>
  <si>
    <t>Each time you use Stream of Life or Spirit Link, each hero who recovers Heart recovers 1 additional Heart.
When another hero within 3 spaces of you performs a rest action, place 2 damage tokens on Essence Harvest.</t>
  </si>
  <si>
    <t>Heretic</t>
  </si>
  <si>
    <t>Exiled Visionary</t>
  </si>
  <si>
    <t>When you gain this card, choose 1 standard Class deck belonging to the Mage archetype.
When you spend experience points, you may purchase skills from either Class deck, exluding cards with an XP cost of 3 from the chosen standard Class deck.</t>
  </si>
  <si>
    <t>https://descent2e.fandom.com/wiki/Heretic</t>
  </si>
  <si>
    <t>Arcane Healing</t>
  </si>
  <si>
    <t>Exhaust this card at the start of your turn. While this card is exhausted, each time a hero within 3 spaces of you recovers 1 or more Fatigue, that hero recovers 1 Heart.</t>
  </si>
  <si>
    <t>Dark Recovery</t>
  </si>
  <si>
    <t>Exhaust this card at the start of your turn and suffer up to 2 Heart. Then recover Fatigue equal to the Heart suffered.</t>
  </si>
  <si>
    <t>Forbidden Arts</t>
  </si>
  <si>
    <t>Each time you defeat a monster, you may discard 1 of your Condition cards.
Each time a hero within 3 spaces of you performs an attack, that attack gains:
Surge: +2 Heart
Surge: Poison
Surge: Recover 1 Heart</t>
  </si>
  <si>
    <t>Crusader</t>
  </si>
  <si>
    <t>Chosen of Kellos</t>
  </si>
  <si>
    <t>When you gain this card, choose 1 standard Class deck belonging to the WARRIOR archetype.When you spend experience points, you may purchase skills from either Class deck, excluding cards with an XP cost of 3 from the chosen standard Class deck.</t>
  </si>
  <si>
    <t>https://descent2e.fandom.com/wiki/Crusader</t>
  </si>
  <si>
    <t>Zaelous Aura</t>
  </si>
  <si>
    <t>Exhaust this card at the start of your turn. While this card is exhausted, each time a hero within 3 spaces defeats a monster, that hero recovers 2 Heart.</t>
  </si>
  <si>
    <t>Righteous</t>
  </si>
  <si>
    <t>Each time a hero defeats 1 or more monsters, that hero recovers 1 Fatigue.</t>
  </si>
  <si>
    <t>Divine Light</t>
  </si>
  <si>
    <t>Exhaust this card when a hero without a hero token on this card would be defeated. Roll 2 red power dice. That hero recovers Heart equal to the Heart rolled, Fatigue equal to the Surge rolled, and discards all Contitions. Then place that hero's token on this card.</t>
  </si>
  <si>
    <t>No</t>
  </si>
  <si>
    <t>BR Actions</t>
  </si>
  <si>
    <t>Building</t>
  </si>
  <si>
    <t>Cave</t>
  </si>
  <si>
    <t>Civilized</t>
  </si>
  <si>
    <t>Cold</t>
  </si>
  <si>
    <t>Dark</t>
  </si>
  <si>
    <t>Hot</t>
  </si>
  <si>
    <t>Mountain</t>
  </si>
  <si>
    <t>Wilderness</t>
  </si>
  <si>
    <t>Group Size 2</t>
  </si>
  <si>
    <t>Total Wounds (2)</t>
  </si>
  <si>
    <t>Group Size 3</t>
  </si>
  <si>
    <t>Total Wounds (3)</t>
  </si>
  <si>
    <t>Group Size 4</t>
  </si>
  <si>
    <t>Total Wounds (4)</t>
  </si>
  <si>
    <t>Coef</t>
  </si>
  <si>
    <t>Master</t>
  </si>
  <si>
    <t>SS: Pierce 2</t>
  </si>
  <si>
    <t>X</t>
  </si>
  <si>
    <t>0</t>
  </si>
  <si>
    <t>1</t>
  </si>
  <si>
    <t>Grey, Brown</t>
  </si>
  <si>
    <t>Minion</t>
  </si>
  <si>
    <t>SS: Pierce 1</t>
  </si>
  <si>
    <t>Bandit</t>
  </si>
  <si>
    <t>S: Black Venom</t>
  </si>
  <si>
    <t>4</t>
  </si>
  <si>
    <t>Barghest</t>
  </si>
  <si>
    <t>Beastman</t>
  </si>
  <si>
    <t>Command, Ravage</t>
  </si>
  <si>
    <t>Extend, Lithesome</t>
  </si>
  <si>
    <t>S: Lash</t>
  </si>
  <si>
    <t>Broodwalker</t>
  </si>
  <si>
    <t>Hive Defense, Overflowing</t>
  </si>
  <si>
    <t>S: Colonize</t>
  </si>
  <si>
    <t>Carrion Drake</t>
  </si>
  <si>
    <t>Grey, Grey</t>
  </si>
  <si>
    <t>Fly, Plagued</t>
  </si>
  <si>
    <t xml:space="preserve"> </t>
  </si>
  <si>
    <t>Changeling</t>
  </si>
  <si>
    <t>Black, Brown</t>
  </si>
  <si>
    <t>S: Wither</t>
  </si>
  <si>
    <t>Morph, Sorcery 3</t>
  </si>
  <si>
    <t>Morph, Sorcery 2</t>
  </si>
  <si>
    <t>Crow Hag</t>
  </si>
  <si>
    <t>Black, Grey</t>
  </si>
  <si>
    <t>Bull Rush, Filthy Murk, Putrid Boils</t>
  </si>
  <si>
    <t>Blue</t>
  </si>
  <si>
    <t>Dark Prayer, Heal</t>
  </si>
  <si>
    <t>Riposte, Stealthy, Pierce 4</t>
  </si>
  <si>
    <t>Riposte, Stealthy, Pierce 3</t>
  </si>
  <si>
    <t>Stealthy, Pierce 2</t>
  </si>
  <si>
    <t>Aura 1, Sorcery 3</t>
  </si>
  <si>
    <t>Elemental</t>
  </si>
  <si>
    <t>Fire, Earth, Water, Air</t>
  </si>
  <si>
    <t>Combustible, Flame Fiend</t>
  </si>
  <si>
    <t>S: Mend 2</t>
  </si>
  <si>
    <t>Giant</t>
  </si>
  <si>
    <t>Scamper, Cowardly</t>
  </si>
  <si>
    <t>Golem</t>
  </si>
  <si>
    <t>Ironskin, Unmovable</t>
  </si>
  <si>
    <t>Harpy</t>
  </si>
  <si>
    <t>S: Swarm</t>
  </si>
  <si>
    <t>S: Hunt</t>
  </si>
  <si>
    <t>S: Fire Breath</t>
  </si>
  <si>
    <t>Fly, Prey on the Weak</t>
  </si>
  <si>
    <t>Entomb, Reach, Freezing</t>
  </si>
  <si>
    <t>Entomb, Reach</t>
  </si>
  <si>
    <t>Ironbound</t>
  </si>
  <si>
    <t>Reach, Ironskin, Protect</t>
  </si>
  <si>
    <t>Scamper, Spawner</t>
  </si>
  <si>
    <t>Scamper, Small Beginnings</t>
  </si>
  <si>
    <t>8</t>
  </si>
  <si>
    <t>9</t>
  </si>
  <si>
    <t>Manticore</t>
  </si>
  <si>
    <t>Marrow Priest</t>
  </si>
  <si>
    <t>S: Mortal Binding</t>
  </si>
  <si>
    <t>Merriod</t>
  </si>
  <si>
    <t>S: Knockback</t>
  </si>
  <si>
    <t>Rat Swarm</t>
  </si>
  <si>
    <t>Merge, Rend</t>
  </si>
  <si>
    <t>S: Feast</t>
  </si>
  <si>
    <t>Phalanx, Reanimation</t>
  </si>
  <si>
    <t>Yellow</t>
  </si>
  <si>
    <t>Shadow Dragon</t>
  </si>
  <si>
    <t>Puncture, Harrowing</t>
  </si>
  <si>
    <t>Pierce 2, Reanimation</t>
  </si>
  <si>
    <t>Pierce 1, Reanimation</t>
  </si>
  <si>
    <t>Sorcerer</t>
  </si>
  <si>
    <t>Sorcery 3, Death Wish</t>
  </si>
  <si>
    <t>Reach, Backswing</t>
  </si>
  <si>
    <t>Volucrix Reaver</t>
  </si>
  <si>
    <t>Freezing, Ravage, Stealthy</t>
  </si>
  <si>
    <t>Ravage, Stealthy</t>
  </si>
  <si>
    <t>S: Charge</t>
  </si>
  <si>
    <t>2 Heroes</t>
  </si>
  <si>
    <t>3 Heroes</t>
  </si>
  <si>
    <t>4 Heroes</t>
  </si>
  <si>
    <t>Lieutenant</t>
  </si>
  <si>
    <t>Expantion</t>
  </si>
  <si>
    <t>Description</t>
  </si>
  <si>
    <t>BR 2H</t>
  </si>
  <si>
    <t>BR 3H</t>
  </si>
  <si>
    <t>BR 4H</t>
  </si>
  <si>
    <t>BR Arrack Dice</t>
  </si>
  <si>
    <t>Actions</t>
  </si>
  <si>
    <t>Ardus Ix’Erebus</t>
  </si>
  <si>
    <t>Mists of Bilehall</t>
  </si>
  <si>
    <t>Ardus has lived for centuries and fought in countless battles, giving him unparalleled first-hand knowledge and understanding of tactics.</t>
  </si>
  <si>
    <t>Flanking, Fury</t>
  </si>
  <si>
    <t>Ariad</t>
  </si>
  <si>
    <t>The Dark Sorceress! Ariad desires nothing but complete and endless night.</t>
  </si>
  <si>
    <t>Black, Grey, Grey</t>
  </si>
  <si>
    <t>Ancient Curse, Cursed Blast</t>
  </si>
  <si>
    <t>Baron Zachareth</t>
  </si>
  <si>
    <t>Second Edition Base Game</t>
  </si>
  <si>
    <t>The Traitorous Baron Lives! The Baron is a man filled with pride and deceit, and little else.</t>
  </si>
  <si>
    <t>Black, Grey, Brown</t>
  </si>
  <si>
    <t>Dominion, Shadow Bolt</t>
  </si>
  <si>
    <t>S: Subdue</t>
  </si>
  <si>
    <t>Belthir</t>
  </si>
  <si>
    <t>A Dragon Hybrid for Hire! A relic of the Dragon Wars, Belthir has lost none of his fire.</t>
  </si>
  <si>
    <t>Fly, Reach</t>
  </si>
  <si>
    <t>Grey, Grey, Brown</t>
  </si>
  <si>
    <t>Bol'Goreth</t>
  </si>
  <si>
    <t>The Rampaging Brute! Skilled only in destruction, Bol'Goreth tempers a dull mind with savage might.</t>
  </si>
  <si>
    <t>Reach, Resilient</t>
  </si>
  <si>
    <t>Gargan Mirklace</t>
  </si>
  <si>
    <t>The Demonic Scourge! Lord of the Black Realm, Gargan Mirklace has returned more twisted and powerful than ever before.</t>
  </si>
  <si>
    <t>SS: Blast</t>
  </si>
  <si>
    <t>Blue, Red, Yellow, Green</t>
  </si>
  <si>
    <t>Aura 2, Sorcery 3</t>
  </si>
  <si>
    <t>Kyndrithul</t>
  </si>
  <si>
    <t>A renowned sorcerer and a vampire.</t>
  </si>
  <si>
    <t>Bloodlines, Sorcery 3</t>
  </si>
  <si>
    <t>S: Bone Splinter</t>
  </si>
  <si>
    <t>Bloodlines, Enthrall, Sorcery 4</t>
  </si>
  <si>
    <t>Lady Eliza Farrow</t>
  </si>
  <si>
    <t>A Comely and Well-spoken Vampire! Lady Eliza offers salvation with one hand, and doom with the other.</t>
  </si>
  <si>
    <t>Sacrifice, Seduce</t>
  </si>
  <si>
    <t>S: Blood Call</t>
  </si>
  <si>
    <t>Sacrifice, Seduce, Wail</t>
  </si>
  <si>
    <t>Lord Merick Farrow</t>
  </si>
  <si>
    <t>The Ill-Fated Lord! Lord Merick will stop at nothing to return his brother from the dead.</t>
  </si>
  <si>
    <t>Queen Ariad</t>
  </si>
  <si>
    <t>The Ritual is Complete! Queen Ariad has taken a vile and monstrous form.</t>
  </si>
  <si>
    <t>Ancient Curse, Pincer Attack</t>
  </si>
  <si>
    <t>The Lone Survivor of the Dunwarr Expedition! Raythen survives no matter the cost, making him a valuable ally and a dangerous friend.</t>
  </si>
  <si>
    <t>Rylan Olliven</t>
  </si>
  <si>
    <t>The Dubious Official! Rylan's good name is his first defense: his traitorous allies are his last.</t>
  </si>
  <si>
    <t>SS: Subdue</t>
  </si>
  <si>
    <t>Blue, Red, Green, Green</t>
  </si>
  <si>
    <t>The Silent Priestess Awaits! Serena serves with fullest devotion: none can stop her now.</t>
  </si>
  <si>
    <t>S: +2 Wounds, Curse</t>
  </si>
  <si>
    <t>S: +2 Wounds, Disease</t>
  </si>
  <si>
    <t>Sir Alric Farrow</t>
  </si>
  <si>
    <t>The Black Knight returns! A silent specter of death, Sir Alric fears nothing.</t>
  </si>
  <si>
    <t>Unmovable, Regeneration 1</t>
  </si>
  <si>
    <t>Skarn</t>
  </si>
  <si>
    <t>Skarn is a magical construct infused with life by the death of a high mage.</t>
  </si>
  <si>
    <t>Energy Drain 3, Flail</t>
  </si>
  <si>
    <t>S: Mend 3</t>
  </si>
  <si>
    <t>S: Mend 4</t>
  </si>
  <si>
    <t>Splig</t>
  </si>
  <si>
    <t>The King of All Goblins! Splig is a cowardly fellow, but do not underestimate his strength.</t>
  </si>
  <si>
    <t>Tristayne Olliven</t>
  </si>
  <si>
    <t>The Undying Mage! Freed from mortality, Tristayne is ready to set the world ablaze.</t>
  </si>
  <si>
    <t>Ravage, Chaotic Energy</t>
  </si>
  <si>
    <t>Ravage, Chaotic Energy, Soul Siphon</t>
  </si>
  <si>
    <t>Valyndra</t>
  </si>
  <si>
    <t>The Wyrm Queen Awakens! Valyndra's lust for coin and chaos is legendary.</t>
  </si>
  <si>
    <t>Verminous</t>
  </si>
  <si>
    <t>The Rat-Thing King! The king of the under-city has gathered his horde.</t>
  </si>
  <si>
    <t>S: Scheme</t>
  </si>
  <si>
    <t>Master Plan, Stealthy</t>
  </si>
  <si>
    <t>Zarihell</t>
  </si>
  <si>
    <t>Zarihell is an elf, old beyond knowing, with a powerful command over the spirits of the dead.</t>
  </si>
  <si>
    <t>Soul Mastery, Tormentress</t>
  </si>
  <si>
    <t>Flanking, Forceful Blow</t>
  </si>
  <si>
    <t>Despair, Cursed Assault</t>
  </si>
  <si>
    <t>Blue, Red, Yellow, Yellow</t>
  </si>
  <si>
    <t>Bloodthirst, Sorcery 3</t>
  </si>
  <si>
    <t>Bloodthirst, Enthrall, Sorcery 4</t>
  </si>
  <si>
    <t>Sacrifice, Allure</t>
  </si>
  <si>
    <t>Sacrifice, Allure, Wail</t>
  </si>
  <si>
    <t>S: Disease, Poison</t>
  </si>
  <si>
    <t>Grey,  Grey</t>
  </si>
  <si>
    <t>Miser, Aura 1</t>
  </si>
  <si>
    <t>Agony, Captive Soul</t>
  </si>
  <si>
    <t>Agony, Captive Soul, Exploit Agony</t>
  </si>
  <si>
    <t>Суть</t>
  </si>
  <si>
    <t>Стартовые условия приключения</t>
  </si>
  <si>
    <t>Властелин начинает игру с 4 ОО</t>
  </si>
  <si>
    <t>Структура раунда</t>
  </si>
  <si>
    <t>Властелин и герои ходят по очереди по следующим правилам:
I. Начало хода первого героя
II. Действия первого героя
III. Конец хода первого героя
IV. Начало хода властелина
V. Активация выбранной группы властелина
VI. Начало хода второго героя
VII. Действия второго героя
VIII. Конец хода второго героя
IX. Активация выбранной группы властелина
...</t>
  </si>
  <si>
    <t>Карты влстелина</t>
  </si>
  <si>
    <t>Властелин берёт 2 карты, забирает одну на руку, другую кладёт вниз или вверх колоды</t>
  </si>
  <si>
    <t>Струтура атаки</t>
  </si>
  <si>
    <t>При бросках атаки:
1. бросает атакующий, решает, как он использует молнии
2. Бросает защищающийся
3. Атакующий может использовать свойство "После броска кубиков атаки..."
4. Защищающийся может использовать свойство "После броска кубиков защиты..."</t>
  </si>
  <si>
    <t>Когда работает эффект молнии? На шаге 1 или после финального подсчёта? 
Работает ли эффект молнии при промахе? - If an X is rolled on the blue attack die, the attack is considered a miss and all other results are ignored.
"If the total range obtained from the attack roll does not equal or exceed the distance between the spaces, the attack is considered a miss unless the range can be increased."</t>
  </si>
  <si>
    <t>Карты магазина</t>
  </si>
  <si>
    <t>Покупки распределены по актам (см. предыдущие вкладки)</t>
  </si>
  <si>
    <t>Поулчение опыта</t>
  </si>
  <si>
    <t>Опыт властелина, когда сказано, что властелин поулчает 1 опыт = кол-во героев минус 1</t>
  </si>
  <si>
    <t>Пипульки</t>
  </si>
  <si>
    <t>Пипки для властелина только за: смерть героя (по 1 за смерть героя либо карта на выбор) 
В конце мисси за победу карте</t>
  </si>
  <si>
    <t>"Герои могу тратить пипки на:
(1) Восстановить 1 стамину
(1) Перебросить любой кубик, кроме синего
(1) Добавить щиток во время защиты
(2) Добавить вещь в фазе рынка"</t>
  </si>
  <si>
    <t>Перед столкновением у героев есть 5 минут на разбор тактики без властелина</t>
  </si>
  <si>
    <t>Вводится два трека:
1. Трек кол-ва найденных сундуков
2. Трек сложности кампании = 8
В конце миссии:
1. Если трек сундуков &lt;= сложности И герои проиграли миссию, герои получают 1 последнюю вещь с рынка
2. Сложность кампании --1</t>
  </si>
  <si>
    <t>Стоимость вещи = 35</t>
  </si>
  <si>
    <t>Перераспределние опыта за стоимость голды = текущему уровню закупа</t>
  </si>
  <si>
    <t>Герои</t>
  </si>
  <si>
    <t>Властелин</t>
  </si>
  <si>
    <t>Кампания</t>
  </si>
  <si>
    <t>ХП</t>
  </si>
  <si>
    <t>Голда</t>
  </si>
  <si>
    <t>Артефакт</t>
  </si>
  <si>
    <t>First Blood</t>
  </si>
  <si>
    <t>Death on the Wing</t>
  </si>
  <si>
    <t>150+</t>
  </si>
  <si>
    <t>The Cardinal's Plight</t>
  </si>
  <si>
    <t>25++</t>
  </si>
  <si>
    <t>Castle Daerion</t>
  </si>
  <si>
    <t>Расчёт стоимости для</t>
  </si>
  <si>
    <t>Сердца\щиты</t>
  </si>
  <si>
    <t>Молнии</t>
  </si>
  <si>
    <t>Class filter 1</t>
  </si>
  <si>
    <t>Subclass filter 1</t>
  </si>
  <si>
    <t>Subclass filter 2</t>
  </si>
  <si>
    <t>Class filter 3</t>
  </si>
  <si>
    <t>Subclass filter 3</t>
  </si>
  <si>
    <t>Class filter 4</t>
  </si>
  <si>
    <t>Subclass filter 4</t>
  </si>
  <si>
    <t>Available Missions</t>
  </si>
  <si>
    <t>Open group Monsters</t>
  </si>
  <si>
    <t>Open group BR</t>
  </si>
  <si>
    <t>Open group Filter</t>
  </si>
  <si>
    <t>Filtered group BR</t>
  </si>
  <si>
    <t>Red</t>
  </si>
  <si>
    <t>Monsters</t>
  </si>
  <si>
    <t>Goblin Archers, Ettins</t>
  </si>
  <si>
    <t>A Fat Goblin</t>
  </si>
  <si>
    <t>Goblin Archers, Cave Spider</t>
  </si>
  <si>
    <t>Flesh Moulder, Zombie</t>
  </si>
  <si>
    <t>The Masquerade Ball</t>
  </si>
  <si>
    <t>Elementals</t>
  </si>
  <si>
    <t>The Shadow Vault</t>
  </si>
  <si>
    <t>The Monster's Hoard</t>
  </si>
  <si>
    <t>Merriods</t>
  </si>
  <si>
    <t>The Frozen Spire</t>
  </si>
  <si>
    <t>The Dawnblade</t>
  </si>
  <si>
    <t>The Desecrated Tomb</t>
  </si>
  <si>
    <t>Enduring the Elements</t>
  </si>
  <si>
    <t>The Ritual of Shadows</t>
  </si>
  <si>
    <t>Blood of Heroes</t>
  </si>
  <si>
    <t>The Twin Idols</t>
  </si>
  <si>
    <t>The Wyrm Turns</t>
  </si>
  <si>
    <t>Gryvorn Unleashed</t>
  </si>
  <si>
    <t>Sir Alric Farrow, Belthir, Splig</t>
  </si>
  <si>
    <t>The Man Who Would Be King</t>
  </si>
  <si>
    <t>Baron Zachareth, Lord Merick Farrow, Lady Eliza Farrow</t>
  </si>
  <si>
    <t xml:space="preserve">Heroes reward for victory
</t>
  </si>
  <si>
    <t>Heroes reward for defeat</t>
  </si>
  <si>
    <t xml:space="preserve">Overlord reward for victory
</t>
  </si>
  <si>
    <t>Overlord reward for defeat</t>
  </si>
  <si>
    <t>25 x number of heroes</t>
  </si>
  <si>
    <t xml:space="preserve">	Duskblade</t>
  </si>
  <si>
    <t xml:space="preserve">Heroes </t>
  </si>
  <si>
    <t>Interlude</t>
  </si>
  <si>
    <t>Final</t>
  </si>
  <si>
    <t>CK</t>
  </si>
  <si>
    <t>Fluff Text</t>
  </si>
  <si>
    <t>"The thief and the lord are equal; the law calls them both to justice."</t>
  </si>
  <si>
    <t>Each time you suffer 1 or more damage from an adjacent figure, that figure suffers 1 damage</t>
  </si>
  <si>
    <t>Action: Attack a monster adjacent to you and choose yourself or a hero within 3 spaces of you. The chosen hero recovers health equal to the damage you deal on the attack.</t>
  </si>
  <si>
    <t>Descent 1ed</t>
  </si>
  <si>
    <t>"To me, brave friends! Gather to my voice and light!"</t>
  </si>
  <si>
    <t xml:space="preserve">Each time a hero within 3 spaces of you suffers 1 or more Heart from an attack, the figure that performed the attack suffers 1 Heart. </t>
  </si>
  <si>
    <t xml:space="preserve">Action: Choose 1 hero within 3 spaces of you. Then, perform an attack that targets a monster within 3 spaces of you. The chosen hero recovers Heart equal to twice the amount of Heart the target monster suffers from this attack. </t>
  </si>
  <si>
    <t xml:space="preserve">"I no more understand why I can hear the spirits speak than I understand why you cannot." </t>
  </si>
  <si>
    <t>Each time you fail an attribute test, you may recover 1 Fatigue. Once per round, when you fail an attibute test, you man reroll that test instead of recovering 1 Fatigue.</t>
  </si>
  <si>
    <t>"My quest remains unsatisfied - the search for a problem to which I am not the answer!"</t>
  </si>
  <si>
    <t xml:space="preserve">When you fail an attribute test, you may reroll it. Limit once per round. </t>
  </si>
  <si>
    <t xml:space="preserve">Use on your turn to discard 1 of your hero skills. Immediately gain any number of hero skills from your Class deck worth the same amount of experience points as the discarded skill. </t>
  </si>
  <si>
    <t>Tomb of Ice</t>
  </si>
  <si>
    <t xml:space="preserve">"This land is harsh and terrible, I grant you. But I have seen as harsh before and lived." </t>
  </si>
  <si>
    <t xml:space="preserve">"You’d be surprised what you can learn when you've no one to tell you how to think." </t>
  </si>
  <si>
    <t>Once per turn, you may spend 1 movement point to choose a hero within 3 spaces of you and move to an empty space adjacent to that hero.</t>
  </si>
  <si>
    <t>Use at the start of your turn to move each adjacent monster to you up to 2 spaces in any direction.</t>
  </si>
  <si>
    <t>"The Rune Keepers said I was too unruly to be taught, so all I needed to know I've learned on my own."</t>
  </si>
  <si>
    <t xml:space="preserve">Each other hero within 3 spaces of you gains: Each time a monster misses or deals no Heart on an attack targeting you, recover 1 Heart. </t>
  </si>
  <si>
    <t xml:space="preserve">"An endless sea of possibility lies in what is yet to come. Even a tiny glimpse will drive most mad." </t>
  </si>
  <si>
    <t>Aurim</t>
  </si>
  <si>
    <t>Each time you use a Potion, you and each hero adjacent to you are affected.</t>
  </si>
  <si>
    <t xml:space="preserve">Use at the start of your turn to draw a Search card. </t>
  </si>
  <si>
    <t>The Altar of Despair</t>
  </si>
  <si>
    <t xml:space="preserve">"Ah, the rare Quixinlan Rune Harness I've read about! What a joy to see such wonders in person." </t>
  </si>
  <si>
    <t xml:space="preserve">Each hero within 3 spaces of you (including yourself) gains "Surge: Recover 1 Heart" on all attack rolls. </t>
  </si>
  <si>
    <t xml:space="preserve">"I pledge myself to those in need. I will be their shield, their light in the darkness." </t>
  </si>
  <si>
    <t>Bogran the Shadow</t>
  </si>
  <si>
    <t>Each time you attack a monster adjacent to another hero, your attack gains +1 Heart</t>
  </si>
  <si>
    <t xml:space="preserve">Action: Perform an attack, then place a hero token in your space and remove your figure from the map. At the start of your next turn, replace the hero token with your figure. </t>
  </si>
  <si>
    <t>"I am a deadly wind, invisible and inescapable. You cannot see me, but you can see where I have been."</t>
  </si>
  <si>
    <t xml:space="preserve">Each time you perform an attack, after the dice are rolled, you may suffer 1 Heart to add +1 Heart to the results. Limit once per attack. </t>
  </si>
  <si>
    <t xml:space="preserve">Use after you defeat a monster. Roll 2 red power dice. You and each hero within 3 spaces of you recover Heart equal to the Heart rolled. </t>
  </si>
  <si>
    <t xml:space="preserve">"I must strive to fight darkness, lest I be overtaken by the darkness that dwells within me." </t>
  </si>
  <si>
    <t>Dungeon Quest</t>
  </si>
  <si>
    <t xml:space="preserve">"We must suffer and purge our souls unto life, for the flame shall be our judge." </t>
  </si>
  <si>
    <t>Brother Glyr</t>
  </si>
  <si>
    <t xml:space="preserve">In addition to your 2 actions on your turn, you always receive 2 movement points. </t>
  </si>
  <si>
    <t xml:space="preserve">Use at the start of your turn to recover all Fatigue. Until the start of your next turn, each time you suffer 1 or more Heart, you suffer 1 fewer Heart, to a minimum of 0. </t>
  </si>
  <si>
    <t>The Well of Darkness</t>
  </si>
  <si>
    <t xml:space="preserve">"keep moving, ye hear? I'll not leave a one of ye behind!" </t>
  </si>
  <si>
    <t xml:space="preserve">You have the Brightblaze familiar. At the beginning of each encounter, place Brightblaze in your space. </t>
  </si>
  <si>
    <t xml:space="preserve">Action: Perform an attack. Before the attack roll, you may move Brightblaze to an empty space adjacent to your target. </t>
  </si>
  <si>
    <t xml:space="preserve">"All I accomplish, every enemy I vanquish, is to the glory of my ancestors." </t>
  </si>
  <si>
    <t xml:space="preserve">You have the Brightblaze familiar. At the start of each encounter, place Brightblaze in the closest empty space to you. </t>
  </si>
  <si>
    <t>The flames of my fury you have survived, but can you endure the flame of my dragon?</t>
  </si>
  <si>
    <t xml:space="preserve">Each time you suffer 2 or more Heart, you suffer 1 less Heart. </t>
  </si>
  <si>
    <t xml:space="preserve">Use when attacked, before rolling defense dice. Instead of rolling defense dice, place them showing any face you choose. </t>
  </si>
  <si>
    <t xml:space="preserve">"The only way I'll stop fightin' is if I take you down with me!" </t>
  </si>
  <si>
    <t xml:space="preserve">Each time you suffer 2 or more Heart, reduce the amount of Heart suffered by 1. </t>
  </si>
  <si>
    <t xml:space="preserve">Use when attacked, before you roll defense dice. After you roll defense dice, you may change each defense die to a different result of your choice. </t>
  </si>
  <si>
    <t xml:space="preserve">"I don't hold grudges. I keep short accounts. Now fight me!" </t>
  </si>
  <si>
    <t xml:space="preserve">At the start of your turn, you may recover 1 Heart or 1 Fatigue for each monster figure adjacent to you. </t>
  </si>
  <si>
    <t xml:space="preserve">Use when the overlord chooses to activate a monster figure adjacent to you, before he performs any actions. All monsters adjacent to you are Immobilized. </t>
  </si>
  <si>
    <t xml:space="preserve"> Labyrinth of Ruin</t>
  </si>
  <si>
    <t xml:space="preserve">"Very few people understand my abilities. I prefer it that way." </t>
  </si>
  <si>
    <t xml:space="preserve">Once per turn, when another hero within 3 spaces of you recovers 1 or more Heart or Fatigue, you may recover 1 Heart or 1 Fatigue. </t>
  </si>
  <si>
    <t xml:space="preserve">Use at the start of your turn to look at the overlord's hand of Overlord cards. The overlord discards 1 card of your choice. </t>
  </si>
  <si>
    <t xml:space="preserve">"My message is not my own. Follow my instruction or fall where you stand... You've been warned." </t>
  </si>
  <si>
    <t xml:space="preserve">Each time another hero within 3 spaces of you recovers 1 or more Heart, you recover 1 Heart. Each time another hero within 3 spaces of you recovers 1 or more Fatigue, you recover 1 Fatigue. </t>
  </si>
  <si>
    <t xml:space="preserve">Use at the start of your turn to look at the overlord's hand of Overlord cards. Discard 1 card of your choice. </t>
  </si>
  <si>
    <t xml:space="preserve">"The spirits are angry. I am angry too. When we get angry, people get hurt." </t>
  </si>
  <si>
    <t>Eliam</t>
  </si>
  <si>
    <t xml:space="preserve">While you have 2 Melee weapons equipped, each time you attack an adjacent monster and do not roll an X, deal 1 Heart to one other monster adjacent to you. </t>
  </si>
  <si>
    <t>Use at the end of your turn. Until the start of your next turn, each time you are attacked by an adjacent monster, you may suffer 1 Fatigue to attack that monster before it rolls its attack dice.</t>
  </si>
  <si>
    <t xml:space="preserve">"Battle is a dance of blades and wit." </t>
  </si>
  <si>
    <t xml:space="preserve">After you have performed your first action each round, you may choose to suspend your turn. If you do, resume your turn after another hero finishes his turn this round. </t>
  </si>
  <si>
    <t xml:space="preserve">Use at the start of your turn to receive 1 additional action this turn. </t>
  </si>
  <si>
    <t xml:space="preserve">"If justice is the shadow of a setting sun, I am the midnight that follows." </t>
  </si>
  <si>
    <t xml:space="preserve">If you perform only 1 action on your turn, then later this round you may take a second turn, during which you receive only 1 action. Your second turn must be taken after a hero's turn and before the overlord's turn. </t>
  </si>
  <si>
    <t>Use at the start of your turn to immediately perform 1 free action. This is in addition to your 2 actions on your turn.</t>
  </si>
  <si>
    <t xml:space="preserve">"All this killing is thirsty work. Drink with me!" </t>
  </si>
  <si>
    <t xml:space="preserve">At the start of your turn, you may choose another hero within 3 spaces of you. If the chosen hero has at least 1 fatigue token on his Hero sheet, you recover 1 Fatigue. If he has fatigue tokens equal to his Stamina, you recover 2 Fatigue. </t>
  </si>
  <si>
    <t xml:space="preserve">Use at the start of your turn to increase your Stamina by 4 for the remainder of this turn. At the end of your turn, recover all of your Fatigue. </t>
  </si>
  <si>
    <t xml:space="preserve">"I feed off the wisdom of others, even when it’s less filling than my own." </t>
  </si>
  <si>
    <t>Hugo the Glorious</t>
  </si>
  <si>
    <t>If you do not move this round, you may reroll 1 of your defense dice each time you are attacked.</t>
  </si>
  <si>
    <t xml:space="preserve">Use at the start of your turn. Double the Heart on your attack roll for each attack you perform this turn. </t>
  </si>
  <si>
    <t xml:space="preserve">"The songs of my name and my triumphs should be heard in every corner of the world." </t>
  </si>
  <si>
    <t xml:space="preserve">You cannot be Poisoned. At the start of your turn, recover 1 Heart. </t>
  </si>
  <si>
    <t>Action: Recover all Heart.</t>
  </si>
  <si>
    <t xml:space="preserve">"We are feared, we are despised, yet still I am called to help?" </t>
  </si>
  <si>
    <t xml:space="preserve">You cannot be Poisoned. At the start of your turn, recover 2 Heart. </t>
  </si>
  <si>
    <t xml:space="preserve">Action: Choose yourself or an adjacent hero. That hero recovers 8 Heart and discards all conditions. </t>
  </si>
  <si>
    <t xml:space="preserve">"Humans fear us, and we despise them." </t>
  </si>
  <si>
    <t xml:space="preserve">You may always equip Runes, regardless of the limitations of your armor. You gain +1 Stamina for each Rune you have equipped. </t>
  </si>
  <si>
    <t xml:space="preserve">Action: Perform an attack with a Magic weapon. This attack gains Pierce 3. </t>
  </si>
  <si>
    <t xml:space="preserve">"The dragon Wars almost destroyed my people. I will die before I let that happen again." </t>
  </si>
  <si>
    <t xml:space="preserve">Your armor loses all text that prevents you from equipping Runes.
Apply +1 to your Stamina for each Rune you have equipped. </t>
  </si>
  <si>
    <t xml:space="preserve">Action: Perform 1 attack with a Magic weapon. This attack gains Pierce 3. If you perform this attack with a Rune weapon, add 1 Surge to the results. </t>
  </si>
  <si>
    <t xml:space="preserve">"Courage and sacrifice means nothing! We must overcome or die in shame." </t>
  </si>
  <si>
    <t xml:space="preserve"> Action: You may move double your Speed and perform an attack. This attack may be performed before, after, or during this movement.</t>
  </si>
  <si>
    <t xml:space="preserve">"Out here in the wilds, I protect those who have misjudged me." </t>
  </si>
  <si>
    <t xml:space="preserve">During each round in which you do not perform an attack, you gain 1 additional brown die to your defense pool. </t>
  </si>
  <si>
    <t>Action: Test Willpower for each minion monster within 3 spaces of you. For each test you pass, that monster performs 1 attack, declaring itself as the target. You spend any surges and make other decisions for the attack.</t>
  </si>
  <si>
    <t>Promo</t>
  </si>
  <si>
    <t xml:space="preserve">"Surrender. It's never too late to repent!" </t>
  </si>
  <si>
    <t xml:space="preserve">Each hero within 3 spaces of you that has not performed an attack this round adds 1 Shield to each of his defense rolls. </t>
  </si>
  <si>
    <t xml:space="preserve">Action: Test Willpower for each minion monster within 3 spaces of you. Each time you pass, perform an attack with that monster that targets itself. </t>
  </si>
  <si>
    <t xml:space="preserve">"My place is between you and the innocent. You have one chance to lay down your blade." </t>
  </si>
  <si>
    <t>"At end of ages, Karnon remain: ever strong, ever alone."</t>
  </si>
  <si>
    <t>Each time a monster attacks you, after rolling dice, you may suffer 1 Fatigue to cancel 1 Surge rolled on the attack.</t>
  </si>
  <si>
    <t xml:space="preserve">Action: Choose a minion monster adjacent to you and roll the blue attack die. If you roll an X, you miss. Otherwise that monster is defeated. Regardless of the outcome, you suffer 1 Fatigue. </t>
  </si>
  <si>
    <t xml:space="preserve">"Karnon needs no help from little man. Karnon is Karnon." </t>
  </si>
  <si>
    <t>Kirga</t>
  </si>
  <si>
    <t xml:space="preserve"> A monster may only target you with an attack if there are no other heroes closer to that monster and in its line of sight.</t>
  </si>
  <si>
    <t xml:space="preserve">Use during another figure's activation to immediately perform a move action. You may not interrupt another player's action unless it is a move action. </t>
  </si>
  <si>
    <t xml:space="preserve">"Knowing how to find things helps keep one hidden. And I know how to find anything..." </t>
  </si>
  <si>
    <t>While you have at least 6 Heart, each of your attacks gains +2 Heart.</t>
  </si>
  <si>
    <t xml:space="preserve">Use when attacking, after dice are rolled. Roll 1 red power die, suffer Heart equal to the Heart rolled, and add the same amount of Heart to your attack roll. </t>
  </si>
  <si>
    <t xml:space="preserve">"Smash it. Crush it. If that doesn't work, smash it and crush it again." </t>
  </si>
  <si>
    <t xml:space="preserve">Use when you perform an attack, after dice are rolled. Suffer 3 Heart. Then, roll 3 red power dice and replace the results of your attack roll with the results of the red power dice. </t>
  </si>
  <si>
    <t xml:space="preserve">"Hit 'em hard. If they're still standing, hit 'em again--harder." </t>
  </si>
  <si>
    <t>Landrec the Wise</t>
  </si>
  <si>
    <t>Each time you attack and do not roll at least 1 Surge, gain 1 Surge.</t>
  </si>
  <si>
    <t>Use when performing an attack, before rolling dice. This attack gains: Surge Surge: +5 Heart</t>
  </si>
  <si>
    <t xml:space="preserve">"Wisdom comes with age, but knowledge must always be searched for." </t>
  </si>
  <si>
    <t>Laughin Buldar</t>
  </si>
  <si>
    <t>You may treat 1 of your equipped Melee weapons as if it only had 1 hand icon (even if it has 2 hand icons).</t>
  </si>
  <si>
    <t>Use as your entire activation to perform 3 attack actions. If you do, you cannot move this turn, not even by suffering Fatigue.</t>
  </si>
  <si>
    <t xml:space="preserve">"Courage, my brothers! Surrender yourselves to the joy of battle and we shall meet our destiny together!" </t>
  </si>
  <si>
    <t>Laurel of the Bloodwood</t>
  </si>
  <si>
    <t>Each time you perform a Ranged attack and the total range result is more than was necessary to reach your target, that attack gains +1 Heart.</t>
  </si>
  <si>
    <t xml:space="preserve"> Action: Perform an attack with a Ranged weapon, ignoring the range rolled. This attack cannot miss due to rolling an X or insufficient range.</t>
  </si>
  <si>
    <t xml:space="preserve">"No matter what you hear, it was our bows that gave my home its name, not the autumn winds." </t>
  </si>
  <si>
    <t xml:space="preserve">Action: Perform an attack with a Ranged weapon. If you roll an X, treat it as a blank result. This attack gains +10 Range, and adds 1 Surge to the results. </t>
  </si>
  <si>
    <t xml:space="preserve">"Herald and reaper, my arrow calls your name; answer with silence and blood." </t>
  </si>
  <si>
    <t xml:space="preserve">Each monster within 3 spaces of you receives -1 Heart on all attack rolls (to a minimum of 1). </t>
  </si>
  <si>
    <t xml:space="preserve">"If my years of study have taught me anything, it is that I am worthy of the knowledge I possess." </t>
  </si>
  <si>
    <t xml:space="preserve">Each time you perform an attribute test, roll 2 Grey defense die instead of 1 Grey and 1 black defense die. </t>
  </si>
  <si>
    <t xml:space="preserve">"I have been here before and watched darkness triumph. It will not happen again." </t>
  </si>
  <si>
    <t>When making an attribute test, you roll 2 Grey defense dice instead of 1 Grey and 1 black defense die.</t>
  </si>
  <si>
    <t>Action: Perform an attack. Rather than rolling the attack die, place it showing the face of your choice. Roll the rest of your dice as normal.</t>
  </si>
  <si>
    <t xml:space="preserve">"There is so much sorrow in the world, I do what I may to end the cruelty that plagues this land." </t>
  </si>
  <si>
    <t xml:space="preserve">"There is no question that you need me. The question is, can you afford me?" </t>
  </si>
  <si>
    <t xml:space="preserve">When attacking with a Melee weapon, each of your attacks gain Reach. </t>
  </si>
  <si>
    <t xml:space="preserve">"If you decide to flee from me, you better hope you flee far enough." </t>
  </si>
  <si>
    <t xml:space="preserve">Each time you perform an attack with a Melee weapon, that attacks gains Reach. </t>
  </si>
  <si>
    <t xml:space="preserve">Action: Perform an attack, then you may move up to 2 spaces and perform another attack against a different target. </t>
  </si>
  <si>
    <t xml:space="preserve">"None fall faster than they that flee." </t>
  </si>
  <si>
    <t xml:space="preserve">"There is more knowledge in the squirming of my prey than in all your dusty tomes." </t>
  </si>
  <si>
    <t>Each time you are attacked, you may reroll 1 of your defense dice. You must keep the new result.</t>
  </si>
  <si>
    <t>Use after an attack against you fails to deal at least 1 Heart to you. You may immediately move up to your Speed and perform an attack.</t>
  </si>
  <si>
    <t xml:space="preserve">"My people are at one with nature." </t>
  </si>
  <si>
    <t>Mad Carthos</t>
  </si>
  <si>
    <t>Once per turn, when you use a skill that costs 1 Fatigue, reduce the cost to 0 Fatigue.</t>
  </si>
  <si>
    <t>Action Perform an attack with a Magic weapon. This attack deals +3 Heart.</t>
  </si>
  <si>
    <t xml:space="preserve">"If it's madness you seek power at any cost, then yes, you may call me mad." </t>
  </si>
  <si>
    <t>Each of your attacks gains:
Surge: Move 2 spaces after resolving this attack.</t>
  </si>
  <si>
    <t>Action: Choose a space in your line of sight. Immediately drop any objective tokens you are carrying to remove your figure from the map and place it on the chosen space.</t>
  </si>
  <si>
    <t xml:space="preserve">"You can't see the path I walk, because they were not meant to be tread." </t>
  </si>
  <si>
    <t>Each of your attacks gains:
Surge: After resolving this attack, you may choose an empty space within 2 spaces of you and place your figure in the chosen space.</t>
  </si>
  <si>
    <t xml:space="preserve">"I walk the unseen paths, those that were never meant for the feet of men." </t>
  </si>
  <si>
    <t>Each time you suffer any amount of Heart, you may recover 1 Fatigue.</t>
  </si>
  <si>
    <t>Action: Perform an attack. If your attack does not defeat your target, you may make a second attack against that target.</t>
  </si>
  <si>
    <t xml:space="preserve">"You call me beast. You call me animal. But I call you coward." </t>
  </si>
  <si>
    <t xml:space="preserve">"Prejudice is only a mask for jealousy." </t>
  </si>
  <si>
    <t>I will follow where you lead, old friend. But let us go swiftly!</t>
  </si>
  <si>
    <t>If you do not have any armor equipped, each of your attacks gains 1 Surge.</t>
  </si>
  <si>
    <t>Use when you are attacked, after the dice are rolled. You are not affected by this attack.</t>
  </si>
  <si>
    <t xml:space="preserve">"To wear armor is to fear that a foe might strike me. It is cowardice. I am no coward." </t>
  </si>
  <si>
    <t xml:space="preserve">Once per round, after you defeat a monster with a Melee weapon, before removing its figure from the map, you may place your figure in any empty space adjacent to that monster. </t>
  </si>
  <si>
    <t xml:space="preserve">Action: Choose any empty space within 3 spaces of your figure. Remove your figure from the map and place it in the chosen space. Then perform an attack. This attack gains Pierce 2. </t>
  </si>
  <si>
    <t xml:space="preserve">"Take your lessons from the wind: swift and constant striking as a howling gale." </t>
  </si>
  <si>
    <t>Each time you attack a monster that was at least 3 spaces away from you at the start of your turn, your attack gains +1 Heart.</t>
  </si>
  <si>
    <t>Action: Choose a monster in your line of sight and at least 3 spaces away from you. Move to an empty space adjacent to that monster and perform an attack against that monster. This attack gains +2 Heart.</t>
  </si>
  <si>
    <t>"I leap, I attack, I stab, I kill!"</t>
  </si>
  <si>
    <t>Some fools cower behind metal, thinking the purpose of battle is survival.</t>
  </si>
  <si>
    <t>In addition to your 2 actions on your turn, you always receive 4 movement points.</t>
  </si>
  <si>
    <t>Action: You may revive all knocked out heroes within 3 spaces of you. Make one roll and apply it to all knocked out heroes.</t>
  </si>
  <si>
    <t>"You know my answer already, old friend. I could never abandon you."</t>
  </si>
  <si>
    <t>You can only equip 1 hand icon worth of equipment. On each of your turns, you may perform 1 free Melee attack using 1 blue attack die and 1 yellow power die (this does not require an action).</t>
  </si>
  <si>
    <t>Use when you are defeated to perform an attack action. After the attack is resolved, you are knocked out.</t>
  </si>
  <si>
    <t>"I've fought many battles and seen the worst the world has to offer. Do your worst. I have no fear."</t>
  </si>
  <si>
    <t>"I didn't get the hook after losing my hand. I forfeited my hand to make room for the hook!"</t>
  </si>
  <si>
    <t>"Just try to keep up, all right?"</t>
  </si>
  <si>
    <t xml:space="preserve">During each of your move actions, you may move through spaces containing monsters by spending one additional movement point for each occupied space. </t>
  </si>
  <si>
    <t>"The ways I know are dangerous, and I tread them carefully. I advise you to do the same..."</t>
  </si>
  <si>
    <t xml:space="preserve">"Am I here? Am I over there? Or am I right behind you?" </t>
  </si>
  <si>
    <t>Just be careful, I'd wager this place still has a few tricks up its sleeve.</t>
  </si>
  <si>
    <t>Red Scorpion</t>
  </si>
  <si>
    <t>At the end of your turn, you may suffer 1 Fatigue to recover 1 Heart, or suffer 1 Heart to recover 1 Fatigue.</t>
  </si>
  <si>
    <t>Use when you are attacked to force the attacking monster to reroll some or all of the attack dice (you choose which dice). The new results must be applied.</t>
  </si>
  <si>
    <t>"Balance is the essence of success. To succeed, one must be balanced in all things."</t>
  </si>
  <si>
    <t xml:space="preserve">"An ancient melody, refined through countless generations... freely given." </t>
  </si>
  <si>
    <t>"I’ve been known to lose, but never to give up!"</t>
  </si>
  <si>
    <t>"Keep perfectly still. It may look small, but that creature is aggressive, and its bite fatal."</t>
  </si>
  <si>
    <t xml:space="preserve">"There's something unnatural stirring in the forest." </t>
  </si>
  <si>
    <t>You have the Pico familiar. Start each encounter with the Pico token on your sheet.</t>
  </si>
  <si>
    <t>Action: Move up to 10 spaces. You must end this movement in a space adjacent to the hero that currently has Pico on his Hero sheet.</t>
  </si>
  <si>
    <t>"The forest is stirring… but we’re prepared for anything."</t>
  </si>
  <si>
    <t>"Why be only one man when I have the power to be many?"</t>
  </si>
  <si>
    <t>At the start of your turn, you may test Willpower. If you pass, discard 1 Condition card from yourself or an adjacent hero.</t>
  </si>
  <si>
    <t xml:space="preserve">Use at the start of your turn and choose a hero in your line of sight. Until the end of your turn, you may use any 1 of that hero's skills as if it were your own. </t>
  </si>
  <si>
    <t xml:space="preserve">"Special powers are all well and good, but there are other paths to fame." </t>
  </si>
  <si>
    <t xml:space="preserve">Serena Lieutenant Pack </t>
  </si>
  <si>
    <t xml:space="preserve">"I have waited in silence for far too long. Now the world will know my song." </t>
  </si>
  <si>
    <t>"I care not the cost or pain, nor if my judgment was just; I will work out my redemption."</t>
  </si>
  <si>
    <t>"My sins were grievous, but I have repented for millennia. How long was I meant to suffer for my crimes?"</t>
  </si>
  <si>
    <t>Each time you roll an X on your attack roll, you may deal 1 Heart to 1 monster adjacent to you.</t>
  </si>
  <si>
    <t>Action: Move double your Speed. You may search any number of search tokens you move adjacent to during this movement without performing an action to do so.</t>
  </si>
  <si>
    <t>"Shhh... This will only hurt for a moment."</t>
  </si>
  <si>
    <t>"Don't worry... I'll just be right around the corner."</t>
  </si>
  <si>
    <t>"Stay close. I've got the bigger sword."</t>
  </si>
  <si>
    <t xml:space="preserve">Once per turn, after dice are rolled, you may suffer 1 Fatigue to add 1 Surge to your attack roll. </t>
  </si>
  <si>
    <t>Action: Suffer any amount of Heart. An adjacent hero recovers the same amount of Heart.</t>
  </si>
  <si>
    <t>"Ours is a noble crusade! We will fight gloriously and die with honor!"</t>
  </si>
  <si>
    <t>If you perform 2 move actions on your turn, you may suffer 1 Fatigue to perform an attack at the end of your turn.</t>
  </si>
  <si>
    <t>Action: Move your Speed. During this movement, you may enter spaces occupied by monster figures and move those figures into an adjacent empty space (or closest empty space) of your choice.</t>
  </si>
  <si>
    <t>"Humans have called us monsters throughout the ages, but we know who the real beasts are."</t>
  </si>
  <si>
    <t xml:space="preserve">Use during your turn. Roll 1 power die of your choice. You and each figure adjacent to you suffers Heart equal to the Heart rolled. If you roll a least 1 Surge, you may also move each affected figure up to 1 space </t>
  </si>
  <si>
    <t>"Friends are an awful lot like foes. Neither knows when to get out of my way."</t>
  </si>
  <si>
    <t>"You swear undying loyalty, yet you are mortal. What can you know of commitment?"</t>
  </si>
  <si>
    <t xml:space="preserve">"We will only prevail when evil fears the darkness more than hates the light." </t>
  </si>
  <si>
    <t>Use before a monster activates, or when a monster moves into a space adjacent to you. You may immediately perform an attack against that monster. After the attack is resolved, the monster's turn resumes.</t>
  </si>
  <si>
    <t>"Fools are fools, no matter where they are. They never see me coming."</t>
  </si>
  <si>
    <t>My sisters have given me everything. I seek only to return that favor.</t>
  </si>
  <si>
    <t>Each of your attacks gain +1 range. Each Ranged attack that targets you gains -1 range.</t>
  </si>
  <si>
    <t>Use after defense dice are rolled against one of your attacks. Ignore the results from the die that rolled the most Shield.</t>
  </si>
  <si>
    <t xml:space="preserve">"I will journey where my tribe will not go and hunt that which no one else dares to hunt." </t>
  </si>
  <si>
    <t>"I am a daughter of darkness and a companion of chaos; fate has forgotten my name."</t>
  </si>
  <si>
    <t>You may always roll your attack dice before your target rolls its defense dice. Each time after rolling your attack dice, you may choose to instead attack a different valid target. This new attack uses the same attack roll.</t>
  </si>
  <si>
    <t>Use after rolling your attack dice to choose a second valid target for your attack. Both targets are affected by the attack and roll defense dice separately.</t>
  </si>
  <si>
    <t>"Sometimes ever I don't know just where I will strike next."</t>
  </si>
  <si>
    <t xml:space="preserve">"We all have debts to pay." </t>
  </si>
  <si>
    <t xml:space="preserve">Use during your turn to choose an empty space within 3 spaces of your figure. Remove your figure from the map and place it in the chosen space. </t>
  </si>
  <si>
    <t xml:space="preserve">"Shadows keep me. Shadows protect me. There is nothing to fear in the shadows... except me." </t>
  </si>
  <si>
    <t>Tobin Farslayer</t>
  </si>
  <si>
    <t>Each of your attacks that targets a monster that is at least 3 spaces away from you gains: Surge: +2 Heart</t>
  </si>
  <si>
    <t>Use after attacking a monster that is at least 5 spaces away from you (after attack dice are rolled) to deal +3 Heart to that monster.</t>
  </si>
  <si>
    <t xml:space="preserve">"It matters not how far away you are. My bow can reach you." </t>
  </si>
  <si>
    <t xml:space="preserve">"Don't think of this as you being robbed. Instead, think of it as you donating to a worthy cause." </t>
  </si>
  <si>
    <t>Each time you attack, you may reroll 1 power die. Limit once per attack.</t>
  </si>
  <si>
    <t>Use when you perform an attack action. Before dice are rolled, choose and remove 1 defense die from the defense pool of your target.</t>
  </si>
  <si>
    <t xml:space="preserve">"Nothing will stand in the way of my ultimate quest!" </t>
  </si>
  <si>
    <t>Each of your attacks gains: +1 Heart
Each time you are affected by an attack, add 1 Shield to your defense results.</t>
  </si>
  <si>
    <t xml:space="preserve">"I will stand when none others do. Though my body may fail, my courage will never break!" </t>
  </si>
  <si>
    <t xml:space="preserve">"I see what others cannot, and into places others dare not." </t>
  </si>
  <si>
    <t>"Some say they’ve seen the whole of Terrinoth. They are blind.”</t>
  </si>
  <si>
    <t>"The only thing more exciting than mixing up a new concoction is actually testing it."</t>
  </si>
  <si>
    <t>Varikas the Dead</t>
  </si>
  <si>
    <t>At the start of your turn, recover 1 Fatigue.</t>
  </si>
  <si>
    <t>Use at the start of your turn if you are knocked out. Recover all Heart and Fatigue. You may still perform 2 actions this turn.</t>
  </si>
  <si>
    <t>"I have already died for freedom once before. If I must die again, I will not die alone."</t>
  </si>
  <si>
    <t xml:space="preserve">"If you train a falcon well, you begin to trust her more than your eyes." </t>
  </si>
  <si>
    <t>Action: Place Skye in any space in your line of sight. Skye then attacks an adjacent monster with a blue, red, and yellow die. This attack gains
Surge: Stun</t>
  </si>
  <si>
    <t xml:space="preserve">"My loyal falcon sees far." </t>
  </si>
  <si>
    <t>"I have nothing left to lose. Yet, there is so much more power for me to gain."</t>
  </si>
  <si>
    <t>"Pursue me all you want; we’ll meet when and where I decide – and there you will die."</t>
  </si>
  <si>
    <t>You ignore all figures and terrain while moving. You must end your movement in an empty space.</t>
  </si>
  <si>
    <t>Use before any figure is activated. Remove your figure from the map and place a hero token in your space. At the start of your next turn, replace the hero token with your figure.</t>
  </si>
  <si>
    <t>"Can't hit what you can't catch!"</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</si>
</sst>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00"/>
    <numFmt numFmtId="165" formatCode="0.0"/>
  </numFmts>
  <fonts count="53">
    <font>
      <sz val="11.0"/>
      <color rgb="FF000000"/>
      <name val="Arial"/>
    </font>
    <font>
      <b/>
      <sz val="11.0"/>
      <color theme="1"/>
      <name val="Calibri"/>
    </font>
    <font>
      <b/>
      <sz val="11.0"/>
      <color rgb="FF000000"/>
      <name val="Calibri"/>
    </font>
    <font/>
    <font>
      <color theme="1"/>
      <name val="Calibri"/>
    </font>
    <font>
      <sz val="11.0"/>
      <color theme="1"/>
      <name val="Calibri"/>
    </font>
    <font>
      <b/>
      <color theme="1"/>
      <name val="Calibri"/>
    </font>
    <font>
      <sz val="11.0"/>
      <color rgb="FF000000"/>
      <name val="Calibri"/>
    </font>
    <font>
      <u/>
      <color rgb="FF1155CC"/>
    </font>
    <font>
      <sz val="11.0"/>
      <color rgb="FF3C4043"/>
      <name val="Roboto"/>
    </font>
    <font>
      <sz val="11.0"/>
      <color rgb="FF000000"/>
      <name val="Inconsolata"/>
    </font>
    <font>
      <sz val="11.0"/>
      <color rgb="FF3C4043"/>
      <name val="Calibri"/>
    </font>
    <font>
      <b/>
      <sz val="18.0"/>
      <color theme="1"/>
      <name val="Calibri"/>
    </font>
    <font>
      <sz val="11.0"/>
      <color theme="1"/>
      <name val="Inconsolata"/>
    </font>
    <font>
      <u/>
      <color theme="1"/>
      <name val="Calibri"/>
    </font>
    <font>
      <sz val="11.0"/>
      <color rgb="FF434343"/>
      <name val="Inconsolata"/>
    </font>
    <font>
      <u/>
      <color theme="1"/>
      <name val="Calibri"/>
    </font>
    <font>
      <sz val="24.0"/>
      <color theme="1"/>
      <name val="Calibri"/>
    </font>
    <font>
      <u/>
      <color theme="1"/>
      <name val="Calibri"/>
    </font>
    <font>
      <u/>
      <color theme="1"/>
      <name val="Calibri"/>
    </font>
    <font>
      <b/>
      <color rgb="FF000000"/>
      <name val="Calibri"/>
    </font>
    <font>
      <sz val="12.0"/>
      <color rgb="FF000000"/>
      <name val="Calibri"/>
    </font>
    <font>
      <sz val="12.0"/>
      <color rgb="FF000000"/>
      <name val="Windlass"/>
    </font>
    <font>
      <b/>
      <sz val="14.0"/>
      <color rgb="FF000000"/>
      <name val="Arial"/>
    </font>
    <font>
      <b/>
      <sz val="14.0"/>
      <color rgb="FF000000"/>
      <name val="Windlass"/>
    </font>
    <font>
      <sz val="12.0"/>
      <color rgb="FF000000"/>
      <name val="Arial"/>
    </font>
    <font>
      <b/>
      <sz val="15.0"/>
      <color rgb="FF000000"/>
      <name val="Calibri"/>
    </font>
    <font>
      <u/>
      <sz val="11.0"/>
      <color theme="1"/>
    </font>
    <font>
      <u/>
      <color rgb="FF1155CC"/>
    </font>
    <font>
      <b/>
      <sz val="8.0"/>
      <color theme="1"/>
      <name val="Arial"/>
    </font>
    <font>
      <b/>
      <sz val="11.0"/>
      <color theme="1"/>
      <name val="Arial"/>
    </font>
    <font>
      <color rgb="FFFFFFFF"/>
      <name val="Arial"/>
    </font>
    <font>
      <sz val="11.0"/>
      <color theme="1"/>
      <name val="Arial"/>
    </font>
    <font>
      <color theme="1"/>
      <name val="Arial"/>
    </font>
    <font>
      <u/>
      <sz val="11.0"/>
      <color rgb="FF0000FF"/>
      <name val="Calibri"/>
    </font>
    <font>
      <u/>
      <sz val="11.0"/>
      <color rgb="FF0000FF"/>
      <name val="Calibri"/>
    </font>
    <font>
      <u/>
      <sz val="11.0"/>
      <color rgb="FF3A3A3A"/>
      <name val="&quot;Helvetica Neue&quot;"/>
    </font>
    <font>
      <sz val="11.0"/>
      <color rgb="FF3A3A3A"/>
      <name val="&quot;Helvetica Neue&quot;"/>
    </font>
    <font>
      <u/>
      <sz val="11.0"/>
      <color rgb="FF3A3A3A"/>
      <name val="&quot;Helvetica Neue&quot;"/>
    </font>
    <font>
      <u/>
      <sz val="11.0"/>
      <color rgb="FF3A3A3A"/>
      <name val="&quot;Helvetica Neue&quot;"/>
    </font>
    <font>
      <color rgb="FF000000"/>
      <name val="Roboto"/>
    </font>
    <font>
      <sz val="11.0"/>
      <color rgb="FF000000"/>
      <name val="Docs-Calibri"/>
    </font>
    <font>
      <b/>
      <sz val="14.0"/>
      <color theme="1"/>
      <name val="Windlass"/>
    </font>
    <font>
      <b/>
      <sz val="1.0"/>
      <color rgb="FF938953"/>
      <name val="Cambria"/>
    </font>
    <font>
      <sz val="12.0"/>
      <color theme="1"/>
      <name val="Windlass"/>
    </font>
    <font>
      <b/>
      <sz val="12.0"/>
      <color theme="1"/>
      <name val="Calibri"/>
    </font>
    <font>
      <b/>
      <sz val="15.0"/>
      <color theme="1"/>
      <name val="Calibri"/>
    </font>
    <font>
      <b/>
      <sz val="10.0"/>
      <color theme="1"/>
      <name val="Calibri"/>
    </font>
    <font>
      <sz val="12.0"/>
      <color theme="1"/>
      <name val="Calibri"/>
    </font>
    <font>
      <i/>
      <sz val="11.0"/>
      <color theme="1"/>
      <name val="Calibri"/>
    </font>
    <font>
      <b/>
      <sz val="12.0"/>
      <color theme="1"/>
      <name val="Windlass"/>
    </font>
    <font>
      <b/>
      <sz val="1.0"/>
      <color theme="1"/>
      <name val="Calibri"/>
    </font>
    <font>
      <i/>
      <sz val="12.0"/>
      <color theme="1"/>
      <name val="Calibri"/>
    </font>
  </fonts>
  <fills count="32">
    <fill>
      <patternFill patternType="none"/>
    </fill>
    <fill>
      <patternFill patternType="lightGray"/>
    </fill>
    <fill>
      <patternFill patternType="solid">
        <fgColor rgb="FFFFFFFF"/>
        <bgColor rgb="FFFFFFFF"/>
      </patternFill>
    </fill>
    <fill>
      <patternFill patternType="solid">
        <fgColor rgb="FFEAD1DC"/>
        <bgColor rgb="FFEAD1DC"/>
      </patternFill>
    </fill>
    <fill>
      <patternFill patternType="solid">
        <fgColor rgb="FFFFF2CC"/>
        <bgColor rgb="FFFFF2CC"/>
      </patternFill>
    </fill>
    <fill>
      <patternFill patternType="solid">
        <fgColor rgb="FFD9EAD3"/>
        <bgColor rgb="FFD9EAD3"/>
      </patternFill>
    </fill>
    <fill>
      <patternFill patternType="solid">
        <fgColor rgb="FFCFE2F3"/>
        <bgColor rgb="FFCFE2F3"/>
      </patternFill>
    </fill>
    <fill>
      <patternFill patternType="solid">
        <fgColor rgb="FFF4CCCC"/>
        <bgColor rgb="FFF4CCCC"/>
      </patternFill>
    </fill>
    <fill>
      <patternFill patternType="solid">
        <fgColor theme="0"/>
        <bgColor theme="0"/>
      </patternFill>
    </fill>
    <fill>
      <patternFill patternType="solid">
        <fgColor rgb="FFF3F3F3"/>
        <bgColor rgb="FFF3F3F3"/>
      </patternFill>
    </fill>
    <fill>
      <patternFill patternType="solid">
        <fgColor rgb="FFC4BD97"/>
        <bgColor rgb="FFC4BD97"/>
      </patternFill>
    </fill>
    <fill>
      <patternFill patternType="solid">
        <fgColor rgb="FFD9D2E9"/>
        <bgColor rgb="FFD9D2E9"/>
      </patternFill>
    </fill>
    <fill>
      <patternFill patternType="solid">
        <fgColor rgb="FFFFEB84"/>
        <bgColor rgb="FFFFEB84"/>
      </patternFill>
    </fill>
    <fill>
      <patternFill patternType="solid">
        <fgColor rgb="FFB1D580"/>
        <bgColor rgb="FFB1D580"/>
      </patternFill>
    </fill>
    <fill>
      <patternFill patternType="solid">
        <fgColor rgb="FFF8696B"/>
        <bgColor rgb="FFF8696B"/>
      </patternFill>
    </fill>
    <fill>
      <patternFill patternType="solid">
        <fgColor rgb="FFCCDD82"/>
        <bgColor rgb="FFCCDD82"/>
      </patternFill>
    </fill>
    <fill>
      <patternFill patternType="solid">
        <fgColor rgb="FFFBAA77"/>
        <bgColor rgb="FFFBAA77"/>
      </patternFill>
    </fill>
    <fill>
      <patternFill patternType="solid">
        <fgColor rgb="FF63BE7B"/>
        <bgColor rgb="FF63BE7B"/>
      </patternFill>
    </fill>
    <fill>
      <patternFill patternType="solid">
        <fgColor rgb="FF98CE7F"/>
        <bgColor rgb="FF98CE7F"/>
      </patternFill>
    </fill>
    <fill>
      <patternFill patternType="solid">
        <fgColor rgb="FFD8D8D8"/>
        <bgColor rgb="FFD8D8D8"/>
      </patternFill>
    </fill>
    <fill>
      <patternFill patternType="solid">
        <fgColor rgb="FFA5A5A5"/>
        <bgColor rgb="FFA5A5A5"/>
      </patternFill>
    </fill>
    <fill>
      <patternFill patternType="solid">
        <fgColor rgb="FFCCCCCC"/>
        <bgColor rgb="FFCCCCCC"/>
      </patternFill>
    </fill>
    <fill>
      <patternFill patternType="solid">
        <fgColor rgb="FF808019"/>
        <bgColor rgb="FF808019"/>
      </patternFill>
    </fill>
    <fill>
      <patternFill patternType="solid">
        <fgColor rgb="FFB3B300"/>
        <bgColor rgb="FFB3B300"/>
      </patternFill>
    </fill>
    <fill>
      <patternFill patternType="solid">
        <fgColor rgb="FFFCE5CD"/>
        <bgColor rgb="FFFCE5CD"/>
      </patternFill>
    </fill>
    <fill>
      <patternFill patternType="solid">
        <fgColor rgb="FFD9D9D9"/>
        <bgColor rgb="FFD9D9D9"/>
      </patternFill>
    </fill>
    <fill>
      <patternFill patternType="solid">
        <fgColor rgb="FF7E0021"/>
        <bgColor rgb="FF7E0021"/>
      </patternFill>
    </fill>
    <fill>
      <patternFill patternType="solid">
        <fgColor rgb="FFEB613D"/>
        <bgColor rgb="FFEB613D"/>
      </patternFill>
    </fill>
    <fill>
      <patternFill patternType="solid">
        <fgColor rgb="FF008000"/>
        <bgColor rgb="FF008000"/>
      </patternFill>
    </fill>
    <fill>
      <patternFill patternType="solid">
        <fgColor rgb="FF7DA647"/>
        <bgColor rgb="FF7DA647"/>
      </patternFill>
    </fill>
    <fill>
      <patternFill patternType="solid">
        <fgColor rgb="FF4700B8"/>
        <bgColor rgb="FF4700B8"/>
      </patternFill>
    </fill>
    <fill>
      <patternFill patternType="solid">
        <fgColor rgb="FF9999FF"/>
        <bgColor rgb="FF9999FF"/>
      </patternFill>
    </fill>
  </fills>
  <borders count="38">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left style="thin">
        <color rgb="FF000000"/>
      </left>
      <right style="thin">
        <color rgb="FF000000"/>
      </right>
      <top style="thin">
        <color rgb="FF000000"/>
      </top>
      <bottom style="thin">
        <color rgb="FF000000"/>
      </bottom>
    </border>
    <border>
      <left style="medium">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thin">
        <color theme="0"/>
      </left>
      <right style="thin">
        <color theme="0"/>
      </right>
      <top/>
    </border>
    <border>
      <left style="thin">
        <color theme="0"/>
      </left>
      <right style="thin">
        <color theme="0"/>
      </right>
      <bottom/>
    </border>
    <border>
      <left style="thin">
        <color theme="0"/>
      </left>
      <right style="thin">
        <color theme="0"/>
      </right>
      <top/>
      <bottom/>
    </border>
    <border>
      <left style="thin">
        <color theme="0"/>
      </left>
      <right style="thin">
        <color theme="0"/>
      </right>
      <top style="thin">
        <color rgb="FF000000"/>
      </top>
      <bottom/>
    </border>
    <border>
      <left style="thin">
        <color theme="0"/>
      </left>
      <right style="thin">
        <color theme="0"/>
      </right>
    </border>
    <border>
      <left/>
      <right/>
      <top/>
      <bottom/>
    </border>
    <border>
      <left style="medium">
        <color rgb="FF37533A"/>
      </left>
      <right style="medium">
        <color rgb="FF37533A"/>
      </right>
      <top style="medium">
        <color rgb="FF37533A"/>
      </top>
      <bottom style="medium">
        <color rgb="FF37533A"/>
      </bottom>
    </border>
    <border>
      <left style="medium">
        <color rgb="FF37533A"/>
      </left>
      <right/>
      <top style="medium">
        <color rgb="FF37533A"/>
      </top>
      <bottom style="medium">
        <color rgb="FF37533A"/>
      </bottom>
    </border>
  </borders>
  <cellStyleXfs count="1">
    <xf borderId="0" fillId="0" fontId="0" numFmtId="0" applyAlignment="1" applyFont="1"/>
  </cellStyleXfs>
  <cellXfs count="603">
    <xf borderId="0" fillId="0" fontId="0" numFmtId="0" xfId="0" applyAlignment="1" applyFont="1">
      <alignment readingOrder="0" shrinkToFit="0" vertical="bottom" wrapText="0"/>
    </xf>
    <xf borderId="1" fillId="0" fontId="1" numFmtId="0" xfId="0" applyAlignment="1" applyBorder="1" applyFont="1">
      <alignment horizontal="center" shrinkToFit="0" vertical="center" wrapText="1"/>
    </xf>
    <xf borderId="2" fillId="0" fontId="1" numFmtId="0" xfId="0" applyAlignment="1" applyBorder="1" applyFont="1">
      <alignment horizontal="center" shrinkToFit="0" vertical="center" wrapText="1"/>
    </xf>
    <xf borderId="3" fillId="0" fontId="1" numFmtId="0" xfId="0" applyAlignment="1" applyBorder="1" applyFont="1">
      <alignment horizontal="center" shrinkToFit="0" vertical="center" wrapText="1"/>
    </xf>
    <xf borderId="0" fillId="2" fontId="2" numFmtId="2" xfId="0" applyAlignment="1" applyFill="1" applyFont="1" applyNumberFormat="1">
      <alignment horizontal="center" shrinkToFit="0" textRotation="180" vertical="center" wrapText="1"/>
    </xf>
    <xf borderId="0" fillId="0" fontId="2" numFmtId="0" xfId="0" applyAlignment="1" applyFont="1">
      <alignment horizontal="center" shrinkToFit="0" vertical="center" wrapText="1"/>
    </xf>
    <xf borderId="4" fillId="0" fontId="2" numFmtId="0" xfId="0" applyAlignment="1" applyBorder="1" applyFont="1">
      <alignment horizontal="center" shrinkToFit="0" vertical="center" wrapText="1"/>
    </xf>
    <xf borderId="5" fillId="0" fontId="3" numFmtId="0" xfId="0" applyBorder="1" applyFont="1"/>
    <xf borderId="6" fillId="0" fontId="3" numFmtId="0" xfId="0" applyBorder="1" applyFont="1"/>
    <xf borderId="0" fillId="0" fontId="4" numFmtId="0" xfId="0" applyAlignment="1" applyFont="1">
      <alignment horizontal="center" vertical="center"/>
    </xf>
    <xf borderId="0" fillId="3" fontId="5" numFmtId="0" xfId="0" applyAlignment="1" applyFill="1" applyFont="1">
      <alignment horizontal="center" shrinkToFit="0" vertical="center" wrapText="1"/>
    </xf>
    <xf borderId="0" fillId="4" fontId="5" numFmtId="0" xfId="0" applyAlignment="1" applyFill="1" applyFont="1">
      <alignment horizontal="center" shrinkToFit="0" vertical="center" wrapText="1"/>
    </xf>
    <xf borderId="0" fillId="5" fontId="5" numFmtId="0" xfId="0" applyAlignment="1" applyFill="1" applyFont="1">
      <alignment horizontal="center" shrinkToFit="0" vertical="center" wrapText="1"/>
    </xf>
    <xf borderId="0" fillId="6" fontId="5" numFmtId="0" xfId="0" applyAlignment="1" applyFill="1" applyFont="1">
      <alignment horizontal="center" shrinkToFit="0" vertical="center" wrapText="1"/>
    </xf>
    <xf borderId="0" fillId="7" fontId="5" numFmtId="0" xfId="0" applyAlignment="1" applyFill="1" applyFont="1">
      <alignment horizontal="center" shrinkToFit="0" vertical="center" wrapText="1"/>
    </xf>
    <xf borderId="7" fillId="2" fontId="4" numFmtId="0" xfId="0" applyAlignment="1" applyBorder="1" applyFont="1">
      <alignment horizontal="center" shrinkToFit="0" vertical="center" wrapText="1"/>
    </xf>
    <xf borderId="0" fillId="2" fontId="4" numFmtId="0" xfId="0" applyAlignment="1" applyFont="1">
      <alignment horizontal="center" shrinkToFit="0" vertical="center" wrapText="1"/>
    </xf>
    <xf borderId="8" fillId="2" fontId="4" numFmtId="0" xfId="0" applyAlignment="1" applyBorder="1" applyFont="1">
      <alignment horizontal="center" shrinkToFit="0" vertical="center" wrapText="1"/>
    </xf>
    <xf borderId="4" fillId="0" fontId="5" numFmtId="2" xfId="0" applyAlignment="1" applyBorder="1" applyFont="1" applyNumberFormat="1">
      <alignment horizontal="center"/>
    </xf>
    <xf borderId="0" fillId="3" fontId="5" numFmtId="0" xfId="0" applyAlignment="1" applyFont="1">
      <alignment horizontal="center" vertical="center"/>
    </xf>
    <xf borderId="0" fillId="4" fontId="5" numFmtId="0" xfId="0" applyAlignment="1" applyFont="1">
      <alignment horizontal="center" vertical="center"/>
    </xf>
    <xf borderId="0" fillId="5" fontId="5" numFmtId="0" xfId="0" applyAlignment="1" applyFont="1">
      <alignment horizontal="center" vertical="center"/>
    </xf>
    <xf borderId="0" fillId="6" fontId="5" numFmtId="0" xfId="0" applyAlignment="1" applyFont="1">
      <alignment horizontal="center" readingOrder="0" vertical="center"/>
    </xf>
    <xf borderId="0" fillId="7" fontId="5" numFmtId="0" xfId="0" applyAlignment="1" applyFont="1">
      <alignment horizontal="center" vertical="center"/>
    </xf>
    <xf borderId="0" fillId="0" fontId="6" numFmtId="0" xfId="0" applyAlignment="1" applyFont="1">
      <alignment horizontal="center" vertical="center"/>
    </xf>
    <xf borderId="0" fillId="4" fontId="5" numFmtId="0" xfId="0" applyAlignment="1" applyFont="1">
      <alignment horizontal="center" readingOrder="0" vertical="center"/>
    </xf>
    <xf borderId="9" fillId="2" fontId="4" numFmtId="0" xfId="0" applyAlignment="1" applyBorder="1" applyFont="1">
      <alignment horizontal="center" shrinkToFit="0" vertical="center" wrapText="1"/>
    </xf>
    <xf borderId="10" fillId="2" fontId="4" numFmtId="0" xfId="0" applyAlignment="1" applyBorder="1" applyFont="1">
      <alignment horizontal="center" shrinkToFit="0" vertical="center" wrapText="1"/>
    </xf>
    <xf borderId="11" fillId="2" fontId="4" numFmtId="0" xfId="0" applyAlignment="1" applyBorder="1" applyFont="1">
      <alignment horizontal="center" shrinkToFit="0" vertical="center" wrapText="1"/>
    </xf>
    <xf borderId="1" fillId="2" fontId="5" numFmtId="0" xfId="0" applyAlignment="1" applyBorder="1" applyFont="1">
      <alignment horizontal="center" shrinkToFit="0" vertical="center" wrapText="1"/>
    </xf>
    <xf borderId="2" fillId="2" fontId="5" numFmtId="0" xfId="0" applyAlignment="1" applyBorder="1" applyFont="1">
      <alignment horizontal="center" shrinkToFit="0" vertical="center" wrapText="1"/>
    </xf>
    <xf borderId="3" fillId="2" fontId="5" numFmtId="0" xfId="0" applyAlignment="1" applyBorder="1" applyFont="1">
      <alignment horizontal="center" shrinkToFit="0" vertical="center" wrapText="1"/>
    </xf>
    <xf borderId="7" fillId="2" fontId="5" numFmtId="0" xfId="0" applyAlignment="1" applyBorder="1" applyFont="1">
      <alignment horizontal="center" shrinkToFit="0" vertical="center" wrapText="1"/>
    </xf>
    <xf borderId="0" fillId="2" fontId="5" numFmtId="0" xfId="0" applyAlignment="1" applyFont="1">
      <alignment horizontal="center" shrinkToFit="0" vertical="center" wrapText="1"/>
    </xf>
    <xf borderId="8" fillId="2" fontId="5" numFmtId="0" xfId="0" applyAlignment="1" applyBorder="1" applyFont="1">
      <alignment horizontal="center" shrinkToFit="0" vertical="center" wrapText="1"/>
    </xf>
    <xf borderId="8" fillId="2" fontId="5" numFmtId="0" xfId="0" applyAlignment="1" applyBorder="1" applyFont="1">
      <alignment horizontal="center" readingOrder="0" shrinkToFit="0" vertical="center" wrapText="1"/>
    </xf>
    <xf borderId="9" fillId="2" fontId="5" numFmtId="0" xfId="0" applyAlignment="1" applyBorder="1" applyFont="1">
      <alignment horizontal="center" shrinkToFit="0" vertical="center" wrapText="1"/>
    </xf>
    <xf borderId="10" fillId="2" fontId="5" numFmtId="0" xfId="0" applyAlignment="1" applyBorder="1" applyFont="1">
      <alignment horizontal="center" shrinkToFit="0" vertical="center" wrapText="1"/>
    </xf>
    <xf borderId="11" fillId="2" fontId="5" numFmtId="0" xfId="0" applyAlignment="1" applyBorder="1" applyFont="1">
      <alignment horizontal="center" shrinkToFit="0" vertical="center" wrapText="1"/>
    </xf>
    <xf borderId="2" fillId="2" fontId="5" numFmtId="0" xfId="0" applyAlignment="1" applyBorder="1" applyFont="1">
      <alignment horizontal="center" readingOrder="0" shrinkToFit="0" vertical="center" wrapText="1"/>
    </xf>
    <xf borderId="1" fillId="2" fontId="4" numFmtId="0" xfId="0" applyAlignment="1" applyBorder="1" applyFont="1">
      <alignment horizontal="center" shrinkToFit="0" vertical="center" wrapText="1"/>
    </xf>
    <xf borderId="2" fillId="2" fontId="4" numFmtId="0" xfId="0" applyAlignment="1" applyBorder="1" applyFont="1">
      <alignment horizontal="center" shrinkToFit="0" vertical="center" wrapText="1"/>
    </xf>
    <xf borderId="3" fillId="2" fontId="4" numFmtId="0" xfId="0" applyAlignment="1" applyBorder="1" applyFont="1">
      <alignment horizontal="center" shrinkToFit="0" vertical="center" wrapText="1"/>
    </xf>
    <xf borderId="2" fillId="2" fontId="4" numFmtId="0" xfId="0" applyAlignment="1" applyBorder="1" applyFont="1">
      <alignment horizontal="center" readingOrder="0" shrinkToFit="0" vertical="center" wrapText="1"/>
    </xf>
    <xf borderId="0" fillId="5" fontId="5" numFmtId="0" xfId="0" applyAlignment="1" applyFont="1">
      <alignment horizontal="center" readingOrder="0" vertical="center"/>
    </xf>
    <xf borderId="0" fillId="3" fontId="5" numFmtId="0" xfId="0" applyAlignment="1" applyFont="1">
      <alignment horizontal="center" readingOrder="0" vertical="center"/>
    </xf>
    <xf borderId="8" fillId="2" fontId="4" numFmtId="0" xfId="0" applyAlignment="1" applyBorder="1" applyFont="1">
      <alignment horizontal="center" readingOrder="0" shrinkToFit="0" vertical="center" wrapText="1"/>
    </xf>
    <xf borderId="0" fillId="6" fontId="5" numFmtId="0" xfId="0" applyAlignment="1" applyFont="1">
      <alignment horizontal="center" vertical="center"/>
    </xf>
    <xf borderId="0" fillId="2" fontId="4" numFmtId="0" xfId="0" applyAlignment="1" applyFont="1">
      <alignment horizontal="center" readingOrder="0" shrinkToFit="0" vertical="center" wrapText="1"/>
    </xf>
    <xf borderId="12" fillId="0" fontId="1" numFmtId="0" xfId="0" applyAlignment="1" applyBorder="1" applyFont="1">
      <alignment horizontal="center" vertical="center"/>
    </xf>
    <xf borderId="12" fillId="0" fontId="1" numFmtId="0" xfId="0" applyAlignment="1" applyBorder="1" applyFont="1">
      <alignment horizontal="center" shrinkToFit="0" vertical="center" wrapText="1"/>
    </xf>
    <xf borderId="12" fillId="2" fontId="2" numFmtId="2" xfId="0" applyAlignment="1" applyBorder="1" applyFont="1" applyNumberFormat="1">
      <alignment horizontal="center" shrinkToFit="0" textRotation="180" vertical="center" wrapText="1"/>
    </xf>
    <xf borderId="13" fillId="0" fontId="3" numFmtId="0" xfId="0" applyBorder="1" applyFont="1"/>
    <xf borderId="14" fillId="0" fontId="3" numFmtId="0" xfId="0" applyBorder="1" applyFont="1"/>
    <xf borderId="1" fillId="0" fontId="4" numFmtId="0" xfId="0" applyAlignment="1" applyBorder="1" applyFont="1">
      <alignment horizontal="center" vertical="center"/>
    </xf>
    <xf borderId="2" fillId="0" fontId="4" numFmtId="0" xfId="0" applyAlignment="1" applyBorder="1" applyFont="1">
      <alignment horizontal="center" vertical="center"/>
    </xf>
    <xf borderId="3" fillId="0" fontId="4" numFmtId="0" xfId="0" applyAlignment="1" applyBorder="1" applyFont="1">
      <alignment horizontal="left" shrinkToFit="0" vertical="center" wrapText="1"/>
    </xf>
    <xf borderId="15" fillId="0" fontId="5" numFmtId="2" xfId="0" applyAlignment="1" applyBorder="1" applyFont="1" applyNumberFormat="1">
      <alignment horizontal="center" vertical="center"/>
    </xf>
    <xf borderId="7" fillId="0" fontId="4" numFmtId="0" xfId="0" applyAlignment="1" applyBorder="1" applyFont="1">
      <alignment horizontal="center" vertical="center"/>
    </xf>
    <xf borderId="8" fillId="0" fontId="4" numFmtId="0" xfId="0" applyAlignment="1" applyBorder="1" applyFont="1">
      <alignment horizontal="left" shrinkToFit="0" vertical="center" wrapText="1"/>
    </xf>
    <xf borderId="9" fillId="0" fontId="4" numFmtId="0" xfId="0" applyAlignment="1" applyBorder="1" applyFont="1">
      <alignment horizontal="center" vertical="center"/>
    </xf>
    <xf borderId="10" fillId="0" fontId="4" numFmtId="0" xfId="0" applyAlignment="1" applyBorder="1" applyFont="1">
      <alignment horizontal="center" vertical="center"/>
    </xf>
    <xf borderId="11" fillId="0" fontId="4" numFmtId="0" xfId="0" applyAlignment="1" applyBorder="1" applyFont="1">
      <alignment horizontal="left" shrinkToFit="0" vertical="center" wrapText="1"/>
    </xf>
    <xf borderId="0" fillId="7" fontId="5" numFmtId="0" xfId="0" applyAlignment="1" applyFont="1">
      <alignment horizontal="center" readingOrder="0" vertical="center"/>
    </xf>
    <xf borderId="8" fillId="7" fontId="4" numFmtId="0" xfId="0" applyAlignment="1" applyBorder="1" applyFont="1">
      <alignment horizontal="left" shrinkToFit="0" vertical="center" wrapText="1"/>
    </xf>
    <xf borderId="0" fillId="0" fontId="4" numFmtId="0" xfId="0" applyAlignment="1" applyFont="1">
      <alignment horizontal="center" readingOrder="0" vertical="center"/>
    </xf>
    <xf borderId="10" fillId="0" fontId="4" numFmtId="0" xfId="0" applyAlignment="1" applyBorder="1" applyFont="1">
      <alignment horizontal="center" readingOrder="0" vertical="center"/>
    </xf>
    <xf borderId="1" fillId="0" fontId="4" numFmtId="0" xfId="0" applyAlignment="1" applyBorder="1" applyFont="1">
      <alignment horizontal="center" readingOrder="0" vertical="center"/>
    </xf>
    <xf borderId="7"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2" fillId="0" fontId="4" numFmtId="0" xfId="0" applyAlignment="1" applyBorder="1" applyFont="1">
      <alignment horizontal="center" readingOrder="0" vertical="center"/>
    </xf>
    <xf borderId="12" fillId="0" fontId="5" numFmtId="2" xfId="0" applyAlignment="1" applyBorder="1" applyFont="1" applyNumberFormat="1">
      <alignment horizontal="center" vertical="center"/>
    </xf>
    <xf borderId="0" fillId="0" fontId="4" numFmtId="0" xfId="0" applyAlignment="1" applyFont="1">
      <alignment horizontal="left" shrinkToFit="0" vertical="center" wrapText="1"/>
    </xf>
    <xf borderId="0" fillId="0" fontId="5" numFmtId="2" xfId="0" applyAlignment="1" applyFont="1" applyNumberFormat="1">
      <alignment horizontal="center" vertical="center"/>
    </xf>
    <xf borderId="0" fillId="0" fontId="4" numFmtId="0" xfId="0" applyAlignment="1" applyFont="1">
      <alignment horizontal="left" shrinkToFit="0" vertical="center" wrapText="1"/>
    </xf>
    <xf borderId="0" fillId="0" fontId="4" numFmtId="0" xfId="0" applyFont="1"/>
    <xf borderId="12" fillId="0" fontId="2" numFmtId="0" xfId="0" applyAlignment="1" applyBorder="1" applyFont="1">
      <alignment horizontal="center" shrinkToFit="0" vertical="center" wrapText="1"/>
    </xf>
    <xf borderId="2" fillId="0" fontId="2" numFmtId="49" xfId="0" applyAlignment="1" applyBorder="1" applyFont="1" applyNumberFormat="1">
      <alignment horizontal="center" shrinkToFit="0" vertical="center" wrapText="1"/>
    </xf>
    <xf borderId="1" fillId="8" fontId="2" numFmtId="2" xfId="0" applyAlignment="1" applyBorder="1" applyFill="1" applyFont="1" applyNumberFormat="1">
      <alignment horizontal="center" readingOrder="0" shrinkToFit="0" textRotation="180" vertical="center" wrapText="1"/>
    </xf>
    <xf borderId="1" fillId="0" fontId="2" numFmtId="0" xfId="0" applyAlignment="1" applyBorder="1" applyFont="1">
      <alignment horizontal="center" readingOrder="0" shrinkToFit="0" vertical="center" wrapText="1"/>
    </xf>
    <xf borderId="2" fillId="0" fontId="3" numFmtId="0" xfId="0" applyBorder="1" applyFont="1"/>
    <xf borderId="3" fillId="0" fontId="3" numFmtId="0" xfId="0" applyBorder="1" applyFont="1"/>
    <xf borderId="1" fillId="0" fontId="2" numFmtId="0" xfId="0" applyAlignment="1" applyBorder="1" applyFont="1">
      <alignment horizontal="center" shrinkToFit="0" vertical="center" wrapText="1"/>
    </xf>
    <xf borderId="0" fillId="0" fontId="4" numFmtId="0" xfId="0" applyAlignment="1" applyFont="1">
      <alignment horizontal="center" vertical="center"/>
    </xf>
    <xf borderId="10" fillId="0" fontId="3" numFmtId="0" xfId="0" applyBorder="1" applyFont="1"/>
    <xf borderId="9" fillId="0" fontId="3" numFmtId="0" xfId="0" applyBorder="1" applyFont="1"/>
    <xf borderId="7" fillId="3" fontId="5" numFmtId="0" xfId="0" applyAlignment="1" applyBorder="1" applyFont="1">
      <alignment horizontal="center" shrinkToFit="0" vertical="center" wrapText="1"/>
    </xf>
    <xf borderId="8" fillId="7" fontId="5" numFmtId="0" xfId="0" applyAlignment="1" applyBorder="1" applyFont="1">
      <alignment horizontal="center" shrinkToFit="0" vertical="center" wrapText="1"/>
    </xf>
    <xf borderId="9" fillId="3" fontId="5" numFmtId="0" xfId="0" applyAlignment="1" applyBorder="1" applyFont="1">
      <alignment horizontal="center" shrinkToFit="0" vertical="center" wrapText="1"/>
    </xf>
    <xf borderId="10" fillId="4" fontId="5" numFmtId="0" xfId="0" applyAlignment="1" applyBorder="1" applyFont="1">
      <alignment horizontal="center" shrinkToFit="0" vertical="center" wrapText="1"/>
    </xf>
    <xf borderId="10" fillId="5" fontId="5" numFmtId="0" xfId="0" applyAlignment="1" applyBorder="1" applyFont="1">
      <alignment horizontal="center" shrinkToFit="0" vertical="center" wrapText="1"/>
    </xf>
    <xf borderId="10" fillId="6" fontId="5" numFmtId="0" xfId="0" applyAlignment="1" applyBorder="1" applyFont="1">
      <alignment horizontal="center" shrinkToFit="0" vertical="center" wrapText="1"/>
    </xf>
    <xf borderId="11" fillId="7" fontId="5" numFmtId="0" xfId="0" applyAlignment="1" applyBorder="1" applyFont="1">
      <alignment horizontal="center" shrinkToFit="0" vertical="center" wrapText="1"/>
    </xf>
    <xf borderId="15" fillId="0" fontId="7" numFmtId="0" xfId="0" applyAlignment="1" applyBorder="1" applyFont="1">
      <alignment horizontal="center" shrinkToFit="0" vertical="center" wrapText="1"/>
    </xf>
    <xf borderId="0" fillId="0" fontId="4" numFmtId="2" xfId="0" applyAlignment="1" applyFont="1" applyNumberFormat="1">
      <alignment horizontal="center" vertical="center"/>
    </xf>
    <xf borderId="7" fillId="3" fontId="4" numFmtId="0" xfId="0" applyAlignment="1" applyBorder="1" applyFont="1">
      <alignment horizontal="center" vertical="center"/>
    </xf>
    <xf borderId="0" fillId="4" fontId="5" numFmtId="0" xfId="0" applyAlignment="1" applyFont="1">
      <alignment horizontal="center" readingOrder="0" shrinkToFit="0" vertical="center" wrapText="1"/>
    </xf>
    <xf borderId="0" fillId="5" fontId="4" numFmtId="0" xfId="0" applyAlignment="1" applyFont="1">
      <alignment horizontal="center" readingOrder="0" vertical="center"/>
    </xf>
    <xf borderId="0" fillId="6" fontId="4" numFmtId="0" xfId="0" applyAlignment="1" applyFont="1">
      <alignment horizontal="center" vertical="center"/>
    </xf>
    <xf borderId="8" fillId="7" fontId="4" numFmtId="0" xfId="0" applyAlignment="1" applyBorder="1" applyFont="1">
      <alignment horizontal="center" readingOrder="0" vertical="center"/>
    </xf>
    <xf borderId="0" fillId="4" fontId="4" numFmtId="0" xfId="0" applyAlignment="1" applyFont="1">
      <alignment horizontal="center" readingOrder="0" vertical="center"/>
    </xf>
    <xf borderId="15" fillId="0" fontId="5" numFmtId="0" xfId="0" applyAlignment="1" applyBorder="1" applyFont="1">
      <alignment horizontal="center" shrinkToFit="0" vertical="center" wrapText="1"/>
    </xf>
    <xf borderId="15" fillId="0" fontId="5" numFmtId="0" xfId="0" applyAlignment="1" applyBorder="1" applyFont="1">
      <alignment horizontal="center" vertical="center"/>
    </xf>
    <xf borderId="15" fillId="0" fontId="5" numFmtId="0" xfId="0" applyAlignment="1" applyBorder="1" applyFont="1">
      <alignment horizontal="center" readingOrder="0" shrinkToFit="0" vertical="center" wrapText="1"/>
    </xf>
    <xf borderId="8" fillId="7" fontId="4" numFmtId="0" xfId="0" applyAlignment="1" applyBorder="1" applyFont="1">
      <alignment horizontal="center" vertical="center"/>
    </xf>
    <xf borderId="15" fillId="0" fontId="7" numFmtId="0" xfId="0" applyAlignment="1" applyBorder="1" applyFont="1">
      <alignment horizontal="center" readingOrder="0" shrinkToFit="0" vertical="center" wrapText="1"/>
    </xf>
    <xf borderId="15" fillId="0" fontId="5" numFmtId="0" xfId="0" applyAlignment="1" applyBorder="1" applyFont="1">
      <alignment horizontal="center" readingOrder="0" shrinkToFit="0" vertical="center" wrapText="1"/>
    </xf>
    <xf borderId="0" fillId="6" fontId="4" numFmtId="0" xfId="0" applyAlignment="1" applyFont="1">
      <alignment horizontal="center" readingOrder="0" vertical="center"/>
    </xf>
    <xf borderId="0" fillId="5" fontId="4" numFmtId="0" xfId="0" applyAlignment="1" applyFont="1">
      <alignment horizontal="center" vertical="center"/>
    </xf>
    <xf borderId="15" fillId="0" fontId="5" numFmtId="0" xfId="0" applyAlignment="1" applyBorder="1" applyFont="1">
      <alignment horizontal="center" readingOrder="0" vertical="center"/>
    </xf>
    <xf borderId="15" fillId="0" fontId="7" numFmtId="0" xfId="0" applyAlignment="1" applyBorder="1" applyFont="1">
      <alignment horizontal="center" shrinkToFit="0" vertical="center" wrapText="1"/>
    </xf>
    <xf borderId="0" fillId="3" fontId="4" numFmtId="0" xfId="0" applyAlignment="1" applyFont="1">
      <alignment horizontal="center" vertical="center"/>
    </xf>
    <xf borderId="0" fillId="7" fontId="4" numFmtId="0" xfId="0" applyAlignment="1" applyFont="1">
      <alignment horizontal="center" readingOrder="0" vertical="center"/>
    </xf>
    <xf borderId="0" fillId="0" fontId="5" numFmtId="0" xfId="0" applyAlignment="1" applyFont="1">
      <alignment horizontal="center" vertical="center"/>
    </xf>
    <xf borderId="0" fillId="0" fontId="5" numFmtId="0" xfId="0" applyAlignment="1" applyFont="1">
      <alignment horizontal="center" shrinkToFit="0" vertical="center" wrapText="1"/>
    </xf>
    <xf borderId="0" fillId="4" fontId="4" numFmtId="0" xfId="0" applyAlignment="1" applyFont="1">
      <alignment horizontal="center" vertical="center"/>
    </xf>
    <xf borderId="0" fillId="7" fontId="4" numFmtId="0" xfId="0" applyAlignment="1" applyFont="1">
      <alignment horizontal="center" vertical="center"/>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2" numFmtId="2" xfId="0" applyAlignment="1" applyFont="1" applyNumberFormat="1">
      <alignment horizontal="center" shrinkToFit="0" textRotation="180" vertical="center" wrapText="1"/>
    </xf>
    <xf borderId="1" fillId="3" fontId="5" numFmtId="0" xfId="0" applyAlignment="1" applyBorder="1" applyFont="1">
      <alignment horizontal="center" shrinkToFit="0" vertical="center" wrapText="1"/>
    </xf>
    <xf borderId="2" fillId="4" fontId="5" numFmtId="0" xfId="0" applyAlignment="1" applyBorder="1" applyFont="1">
      <alignment horizontal="center" shrinkToFit="0" vertical="center" wrapText="1"/>
    </xf>
    <xf borderId="2" fillId="5" fontId="5" numFmtId="0" xfId="0" applyAlignment="1" applyBorder="1" applyFont="1">
      <alignment horizontal="center" shrinkToFit="0" vertical="center" wrapText="1"/>
    </xf>
    <xf borderId="2" fillId="6" fontId="5" numFmtId="0" xfId="0" applyAlignment="1" applyBorder="1" applyFont="1">
      <alignment horizontal="center" shrinkToFit="0" vertical="center" wrapText="1"/>
    </xf>
    <xf borderId="3" fillId="7" fontId="5" numFmtId="0" xfId="0" applyAlignment="1" applyBorder="1" applyFont="1">
      <alignment horizontal="center" shrinkToFit="0" vertical="center" wrapText="1"/>
    </xf>
    <xf quotePrefix="1" borderId="0" fillId="9" fontId="5" numFmtId="0" xfId="0" applyAlignment="1" applyFill="1" applyFont="1">
      <alignment horizontal="center" shrinkToFit="0" vertical="center" wrapText="1"/>
    </xf>
    <xf borderId="0" fillId="9" fontId="5" numFmtId="0" xfId="0" applyAlignment="1" applyFont="1">
      <alignment horizontal="center" shrinkToFit="0" vertical="center" wrapText="1"/>
    </xf>
    <xf borderId="0" fillId="9" fontId="5" numFmtId="2" xfId="0" applyAlignment="1" applyFont="1" applyNumberFormat="1">
      <alignment horizontal="center" shrinkToFit="0" vertical="center" wrapText="1"/>
    </xf>
    <xf borderId="8" fillId="7" fontId="5" numFmtId="0" xfId="0" applyAlignment="1" applyBorder="1" applyFont="1">
      <alignment horizontal="center" readingOrder="0" shrinkToFit="0" vertical="center" wrapText="1"/>
    </xf>
    <xf quotePrefix="1" borderId="0" fillId="0" fontId="5" numFmtId="0" xfId="0" applyAlignment="1" applyFont="1">
      <alignment horizontal="center" shrinkToFit="0" vertical="center" wrapText="1"/>
    </xf>
    <xf borderId="0" fillId="0" fontId="5" numFmtId="2" xfId="0" applyAlignment="1" applyFont="1" applyNumberFormat="1">
      <alignment horizontal="center" shrinkToFit="0" vertical="center" wrapText="1"/>
    </xf>
    <xf borderId="0" fillId="5" fontId="5" numFmtId="0" xfId="0" applyAlignment="1" applyFont="1">
      <alignment horizontal="center" readingOrder="0" shrinkToFit="0" vertical="center" wrapText="1"/>
    </xf>
    <xf quotePrefix="1" borderId="0" fillId="9" fontId="5" numFmtId="0" xfId="0" applyAlignment="1" applyFont="1">
      <alignment horizontal="center" readingOrder="0" shrinkToFit="0" vertical="center" wrapText="1"/>
    </xf>
    <xf quotePrefix="1" borderId="0" fillId="0" fontId="5"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7" fillId="3" fontId="4" numFmtId="0" xfId="0" applyAlignment="1" applyBorder="1" applyFont="1">
      <alignment horizontal="center" vertical="center"/>
    </xf>
    <xf borderId="0" fillId="6" fontId="4" numFmtId="0" xfId="0" applyAlignment="1" applyFont="1">
      <alignment horizontal="center" vertical="center"/>
    </xf>
    <xf borderId="0" fillId="0" fontId="5" numFmtId="0" xfId="0" applyAlignment="1" applyFont="1">
      <alignment horizontal="center" readingOrder="0" shrinkToFit="0" vertical="center" wrapText="1"/>
    </xf>
    <xf borderId="0" fillId="5" fontId="4" numFmtId="0" xfId="0" applyAlignment="1" applyFont="1">
      <alignment horizontal="center" vertical="center"/>
    </xf>
    <xf borderId="0" fillId="0" fontId="8" numFmtId="0" xfId="0" applyAlignment="1" applyFont="1">
      <alignment horizontal="center" shrinkToFit="0" vertical="center" wrapText="1"/>
    </xf>
    <xf borderId="0" fillId="0" fontId="4" numFmtId="0" xfId="0" applyAlignment="1" applyFont="1">
      <alignment horizontal="center" shrinkToFit="0" vertical="center" wrapText="1"/>
    </xf>
    <xf borderId="8" fillId="7" fontId="4" numFmtId="0" xfId="0" applyAlignment="1" applyBorder="1" applyFont="1">
      <alignment horizontal="center" vertical="center"/>
    </xf>
    <xf borderId="0" fillId="0" fontId="4" numFmtId="0" xfId="0" applyAlignment="1" applyFont="1">
      <alignment horizontal="center" readingOrder="0" shrinkToFit="0" vertical="center" wrapText="1"/>
    </xf>
    <xf borderId="7" fillId="3" fontId="9" numFmtId="0" xfId="0" applyAlignment="1" applyBorder="1" applyFont="1">
      <alignment horizontal="center" vertical="center"/>
    </xf>
    <xf borderId="0" fillId="5" fontId="9" numFmtId="0" xfId="0" applyAlignment="1" applyFont="1">
      <alignment horizontal="center" vertical="center"/>
    </xf>
    <xf borderId="0" fillId="6" fontId="9" numFmtId="0" xfId="0" applyAlignment="1" applyFont="1">
      <alignment horizontal="center" vertical="center"/>
    </xf>
    <xf borderId="8" fillId="7" fontId="9" numFmtId="0" xfId="0" applyAlignment="1" applyBorder="1" applyFont="1">
      <alignment horizontal="center" vertical="center"/>
    </xf>
    <xf borderId="0" fillId="6" fontId="5" numFmtId="0" xfId="0" applyAlignment="1" applyFont="1">
      <alignment horizontal="center" readingOrder="0" shrinkToFit="0" vertical="center" wrapText="1"/>
    </xf>
    <xf borderId="0" fillId="7" fontId="5" numFmtId="0" xfId="0" applyAlignment="1" applyFont="1">
      <alignment horizontal="center" readingOrder="0" shrinkToFit="0" vertical="center" wrapText="1"/>
    </xf>
    <xf borderId="0" fillId="2" fontId="10" numFmtId="0" xfId="0" applyAlignment="1" applyFont="1">
      <alignment readingOrder="0"/>
    </xf>
    <xf borderId="0" fillId="3" fontId="4" numFmtId="0" xfId="0" applyAlignment="1" applyFont="1">
      <alignment horizontal="center" vertical="center"/>
    </xf>
    <xf borderId="10" fillId="3" fontId="5" numFmtId="0" xfId="0" applyAlignment="1" applyBorder="1" applyFont="1">
      <alignment horizontal="center" shrinkToFit="0" vertical="center" wrapText="1"/>
    </xf>
    <xf borderId="0" fillId="7" fontId="4" numFmtId="0" xfId="0" applyAlignment="1" applyFont="1">
      <alignment horizontal="center" vertical="center"/>
    </xf>
    <xf borderId="0" fillId="0" fontId="7" numFmtId="0" xfId="0" applyAlignment="1" applyFont="1">
      <alignment horizontal="center" shrinkToFit="0" vertical="center" wrapText="1"/>
    </xf>
    <xf borderId="0" fillId="0" fontId="7" numFmtId="49" xfId="0" applyAlignment="1" applyFont="1" applyNumberFormat="1">
      <alignment horizontal="center" shrinkToFit="0" vertical="center" wrapText="1"/>
    </xf>
    <xf borderId="0" fillId="0" fontId="7" numFmtId="49" xfId="0" applyAlignment="1" applyFont="1" applyNumberFormat="1">
      <alignment horizontal="center" readingOrder="0" shrinkToFit="0" vertical="center" wrapText="1"/>
    </xf>
    <xf borderId="0" fillId="4" fontId="4" numFmtId="0" xfId="0" applyAlignment="1" applyFont="1">
      <alignment horizontal="center" vertical="center"/>
    </xf>
    <xf borderId="0" fillId="0" fontId="2" numFmtId="2" xfId="0" applyAlignment="1" applyFont="1" applyNumberFormat="1">
      <alignment horizontal="center" shrinkToFit="0" textRotation="180" vertical="center" wrapText="1"/>
    </xf>
    <xf borderId="1" fillId="8" fontId="2" numFmtId="0" xfId="0" applyAlignment="1" applyBorder="1" applyFont="1">
      <alignment horizontal="center" shrinkToFit="0" vertical="center" wrapText="1"/>
    </xf>
    <xf borderId="0" fillId="0" fontId="4" numFmtId="0" xfId="0" applyAlignment="1" applyFont="1">
      <alignment horizontal="center"/>
    </xf>
    <xf borderId="7" fillId="8" fontId="5" numFmtId="0" xfId="0" applyAlignment="1" applyBorder="1" applyFont="1">
      <alignment horizontal="center" shrinkToFit="0" vertical="center" wrapText="1"/>
    </xf>
    <xf borderId="0" fillId="8" fontId="5" numFmtId="0" xfId="0" applyAlignment="1" applyFont="1">
      <alignment horizontal="center" shrinkToFit="0" vertical="center" wrapText="1"/>
    </xf>
    <xf borderId="8" fillId="8" fontId="5" numFmtId="0" xfId="0" applyAlignment="1" applyBorder="1" applyFont="1">
      <alignment horizontal="center" shrinkToFit="0" vertical="center" wrapText="1"/>
    </xf>
    <xf quotePrefix="1" borderId="0" fillId="0" fontId="5" numFmtId="49" xfId="0" applyAlignment="1" applyFont="1" applyNumberFormat="1">
      <alignment horizontal="center" shrinkToFit="0" vertical="center" wrapText="1"/>
    </xf>
    <xf borderId="0" fillId="0" fontId="5" numFmtId="49" xfId="0" applyAlignment="1" applyFont="1" applyNumberFormat="1">
      <alignment horizontal="center" shrinkToFit="0" vertical="center" wrapText="1"/>
    </xf>
    <xf borderId="0" fillId="0" fontId="5" numFmtId="2" xfId="0" applyAlignment="1" applyFont="1" applyNumberFormat="1">
      <alignment horizontal="center" shrinkToFit="0" vertical="center" wrapText="1"/>
    </xf>
    <xf borderId="0" fillId="2" fontId="5" numFmtId="0" xfId="0" applyAlignment="1" applyFont="1">
      <alignment horizontal="center" readingOrder="0" shrinkToFit="0" vertical="center" wrapText="1"/>
    </xf>
    <xf borderId="0" fillId="8" fontId="5" numFmtId="0" xfId="0" applyAlignment="1" applyFont="1">
      <alignment horizontal="center" readingOrder="0" shrinkToFit="0" vertical="center" wrapText="1"/>
    </xf>
    <xf quotePrefix="1" borderId="0" fillId="0" fontId="5" numFmtId="49" xfId="0" applyAlignment="1" applyFont="1" applyNumberFormat="1">
      <alignment horizontal="center" readingOrder="0" shrinkToFit="0" vertical="center" wrapText="1"/>
    </xf>
    <xf borderId="0" fillId="0" fontId="5" numFmtId="49" xfId="0" applyAlignment="1" applyFont="1" applyNumberFormat="1">
      <alignment horizontal="center" readingOrder="0" shrinkToFit="0" vertical="center" wrapText="1"/>
    </xf>
    <xf borderId="7" fillId="8" fontId="5" numFmtId="0" xfId="0" applyAlignment="1" applyBorder="1" applyFont="1">
      <alignment horizontal="center" readingOrder="0" shrinkToFit="0" vertical="center" wrapText="1"/>
    </xf>
    <xf borderId="7" fillId="3" fontId="5" numFmtId="0" xfId="0" applyAlignment="1" applyBorder="1" applyFont="1">
      <alignment horizontal="center" readingOrder="0" shrinkToFit="0" vertical="center" wrapText="1"/>
    </xf>
    <xf quotePrefix="1" borderId="0" fillId="0" fontId="4" numFmtId="0" xfId="0" applyAlignment="1" applyFont="1">
      <alignment horizontal="center" readingOrder="0" shrinkToFit="0" vertical="center" wrapText="1"/>
    </xf>
    <xf borderId="8" fillId="8" fontId="5" numFmtId="0" xfId="0" applyAlignment="1" applyBorder="1" applyFont="1">
      <alignment horizontal="center" readingOrder="0" shrinkToFit="0" vertical="center" wrapText="1"/>
    </xf>
    <xf borderId="7" fillId="3" fontId="11" numFmtId="0" xfId="0" applyAlignment="1" applyBorder="1" applyFont="1">
      <alignment horizontal="center" shrinkToFit="0" vertical="center" wrapText="1"/>
    </xf>
    <xf borderId="0" fillId="2" fontId="11" numFmtId="0" xfId="0" applyAlignment="1" applyFont="1">
      <alignment horizontal="center" shrinkToFit="0" vertical="center" wrapText="1"/>
    </xf>
    <xf borderId="0" fillId="2" fontId="11" numFmtId="0" xfId="0" applyAlignment="1" applyFont="1">
      <alignment horizontal="center" readingOrder="0" shrinkToFit="0" vertical="center" wrapText="1"/>
    </xf>
    <xf borderId="0" fillId="8" fontId="11" numFmtId="0" xfId="0" applyAlignment="1" applyFont="1">
      <alignment horizontal="center" readingOrder="0" shrinkToFit="0" vertical="center" wrapText="1"/>
    </xf>
    <xf borderId="0" fillId="8" fontId="11" numFmtId="0" xfId="0" applyAlignment="1" applyFont="1">
      <alignment horizontal="center" shrinkToFit="0" vertical="center" wrapText="1"/>
    </xf>
    <xf borderId="8" fillId="7" fontId="11" numFmtId="0" xfId="0" applyAlignment="1" applyBorder="1" applyFont="1">
      <alignment horizontal="center" shrinkToFit="0" vertical="center" wrapText="1"/>
    </xf>
    <xf borderId="0" fillId="2" fontId="10" numFmtId="0" xfId="0" applyAlignment="1" applyFont="1">
      <alignment horizontal="center" readingOrder="0" shrinkToFit="0" vertical="center" wrapText="1"/>
    </xf>
    <xf borderId="0" fillId="0" fontId="4" numFmtId="2" xfId="0" applyAlignment="1" applyFont="1" applyNumberFormat="1">
      <alignment horizontal="center"/>
    </xf>
    <xf borderId="0" fillId="8" fontId="4" numFmtId="0" xfId="0" applyAlignment="1" applyFont="1">
      <alignment horizontal="center"/>
    </xf>
    <xf borderId="0" fillId="8" fontId="4" numFmtId="0" xfId="0" applyAlignment="1" applyFont="1">
      <alignment horizontal="center" vertical="center"/>
    </xf>
    <xf borderId="0" fillId="0" fontId="2" numFmtId="0" xfId="0" applyAlignment="1" applyFont="1">
      <alignment horizontal="center" shrinkToFit="0" textRotation="180" vertical="center" wrapText="1"/>
    </xf>
    <xf borderId="0" fillId="0" fontId="4" numFmtId="0" xfId="0" applyAlignment="1" applyFont="1">
      <alignment horizontal="center" readingOrder="0" shrinkToFit="0" wrapText="1"/>
    </xf>
    <xf borderId="0" fillId="5" fontId="11" numFmtId="0" xfId="0" applyAlignment="1" applyFont="1">
      <alignment horizontal="center" shrinkToFit="0" vertical="center" wrapText="1"/>
    </xf>
    <xf borderId="0" fillId="6" fontId="11" numFmtId="0" xfId="0" applyAlignment="1" applyFont="1">
      <alignment horizontal="center" readingOrder="0" shrinkToFit="0" vertical="center" wrapText="1"/>
    </xf>
    <xf borderId="0" fillId="3" fontId="5" numFmtId="0" xfId="0" applyAlignment="1" applyFont="1">
      <alignment horizontal="center" readingOrder="0" shrinkToFit="0" vertical="center" wrapText="1"/>
    </xf>
    <xf borderId="0" fillId="0" fontId="4" numFmtId="0" xfId="0" applyAlignment="1" applyFont="1">
      <alignment horizontal="center" shrinkToFit="0" wrapText="1"/>
    </xf>
    <xf borderId="0" fillId="0" fontId="6" numFmtId="0" xfId="0" applyAlignment="1" applyFont="1">
      <alignment horizontal="center" readingOrder="0" vertical="center"/>
    </xf>
    <xf borderId="4" fillId="0" fontId="6" numFmtId="0" xfId="0" applyAlignment="1" applyBorder="1" applyFont="1">
      <alignment horizontal="center" readingOrder="0" vertical="center"/>
    </xf>
    <xf borderId="12" fillId="0" fontId="12" numFmtId="0" xfId="0" applyAlignment="1" applyBorder="1" applyFont="1">
      <alignment horizontal="center" readingOrder="0" textRotation="0" vertical="center"/>
    </xf>
    <xf borderId="1" fillId="0" fontId="6" numFmtId="0" xfId="0" applyAlignment="1" applyBorder="1" applyFont="1">
      <alignment horizontal="center" vertical="center"/>
    </xf>
    <xf borderId="2" fillId="0" fontId="6" numFmtId="0" xfId="0" applyAlignment="1" applyBorder="1" applyFont="1">
      <alignment horizontal="center" readingOrder="0" vertical="center"/>
    </xf>
    <xf borderId="1" fillId="0" fontId="6" numFmtId="0" xfId="0" applyAlignment="1" applyBorder="1" applyFont="1">
      <alignment horizontal="center" readingOrder="0" shrinkToFit="0" vertical="center" wrapText="1"/>
    </xf>
    <xf borderId="1" fillId="0" fontId="6" numFmtId="0" xfId="0" applyAlignment="1" applyBorder="1" applyFont="1">
      <alignment horizontal="center" readingOrder="0" vertical="center"/>
    </xf>
    <xf borderId="1" fillId="0" fontId="6" numFmtId="2" xfId="0" applyAlignment="1" applyBorder="1" applyFont="1" applyNumberFormat="1">
      <alignment horizontal="center" readingOrder="0" vertical="center"/>
    </xf>
    <xf borderId="7" fillId="0" fontId="4" numFmtId="0" xfId="0" applyAlignment="1" applyBorder="1" applyFont="1">
      <alignment horizontal="center" readingOrder="0" shrinkToFit="0" vertical="center" wrapText="1"/>
    </xf>
    <xf borderId="8" fillId="0" fontId="4" numFmtId="0" xfId="0" applyAlignment="1" applyBorder="1" applyFont="1">
      <alignment horizontal="center" vertical="center"/>
    </xf>
    <xf borderId="8" fillId="0" fontId="3" numFmtId="0" xfId="0" applyBorder="1" applyFont="1"/>
    <xf borderId="0" fillId="0" fontId="13" numFmtId="2" xfId="0" applyFont="1" applyNumberFormat="1"/>
    <xf borderId="7" fillId="0" fontId="3" numFmtId="0" xfId="0" applyBorder="1" applyFont="1"/>
    <xf borderId="11" fillId="0" fontId="3" numFmtId="0" xfId="0" applyBorder="1" applyFont="1"/>
    <xf borderId="7" fillId="0" fontId="4" numFmtId="0" xfId="0" applyAlignment="1" applyBorder="1" applyFont="1">
      <alignment horizontal="center" shrinkToFit="0" vertical="center" wrapText="1"/>
    </xf>
    <xf borderId="7" fillId="9" fontId="4" numFmtId="0" xfId="0" applyAlignment="1" applyBorder="1" applyFont="1">
      <alignment horizontal="center" readingOrder="0" vertical="center"/>
    </xf>
    <xf borderId="0" fillId="9" fontId="4" numFmtId="2" xfId="0" applyAlignment="1" applyFont="1" applyNumberFormat="1">
      <alignment horizontal="center" vertical="center"/>
    </xf>
    <xf borderId="8" fillId="9" fontId="4" numFmtId="0" xfId="0" applyAlignment="1" applyBorder="1" applyFont="1">
      <alignment horizontal="center" vertical="center"/>
    </xf>
    <xf borderId="7" fillId="0" fontId="6" numFmtId="0" xfId="0" applyAlignment="1" applyBorder="1" applyFont="1">
      <alignment horizontal="center" vertical="center"/>
    </xf>
    <xf borderId="8" fillId="0" fontId="4" numFmtId="0" xfId="0" applyBorder="1" applyFont="1"/>
    <xf borderId="7" fillId="0" fontId="6" numFmtId="0" xfId="0" applyAlignment="1" applyBorder="1" applyFont="1">
      <alignment horizontal="center" readingOrder="0" vertical="center"/>
    </xf>
    <xf borderId="2" fillId="0" fontId="6" numFmtId="2" xfId="0" applyAlignment="1" applyBorder="1" applyFont="1" applyNumberFormat="1">
      <alignment horizontal="center" readingOrder="0" vertical="center"/>
    </xf>
    <xf borderId="3" fillId="0" fontId="6" numFmtId="0" xfId="0" applyAlignment="1" applyBorder="1" applyFont="1">
      <alignment horizontal="center" readingOrder="0" vertical="center"/>
    </xf>
    <xf borderId="7" fillId="0" fontId="4" numFmtId="0" xfId="0" applyAlignment="1" applyBorder="1" applyFont="1">
      <alignment horizontal="center"/>
    </xf>
    <xf borderId="7" fillId="2" fontId="4" numFmtId="0" xfId="0" applyAlignment="1" applyBorder="1" applyFont="1">
      <alignment horizontal="center" readingOrder="0" vertical="center"/>
    </xf>
    <xf borderId="0" fillId="2" fontId="4" numFmtId="2" xfId="0" applyAlignment="1" applyFont="1" applyNumberFormat="1">
      <alignment horizontal="center" vertical="center"/>
    </xf>
    <xf borderId="8" fillId="2" fontId="4" numFmtId="0" xfId="0" applyAlignment="1" applyBorder="1" applyFont="1">
      <alignment horizontal="center" vertical="center"/>
    </xf>
    <xf borderId="0" fillId="2" fontId="10" numFmtId="0" xfId="0" applyAlignment="1" applyFont="1">
      <alignment horizontal="center" vertical="center"/>
    </xf>
    <xf borderId="7" fillId="0" fontId="4" numFmtId="2" xfId="0" applyAlignment="1" applyBorder="1" applyFont="1" applyNumberFormat="1">
      <alignment horizontal="center" vertical="center"/>
    </xf>
    <xf borderId="7" fillId="0" fontId="4" numFmtId="0" xfId="0" applyAlignment="1" applyBorder="1" applyFont="1">
      <alignment horizontal="center" vertical="center"/>
    </xf>
    <xf borderId="8" fillId="0" fontId="4" numFmtId="0" xfId="0" applyAlignment="1" applyBorder="1" applyFont="1">
      <alignment horizontal="center" readingOrder="0" vertical="center"/>
    </xf>
    <xf borderId="10" fillId="0" fontId="4" numFmtId="1" xfId="0" applyAlignment="1" applyBorder="1" applyFont="1" applyNumberFormat="1">
      <alignment horizontal="center" readingOrder="0" vertical="center"/>
    </xf>
    <xf borderId="11" fillId="0" fontId="4" numFmtId="0" xfId="0" applyAlignment="1" applyBorder="1" applyFont="1">
      <alignment horizontal="center" readingOrder="0" vertical="center"/>
    </xf>
    <xf borderId="9" fillId="0" fontId="4" numFmtId="0" xfId="0" applyAlignment="1" applyBorder="1" applyFont="1">
      <alignment horizontal="center"/>
    </xf>
    <xf borderId="9" fillId="9" fontId="4" numFmtId="0" xfId="0" applyAlignment="1" applyBorder="1" applyFont="1">
      <alignment horizontal="center" readingOrder="0" vertical="center"/>
    </xf>
    <xf borderId="11" fillId="9" fontId="4" numFmtId="0" xfId="0" applyAlignment="1" applyBorder="1" applyFont="1">
      <alignment horizontal="center" vertical="center"/>
    </xf>
    <xf borderId="0" fillId="0" fontId="6" numFmtId="0" xfId="0" applyAlignment="1" applyFont="1">
      <alignment horizontal="center" shrinkToFit="0" vertical="center" wrapText="1"/>
    </xf>
    <xf borderId="14" fillId="0" fontId="12" numFmtId="1" xfId="0" applyAlignment="1" applyBorder="1" applyFont="1" applyNumberFormat="1">
      <alignment horizontal="center" readingOrder="0" vertical="center"/>
    </xf>
    <xf borderId="1" fillId="0" fontId="6" numFmtId="0" xfId="0" applyAlignment="1" applyBorder="1" applyFont="1">
      <alignment horizontal="center" shrinkToFit="0" vertical="center" wrapText="1"/>
    </xf>
    <xf borderId="3" fillId="0" fontId="6" numFmtId="0" xfId="0" applyAlignment="1" applyBorder="1" applyFont="1">
      <alignment horizontal="center" shrinkToFit="0" vertical="center" wrapText="1"/>
    </xf>
    <xf borderId="3" fillId="0" fontId="6" numFmtId="2" xfId="0" applyAlignment="1" applyBorder="1" applyFont="1" applyNumberFormat="1">
      <alignment horizontal="center" readingOrder="0" vertical="center"/>
    </xf>
    <xf borderId="12" fillId="0" fontId="6" numFmtId="2" xfId="0" applyAlignment="1" applyBorder="1" applyFont="1" applyNumberFormat="1">
      <alignment horizontal="center" readingOrder="0" vertical="center"/>
    </xf>
    <xf borderId="8" fillId="0" fontId="4" numFmtId="0" xfId="0" applyAlignment="1" applyBorder="1" applyFont="1">
      <alignment horizontal="center" shrinkToFit="0" vertical="center" wrapText="1"/>
    </xf>
    <xf borderId="7" fillId="2" fontId="10" numFmtId="0" xfId="0" applyAlignment="1" applyBorder="1" applyFont="1">
      <alignment horizontal="center"/>
    </xf>
    <xf borderId="8" fillId="0" fontId="4" numFmtId="0" xfId="0" applyAlignment="1" applyBorder="1" applyFont="1">
      <alignment horizontal="center" readingOrder="0" shrinkToFit="0" vertical="center" wrapText="1"/>
    </xf>
    <xf borderId="10" fillId="0" fontId="4" numFmtId="0" xfId="0" applyAlignment="1" applyBorder="1" applyFont="1">
      <alignment horizontal="center" vertical="center"/>
    </xf>
    <xf borderId="7" fillId="0" fontId="4" numFmtId="0" xfId="0" applyAlignment="1" applyBorder="1" applyFont="1">
      <alignment horizontal="center" readingOrder="0" vertical="center"/>
    </xf>
    <xf borderId="0" fillId="0" fontId="4" numFmtId="2" xfId="0" applyAlignment="1" applyFont="1" applyNumberFormat="1">
      <alignment horizontal="center" shrinkToFit="0" vertical="center" wrapText="1"/>
    </xf>
    <xf borderId="7" fillId="0" fontId="4" numFmtId="0" xfId="0" applyAlignment="1" applyBorder="1" applyFont="1">
      <alignment horizontal="center" readingOrder="0" shrinkToFit="0" vertical="center" wrapText="1"/>
    </xf>
    <xf borderId="14" fillId="0" fontId="4" numFmtId="2" xfId="0" applyAlignment="1" applyBorder="1" applyFont="1" applyNumberFormat="1">
      <alignment horizontal="center"/>
    </xf>
    <xf borderId="0" fillId="0" fontId="4" numFmtId="0" xfId="0" applyAlignment="1" applyFont="1">
      <alignment readingOrder="0"/>
    </xf>
    <xf borderId="1" fillId="2" fontId="6" numFmtId="0" xfId="0" applyAlignment="1" applyBorder="1" applyFont="1">
      <alignment horizontal="center" readingOrder="0" vertical="center"/>
    </xf>
    <xf borderId="2" fillId="2" fontId="3" numFmtId="0" xfId="0" applyBorder="1" applyFont="1"/>
    <xf borderId="3" fillId="2" fontId="3" numFmtId="0" xfId="0" applyBorder="1" applyFont="1"/>
    <xf borderId="2" fillId="2" fontId="6" numFmtId="2" xfId="0" applyAlignment="1" applyBorder="1" applyFont="1" applyNumberFormat="1">
      <alignment horizontal="center" readingOrder="0" vertical="center"/>
    </xf>
    <xf borderId="1" fillId="2" fontId="6" numFmtId="2" xfId="0" applyAlignment="1" applyBorder="1" applyFont="1" applyNumberFormat="1">
      <alignment horizontal="center" readingOrder="0" vertical="center"/>
    </xf>
    <xf borderId="7" fillId="9" fontId="4" numFmtId="0" xfId="0" applyAlignment="1" applyBorder="1" applyFont="1">
      <alignment horizontal="center" vertical="center"/>
    </xf>
    <xf borderId="7" fillId="2" fontId="4" numFmtId="0" xfId="0" applyAlignment="1" applyBorder="1" applyFont="1">
      <alignment horizontal="center" vertical="center"/>
    </xf>
    <xf borderId="9" fillId="0" fontId="4" numFmtId="0" xfId="0" applyAlignment="1" applyBorder="1" applyFont="1">
      <alignment horizontal="center" readingOrder="0" shrinkToFit="0" vertical="center" wrapText="1"/>
    </xf>
    <xf borderId="7" fillId="0" fontId="6" numFmtId="0" xfId="0" applyAlignment="1" applyBorder="1" applyFont="1">
      <alignment horizontal="center" shrinkToFit="0" vertical="center" wrapText="1"/>
    </xf>
    <xf borderId="7" fillId="0" fontId="4" numFmtId="0" xfId="0" applyAlignment="1" applyBorder="1" applyFont="1">
      <alignment horizontal="center" shrinkToFit="0" vertical="center" wrapText="1"/>
    </xf>
    <xf borderId="13" fillId="0" fontId="4" numFmtId="2" xfId="0" applyAlignment="1" applyBorder="1" applyFont="1" applyNumberFormat="1">
      <alignment horizontal="center"/>
    </xf>
    <xf borderId="9" fillId="0" fontId="4" numFmtId="0" xfId="0" applyAlignment="1" applyBorder="1" applyFont="1">
      <alignment horizontal="center" vertical="center"/>
    </xf>
    <xf borderId="7" fillId="0" fontId="14" numFmtId="0" xfId="0" applyAlignment="1" applyBorder="1" applyFont="1">
      <alignment horizontal="center" shrinkToFit="0" vertical="center" wrapText="1"/>
    </xf>
    <xf borderId="0" fillId="2" fontId="15" numFmtId="2" xfId="0" applyFont="1" applyNumberFormat="1"/>
    <xf borderId="9" fillId="0" fontId="16" numFmtId="0" xfId="0" applyAlignment="1" applyBorder="1" applyFont="1">
      <alignment horizontal="center" shrinkToFit="0" vertical="center" wrapText="1"/>
    </xf>
    <xf borderId="9" fillId="0" fontId="4" numFmtId="0" xfId="0" applyAlignment="1" applyBorder="1" applyFont="1">
      <alignment horizontal="center" shrinkToFit="0" vertical="center" wrapText="1"/>
    </xf>
    <xf borderId="11" fillId="0" fontId="4" numFmtId="0" xfId="0" applyAlignment="1" applyBorder="1" applyFont="1">
      <alignment horizontal="center" shrinkToFit="0" vertical="center" wrapText="1"/>
    </xf>
    <xf borderId="0" fillId="0" fontId="4" numFmtId="2" xfId="0" applyFont="1" applyNumberFormat="1"/>
    <xf borderId="0" fillId="0" fontId="12" numFmtId="1" xfId="0" applyAlignment="1" applyFont="1" applyNumberFormat="1">
      <alignment horizontal="center"/>
    </xf>
    <xf borderId="14" fillId="0" fontId="12" numFmtId="1" xfId="0" applyAlignment="1" applyBorder="1" applyFont="1" applyNumberFormat="1">
      <alignment horizontal="center" readingOrder="0" shrinkToFit="0" vertical="center" wrapText="1"/>
    </xf>
    <xf borderId="8" fillId="0" fontId="4" numFmtId="0" xfId="0" applyAlignment="1" applyBorder="1" applyFont="1">
      <alignment horizontal="center" vertical="center"/>
    </xf>
    <xf borderId="9" fillId="0" fontId="4" numFmtId="2" xfId="0" applyAlignment="1" applyBorder="1" applyFont="1" applyNumberFormat="1">
      <alignment horizontal="center" vertical="center"/>
    </xf>
    <xf borderId="11" fillId="0" fontId="4" numFmtId="0" xfId="0" applyAlignment="1" applyBorder="1" applyFont="1">
      <alignment horizontal="center" vertical="center"/>
    </xf>
    <xf borderId="0" fillId="2" fontId="4" numFmtId="0" xfId="0" applyAlignment="1" applyFont="1">
      <alignment horizontal="center" readingOrder="0" vertical="center"/>
    </xf>
    <xf borderId="0" fillId="2" fontId="4" numFmtId="0" xfId="0" applyAlignment="1" applyFont="1">
      <alignment horizontal="center" vertical="center"/>
    </xf>
    <xf borderId="0" fillId="9" fontId="4" numFmtId="0" xfId="0" applyAlignment="1" applyFont="1">
      <alignment horizontal="center" readingOrder="0" vertical="center"/>
    </xf>
    <xf borderId="0" fillId="9" fontId="4" numFmtId="0" xfId="0" applyAlignment="1" applyFont="1">
      <alignment horizontal="center" vertical="center"/>
    </xf>
    <xf borderId="9" fillId="2" fontId="4" numFmtId="0" xfId="0" applyAlignment="1" applyBorder="1" applyFont="1">
      <alignment horizontal="center" vertical="center"/>
    </xf>
    <xf borderId="10" fillId="2" fontId="3" numFmtId="0" xfId="0" applyBorder="1" applyFont="1"/>
    <xf borderId="9" fillId="2" fontId="4" numFmtId="0" xfId="0" applyAlignment="1" applyBorder="1" applyFont="1">
      <alignment horizontal="center" readingOrder="0" vertical="center"/>
    </xf>
    <xf borderId="10" fillId="2" fontId="4" numFmtId="2" xfId="0" applyAlignment="1" applyBorder="1" applyFont="1" applyNumberFormat="1">
      <alignment horizontal="center" vertical="center"/>
    </xf>
    <xf borderId="11" fillId="2" fontId="4" numFmtId="0" xfId="0" applyAlignment="1" applyBorder="1" applyFont="1">
      <alignment horizontal="center" vertical="center"/>
    </xf>
    <xf borderId="10" fillId="2" fontId="4" numFmtId="0" xfId="0" applyAlignment="1" applyBorder="1" applyFont="1">
      <alignment horizontal="center" readingOrder="0" vertical="center"/>
    </xf>
    <xf borderId="10" fillId="2" fontId="4" numFmtId="0" xfId="0" applyAlignment="1" applyBorder="1" applyFont="1">
      <alignment horizontal="center" vertical="center"/>
    </xf>
    <xf borderId="0" fillId="0" fontId="4" numFmtId="2" xfId="0" applyAlignment="1" applyFont="1" applyNumberFormat="1">
      <alignment horizontal="center" readingOrder="0" vertical="center"/>
    </xf>
    <xf borderId="12" fillId="0" fontId="17" numFmtId="1" xfId="0" applyAlignment="1" applyBorder="1" applyFont="1" applyNumberFormat="1">
      <alignment horizontal="center" vertical="center"/>
    </xf>
    <xf borderId="2" fillId="0" fontId="6" numFmtId="0" xfId="0" applyAlignment="1" applyBorder="1" applyFont="1">
      <alignment horizontal="center" vertical="center"/>
    </xf>
    <xf borderId="3" fillId="0" fontId="6" numFmtId="0" xfId="0" applyAlignment="1" applyBorder="1" applyFont="1">
      <alignment horizontal="center" vertical="center"/>
    </xf>
    <xf borderId="4" fillId="0" fontId="6" numFmtId="0" xfId="0" applyAlignment="1" applyBorder="1" applyFont="1">
      <alignment horizontal="center" vertical="center"/>
    </xf>
    <xf borderId="0" fillId="0" fontId="4" numFmtId="0" xfId="0" applyFont="1"/>
    <xf borderId="8" fillId="0" fontId="6" numFmtId="0" xfId="0" applyAlignment="1" applyBorder="1" applyFont="1">
      <alignment readingOrder="0"/>
    </xf>
    <xf borderId="8" fillId="0" fontId="6" numFmtId="0" xfId="0" applyAlignment="1" applyBorder="1" applyFont="1">
      <alignment horizontal="center" vertical="center"/>
    </xf>
    <xf borderId="8" fillId="0" fontId="6" numFmtId="0" xfId="0" applyAlignment="1" applyBorder="1" applyFont="1">
      <alignment horizontal="center" readingOrder="0" vertical="center"/>
    </xf>
    <xf borderId="9" fillId="2" fontId="10" numFmtId="0" xfId="0" applyAlignment="1" applyBorder="1" applyFont="1">
      <alignment horizontal="center" vertical="center"/>
    </xf>
    <xf borderId="11" fillId="0" fontId="4" numFmtId="0" xfId="0" applyAlignment="1" applyBorder="1" applyFont="1">
      <alignment horizontal="center" vertical="center"/>
    </xf>
    <xf borderId="10" fillId="0" fontId="4" numFmtId="0" xfId="0" applyAlignment="1" applyBorder="1" applyFont="1">
      <alignment horizontal="center" shrinkToFit="0" vertical="center" wrapText="1"/>
    </xf>
    <xf borderId="10" fillId="0" fontId="4" numFmtId="0" xfId="0" applyAlignment="1" applyBorder="1" applyFont="1">
      <alignment horizontal="center" readingOrder="0" shrinkToFit="0" vertical="center" wrapText="1"/>
    </xf>
    <xf borderId="1" fillId="0" fontId="18" numFmtId="0" xfId="0" applyAlignment="1" applyBorder="1" applyFont="1">
      <alignment horizontal="center" shrinkToFit="0" vertical="center" wrapText="1"/>
    </xf>
    <xf borderId="2" fillId="0" fontId="4" numFmtId="0" xfId="0" applyAlignment="1" applyBorder="1" applyFont="1">
      <alignment horizontal="center" shrinkToFit="0" vertical="center" wrapText="1"/>
    </xf>
    <xf borderId="1" fillId="0" fontId="4" numFmtId="0" xfId="0" applyAlignment="1" applyBorder="1" applyFont="1">
      <alignment horizontal="center" shrinkToFit="0" vertical="center" wrapText="1"/>
    </xf>
    <xf borderId="10" fillId="0" fontId="19" numFmtId="0" xfId="0" applyAlignment="1" applyBorder="1" applyFont="1">
      <alignment horizontal="center" shrinkToFit="0" vertical="center" wrapText="1"/>
    </xf>
    <xf borderId="12" fillId="0" fontId="6" numFmtId="0" xfId="0" applyAlignment="1" applyBorder="1" applyFont="1">
      <alignment horizontal="center" readingOrder="0" shrinkToFit="0" vertical="center" wrapText="1"/>
    </xf>
    <xf borderId="8" fillId="0" fontId="4" numFmtId="2" xfId="0" applyAlignment="1" applyBorder="1" applyFont="1" applyNumberFormat="1">
      <alignment horizontal="center" vertical="center"/>
    </xf>
    <xf borderId="10" fillId="0" fontId="4" numFmtId="2" xfId="0" applyAlignment="1" applyBorder="1" applyFont="1" applyNumberFormat="1">
      <alignment horizontal="center" vertical="center"/>
    </xf>
    <xf borderId="0" fillId="0" fontId="6" numFmtId="2" xfId="0" applyAlignment="1" applyFont="1" applyNumberFormat="1">
      <alignment horizontal="center" readingOrder="0" vertical="center"/>
    </xf>
    <xf borderId="16" fillId="0" fontId="2" numFmtId="2" xfId="0" applyAlignment="1" applyBorder="1" applyFont="1" applyNumberFormat="1">
      <alignment horizontal="center" readingOrder="0" shrinkToFit="0" textRotation="180" vertical="center" wrapText="1"/>
    </xf>
    <xf borderId="15" fillId="0" fontId="20" numFmtId="0" xfId="0" applyAlignment="1" applyBorder="1" applyFont="1">
      <alignment horizontal="center" readingOrder="0" shrinkToFit="0" vertical="center" wrapText="1"/>
    </xf>
    <xf borderId="16" fillId="0" fontId="2" numFmtId="0" xfId="0" applyAlignment="1" applyBorder="1" applyFont="1">
      <alignment horizontal="center" shrinkToFit="0" vertical="center" wrapText="1"/>
    </xf>
    <xf borderId="16" fillId="0" fontId="2" numFmtId="0" xfId="0" applyAlignment="1" applyBorder="1" applyFont="1">
      <alignment horizontal="center" readingOrder="0" shrinkToFit="0" vertical="center" wrapText="1"/>
    </xf>
    <xf borderId="17" fillId="0" fontId="2" numFmtId="0" xfId="0" applyAlignment="1" applyBorder="1" applyFont="1">
      <alignment horizontal="center" shrinkToFit="0" vertical="center" wrapText="1"/>
    </xf>
    <xf borderId="18" fillId="0" fontId="2" numFmtId="2" xfId="0" applyAlignment="1" applyBorder="1" applyFont="1" applyNumberFormat="1">
      <alignment horizontal="center" readingOrder="0" shrinkToFit="0" textRotation="180" vertical="center" wrapText="1"/>
    </xf>
    <xf borderId="17" fillId="0" fontId="2" numFmtId="49" xfId="0" applyAlignment="1" applyBorder="1" applyFont="1" applyNumberFormat="1">
      <alignment horizontal="center" shrinkToFit="0" vertical="center" wrapText="1"/>
    </xf>
    <xf borderId="17" fillId="0" fontId="2" numFmtId="0" xfId="0" applyAlignment="1" applyBorder="1" applyFont="1">
      <alignment horizontal="center" readingOrder="0" shrinkToFit="0" vertical="center" wrapText="1"/>
    </xf>
    <xf borderId="19" fillId="0" fontId="2" numFmtId="2" xfId="0" applyAlignment="1" applyBorder="1" applyFont="1" applyNumberFormat="1">
      <alignment horizontal="center" readingOrder="0" shrinkToFit="0" textRotation="180" vertical="center" wrapText="1"/>
    </xf>
    <xf borderId="19" fillId="0" fontId="2" numFmtId="0" xfId="0" applyAlignment="1" applyBorder="1" applyFont="1">
      <alignment horizontal="center" readingOrder="0" shrinkToFit="0" vertical="center" wrapText="1"/>
    </xf>
    <xf borderId="19" fillId="0" fontId="2" numFmtId="2" xfId="0" applyAlignment="1" applyBorder="1" applyFont="1" applyNumberFormat="1">
      <alignment horizontal="center" readingOrder="0" shrinkToFit="0" textRotation="180" vertical="center" wrapText="1"/>
    </xf>
    <xf borderId="19" fillId="0" fontId="2" numFmtId="1" xfId="0" applyAlignment="1" applyBorder="1" applyFont="1" applyNumberFormat="1">
      <alignment horizontal="center" readingOrder="0" shrinkToFit="0" textRotation="180" vertical="center" wrapText="1"/>
    </xf>
    <xf borderId="6" fillId="0" fontId="2" numFmtId="2" xfId="0" applyAlignment="1" applyBorder="1" applyFont="1" applyNumberFormat="1">
      <alignment horizontal="center" shrinkToFit="0" vertical="center" wrapText="1"/>
    </xf>
    <xf borderId="0" fillId="0" fontId="6" numFmtId="0" xfId="0" applyAlignment="1" applyFont="1">
      <alignment horizontal="center" readingOrder="0" shrinkToFit="0" vertical="center" wrapText="1"/>
    </xf>
    <xf borderId="20" fillId="0" fontId="7" numFmtId="0" xfId="0" applyAlignment="1" applyBorder="1" applyFont="1">
      <alignment horizontal="center" shrinkToFit="0" vertical="center" wrapText="1"/>
    </xf>
    <xf borderId="21" fillId="0" fontId="7" numFmtId="0" xfId="0" applyAlignment="1" applyBorder="1" applyFont="1">
      <alignment horizontal="center" readingOrder="0" shrinkToFit="0" vertical="center" wrapText="1"/>
    </xf>
    <xf borderId="14" fillId="0" fontId="7" numFmtId="2" xfId="0" applyAlignment="1" applyBorder="1" applyFont="1" applyNumberFormat="1">
      <alignment horizontal="center" readingOrder="0" shrinkToFit="0" vertical="center" wrapText="1"/>
    </xf>
    <xf borderId="21" fillId="0" fontId="7" numFmtId="0" xfId="0" applyAlignment="1" applyBorder="1" applyFont="1">
      <alignment horizontal="center" shrinkToFit="0" vertical="center" wrapText="1"/>
    </xf>
    <xf borderId="22" fillId="0" fontId="7" numFmtId="2" xfId="0" applyAlignment="1" applyBorder="1" applyFont="1" applyNumberFormat="1">
      <alignment horizontal="center" shrinkToFit="0" vertical="center" wrapText="1"/>
    </xf>
    <xf borderId="15" fillId="0" fontId="7" numFmtId="2" xfId="0" applyAlignment="1" applyBorder="1" applyFont="1" applyNumberFormat="1">
      <alignment horizontal="center" readingOrder="0" shrinkToFit="0" vertical="center" wrapText="1"/>
    </xf>
    <xf borderId="6" fillId="0" fontId="7" numFmtId="0" xfId="0" applyAlignment="1" applyBorder="1" applyFont="1">
      <alignment horizontal="center" readingOrder="0" shrinkToFit="0" vertical="center" wrapText="1"/>
    </xf>
    <xf borderId="15" fillId="0" fontId="21" numFmtId="2" xfId="0" applyAlignment="1" applyBorder="1" applyFont="1" applyNumberFormat="1">
      <alignment horizontal="center" readingOrder="0" shrinkToFit="0" vertical="center" wrapText="1"/>
    </xf>
    <xf borderId="15" fillId="0" fontId="7" numFmtId="2" xfId="0" applyAlignment="1" applyBorder="1" applyFont="1" applyNumberFormat="1">
      <alignment horizontal="center" shrinkToFit="0" vertical="center" wrapText="1"/>
    </xf>
    <xf borderId="15" fillId="0" fontId="21" numFmtId="0" xfId="0" applyAlignment="1" applyBorder="1" applyFont="1">
      <alignment horizontal="center" readingOrder="0" shrinkToFit="0" vertical="center" wrapText="1"/>
    </xf>
    <xf borderId="22" fillId="0" fontId="21" numFmtId="0" xfId="0" applyAlignment="1" applyBorder="1" applyFont="1">
      <alignment horizontal="center" readingOrder="0" shrinkToFit="0" vertical="center" wrapText="1"/>
    </xf>
    <xf borderId="6" fillId="0" fontId="22" numFmtId="2" xfId="0" applyAlignment="1" applyBorder="1" applyFont="1" applyNumberFormat="1">
      <alignment horizontal="center" vertical="center"/>
    </xf>
    <xf borderId="0" fillId="0" fontId="7" numFmtId="0" xfId="0" applyAlignment="1" applyFont="1">
      <alignment horizontal="center" shrinkToFit="0" vertical="center" wrapText="1"/>
    </xf>
    <xf borderId="20" fillId="0" fontId="4" numFmtId="0" xfId="0" applyAlignment="1" applyBorder="1" applyFont="1">
      <alignment horizontal="center" readingOrder="0" vertical="center"/>
    </xf>
    <xf borderId="21" fillId="0" fontId="7" numFmtId="49" xfId="0" applyAlignment="1" applyBorder="1" applyFont="1" applyNumberFormat="1">
      <alignment horizontal="center" readingOrder="0" shrinkToFit="0" vertical="center" wrapText="1"/>
    </xf>
    <xf borderId="6" fillId="0" fontId="7" numFmtId="49" xfId="0" applyAlignment="1" applyBorder="1" applyFont="1" applyNumberFormat="1">
      <alignment horizontal="center" readingOrder="0" shrinkToFit="0" vertical="center" wrapText="1"/>
    </xf>
    <xf borderId="15" fillId="0" fontId="21" numFmtId="2" xfId="0" applyAlignment="1" applyBorder="1" applyFont="1" applyNumberFormat="1">
      <alignment horizontal="center" readingOrder="0" shrinkToFit="0" vertical="center" wrapText="1"/>
    </xf>
    <xf borderId="0" fillId="2" fontId="7" numFmtId="0" xfId="0" applyAlignment="1" applyFont="1">
      <alignment horizontal="center" shrinkToFit="0" vertical="center" wrapText="1"/>
    </xf>
    <xf quotePrefix="1" borderId="21" fillId="0" fontId="7" numFmtId="49" xfId="0" applyAlignment="1" applyBorder="1" applyFont="1" applyNumberFormat="1">
      <alignment horizontal="center" readingOrder="0" shrinkToFit="0" vertical="center" wrapText="1"/>
    </xf>
    <xf quotePrefix="1" borderId="21" fillId="0" fontId="7" numFmtId="0" xfId="0" applyAlignment="1" applyBorder="1" applyFont="1">
      <alignment horizontal="center" readingOrder="0" shrinkToFit="0" vertical="center" wrapText="1"/>
    </xf>
    <xf borderId="21" fillId="0" fontId="7" numFmtId="49" xfId="0" applyAlignment="1" applyBorder="1" applyFont="1" applyNumberFormat="1">
      <alignment horizontal="center" shrinkToFit="0" vertical="center" wrapText="1"/>
    </xf>
    <xf quotePrefix="1" borderId="21" fillId="0" fontId="7" numFmtId="0" xfId="0" applyAlignment="1" applyBorder="1" applyFont="1">
      <alignment horizontal="center" shrinkToFit="0" vertical="center" wrapText="1"/>
    </xf>
    <xf borderId="21" fillId="0" fontId="4" numFmtId="164" xfId="0" applyAlignment="1" applyBorder="1" applyFont="1" applyNumberFormat="1">
      <alignment horizontal="center" readingOrder="0" shrinkToFit="0" vertical="center" wrapText="1"/>
    </xf>
    <xf borderId="23" fillId="0" fontId="7" numFmtId="0" xfId="0" applyAlignment="1" applyBorder="1" applyFont="1">
      <alignment horizontal="center" shrinkToFit="0" vertical="center" wrapText="1"/>
    </xf>
    <xf borderId="24" fillId="0" fontId="7" numFmtId="0" xfId="0" applyAlignment="1" applyBorder="1" applyFont="1">
      <alignment horizontal="center" shrinkToFit="0" vertical="center" wrapText="1"/>
    </xf>
    <xf borderId="25" fillId="0" fontId="7" numFmtId="2" xfId="0" applyAlignment="1" applyBorder="1" applyFont="1" applyNumberFormat="1">
      <alignment horizontal="center" shrinkToFit="0" vertical="center" wrapText="1"/>
    </xf>
    <xf borderId="26" fillId="0" fontId="21" numFmtId="2" xfId="0" applyAlignment="1" applyBorder="1" applyFont="1" applyNumberFormat="1">
      <alignment horizontal="center" readingOrder="0" shrinkToFit="0" vertical="center" wrapText="1"/>
    </xf>
    <xf borderId="26" fillId="0" fontId="7" numFmtId="2" xfId="0" applyAlignment="1" applyBorder="1" applyFont="1" applyNumberFormat="1">
      <alignment horizontal="center" shrinkToFit="0" vertical="center" wrapText="1"/>
    </xf>
    <xf borderId="26" fillId="0" fontId="21" numFmtId="0" xfId="0" applyAlignment="1" applyBorder="1" applyFont="1">
      <alignment horizontal="center" readingOrder="0" shrinkToFit="0" vertical="center" wrapText="1"/>
    </xf>
    <xf borderId="25" fillId="0" fontId="21" numFmtId="0" xfId="0" applyAlignment="1" applyBorder="1" applyFont="1">
      <alignment horizontal="center" readingOrder="0" shrinkToFit="0" vertical="center" wrapText="1"/>
    </xf>
    <xf borderId="0" fillId="0" fontId="7" numFmtId="0" xfId="0" applyAlignment="1" applyFont="1">
      <alignment horizontal="center" readingOrder="0" shrinkToFit="0" vertical="center" wrapText="1"/>
    </xf>
    <xf borderId="0" fillId="0" fontId="7" numFmtId="2" xfId="0" applyAlignment="1" applyFont="1" applyNumberFormat="1">
      <alignment horizontal="center" shrinkToFit="0" vertical="center" wrapText="1"/>
    </xf>
    <xf borderId="0" fillId="0" fontId="21" numFmtId="2" xfId="0" applyAlignment="1" applyFont="1" applyNumberFormat="1">
      <alignment horizontal="center" readingOrder="0" shrinkToFit="0" vertical="center" wrapText="1"/>
    </xf>
    <xf borderId="0" fillId="0" fontId="21" numFmtId="0" xfId="0" applyAlignment="1" applyFont="1">
      <alignment horizontal="center" readingOrder="0" shrinkToFit="0" vertical="center" wrapText="1"/>
    </xf>
    <xf borderId="0" fillId="0" fontId="7" numFmtId="1" xfId="0" applyAlignment="1" applyFont="1" applyNumberFormat="1">
      <alignment horizontal="center" shrinkToFit="0" vertical="center" wrapText="1"/>
    </xf>
    <xf borderId="0" fillId="0" fontId="22" numFmtId="2" xfId="0" applyAlignment="1" applyFont="1" applyNumberFormat="1">
      <alignment horizontal="center" vertical="center"/>
    </xf>
    <xf borderId="15" fillId="0" fontId="2" numFmtId="2" xfId="0" applyAlignment="1" applyBorder="1" applyFont="1" applyNumberFormat="1">
      <alignment horizontal="center" readingOrder="0" shrinkToFit="0" textRotation="180" vertical="center" wrapText="1"/>
    </xf>
    <xf borderId="15" fillId="0" fontId="2" numFmtId="0" xfId="0" applyAlignment="1" applyBorder="1" applyFont="1">
      <alignment horizontal="center" shrinkToFit="0" vertical="center" wrapText="1"/>
    </xf>
    <xf borderId="15" fillId="0" fontId="2" numFmtId="49" xfId="0" applyAlignment="1" applyBorder="1" applyFont="1" applyNumberFormat="1">
      <alignment horizontal="center" shrinkToFit="0" vertical="center" wrapText="1"/>
    </xf>
    <xf borderId="0" fillId="0" fontId="20" numFmtId="0" xfId="0" applyAlignment="1" applyFont="1">
      <alignment horizontal="center" shrinkToFit="0" vertical="center" wrapText="1"/>
    </xf>
    <xf quotePrefix="1" borderId="15" fillId="0" fontId="7" numFmtId="49" xfId="0" applyAlignment="1" applyBorder="1" applyFont="1" applyNumberFormat="1">
      <alignment horizontal="center" readingOrder="0" shrinkToFit="0" vertical="center" wrapText="1"/>
    </xf>
    <xf borderId="15" fillId="0" fontId="7" numFmtId="49" xfId="0" applyAlignment="1" applyBorder="1" applyFont="1" applyNumberFormat="1">
      <alignment horizontal="center" shrinkToFit="0" vertical="center" wrapText="1"/>
    </xf>
    <xf borderId="15" fillId="0" fontId="4" numFmtId="164" xfId="0" applyAlignment="1" applyBorder="1" applyFont="1" applyNumberFormat="1">
      <alignment horizontal="center" shrinkToFit="0" vertical="center" wrapText="1"/>
    </xf>
    <xf borderId="15" fillId="0" fontId="7" numFmtId="49" xfId="0" applyAlignment="1" applyBorder="1" applyFont="1" applyNumberFormat="1">
      <alignment horizontal="center" readingOrder="0" shrinkToFit="0" vertical="center" wrapText="1"/>
    </xf>
    <xf borderId="15" fillId="0" fontId="4" numFmtId="164" xfId="0" applyAlignment="1" applyBorder="1" applyFont="1" applyNumberFormat="1">
      <alignment horizontal="center" readingOrder="0" shrinkToFit="0" vertical="center" wrapText="1"/>
    </xf>
    <xf borderId="0" fillId="0" fontId="4" numFmtId="164" xfId="0" applyAlignment="1" applyFont="1" applyNumberFormat="1">
      <alignment horizontal="center" shrinkToFit="0" vertical="center" wrapText="1"/>
    </xf>
    <xf borderId="0" fillId="0" fontId="4" numFmtId="164" xfId="0" applyAlignment="1" applyFont="1" applyNumberFormat="1">
      <alignment horizontal="center" readingOrder="0" shrinkToFit="0" vertical="center" wrapText="1"/>
    </xf>
    <xf borderId="0" fillId="10" fontId="23" numFmtId="0" xfId="0" applyAlignment="1" applyFill="1" applyFont="1">
      <alignment horizontal="center" vertical="center"/>
    </xf>
    <xf borderId="0" fillId="10" fontId="24" numFmtId="0" xfId="0" applyAlignment="1" applyFont="1">
      <alignment horizontal="center" shrinkToFit="0" vertical="center" wrapText="0"/>
    </xf>
    <xf borderId="0" fillId="0" fontId="7" numFmtId="0" xfId="0" applyAlignment="1" applyFont="1">
      <alignment horizontal="center" shrinkToFit="0" textRotation="180" vertical="center" wrapText="0"/>
    </xf>
    <xf borderId="0" fillId="10" fontId="23" numFmtId="0" xfId="0" applyAlignment="1" applyFont="1">
      <alignment horizontal="center" shrinkToFit="0" vertical="center" wrapText="1"/>
    </xf>
    <xf borderId="0" fillId="10" fontId="23" numFmtId="2" xfId="0" applyAlignment="1" applyFont="1" applyNumberFormat="1">
      <alignment horizontal="center" vertical="center"/>
    </xf>
    <xf borderId="27" fillId="0" fontId="4" numFmtId="0" xfId="0" applyAlignment="1" applyBorder="1" applyFont="1">
      <alignment horizontal="center" vertical="center"/>
    </xf>
    <xf borderId="28" fillId="0" fontId="3" numFmtId="0" xfId="0" applyBorder="1" applyFont="1"/>
    <xf borderId="29" fillId="0" fontId="3" numFmtId="0" xfId="0" applyBorder="1" applyFont="1"/>
    <xf borderId="27" fillId="8" fontId="4" numFmtId="0" xfId="0" applyAlignment="1" applyBorder="1" applyFont="1">
      <alignment horizontal="center" vertical="center"/>
    </xf>
    <xf borderId="21" fillId="11" fontId="6" numFmtId="0" xfId="0" applyAlignment="1" applyBorder="1" applyFill="1" applyFont="1">
      <alignment horizontal="center" vertical="center"/>
    </xf>
    <xf borderId="15" fillId="4" fontId="6" numFmtId="0" xfId="0" applyAlignment="1" applyBorder="1" applyFont="1">
      <alignment horizontal="center" vertical="center"/>
    </xf>
    <xf borderId="15" fillId="6" fontId="6" numFmtId="0" xfId="0" applyAlignment="1" applyBorder="1" applyFont="1">
      <alignment horizontal="center" vertical="center"/>
    </xf>
    <xf borderId="15" fillId="5" fontId="6" numFmtId="0" xfId="0" applyAlignment="1" applyBorder="1" applyFont="1">
      <alignment horizontal="center" vertical="center"/>
    </xf>
    <xf borderId="22" fillId="7" fontId="6" numFmtId="0" xfId="0" applyAlignment="1" applyBorder="1" applyFont="1">
      <alignment horizontal="center" vertical="center"/>
    </xf>
    <xf borderId="22" fillId="3" fontId="6" numFmtId="0" xfId="0" applyAlignment="1" applyBorder="1" applyFont="1">
      <alignment horizontal="center" vertical="center"/>
    </xf>
    <xf borderId="21" fillId="0" fontId="6" numFmtId="0" xfId="0" applyAlignment="1" applyBorder="1" applyFont="1">
      <alignment horizontal="center" vertical="center"/>
    </xf>
    <xf borderId="15" fillId="0" fontId="6" numFmtId="0" xfId="0" applyAlignment="1" applyBorder="1" applyFont="1">
      <alignment horizontal="center" vertical="center"/>
    </xf>
    <xf borderId="22" fillId="0" fontId="6" numFmtId="0" xfId="0" applyAlignment="1" applyBorder="1" applyFont="1">
      <alignment horizontal="center" vertical="center"/>
    </xf>
    <xf borderId="0" fillId="0" fontId="25" numFmtId="0" xfId="0" applyAlignment="1" applyFont="1">
      <alignment horizontal="center" readingOrder="0" vertical="center"/>
    </xf>
    <xf borderId="0" fillId="0" fontId="7" numFmtId="0" xfId="0" applyAlignment="1" applyFont="1">
      <alignment horizontal="center" shrinkToFit="0" vertical="center" wrapText="0"/>
    </xf>
    <xf borderId="0" fillId="12" fontId="26" numFmtId="0" xfId="0" applyAlignment="1" applyFill="1" applyFont="1">
      <alignment horizontal="center" shrinkToFit="0" vertical="center" wrapText="0"/>
    </xf>
    <xf borderId="0" fillId="13" fontId="26" numFmtId="0" xfId="0" applyAlignment="1" applyFill="1" applyFont="1">
      <alignment horizontal="center" shrinkToFit="0" vertical="center" wrapText="0"/>
    </xf>
    <xf borderId="0" fillId="14" fontId="26" numFmtId="0" xfId="0" applyAlignment="1" applyFill="1" applyFont="1">
      <alignment horizontal="center" shrinkToFit="0" vertical="center" wrapText="0"/>
    </xf>
    <xf borderId="0" fillId="0" fontId="7" numFmtId="0" xfId="0" applyAlignment="1" applyFont="1">
      <alignment horizontal="center" readingOrder="0" shrinkToFit="0" vertical="center" wrapText="0"/>
    </xf>
    <xf borderId="0" fillId="15" fontId="26" numFmtId="0" xfId="0" applyAlignment="1" applyFill="1" applyFont="1">
      <alignment horizontal="center" shrinkToFit="0" vertical="center" wrapText="0"/>
    </xf>
    <xf borderId="0" fillId="16" fontId="26" numFmtId="0" xfId="0" applyAlignment="1" applyFill="1" applyFont="1">
      <alignment horizontal="center" shrinkToFit="0" vertical="center" wrapText="0"/>
    </xf>
    <xf borderId="0" fillId="0" fontId="21" numFmtId="0" xfId="0" applyAlignment="1" applyFont="1">
      <alignment horizontal="center" shrinkToFit="0" vertical="center" wrapText="1"/>
    </xf>
    <xf borderId="0" fillId="0" fontId="21" numFmtId="0" xfId="0" applyAlignment="1" applyFont="1">
      <alignment horizontal="center" vertical="center"/>
    </xf>
    <xf borderId="21" fillId="11" fontId="4" numFmtId="0" xfId="0" applyAlignment="1" applyBorder="1" applyFont="1">
      <alignment horizontal="center" vertical="center"/>
    </xf>
    <xf borderId="15" fillId="4" fontId="4" numFmtId="0" xfId="0" applyAlignment="1" applyBorder="1" applyFont="1">
      <alignment horizontal="center" vertical="center"/>
    </xf>
    <xf borderId="15" fillId="6" fontId="4" numFmtId="0" xfId="0" applyAlignment="1" applyBorder="1" applyFont="1">
      <alignment horizontal="center" vertical="center"/>
    </xf>
    <xf borderId="15" fillId="5" fontId="4" numFmtId="0" xfId="0" applyAlignment="1" applyBorder="1" applyFont="1">
      <alignment horizontal="center" vertical="center"/>
    </xf>
    <xf borderId="22" fillId="7" fontId="4" numFmtId="0" xfId="0" applyAlignment="1" applyBorder="1" applyFont="1">
      <alignment horizontal="center" vertical="center"/>
    </xf>
    <xf borderId="15" fillId="0" fontId="4" numFmtId="0" xfId="0" applyAlignment="1" applyBorder="1" applyFont="1">
      <alignment horizontal="center" vertical="center"/>
    </xf>
    <xf borderId="0" fillId="0" fontId="22" numFmtId="0" xfId="0" applyAlignment="1" applyFont="1">
      <alignment horizontal="center" vertical="center"/>
    </xf>
    <xf borderId="0" fillId="17" fontId="26" numFmtId="0" xfId="0" applyAlignment="1" applyFill="1" applyFont="1">
      <alignment horizontal="center" shrinkToFit="0" vertical="center" wrapText="0"/>
    </xf>
    <xf borderId="0" fillId="18" fontId="26" numFmtId="0" xfId="0" applyAlignment="1" applyFill="1" applyFont="1">
      <alignment horizontal="center" shrinkToFit="0" vertical="center" wrapText="0"/>
    </xf>
    <xf borderId="0" fillId="0" fontId="20" numFmtId="0" xfId="0" applyAlignment="1" applyFont="1">
      <alignment horizontal="center" readingOrder="0" shrinkToFit="0" vertical="center" wrapText="0"/>
    </xf>
    <xf borderId="0" fillId="0" fontId="25" numFmtId="0" xfId="0" applyAlignment="1" applyFont="1">
      <alignment horizontal="center" vertical="center"/>
    </xf>
    <xf borderId="0" fillId="0" fontId="2" numFmtId="0" xfId="0" applyAlignment="1" applyFont="1">
      <alignment horizontal="center" shrinkToFit="0" vertical="center" wrapText="0"/>
    </xf>
    <xf borderId="24" fillId="11" fontId="4" numFmtId="0" xfId="0" applyAlignment="1" applyBorder="1" applyFont="1">
      <alignment horizontal="center" vertical="center"/>
    </xf>
    <xf borderId="26" fillId="4" fontId="4" numFmtId="0" xfId="0" applyAlignment="1" applyBorder="1" applyFont="1">
      <alignment horizontal="center" vertical="center"/>
    </xf>
    <xf borderId="26" fillId="6" fontId="4" numFmtId="0" xfId="0" applyAlignment="1" applyBorder="1" applyFont="1">
      <alignment horizontal="center" vertical="center"/>
    </xf>
    <xf borderId="26" fillId="5" fontId="4" numFmtId="0" xfId="0" applyAlignment="1" applyBorder="1" applyFont="1">
      <alignment horizontal="center" vertical="center"/>
    </xf>
    <xf borderId="25" fillId="7" fontId="4" numFmtId="0" xfId="0" applyAlignment="1" applyBorder="1" applyFont="1">
      <alignment horizontal="center" vertical="center"/>
    </xf>
    <xf borderId="26" fillId="0" fontId="4" numFmtId="0" xfId="0" applyAlignment="1" applyBorder="1" applyFont="1">
      <alignment horizontal="center" vertical="center"/>
    </xf>
    <xf borderId="2" fillId="0" fontId="6" numFmtId="0" xfId="0" applyAlignment="1" applyBorder="1" applyFont="1">
      <alignment horizontal="center" shrinkToFit="0" vertical="center" wrapText="1"/>
    </xf>
    <xf borderId="2" fillId="0" fontId="6" numFmtId="2" xfId="0" applyAlignment="1" applyBorder="1" applyFont="1" applyNumberFormat="1">
      <alignment horizontal="center" shrinkToFit="0" textRotation="180" vertical="center" wrapText="1"/>
    </xf>
    <xf borderId="9" fillId="8" fontId="5" numFmtId="0" xfId="0" applyAlignment="1" applyBorder="1" applyFont="1">
      <alignment horizontal="center" shrinkToFit="0" vertical="center" wrapText="1"/>
    </xf>
    <xf borderId="10" fillId="8" fontId="5" numFmtId="0" xfId="0" applyAlignment="1" applyBorder="1" applyFont="1">
      <alignment horizontal="center" shrinkToFit="0" vertical="center" wrapText="1"/>
    </xf>
    <xf borderId="11" fillId="8" fontId="5" numFmtId="0" xfId="0" applyAlignment="1" applyBorder="1" applyFont="1">
      <alignment horizontal="center" shrinkToFit="0" vertical="center" wrapText="1"/>
    </xf>
    <xf borderId="0" fillId="8" fontId="27" numFmtId="0" xfId="0" applyAlignment="1" applyFont="1">
      <alignment horizontal="left" shrinkToFit="0" vertical="center" wrapText="1"/>
    </xf>
    <xf borderId="7" fillId="19" fontId="5" numFmtId="0" xfId="0" applyAlignment="1" applyBorder="1" applyFill="1" applyFont="1">
      <alignment horizontal="center" shrinkToFit="0" vertical="center" wrapText="1"/>
    </xf>
    <xf borderId="0" fillId="19" fontId="5" numFmtId="0" xfId="0" applyAlignment="1" applyFont="1">
      <alignment horizontal="center" readingOrder="0" shrinkToFit="0" vertical="center" wrapText="1"/>
    </xf>
    <xf borderId="0" fillId="19" fontId="5" numFmtId="0" xfId="0" applyAlignment="1" applyFont="1">
      <alignment horizontal="center" shrinkToFit="0" vertical="center" wrapText="1"/>
    </xf>
    <xf borderId="8" fillId="19" fontId="5" numFmtId="0" xfId="0" applyAlignment="1" applyBorder="1" applyFont="1">
      <alignment horizontal="center" shrinkToFit="0" vertical="center" wrapText="1"/>
    </xf>
    <xf borderId="7" fillId="20" fontId="5" numFmtId="0" xfId="0" applyAlignment="1" applyBorder="1" applyFill="1" applyFont="1">
      <alignment horizontal="center" shrinkToFit="0" vertical="center" wrapText="1"/>
    </xf>
    <xf borderId="0" fillId="20" fontId="5" numFmtId="0" xfId="0" applyAlignment="1" applyFont="1">
      <alignment horizontal="center" readingOrder="0" shrinkToFit="0" vertical="center" wrapText="1"/>
    </xf>
    <xf borderId="0" fillId="20" fontId="5" numFmtId="0" xfId="0" applyAlignment="1" applyFont="1">
      <alignment horizontal="center" shrinkToFit="0" vertical="center" wrapText="1"/>
    </xf>
    <xf borderId="8" fillId="20" fontId="5" numFmtId="0" xfId="0" applyAlignment="1" applyBorder="1" applyFont="1">
      <alignment horizontal="center" shrinkToFit="0" vertical="center" wrapText="1"/>
    </xf>
    <xf borderId="9" fillId="20" fontId="5" numFmtId="0" xfId="0" applyAlignment="1" applyBorder="1" applyFont="1">
      <alignment horizontal="center" shrinkToFit="0" vertical="center" wrapText="1"/>
    </xf>
    <xf borderId="10" fillId="20" fontId="5" numFmtId="0" xfId="0" applyAlignment="1" applyBorder="1" applyFont="1">
      <alignment horizontal="center" readingOrder="0" shrinkToFit="0" vertical="center" wrapText="1"/>
    </xf>
    <xf borderId="10" fillId="20" fontId="5" numFmtId="0" xfId="0" applyAlignment="1" applyBorder="1" applyFont="1">
      <alignment horizontal="center" shrinkToFit="0" vertical="center" wrapText="1"/>
    </xf>
    <xf borderId="11" fillId="20" fontId="5" numFmtId="0" xfId="0" applyAlignment="1" applyBorder="1" applyFont="1">
      <alignment horizontal="center" shrinkToFit="0" vertical="center" wrapText="1"/>
    </xf>
    <xf borderId="0" fillId="0" fontId="4" numFmtId="0" xfId="0" applyAlignment="1" applyFont="1">
      <alignment horizontal="left" readingOrder="0" vertical="center"/>
    </xf>
    <xf borderId="0" fillId="0" fontId="4" numFmtId="0" xfId="0" applyAlignment="1" applyFont="1">
      <alignment horizontal="left" vertical="center"/>
    </xf>
    <xf borderId="0" fillId="0" fontId="4" numFmtId="1" xfId="0" applyAlignment="1" applyFont="1" applyNumberFormat="1">
      <alignment horizontal="center" textRotation="180" vertical="center"/>
    </xf>
    <xf borderId="0" fillId="0" fontId="4" numFmtId="0" xfId="0" applyAlignment="1" applyFont="1">
      <alignment horizontal="center" textRotation="180" vertical="center"/>
    </xf>
    <xf borderId="0" fillId="0" fontId="28" numFmtId="2" xfId="0" applyAlignment="1" applyFont="1" applyNumberFormat="1">
      <alignment horizontal="left" vertical="center"/>
    </xf>
    <xf borderId="0" fillId="0" fontId="4" numFmtId="1" xfId="0" applyAlignment="1" applyFont="1" applyNumberFormat="1">
      <alignment horizontal="center" vertical="center"/>
    </xf>
    <xf borderId="0" fillId="8" fontId="4" numFmtId="2" xfId="0" applyAlignment="1" applyFont="1" applyNumberFormat="1">
      <alignment horizontal="center" vertical="center"/>
    </xf>
    <xf quotePrefix="1" borderId="0" fillId="0" fontId="4" numFmtId="2" xfId="0" applyAlignment="1" applyFont="1" applyNumberFormat="1">
      <alignment horizontal="center" vertical="center"/>
    </xf>
    <xf borderId="0" fillId="0" fontId="4" numFmtId="1" xfId="0" applyFont="1" applyNumberFormat="1"/>
    <xf borderId="0" fillId="21" fontId="29" numFmtId="0" xfId="0" applyAlignment="1" applyFill="1" applyFont="1">
      <alignment horizontal="center" vertical="center"/>
    </xf>
    <xf borderId="12" fillId="21" fontId="29" numFmtId="0" xfId="0" applyAlignment="1" applyBorder="1" applyFont="1">
      <alignment horizontal="center" vertical="center"/>
    </xf>
    <xf borderId="12" fillId="21" fontId="30" numFmtId="0" xfId="0" applyAlignment="1" applyBorder="1" applyFont="1">
      <alignment horizontal="center" shrinkToFit="0" vertical="center" wrapText="1"/>
    </xf>
    <xf borderId="12" fillId="21" fontId="30" numFmtId="0" xfId="0" applyAlignment="1" applyBorder="1" applyFont="1">
      <alignment horizontal="center" shrinkToFit="0" textRotation="180" vertical="center" wrapText="1"/>
    </xf>
    <xf borderId="0" fillId="21" fontId="29" numFmtId="165" xfId="0" applyAlignment="1" applyFont="1" applyNumberFormat="1">
      <alignment horizontal="center" vertical="center"/>
    </xf>
    <xf borderId="28" fillId="0" fontId="4" numFmtId="0" xfId="0" applyAlignment="1" applyBorder="1" applyFont="1">
      <alignment horizontal="center" vertical="center"/>
    </xf>
    <xf borderId="6" fillId="0" fontId="6" numFmtId="0" xfId="0" applyAlignment="1" applyBorder="1" applyFont="1">
      <alignment horizontal="center" vertical="center"/>
    </xf>
    <xf borderId="0" fillId="22" fontId="31" numFmtId="0" xfId="0" applyAlignment="1" applyFill="1" applyFont="1">
      <alignment horizontal="center" vertical="center"/>
    </xf>
    <xf borderId="12" fillId="22" fontId="31" numFmtId="0" xfId="0" applyAlignment="1" applyBorder="1" applyFont="1">
      <alignment horizontal="center" vertical="center"/>
    </xf>
    <xf borderId="15" fillId="23" fontId="32" numFmtId="0" xfId="0" applyAlignment="1" applyBorder="1" applyFill="1" applyFont="1">
      <alignment horizontal="center" vertical="center"/>
    </xf>
    <xf borderId="15" fillId="23" fontId="32" numFmtId="0" xfId="0" applyAlignment="1" applyBorder="1" applyFont="1">
      <alignment horizontal="center" shrinkToFit="0" vertical="center" wrapText="1"/>
    </xf>
    <xf borderId="0" fillId="8" fontId="33" numFmtId="165" xfId="0" applyAlignment="1" applyFont="1" applyNumberFormat="1">
      <alignment horizontal="center" vertical="center"/>
    </xf>
    <xf borderId="0" fillId="24" fontId="4" numFmtId="0" xfId="0" applyAlignment="1" applyFill="1" applyFont="1">
      <alignment horizontal="center" vertical="center"/>
    </xf>
    <xf borderId="0" fillId="25" fontId="4" numFmtId="0" xfId="0" applyAlignment="1" applyFill="1" applyFont="1">
      <alignment horizontal="center" vertical="center"/>
    </xf>
    <xf borderId="0" fillId="0" fontId="34" numFmtId="0" xfId="0" applyAlignment="1" applyFont="1">
      <alignment horizontal="center" shrinkToFit="0" vertical="bottom" wrapText="0"/>
    </xf>
    <xf borderId="15" fillId="23" fontId="32" numFmtId="0" xfId="0" applyAlignment="1" applyBorder="1" applyFont="1">
      <alignment horizontal="center" readingOrder="0" shrinkToFit="0" vertical="center" wrapText="1"/>
    </xf>
    <xf borderId="0" fillId="0" fontId="4" numFmtId="0" xfId="0" applyAlignment="1" applyFont="1">
      <alignment horizontal="center"/>
    </xf>
    <xf borderId="0" fillId="26" fontId="31" numFmtId="0" xfId="0" applyAlignment="1" applyFill="1" applyFont="1">
      <alignment horizontal="center" vertical="center"/>
    </xf>
    <xf borderId="12" fillId="26" fontId="31" numFmtId="0" xfId="0" applyAlignment="1" applyBorder="1" applyFont="1">
      <alignment horizontal="center" vertical="center"/>
    </xf>
    <xf borderId="15" fillId="27" fontId="32" numFmtId="0" xfId="0" applyAlignment="1" applyBorder="1" applyFill="1" applyFont="1">
      <alignment horizontal="center" vertical="center"/>
    </xf>
    <xf borderId="15" fillId="27" fontId="5" numFmtId="0" xfId="0" applyAlignment="1" applyBorder="1" applyFont="1">
      <alignment horizontal="center" vertical="center"/>
    </xf>
    <xf borderId="15" fillId="27" fontId="32" numFmtId="0" xfId="0" applyAlignment="1" applyBorder="1" applyFont="1">
      <alignment horizontal="center" shrinkToFit="0" vertical="center" wrapText="1"/>
    </xf>
    <xf borderId="15" fillId="27" fontId="32" numFmtId="0" xfId="0" applyAlignment="1" applyBorder="1" applyFont="1">
      <alignment horizontal="center" readingOrder="0" shrinkToFit="0" vertical="center" wrapText="1"/>
    </xf>
    <xf borderId="12" fillId="28" fontId="31" numFmtId="0" xfId="0" applyAlignment="1" applyBorder="1" applyFill="1" applyFont="1">
      <alignment horizontal="center" vertical="center"/>
    </xf>
    <xf borderId="15" fillId="29" fontId="32" numFmtId="0" xfId="0" applyAlignment="1" applyBorder="1" applyFill="1" applyFont="1">
      <alignment horizontal="center" vertical="center"/>
    </xf>
    <xf borderId="15" fillId="29" fontId="5" numFmtId="0" xfId="0" applyAlignment="1" applyBorder="1" applyFont="1">
      <alignment horizontal="center" vertical="center"/>
    </xf>
    <xf borderId="15" fillId="29" fontId="32" numFmtId="0" xfId="0" applyAlignment="1" applyBorder="1" applyFont="1">
      <alignment horizontal="center" shrinkToFit="0" vertical="center" wrapText="1"/>
    </xf>
    <xf borderId="15" fillId="29" fontId="32" numFmtId="0" xfId="0" applyAlignment="1" applyBorder="1" applyFont="1">
      <alignment horizontal="center" readingOrder="0" shrinkToFit="0" vertical="center" wrapText="1"/>
    </xf>
    <xf borderId="12" fillId="30" fontId="31" numFmtId="0" xfId="0" applyAlignment="1" applyBorder="1" applyFill="1" applyFont="1">
      <alignment horizontal="center" vertical="center"/>
    </xf>
    <xf borderId="15" fillId="31" fontId="32" numFmtId="0" xfId="0" applyAlignment="1" applyBorder="1" applyFill="1" applyFont="1">
      <alignment horizontal="center" vertical="center"/>
    </xf>
    <xf borderId="15" fillId="31" fontId="5" numFmtId="0" xfId="0" applyAlignment="1" applyBorder="1" applyFont="1">
      <alignment horizontal="center" vertical="center"/>
    </xf>
    <xf borderId="15" fillId="31" fontId="32" numFmtId="0" xfId="0" applyAlignment="1" applyBorder="1" applyFont="1">
      <alignment horizontal="center" shrinkToFit="0" vertical="center" wrapText="1"/>
    </xf>
    <xf borderId="15" fillId="31" fontId="32" numFmtId="0" xfId="0" applyAlignment="1" applyBorder="1" applyFont="1">
      <alignment horizontal="center" readingOrder="0" shrinkToFit="0" vertical="center" wrapText="1"/>
    </xf>
    <xf borderId="12" fillId="7" fontId="31" numFmtId="0" xfId="0" applyAlignment="1" applyBorder="1" applyFont="1">
      <alignment horizontal="center" vertical="center"/>
    </xf>
    <xf borderId="15" fillId="7" fontId="32" numFmtId="0" xfId="0" applyAlignment="1" applyBorder="1" applyFont="1">
      <alignment horizontal="center" vertical="center"/>
    </xf>
    <xf borderId="15" fillId="7" fontId="32" numFmtId="0" xfId="0" applyAlignment="1" applyBorder="1" applyFont="1">
      <alignment horizontal="center" shrinkToFit="0" vertical="center" wrapText="1"/>
    </xf>
    <xf borderId="0" fillId="7" fontId="35" numFmtId="0" xfId="0" applyAlignment="1" applyFont="1">
      <alignment horizontal="center" shrinkToFit="0" vertical="bottom" wrapText="0"/>
    </xf>
    <xf borderId="0" fillId="7" fontId="33" numFmtId="165" xfId="0" applyAlignment="1" applyFont="1" applyNumberFormat="1">
      <alignment horizontal="center" vertical="center"/>
    </xf>
    <xf borderId="30" fillId="0" fontId="2" numFmtId="0" xfId="0" applyAlignment="1" applyBorder="1" applyFont="1">
      <alignment horizontal="center" shrinkToFit="0" vertical="center" wrapText="1"/>
    </xf>
    <xf borderId="31" fillId="0" fontId="2" numFmtId="0" xfId="0" applyAlignment="1" applyBorder="1" applyFont="1">
      <alignment horizontal="center" shrinkToFit="0" textRotation="180" vertical="center" wrapText="1"/>
    </xf>
    <xf borderId="31" fillId="0" fontId="2" numFmtId="0" xfId="0" applyAlignment="1" applyBorder="1" applyFont="1">
      <alignment horizontal="center" shrinkToFit="0" vertical="center" wrapText="1"/>
    </xf>
    <xf borderId="31" fillId="0" fontId="2" numFmtId="2" xfId="0" applyAlignment="1" applyBorder="1" applyFont="1" applyNumberFormat="1">
      <alignment horizontal="center" shrinkToFit="0" textRotation="180" vertical="center" wrapText="1"/>
    </xf>
    <xf borderId="31" fillId="0" fontId="2" numFmtId="2" xfId="0" applyAlignment="1" applyBorder="1" applyFont="1" applyNumberFormat="1">
      <alignment horizontal="center" shrinkToFit="0" textRotation="180" vertical="center" wrapText="1"/>
    </xf>
    <xf borderId="0" fillId="0" fontId="5" numFmtId="1" xfId="0" applyAlignment="1" applyFont="1" applyNumberFormat="1">
      <alignment horizontal="center" shrinkToFit="0" vertical="center" wrapText="1"/>
    </xf>
    <xf borderId="30" fillId="0" fontId="2" numFmtId="0" xfId="0" applyAlignment="1" applyBorder="1" applyFont="1">
      <alignment horizontal="center" shrinkToFit="0" textRotation="180" vertical="center" wrapText="1"/>
    </xf>
    <xf borderId="30" fillId="0" fontId="2" numFmtId="2" xfId="0" applyAlignment="1" applyBorder="1" applyFont="1" applyNumberFormat="1">
      <alignment horizontal="center" shrinkToFit="0" textRotation="180" vertical="center" wrapText="1"/>
    </xf>
    <xf borderId="30" fillId="0" fontId="2" numFmtId="2" xfId="0" applyAlignment="1" applyBorder="1" applyFont="1" applyNumberFormat="1">
      <alignment horizontal="center" readingOrder="0" shrinkToFit="0" textRotation="180" vertical="center" wrapText="1"/>
    </xf>
    <xf borderId="30" fillId="0" fontId="2" numFmtId="0" xfId="0" applyAlignment="1" applyBorder="1" applyFont="1">
      <alignment horizontal="center" readingOrder="0" shrinkToFit="0" vertical="center" wrapText="1"/>
    </xf>
    <xf borderId="30" fillId="0" fontId="2" numFmtId="2" xfId="0" applyAlignment="1" applyBorder="1" applyFont="1" applyNumberFormat="1">
      <alignment horizontal="center" readingOrder="0" shrinkToFit="0" textRotation="180" vertical="center" wrapText="1"/>
    </xf>
    <xf borderId="0" fillId="0" fontId="2" numFmtId="0" xfId="0" applyAlignment="1" applyFont="1">
      <alignment horizontal="center" readingOrder="0" shrinkToFit="0" vertical="center" wrapText="1"/>
    </xf>
    <xf borderId="0" fillId="0" fontId="2" numFmtId="2" xfId="0" applyAlignment="1" applyFont="1" applyNumberFormat="1">
      <alignment horizontal="center" readingOrder="0" shrinkToFit="0" textRotation="180" vertical="center" wrapText="1"/>
    </xf>
    <xf borderId="0" fillId="0" fontId="2" numFmtId="2" xfId="0" applyAlignment="1" applyFont="1" applyNumberFormat="1">
      <alignment horizontal="center" readingOrder="0" shrinkToFit="0" textRotation="180" vertical="center" wrapText="1"/>
    </xf>
    <xf borderId="0" fillId="0" fontId="2" numFmtId="1" xfId="0" applyAlignment="1" applyFont="1" applyNumberFormat="1">
      <alignment horizontal="center" readingOrder="0" shrinkToFit="0" textRotation="180" vertical="center" wrapText="1"/>
    </xf>
    <xf borderId="32" fillId="0" fontId="2" numFmtId="0" xfId="0" applyAlignment="1" applyBorder="1" applyFont="1">
      <alignment horizontal="center" shrinkToFit="0" textRotation="180" vertical="center" wrapText="1"/>
    </xf>
    <xf borderId="32" fillId="0" fontId="2" numFmtId="0" xfId="0" applyAlignment="1" applyBorder="1" applyFont="1">
      <alignment horizontal="center" readingOrder="0" shrinkToFit="0" textRotation="180" vertical="center" wrapText="1"/>
    </xf>
    <xf borderId="33" fillId="0" fontId="2" numFmtId="0" xfId="0" applyAlignment="1" applyBorder="1" applyFont="1">
      <alignment horizontal="center" shrinkToFit="0" textRotation="180" vertical="center" wrapText="1"/>
    </xf>
    <xf borderId="34" fillId="0" fontId="2" numFmtId="0" xfId="0" applyAlignment="1" applyBorder="1" applyFont="1">
      <alignment horizontal="center" readingOrder="0" shrinkToFit="0" vertical="center" wrapText="1"/>
    </xf>
    <xf borderId="35" fillId="0" fontId="5" numFmtId="0" xfId="0" applyAlignment="1" applyBorder="1" applyFont="1">
      <alignment horizontal="center" shrinkToFit="0" vertical="center" wrapText="1"/>
    </xf>
    <xf borderId="35" fillId="0" fontId="7" numFmtId="0" xfId="0" applyAlignment="1" applyBorder="1" applyFont="1">
      <alignment horizontal="center" shrinkToFit="0" vertical="center" wrapText="1"/>
    </xf>
    <xf borderId="0" fillId="0" fontId="7" numFmtId="2" xfId="0" applyAlignment="1" applyFont="1" applyNumberFormat="1">
      <alignment horizontal="center" readingOrder="0" shrinkToFit="0" vertical="center" wrapText="1"/>
    </xf>
    <xf borderId="0" fillId="0" fontId="5" numFmtId="0" xfId="0" applyAlignment="1" applyFont="1">
      <alignment horizontal="center" shrinkToFit="0" vertical="center" wrapText="1"/>
    </xf>
    <xf borderId="0" fillId="0" fontId="7" numFmtId="0" xfId="0" applyAlignment="1" applyFont="1">
      <alignment horizontal="center" vertical="center"/>
    </xf>
    <xf borderId="0" fillId="0" fontId="4" numFmtId="2" xfId="0" applyAlignment="1" applyFont="1" applyNumberFormat="1">
      <alignment horizontal="center" vertical="center"/>
    </xf>
    <xf borderId="0" fillId="0" fontId="4" numFmtId="0" xfId="0" applyAlignment="1" applyFont="1">
      <alignment shrinkToFit="0" wrapText="0"/>
    </xf>
    <xf borderId="0" fillId="0" fontId="23" numFmtId="0" xfId="0" applyAlignment="1" applyFont="1">
      <alignment horizontal="center" shrinkToFit="0" vertical="center" wrapText="1"/>
    </xf>
    <xf borderId="0" fillId="0" fontId="23" numFmtId="2" xfId="0" applyAlignment="1" applyFont="1" applyNumberFormat="1">
      <alignment horizontal="center" shrinkToFit="0" vertical="center" wrapText="1"/>
    </xf>
    <xf borderId="0" fillId="0" fontId="23" numFmtId="2" xfId="0" applyAlignment="1" applyFont="1" applyNumberFormat="1">
      <alignment horizontal="center" readingOrder="0" vertical="center"/>
    </xf>
    <xf borderId="0" fillId="10" fontId="23" numFmtId="0" xfId="0" applyAlignment="1" applyFont="1">
      <alignment horizontal="center" readingOrder="0" shrinkToFit="0" vertical="center" wrapText="0"/>
    </xf>
    <xf borderId="7" fillId="0" fontId="7" numFmtId="0" xfId="0" applyAlignment="1" applyBorder="1" applyFont="1">
      <alignment horizontal="center" shrinkToFit="0" textRotation="180" vertical="center" wrapText="0"/>
    </xf>
    <xf borderId="8" fillId="0" fontId="7" numFmtId="0" xfId="0" applyAlignment="1" applyBorder="1" applyFont="1">
      <alignment horizontal="center" readingOrder="0" shrinkToFit="0" textRotation="180" vertical="center" wrapText="1"/>
    </xf>
    <xf borderId="2" fillId="0" fontId="7" numFmtId="0" xfId="0" applyAlignment="1" applyBorder="1" applyFont="1">
      <alignment horizontal="center" readingOrder="0" shrinkToFit="0" textRotation="180" vertical="center" wrapText="1"/>
    </xf>
    <xf borderId="8" fillId="0" fontId="7" numFmtId="0" xfId="0" applyAlignment="1" applyBorder="1" applyFont="1">
      <alignment horizontal="center" readingOrder="0" shrinkToFit="0" textRotation="180" vertical="center" wrapText="0"/>
    </xf>
    <xf borderId="12" fillId="0" fontId="7" numFmtId="0" xfId="0" applyAlignment="1" applyBorder="1" applyFont="1">
      <alignment horizontal="center" readingOrder="0" shrinkToFit="0" textRotation="180" vertical="center" wrapText="1"/>
    </xf>
    <xf borderId="0" fillId="0" fontId="7" numFmtId="0" xfId="0" applyAlignment="1" applyFont="1">
      <alignment horizontal="center" readingOrder="0" shrinkToFit="0" textRotation="180" vertical="center" wrapText="1"/>
    </xf>
    <xf borderId="1" fillId="0" fontId="7" numFmtId="0" xfId="0" applyAlignment="1" applyBorder="1" applyFont="1">
      <alignment horizontal="center" shrinkToFit="0" textRotation="180" vertical="center" wrapText="0"/>
    </xf>
    <xf borderId="2" fillId="0" fontId="7" numFmtId="0" xfId="0" applyAlignment="1" applyBorder="1" applyFont="1">
      <alignment horizontal="center" shrinkToFit="0" textRotation="180" vertical="center" wrapText="0"/>
    </xf>
    <xf borderId="3" fillId="0" fontId="7" numFmtId="0" xfId="0" applyAlignment="1" applyBorder="1" applyFont="1">
      <alignment horizontal="center" shrinkToFit="0" textRotation="180" vertical="center" wrapText="0"/>
    </xf>
    <xf borderId="15" fillId="0" fontId="2" numFmtId="1" xfId="0" applyAlignment="1" applyBorder="1" applyFont="1" applyNumberFormat="1">
      <alignment horizontal="center" readingOrder="0" shrinkToFit="0" textRotation="180" vertical="center" wrapText="1"/>
    </xf>
    <xf borderId="0" fillId="0" fontId="20" numFmtId="1" xfId="0" applyAlignment="1" applyFont="1" applyNumberFormat="1">
      <alignment horizontal="center" readingOrder="0" shrinkToFit="0" vertical="center" wrapText="1"/>
    </xf>
    <xf borderId="0" fillId="0" fontId="36" numFmtId="0" xfId="0" applyAlignment="1" applyFont="1">
      <alignment horizontal="center" readingOrder="0"/>
    </xf>
    <xf borderId="0" fillId="0" fontId="37" numFmtId="0" xfId="0" applyAlignment="1" applyFont="1">
      <alignment horizontal="center" readingOrder="0"/>
    </xf>
    <xf borderId="0" fillId="0" fontId="38" numFmtId="0" xfId="0" applyAlignment="1" applyFont="1">
      <alignment horizontal="center" readingOrder="0" shrinkToFit="0" wrapText="0"/>
    </xf>
    <xf borderId="0" fillId="0" fontId="37" numFmtId="0" xfId="0" applyAlignment="1" applyFont="1">
      <alignment horizontal="center" readingOrder="0" shrinkToFit="0" wrapText="0"/>
    </xf>
    <xf borderId="7" fillId="0" fontId="26" numFmtId="0" xfId="0" applyAlignment="1" applyBorder="1" applyFont="1">
      <alignment horizontal="center" readingOrder="0" shrinkToFit="0" vertical="center" wrapText="0"/>
    </xf>
    <xf borderId="0" fillId="0" fontId="26" numFmtId="0" xfId="0" applyAlignment="1" applyFont="1">
      <alignment horizontal="center" readingOrder="0" shrinkToFit="0" vertical="center" wrapText="0"/>
    </xf>
    <xf borderId="8" fillId="0" fontId="7" numFmtId="0" xfId="0" applyAlignment="1" applyBorder="1" applyFont="1">
      <alignment horizontal="center" readingOrder="0" shrinkToFit="0" vertical="center" wrapText="1"/>
    </xf>
    <xf borderId="8" fillId="0" fontId="26" numFmtId="0" xfId="0" applyAlignment="1" applyBorder="1" applyFont="1">
      <alignment horizontal="center" readingOrder="0" shrinkToFit="0" vertical="center" wrapText="0"/>
    </xf>
    <xf borderId="0" fillId="0" fontId="21" numFmtId="2" xfId="0" applyAlignment="1" applyFont="1" applyNumberFormat="1">
      <alignment horizontal="center" readingOrder="0" shrinkToFit="0" vertical="center" wrapText="1"/>
    </xf>
    <xf borderId="0" fillId="0" fontId="39" numFmtId="0" xfId="0" applyAlignment="1" applyFont="1">
      <alignment horizontal="center" readingOrder="0"/>
    </xf>
    <xf borderId="8" fillId="0" fontId="7" numFmtId="0" xfId="0" applyAlignment="1" applyBorder="1" applyFont="1">
      <alignment horizontal="center" readingOrder="0" shrinkToFit="0" vertical="center" wrapText="0"/>
    </xf>
    <xf borderId="9" fillId="0" fontId="26" numFmtId="0" xfId="0" applyAlignment="1" applyBorder="1" applyFont="1">
      <alignment horizontal="center" readingOrder="0" shrinkToFit="0" vertical="center" wrapText="0"/>
    </xf>
    <xf borderId="10" fillId="0" fontId="26" numFmtId="0" xfId="0" applyAlignment="1" applyBorder="1" applyFont="1">
      <alignment horizontal="center" readingOrder="0" shrinkToFit="0" vertical="center" wrapText="0"/>
    </xf>
    <xf borderId="11" fillId="0" fontId="7" numFmtId="0" xfId="0" applyAlignment="1" applyBorder="1" applyFont="1">
      <alignment horizontal="center" readingOrder="0" shrinkToFit="0" vertical="center" wrapText="1"/>
    </xf>
    <xf borderId="11" fillId="0" fontId="26" numFmtId="0" xfId="0" applyAlignment="1" applyBorder="1" applyFont="1">
      <alignment horizontal="center" readingOrder="0" shrinkToFit="0" vertical="center" wrapText="0"/>
    </xf>
    <xf borderId="0" fillId="0" fontId="7" numFmtId="0" xfId="0" applyAlignment="1" applyFont="1">
      <alignment horizontal="center" shrinkToFit="0" vertical="center" wrapText="0"/>
    </xf>
    <xf borderId="0" fillId="0" fontId="26" numFmtId="0" xfId="0" applyAlignment="1" applyFont="1">
      <alignment horizontal="center" shrinkToFit="0" vertical="center" wrapText="0"/>
    </xf>
    <xf borderId="0" fillId="0" fontId="21" numFmtId="2" xfId="0" applyAlignment="1" applyFont="1" applyNumberFormat="1">
      <alignment horizontal="center" shrinkToFit="0" vertical="center" wrapText="1"/>
    </xf>
    <xf borderId="15" fillId="0" fontId="6" numFmtId="0" xfId="0" applyAlignment="1" applyBorder="1" applyFont="1">
      <alignment horizontal="center" shrinkToFit="0" vertical="center" wrapText="1"/>
    </xf>
    <xf borderId="0" fillId="0" fontId="33" numFmtId="0" xfId="0" applyAlignment="1" applyFont="1">
      <alignment shrinkToFit="0" vertical="bottom" wrapText="1"/>
    </xf>
    <xf borderId="15" fillId="0" fontId="4" numFmtId="0" xfId="0" applyAlignment="1" applyBorder="1" applyFont="1">
      <alignment horizontal="center" readingOrder="0" shrinkToFit="0" vertical="center" wrapText="1"/>
    </xf>
    <xf borderId="15" fillId="0" fontId="4" numFmtId="0" xfId="0" applyAlignment="1" applyBorder="1" applyFont="1">
      <alignment horizontal="left" shrinkToFit="0" vertical="center" wrapText="1"/>
    </xf>
    <xf borderId="15" fillId="0" fontId="4" numFmtId="0" xfId="0" applyAlignment="1" applyBorder="1" applyFont="1">
      <alignment horizontal="left" readingOrder="0" shrinkToFit="0" vertical="center" wrapText="1"/>
    </xf>
    <xf borderId="0" fillId="0" fontId="33" numFmtId="0" xfId="0" applyAlignment="1" applyFont="1">
      <alignment readingOrder="0" shrinkToFit="0" vertical="bottom" wrapText="1"/>
    </xf>
    <xf borderId="0" fillId="2" fontId="40" numFmtId="0" xfId="0" applyAlignment="1" applyFont="1">
      <alignment readingOrder="0" shrinkToFit="0" wrapText="1"/>
    </xf>
    <xf borderId="12" fillId="0" fontId="4" numFmtId="0" xfId="0" applyAlignment="1" applyBorder="1" applyFont="1">
      <alignment horizontal="center" readingOrder="0" shrinkToFit="0" vertical="center" wrapText="1"/>
    </xf>
    <xf borderId="15" fillId="0" fontId="4" numFmtId="0" xfId="0" applyAlignment="1" applyBorder="1" applyFont="1">
      <alignment horizontal="left" readingOrder="0" shrinkToFit="0" vertical="center" wrapText="1"/>
    </xf>
    <xf borderId="15" fillId="0" fontId="4" numFmtId="0" xfId="0" applyAlignment="1" applyBorder="1" applyFont="1">
      <alignment horizontal="center" shrinkToFit="0" vertical="center" wrapText="1"/>
    </xf>
    <xf borderId="8" fillId="0" fontId="4" numFmtId="0" xfId="0" applyBorder="1" applyFont="1"/>
    <xf borderId="4" fillId="0" fontId="6" numFmtId="0" xfId="0" applyAlignment="1" applyBorder="1" applyFont="1">
      <alignment horizontal="center"/>
    </xf>
    <xf borderId="5" fillId="0" fontId="6" numFmtId="2" xfId="0" applyAlignment="1" applyBorder="1" applyFont="1" applyNumberFormat="1">
      <alignment horizontal="center"/>
    </xf>
    <xf borderId="6" fillId="0" fontId="6" numFmtId="0" xfId="0" applyAlignment="1" applyBorder="1" applyFont="1">
      <alignment horizontal="center"/>
    </xf>
    <xf borderId="7" fillId="0" fontId="4" numFmtId="0" xfId="0" applyBorder="1" applyFont="1"/>
    <xf borderId="0" fillId="2" fontId="10" numFmtId="0" xfId="0" applyFont="1"/>
    <xf borderId="9" fillId="0" fontId="4" numFmtId="0" xfId="0" applyBorder="1" applyFont="1"/>
    <xf borderId="10" fillId="0" fontId="4" numFmtId="2" xfId="0" applyBorder="1" applyFont="1" applyNumberFormat="1"/>
    <xf borderId="11" fillId="0" fontId="4" numFmtId="0" xfId="0" applyBorder="1" applyFont="1"/>
    <xf borderId="1" fillId="0" fontId="5" numFmtId="0" xfId="0" applyAlignment="1" applyBorder="1" applyFont="1">
      <alignment horizontal="center" shrinkToFit="0" vertical="center" wrapText="1"/>
    </xf>
    <xf borderId="2" fillId="0" fontId="5" numFmtId="0" xfId="0" applyAlignment="1" applyBorder="1" applyFont="1">
      <alignment horizontal="center" shrinkToFit="0" vertical="center" wrapText="1"/>
    </xf>
    <xf borderId="3" fillId="0" fontId="5" numFmtId="0" xfId="0" applyAlignment="1" applyBorder="1" applyFont="1">
      <alignment horizontal="center" shrinkToFit="0" vertical="center" wrapText="1"/>
    </xf>
    <xf borderId="0" fillId="0" fontId="6" numFmtId="0" xfId="0" applyAlignment="1" applyFont="1">
      <alignment horizontal="center" vertical="center"/>
    </xf>
    <xf borderId="0" fillId="0" fontId="2" numFmtId="0" xfId="0" applyAlignment="1" applyFont="1">
      <alignment horizontal="center" readingOrder="0" shrinkToFit="0" textRotation="180" vertical="center" wrapText="1"/>
    </xf>
    <xf borderId="7" fillId="0" fontId="2" numFmtId="0" xfId="0" applyAlignment="1" applyBorder="1" applyFont="1">
      <alignment horizontal="center" shrinkToFit="0" textRotation="180" vertical="center" wrapText="1"/>
    </xf>
    <xf borderId="8" fillId="0" fontId="2" numFmtId="0" xfId="0" applyAlignment="1" applyBorder="1" applyFont="1">
      <alignment horizontal="center" shrinkToFit="0" textRotation="180" vertical="center" wrapText="1"/>
    </xf>
    <xf borderId="0" fillId="2" fontId="41" numFmtId="0" xfId="0" applyAlignment="1" applyFont="1">
      <alignment horizontal="center" readingOrder="0" shrinkToFit="0" vertical="center" wrapText="1"/>
    </xf>
    <xf borderId="0" fillId="2" fontId="7" numFmtId="0" xfId="0" applyAlignment="1" applyFont="1">
      <alignment horizontal="center" readingOrder="0" shrinkToFit="0" vertical="center" wrapText="1"/>
    </xf>
    <xf borderId="7" fillId="0" fontId="4" numFmtId="0" xfId="0" applyBorder="1" applyFont="1"/>
    <xf borderId="8" fillId="0" fontId="4" numFmtId="0" xfId="0" applyAlignment="1" applyBorder="1" applyFont="1">
      <alignment readingOrder="0"/>
    </xf>
    <xf borderId="0" fillId="2" fontId="41" numFmtId="0" xfId="0" applyAlignment="1" applyFont="1">
      <alignment horizontal="center" readingOrder="0"/>
    </xf>
    <xf borderId="7" fillId="0" fontId="4" numFmtId="0" xfId="0" applyAlignment="1" applyBorder="1" applyFont="1">
      <alignment readingOrder="0"/>
    </xf>
    <xf borderId="10" fillId="2" fontId="7" numFmtId="0" xfId="0" applyAlignment="1" applyBorder="1" applyFont="1">
      <alignment horizontal="center" readingOrder="0" shrinkToFit="0" vertical="center" wrapText="1"/>
    </xf>
    <xf borderId="9" fillId="0" fontId="4" numFmtId="0" xfId="0" applyAlignment="1" applyBorder="1" applyFont="1">
      <alignment readingOrder="0"/>
    </xf>
    <xf borderId="10" fillId="0" fontId="4" numFmtId="0" xfId="0" applyAlignment="1" applyBorder="1" applyFont="1">
      <alignment readingOrder="0"/>
    </xf>
    <xf borderId="11" fillId="0" fontId="4" numFmtId="0" xfId="0" applyAlignment="1" applyBorder="1" applyFont="1">
      <alignment readingOrder="0"/>
    </xf>
    <xf borderId="15" fillId="0" fontId="6" numFmtId="0" xfId="0" applyAlignment="1" applyBorder="1" applyFont="1">
      <alignment horizontal="center" readingOrder="0" vertical="center"/>
    </xf>
    <xf borderId="5" fillId="5" fontId="6" numFmtId="0" xfId="0" applyAlignment="1" applyBorder="1" applyFont="1">
      <alignment horizontal="center" readingOrder="0" vertical="center"/>
    </xf>
    <xf borderId="10" fillId="25" fontId="6" numFmtId="0" xfId="0" applyAlignment="1" applyBorder="1" applyFont="1">
      <alignment horizontal="center" readingOrder="0" vertical="center"/>
    </xf>
    <xf borderId="6" fillId="7" fontId="6" numFmtId="0" xfId="0" applyAlignment="1" applyBorder="1" applyFont="1">
      <alignment horizontal="center" readingOrder="0"/>
    </xf>
    <xf borderId="14" fillId="0" fontId="4" numFmtId="0" xfId="0" applyAlignment="1" applyBorder="1" applyFont="1">
      <alignment horizontal="center" readingOrder="0" vertical="center"/>
    </xf>
    <xf borderId="0" fillId="25" fontId="4" numFmtId="0" xfId="0" applyAlignment="1" applyFont="1">
      <alignment horizontal="center" readingOrder="0" vertical="center"/>
    </xf>
    <xf borderId="8" fillId="0" fontId="4" numFmtId="0" xfId="0" applyAlignment="1" applyBorder="1" applyFont="1">
      <alignment horizontal="center"/>
    </xf>
    <xf borderId="0" fillId="0" fontId="4" numFmtId="0" xfId="0" applyAlignment="1" applyFont="1">
      <alignment horizontal="right"/>
    </xf>
    <xf borderId="8" fillId="7" fontId="4" numFmtId="0" xfId="0" applyAlignment="1" applyBorder="1" applyFont="1">
      <alignment horizontal="center" readingOrder="0"/>
    </xf>
    <xf borderId="10" fillId="5" fontId="4" numFmtId="0" xfId="0" applyAlignment="1" applyBorder="1" applyFont="1">
      <alignment horizontal="center" readingOrder="0" vertical="center"/>
    </xf>
    <xf borderId="11" fillId="7" fontId="4" numFmtId="0" xfId="0" applyAlignment="1" applyBorder="1" applyFont="1">
      <alignment horizontal="center" readingOrder="0"/>
    </xf>
    <xf borderId="2" fillId="0" fontId="4" numFmtId="0" xfId="0" applyAlignment="1" applyBorder="1" applyFont="1">
      <alignment horizontal="center" readingOrder="0"/>
    </xf>
    <xf borderId="0" fillId="25" fontId="6" numFmtId="0" xfId="0" applyAlignment="1" applyFont="1">
      <alignment horizontal="center" readingOrder="0" vertical="center"/>
    </xf>
    <xf borderId="3" fillId="0" fontId="4" numFmtId="0" xfId="0" applyAlignment="1" applyBorder="1" applyFont="1">
      <alignment horizontal="center" readingOrder="0"/>
    </xf>
    <xf borderId="13" fillId="0" fontId="4" numFmtId="0" xfId="0" applyAlignment="1" applyBorder="1" applyFont="1">
      <alignment horizontal="center" readingOrder="0" vertical="center"/>
    </xf>
    <xf borderId="11" fillId="7" fontId="4" numFmtId="0" xfId="0" applyAlignment="1" applyBorder="1" applyFont="1">
      <alignment horizontal="center" readingOrder="0" vertical="center"/>
    </xf>
    <xf borderId="0" fillId="0" fontId="5" numFmtId="0" xfId="0" applyAlignment="1" applyFont="1">
      <alignment horizontal="center"/>
    </xf>
    <xf borderId="36" fillId="10" fontId="42" numFmtId="0" xfId="0" applyAlignment="1" applyBorder="1" applyFont="1">
      <alignment horizontal="left" shrinkToFit="0" vertical="center" wrapText="1"/>
    </xf>
    <xf borderId="36" fillId="10" fontId="42" numFmtId="0" xfId="0" applyAlignment="1" applyBorder="1" applyFont="1">
      <alignment horizontal="left" vertical="center"/>
    </xf>
    <xf borderId="36" fillId="10" fontId="43" numFmtId="0" xfId="0" applyAlignment="1" applyBorder="1" applyFont="1">
      <alignment horizontal="center" vertical="center"/>
    </xf>
    <xf borderId="37" fillId="10" fontId="42" numFmtId="0" xfId="0" applyAlignment="1" applyBorder="1" applyFont="1">
      <alignment horizontal="left" shrinkToFit="0" vertical="center" wrapText="1"/>
    </xf>
    <xf borderId="36" fillId="0" fontId="44" numFmtId="0" xfId="0" applyAlignment="1" applyBorder="1" applyFont="1">
      <alignment shrinkToFit="0" vertical="center" wrapText="1"/>
    </xf>
    <xf borderId="36" fillId="0" fontId="1" numFmtId="0" xfId="0" applyAlignment="1" applyBorder="1" applyFont="1">
      <alignment horizontal="center" vertical="center"/>
    </xf>
    <xf borderId="36" fillId="0" fontId="45" numFmtId="0" xfId="0" applyAlignment="1" applyBorder="1" applyFont="1">
      <alignment horizontal="center" shrinkToFit="0" vertical="center" wrapText="1"/>
    </xf>
    <xf borderId="36" fillId="0" fontId="46" numFmtId="0" xfId="0" applyAlignment="1" applyBorder="1" applyFont="1">
      <alignment horizontal="center" vertical="center"/>
    </xf>
    <xf borderId="36" fillId="0" fontId="47" numFmtId="0" xfId="0" applyAlignment="1" applyBorder="1" applyFont="1">
      <alignment horizontal="center" readingOrder="0" vertical="center"/>
    </xf>
    <xf borderId="36" fillId="0" fontId="48" numFmtId="0" xfId="0" applyAlignment="1" applyBorder="1" applyFont="1">
      <alignment shrinkToFit="0" vertical="center" wrapText="1"/>
    </xf>
    <xf borderId="36" fillId="0" fontId="48" numFmtId="0" xfId="0" applyAlignment="1" applyBorder="1" applyFont="1">
      <alignment horizontal="center" shrinkToFit="0" vertical="center" wrapText="1"/>
    </xf>
    <xf borderId="36" fillId="0" fontId="49" numFmtId="0" xfId="0" applyAlignment="1" applyBorder="1" applyFont="1">
      <alignment horizontal="center" shrinkToFit="0" vertical="center" wrapText="1"/>
    </xf>
    <xf borderId="36" fillId="0" fontId="50" numFmtId="0" xfId="0" applyAlignment="1" applyBorder="1" applyFont="1">
      <alignment horizontal="center" shrinkToFit="0" vertical="center" wrapText="1"/>
    </xf>
    <xf borderId="0" fillId="0" fontId="50" numFmtId="0" xfId="0" applyAlignment="1" applyFont="1">
      <alignment horizontal="center" shrinkToFit="0" vertical="center" wrapText="1"/>
    </xf>
    <xf borderId="0" fillId="0" fontId="48" numFmtId="0" xfId="0" applyAlignment="1" applyFont="1">
      <alignment horizontal="center" shrinkToFit="0" vertical="center" wrapText="1"/>
    </xf>
    <xf borderId="36" fillId="0" fontId="51" numFmtId="0" xfId="0" applyAlignment="1" applyBorder="1" applyFont="1">
      <alignment horizontal="center" vertical="center"/>
    </xf>
    <xf borderId="36" fillId="0" fontId="48" numFmtId="0" xfId="0" applyAlignment="1" applyBorder="1" applyFont="1">
      <alignment readingOrder="0" shrinkToFit="0" vertical="center" wrapText="1"/>
    </xf>
    <xf borderId="0" fillId="0" fontId="44" numFmtId="0" xfId="0" applyAlignment="1" applyFont="1">
      <alignment shrinkToFit="0" vertical="center" wrapText="1"/>
    </xf>
    <xf borderId="0" fillId="0" fontId="1" numFmtId="0" xfId="0" applyAlignment="1" applyFont="1">
      <alignment horizontal="center" vertical="center"/>
    </xf>
    <xf borderId="0" fillId="0" fontId="46" numFmtId="0" xfId="0" applyAlignment="1" applyFont="1">
      <alignment horizontal="center" vertical="center"/>
    </xf>
    <xf borderId="0" fillId="0" fontId="48" numFmtId="0" xfId="0" applyAlignment="1" applyFont="1">
      <alignment shrinkToFit="0" vertical="center" wrapText="1"/>
    </xf>
    <xf borderId="0" fillId="0" fontId="45" numFmtId="0" xfId="0" applyAlignment="1" applyFont="1">
      <alignment horizontal="center" shrinkToFit="0" vertical="center" wrapText="1"/>
    </xf>
    <xf borderId="0" fillId="0" fontId="52" numFmtId="0" xfId="0" applyAlignment="1" applyFont="1">
      <alignment horizontal="center" shrinkToFit="0" vertical="center" wrapText="1"/>
    </xf>
  </cellXfs>
  <cellStyles count="1">
    <cellStyle xfId="0" name="Normal" builtinId="0"/>
  </cellStyles>
  <dxfs count="11">
    <dxf>
      <font/>
      <fill>
        <patternFill patternType="solid">
          <fgColor rgb="FFFFFFFF"/>
          <bgColor rgb="FFFFFFFF"/>
        </patternFill>
      </fill>
      <border/>
    </dxf>
    <dxf>
      <font/>
      <fill>
        <patternFill patternType="solid">
          <fgColor rgb="FFD9D9D9"/>
          <bgColor rgb="FFD9D9D9"/>
        </patternFill>
      </fill>
      <border/>
    </dxf>
    <dxf>
      <font/>
      <fill>
        <patternFill patternType="solid">
          <fgColor rgb="FFF4CCCC"/>
          <bgColor rgb="FFF4CCCC"/>
        </patternFill>
      </fill>
      <border/>
    </dxf>
    <dxf>
      <font/>
      <fill>
        <patternFill patternType="solid">
          <fgColor rgb="FFFFF2CC"/>
          <bgColor rgb="FFFFF2CC"/>
        </patternFill>
      </fill>
      <border/>
    </dxf>
    <dxf>
      <font/>
      <fill>
        <patternFill patternType="solid">
          <fgColor rgb="FFD9EAD3"/>
          <bgColor rgb="FFD9EAD3"/>
        </patternFill>
      </fill>
      <border/>
    </dxf>
    <dxf>
      <font/>
      <fill>
        <patternFill patternType="solid">
          <fgColor rgb="FFEAD1DC"/>
          <bgColor rgb="FFEAD1DC"/>
        </patternFill>
      </fill>
      <border/>
    </dxf>
    <dxf>
      <font/>
      <fill>
        <patternFill patternType="solid">
          <fgColor rgb="FFCFE2F3"/>
          <bgColor rgb="FFCFE2F3"/>
        </patternFill>
      </fill>
      <border/>
    </dxf>
    <dxf>
      <font>
        <color rgb="FFFFFFFF"/>
      </font>
      <fill>
        <patternFill patternType="solid">
          <fgColor rgb="FFFFFFFF"/>
          <bgColor rgb="FFFFFFFF"/>
        </patternFill>
      </fill>
      <border/>
    </dxf>
    <dxf>
      <font/>
      <fill>
        <patternFill patternType="solid">
          <fgColor rgb="FFB7E1CD"/>
          <bgColor rgb="FFB7E1CD"/>
        </patternFill>
      </fill>
      <border/>
    </dxf>
    <dxf>
      <font/>
      <fill>
        <patternFill patternType="solid">
          <fgColor rgb="FFFF0000"/>
          <bgColor rgb="FFFF0000"/>
        </patternFill>
      </fill>
      <border/>
    </dxf>
    <dxf>
      <font/>
      <fill>
        <patternFill patternType="none"/>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10" Type="http://schemas.openxmlformats.org/officeDocument/2006/relationships/image" Target="../media/image7.png"/><Relationship Id="rId9" Type="http://schemas.openxmlformats.org/officeDocument/2006/relationships/image" Target="../media/image8.png"/><Relationship Id="rId5" Type="http://schemas.openxmlformats.org/officeDocument/2006/relationships/image" Target="../media/image10.png"/><Relationship Id="rId6" Type="http://schemas.openxmlformats.org/officeDocument/2006/relationships/image" Target="../media/image6.png"/><Relationship Id="rId7" Type="http://schemas.openxmlformats.org/officeDocument/2006/relationships/image" Target="../media/image1.png"/><Relationship Id="rId8" Type="http://schemas.openxmlformats.org/officeDocument/2006/relationships/image" Target="../media/image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10" Type="http://schemas.openxmlformats.org/officeDocument/2006/relationships/image" Target="../media/image7.png"/><Relationship Id="rId9" Type="http://schemas.openxmlformats.org/officeDocument/2006/relationships/image" Target="../media/image8.png"/><Relationship Id="rId5" Type="http://schemas.openxmlformats.org/officeDocument/2006/relationships/image" Target="../media/image10.png"/><Relationship Id="rId6" Type="http://schemas.openxmlformats.org/officeDocument/2006/relationships/image" Target="../media/image6.png"/><Relationship Id="rId7" Type="http://schemas.openxmlformats.org/officeDocument/2006/relationships/image" Target="../media/image1.png"/><Relationship Id="rId8" Type="http://schemas.openxmlformats.org/officeDocument/2006/relationships/image" Target="../media/image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 Id="rId10" Type="http://schemas.openxmlformats.org/officeDocument/2006/relationships/image" Target="../media/image7.png"/><Relationship Id="rId9" Type="http://schemas.openxmlformats.org/officeDocument/2006/relationships/image" Target="../media/image8.png"/><Relationship Id="rId5" Type="http://schemas.openxmlformats.org/officeDocument/2006/relationships/image" Target="../media/image10.png"/><Relationship Id="rId6" Type="http://schemas.openxmlformats.org/officeDocument/2006/relationships/image" Target="../media/image6.png"/><Relationship Id="rId7" Type="http://schemas.openxmlformats.org/officeDocument/2006/relationships/image" Target="../media/image1.png"/><Relationship Id="rId8" Type="http://schemas.openxmlformats.org/officeDocument/2006/relationships/image" Target="../media/image9.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16.png"/></Relationships>
</file>

<file path=xl/drawings/_rels/drawing24.xml.rels><?xml version="1.0" encoding="UTF-8" standalone="yes"?><Relationships xmlns="http://schemas.openxmlformats.org/package/2006/relationships"><Relationship Id="rId11" Type="http://schemas.openxmlformats.org/officeDocument/2006/relationships/image" Target="../media/image23.png"/><Relationship Id="rId10" Type="http://schemas.openxmlformats.org/officeDocument/2006/relationships/image" Target="../media/image24.png"/><Relationship Id="rId13" Type="http://schemas.openxmlformats.org/officeDocument/2006/relationships/image" Target="../media/image26.png"/><Relationship Id="rId12" Type="http://schemas.openxmlformats.org/officeDocument/2006/relationships/image" Target="../media/image27.png"/><Relationship Id="rId1" Type="http://schemas.openxmlformats.org/officeDocument/2006/relationships/image" Target="../media/image14.png"/><Relationship Id="rId2" Type="http://schemas.openxmlformats.org/officeDocument/2006/relationships/image" Target="../media/image17.png"/><Relationship Id="rId3" Type="http://schemas.openxmlformats.org/officeDocument/2006/relationships/image" Target="../media/image13.png"/><Relationship Id="rId4" Type="http://schemas.openxmlformats.org/officeDocument/2006/relationships/image" Target="../media/image21.png"/><Relationship Id="rId9" Type="http://schemas.openxmlformats.org/officeDocument/2006/relationships/image" Target="../media/image20.png"/><Relationship Id="rId14" Type="http://schemas.openxmlformats.org/officeDocument/2006/relationships/image" Target="../media/image25.png"/><Relationship Id="rId5" Type="http://schemas.openxmlformats.org/officeDocument/2006/relationships/image" Target="../media/image12.png"/><Relationship Id="rId6" Type="http://schemas.openxmlformats.org/officeDocument/2006/relationships/image" Target="../media/image19.png"/><Relationship Id="rId7" Type="http://schemas.openxmlformats.org/officeDocument/2006/relationships/image" Target="../media/image15.png"/><Relationship Id="rId8"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25</xdr:col>
      <xdr:colOff>0</xdr:colOff>
      <xdr:row>0</xdr:row>
      <xdr:rowOff>0</xdr:rowOff>
    </xdr:from>
    <xdr:ext cx="190500" cy="1905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26</xdr:col>
      <xdr:colOff>0</xdr:colOff>
      <xdr:row>0</xdr:row>
      <xdr:rowOff>0</xdr:rowOff>
    </xdr:from>
    <xdr:ext cx="190500" cy="19050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27</xdr:col>
      <xdr:colOff>0</xdr:colOff>
      <xdr:row>0</xdr:row>
      <xdr:rowOff>0</xdr:rowOff>
    </xdr:from>
    <xdr:ext cx="190500" cy="190500"/>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28</xdr:col>
      <xdr:colOff>0</xdr:colOff>
      <xdr:row>0</xdr:row>
      <xdr:rowOff>0</xdr:rowOff>
    </xdr:from>
    <xdr:ext cx="171450" cy="190500"/>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29</xdr:col>
      <xdr:colOff>0</xdr:colOff>
      <xdr:row>0</xdr:row>
      <xdr:rowOff>0</xdr:rowOff>
    </xdr:from>
    <xdr:ext cx="171450" cy="190500"/>
    <xdr:pic>
      <xdr:nvPicPr>
        <xdr:cNvPr id="0" name="image10.png"/>
        <xdr:cNvPicPr preferRelativeResize="0"/>
      </xdr:nvPicPr>
      <xdr:blipFill>
        <a:blip cstate="print" r:embed="rId5"/>
        <a:stretch>
          <a:fillRect/>
        </a:stretch>
      </xdr:blipFill>
      <xdr:spPr>
        <a:prstGeom prst="rect">
          <a:avLst/>
        </a:prstGeom>
        <a:noFill/>
      </xdr:spPr>
    </xdr:pic>
    <xdr:clientData fLocksWithSheet="0"/>
  </xdr:oneCellAnchor>
  <xdr:oneCellAnchor>
    <xdr:from>
      <xdr:col>30</xdr:col>
      <xdr:colOff>0</xdr:colOff>
      <xdr:row>0</xdr:row>
      <xdr:rowOff>0</xdr:rowOff>
    </xdr:from>
    <xdr:ext cx="180975" cy="1905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0</xdr:colOff>
      <xdr:row>0</xdr:row>
      <xdr:rowOff>0</xdr:rowOff>
    </xdr:from>
    <xdr:ext cx="190500" cy="190500"/>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32</xdr:col>
      <xdr:colOff>0</xdr:colOff>
      <xdr:row>0</xdr:row>
      <xdr:rowOff>0</xdr:rowOff>
    </xdr:from>
    <xdr:ext cx="190500" cy="190500"/>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33</xdr:col>
      <xdr:colOff>0</xdr:colOff>
      <xdr:row>0</xdr:row>
      <xdr:rowOff>0</xdr:rowOff>
    </xdr:from>
    <xdr:ext cx="190500" cy="190500"/>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34</xdr:col>
      <xdr:colOff>0</xdr:colOff>
      <xdr:row>0</xdr:row>
      <xdr:rowOff>0</xdr:rowOff>
    </xdr:from>
    <xdr:ext cx="180975" cy="190500"/>
    <xdr:pic>
      <xdr:nvPicPr>
        <xdr:cNvPr id="0" name="image7.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66675</xdr:colOff>
      <xdr:row>11</xdr:row>
      <xdr:rowOff>57150</xdr:rowOff>
    </xdr:from>
    <xdr:ext cx="3171825" cy="3314700"/>
    <xdr:pic>
      <xdr:nvPicPr>
        <xdr:cNvPr id="0" name="image11.png" title="Изображение"/>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0</xdr:row>
      <xdr:rowOff>0</xdr:rowOff>
    </xdr:from>
    <xdr:ext cx="238125" cy="2381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0</xdr:row>
      <xdr:rowOff>0</xdr:rowOff>
    </xdr:from>
    <xdr:ext cx="238125" cy="2381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0</xdr:row>
      <xdr:rowOff>0</xdr:rowOff>
    </xdr:from>
    <xdr:ext cx="238125" cy="2381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0</xdr:row>
      <xdr:rowOff>0</xdr:rowOff>
    </xdr:from>
    <xdr:ext cx="238125" cy="257175"/>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0</xdr:row>
      <xdr:rowOff>0</xdr:rowOff>
    </xdr:from>
    <xdr:ext cx="238125" cy="247650"/>
    <xdr:pic>
      <xdr:nvPicPr>
        <xdr:cNvPr id="0" name="image10.png"/>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0</xdr:colOff>
      <xdr:row>0</xdr:row>
      <xdr:rowOff>0</xdr:rowOff>
    </xdr:from>
    <xdr:ext cx="238125" cy="238125"/>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0</xdr:colOff>
      <xdr:row>0</xdr:row>
      <xdr:rowOff>0</xdr:rowOff>
    </xdr:from>
    <xdr:ext cx="238125" cy="228600"/>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14</xdr:col>
      <xdr:colOff>0</xdr:colOff>
      <xdr:row>0</xdr:row>
      <xdr:rowOff>0</xdr:rowOff>
    </xdr:from>
    <xdr:ext cx="238125" cy="23812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0</xdr:colOff>
      <xdr:row>0</xdr:row>
      <xdr:rowOff>0</xdr:rowOff>
    </xdr:from>
    <xdr:ext cx="238125" cy="238125"/>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16</xdr:col>
      <xdr:colOff>0</xdr:colOff>
      <xdr:row>0</xdr:row>
      <xdr:rowOff>0</xdr:rowOff>
    </xdr:from>
    <xdr:ext cx="238125" cy="247650"/>
    <xdr:pic>
      <xdr:nvPicPr>
        <xdr:cNvPr id="0" name="image7.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0</xdr:row>
      <xdr:rowOff>0</xdr:rowOff>
    </xdr:from>
    <xdr:ext cx="238125" cy="2381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0</xdr:row>
      <xdr:rowOff>0</xdr:rowOff>
    </xdr:from>
    <xdr:ext cx="238125" cy="238125"/>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oneCellAnchor>
    <xdr:from>
      <xdr:col>16</xdr:col>
      <xdr:colOff>0</xdr:colOff>
      <xdr:row>0</xdr:row>
      <xdr:rowOff>0</xdr:rowOff>
    </xdr:from>
    <xdr:ext cx="238125" cy="2381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17</xdr:col>
      <xdr:colOff>0</xdr:colOff>
      <xdr:row>0</xdr:row>
      <xdr:rowOff>0</xdr:rowOff>
    </xdr:from>
    <xdr:ext cx="238125" cy="257175"/>
    <xdr:pic>
      <xdr:nvPicPr>
        <xdr:cNvPr id="0" name="image5.png"/>
        <xdr:cNvPicPr preferRelativeResize="0"/>
      </xdr:nvPicPr>
      <xdr:blipFill>
        <a:blip cstate="print" r:embed="rId4"/>
        <a:stretch>
          <a:fillRect/>
        </a:stretch>
      </xdr:blipFill>
      <xdr:spPr>
        <a:prstGeom prst="rect">
          <a:avLst/>
        </a:prstGeom>
        <a:noFill/>
      </xdr:spPr>
    </xdr:pic>
    <xdr:clientData fLocksWithSheet="0"/>
  </xdr:oneCellAnchor>
  <xdr:oneCellAnchor>
    <xdr:from>
      <xdr:col>18</xdr:col>
      <xdr:colOff>0</xdr:colOff>
      <xdr:row>0</xdr:row>
      <xdr:rowOff>0</xdr:rowOff>
    </xdr:from>
    <xdr:ext cx="238125" cy="247650"/>
    <xdr:pic>
      <xdr:nvPicPr>
        <xdr:cNvPr id="0" name="image10.png"/>
        <xdr:cNvPicPr preferRelativeResize="0"/>
      </xdr:nvPicPr>
      <xdr:blipFill>
        <a:blip cstate="print" r:embed="rId5"/>
        <a:stretch>
          <a:fillRect/>
        </a:stretch>
      </xdr:blipFill>
      <xdr:spPr>
        <a:prstGeom prst="rect">
          <a:avLst/>
        </a:prstGeom>
        <a:noFill/>
      </xdr:spPr>
    </xdr:pic>
    <xdr:clientData fLocksWithSheet="0"/>
  </xdr:oneCellAnchor>
  <xdr:oneCellAnchor>
    <xdr:from>
      <xdr:col>19</xdr:col>
      <xdr:colOff>0</xdr:colOff>
      <xdr:row>0</xdr:row>
      <xdr:rowOff>0</xdr:rowOff>
    </xdr:from>
    <xdr:ext cx="238125" cy="238125"/>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20</xdr:col>
      <xdr:colOff>0</xdr:colOff>
      <xdr:row>0</xdr:row>
      <xdr:rowOff>0</xdr:rowOff>
    </xdr:from>
    <xdr:ext cx="238125" cy="228600"/>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21</xdr:col>
      <xdr:colOff>0</xdr:colOff>
      <xdr:row>0</xdr:row>
      <xdr:rowOff>0</xdr:rowOff>
    </xdr:from>
    <xdr:ext cx="238125" cy="238125"/>
    <xdr:pic>
      <xdr:nvPicPr>
        <xdr:cNvPr id="0" name="image9.png"/>
        <xdr:cNvPicPr preferRelativeResize="0"/>
      </xdr:nvPicPr>
      <xdr:blipFill>
        <a:blip cstate="print" r:embed="rId8"/>
        <a:stretch>
          <a:fillRect/>
        </a:stretch>
      </xdr:blipFill>
      <xdr:spPr>
        <a:prstGeom prst="rect">
          <a:avLst/>
        </a:prstGeom>
        <a:noFill/>
      </xdr:spPr>
    </xdr:pic>
    <xdr:clientData fLocksWithSheet="0"/>
  </xdr:oneCellAnchor>
  <xdr:oneCellAnchor>
    <xdr:from>
      <xdr:col>22</xdr:col>
      <xdr:colOff>0</xdr:colOff>
      <xdr:row>0</xdr:row>
      <xdr:rowOff>0</xdr:rowOff>
    </xdr:from>
    <xdr:ext cx="238125" cy="238125"/>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23</xdr:col>
      <xdr:colOff>0</xdr:colOff>
      <xdr:row>0</xdr:row>
      <xdr:rowOff>0</xdr:rowOff>
    </xdr:from>
    <xdr:ext cx="238125" cy="247650"/>
    <xdr:pic>
      <xdr:nvPicPr>
        <xdr:cNvPr id="0" name="image7.png"/>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190500" cy="190500"/>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190500" cy="190500"/>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6</xdr:row>
      <xdr:rowOff>0</xdr:rowOff>
    </xdr:from>
    <xdr:ext cx="190500" cy="190500"/>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6</xdr:row>
      <xdr:rowOff>0</xdr:rowOff>
    </xdr:from>
    <xdr:ext cx="190500" cy="190500"/>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9</xdr:row>
      <xdr:rowOff>0</xdr:rowOff>
    </xdr:from>
    <xdr:ext cx="190500" cy="190500"/>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9</xdr:row>
      <xdr:rowOff>0</xdr:rowOff>
    </xdr:from>
    <xdr:ext cx="190500" cy="190500"/>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12</xdr:row>
      <xdr:rowOff>0</xdr:rowOff>
    </xdr:from>
    <xdr:ext cx="200025" cy="200025"/>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12</xdr:row>
      <xdr:rowOff>0</xdr:rowOff>
    </xdr:from>
    <xdr:ext cx="200025" cy="20002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15</xdr:row>
      <xdr:rowOff>0</xdr:rowOff>
    </xdr:from>
    <xdr:ext cx="190500" cy="190500"/>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15</xdr:row>
      <xdr:rowOff>0</xdr:rowOff>
    </xdr:from>
    <xdr:ext cx="190500" cy="190500"/>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133350</xdr:colOff>
      <xdr:row>18</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3" name="Shape 3"/>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 name="Shape 5"/>
            <xdr:cNvGrpSpPr/>
          </xdr:nvGrpSpPr>
          <xdr:grpSpPr>
            <a:xfrm>
              <a:off x="5188838" y="3603788"/>
              <a:ext cx="314325" cy="352425"/>
              <a:chOff x="532" y="134"/>
              <a:chExt cx="56" cy="64"/>
            </a:xfrm>
          </xdr:grpSpPr>
          <xdr:sp>
            <xdr:nvSpPr>
              <xdr:cNvPr id="6" name="Shape 6"/>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 name="Shape 7"/>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8" name="Shape 8"/>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9" name="Shape 9"/>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0" name="Shape 10"/>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1" name="Shape 11"/>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2" name="Shape 12"/>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3" name="Shape 1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4" name="Shape 1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5" name="Shape 1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6" name="Shape 16"/>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7" name="Shape 17"/>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8" name="Shape 1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9" name="Shape 19"/>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20" name="Shape 20"/>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19</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21" name="Shape 21"/>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2" name="Shape 22"/>
            <xdr:cNvGrpSpPr/>
          </xdr:nvGrpSpPr>
          <xdr:grpSpPr>
            <a:xfrm>
              <a:off x="5188838" y="3603788"/>
              <a:ext cx="314325" cy="352425"/>
              <a:chOff x="532" y="134"/>
              <a:chExt cx="56" cy="64"/>
            </a:xfrm>
          </xdr:grpSpPr>
          <xdr:sp>
            <xdr:nvSpPr>
              <xdr:cNvPr id="23" name="Shape 23"/>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4" name="Shape 24"/>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5" name="Shape 25"/>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26" name="Shape 26"/>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27" name="Shape 27"/>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28" name="Shape 28"/>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29" name="Shape 29"/>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30" name="Shape 3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31" name="Shape 3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32" name="Shape 3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33" name="Shape 33"/>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34" name="Shape 34"/>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35" name="Shape 3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36" name="Shape 36"/>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37" name="Shape 37"/>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26</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38" name="Shape 38"/>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 name="Shape 39"/>
            <xdr:cNvGrpSpPr/>
          </xdr:nvGrpSpPr>
          <xdr:grpSpPr>
            <a:xfrm>
              <a:off x="5188838" y="3603788"/>
              <a:ext cx="314325" cy="352425"/>
              <a:chOff x="532" y="134"/>
              <a:chExt cx="56" cy="64"/>
            </a:xfrm>
          </xdr:grpSpPr>
          <xdr:sp>
            <xdr:nvSpPr>
              <xdr:cNvPr id="40" name="Shape 40"/>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1" name="Shape 41"/>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2" name="Shape 42"/>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43" name="Shape 43"/>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44" name="Shape 44"/>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45" name="Shape 45"/>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46" name="Shape 46"/>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47" name="Shape 4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48" name="Shape 4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49" name="Shape 4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50" name="Shape 50"/>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51" name="Shape 51"/>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52" name="Shape 5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53" name="Shape 53"/>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54" name="Shape 54"/>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37</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55" name="Shape 55"/>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6" name="Shape 56"/>
            <xdr:cNvGrpSpPr/>
          </xdr:nvGrpSpPr>
          <xdr:grpSpPr>
            <a:xfrm>
              <a:off x="5188838" y="3603788"/>
              <a:ext cx="314325" cy="352425"/>
              <a:chOff x="532" y="134"/>
              <a:chExt cx="56" cy="64"/>
            </a:xfrm>
          </xdr:grpSpPr>
          <xdr:sp>
            <xdr:nvSpPr>
              <xdr:cNvPr id="57" name="Shape 57"/>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8" name="Shape 58"/>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9" name="Shape 59"/>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60" name="Shape 60"/>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61" name="Shape 61"/>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62" name="Shape 62"/>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63" name="Shape 63"/>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64" name="Shape 6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65" name="Shape 6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66" name="Shape 6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67" name="Shape 67"/>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68" name="Shape 68"/>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69" name="Shape 6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70" name="Shape 70"/>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71" name="Shape 71"/>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39</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72" name="Shape 72"/>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3" name="Shape 73"/>
            <xdr:cNvGrpSpPr/>
          </xdr:nvGrpSpPr>
          <xdr:grpSpPr>
            <a:xfrm>
              <a:off x="5188838" y="3603788"/>
              <a:ext cx="314325" cy="352425"/>
              <a:chOff x="532" y="134"/>
              <a:chExt cx="56" cy="64"/>
            </a:xfrm>
          </xdr:grpSpPr>
          <xdr:sp>
            <xdr:nvSpPr>
              <xdr:cNvPr id="74" name="Shape 74"/>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5" name="Shape 75"/>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6" name="Shape 76"/>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77" name="Shape 77"/>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78" name="Shape 78"/>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79" name="Shape 79"/>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80" name="Shape 80"/>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81" name="Shape 8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82" name="Shape 8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83" name="Shape 8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84" name="Shape 84"/>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85" name="Shape 85"/>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86" name="Shape 8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87" name="Shape 87"/>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88" name="Shape 88"/>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40</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89" name="Shape 89"/>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0" name="Shape 90"/>
            <xdr:cNvGrpSpPr/>
          </xdr:nvGrpSpPr>
          <xdr:grpSpPr>
            <a:xfrm>
              <a:off x="5188838" y="3603788"/>
              <a:ext cx="314325" cy="352425"/>
              <a:chOff x="532" y="134"/>
              <a:chExt cx="56" cy="64"/>
            </a:xfrm>
          </xdr:grpSpPr>
          <xdr:sp>
            <xdr:nvSpPr>
              <xdr:cNvPr id="91" name="Shape 91"/>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2" name="Shape 92"/>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3" name="Shape 93"/>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94" name="Shape 94"/>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95" name="Shape 95"/>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96" name="Shape 96"/>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97" name="Shape 97"/>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98" name="Shape 9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99" name="Shape 9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00" name="Shape 10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01" name="Shape 101"/>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02" name="Shape 102"/>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03" name="Shape 10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04" name="Shape 104"/>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05" name="Shape 105"/>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42</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06" name="Shape 106"/>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7" name="Shape 107"/>
            <xdr:cNvGrpSpPr/>
          </xdr:nvGrpSpPr>
          <xdr:grpSpPr>
            <a:xfrm>
              <a:off x="5188838" y="3603788"/>
              <a:ext cx="314325" cy="352425"/>
              <a:chOff x="532" y="134"/>
              <a:chExt cx="56" cy="64"/>
            </a:xfrm>
          </xdr:grpSpPr>
          <xdr:sp>
            <xdr:nvSpPr>
              <xdr:cNvPr id="108" name="Shape 108"/>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9" name="Shape 109"/>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10" name="Shape 110"/>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11" name="Shape 111"/>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12" name="Shape 112"/>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13" name="Shape 113"/>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14" name="Shape 114"/>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15" name="Shape 11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16" name="Shape 11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17" name="Shape 11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18" name="Shape 118"/>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19" name="Shape 119"/>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20" name="Shape 12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21" name="Shape 121"/>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22" name="Shape 122"/>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49</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23" name="Shape 123"/>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4" name="Shape 124"/>
            <xdr:cNvGrpSpPr/>
          </xdr:nvGrpSpPr>
          <xdr:grpSpPr>
            <a:xfrm>
              <a:off x="5188838" y="3603788"/>
              <a:ext cx="314325" cy="352425"/>
              <a:chOff x="532" y="134"/>
              <a:chExt cx="56" cy="64"/>
            </a:xfrm>
          </xdr:grpSpPr>
          <xdr:sp>
            <xdr:nvSpPr>
              <xdr:cNvPr id="125" name="Shape 125"/>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26" name="Shape 126"/>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27" name="Shape 127"/>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28" name="Shape 128"/>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29" name="Shape 129"/>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30" name="Shape 130"/>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31" name="Shape 131"/>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32" name="Shape 13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33" name="Shape 13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34" name="Shape 13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35" name="Shape 135"/>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36" name="Shape 136"/>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37" name="Shape 13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38" name="Shape 138"/>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39" name="Shape 139"/>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50</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40" name="Shape 140"/>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1" name="Shape 141"/>
            <xdr:cNvGrpSpPr/>
          </xdr:nvGrpSpPr>
          <xdr:grpSpPr>
            <a:xfrm>
              <a:off x="5188838" y="3603788"/>
              <a:ext cx="314325" cy="352425"/>
              <a:chOff x="532" y="134"/>
              <a:chExt cx="56" cy="64"/>
            </a:xfrm>
          </xdr:grpSpPr>
          <xdr:sp>
            <xdr:nvSpPr>
              <xdr:cNvPr id="142" name="Shape 142"/>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43" name="Shape 143"/>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44" name="Shape 144"/>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45" name="Shape 145"/>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46" name="Shape 146"/>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47" name="Shape 147"/>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48" name="Shape 148"/>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49" name="Shape 14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50" name="Shape 15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51" name="Shape 15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52" name="Shape 152"/>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53" name="Shape 153"/>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54" name="Shape 15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55" name="Shape 155"/>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56" name="Shape 156"/>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57</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57" name="Shape 157"/>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8" name="Shape 158"/>
            <xdr:cNvGrpSpPr/>
          </xdr:nvGrpSpPr>
          <xdr:grpSpPr>
            <a:xfrm>
              <a:off x="5188838" y="3603788"/>
              <a:ext cx="314325" cy="352425"/>
              <a:chOff x="532" y="134"/>
              <a:chExt cx="56" cy="64"/>
            </a:xfrm>
          </xdr:grpSpPr>
          <xdr:sp>
            <xdr:nvSpPr>
              <xdr:cNvPr id="159" name="Shape 159"/>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60" name="Shape 160"/>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61" name="Shape 161"/>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62" name="Shape 162"/>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63" name="Shape 163"/>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64" name="Shape 164"/>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65" name="Shape 165"/>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66" name="Shape 16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67" name="Shape 16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68" name="Shape 16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69" name="Shape 169"/>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70" name="Shape 170"/>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71" name="Shape 17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72" name="Shape 172"/>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73" name="Shape 173"/>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56</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74" name="Shape 174"/>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75" name="Shape 175"/>
            <xdr:cNvGrpSpPr/>
          </xdr:nvGrpSpPr>
          <xdr:grpSpPr>
            <a:xfrm>
              <a:off x="5188838" y="3603788"/>
              <a:ext cx="314325" cy="352425"/>
              <a:chOff x="532" y="134"/>
              <a:chExt cx="56" cy="64"/>
            </a:xfrm>
          </xdr:grpSpPr>
          <xdr:sp>
            <xdr:nvSpPr>
              <xdr:cNvPr id="176" name="Shape 176"/>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77" name="Shape 177"/>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78" name="Shape 178"/>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79" name="Shape 179"/>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80" name="Shape 180"/>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81" name="Shape 181"/>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82" name="Shape 182"/>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83" name="Shape 18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84" name="Shape 18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85" name="Shape 18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86" name="Shape 186"/>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87" name="Shape 187"/>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88" name="Shape 18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89" name="Shape 189"/>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90" name="Shape 190"/>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60</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91" name="Shape 191"/>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92" name="Shape 192"/>
            <xdr:cNvGrpSpPr/>
          </xdr:nvGrpSpPr>
          <xdr:grpSpPr>
            <a:xfrm>
              <a:off x="5188838" y="3603788"/>
              <a:ext cx="314325" cy="352425"/>
              <a:chOff x="532" y="134"/>
              <a:chExt cx="56" cy="64"/>
            </a:xfrm>
          </xdr:grpSpPr>
          <xdr:sp>
            <xdr:nvSpPr>
              <xdr:cNvPr id="193" name="Shape 193"/>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94" name="Shape 194"/>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95" name="Shape 195"/>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96" name="Shape 196"/>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97" name="Shape 197"/>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98" name="Shape 198"/>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99" name="Shape 199"/>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200" name="Shape 20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201" name="Shape 20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202" name="Shape 20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203" name="Shape 203"/>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204" name="Shape 204"/>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205" name="Shape 20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206" name="Shape 206"/>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207" name="Shape 207"/>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61</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208" name="Shape 208"/>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09" name="Shape 209"/>
            <xdr:cNvGrpSpPr/>
          </xdr:nvGrpSpPr>
          <xdr:grpSpPr>
            <a:xfrm>
              <a:off x="5188838" y="3603788"/>
              <a:ext cx="314325" cy="352425"/>
              <a:chOff x="532" y="134"/>
              <a:chExt cx="56" cy="64"/>
            </a:xfrm>
          </xdr:grpSpPr>
          <xdr:sp>
            <xdr:nvSpPr>
              <xdr:cNvPr id="210" name="Shape 210"/>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11" name="Shape 211"/>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12" name="Shape 212"/>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213" name="Shape 213"/>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214" name="Shape 214"/>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215" name="Shape 215"/>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216" name="Shape 216"/>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217" name="Shape 21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218" name="Shape 21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219" name="Shape 21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220" name="Shape 220"/>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221" name="Shape 221"/>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222" name="Shape 22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223" name="Shape 223"/>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224" name="Shape 224"/>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64</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225" name="Shape 225"/>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26" name="Shape 226"/>
            <xdr:cNvGrpSpPr/>
          </xdr:nvGrpSpPr>
          <xdr:grpSpPr>
            <a:xfrm>
              <a:off x="5188838" y="3603788"/>
              <a:ext cx="314325" cy="352425"/>
              <a:chOff x="532" y="134"/>
              <a:chExt cx="56" cy="64"/>
            </a:xfrm>
          </xdr:grpSpPr>
          <xdr:sp>
            <xdr:nvSpPr>
              <xdr:cNvPr id="227" name="Shape 227"/>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28" name="Shape 228"/>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29" name="Shape 229"/>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230" name="Shape 230"/>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231" name="Shape 231"/>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232" name="Shape 232"/>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233" name="Shape 233"/>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234" name="Shape 23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235" name="Shape 23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236" name="Shape 23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237" name="Shape 237"/>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238" name="Shape 238"/>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239" name="Shape 23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240" name="Shape 240"/>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241" name="Shape 241"/>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67</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242" name="Shape 242"/>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43" name="Shape 243"/>
            <xdr:cNvGrpSpPr/>
          </xdr:nvGrpSpPr>
          <xdr:grpSpPr>
            <a:xfrm>
              <a:off x="5188838" y="3603788"/>
              <a:ext cx="314325" cy="352425"/>
              <a:chOff x="532" y="134"/>
              <a:chExt cx="56" cy="64"/>
            </a:xfrm>
          </xdr:grpSpPr>
          <xdr:sp>
            <xdr:nvSpPr>
              <xdr:cNvPr id="244" name="Shape 244"/>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45" name="Shape 245"/>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46" name="Shape 246"/>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247" name="Shape 247"/>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248" name="Shape 248"/>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249" name="Shape 249"/>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250" name="Shape 250"/>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251" name="Shape 25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252" name="Shape 25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253" name="Shape 25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254" name="Shape 254"/>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255" name="Shape 255"/>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256" name="Shape 25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257" name="Shape 257"/>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258" name="Shape 258"/>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72</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259" name="Shape 259"/>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60" name="Shape 260"/>
            <xdr:cNvGrpSpPr/>
          </xdr:nvGrpSpPr>
          <xdr:grpSpPr>
            <a:xfrm>
              <a:off x="5188838" y="3603788"/>
              <a:ext cx="314325" cy="352425"/>
              <a:chOff x="532" y="134"/>
              <a:chExt cx="56" cy="64"/>
            </a:xfrm>
          </xdr:grpSpPr>
          <xdr:sp>
            <xdr:nvSpPr>
              <xdr:cNvPr id="261" name="Shape 261"/>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62" name="Shape 262"/>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63" name="Shape 263"/>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264" name="Shape 264"/>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265" name="Shape 265"/>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266" name="Shape 266"/>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267" name="Shape 267"/>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268" name="Shape 26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269" name="Shape 26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270" name="Shape 27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271" name="Shape 271"/>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272" name="Shape 272"/>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273" name="Shape 27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274" name="Shape 274"/>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275" name="Shape 275"/>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83</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276" name="Shape 276"/>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77" name="Shape 277"/>
            <xdr:cNvGrpSpPr/>
          </xdr:nvGrpSpPr>
          <xdr:grpSpPr>
            <a:xfrm>
              <a:off x="5188838" y="3603788"/>
              <a:ext cx="314325" cy="352425"/>
              <a:chOff x="532" y="134"/>
              <a:chExt cx="56" cy="64"/>
            </a:xfrm>
          </xdr:grpSpPr>
          <xdr:sp>
            <xdr:nvSpPr>
              <xdr:cNvPr id="278" name="Shape 278"/>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79" name="Shape 279"/>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80" name="Shape 280"/>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281" name="Shape 281"/>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282" name="Shape 282"/>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283" name="Shape 283"/>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284" name="Shape 284"/>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285" name="Shape 28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286" name="Shape 28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287" name="Shape 28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288" name="Shape 288"/>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289" name="Shape 289"/>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290" name="Shape 29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291" name="Shape 291"/>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292" name="Shape 292"/>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84</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293" name="Shape 293"/>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94" name="Shape 294"/>
            <xdr:cNvGrpSpPr/>
          </xdr:nvGrpSpPr>
          <xdr:grpSpPr>
            <a:xfrm>
              <a:off x="5188838" y="3603788"/>
              <a:ext cx="314325" cy="352425"/>
              <a:chOff x="532" y="134"/>
              <a:chExt cx="56" cy="64"/>
            </a:xfrm>
          </xdr:grpSpPr>
          <xdr:sp>
            <xdr:nvSpPr>
              <xdr:cNvPr id="295" name="Shape 295"/>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96" name="Shape 296"/>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297" name="Shape 297"/>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298" name="Shape 298"/>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299" name="Shape 299"/>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300" name="Shape 300"/>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301" name="Shape 301"/>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302" name="Shape 30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303" name="Shape 30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304" name="Shape 30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305" name="Shape 305"/>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306" name="Shape 306"/>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307" name="Shape 30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308" name="Shape 308"/>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309" name="Shape 309"/>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85</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310" name="Shape 310"/>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11" name="Shape 311"/>
            <xdr:cNvGrpSpPr/>
          </xdr:nvGrpSpPr>
          <xdr:grpSpPr>
            <a:xfrm>
              <a:off x="5188838" y="3603788"/>
              <a:ext cx="314325" cy="352425"/>
              <a:chOff x="532" y="134"/>
              <a:chExt cx="56" cy="64"/>
            </a:xfrm>
          </xdr:grpSpPr>
          <xdr:sp>
            <xdr:nvSpPr>
              <xdr:cNvPr id="312" name="Shape 312"/>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13" name="Shape 313"/>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14" name="Shape 314"/>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315" name="Shape 315"/>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316" name="Shape 316"/>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317" name="Shape 317"/>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318" name="Shape 318"/>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319" name="Shape 31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320" name="Shape 32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321" name="Shape 32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322" name="Shape 322"/>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323" name="Shape 323"/>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324" name="Shape 32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325" name="Shape 325"/>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326" name="Shape 326"/>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87</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327" name="Shape 327"/>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28" name="Shape 328"/>
            <xdr:cNvGrpSpPr/>
          </xdr:nvGrpSpPr>
          <xdr:grpSpPr>
            <a:xfrm>
              <a:off x="5188838" y="3603788"/>
              <a:ext cx="314325" cy="352425"/>
              <a:chOff x="532" y="134"/>
              <a:chExt cx="56" cy="64"/>
            </a:xfrm>
          </xdr:grpSpPr>
          <xdr:sp>
            <xdr:nvSpPr>
              <xdr:cNvPr id="329" name="Shape 329"/>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30" name="Shape 330"/>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31" name="Shape 331"/>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332" name="Shape 332"/>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333" name="Shape 333"/>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334" name="Shape 334"/>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335" name="Shape 335"/>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336" name="Shape 33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337" name="Shape 33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338" name="Shape 33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339" name="Shape 339"/>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340" name="Shape 340"/>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341" name="Shape 34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342" name="Shape 342"/>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343" name="Shape 343"/>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88</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344" name="Shape 344"/>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45" name="Shape 345"/>
            <xdr:cNvGrpSpPr/>
          </xdr:nvGrpSpPr>
          <xdr:grpSpPr>
            <a:xfrm>
              <a:off x="5188838" y="3603788"/>
              <a:ext cx="314325" cy="352425"/>
              <a:chOff x="532" y="134"/>
              <a:chExt cx="56" cy="64"/>
            </a:xfrm>
          </xdr:grpSpPr>
          <xdr:sp>
            <xdr:nvSpPr>
              <xdr:cNvPr id="346" name="Shape 346"/>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47" name="Shape 347"/>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48" name="Shape 348"/>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349" name="Shape 349"/>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350" name="Shape 350"/>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351" name="Shape 351"/>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352" name="Shape 352"/>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353" name="Shape 35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354" name="Shape 35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355" name="Shape 35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356" name="Shape 356"/>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357" name="Shape 357"/>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358" name="Shape 35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359" name="Shape 359"/>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360" name="Shape 360"/>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89</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361" name="Shape 361"/>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62" name="Shape 362"/>
            <xdr:cNvGrpSpPr/>
          </xdr:nvGrpSpPr>
          <xdr:grpSpPr>
            <a:xfrm>
              <a:off x="5188838" y="3603788"/>
              <a:ext cx="314325" cy="352425"/>
              <a:chOff x="532" y="134"/>
              <a:chExt cx="56" cy="64"/>
            </a:xfrm>
          </xdr:grpSpPr>
          <xdr:sp>
            <xdr:nvSpPr>
              <xdr:cNvPr id="363" name="Shape 363"/>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64" name="Shape 364"/>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65" name="Shape 365"/>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366" name="Shape 366"/>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367" name="Shape 367"/>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368" name="Shape 368"/>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369" name="Shape 369"/>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370" name="Shape 37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371" name="Shape 37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372" name="Shape 37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373" name="Shape 373"/>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374" name="Shape 374"/>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375" name="Shape 37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376" name="Shape 376"/>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377" name="Shape 377"/>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99</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378" name="Shape 378"/>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9" name="Shape 379"/>
            <xdr:cNvGrpSpPr/>
          </xdr:nvGrpSpPr>
          <xdr:grpSpPr>
            <a:xfrm>
              <a:off x="5188838" y="3603788"/>
              <a:ext cx="314325" cy="352425"/>
              <a:chOff x="532" y="134"/>
              <a:chExt cx="56" cy="64"/>
            </a:xfrm>
          </xdr:grpSpPr>
          <xdr:sp>
            <xdr:nvSpPr>
              <xdr:cNvPr id="380" name="Shape 380"/>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81" name="Shape 381"/>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82" name="Shape 382"/>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383" name="Shape 383"/>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384" name="Shape 384"/>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385" name="Shape 385"/>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386" name="Shape 386"/>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387" name="Shape 38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388" name="Shape 38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389" name="Shape 38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390" name="Shape 390"/>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391" name="Shape 391"/>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392" name="Shape 39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393" name="Shape 393"/>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394" name="Shape 394"/>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98</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395" name="Shape 395"/>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96" name="Shape 396"/>
            <xdr:cNvGrpSpPr/>
          </xdr:nvGrpSpPr>
          <xdr:grpSpPr>
            <a:xfrm>
              <a:off x="5188838" y="3603788"/>
              <a:ext cx="314325" cy="352425"/>
              <a:chOff x="532" y="134"/>
              <a:chExt cx="56" cy="64"/>
            </a:xfrm>
          </xdr:grpSpPr>
          <xdr:sp>
            <xdr:nvSpPr>
              <xdr:cNvPr id="397" name="Shape 397"/>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98" name="Shape 398"/>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399" name="Shape 399"/>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400" name="Shape 400"/>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401" name="Shape 401"/>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402" name="Shape 402"/>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403" name="Shape 403"/>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404" name="Shape 40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405" name="Shape 40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406" name="Shape 40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407" name="Shape 407"/>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408" name="Shape 408"/>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409" name="Shape 40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410" name="Shape 410"/>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411" name="Shape 411"/>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103</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412" name="Shape 412"/>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13" name="Shape 413"/>
            <xdr:cNvGrpSpPr/>
          </xdr:nvGrpSpPr>
          <xdr:grpSpPr>
            <a:xfrm>
              <a:off x="5188838" y="3603788"/>
              <a:ext cx="314325" cy="352425"/>
              <a:chOff x="532" y="134"/>
              <a:chExt cx="56" cy="64"/>
            </a:xfrm>
          </xdr:grpSpPr>
          <xdr:sp>
            <xdr:nvSpPr>
              <xdr:cNvPr id="414" name="Shape 414"/>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15" name="Shape 415"/>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16" name="Shape 416"/>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417" name="Shape 417"/>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418" name="Shape 418"/>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419" name="Shape 419"/>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420" name="Shape 420"/>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421" name="Shape 42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422" name="Shape 42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423" name="Shape 42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424" name="Shape 424"/>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425" name="Shape 425"/>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426" name="Shape 42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427" name="Shape 427"/>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428" name="Shape 428"/>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12</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429" name="Shape 429"/>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30" name="Shape 430"/>
            <xdr:cNvGrpSpPr/>
          </xdr:nvGrpSpPr>
          <xdr:grpSpPr>
            <a:xfrm>
              <a:off x="5188838" y="3603788"/>
              <a:ext cx="314325" cy="352425"/>
              <a:chOff x="532" y="134"/>
              <a:chExt cx="56" cy="64"/>
            </a:xfrm>
          </xdr:grpSpPr>
          <xdr:sp>
            <xdr:nvSpPr>
              <xdr:cNvPr id="431" name="Shape 431"/>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32" name="Shape 432"/>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33" name="Shape 433"/>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434" name="Shape 434"/>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435" name="Shape 435"/>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436" name="Shape 436"/>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437" name="Shape 437"/>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438" name="Shape 43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439" name="Shape 43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440" name="Shape 44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441" name="Shape 441"/>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442" name="Shape 442"/>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443" name="Shape 44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444" name="Shape 444"/>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445" name="Shape 445"/>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25</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446" name="Shape 446"/>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47" name="Shape 447"/>
            <xdr:cNvGrpSpPr/>
          </xdr:nvGrpSpPr>
          <xdr:grpSpPr>
            <a:xfrm>
              <a:off x="5188838" y="3603788"/>
              <a:ext cx="314325" cy="352425"/>
              <a:chOff x="532" y="134"/>
              <a:chExt cx="56" cy="64"/>
            </a:xfrm>
          </xdr:grpSpPr>
          <xdr:sp>
            <xdr:nvSpPr>
              <xdr:cNvPr id="448" name="Shape 448"/>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49" name="Shape 449"/>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50" name="Shape 450"/>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451" name="Shape 451"/>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452" name="Shape 452"/>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453" name="Shape 453"/>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454" name="Shape 454"/>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455" name="Shape 45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456" name="Shape 45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457" name="Shape 45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458" name="Shape 458"/>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459" name="Shape 459"/>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460" name="Shape 46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461" name="Shape 461"/>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462" name="Shape 462"/>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24</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463" name="Shape 463"/>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64" name="Shape 464"/>
            <xdr:cNvGrpSpPr/>
          </xdr:nvGrpSpPr>
          <xdr:grpSpPr>
            <a:xfrm>
              <a:off x="5188838" y="3603788"/>
              <a:ext cx="314325" cy="352425"/>
              <a:chOff x="532" y="134"/>
              <a:chExt cx="56" cy="64"/>
            </a:xfrm>
          </xdr:grpSpPr>
          <xdr:sp>
            <xdr:nvSpPr>
              <xdr:cNvPr id="465" name="Shape 465"/>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66" name="Shape 466"/>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67" name="Shape 467"/>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468" name="Shape 468"/>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469" name="Shape 469"/>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470" name="Shape 470"/>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471" name="Shape 471"/>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472" name="Shape 47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473" name="Shape 47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474" name="Shape 47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475" name="Shape 475"/>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476" name="Shape 476"/>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477" name="Shape 47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478" name="Shape 478"/>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479" name="Shape 479"/>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33</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480" name="Shape 480"/>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81" name="Shape 481"/>
            <xdr:cNvGrpSpPr/>
          </xdr:nvGrpSpPr>
          <xdr:grpSpPr>
            <a:xfrm>
              <a:off x="5188838" y="3603788"/>
              <a:ext cx="314325" cy="352425"/>
              <a:chOff x="532" y="134"/>
              <a:chExt cx="56" cy="64"/>
            </a:xfrm>
          </xdr:grpSpPr>
          <xdr:sp>
            <xdr:nvSpPr>
              <xdr:cNvPr id="482" name="Shape 482"/>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83" name="Shape 483"/>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484" name="Shape 484"/>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485" name="Shape 485"/>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486" name="Shape 486"/>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487" name="Shape 487"/>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488" name="Shape 488"/>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489" name="Shape 48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490" name="Shape 49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491" name="Shape 49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492" name="Shape 492"/>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493" name="Shape 493"/>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494" name="Shape 49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495" name="Shape 495"/>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496" name="Shape 496"/>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38</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497" name="Shape 497"/>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498" name="Shape 498"/>
            <xdr:cNvGrpSpPr/>
          </xdr:nvGrpSpPr>
          <xdr:grpSpPr>
            <a:xfrm>
              <a:off x="5188838" y="3603788"/>
              <a:ext cx="314325" cy="352425"/>
              <a:chOff x="532" y="134"/>
              <a:chExt cx="56" cy="64"/>
            </a:xfrm>
          </xdr:grpSpPr>
          <xdr:sp>
            <xdr:nvSpPr>
              <xdr:cNvPr id="499" name="Shape 499"/>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00" name="Shape 500"/>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01" name="Shape 501"/>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502" name="Shape 502"/>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503" name="Shape 503"/>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504" name="Shape 504"/>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505" name="Shape 505"/>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506" name="Shape 50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507" name="Shape 50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508" name="Shape 50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509" name="Shape 509"/>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510" name="Shape 510"/>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511" name="Shape 51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512" name="Shape 512"/>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513" name="Shape 513"/>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43</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514" name="Shape 514"/>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15" name="Shape 515"/>
            <xdr:cNvGrpSpPr/>
          </xdr:nvGrpSpPr>
          <xdr:grpSpPr>
            <a:xfrm>
              <a:off x="5188838" y="3603788"/>
              <a:ext cx="314325" cy="352425"/>
              <a:chOff x="532" y="134"/>
              <a:chExt cx="56" cy="64"/>
            </a:xfrm>
          </xdr:grpSpPr>
          <xdr:sp>
            <xdr:nvSpPr>
              <xdr:cNvPr id="516" name="Shape 516"/>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17" name="Shape 517"/>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18" name="Shape 518"/>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519" name="Shape 519"/>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520" name="Shape 520"/>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521" name="Shape 521"/>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522" name="Shape 522"/>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523" name="Shape 52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524" name="Shape 52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525" name="Shape 52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526" name="Shape 526"/>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527" name="Shape 527"/>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528" name="Shape 52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529" name="Shape 529"/>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530" name="Shape 530"/>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44</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531" name="Shape 531"/>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32" name="Shape 532"/>
            <xdr:cNvGrpSpPr/>
          </xdr:nvGrpSpPr>
          <xdr:grpSpPr>
            <a:xfrm>
              <a:off x="5188838" y="3603788"/>
              <a:ext cx="314325" cy="352425"/>
              <a:chOff x="532" y="134"/>
              <a:chExt cx="56" cy="64"/>
            </a:xfrm>
          </xdr:grpSpPr>
          <xdr:sp>
            <xdr:nvSpPr>
              <xdr:cNvPr id="533" name="Shape 533"/>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34" name="Shape 534"/>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35" name="Shape 535"/>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536" name="Shape 536"/>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537" name="Shape 537"/>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538" name="Shape 538"/>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539" name="Shape 539"/>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540" name="Shape 54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541" name="Shape 54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542" name="Shape 54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543" name="Shape 543"/>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544" name="Shape 544"/>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545" name="Shape 54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546" name="Shape 546"/>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547" name="Shape 547"/>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47</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548" name="Shape 548"/>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49" name="Shape 549"/>
            <xdr:cNvGrpSpPr/>
          </xdr:nvGrpSpPr>
          <xdr:grpSpPr>
            <a:xfrm>
              <a:off x="5188838" y="3603788"/>
              <a:ext cx="314325" cy="352425"/>
              <a:chOff x="532" y="134"/>
              <a:chExt cx="56" cy="64"/>
            </a:xfrm>
          </xdr:grpSpPr>
          <xdr:sp>
            <xdr:nvSpPr>
              <xdr:cNvPr id="550" name="Shape 550"/>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51" name="Shape 551"/>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52" name="Shape 552"/>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553" name="Shape 553"/>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554" name="Shape 554"/>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555" name="Shape 555"/>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556" name="Shape 556"/>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557" name="Shape 55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558" name="Shape 55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559" name="Shape 55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560" name="Shape 560"/>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561" name="Shape 561"/>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562" name="Shape 56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563" name="Shape 563"/>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564" name="Shape 564"/>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46</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565" name="Shape 565"/>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66" name="Shape 566"/>
            <xdr:cNvGrpSpPr/>
          </xdr:nvGrpSpPr>
          <xdr:grpSpPr>
            <a:xfrm>
              <a:off x="5188838" y="3603788"/>
              <a:ext cx="314325" cy="352425"/>
              <a:chOff x="532" y="134"/>
              <a:chExt cx="56" cy="64"/>
            </a:xfrm>
          </xdr:grpSpPr>
          <xdr:sp>
            <xdr:nvSpPr>
              <xdr:cNvPr id="567" name="Shape 567"/>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68" name="Shape 568"/>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69" name="Shape 569"/>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570" name="Shape 570"/>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571" name="Shape 571"/>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572" name="Shape 572"/>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573" name="Shape 573"/>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574" name="Shape 57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575" name="Shape 57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576" name="Shape 57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577" name="Shape 577"/>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578" name="Shape 578"/>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579" name="Shape 57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580" name="Shape 580"/>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581" name="Shape 581"/>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48</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582" name="Shape 582"/>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83" name="Shape 583"/>
            <xdr:cNvGrpSpPr/>
          </xdr:nvGrpSpPr>
          <xdr:grpSpPr>
            <a:xfrm>
              <a:off x="5188838" y="3603788"/>
              <a:ext cx="314325" cy="352425"/>
              <a:chOff x="532" y="134"/>
              <a:chExt cx="56" cy="64"/>
            </a:xfrm>
          </xdr:grpSpPr>
          <xdr:sp>
            <xdr:nvSpPr>
              <xdr:cNvPr id="584" name="Shape 584"/>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85" name="Shape 585"/>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586" name="Shape 586"/>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587" name="Shape 587"/>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588" name="Shape 588"/>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589" name="Shape 589"/>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590" name="Shape 590"/>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591" name="Shape 59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592" name="Shape 59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593" name="Shape 59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594" name="Shape 594"/>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595" name="Shape 595"/>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596" name="Shape 59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597" name="Shape 597"/>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598" name="Shape 598"/>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70</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599" name="Shape 599"/>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00" name="Shape 600"/>
            <xdr:cNvGrpSpPr/>
          </xdr:nvGrpSpPr>
          <xdr:grpSpPr>
            <a:xfrm>
              <a:off x="5188838" y="3603788"/>
              <a:ext cx="314325" cy="352425"/>
              <a:chOff x="532" y="134"/>
              <a:chExt cx="56" cy="64"/>
            </a:xfrm>
          </xdr:grpSpPr>
          <xdr:sp>
            <xdr:nvSpPr>
              <xdr:cNvPr id="601" name="Shape 601"/>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602" name="Shape 602"/>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603" name="Shape 603"/>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604" name="Shape 604"/>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605" name="Shape 605"/>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606" name="Shape 606"/>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607" name="Shape 607"/>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608" name="Shape 60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609" name="Shape 60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610" name="Shape 61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611" name="Shape 611"/>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612" name="Shape 612"/>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613" name="Shape 61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614" name="Shape 614"/>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615" name="Shape 615"/>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73</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616" name="Shape 616"/>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17" name="Shape 617"/>
            <xdr:cNvGrpSpPr/>
          </xdr:nvGrpSpPr>
          <xdr:grpSpPr>
            <a:xfrm>
              <a:off x="5188838" y="3603788"/>
              <a:ext cx="314325" cy="352425"/>
              <a:chOff x="532" y="134"/>
              <a:chExt cx="56" cy="64"/>
            </a:xfrm>
          </xdr:grpSpPr>
          <xdr:sp>
            <xdr:nvSpPr>
              <xdr:cNvPr id="618" name="Shape 618"/>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619" name="Shape 619"/>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620" name="Shape 620"/>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621" name="Shape 621"/>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622" name="Shape 622"/>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623" name="Shape 623"/>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624" name="Shape 624"/>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625" name="Shape 62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626" name="Shape 62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627" name="Shape 62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628" name="Shape 628"/>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629" name="Shape 629"/>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630" name="Shape 63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631" name="Shape 631"/>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632" name="Shape 632"/>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74</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633" name="Shape 633"/>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34" name="Shape 634"/>
            <xdr:cNvGrpSpPr/>
          </xdr:nvGrpSpPr>
          <xdr:grpSpPr>
            <a:xfrm>
              <a:off x="5188838" y="3603788"/>
              <a:ext cx="314325" cy="352425"/>
              <a:chOff x="532" y="134"/>
              <a:chExt cx="56" cy="64"/>
            </a:xfrm>
          </xdr:grpSpPr>
          <xdr:sp>
            <xdr:nvSpPr>
              <xdr:cNvPr id="635" name="Shape 635"/>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636" name="Shape 636"/>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637" name="Shape 637"/>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638" name="Shape 638"/>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639" name="Shape 639"/>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640" name="Shape 640"/>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641" name="Shape 641"/>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642" name="Shape 64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643" name="Shape 64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644" name="Shape 64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645" name="Shape 645"/>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646" name="Shape 646"/>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647" name="Shape 64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648" name="Shape 648"/>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649" name="Shape 649"/>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75</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650" name="Shape 650"/>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51" name="Shape 651"/>
            <xdr:cNvGrpSpPr/>
          </xdr:nvGrpSpPr>
          <xdr:grpSpPr>
            <a:xfrm>
              <a:off x="5188838" y="3603788"/>
              <a:ext cx="314325" cy="352425"/>
              <a:chOff x="532" y="134"/>
              <a:chExt cx="56" cy="64"/>
            </a:xfrm>
          </xdr:grpSpPr>
          <xdr:sp>
            <xdr:nvSpPr>
              <xdr:cNvPr id="652" name="Shape 652"/>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653" name="Shape 653"/>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654" name="Shape 654"/>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655" name="Shape 655"/>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656" name="Shape 656"/>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657" name="Shape 657"/>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658" name="Shape 658"/>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659" name="Shape 65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660" name="Shape 66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661" name="Shape 66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662" name="Shape 662"/>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663" name="Shape 663"/>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664" name="Shape 66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665" name="Shape 665"/>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666" name="Shape 666"/>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82</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667" name="Shape 667"/>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68" name="Shape 668"/>
            <xdr:cNvGrpSpPr/>
          </xdr:nvGrpSpPr>
          <xdr:grpSpPr>
            <a:xfrm>
              <a:off x="5188838" y="3603788"/>
              <a:ext cx="314325" cy="352425"/>
              <a:chOff x="532" y="134"/>
              <a:chExt cx="56" cy="64"/>
            </a:xfrm>
          </xdr:grpSpPr>
          <xdr:sp>
            <xdr:nvSpPr>
              <xdr:cNvPr id="669" name="Shape 669"/>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670" name="Shape 670"/>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671" name="Shape 671"/>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672" name="Shape 672"/>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673" name="Shape 673"/>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674" name="Shape 674"/>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675" name="Shape 675"/>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676" name="Shape 67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677" name="Shape 67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678" name="Shape 67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679" name="Shape 679"/>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680" name="Shape 680"/>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681" name="Shape 68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682" name="Shape 682"/>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683" name="Shape 683"/>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81</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684" name="Shape 684"/>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685" name="Shape 685"/>
            <xdr:cNvGrpSpPr/>
          </xdr:nvGrpSpPr>
          <xdr:grpSpPr>
            <a:xfrm>
              <a:off x="5188838" y="3603788"/>
              <a:ext cx="314325" cy="352425"/>
              <a:chOff x="532" y="134"/>
              <a:chExt cx="56" cy="64"/>
            </a:xfrm>
          </xdr:grpSpPr>
          <xdr:sp>
            <xdr:nvSpPr>
              <xdr:cNvPr id="686" name="Shape 686"/>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687" name="Shape 687"/>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688" name="Shape 688"/>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689" name="Shape 689"/>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690" name="Shape 690"/>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691" name="Shape 691"/>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692" name="Shape 692"/>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693" name="Shape 69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694" name="Shape 69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695" name="Shape 69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696" name="Shape 696"/>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697" name="Shape 697"/>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698" name="Shape 69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699" name="Shape 699"/>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700" name="Shape 700"/>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90</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701" name="Shape 701"/>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02" name="Shape 702"/>
            <xdr:cNvGrpSpPr/>
          </xdr:nvGrpSpPr>
          <xdr:grpSpPr>
            <a:xfrm>
              <a:off x="5188838" y="3603788"/>
              <a:ext cx="314325" cy="352425"/>
              <a:chOff x="532" y="134"/>
              <a:chExt cx="56" cy="64"/>
            </a:xfrm>
          </xdr:grpSpPr>
          <xdr:sp>
            <xdr:nvSpPr>
              <xdr:cNvPr id="703" name="Shape 703"/>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04" name="Shape 704"/>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05" name="Shape 705"/>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706" name="Shape 706"/>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707" name="Shape 707"/>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708" name="Shape 708"/>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709" name="Shape 709"/>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710" name="Shape 71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711" name="Shape 71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712" name="Shape 71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713" name="Shape 713"/>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714" name="Shape 714"/>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715" name="Shape 71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716" name="Shape 716"/>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717" name="Shape 717"/>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91</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718" name="Shape 718"/>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19" name="Shape 719"/>
            <xdr:cNvGrpSpPr/>
          </xdr:nvGrpSpPr>
          <xdr:grpSpPr>
            <a:xfrm>
              <a:off x="5188838" y="3603788"/>
              <a:ext cx="314325" cy="352425"/>
              <a:chOff x="532" y="134"/>
              <a:chExt cx="56" cy="64"/>
            </a:xfrm>
          </xdr:grpSpPr>
          <xdr:sp>
            <xdr:nvSpPr>
              <xdr:cNvPr id="720" name="Shape 720"/>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21" name="Shape 721"/>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22" name="Shape 722"/>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723" name="Shape 723"/>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724" name="Shape 724"/>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725" name="Shape 725"/>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726" name="Shape 726"/>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727" name="Shape 72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728" name="Shape 72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729" name="Shape 72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730" name="Shape 730"/>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731" name="Shape 731"/>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732" name="Shape 73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733" name="Shape 733"/>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734" name="Shape 734"/>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92</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735" name="Shape 735"/>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36" name="Shape 736"/>
            <xdr:cNvGrpSpPr/>
          </xdr:nvGrpSpPr>
          <xdr:grpSpPr>
            <a:xfrm>
              <a:off x="5188838" y="3603788"/>
              <a:ext cx="314325" cy="352425"/>
              <a:chOff x="532" y="134"/>
              <a:chExt cx="56" cy="64"/>
            </a:xfrm>
          </xdr:grpSpPr>
          <xdr:sp>
            <xdr:nvSpPr>
              <xdr:cNvPr id="737" name="Shape 737"/>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38" name="Shape 738"/>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39" name="Shape 739"/>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740" name="Shape 740"/>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741" name="Shape 741"/>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742" name="Shape 742"/>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743" name="Shape 743"/>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744" name="Shape 74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745" name="Shape 74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746" name="Shape 74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747" name="Shape 747"/>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748" name="Shape 748"/>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749" name="Shape 74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750" name="Shape 750"/>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751" name="Shape 751"/>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93</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752" name="Shape 752"/>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53" name="Shape 753"/>
            <xdr:cNvGrpSpPr/>
          </xdr:nvGrpSpPr>
          <xdr:grpSpPr>
            <a:xfrm>
              <a:off x="5188838" y="3603788"/>
              <a:ext cx="314325" cy="352425"/>
              <a:chOff x="532" y="134"/>
              <a:chExt cx="56" cy="64"/>
            </a:xfrm>
          </xdr:grpSpPr>
          <xdr:sp>
            <xdr:nvSpPr>
              <xdr:cNvPr id="754" name="Shape 754"/>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55" name="Shape 755"/>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56" name="Shape 756"/>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757" name="Shape 757"/>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758" name="Shape 758"/>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759" name="Shape 759"/>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760" name="Shape 760"/>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761" name="Shape 76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762" name="Shape 76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763" name="Shape 76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764" name="Shape 764"/>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765" name="Shape 765"/>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766" name="Shape 76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767" name="Shape 767"/>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768" name="Shape 768"/>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94</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769" name="Shape 769"/>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70" name="Shape 770"/>
            <xdr:cNvGrpSpPr/>
          </xdr:nvGrpSpPr>
          <xdr:grpSpPr>
            <a:xfrm>
              <a:off x="5188838" y="3603788"/>
              <a:ext cx="314325" cy="352425"/>
              <a:chOff x="532" y="134"/>
              <a:chExt cx="56" cy="64"/>
            </a:xfrm>
          </xdr:grpSpPr>
          <xdr:sp>
            <xdr:nvSpPr>
              <xdr:cNvPr id="771" name="Shape 771"/>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72" name="Shape 772"/>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73" name="Shape 773"/>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774" name="Shape 774"/>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775" name="Shape 775"/>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776" name="Shape 776"/>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777" name="Shape 777"/>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778" name="Shape 77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779" name="Shape 77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780" name="Shape 78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781" name="Shape 781"/>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782" name="Shape 782"/>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783" name="Shape 78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784" name="Shape 784"/>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785" name="Shape 785"/>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95</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786" name="Shape 786"/>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787" name="Shape 787"/>
            <xdr:cNvGrpSpPr/>
          </xdr:nvGrpSpPr>
          <xdr:grpSpPr>
            <a:xfrm>
              <a:off x="5188838" y="3603788"/>
              <a:ext cx="314325" cy="352425"/>
              <a:chOff x="532" y="134"/>
              <a:chExt cx="56" cy="64"/>
            </a:xfrm>
          </xdr:grpSpPr>
          <xdr:sp>
            <xdr:nvSpPr>
              <xdr:cNvPr id="788" name="Shape 788"/>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89" name="Shape 789"/>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90" name="Shape 790"/>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791" name="Shape 791"/>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792" name="Shape 792"/>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793" name="Shape 793"/>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794" name="Shape 794"/>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795" name="Shape 79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796" name="Shape 79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797" name="Shape 79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798" name="Shape 798"/>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799" name="Shape 799"/>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800" name="Shape 80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801" name="Shape 801"/>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802" name="Shape 802"/>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96</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803" name="Shape 803"/>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04" name="Shape 804"/>
            <xdr:cNvGrpSpPr/>
          </xdr:nvGrpSpPr>
          <xdr:grpSpPr>
            <a:xfrm>
              <a:off x="5188838" y="3603788"/>
              <a:ext cx="314325" cy="352425"/>
              <a:chOff x="532" y="134"/>
              <a:chExt cx="56" cy="64"/>
            </a:xfrm>
          </xdr:grpSpPr>
          <xdr:sp>
            <xdr:nvSpPr>
              <xdr:cNvPr id="805" name="Shape 805"/>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806" name="Shape 806"/>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807" name="Shape 807"/>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808" name="Shape 808"/>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809" name="Shape 809"/>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810" name="Shape 810"/>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811" name="Shape 811"/>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812" name="Shape 81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813" name="Shape 81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814" name="Shape 81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815" name="Shape 815"/>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816" name="Shape 816"/>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817" name="Shape 81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818" name="Shape 818"/>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819" name="Shape 819"/>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97</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820" name="Shape 820"/>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21" name="Shape 821"/>
            <xdr:cNvGrpSpPr/>
          </xdr:nvGrpSpPr>
          <xdr:grpSpPr>
            <a:xfrm>
              <a:off x="5188838" y="3603788"/>
              <a:ext cx="314325" cy="352425"/>
              <a:chOff x="532" y="134"/>
              <a:chExt cx="56" cy="64"/>
            </a:xfrm>
          </xdr:grpSpPr>
          <xdr:sp>
            <xdr:nvSpPr>
              <xdr:cNvPr id="822" name="Shape 822"/>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823" name="Shape 823"/>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824" name="Shape 824"/>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825" name="Shape 825"/>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826" name="Shape 826"/>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827" name="Shape 827"/>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828" name="Shape 828"/>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829" name="Shape 82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830" name="Shape 83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831" name="Shape 83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832" name="Shape 832"/>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833" name="Shape 833"/>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834" name="Shape 83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835" name="Shape 835"/>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836" name="Shape 836"/>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104</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837" name="Shape 837"/>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38" name="Shape 838"/>
            <xdr:cNvGrpSpPr/>
          </xdr:nvGrpSpPr>
          <xdr:grpSpPr>
            <a:xfrm>
              <a:off x="5188838" y="3603788"/>
              <a:ext cx="314325" cy="352425"/>
              <a:chOff x="532" y="134"/>
              <a:chExt cx="56" cy="64"/>
            </a:xfrm>
          </xdr:grpSpPr>
          <xdr:sp>
            <xdr:nvSpPr>
              <xdr:cNvPr id="839" name="Shape 839"/>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840" name="Shape 840"/>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841" name="Shape 841"/>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842" name="Shape 842"/>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843" name="Shape 843"/>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844" name="Shape 844"/>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845" name="Shape 845"/>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846" name="Shape 84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847" name="Shape 84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848" name="Shape 84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849" name="Shape 849"/>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850" name="Shape 850"/>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851" name="Shape 85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852" name="Shape 852"/>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853" name="Shape 853"/>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10</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854" name="Shape 854"/>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55" name="Shape 855"/>
            <xdr:cNvGrpSpPr/>
          </xdr:nvGrpSpPr>
          <xdr:grpSpPr>
            <a:xfrm>
              <a:off x="5188838" y="3603788"/>
              <a:ext cx="314325" cy="352425"/>
              <a:chOff x="532" y="134"/>
              <a:chExt cx="56" cy="64"/>
            </a:xfrm>
          </xdr:grpSpPr>
          <xdr:sp>
            <xdr:nvSpPr>
              <xdr:cNvPr id="856" name="Shape 856"/>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857" name="Shape 857"/>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858" name="Shape 858"/>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859" name="Shape 859"/>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860" name="Shape 860"/>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861" name="Shape 861"/>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862" name="Shape 862"/>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863" name="Shape 86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864" name="Shape 86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865" name="Shape 86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866" name="Shape 866"/>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867" name="Shape 867"/>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868" name="Shape 86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869" name="Shape 869"/>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870" name="Shape 870"/>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11</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871" name="Shape 871"/>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72" name="Shape 872"/>
            <xdr:cNvGrpSpPr/>
          </xdr:nvGrpSpPr>
          <xdr:grpSpPr>
            <a:xfrm>
              <a:off x="5188838" y="3603788"/>
              <a:ext cx="314325" cy="352425"/>
              <a:chOff x="532" y="134"/>
              <a:chExt cx="56" cy="64"/>
            </a:xfrm>
          </xdr:grpSpPr>
          <xdr:sp>
            <xdr:nvSpPr>
              <xdr:cNvPr id="873" name="Shape 873"/>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874" name="Shape 874"/>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875" name="Shape 875"/>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876" name="Shape 876"/>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877" name="Shape 877"/>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878" name="Shape 878"/>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879" name="Shape 879"/>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880" name="Shape 88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881" name="Shape 88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882" name="Shape 88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883" name="Shape 883"/>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884" name="Shape 884"/>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885" name="Shape 88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886" name="Shape 886"/>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887" name="Shape 887"/>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13</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888" name="Shape 888"/>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889" name="Shape 889"/>
            <xdr:cNvGrpSpPr/>
          </xdr:nvGrpSpPr>
          <xdr:grpSpPr>
            <a:xfrm>
              <a:off x="5188838" y="3603788"/>
              <a:ext cx="314325" cy="352425"/>
              <a:chOff x="532" y="134"/>
              <a:chExt cx="56" cy="64"/>
            </a:xfrm>
          </xdr:grpSpPr>
          <xdr:sp>
            <xdr:nvSpPr>
              <xdr:cNvPr id="890" name="Shape 890"/>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891" name="Shape 891"/>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892" name="Shape 892"/>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893" name="Shape 893"/>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894" name="Shape 894"/>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895" name="Shape 895"/>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896" name="Shape 896"/>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897" name="Shape 89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898" name="Shape 89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899" name="Shape 89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900" name="Shape 900"/>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901" name="Shape 901"/>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902" name="Shape 90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903" name="Shape 903"/>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904" name="Shape 904"/>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14</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905" name="Shape 905"/>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06" name="Shape 906"/>
            <xdr:cNvGrpSpPr/>
          </xdr:nvGrpSpPr>
          <xdr:grpSpPr>
            <a:xfrm>
              <a:off x="5188838" y="3603788"/>
              <a:ext cx="314325" cy="352425"/>
              <a:chOff x="532" y="134"/>
              <a:chExt cx="56" cy="64"/>
            </a:xfrm>
          </xdr:grpSpPr>
          <xdr:sp>
            <xdr:nvSpPr>
              <xdr:cNvPr id="907" name="Shape 907"/>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08" name="Shape 908"/>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09" name="Shape 909"/>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910" name="Shape 910"/>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911" name="Shape 911"/>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912" name="Shape 912"/>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913" name="Shape 913"/>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914" name="Shape 91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915" name="Shape 91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916" name="Shape 91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917" name="Shape 917"/>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918" name="Shape 918"/>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919" name="Shape 91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920" name="Shape 920"/>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921" name="Shape 921"/>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15</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922" name="Shape 922"/>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23" name="Shape 923"/>
            <xdr:cNvGrpSpPr/>
          </xdr:nvGrpSpPr>
          <xdr:grpSpPr>
            <a:xfrm>
              <a:off x="5188838" y="3603788"/>
              <a:ext cx="314325" cy="352425"/>
              <a:chOff x="532" y="134"/>
              <a:chExt cx="56" cy="64"/>
            </a:xfrm>
          </xdr:grpSpPr>
          <xdr:sp>
            <xdr:nvSpPr>
              <xdr:cNvPr id="924" name="Shape 924"/>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25" name="Shape 925"/>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26" name="Shape 926"/>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927" name="Shape 927"/>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928" name="Shape 928"/>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929" name="Shape 929"/>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930" name="Shape 930"/>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931" name="Shape 93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932" name="Shape 93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933" name="Shape 93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934" name="Shape 934"/>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935" name="Shape 935"/>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936" name="Shape 93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937" name="Shape 937"/>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938" name="Shape 938"/>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22</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939" name="Shape 939"/>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40" name="Shape 940"/>
            <xdr:cNvGrpSpPr/>
          </xdr:nvGrpSpPr>
          <xdr:grpSpPr>
            <a:xfrm>
              <a:off x="5188838" y="3603788"/>
              <a:ext cx="314325" cy="352425"/>
              <a:chOff x="532" y="134"/>
              <a:chExt cx="56" cy="64"/>
            </a:xfrm>
          </xdr:grpSpPr>
          <xdr:sp>
            <xdr:nvSpPr>
              <xdr:cNvPr id="941" name="Shape 941"/>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42" name="Shape 942"/>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43" name="Shape 943"/>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944" name="Shape 944"/>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945" name="Shape 945"/>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946" name="Shape 946"/>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947" name="Shape 947"/>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948" name="Shape 94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949" name="Shape 94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950" name="Shape 95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951" name="Shape 951"/>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952" name="Shape 952"/>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953" name="Shape 95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954" name="Shape 954"/>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955" name="Shape 955"/>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21</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956" name="Shape 956"/>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57" name="Shape 957"/>
            <xdr:cNvGrpSpPr/>
          </xdr:nvGrpSpPr>
          <xdr:grpSpPr>
            <a:xfrm>
              <a:off x="5188838" y="3603788"/>
              <a:ext cx="314325" cy="352425"/>
              <a:chOff x="532" y="134"/>
              <a:chExt cx="56" cy="64"/>
            </a:xfrm>
          </xdr:grpSpPr>
          <xdr:sp>
            <xdr:nvSpPr>
              <xdr:cNvPr id="958" name="Shape 958"/>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59" name="Shape 959"/>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60" name="Shape 960"/>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961" name="Shape 961"/>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962" name="Shape 962"/>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963" name="Shape 963"/>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964" name="Shape 964"/>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965" name="Shape 96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966" name="Shape 96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967" name="Shape 96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968" name="Shape 968"/>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969" name="Shape 969"/>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970" name="Shape 97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971" name="Shape 971"/>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972" name="Shape 972"/>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29</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973" name="Shape 973"/>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74" name="Shape 974"/>
            <xdr:cNvGrpSpPr/>
          </xdr:nvGrpSpPr>
          <xdr:grpSpPr>
            <a:xfrm>
              <a:off x="5188838" y="3603788"/>
              <a:ext cx="314325" cy="352425"/>
              <a:chOff x="532" y="134"/>
              <a:chExt cx="56" cy="64"/>
            </a:xfrm>
          </xdr:grpSpPr>
          <xdr:sp>
            <xdr:nvSpPr>
              <xdr:cNvPr id="975" name="Shape 975"/>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76" name="Shape 976"/>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77" name="Shape 977"/>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978" name="Shape 978"/>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979" name="Shape 979"/>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980" name="Shape 980"/>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981" name="Shape 981"/>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982" name="Shape 98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983" name="Shape 98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984" name="Shape 98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985" name="Shape 985"/>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986" name="Shape 986"/>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987" name="Shape 98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988" name="Shape 988"/>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989" name="Shape 989"/>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30</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990" name="Shape 990"/>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991" name="Shape 991"/>
            <xdr:cNvGrpSpPr/>
          </xdr:nvGrpSpPr>
          <xdr:grpSpPr>
            <a:xfrm>
              <a:off x="5188838" y="3603788"/>
              <a:ext cx="314325" cy="352425"/>
              <a:chOff x="532" y="134"/>
              <a:chExt cx="56" cy="64"/>
            </a:xfrm>
          </xdr:grpSpPr>
          <xdr:sp>
            <xdr:nvSpPr>
              <xdr:cNvPr id="992" name="Shape 992"/>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93" name="Shape 993"/>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994" name="Shape 994"/>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995" name="Shape 995"/>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996" name="Shape 996"/>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997" name="Shape 997"/>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998" name="Shape 998"/>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999" name="Shape 99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000" name="Shape 100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001" name="Shape 100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002" name="Shape 1002"/>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003" name="Shape 1003"/>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004" name="Shape 100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005" name="Shape 1005"/>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006" name="Shape 1006"/>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34</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007" name="Shape 1007"/>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08" name="Shape 1008"/>
            <xdr:cNvGrpSpPr/>
          </xdr:nvGrpSpPr>
          <xdr:grpSpPr>
            <a:xfrm>
              <a:off x="5188838" y="3603788"/>
              <a:ext cx="314325" cy="352425"/>
              <a:chOff x="532" y="134"/>
              <a:chExt cx="56" cy="64"/>
            </a:xfrm>
          </xdr:grpSpPr>
          <xdr:sp>
            <xdr:nvSpPr>
              <xdr:cNvPr id="1009" name="Shape 1009"/>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10" name="Shape 1010"/>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11" name="Shape 1011"/>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012" name="Shape 1012"/>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013" name="Shape 1013"/>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014" name="Shape 1014"/>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015" name="Shape 1015"/>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016" name="Shape 101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017" name="Shape 101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018" name="Shape 101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019" name="Shape 1019"/>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020" name="Shape 1020"/>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021" name="Shape 102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022" name="Shape 1022"/>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023" name="Shape 1023"/>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35</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024" name="Shape 1024"/>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25" name="Shape 1025"/>
            <xdr:cNvGrpSpPr/>
          </xdr:nvGrpSpPr>
          <xdr:grpSpPr>
            <a:xfrm>
              <a:off x="5188838" y="3603788"/>
              <a:ext cx="314325" cy="352425"/>
              <a:chOff x="532" y="134"/>
              <a:chExt cx="56" cy="64"/>
            </a:xfrm>
          </xdr:grpSpPr>
          <xdr:sp>
            <xdr:nvSpPr>
              <xdr:cNvPr id="1026" name="Shape 1026"/>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27" name="Shape 1027"/>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28" name="Shape 1028"/>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029" name="Shape 1029"/>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030" name="Shape 1030"/>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031" name="Shape 1031"/>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032" name="Shape 1032"/>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033" name="Shape 103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034" name="Shape 103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035" name="Shape 103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036" name="Shape 1036"/>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037" name="Shape 1037"/>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038" name="Shape 103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039" name="Shape 1039"/>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040" name="Shape 1040"/>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62</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041" name="Shape 1041"/>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42" name="Shape 1042"/>
            <xdr:cNvGrpSpPr/>
          </xdr:nvGrpSpPr>
          <xdr:grpSpPr>
            <a:xfrm>
              <a:off x="5188838" y="3603788"/>
              <a:ext cx="314325" cy="352425"/>
              <a:chOff x="532" y="134"/>
              <a:chExt cx="56" cy="64"/>
            </a:xfrm>
          </xdr:grpSpPr>
          <xdr:sp>
            <xdr:nvSpPr>
              <xdr:cNvPr id="1043" name="Shape 1043"/>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44" name="Shape 1044"/>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45" name="Shape 1045"/>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046" name="Shape 1046"/>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047" name="Shape 1047"/>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048" name="Shape 1048"/>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049" name="Shape 1049"/>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050" name="Shape 105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051" name="Shape 105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052" name="Shape 105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053" name="Shape 1053"/>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054" name="Shape 1054"/>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055" name="Shape 105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056" name="Shape 1056"/>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057" name="Shape 1057"/>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63</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058" name="Shape 1058"/>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59" name="Shape 1059"/>
            <xdr:cNvGrpSpPr/>
          </xdr:nvGrpSpPr>
          <xdr:grpSpPr>
            <a:xfrm>
              <a:off x="5188838" y="3603788"/>
              <a:ext cx="314325" cy="352425"/>
              <a:chOff x="532" y="134"/>
              <a:chExt cx="56" cy="64"/>
            </a:xfrm>
          </xdr:grpSpPr>
          <xdr:sp>
            <xdr:nvSpPr>
              <xdr:cNvPr id="1060" name="Shape 1060"/>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61" name="Shape 1061"/>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62" name="Shape 1062"/>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063" name="Shape 1063"/>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064" name="Shape 1064"/>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065" name="Shape 1065"/>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066" name="Shape 1066"/>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067" name="Shape 106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068" name="Shape 106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069" name="Shape 106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070" name="Shape 1070"/>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071" name="Shape 1071"/>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072" name="Shape 107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073" name="Shape 1073"/>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074" name="Shape 1074"/>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71</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075" name="Shape 1075"/>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76" name="Shape 1076"/>
            <xdr:cNvGrpSpPr/>
          </xdr:nvGrpSpPr>
          <xdr:grpSpPr>
            <a:xfrm>
              <a:off x="5188838" y="3603788"/>
              <a:ext cx="314325" cy="352425"/>
              <a:chOff x="532" y="134"/>
              <a:chExt cx="56" cy="64"/>
            </a:xfrm>
          </xdr:grpSpPr>
          <xdr:sp>
            <xdr:nvSpPr>
              <xdr:cNvPr id="1077" name="Shape 1077"/>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78" name="Shape 1078"/>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79" name="Shape 1079"/>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080" name="Shape 1080"/>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081" name="Shape 1081"/>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082" name="Shape 1082"/>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083" name="Shape 1083"/>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084" name="Shape 108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085" name="Shape 108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086" name="Shape 108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087" name="Shape 1087"/>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088" name="Shape 1088"/>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089" name="Shape 108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090" name="Shape 1090"/>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091" name="Shape 1091"/>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76</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092" name="Shape 1092"/>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093" name="Shape 1093"/>
            <xdr:cNvGrpSpPr/>
          </xdr:nvGrpSpPr>
          <xdr:grpSpPr>
            <a:xfrm>
              <a:off x="5188838" y="3603788"/>
              <a:ext cx="314325" cy="352425"/>
              <a:chOff x="532" y="134"/>
              <a:chExt cx="56" cy="64"/>
            </a:xfrm>
          </xdr:grpSpPr>
          <xdr:sp>
            <xdr:nvSpPr>
              <xdr:cNvPr id="1094" name="Shape 1094"/>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95" name="Shape 1095"/>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096" name="Shape 1096"/>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097" name="Shape 1097"/>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098" name="Shape 1098"/>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099" name="Shape 1099"/>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100" name="Shape 1100"/>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101" name="Shape 110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102" name="Shape 110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103" name="Shape 110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104" name="Shape 1104"/>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105" name="Shape 1105"/>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106" name="Shape 110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107" name="Shape 1107"/>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108" name="Shape 1108"/>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77</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109" name="Shape 1109"/>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10" name="Shape 1110"/>
            <xdr:cNvGrpSpPr/>
          </xdr:nvGrpSpPr>
          <xdr:grpSpPr>
            <a:xfrm>
              <a:off x="5188838" y="3603788"/>
              <a:ext cx="314325" cy="352425"/>
              <a:chOff x="532" y="134"/>
              <a:chExt cx="56" cy="64"/>
            </a:xfrm>
          </xdr:grpSpPr>
          <xdr:sp>
            <xdr:nvSpPr>
              <xdr:cNvPr id="1111" name="Shape 1111"/>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112" name="Shape 1112"/>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113" name="Shape 1113"/>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114" name="Shape 1114"/>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115" name="Shape 1115"/>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116" name="Shape 1116"/>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117" name="Shape 1117"/>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118" name="Shape 111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119" name="Shape 111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120" name="Shape 112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121" name="Shape 1121"/>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122" name="Shape 1122"/>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123" name="Shape 112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124" name="Shape 1124"/>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125" name="Shape 1125"/>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102</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126" name="Shape 1126"/>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27" name="Shape 1127"/>
            <xdr:cNvGrpSpPr/>
          </xdr:nvGrpSpPr>
          <xdr:grpSpPr>
            <a:xfrm>
              <a:off x="5188838" y="3603788"/>
              <a:ext cx="314325" cy="352425"/>
              <a:chOff x="532" y="134"/>
              <a:chExt cx="56" cy="64"/>
            </a:xfrm>
          </xdr:grpSpPr>
          <xdr:sp>
            <xdr:nvSpPr>
              <xdr:cNvPr id="1128" name="Shape 1128"/>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129" name="Shape 1129"/>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130" name="Shape 1130"/>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131" name="Shape 1131"/>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132" name="Shape 1132"/>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133" name="Shape 1133"/>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134" name="Shape 1134"/>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135" name="Shape 113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136" name="Shape 113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137" name="Shape 113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138" name="Shape 1138"/>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139" name="Shape 1139"/>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140" name="Shape 114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141" name="Shape 1141"/>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142" name="Shape 1142"/>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8</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143" name="Shape 1143"/>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44" name="Shape 1144"/>
            <xdr:cNvGrpSpPr/>
          </xdr:nvGrpSpPr>
          <xdr:grpSpPr>
            <a:xfrm>
              <a:off x="5188838" y="3603788"/>
              <a:ext cx="314325" cy="352425"/>
              <a:chOff x="532" y="134"/>
              <a:chExt cx="56" cy="64"/>
            </a:xfrm>
          </xdr:grpSpPr>
          <xdr:sp>
            <xdr:nvSpPr>
              <xdr:cNvPr id="1145" name="Shape 1145"/>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146" name="Shape 1146"/>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147" name="Shape 1147"/>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148" name="Shape 1148"/>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149" name="Shape 1149"/>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150" name="Shape 1150"/>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151" name="Shape 1151"/>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152" name="Shape 115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153" name="Shape 115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154" name="Shape 115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155" name="Shape 1155"/>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156" name="Shape 1156"/>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157" name="Shape 115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158" name="Shape 1158"/>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159" name="Shape 1159"/>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7</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160" name="Shape 1160"/>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61" name="Shape 1161"/>
            <xdr:cNvGrpSpPr/>
          </xdr:nvGrpSpPr>
          <xdr:grpSpPr>
            <a:xfrm>
              <a:off x="5188838" y="3603788"/>
              <a:ext cx="314325" cy="352425"/>
              <a:chOff x="532" y="134"/>
              <a:chExt cx="56" cy="64"/>
            </a:xfrm>
          </xdr:grpSpPr>
          <xdr:sp>
            <xdr:nvSpPr>
              <xdr:cNvPr id="1162" name="Shape 1162"/>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163" name="Shape 1163"/>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164" name="Shape 1164"/>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165" name="Shape 1165"/>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166" name="Shape 1166"/>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167" name="Shape 1167"/>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168" name="Shape 1168"/>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169" name="Shape 116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170" name="Shape 117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171" name="Shape 117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172" name="Shape 1172"/>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173" name="Shape 1173"/>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174" name="Shape 117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175" name="Shape 1175"/>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176" name="Shape 1176"/>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16</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177" name="Shape 1177"/>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78" name="Shape 1178"/>
            <xdr:cNvGrpSpPr/>
          </xdr:nvGrpSpPr>
          <xdr:grpSpPr>
            <a:xfrm>
              <a:off x="5188838" y="3603788"/>
              <a:ext cx="314325" cy="352425"/>
              <a:chOff x="532" y="134"/>
              <a:chExt cx="56" cy="64"/>
            </a:xfrm>
          </xdr:grpSpPr>
          <xdr:sp>
            <xdr:nvSpPr>
              <xdr:cNvPr id="1179" name="Shape 1179"/>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180" name="Shape 1180"/>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181" name="Shape 1181"/>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182" name="Shape 1182"/>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183" name="Shape 1183"/>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184" name="Shape 1184"/>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185" name="Shape 1185"/>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186" name="Shape 118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187" name="Shape 118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188" name="Shape 118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189" name="Shape 1189"/>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190" name="Shape 1190"/>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191" name="Shape 119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192" name="Shape 1192"/>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193" name="Shape 1193"/>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17</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194" name="Shape 1194"/>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195" name="Shape 1195"/>
            <xdr:cNvGrpSpPr/>
          </xdr:nvGrpSpPr>
          <xdr:grpSpPr>
            <a:xfrm>
              <a:off x="5188838" y="3603788"/>
              <a:ext cx="314325" cy="352425"/>
              <a:chOff x="532" y="134"/>
              <a:chExt cx="56" cy="64"/>
            </a:xfrm>
          </xdr:grpSpPr>
          <xdr:sp>
            <xdr:nvSpPr>
              <xdr:cNvPr id="1196" name="Shape 1196"/>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197" name="Shape 1197"/>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198" name="Shape 1198"/>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199" name="Shape 1199"/>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200" name="Shape 1200"/>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201" name="Shape 1201"/>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202" name="Shape 1202"/>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203" name="Shape 120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204" name="Shape 120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205" name="Shape 120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206" name="Shape 1206"/>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207" name="Shape 1207"/>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208" name="Shape 120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209" name="Shape 1209"/>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210" name="Shape 1210"/>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20</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211" name="Shape 1211"/>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12" name="Shape 1212"/>
            <xdr:cNvGrpSpPr/>
          </xdr:nvGrpSpPr>
          <xdr:grpSpPr>
            <a:xfrm>
              <a:off x="5188838" y="3603788"/>
              <a:ext cx="314325" cy="352425"/>
              <a:chOff x="532" y="134"/>
              <a:chExt cx="56" cy="64"/>
            </a:xfrm>
          </xdr:grpSpPr>
          <xdr:sp>
            <xdr:nvSpPr>
              <xdr:cNvPr id="1213" name="Shape 1213"/>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214" name="Shape 1214"/>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215" name="Shape 1215"/>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216" name="Shape 1216"/>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217" name="Shape 1217"/>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218" name="Shape 1218"/>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219" name="Shape 1219"/>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220" name="Shape 122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221" name="Shape 122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222" name="Shape 122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223" name="Shape 1223"/>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224" name="Shape 1224"/>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225" name="Shape 122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226" name="Shape 1226"/>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227" name="Shape 1227"/>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27</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228" name="Shape 1228"/>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29" name="Shape 1229"/>
            <xdr:cNvGrpSpPr/>
          </xdr:nvGrpSpPr>
          <xdr:grpSpPr>
            <a:xfrm>
              <a:off x="5188838" y="3603788"/>
              <a:ext cx="314325" cy="352425"/>
              <a:chOff x="532" y="134"/>
              <a:chExt cx="56" cy="64"/>
            </a:xfrm>
          </xdr:grpSpPr>
          <xdr:sp>
            <xdr:nvSpPr>
              <xdr:cNvPr id="1230" name="Shape 1230"/>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231" name="Shape 1231"/>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232" name="Shape 1232"/>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233" name="Shape 1233"/>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234" name="Shape 1234"/>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235" name="Shape 1235"/>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236" name="Shape 1236"/>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237" name="Shape 123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238" name="Shape 123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239" name="Shape 123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240" name="Shape 1240"/>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241" name="Shape 1241"/>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242" name="Shape 124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243" name="Shape 1243"/>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244" name="Shape 1244"/>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31</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245" name="Shape 1245"/>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46" name="Shape 1246"/>
            <xdr:cNvGrpSpPr/>
          </xdr:nvGrpSpPr>
          <xdr:grpSpPr>
            <a:xfrm>
              <a:off x="5188838" y="3603788"/>
              <a:ext cx="314325" cy="352425"/>
              <a:chOff x="532" y="134"/>
              <a:chExt cx="56" cy="64"/>
            </a:xfrm>
          </xdr:grpSpPr>
          <xdr:sp>
            <xdr:nvSpPr>
              <xdr:cNvPr id="1247" name="Shape 1247"/>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248" name="Shape 1248"/>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249" name="Shape 1249"/>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250" name="Shape 1250"/>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251" name="Shape 1251"/>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252" name="Shape 1252"/>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253" name="Shape 1253"/>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254" name="Shape 125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255" name="Shape 125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256" name="Shape 125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257" name="Shape 1257"/>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258" name="Shape 1258"/>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259" name="Shape 125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260" name="Shape 1260"/>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261" name="Shape 1261"/>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32</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262" name="Shape 1262"/>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63" name="Shape 1263"/>
            <xdr:cNvGrpSpPr/>
          </xdr:nvGrpSpPr>
          <xdr:grpSpPr>
            <a:xfrm>
              <a:off x="5188838" y="3603788"/>
              <a:ext cx="314325" cy="352425"/>
              <a:chOff x="532" y="134"/>
              <a:chExt cx="56" cy="64"/>
            </a:xfrm>
          </xdr:grpSpPr>
          <xdr:sp>
            <xdr:nvSpPr>
              <xdr:cNvPr id="1264" name="Shape 1264"/>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265" name="Shape 1265"/>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266" name="Shape 1266"/>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267" name="Shape 1267"/>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268" name="Shape 1268"/>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269" name="Shape 1269"/>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270" name="Shape 1270"/>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271" name="Shape 127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272" name="Shape 127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273" name="Shape 127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274" name="Shape 1274"/>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275" name="Shape 1275"/>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276" name="Shape 127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277" name="Shape 1277"/>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278" name="Shape 1278"/>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45</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279" name="Shape 1279"/>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80" name="Shape 1280"/>
            <xdr:cNvGrpSpPr/>
          </xdr:nvGrpSpPr>
          <xdr:grpSpPr>
            <a:xfrm>
              <a:off x="5188838" y="3603788"/>
              <a:ext cx="314325" cy="352425"/>
              <a:chOff x="532" y="134"/>
              <a:chExt cx="56" cy="64"/>
            </a:xfrm>
          </xdr:grpSpPr>
          <xdr:sp>
            <xdr:nvSpPr>
              <xdr:cNvPr id="1281" name="Shape 1281"/>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282" name="Shape 1282"/>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283" name="Shape 1283"/>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284" name="Shape 1284"/>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285" name="Shape 1285"/>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286" name="Shape 1286"/>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287" name="Shape 1287"/>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288" name="Shape 128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289" name="Shape 128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290" name="Shape 129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291" name="Shape 1291"/>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292" name="Shape 1292"/>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293" name="Shape 129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294" name="Shape 1294"/>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295" name="Shape 1295"/>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51</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296" name="Shape 1296"/>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297" name="Shape 1297"/>
            <xdr:cNvGrpSpPr/>
          </xdr:nvGrpSpPr>
          <xdr:grpSpPr>
            <a:xfrm>
              <a:off x="5188838" y="3603788"/>
              <a:ext cx="314325" cy="352425"/>
              <a:chOff x="532" y="134"/>
              <a:chExt cx="56" cy="64"/>
            </a:xfrm>
          </xdr:grpSpPr>
          <xdr:sp>
            <xdr:nvSpPr>
              <xdr:cNvPr id="1298" name="Shape 1298"/>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299" name="Shape 1299"/>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300" name="Shape 1300"/>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301" name="Shape 1301"/>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302" name="Shape 1302"/>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303" name="Shape 1303"/>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304" name="Shape 1304"/>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305" name="Shape 130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306" name="Shape 130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307" name="Shape 130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308" name="Shape 1308"/>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309" name="Shape 1309"/>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310" name="Shape 131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311" name="Shape 1311"/>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312" name="Shape 1312"/>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52</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313" name="Shape 1313"/>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14" name="Shape 1314"/>
            <xdr:cNvGrpSpPr/>
          </xdr:nvGrpSpPr>
          <xdr:grpSpPr>
            <a:xfrm>
              <a:off x="5188838" y="3603788"/>
              <a:ext cx="314325" cy="352425"/>
              <a:chOff x="532" y="134"/>
              <a:chExt cx="56" cy="64"/>
            </a:xfrm>
          </xdr:grpSpPr>
          <xdr:sp>
            <xdr:nvSpPr>
              <xdr:cNvPr id="1315" name="Shape 1315"/>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316" name="Shape 1316"/>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317" name="Shape 1317"/>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318" name="Shape 1318"/>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319" name="Shape 1319"/>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320" name="Shape 1320"/>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321" name="Shape 1321"/>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322" name="Shape 132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323" name="Shape 132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324" name="Shape 132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325" name="Shape 1325"/>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326" name="Shape 1326"/>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327" name="Shape 132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328" name="Shape 1328"/>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329" name="Shape 1329"/>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53</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330" name="Shape 1330"/>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31" name="Shape 1331"/>
            <xdr:cNvGrpSpPr/>
          </xdr:nvGrpSpPr>
          <xdr:grpSpPr>
            <a:xfrm>
              <a:off x="5188838" y="3603788"/>
              <a:ext cx="314325" cy="352425"/>
              <a:chOff x="532" y="134"/>
              <a:chExt cx="56" cy="64"/>
            </a:xfrm>
          </xdr:grpSpPr>
          <xdr:sp>
            <xdr:nvSpPr>
              <xdr:cNvPr id="1332" name="Shape 1332"/>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333" name="Shape 1333"/>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334" name="Shape 1334"/>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335" name="Shape 1335"/>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336" name="Shape 1336"/>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337" name="Shape 1337"/>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338" name="Shape 1338"/>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339" name="Shape 133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340" name="Shape 134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341" name="Shape 134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342" name="Shape 1342"/>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343" name="Shape 1343"/>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344" name="Shape 134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345" name="Shape 1345"/>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346" name="Shape 1346"/>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55</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347" name="Shape 1347"/>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48" name="Shape 1348"/>
            <xdr:cNvGrpSpPr/>
          </xdr:nvGrpSpPr>
          <xdr:grpSpPr>
            <a:xfrm>
              <a:off x="5188838" y="3603788"/>
              <a:ext cx="314325" cy="352425"/>
              <a:chOff x="532" y="134"/>
              <a:chExt cx="56" cy="64"/>
            </a:xfrm>
          </xdr:grpSpPr>
          <xdr:sp>
            <xdr:nvSpPr>
              <xdr:cNvPr id="1349" name="Shape 1349"/>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350" name="Shape 1350"/>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351" name="Shape 1351"/>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352" name="Shape 1352"/>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353" name="Shape 1353"/>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354" name="Shape 1354"/>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355" name="Shape 1355"/>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356" name="Shape 135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357" name="Shape 135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358" name="Shape 135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359" name="Shape 1359"/>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360" name="Shape 1360"/>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361" name="Shape 136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362" name="Shape 1362"/>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363" name="Shape 1363"/>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54</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364" name="Shape 1364"/>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65" name="Shape 1365"/>
            <xdr:cNvGrpSpPr/>
          </xdr:nvGrpSpPr>
          <xdr:grpSpPr>
            <a:xfrm>
              <a:off x="5188838" y="3603788"/>
              <a:ext cx="314325" cy="352425"/>
              <a:chOff x="532" y="134"/>
              <a:chExt cx="56" cy="64"/>
            </a:xfrm>
          </xdr:grpSpPr>
          <xdr:sp>
            <xdr:nvSpPr>
              <xdr:cNvPr id="1366" name="Shape 1366"/>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367" name="Shape 1367"/>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368" name="Shape 1368"/>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369" name="Shape 1369"/>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370" name="Shape 1370"/>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371" name="Shape 1371"/>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372" name="Shape 1372"/>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373" name="Shape 137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374" name="Shape 137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375" name="Shape 137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376" name="Shape 1376"/>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377" name="Shape 1377"/>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378" name="Shape 137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379" name="Shape 1379"/>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380" name="Shape 1380"/>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79</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381" name="Shape 1381"/>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82" name="Shape 1382"/>
            <xdr:cNvGrpSpPr/>
          </xdr:nvGrpSpPr>
          <xdr:grpSpPr>
            <a:xfrm>
              <a:off x="5188838" y="3603788"/>
              <a:ext cx="314325" cy="352425"/>
              <a:chOff x="532" y="134"/>
              <a:chExt cx="56" cy="64"/>
            </a:xfrm>
          </xdr:grpSpPr>
          <xdr:sp>
            <xdr:nvSpPr>
              <xdr:cNvPr id="1383" name="Shape 1383"/>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384" name="Shape 1384"/>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385" name="Shape 1385"/>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386" name="Shape 1386"/>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387" name="Shape 1387"/>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388" name="Shape 1388"/>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389" name="Shape 1389"/>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390" name="Shape 139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391" name="Shape 139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392" name="Shape 139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393" name="Shape 1393"/>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394" name="Shape 1394"/>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395" name="Shape 139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396" name="Shape 1396"/>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397" name="Shape 1397"/>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80</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398" name="Shape 1398"/>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399" name="Shape 1399"/>
            <xdr:cNvGrpSpPr/>
          </xdr:nvGrpSpPr>
          <xdr:grpSpPr>
            <a:xfrm>
              <a:off x="5188838" y="3603788"/>
              <a:ext cx="314325" cy="352425"/>
              <a:chOff x="532" y="134"/>
              <a:chExt cx="56" cy="64"/>
            </a:xfrm>
          </xdr:grpSpPr>
          <xdr:sp>
            <xdr:nvSpPr>
              <xdr:cNvPr id="1400" name="Shape 1400"/>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401" name="Shape 1401"/>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402" name="Shape 1402"/>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403" name="Shape 1403"/>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404" name="Shape 1404"/>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405" name="Shape 1405"/>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406" name="Shape 1406"/>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407" name="Shape 140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408" name="Shape 140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409" name="Shape 140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410" name="Shape 1410"/>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411" name="Shape 1411"/>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412" name="Shape 141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413" name="Shape 1413"/>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414" name="Shape 1414"/>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100</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415" name="Shape 1415"/>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16" name="Shape 1416"/>
            <xdr:cNvGrpSpPr/>
          </xdr:nvGrpSpPr>
          <xdr:grpSpPr>
            <a:xfrm>
              <a:off x="5188838" y="3603788"/>
              <a:ext cx="314325" cy="352425"/>
              <a:chOff x="532" y="134"/>
              <a:chExt cx="56" cy="64"/>
            </a:xfrm>
          </xdr:grpSpPr>
          <xdr:sp>
            <xdr:nvSpPr>
              <xdr:cNvPr id="1417" name="Shape 1417"/>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418" name="Shape 1418"/>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419" name="Shape 1419"/>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420" name="Shape 1420"/>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421" name="Shape 1421"/>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422" name="Shape 1422"/>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423" name="Shape 1423"/>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424" name="Shape 142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425" name="Shape 142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426" name="Shape 142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427" name="Shape 1427"/>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428" name="Shape 1428"/>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429" name="Shape 142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430" name="Shape 1430"/>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431" name="Shape 1431"/>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101</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432" name="Shape 1432"/>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33" name="Shape 1433"/>
            <xdr:cNvGrpSpPr/>
          </xdr:nvGrpSpPr>
          <xdr:grpSpPr>
            <a:xfrm>
              <a:off x="5188838" y="3603788"/>
              <a:ext cx="314325" cy="352425"/>
              <a:chOff x="532" y="134"/>
              <a:chExt cx="56" cy="64"/>
            </a:xfrm>
          </xdr:grpSpPr>
          <xdr:sp>
            <xdr:nvSpPr>
              <xdr:cNvPr id="1434" name="Shape 1434"/>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435" name="Shape 1435"/>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436" name="Shape 1436"/>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437" name="Shape 1437"/>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438" name="Shape 1438"/>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439" name="Shape 1439"/>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440" name="Shape 1440"/>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441" name="Shape 144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442" name="Shape 144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443" name="Shape 144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444" name="Shape 1444"/>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445" name="Shape 1445"/>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446" name="Shape 144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447" name="Shape 1447"/>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448" name="Shape 1448"/>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65</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449" name="Shape 1449"/>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50" name="Shape 1450"/>
            <xdr:cNvGrpSpPr/>
          </xdr:nvGrpSpPr>
          <xdr:grpSpPr>
            <a:xfrm>
              <a:off x="5188838" y="3603788"/>
              <a:ext cx="314325" cy="352425"/>
              <a:chOff x="532" y="134"/>
              <a:chExt cx="56" cy="64"/>
            </a:xfrm>
          </xdr:grpSpPr>
          <xdr:sp>
            <xdr:nvSpPr>
              <xdr:cNvPr id="1451" name="Shape 1451"/>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452" name="Shape 1452"/>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453" name="Shape 1453"/>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454" name="Shape 1454"/>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455" name="Shape 1455"/>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456" name="Shape 1456"/>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457" name="Shape 1457"/>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458" name="Shape 145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459" name="Shape 145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460" name="Shape 146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461" name="Shape 1461"/>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462" name="Shape 1462"/>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463" name="Shape 146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464" name="Shape 1464"/>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465" name="Shape 1465"/>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9</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466" name="Shape 1466"/>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67" name="Shape 1467"/>
            <xdr:cNvGrpSpPr/>
          </xdr:nvGrpSpPr>
          <xdr:grpSpPr>
            <a:xfrm>
              <a:off x="5188838" y="3603788"/>
              <a:ext cx="314325" cy="352425"/>
              <a:chOff x="532" y="134"/>
              <a:chExt cx="56" cy="64"/>
            </a:xfrm>
          </xdr:grpSpPr>
          <xdr:sp>
            <xdr:nvSpPr>
              <xdr:cNvPr id="1468" name="Shape 1468"/>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469" name="Shape 1469"/>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470" name="Shape 1470"/>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471" name="Shape 1471"/>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472" name="Shape 1472"/>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473" name="Shape 1473"/>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474" name="Shape 1474"/>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475" name="Shape 147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476" name="Shape 147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477" name="Shape 147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478" name="Shape 1478"/>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479" name="Shape 1479"/>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480" name="Shape 148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481" name="Shape 1481"/>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482" name="Shape 1482"/>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6</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483" name="Shape 1483"/>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484" name="Shape 1484"/>
            <xdr:cNvGrpSpPr/>
          </xdr:nvGrpSpPr>
          <xdr:grpSpPr>
            <a:xfrm>
              <a:off x="5188838" y="3603788"/>
              <a:ext cx="314325" cy="352425"/>
              <a:chOff x="532" y="134"/>
              <a:chExt cx="56" cy="64"/>
            </a:xfrm>
          </xdr:grpSpPr>
          <xdr:sp>
            <xdr:nvSpPr>
              <xdr:cNvPr id="1485" name="Shape 1485"/>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486" name="Shape 1486"/>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487" name="Shape 1487"/>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488" name="Shape 1488"/>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489" name="Shape 1489"/>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490" name="Shape 1490"/>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491" name="Shape 1491"/>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492" name="Shape 149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493" name="Shape 149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494" name="Shape 149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495" name="Shape 1495"/>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496" name="Shape 1496"/>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497" name="Shape 149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498" name="Shape 1498"/>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499" name="Shape 1499"/>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4</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500" name="Shape 1500"/>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01" name="Shape 1501"/>
            <xdr:cNvGrpSpPr/>
          </xdr:nvGrpSpPr>
          <xdr:grpSpPr>
            <a:xfrm>
              <a:off x="5188838" y="3603788"/>
              <a:ext cx="314325" cy="352425"/>
              <a:chOff x="532" y="134"/>
              <a:chExt cx="56" cy="64"/>
            </a:xfrm>
          </xdr:grpSpPr>
          <xdr:sp>
            <xdr:nvSpPr>
              <xdr:cNvPr id="1502" name="Shape 1502"/>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503" name="Shape 1503"/>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504" name="Shape 1504"/>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505" name="Shape 1505"/>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506" name="Shape 1506"/>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507" name="Shape 1507"/>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508" name="Shape 1508"/>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509" name="Shape 150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510" name="Shape 151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511" name="Shape 151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512" name="Shape 1512"/>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513" name="Shape 1513"/>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514" name="Shape 151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515" name="Shape 1515"/>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516" name="Shape 1516"/>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5</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517" name="Shape 1517"/>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18" name="Shape 1518"/>
            <xdr:cNvGrpSpPr/>
          </xdr:nvGrpSpPr>
          <xdr:grpSpPr>
            <a:xfrm>
              <a:off x="5188838" y="3603788"/>
              <a:ext cx="314325" cy="352425"/>
              <a:chOff x="532" y="134"/>
              <a:chExt cx="56" cy="64"/>
            </a:xfrm>
          </xdr:grpSpPr>
          <xdr:sp>
            <xdr:nvSpPr>
              <xdr:cNvPr id="1519" name="Shape 1519"/>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520" name="Shape 1520"/>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521" name="Shape 1521"/>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522" name="Shape 1522"/>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523" name="Shape 1523"/>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524" name="Shape 1524"/>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525" name="Shape 1525"/>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526" name="Shape 152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527" name="Shape 152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528" name="Shape 152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529" name="Shape 1529"/>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530" name="Shape 1530"/>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531" name="Shape 153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532" name="Shape 1532"/>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533" name="Shape 1533"/>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3</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534" name="Shape 1534"/>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35" name="Shape 1535"/>
            <xdr:cNvGrpSpPr/>
          </xdr:nvGrpSpPr>
          <xdr:grpSpPr>
            <a:xfrm>
              <a:off x="5188838" y="3603788"/>
              <a:ext cx="314325" cy="352425"/>
              <a:chOff x="532" y="134"/>
              <a:chExt cx="56" cy="64"/>
            </a:xfrm>
          </xdr:grpSpPr>
          <xdr:sp>
            <xdr:nvSpPr>
              <xdr:cNvPr id="1536" name="Shape 1536"/>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537" name="Shape 1537"/>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538" name="Shape 1538"/>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539" name="Shape 1539"/>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540" name="Shape 1540"/>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541" name="Shape 1541"/>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542" name="Shape 1542"/>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543" name="Shape 154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544" name="Shape 154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545" name="Shape 154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546" name="Shape 1546"/>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547" name="Shape 1547"/>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548" name="Shape 154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549" name="Shape 1549"/>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550" name="Shape 1550"/>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2</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551" name="Shape 1551"/>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52" name="Shape 1552"/>
            <xdr:cNvGrpSpPr/>
          </xdr:nvGrpSpPr>
          <xdr:grpSpPr>
            <a:xfrm>
              <a:off x="5188838" y="3603788"/>
              <a:ext cx="314325" cy="352425"/>
              <a:chOff x="532" y="134"/>
              <a:chExt cx="56" cy="64"/>
            </a:xfrm>
          </xdr:grpSpPr>
          <xdr:sp>
            <xdr:nvSpPr>
              <xdr:cNvPr id="1553" name="Shape 1553"/>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554" name="Shape 1554"/>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555" name="Shape 1555"/>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556" name="Shape 1556"/>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557" name="Shape 1557"/>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558" name="Shape 1558"/>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559" name="Shape 1559"/>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560" name="Shape 156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561" name="Shape 156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562" name="Shape 156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563" name="Shape 1563"/>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564" name="Shape 1564"/>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565" name="Shape 156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566" name="Shape 1566"/>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567" name="Shape 1567"/>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123825</xdr:colOff>
      <xdr:row>1</xdr:row>
      <xdr:rowOff>238125</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568" name="Shape 1568" title="Рисунок"/>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69" name="Shape 1569"/>
            <xdr:cNvGrpSpPr/>
          </xdr:nvGrpSpPr>
          <xdr:grpSpPr>
            <a:xfrm>
              <a:off x="5188838" y="3603788"/>
              <a:ext cx="314325" cy="352425"/>
              <a:chOff x="532" y="134"/>
              <a:chExt cx="56" cy="64"/>
            </a:xfrm>
          </xdr:grpSpPr>
          <xdr:sp>
            <xdr:nvSpPr>
              <xdr:cNvPr id="1570" name="Shape 1570"/>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571" name="Shape 1571"/>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572" name="Shape 1572"/>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573" name="Shape 1573"/>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574" name="Shape 1574"/>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575" name="Shape 1575"/>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576" name="Shape 1576"/>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577" name="Shape 157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578" name="Shape 1578"/>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579" name="Shape 157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580" name="Shape 1580"/>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581" name="Shape 1581"/>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582" name="Shape 158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583" name="Shape 1583"/>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584" name="Shape 1584"/>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86</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585" name="Shape 1585"/>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586" name="Shape 1586"/>
            <xdr:cNvGrpSpPr/>
          </xdr:nvGrpSpPr>
          <xdr:grpSpPr>
            <a:xfrm>
              <a:off x="5188838" y="3603788"/>
              <a:ext cx="314325" cy="352425"/>
              <a:chOff x="532" y="134"/>
              <a:chExt cx="56" cy="64"/>
            </a:xfrm>
          </xdr:grpSpPr>
          <xdr:sp>
            <xdr:nvSpPr>
              <xdr:cNvPr id="1587" name="Shape 1587"/>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588" name="Shape 1588"/>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589" name="Shape 1589"/>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590" name="Shape 1590"/>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591" name="Shape 1591"/>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592" name="Shape 1592"/>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593" name="Shape 1593"/>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594" name="Shape 159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595" name="Shape 1595"/>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596" name="Shape 159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597" name="Shape 1597"/>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598" name="Shape 1598"/>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599" name="Shape 159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600" name="Shape 1600"/>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601" name="Shape 1601"/>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36</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602" name="Shape 1602"/>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03" name="Shape 1603"/>
            <xdr:cNvGrpSpPr/>
          </xdr:nvGrpSpPr>
          <xdr:grpSpPr>
            <a:xfrm>
              <a:off x="5188838" y="3603788"/>
              <a:ext cx="314325" cy="352425"/>
              <a:chOff x="532" y="134"/>
              <a:chExt cx="56" cy="64"/>
            </a:xfrm>
          </xdr:grpSpPr>
          <xdr:sp>
            <xdr:nvSpPr>
              <xdr:cNvPr id="1604" name="Shape 1604"/>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605" name="Shape 1605"/>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606" name="Shape 1606"/>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607" name="Shape 1607"/>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608" name="Shape 1608"/>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609" name="Shape 1609"/>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610" name="Shape 1610"/>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611" name="Shape 1611"/>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612" name="Shape 1612"/>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613" name="Shape 161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614" name="Shape 1614"/>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615" name="Shape 1615"/>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616" name="Shape 1616"/>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617" name="Shape 1617"/>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618" name="Shape 1618"/>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105</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619" name="Shape 1619"/>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20" name="Shape 1620"/>
            <xdr:cNvGrpSpPr/>
          </xdr:nvGrpSpPr>
          <xdr:grpSpPr>
            <a:xfrm>
              <a:off x="5188838" y="3603788"/>
              <a:ext cx="314325" cy="352425"/>
              <a:chOff x="532" y="134"/>
              <a:chExt cx="56" cy="64"/>
            </a:xfrm>
          </xdr:grpSpPr>
          <xdr:sp>
            <xdr:nvSpPr>
              <xdr:cNvPr id="1621" name="Shape 1621"/>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622" name="Shape 1622"/>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623" name="Shape 1623"/>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624" name="Shape 1624"/>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625" name="Shape 1625"/>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626" name="Shape 1626"/>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627" name="Shape 1627"/>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628" name="Shape 1628"/>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629" name="Shape 1629"/>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630" name="Shape 163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631" name="Shape 1631"/>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632" name="Shape 1632"/>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633" name="Shape 1633"/>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634" name="Shape 1634"/>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635" name="Shape 1635"/>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106</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636" name="Shape 1636"/>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37" name="Shape 1637"/>
            <xdr:cNvGrpSpPr/>
          </xdr:nvGrpSpPr>
          <xdr:grpSpPr>
            <a:xfrm>
              <a:off x="5188838" y="3603788"/>
              <a:ext cx="314325" cy="352425"/>
              <a:chOff x="532" y="134"/>
              <a:chExt cx="56" cy="64"/>
            </a:xfrm>
          </xdr:grpSpPr>
          <xdr:sp>
            <xdr:nvSpPr>
              <xdr:cNvPr id="1638" name="Shape 1638"/>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639" name="Shape 1639"/>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640" name="Shape 1640"/>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641" name="Shape 1641"/>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642" name="Shape 1642"/>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643" name="Shape 1643"/>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644" name="Shape 1644"/>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645" name="Shape 1645"/>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646" name="Shape 1646"/>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647" name="Shape 1647"/>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648" name="Shape 1648"/>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649" name="Shape 1649"/>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650" name="Shape 1650"/>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651" name="Shape 1651"/>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652" name="Shape 1652"/>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108</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653" name="Shape 1653"/>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54" name="Shape 1654"/>
            <xdr:cNvGrpSpPr/>
          </xdr:nvGrpSpPr>
          <xdr:grpSpPr>
            <a:xfrm>
              <a:off x="5188838" y="3603788"/>
              <a:ext cx="314325" cy="352425"/>
              <a:chOff x="532" y="134"/>
              <a:chExt cx="56" cy="64"/>
            </a:xfrm>
          </xdr:grpSpPr>
          <xdr:sp>
            <xdr:nvSpPr>
              <xdr:cNvPr id="1655" name="Shape 1655"/>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656" name="Shape 1656"/>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657" name="Shape 1657"/>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658" name="Shape 1658"/>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659" name="Shape 1659"/>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660" name="Shape 1660"/>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661" name="Shape 1661"/>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662" name="Shape 1662"/>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663" name="Shape 1663"/>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664" name="Shape 1664"/>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665" name="Shape 1665"/>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666" name="Shape 1666"/>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667" name="Shape 1667"/>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668" name="Shape 1668"/>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669" name="Shape 1669"/>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6</xdr:col>
      <xdr:colOff>133350</xdr:colOff>
      <xdr:row>107</xdr:row>
      <xdr:rowOff>247650</xdr:rowOff>
    </xdr:from>
    <xdr:ext cx="314325" cy="352425"/>
    <xdr:grpSp>
      <xdr:nvGrpSpPr>
        <xdr:cNvPr id="2" name="Shape 2"/>
        <xdr:cNvGrpSpPr/>
      </xdr:nvGrpSpPr>
      <xdr:grpSpPr>
        <a:xfrm>
          <a:off x="5188838" y="3603788"/>
          <a:ext cx="314325" cy="352425"/>
          <a:chOff x="5188838" y="3603788"/>
          <a:chExt cx="314325" cy="352425"/>
        </a:xfrm>
      </xdr:grpSpPr>
      <xdr:grpSp>
        <xdr:nvGrpSpPr>
          <xdr:cNvPr id="1670" name="Shape 1670"/>
          <xdr:cNvGrpSpPr/>
        </xdr:nvGrpSpPr>
        <xdr:grpSpPr>
          <a:xfrm>
            <a:off x="5188838" y="3603788"/>
            <a:ext cx="314325" cy="352425"/>
            <a:chOff x="5188838" y="3603788"/>
            <a:chExt cx="314325" cy="352425"/>
          </a:xfrm>
        </xdr:grpSpPr>
        <xdr:sp>
          <xdr:nvSpPr>
            <xdr:cNvPr id="4" name="Shape 4"/>
            <xdr:cNvSpPr/>
          </xdr:nvSpPr>
          <xdr:spPr>
            <a:xfrm>
              <a:off x="5188838" y="3603788"/>
              <a:ext cx="314325" cy="3524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1671" name="Shape 1671"/>
            <xdr:cNvGrpSpPr/>
          </xdr:nvGrpSpPr>
          <xdr:grpSpPr>
            <a:xfrm>
              <a:off x="5188838" y="3603788"/>
              <a:ext cx="314325" cy="352425"/>
              <a:chOff x="532" y="134"/>
              <a:chExt cx="56" cy="64"/>
            </a:xfrm>
          </xdr:grpSpPr>
          <xdr:sp>
            <xdr:nvSpPr>
              <xdr:cNvPr id="1672" name="Shape 1672"/>
              <xdr:cNvSpPr/>
            </xdr:nvSpPr>
            <xdr:spPr>
              <a:xfrm>
                <a:off x="532" y="134"/>
                <a:ext cx="50"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673" name="Shape 1673"/>
              <xdr:cNvSpPr/>
            </xdr:nvSpPr>
            <xdr:spPr>
              <a:xfrm>
                <a:off x="532" y="134"/>
                <a:ext cx="56" cy="64"/>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1674" name="Shape 1674"/>
              <xdr:cNvSpPr/>
            </xdr:nvSpPr>
            <xdr:spPr>
              <a:xfrm>
                <a:off x="558" y="134"/>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675" name="Shape 1675"/>
              <xdr:cNvSpPr/>
            </xdr:nvSpPr>
            <xdr:spPr>
              <a:xfrm>
                <a:off x="533" y="165"/>
                <a:ext cx="55" cy="33"/>
              </a:xfrm>
              <a:custGeom>
                <a:rect b="b" l="l" r="r" t="t"/>
                <a:pathLst>
                  <a:path extrusionOk="0" h="33" w="55">
                    <a:moveTo>
                      <a:pt x="29" y="33"/>
                    </a:moveTo>
                    <a:lnTo>
                      <a:pt x="0" y="18"/>
                    </a:lnTo>
                    <a:lnTo>
                      <a:pt x="26" y="0"/>
                    </a:lnTo>
                    <a:lnTo>
                      <a:pt x="55" y="15"/>
                    </a:lnTo>
                    <a:lnTo>
                      <a:pt x="29" y="33"/>
                    </a:lnTo>
                    <a:close/>
                  </a:path>
                </a:pathLst>
              </a:custGeom>
              <a:solidFill>
                <a:srgbClr val="919191"/>
              </a:solidFill>
              <a:ln>
                <a:noFill/>
              </a:ln>
            </xdr:spPr>
          </xdr:sp>
          <xdr:sp>
            <xdr:nvSpPr>
              <xdr:cNvPr id="1676" name="Shape 1676"/>
              <xdr:cNvSpPr/>
            </xdr:nvSpPr>
            <xdr:spPr>
              <a:xfrm>
                <a:off x="558" y="134"/>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677" name="Shape 1677"/>
              <xdr:cNvSpPr/>
            </xdr:nvSpPr>
            <xdr:spPr>
              <a:xfrm>
                <a:off x="533" y="183"/>
                <a:ext cx="29" cy="15"/>
              </a:xfrm>
              <a:custGeom>
                <a:rect b="b" l="l" r="r" t="t"/>
                <a:pathLst>
                  <a:path extrusionOk="0" h="15" w="29">
                    <a:moveTo>
                      <a:pt x="29" y="15"/>
                    </a:moveTo>
                    <a:lnTo>
                      <a:pt x="0" y="0"/>
                    </a:lnTo>
                    <a:lnTo>
                      <a:pt x="0" y="0"/>
                    </a:lnTo>
                    <a:lnTo>
                      <a:pt x="29" y="15"/>
                    </a:lnTo>
                    <a:lnTo>
                      <a:pt x="29" y="15"/>
                    </a:lnTo>
                    <a:close/>
                  </a:path>
                </a:pathLst>
              </a:custGeom>
              <a:solidFill>
                <a:srgbClr val="939393"/>
              </a:solidFill>
              <a:ln>
                <a:noFill/>
              </a:ln>
            </xdr:spPr>
          </xdr:sp>
          <xdr:sp>
            <xdr:nvSpPr>
              <xdr:cNvPr id="1678" name="Shape 1678"/>
              <xdr:cNvSpPr/>
            </xdr:nvSpPr>
            <xdr:spPr>
              <a:xfrm>
                <a:off x="532" y="134"/>
                <a:ext cx="55" cy="33"/>
              </a:xfrm>
              <a:custGeom>
                <a:rect b="b" l="l" r="r" t="t"/>
                <a:pathLst>
                  <a:path extrusionOk="0" h="33" w="55">
                    <a:moveTo>
                      <a:pt x="29" y="33"/>
                    </a:moveTo>
                    <a:lnTo>
                      <a:pt x="0" y="18"/>
                    </a:lnTo>
                    <a:lnTo>
                      <a:pt x="26" y="0"/>
                    </a:lnTo>
                    <a:lnTo>
                      <a:pt x="55" y="15"/>
                    </a:lnTo>
                    <a:lnTo>
                      <a:pt x="29" y="33"/>
                    </a:lnTo>
                    <a:close/>
                  </a:path>
                </a:pathLst>
              </a:custGeom>
              <a:solidFill>
                <a:srgbClr val="49494A"/>
              </a:solidFill>
              <a:ln>
                <a:noFill/>
              </a:ln>
            </xdr:spPr>
          </xdr:sp>
          <xdr:sp>
            <xdr:nvSpPr>
              <xdr:cNvPr id="1679" name="Shape 1679"/>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4C4C4D"/>
              </a:solidFill>
              <a:ln>
                <a:noFill/>
              </a:ln>
            </xdr:spPr>
          </xdr:sp>
          <xdr:sp>
            <xdr:nvSpPr>
              <xdr:cNvPr id="1680" name="Shape 1680"/>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close/>
                    <a:moveTo>
                      <a:pt x="27" y="31"/>
                    </a:moveTo>
                    <a:lnTo>
                      <a:pt x="26" y="0"/>
                    </a:lnTo>
                    <a:lnTo>
                      <a:pt x="0" y="18"/>
                    </a:lnTo>
                    <a:lnTo>
                      <a:pt x="1" y="49"/>
                    </a:lnTo>
                    <a:lnTo>
                      <a:pt x="27" y="31"/>
                    </a:lnTo>
                    <a:close/>
                  </a:path>
                </a:pathLst>
              </a:custGeom>
              <a:solidFill>
                <a:srgbClr val="929292"/>
              </a:solidFill>
              <a:ln>
                <a:noFill/>
              </a:ln>
            </xdr:spPr>
          </xdr:sp>
          <xdr:sp>
            <xdr:nvSpPr>
              <xdr:cNvPr id="1681" name="Shape 1681"/>
              <xdr:cNvSpPr/>
            </xdr:nvSpPr>
            <xdr:spPr>
              <a:xfrm>
                <a:off x="561" y="149"/>
                <a:ext cx="27" cy="49"/>
              </a:xfrm>
              <a:custGeom>
                <a:rect b="b" l="l" r="r" t="t"/>
                <a:pathLst>
                  <a:path extrusionOk="0" h="49" w="27">
                    <a:moveTo>
                      <a:pt x="26" y="0"/>
                    </a:moveTo>
                    <a:lnTo>
                      <a:pt x="26" y="0"/>
                    </a:lnTo>
                    <a:lnTo>
                      <a:pt x="26" y="0"/>
                    </a:lnTo>
                    <a:lnTo>
                      <a:pt x="27" y="31"/>
                    </a:lnTo>
                    <a:lnTo>
                      <a:pt x="27" y="31"/>
                    </a:lnTo>
                    <a:lnTo>
                      <a:pt x="27" y="32"/>
                    </a:lnTo>
                    <a:lnTo>
                      <a:pt x="1" y="49"/>
                    </a:lnTo>
                    <a:lnTo>
                      <a:pt x="1" y="49"/>
                    </a:lnTo>
                    <a:lnTo>
                      <a:pt x="1" y="49"/>
                    </a:lnTo>
                    <a:lnTo>
                      <a:pt x="0" y="18"/>
                    </a:lnTo>
                    <a:lnTo>
                      <a:pt x="0" y="17"/>
                    </a:lnTo>
                    <a:lnTo>
                      <a:pt x="0" y="17"/>
                    </a:lnTo>
                    <a:lnTo>
                      <a:pt x="26" y="0"/>
                    </a:lnTo>
                    <a:moveTo>
                      <a:pt x="27" y="31"/>
                    </a:moveTo>
                    <a:lnTo>
                      <a:pt x="26" y="0"/>
                    </a:lnTo>
                    <a:lnTo>
                      <a:pt x="0" y="18"/>
                    </a:lnTo>
                    <a:lnTo>
                      <a:pt x="1" y="49"/>
                    </a:lnTo>
                    <a:lnTo>
                      <a:pt x="27" y="31"/>
                    </a:lnTo>
                  </a:path>
                </a:pathLst>
              </a:custGeom>
              <a:noFill/>
              <a:ln>
                <a:noFill/>
              </a:ln>
            </xdr:spPr>
          </xdr:sp>
          <xdr:sp>
            <xdr:nvSpPr>
              <xdr:cNvPr id="1682" name="Shape 1682"/>
              <xdr:cNvSpPr/>
            </xdr:nvSpPr>
            <xdr:spPr>
              <a:xfrm>
                <a:off x="561" y="149"/>
                <a:ext cx="27" cy="49"/>
              </a:xfrm>
              <a:custGeom>
                <a:rect b="b" l="l" r="r" t="t"/>
                <a:pathLst>
                  <a:path extrusionOk="0" h="49" w="27">
                    <a:moveTo>
                      <a:pt x="26" y="0"/>
                    </a:moveTo>
                    <a:lnTo>
                      <a:pt x="27" y="31"/>
                    </a:lnTo>
                    <a:lnTo>
                      <a:pt x="1" y="49"/>
                    </a:lnTo>
                    <a:lnTo>
                      <a:pt x="0" y="18"/>
                    </a:lnTo>
                    <a:lnTo>
                      <a:pt x="26" y="0"/>
                    </a:lnTo>
                    <a:close/>
                  </a:path>
                </a:pathLst>
              </a:custGeom>
              <a:solidFill>
                <a:srgbClr val="4B4B4B"/>
              </a:solidFill>
              <a:ln>
                <a:noFill/>
              </a:ln>
            </xdr:spPr>
          </xdr:sp>
          <xdr:sp>
            <xdr:nvSpPr>
              <xdr:cNvPr id="1683" name="Shape 1683"/>
              <xdr:cNvSpPr/>
            </xdr:nvSpPr>
            <xdr:spPr>
              <a:xfrm>
                <a:off x="532" y="134"/>
                <a:ext cx="55" cy="32"/>
              </a:xfrm>
              <a:custGeom>
                <a:rect b="b" l="l" r="r" t="t"/>
                <a:pathLst>
                  <a:path extrusionOk="0" h="32" w="55">
                    <a:moveTo>
                      <a:pt x="29" y="32"/>
                    </a:moveTo>
                    <a:lnTo>
                      <a:pt x="0" y="17"/>
                    </a:lnTo>
                    <a:lnTo>
                      <a:pt x="26" y="0"/>
                    </a:lnTo>
                    <a:lnTo>
                      <a:pt x="55" y="15"/>
                    </a:lnTo>
                    <a:lnTo>
                      <a:pt x="29" y="32"/>
                    </a:lnTo>
                    <a:close/>
                  </a:path>
                </a:pathLst>
              </a:custGeom>
              <a:solidFill>
                <a:srgbClr val="919191"/>
              </a:solidFill>
              <a:ln>
                <a:noFill/>
              </a:ln>
            </xdr:spPr>
          </xdr:sp>
          <xdr:sp>
            <xdr:nvSpPr>
              <xdr:cNvPr id="1684" name="Shape 1684"/>
              <xdr:cNvSpPr/>
            </xdr:nvSpPr>
            <xdr:spPr>
              <a:xfrm>
                <a:off x="532" y="152"/>
                <a:ext cx="30" cy="46"/>
              </a:xfrm>
              <a:custGeom>
                <a:rect b="b" l="l" r="r" t="t"/>
                <a:pathLst>
                  <a:path extrusionOk="0" h="46" w="30">
                    <a:moveTo>
                      <a:pt x="30" y="46"/>
                    </a:moveTo>
                    <a:lnTo>
                      <a:pt x="1" y="31"/>
                    </a:lnTo>
                    <a:lnTo>
                      <a:pt x="0" y="0"/>
                    </a:lnTo>
                    <a:lnTo>
                      <a:pt x="29" y="15"/>
                    </a:lnTo>
                    <a:lnTo>
                      <a:pt x="30" y="46"/>
                    </a:lnTo>
                    <a:close/>
                  </a:path>
                </a:pathLst>
              </a:custGeom>
              <a:solidFill>
                <a:srgbClr val="939393"/>
              </a:solidFill>
              <a:ln>
                <a:noFill/>
              </a:ln>
            </xdr:spPr>
          </xdr:sp>
          <xdr:sp>
            <xdr:nvSpPr>
              <xdr:cNvPr id="1685" name="Shape 1685"/>
              <xdr:cNvSpPr/>
            </xdr:nvSpPr>
            <xdr:spPr>
              <a:xfrm>
                <a:off x="532" y="151"/>
                <a:ext cx="29" cy="15"/>
              </a:xfrm>
              <a:custGeom>
                <a:rect b="b" l="l" r="r" t="t"/>
                <a:pathLst>
                  <a:path extrusionOk="0" h="15" w="29">
                    <a:moveTo>
                      <a:pt x="29" y="15"/>
                    </a:moveTo>
                    <a:lnTo>
                      <a:pt x="0" y="0"/>
                    </a:lnTo>
                    <a:lnTo>
                      <a:pt x="0" y="0"/>
                    </a:lnTo>
                    <a:lnTo>
                      <a:pt x="29" y="15"/>
                    </a:lnTo>
                    <a:lnTo>
                      <a:pt x="29" y="15"/>
                    </a:lnTo>
                    <a:close/>
                  </a:path>
                </a:pathLst>
              </a:custGeom>
              <a:solidFill>
                <a:srgbClr val="919191"/>
              </a:solidFill>
              <a:ln>
                <a:noFill/>
              </a:ln>
            </xdr:spPr>
          </xdr:sp>
          <xdr:sp>
            <xdr:nvSpPr>
              <xdr:cNvPr id="1686" name="Shape 1686"/>
              <xdr:cNvSpPr/>
            </xdr:nvSpPr>
            <xdr:spPr>
              <a:xfrm>
                <a:off x="532" y="151"/>
                <a:ext cx="29" cy="16"/>
              </a:xfrm>
              <a:custGeom>
                <a:rect b="b" l="l" r="r" t="t"/>
                <a:pathLst>
                  <a:path extrusionOk="0" h="16" w="29">
                    <a:moveTo>
                      <a:pt x="29" y="16"/>
                    </a:moveTo>
                    <a:lnTo>
                      <a:pt x="0" y="1"/>
                    </a:lnTo>
                    <a:lnTo>
                      <a:pt x="0" y="0"/>
                    </a:lnTo>
                    <a:lnTo>
                      <a:pt x="29" y="15"/>
                    </a:lnTo>
                    <a:lnTo>
                      <a:pt x="29" y="16"/>
                    </a:lnTo>
                    <a:close/>
                  </a:path>
                </a:pathLst>
              </a:custGeom>
              <a:solidFill>
                <a:srgbClr val="939393"/>
              </a:solidFill>
              <a:ln>
                <a:noFill/>
              </a:ln>
            </xdr:spPr>
          </xdr:sp>
        </xdr:grpSp>
      </xdr:grpSp>
    </xdr:grpSp>
    <xdr:clientData fLocksWithSheet="0"/>
  </xdr:oneCellAnchor>
  <xdr:oneCellAnchor>
    <xdr:from>
      <xdr:col>7</xdr:col>
      <xdr:colOff>190500</xdr:colOff>
      <xdr:row>0</xdr:row>
      <xdr:rowOff>47625</xdr:rowOff>
    </xdr:from>
    <xdr:ext cx="228600" cy="266700"/>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76200</xdr:colOff>
      <xdr:row>0</xdr:row>
      <xdr:rowOff>38100</xdr:rowOff>
    </xdr:from>
    <xdr:ext cx="333375" cy="323850"/>
    <xdr:pic>
      <xdr:nvPicPr>
        <xdr:cNvPr id="0" name="image17.png"/>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76200</xdr:colOff>
      <xdr:row>0</xdr:row>
      <xdr:rowOff>104775</xdr:rowOff>
    </xdr:from>
    <xdr:ext cx="476250" cy="209550"/>
    <xdr:pic>
      <xdr:nvPicPr>
        <xdr:cNvPr id="0" name="image13.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85725</xdr:colOff>
      <xdr:row>0</xdr:row>
      <xdr:rowOff>104775</xdr:rowOff>
    </xdr:from>
    <xdr:ext cx="314325" cy="209550"/>
    <xdr:pic>
      <xdr:nvPicPr>
        <xdr:cNvPr id="0" name="image21.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95250</xdr:colOff>
      <xdr:row>0</xdr:row>
      <xdr:rowOff>47625</xdr:rowOff>
    </xdr:from>
    <xdr:ext cx="295275" cy="266700"/>
    <xdr:pic>
      <xdr:nvPicPr>
        <xdr:cNvPr id="0" name="image12.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152400</xdr:colOff>
      <xdr:row>0</xdr:row>
      <xdr:rowOff>47625</xdr:rowOff>
    </xdr:from>
    <xdr:ext cx="219075" cy="266700"/>
    <xdr:pic>
      <xdr:nvPicPr>
        <xdr:cNvPr id="0" name="image19.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161925</xdr:colOff>
      <xdr:row>0</xdr:row>
      <xdr:rowOff>47625</xdr:rowOff>
    </xdr:from>
    <xdr:ext cx="228600" cy="266700"/>
    <xdr:pic>
      <xdr:nvPicPr>
        <xdr:cNvPr id="0" name="image15.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123825</xdr:colOff>
      <xdr:row>0</xdr:row>
      <xdr:rowOff>47625</xdr:rowOff>
    </xdr:from>
    <xdr:ext cx="209550" cy="266700"/>
    <xdr:pic>
      <xdr:nvPicPr>
        <xdr:cNvPr id="0" name="image18.pn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76200</xdr:colOff>
      <xdr:row>103</xdr:row>
      <xdr:rowOff>114300</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98</xdr:row>
      <xdr:rowOff>123825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99</xdr:row>
      <xdr:rowOff>104775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89</xdr:row>
      <xdr:rowOff>104775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88</xdr:row>
      <xdr:rowOff>123825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87</xdr:row>
      <xdr:rowOff>123825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85</xdr:row>
      <xdr:rowOff>123825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84</xdr:row>
      <xdr:rowOff>133350</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83</xdr:row>
      <xdr:rowOff>123825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72</xdr:row>
      <xdr:rowOff>114300</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67</xdr:row>
      <xdr:rowOff>142875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66</xdr:row>
      <xdr:rowOff>123825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64</xdr:row>
      <xdr:rowOff>85725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61</xdr:row>
      <xdr:rowOff>114300</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60</xdr:row>
      <xdr:rowOff>114300</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59</xdr:row>
      <xdr:rowOff>104775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58</xdr:row>
      <xdr:rowOff>95250</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56</xdr:row>
      <xdr:rowOff>95250</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57</xdr:row>
      <xdr:rowOff>76200</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50</xdr:row>
      <xdr:rowOff>142875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49</xdr:row>
      <xdr:rowOff>142875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42</xdr:row>
      <xdr:rowOff>133350</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40</xdr:row>
      <xdr:rowOff>161925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39</xdr:row>
      <xdr:rowOff>133350</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37</xdr:row>
      <xdr:rowOff>142875</xdr:rowOff>
    </xdr:from>
    <xdr:ext cx="533400" cy="504825"/>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26</xdr:row>
      <xdr:rowOff>123825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23</xdr:row>
      <xdr:rowOff>114300</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19</xdr:row>
      <xdr:rowOff>95250</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18</xdr:row>
      <xdr:rowOff>95250</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10</xdr:row>
      <xdr:rowOff>114300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11</xdr:row>
      <xdr:rowOff>114300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13</xdr:row>
      <xdr:rowOff>95250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15</xdr:row>
      <xdr:rowOff>95250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22</xdr:row>
      <xdr:rowOff>95250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21</xdr:row>
      <xdr:rowOff>114300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30</xdr:row>
      <xdr:rowOff>95250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34</xdr:row>
      <xdr:rowOff>123825</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35</xdr:row>
      <xdr:rowOff>142875</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62</xdr:row>
      <xdr:rowOff>95250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63</xdr:row>
      <xdr:rowOff>114300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76</xdr:row>
      <xdr:rowOff>133350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77</xdr:row>
      <xdr:rowOff>104775</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78</xdr:row>
      <xdr:rowOff>104775</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102</xdr:row>
      <xdr:rowOff>133350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12</xdr:row>
      <xdr:rowOff>104775</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25</xdr:row>
      <xdr:rowOff>104775</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24</xdr:row>
      <xdr:rowOff>114300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33</xdr:row>
      <xdr:rowOff>114300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38</xdr:row>
      <xdr:rowOff>123825</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43</xdr:row>
      <xdr:rowOff>133350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44</xdr:row>
      <xdr:rowOff>142875</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47</xdr:row>
      <xdr:rowOff>142875</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46</xdr:row>
      <xdr:rowOff>123825</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48</xdr:row>
      <xdr:rowOff>133350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69</xdr:row>
      <xdr:rowOff>114300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70</xdr:row>
      <xdr:rowOff>114300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73</xdr:row>
      <xdr:rowOff>114300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74</xdr:row>
      <xdr:rowOff>114300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75</xdr:row>
      <xdr:rowOff>114300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82</xdr:row>
      <xdr:rowOff>114300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81</xdr:row>
      <xdr:rowOff>133350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90</xdr:row>
      <xdr:rowOff>95250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91</xdr:row>
      <xdr:rowOff>114300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92</xdr:row>
      <xdr:rowOff>114300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93</xdr:row>
      <xdr:rowOff>114300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94</xdr:row>
      <xdr:rowOff>114300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95</xdr:row>
      <xdr:rowOff>123825</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96</xdr:row>
      <xdr:rowOff>114300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97</xdr:row>
      <xdr:rowOff>152400</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104</xdr:row>
      <xdr:rowOff>142875</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101</xdr:row>
      <xdr:rowOff>95250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8</xdr:row>
      <xdr:rowOff>114300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29</xdr:row>
      <xdr:rowOff>123825</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71</xdr:row>
      <xdr:rowOff>123825</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7</xdr:row>
      <xdr:rowOff>104775</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16</xdr:row>
      <xdr:rowOff>114300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17</xdr:row>
      <xdr:rowOff>114300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20</xdr:row>
      <xdr:rowOff>95250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27</xdr:row>
      <xdr:rowOff>133350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31</xdr:row>
      <xdr:rowOff>133350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32</xdr:row>
      <xdr:rowOff>123825</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41</xdr:row>
      <xdr:rowOff>133350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45</xdr:row>
      <xdr:rowOff>133350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51</xdr:row>
      <xdr:rowOff>142875</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52</xdr:row>
      <xdr:rowOff>47625</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53</xdr:row>
      <xdr:rowOff>114300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55</xdr:row>
      <xdr:rowOff>114300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54</xdr:row>
      <xdr:rowOff>114300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68</xdr:row>
      <xdr:rowOff>133350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79</xdr:row>
      <xdr:rowOff>114300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80</xdr:row>
      <xdr:rowOff>114300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100</xdr:row>
      <xdr:rowOff>104775</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14</xdr:row>
      <xdr:rowOff>104775</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133350</xdr:colOff>
      <xdr:row>69</xdr:row>
      <xdr:rowOff>238125</xdr:rowOff>
    </xdr:from>
    <xdr:ext cx="314325" cy="352425"/>
    <xdr:pic>
      <xdr:nvPicPr>
        <xdr:cNvPr id="0" name="image26.pn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133350</xdr:colOff>
      <xdr:row>58</xdr:row>
      <xdr:rowOff>257175</xdr:rowOff>
    </xdr:from>
    <xdr:ext cx="314325" cy="352425"/>
    <xdr:pic>
      <xdr:nvPicPr>
        <xdr:cNvPr id="0" name="image26.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133350</xdr:colOff>
      <xdr:row>59</xdr:row>
      <xdr:rowOff>257175</xdr:rowOff>
    </xdr:from>
    <xdr:ext cx="314325" cy="352425"/>
    <xdr:pic>
      <xdr:nvPicPr>
        <xdr:cNvPr id="0" name="image26.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133350</xdr:colOff>
      <xdr:row>23</xdr:row>
      <xdr:rowOff>219075</xdr:rowOff>
    </xdr:from>
    <xdr:ext cx="314325" cy="352425"/>
    <xdr:pic>
      <xdr:nvPicPr>
        <xdr:cNvPr id="0" name="image25.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133350</xdr:colOff>
      <xdr:row>66</xdr:row>
      <xdr:rowOff>219075</xdr:rowOff>
    </xdr:from>
    <xdr:ext cx="314325" cy="352425"/>
    <xdr:pic>
      <xdr:nvPicPr>
        <xdr:cNvPr id="0" name="image25.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133350</xdr:colOff>
      <xdr:row>69</xdr:row>
      <xdr:rowOff>200025</xdr:rowOff>
    </xdr:from>
    <xdr:ext cx="314325" cy="352425"/>
    <xdr:pic>
      <xdr:nvPicPr>
        <xdr:cNvPr id="0" name="image25.png" title="Изображение"/>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133350</xdr:colOff>
      <xdr:row>78</xdr:row>
      <xdr:rowOff>219075</xdr:rowOff>
    </xdr:from>
    <xdr:ext cx="314325" cy="352425"/>
    <xdr:pic>
      <xdr:nvPicPr>
        <xdr:cNvPr id="0" name="image25.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133350</xdr:colOff>
      <xdr:row>41</xdr:row>
      <xdr:rowOff>219075</xdr:rowOff>
    </xdr:from>
    <xdr:ext cx="314325" cy="352425"/>
    <xdr:pic>
      <xdr:nvPicPr>
        <xdr:cNvPr id="0" name="image25.pn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76200</xdr:colOff>
      <xdr:row>65</xdr:row>
      <xdr:rowOff>123825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86</xdr:row>
      <xdr:rowOff>104775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36</xdr:row>
      <xdr:rowOff>171450</xdr:rowOff>
    </xdr:from>
    <xdr:ext cx="533400" cy="504825"/>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28</xdr:row>
      <xdr:rowOff>123825</xdr:rowOff>
    </xdr:from>
    <xdr:ext cx="533400" cy="5334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76200</xdr:colOff>
      <xdr:row>9</xdr:row>
      <xdr:rowOff>133350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6</xdr:row>
      <xdr:rowOff>133350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3</xdr:row>
      <xdr:rowOff>133350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2</xdr:row>
      <xdr:rowOff>133350</xdr:rowOff>
    </xdr:from>
    <xdr:ext cx="533400" cy="533400"/>
    <xdr:pic>
      <xdr:nvPicPr>
        <xdr:cNvPr id="0" name="image24.pn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76200</xdr:colOff>
      <xdr:row>4</xdr:row>
      <xdr:rowOff>104775</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5</xdr:row>
      <xdr:rowOff>104775</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1</xdr:row>
      <xdr:rowOff>47625</xdr:rowOff>
    </xdr:from>
    <xdr:ext cx="533400" cy="533400"/>
    <xdr:pic>
      <xdr:nvPicPr>
        <xdr:cNvPr id="0" name="image20.png" title="Изображение"/>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123825</xdr:colOff>
      <xdr:row>28</xdr:row>
      <xdr:rowOff>247650</xdr:rowOff>
    </xdr:from>
    <xdr:ext cx="314325" cy="352425"/>
    <xdr:pic>
      <xdr:nvPicPr>
        <xdr:cNvPr id="0" name="image26.png" title="Изображение"/>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76200</xdr:colOff>
      <xdr:row>107</xdr:row>
      <xdr:rowOff>95250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108</xdr:row>
      <xdr:rowOff>95250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108</xdr:row>
      <xdr:rowOff>95250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105</xdr:row>
      <xdr:rowOff>142875</xdr:rowOff>
    </xdr:from>
    <xdr:ext cx="533400" cy="533400"/>
    <xdr:pic>
      <xdr:nvPicPr>
        <xdr:cNvPr id="0" name="image23.pn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76200</xdr:colOff>
      <xdr:row>106</xdr:row>
      <xdr:rowOff>95250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76200</xdr:colOff>
      <xdr:row>106</xdr:row>
      <xdr:rowOff>95250</xdr:rowOff>
    </xdr:from>
    <xdr:ext cx="533400" cy="533400"/>
    <xdr:pic>
      <xdr:nvPicPr>
        <xdr:cNvPr id="0" name="image27.png"/>
        <xdr:cNvPicPr preferRelativeResize="0"/>
      </xdr:nvPicPr>
      <xdr:blipFill>
        <a:blip cstate="print" r:embed="rId1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1" Type="http://schemas.openxmlformats.org/officeDocument/2006/relationships/vmlDrawing" Target="../drawings/vmlDrawing1.vml"/><Relationship Id="rId10" Type="http://schemas.openxmlformats.org/officeDocument/2006/relationships/drawing" Target="../drawings/drawing4.xml"/><Relationship Id="rId1" Type="http://schemas.openxmlformats.org/officeDocument/2006/relationships/comments" Target="../comments1.xml"/><Relationship Id="rId2" Type="http://schemas.openxmlformats.org/officeDocument/2006/relationships/hyperlink" Target="https://descent2e.fandom.com/wiki/Brightblaze" TargetMode="External"/><Relationship Id="rId3" Type="http://schemas.openxmlformats.org/officeDocument/2006/relationships/hyperlink" Target="https://descent2e.fandom.com/wiki/Pico" TargetMode="External"/><Relationship Id="rId4" Type="http://schemas.openxmlformats.org/officeDocument/2006/relationships/hyperlink" Target="https://descent2e.fandom.com/wiki/Reanimate" TargetMode="External"/><Relationship Id="rId9" Type="http://schemas.openxmlformats.org/officeDocument/2006/relationships/hyperlink" Target="https://descent2e.fandom.com/wiki/Wolf" TargetMode="External"/><Relationship Id="rId5" Type="http://schemas.openxmlformats.org/officeDocument/2006/relationships/hyperlink" Target="https://descent2e.fandom.com/wiki/Scourge" TargetMode="External"/><Relationship Id="rId6" Type="http://schemas.openxmlformats.org/officeDocument/2006/relationships/hyperlink" Target="https://descent2e.fandom.com/wiki/Shadow_Soul" TargetMode="External"/><Relationship Id="rId7" Type="http://schemas.openxmlformats.org/officeDocument/2006/relationships/hyperlink" Target="https://descent2e.fandom.com/wiki/Skye" TargetMode="External"/><Relationship Id="rId8" Type="http://schemas.openxmlformats.org/officeDocument/2006/relationships/hyperlink" Target="https://descent2e.fandom.com/wiki/Summoned_Ston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escent2e.fandom.com/wiki/Brightblaze"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escent2e.fandom.com/wiki/Brightblaze"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escent2e.fandom.com/wiki/Brightblaze"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2.xml"/><Relationship Id="rId3"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11" Type="http://schemas.openxmlformats.org/officeDocument/2006/relationships/hyperlink" Target="https://descent2e.fandom.com/wiki/Terrified" TargetMode="External"/><Relationship Id="rId10" Type="http://schemas.openxmlformats.org/officeDocument/2006/relationships/hyperlink" Target="https://descent2e.fandom.com/wiki/Doomed" TargetMode="External"/><Relationship Id="rId13" Type="http://schemas.openxmlformats.org/officeDocument/2006/relationships/vmlDrawing" Target="../drawings/vmlDrawing3.vml"/><Relationship Id="rId12" Type="http://schemas.openxmlformats.org/officeDocument/2006/relationships/drawing" Target="../drawings/drawing13.xml"/><Relationship Id="rId1" Type="http://schemas.openxmlformats.org/officeDocument/2006/relationships/comments" Target="../comments3.xml"/><Relationship Id="rId2" Type="http://schemas.openxmlformats.org/officeDocument/2006/relationships/hyperlink" Target="https://descent2e.fandom.com/wiki/Diseased" TargetMode="External"/><Relationship Id="rId3" Type="http://schemas.openxmlformats.org/officeDocument/2006/relationships/hyperlink" Target="https://descent2e.fandom.com/wiki/Immobilized" TargetMode="External"/><Relationship Id="rId4" Type="http://schemas.openxmlformats.org/officeDocument/2006/relationships/hyperlink" Target="https://descent2e.fandom.com/wiki/Poisoned" TargetMode="External"/><Relationship Id="rId9" Type="http://schemas.openxmlformats.org/officeDocument/2006/relationships/hyperlink" Target="https://descent2e.fandom.com/wiki/Bleeding" TargetMode="External"/><Relationship Id="rId5" Type="http://schemas.openxmlformats.org/officeDocument/2006/relationships/hyperlink" Target="https://descent2e.fandom.com/wiki/Stunned" TargetMode="External"/><Relationship Id="rId6" Type="http://schemas.openxmlformats.org/officeDocument/2006/relationships/hyperlink" Target="https://descent2e.fandom.com/wiki/Burning" TargetMode="External"/><Relationship Id="rId7" Type="http://schemas.openxmlformats.org/officeDocument/2006/relationships/hyperlink" Target="https://descent2e.fandom.com/wiki/Cursed_(condition)" TargetMode="External"/><Relationship Id="rId8" Type="http://schemas.openxmlformats.org/officeDocument/2006/relationships/hyperlink" Target="https://descent2e.fandom.com/wiki/Weakened" TargetMode="External"/></Relationships>
</file>

<file path=xl/worksheets/_rels/sheet14.xml.rels><?xml version="1.0" encoding="UTF-8" standalone="yes"?><Relationships xmlns="http://schemas.openxmlformats.org/package/2006/relationships"><Relationship Id="rId11" Type="http://schemas.openxmlformats.org/officeDocument/2006/relationships/hyperlink" Target="https://descent2e.fandom.com/wiki/Scourge" TargetMode="External"/><Relationship Id="rId10" Type="http://schemas.openxmlformats.org/officeDocument/2006/relationships/hyperlink" Target="https://descent2e.fandom.com/wiki/Raven_Flock" TargetMode="External"/><Relationship Id="rId12" Type="http://schemas.openxmlformats.org/officeDocument/2006/relationships/drawing" Target="../drawings/drawing14.xml"/><Relationship Id="rId1" Type="http://schemas.openxmlformats.org/officeDocument/2006/relationships/hyperlink" Target="https://descent2e.fandom.com/wiki/Reanimate" TargetMode="External"/><Relationship Id="rId2" Type="http://schemas.openxmlformats.org/officeDocument/2006/relationships/hyperlink" Target="https://descent2e.fandom.com/wiki/Skye" TargetMode="External"/><Relationship Id="rId3" Type="http://schemas.openxmlformats.org/officeDocument/2006/relationships/hyperlink" Target="https://descent2e.fandom.com/wiki/Pico" TargetMode="External"/><Relationship Id="rId4" Type="http://schemas.openxmlformats.org/officeDocument/2006/relationships/hyperlink" Target="https://descent2e.fandom.com/wiki/Brightblaze" TargetMode="External"/><Relationship Id="rId9" Type="http://schemas.openxmlformats.org/officeDocument/2006/relationships/hyperlink" Target="https://descent2e.fandom.com/wiki/Scourge" TargetMode="External"/><Relationship Id="rId5" Type="http://schemas.openxmlformats.org/officeDocument/2006/relationships/hyperlink" Target="https://descent2e.fandom.com/wiki/Summoned_Stone" TargetMode="External"/><Relationship Id="rId6" Type="http://schemas.openxmlformats.org/officeDocument/2006/relationships/hyperlink" Target="https://descent2e.fandom.com/wiki/Wolf" TargetMode="External"/><Relationship Id="rId7" Type="http://schemas.openxmlformats.org/officeDocument/2006/relationships/hyperlink" Target="https://descent2e.fandom.com/wiki/Shadow_Soul" TargetMode="External"/><Relationship Id="rId8" Type="http://schemas.openxmlformats.org/officeDocument/2006/relationships/hyperlink" Target="https://descent2e.fandom.com/wiki/Raven_Flock" TargetMode="External"/></Relationships>
</file>

<file path=xl/worksheets/_rels/sheet15.xml.rels><?xml version="1.0" encoding="UTF-8" standalone="yes"?><Relationships xmlns="http://schemas.openxmlformats.org/package/2006/relationships"><Relationship Id="rId40" Type="http://schemas.openxmlformats.org/officeDocument/2006/relationships/hyperlink" Target="https://descent2e.fandom.com/wiki/Lorekeeper" TargetMode="External"/><Relationship Id="rId190" Type="http://schemas.openxmlformats.org/officeDocument/2006/relationships/hyperlink" Target="https://descent2e.fandom.com/wiki/Soul_Reaper" TargetMode="External"/><Relationship Id="rId42" Type="http://schemas.openxmlformats.org/officeDocument/2006/relationships/hyperlink" Target="https://descent2e.fandom.com/wiki/Elementalist" TargetMode="External"/><Relationship Id="rId41" Type="http://schemas.openxmlformats.org/officeDocument/2006/relationships/hyperlink" Target="https://descent2e.fandom.com/wiki/Elementalist" TargetMode="External"/><Relationship Id="rId44" Type="http://schemas.openxmlformats.org/officeDocument/2006/relationships/hyperlink" Target="https://descent2e.fandom.com/wiki/Elementalist" TargetMode="External"/><Relationship Id="rId194" Type="http://schemas.openxmlformats.org/officeDocument/2006/relationships/hyperlink" Target="https://descent2e.fandom.com/wiki/Heretic" TargetMode="External"/><Relationship Id="rId43" Type="http://schemas.openxmlformats.org/officeDocument/2006/relationships/hyperlink" Target="https://descent2e.fandom.com/wiki/Elementalist" TargetMode="External"/><Relationship Id="rId193" Type="http://schemas.openxmlformats.org/officeDocument/2006/relationships/hyperlink" Target="https://descent2e.fandom.com/wiki/Heretic" TargetMode="External"/><Relationship Id="rId46" Type="http://schemas.openxmlformats.org/officeDocument/2006/relationships/hyperlink" Target="https://descent2e.fandom.com/wiki/Elementalist" TargetMode="External"/><Relationship Id="rId192" Type="http://schemas.openxmlformats.org/officeDocument/2006/relationships/hyperlink" Target="https://descent2e.fandom.com/wiki/Heretic" TargetMode="External"/><Relationship Id="rId45" Type="http://schemas.openxmlformats.org/officeDocument/2006/relationships/hyperlink" Target="https://descent2e.fandom.com/wiki/Elementalist" TargetMode="External"/><Relationship Id="rId191" Type="http://schemas.openxmlformats.org/officeDocument/2006/relationships/hyperlink" Target="https://descent2e.fandom.com/wiki/Heretic" TargetMode="External"/><Relationship Id="rId48" Type="http://schemas.openxmlformats.org/officeDocument/2006/relationships/hyperlink" Target="https://descent2e.fandom.com/wiki/Elementalist" TargetMode="External"/><Relationship Id="rId187" Type="http://schemas.openxmlformats.org/officeDocument/2006/relationships/hyperlink" Target="https://descent2e.fandom.com/wiki/Soul_Reaper" TargetMode="External"/><Relationship Id="rId47" Type="http://schemas.openxmlformats.org/officeDocument/2006/relationships/hyperlink" Target="https://descent2e.fandom.com/wiki/Elementalist" TargetMode="External"/><Relationship Id="rId186" Type="http://schemas.openxmlformats.org/officeDocument/2006/relationships/hyperlink" Target="https://descent2e.fandom.com/wiki/Soul_Reaper" TargetMode="External"/><Relationship Id="rId185" Type="http://schemas.openxmlformats.org/officeDocument/2006/relationships/hyperlink" Target="https://descent2e.fandom.com/wiki/Soul_Reaper" TargetMode="External"/><Relationship Id="rId49" Type="http://schemas.openxmlformats.org/officeDocument/2006/relationships/hyperlink" Target="https://descent2e.fandom.com/wiki/Elementalist" TargetMode="External"/><Relationship Id="rId184" Type="http://schemas.openxmlformats.org/officeDocument/2006/relationships/hyperlink" Target="https://descent2e.fandom.com/wiki/Soul_Reaper" TargetMode="External"/><Relationship Id="rId189" Type="http://schemas.openxmlformats.org/officeDocument/2006/relationships/hyperlink" Target="https://descent2e.fandom.com/wiki/Soul_Reaper" TargetMode="External"/><Relationship Id="rId188" Type="http://schemas.openxmlformats.org/officeDocument/2006/relationships/hyperlink" Target="https://descent2e.fandom.com/wiki/Soul_Reaper" TargetMode="External"/><Relationship Id="rId31" Type="http://schemas.openxmlformats.org/officeDocument/2006/relationships/hyperlink" Target="https://descent2e.fandom.com/wiki/Battlemage" TargetMode="External"/><Relationship Id="rId30" Type="http://schemas.openxmlformats.org/officeDocument/2006/relationships/hyperlink" Target="https://descent2e.fandom.com/wiki/Battlemage" TargetMode="External"/><Relationship Id="rId33" Type="http://schemas.openxmlformats.org/officeDocument/2006/relationships/hyperlink" Target="https://descent2e.fandom.com/wiki/Truthseer" TargetMode="External"/><Relationship Id="rId183" Type="http://schemas.openxmlformats.org/officeDocument/2006/relationships/hyperlink" Target="https://descent2e.fandom.com/wiki/Soul_Reaper" TargetMode="External"/><Relationship Id="rId32" Type="http://schemas.openxmlformats.org/officeDocument/2006/relationships/hyperlink" Target="https://descent2e.fandom.com/wiki/Battlemage" TargetMode="External"/><Relationship Id="rId182" Type="http://schemas.openxmlformats.org/officeDocument/2006/relationships/hyperlink" Target="https://descent2e.fandom.com/wiki/Soul_Reaper" TargetMode="External"/><Relationship Id="rId35" Type="http://schemas.openxmlformats.org/officeDocument/2006/relationships/hyperlink" Target="https://descent2e.fandom.com/wiki/Truthseer" TargetMode="External"/><Relationship Id="rId181" Type="http://schemas.openxmlformats.org/officeDocument/2006/relationships/hyperlink" Target="https://descent2e.fandom.com/wiki/Soul_Reaper" TargetMode="External"/><Relationship Id="rId34" Type="http://schemas.openxmlformats.org/officeDocument/2006/relationships/hyperlink" Target="https://descent2e.fandom.com/wiki/Truthseer" TargetMode="External"/><Relationship Id="rId180" Type="http://schemas.openxmlformats.org/officeDocument/2006/relationships/hyperlink" Target="https://descent2e.fandom.com/wiki/Watchman" TargetMode="External"/><Relationship Id="rId37" Type="http://schemas.openxmlformats.org/officeDocument/2006/relationships/hyperlink" Target="https://descent2e.fandom.com/wiki/Lorekeeper" TargetMode="External"/><Relationship Id="rId176" Type="http://schemas.openxmlformats.org/officeDocument/2006/relationships/hyperlink" Target="https://descent2e.fandom.com/wiki/Bard" TargetMode="External"/><Relationship Id="rId36" Type="http://schemas.openxmlformats.org/officeDocument/2006/relationships/hyperlink" Target="https://descent2e.fandom.com/wiki/Truthseer" TargetMode="External"/><Relationship Id="rId175" Type="http://schemas.openxmlformats.org/officeDocument/2006/relationships/hyperlink" Target="https://descent2e.fandom.com/wiki/Bard" TargetMode="External"/><Relationship Id="rId39" Type="http://schemas.openxmlformats.org/officeDocument/2006/relationships/hyperlink" Target="https://descent2e.fandom.com/wiki/Lorekeeper" TargetMode="External"/><Relationship Id="rId174" Type="http://schemas.openxmlformats.org/officeDocument/2006/relationships/hyperlink" Target="https://descent2e.fandom.com/wiki/Bard" TargetMode="External"/><Relationship Id="rId38" Type="http://schemas.openxmlformats.org/officeDocument/2006/relationships/hyperlink" Target="https://descent2e.fandom.com/wiki/Lorekeeper" TargetMode="External"/><Relationship Id="rId173" Type="http://schemas.openxmlformats.org/officeDocument/2006/relationships/hyperlink" Target="https://descent2e.fandom.com/wiki/Bard" TargetMode="External"/><Relationship Id="rId179" Type="http://schemas.openxmlformats.org/officeDocument/2006/relationships/hyperlink" Target="https://descent2e.fandom.com/wiki/Watchman" TargetMode="External"/><Relationship Id="rId178" Type="http://schemas.openxmlformats.org/officeDocument/2006/relationships/hyperlink" Target="https://descent2e.fandom.com/wiki/Watchman" TargetMode="External"/><Relationship Id="rId177" Type="http://schemas.openxmlformats.org/officeDocument/2006/relationships/hyperlink" Target="https://descent2e.fandom.com/wiki/Watchman" TargetMode="External"/><Relationship Id="rId20" Type="http://schemas.openxmlformats.org/officeDocument/2006/relationships/hyperlink" Target="https://descent2e.fandom.com/wiki/Hexer" TargetMode="External"/><Relationship Id="rId22" Type="http://schemas.openxmlformats.org/officeDocument/2006/relationships/hyperlink" Target="https://descent2e.fandom.com/wiki/Hexer" TargetMode="External"/><Relationship Id="rId21" Type="http://schemas.openxmlformats.org/officeDocument/2006/relationships/hyperlink" Target="https://descent2e.fandom.com/wiki/Hexer" TargetMode="External"/><Relationship Id="rId24" Type="http://schemas.openxmlformats.org/officeDocument/2006/relationships/hyperlink" Target="https://descent2e.fandom.com/wiki/Hexer" TargetMode="External"/><Relationship Id="rId23" Type="http://schemas.openxmlformats.org/officeDocument/2006/relationships/hyperlink" Target="https://descent2e.fandom.com/wiki/Hexer" TargetMode="External"/><Relationship Id="rId26" Type="http://schemas.openxmlformats.org/officeDocument/2006/relationships/hyperlink" Target="https://descent2e.fandom.com/wiki/Hexer" TargetMode="External"/><Relationship Id="rId25" Type="http://schemas.openxmlformats.org/officeDocument/2006/relationships/hyperlink" Target="https://descent2e.fandom.com/wiki/Hexer" TargetMode="External"/><Relationship Id="rId28" Type="http://schemas.openxmlformats.org/officeDocument/2006/relationships/hyperlink" Target="https://descent2e.fandom.com/wiki/Hexer" TargetMode="External"/><Relationship Id="rId27" Type="http://schemas.openxmlformats.org/officeDocument/2006/relationships/hyperlink" Target="https://descent2e.fandom.com/wiki/Hexer" TargetMode="External"/><Relationship Id="rId29" Type="http://schemas.openxmlformats.org/officeDocument/2006/relationships/hyperlink" Target="https://descent2e.fandom.com/wiki/Battlemage" TargetMode="External"/><Relationship Id="rId11" Type="http://schemas.openxmlformats.org/officeDocument/2006/relationships/hyperlink" Target="https://descent2e.fandom.com/wiki/Conjurer" TargetMode="External"/><Relationship Id="rId10" Type="http://schemas.openxmlformats.org/officeDocument/2006/relationships/hyperlink" Target="https://descent2e.fandom.com/wiki/Conjurer" TargetMode="External"/><Relationship Id="rId13" Type="http://schemas.openxmlformats.org/officeDocument/2006/relationships/hyperlink" Target="https://descent2e.fandom.com/wiki/Conjurer" TargetMode="External"/><Relationship Id="rId12" Type="http://schemas.openxmlformats.org/officeDocument/2006/relationships/hyperlink" Target="https://descent2e.fandom.com/wiki/Conjurer" TargetMode="External"/><Relationship Id="rId15" Type="http://schemas.openxmlformats.org/officeDocument/2006/relationships/hyperlink" Target="https://descent2e.fandom.com/wiki/Conjurer" TargetMode="External"/><Relationship Id="rId198" Type="http://schemas.openxmlformats.org/officeDocument/2006/relationships/hyperlink" Target="https://descent2e.fandom.com/wiki/Crusader" TargetMode="External"/><Relationship Id="rId14" Type="http://schemas.openxmlformats.org/officeDocument/2006/relationships/hyperlink" Target="https://descent2e.fandom.com/wiki/Conjurer" TargetMode="External"/><Relationship Id="rId197" Type="http://schemas.openxmlformats.org/officeDocument/2006/relationships/hyperlink" Target="https://descent2e.fandom.com/wiki/Crusader" TargetMode="External"/><Relationship Id="rId17" Type="http://schemas.openxmlformats.org/officeDocument/2006/relationships/hyperlink" Target="https://descent2e.fandom.com/wiki/Conjurer" TargetMode="External"/><Relationship Id="rId196" Type="http://schemas.openxmlformats.org/officeDocument/2006/relationships/hyperlink" Target="https://descent2e.fandom.com/wiki/Crusader" TargetMode="External"/><Relationship Id="rId16" Type="http://schemas.openxmlformats.org/officeDocument/2006/relationships/hyperlink" Target="https://descent2e.fandom.com/wiki/Conjurer" TargetMode="External"/><Relationship Id="rId195" Type="http://schemas.openxmlformats.org/officeDocument/2006/relationships/hyperlink" Target="https://descent2e.fandom.com/wiki/Crusader" TargetMode="External"/><Relationship Id="rId19" Type="http://schemas.openxmlformats.org/officeDocument/2006/relationships/hyperlink" Target="https://descent2e.fandom.com/wiki/Conjurer" TargetMode="External"/><Relationship Id="rId18" Type="http://schemas.openxmlformats.org/officeDocument/2006/relationships/hyperlink" Target="https://descent2e.fandom.com/wiki/Conjurer" TargetMode="External"/><Relationship Id="rId199" Type="http://schemas.openxmlformats.org/officeDocument/2006/relationships/drawing" Target="../drawings/drawing15.xml"/><Relationship Id="rId84" Type="http://schemas.openxmlformats.org/officeDocument/2006/relationships/hyperlink" Target="https://descent2e.fandom.com/wiki/Beastmaster" TargetMode="External"/><Relationship Id="rId83" Type="http://schemas.openxmlformats.org/officeDocument/2006/relationships/hyperlink" Target="https://descent2e.fandom.com/wiki/Beastmaster" TargetMode="External"/><Relationship Id="rId86" Type="http://schemas.openxmlformats.org/officeDocument/2006/relationships/hyperlink" Target="https://descent2e.fandom.com/wiki/Beastmaster" TargetMode="External"/><Relationship Id="rId85" Type="http://schemas.openxmlformats.org/officeDocument/2006/relationships/hyperlink" Target="https://descent2e.fandom.com/wiki/Beastmaster" TargetMode="External"/><Relationship Id="rId88" Type="http://schemas.openxmlformats.org/officeDocument/2006/relationships/hyperlink" Target="https://descent2e.fandom.com/wiki/Beastmaster" TargetMode="External"/><Relationship Id="rId150" Type="http://schemas.openxmlformats.org/officeDocument/2006/relationships/hyperlink" Target="https://descent2e.fandom.com/wiki/Prophet" TargetMode="External"/><Relationship Id="rId87" Type="http://schemas.openxmlformats.org/officeDocument/2006/relationships/hyperlink" Target="https://descent2e.fandom.com/wiki/Beastmaster" TargetMode="External"/><Relationship Id="rId89" Type="http://schemas.openxmlformats.org/officeDocument/2006/relationships/hyperlink" Target="https://descent2e.fandom.com/wiki/Beastmaster" TargetMode="External"/><Relationship Id="rId80" Type="http://schemas.openxmlformats.org/officeDocument/2006/relationships/hyperlink" Target="https://descent2e.fandom.com/wiki/Marshal" TargetMode="External"/><Relationship Id="rId82" Type="http://schemas.openxmlformats.org/officeDocument/2006/relationships/hyperlink" Target="https://descent2e.fandom.com/wiki/Beastmaster" TargetMode="External"/><Relationship Id="rId81" Type="http://schemas.openxmlformats.org/officeDocument/2006/relationships/hyperlink" Target="https://descent2e.fandom.com/wiki/Beastmaster" TargetMode="External"/><Relationship Id="rId1" Type="http://schemas.openxmlformats.org/officeDocument/2006/relationships/hyperlink" Target="https://descent2e.fandom.com/wiki/Geomancer" TargetMode="External"/><Relationship Id="rId2" Type="http://schemas.openxmlformats.org/officeDocument/2006/relationships/hyperlink" Target="https://descent2e.fandom.com/wiki/Geomancer" TargetMode="External"/><Relationship Id="rId3" Type="http://schemas.openxmlformats.org/officeDocument/2006/relationships/hyperlink" Target="https://descent2e.fandom.com/wiki/Geomancer" TargetMode="External"/><Relationship Id="rId149" Type="http://schemas.openxmlformats.org/officeDocument/2006/relationships/hyperlink" Target="https://descent2e.fandom.com/wiki/Ravager" TargetMode="External"/><Relationship Id="rId4" Type="http://schemas.openxmlformats.org/officeDocument/2006/relationships/hyperlink" Target="https://descent2e.fandom.com/wiki/Geomancer" TargetMode="External"/><Relationship Id="rId148" Type="http://schemas.openxmlformats.org/officeDocument/2006/relationships/hyperlink" Target="https://descent2e.fandom.com/wiki/Ravager" TargetMode="External"/><Relationship Id="rId9" Type="http://schemas.openxmlformats.org/officeDocument/2006/relationships/hyperlink" Target="https://descent2e.fandom.com/wiki/Geomancer" TargetMode="External"/><Relationship Id="rId143" Type="http://schemas.openxmlformats.org/officeDocument/2006/relationships/hyperlink" Target="https://descent2e.fandom.com/wiki/Trickster" TargetMode="External"/><Relationship Id="rId142" Type="http://schemas.openxmlformats.org/officeDocument/2006/relationships/hyperlink" Target="https://descent2e.fandom.com/wiki/Trickster" TargetMode="External"/><Relationship Id="rId141" Type="http://schemas.openxmlformats.org/officeDocument/2006/relationships/hyperlink" Target="https://descent2e.fandom.com/wiki/Monk" TargetMode="External"/><Relationship Id="rId140" Type="http://schemas.openxmlformats.org/officeDocument/2006/relationships/hyperlink" Target="https://descent2e.fandom.com/wiki/Monk" TargetMode="External"/><Relationship Id="rId5" Type="http://schemas.openxmlformats.org/officeDocument/2006/relationships/hyperlink" Target="https://descent2e.fandom.com/wiki/Geomancer" TargetMode="External"/><Relationship Id="rId147" Type="http://schemas.openxmlformats.org/officeDocument/2006/relationships/hyperlink" Target="https://descent2e.fandom.com/wiki/Ravager" TargetMode="External"/><Relationship Id="rId6" Type="http://schemas.openxmlformats.org/officeDocument/2006/relationships/hyperlink" Target="https://descent2e.fandom.com/wiki/Geomancer" TargetMode="External"/><Relationship Id="rId146" Type="http://schemas.openxmlformats.org/officeDocument/2006/relationships/hyperlink" Target="https://descent2e.fandom.com/wiki/Ravager" TargetMode="External"/><Relationship Id="rId7" Type="http://schemas.openxmlformats.org/officeDocument/2006/relationships/hyperlink" Target="https://descent2e.fandom.com/wiki/Geomancer" TargetMode="External"/><Relationship Id="rId145" Type="http://schemas.openxmlformats.org/officeDocument/2006/relationships/hyperlink" Target="https://descent2e.fandom.com/wiki/Trickster" TargetMode="External"/><Relationship Id="rId8" Type="http://schemas.openxmlformats.org/officeDocument/2006/relationships/hyperlink" Target="https://descent2e.fandom.com/wiki/Geomancer" TargetMode="External"/><Relationship Id="rId144" Type="http://schemas.openxmlformats.org/officeDocument/2006/relationships/hyperlink" Target="https://descent2e.fandom.com/wiki/Trickster" TargetMode="External"/><Relationship Id="rId73" Type="http://schemas.openxmlformats.org/officeDocument/2006/relationships/hyperlink" Target="https://descent2e.fandom.com/wiki/Marshal" TargetMode="External"/><Relationship Id="rId72" Type="http://schemas.openxmlformats.org/officeDocument/2006/relationships/hyperlink" Target="https://descent2e.fandom.com/wiki/Marshal" TargetMode="External"/><Relationship Id="rId75" Type="http://schemas.openxmlformats.org/officeDocument/2006/relationships/hyperlink" Target="https://descent2e.fandom.com/wiki/Marshal" TargetMode="External"/><Relationship Id="rId74" Type="http://schemas.openxmlformats.org/officeDocument/2006/relationships/hyperlink" Target="https://descent2e.fandom.com/wiki/Marshal" TargetMode="External"/><Relationship Id="rId77" Type="http://schemas.openxmlformats.org/officeDocument/2006/relationships/hyperlink" Target="https://descent2e.fandom.com/wiki/Marshal" TargetMode="External"/><Relationship Id="rId76" Type="http://schemas.openxmlformats.org/officeDocument/2006/relationships/hyperlink" Target="https://descent2e.fandom.com/wiki/Marshal" TargetMode="External"/><Relationship Id="rId79" Type="http://schemas.openxmlformats.org/officeDocument/2006/relationships/hyperlink" Target="https://descent2e.fandom.com/wiki/Marshal" TargetMode="External"/><Relationship Id="rId78" Type="http://schemas.openxmlformats.org/officeDocument/2006/relationships/hyperlink" Target="https://descent2e.fandom.com/wiki/Marshal" TargetMode="External"/><Relationship Id="rId71" Type="http://schemas.openxmlformats.org/officeDocument/2006/relationships/hyperlink" Target="https://descent2e.fandom.com/wiki/Skirmisher" TargetMode="External"/><Relationship Id="rId70" Type="http://schemas.openxmlformats.org/officeDocument/2006/relationships/hyperlink" Target="https://descent2e.fandom.com/wiki/Skirmisher" TargetMode="External"/><Relationship Id="rId139" Type="http://schemas.openxmlformats.org/officeDocument/2006/relationships/hyperlink" Target="https://descent2e.fandom.com/wiki/Monk" TargetMode="External"/><Relationship Id="rId138" Type="http://schemas.openxmlformats.org/officeDocument/2006/relationships/hyperlink" Target="https://descent2e.fandom.com/wiki/Monk" TargetMode="External"/><Relationship Id="rId137" Type="http://schemas.openxmlformats.org/officeDocument/2006/relationships/hyperlink" Target="https://descent2e.fandom.com/wiki/Bounty_Hunter" TargetMode="External"/><Relationship Id="rId132" Type="http://schemas.openxmlformats.org/officeDocument/2006/relationships/hyperlink" Target="https://descent2e.fandom.com/wiki/Bounty_Hunter" TargetMode="External"/><Relationship Id="rId131" Type="http://schemas.openxmlformats.org/officeDocument/2006/relationships/hyperlink" Target="https://descent2e.fandom.com/wiki/Bounty_Hunter" TargetMode="External"/><Relationship Id="rId130" Type="http://schemas.openxmlformats.org/officeDocument/2006/relationships/hyperlink" Target="https://descent2e.fandom.com/wiki/Bounty_Hunter" TargetMode="External"/><Relationship Id="rId136" Type="http://schemas.openxmlformats.org/officeDocument/2006/relationships/hyperlink" Target="https://descent2e.fandom.com/wiki/Bounty_Hunter" TargetMode="External"/><Relationship Id="rId135" Type="http://schemas.openxmlformats.org/officeDocument/2006/relationships/hyperlink" Target="https://descent2e.fandom.com/wiki/Bounty_Hunter" TargetMode="External"/><Relationship Id="rId134" Type="http://schemas.openxmlformats.org/officeDocument/2006/relationships/hyperlink" Target="https://descent2e.fandom.com/wiki/Bounty_Hunter" TargetMode="External"/><Relationship Id="rId133" Type="http://schemas.openxmlformats.org/officeDocument/2006/relationships/hyperlink" Target="https://descent2e.fandom.com/wiki/Bounty_Hunter" TargetMode="External"/><Relationship Id="rId62" Type="http://schemas.openxmlformats.org/officeDocument/2006/relationships/hyperlink" Target="https://descent2e.fandom.com/wiki/Champion" TargetMode="External"/><Relationship Id="rId61" Type="http://schemas.openxmlformats.org/officeDocument/2006/relationships/hyperlink" Target="https://descent2e.fandom.com/wiki/Champion" TargetMode="External"/><Relationship Id="rId64" Type="http://schemas.openxmlformats.org/officeDocument/2006/relationships/hyperlink" Target="https://descent2e.fandom.com/wiki/Skirmisher" TargetMode="External"/><Relationship Id="rId63" Type="http://schemas.openxmlformats.org/officeDocument/2006/relationships/hyperlink" Target="https://descent2e.fandom.com/wiki/Skirmisher" TargetMode="External"/><Relationship Id="rId66" Type="http://schemas.openxmlformats.org/officeDocument/2006/relationships/hyperlink" Target="https://descent2e.fandom.com/wiki/Skirmisher" TargetMode="External"/><Relationship Id="rId172" Type="http://schemas.openxmlformats.org/officeDocument/2006/relationships/hyperlink" Target="https://descent2e.fandom.com/wiki/Bard" TargetMode="External"/><Relationship Id="rId65" Type="http://schemas.openxmlformats.org/officeDocument/2006/relationships/hyperlink" Target="https://descent2e.fandom.com/wiki/Skirmisher" TargetMode="External"/><Relationship Id="rId171" Type="http://schemas.openxmlformats.org/officeDocument/2006/relationships/hyperlink" Target="https://descent2e.fandom.com/wiki/Bard" TargetMode="External"/><Relationship Id="rId68" Type="http://schemas.openxmlformats.org/officeDocument/2006/relationships/hyperlink" Target="https://descent2e.fandom.com/wiki/Skirmisher" TargetMode="External"/><Relationship Id="rId170" Type="http://schemas.openxmlformats.org/officeDocument/2006/relationships/hyperlink" Target="https://descent2e.fandom.com/wiki/Bard" TargetMode="External"/><Relationship Id="rId67" Type="http://schemas.openxmlformats.org/officeDocument/2006/relationships/hyperlink" Target="https://descent2e.fandom.com/wiki/Skirmisher" TargetMode="External"/><Relationship Id="rId60" Type="http://schemas.openxmlformats.org/officeDocument/2006/relationships/hyperlink" Target="https://descent2e.fandom.com/wiki/Champion" TargetMode="External"/><Relationship Id="rId165" Type="http://schemas.openxmlformats.org/officeDocument/2006/relationships/hyperlink" Target="https://descent2e.fandom.com/wiki/Apothecary" TargetMode="External"/><Relationship Id="rId69" Type="http://schemas.openxmlformats.org/officeDocument/2006/relationships/hyperlink" Target="https://descent2e.fandom.com/wiki/Skirmisher" TargetMode="External"/><Relationship Id="rId164" Type="http://schemas.openxmlformats.org/officeDocument/2006/relationships/hyperlink" Target="https://descent2e.fandom.com/wiki/Apothecary" TargetMode="External"/><Relationship Id="rId163" Type="http://schemas.openxmlformats.org/officeDocument/2006/relationships/hyperlink" Target="https://descent2e.fandom.com/wiki/Apothecary" TargetMode="External"/><Relationship Id="rId162" Type="http://schemas.openxmlformats.org/officeDocument/2006/relationships/hyperlink" Target="https://descent2e.fandom.com/wiki/Apothecary" TargetMode="External"/><Relationship Id="rId169" Type="http://schemas.openxmlformats.org/officeDocument/2006/relationships/hyperlink" Target="https://descent2e.fandom.com/wiki/Bard" TargetMode="External"/><Relationship Id="rId168" Type="http://schemas.openxmlformats.org/officeDocument/2006/relationships/hyperlink" Target="https://descent2e.fandom.com/wiki/Bard" TargetMode="External"/><Relationship Id="rId167" Type="http://schemas.openxmlformats.org/officeDocument/2006/relationships/hyperlink" Target="https://descent2e.fandom.com/wiki/Apothecary" TargetMode="External"/><Relationship Id="rId166" Type="http://schemas.openxmlformats.org/officeDocument/2006/relationships/hyperlink" Target="https://descent2e.fandom.com/wiki/Apothecary" TargetMode="External"/><Relationship Id="rId51" Type="http://schemas.openxmlformats.org/officeDocument/2006/relationships/hyperlink" Target="https://descent2e.fandom.com/wiki/Elementalist" TargetMode="External"/><Relationship Id="rId50" Type="http://schemas.openxmlformats.org/officeDocument/2006/relationships/hyperlink" Target="https://descent2e.fandom.com/wiki/Elementalist" TargetMode="External"/><Relationship Id="rId53" Type="http://schemas.openxmlformats.org/officeDocument/2006/relationships/hyperlink" Target="https://descent2e.fandom.com/wiki/Elementalist" TargetMode="External"/><Relationship Id="rId52" Type="http://schemas.openxmlformats.org/officeDocument/2006/relationships/hyperlink" Target="https://descent2e.fandom.com/wiki/Elementalist" TargetMode="External"/><Relationship Id="rId55" Type="http://schemas.openxmlformats.org/officeDocument/2006/relationships/hyperlink" Target="https://descent2e.fandom.com/wiki/Champion" TargetMode="External"/><Relationship Id="rId161" Type="http://schemas.openxmlformats.org/officeDocument/2006/relationships/hyperlink" Target="https://descent2e.fandom.com/wiki/Apothecary" TargetMode="External"/><Relationship Id="rId54" Type="http://schemas.openxmlformats.org/officeDocument/2006/relationships/hyperlink" Target="https://descent2e.fandom.com/wiki/Champion" TargetMode="External"/><Relationship Id="rId160" Type="http://schemas.openxmlformats.org/officeDocument/2006/relationships/hyperlink" Target="https://descent2e.fandom.com/wiki/Apothecary" TargetMode="External"/><Relationship Id="rId57" Type="http://schemas.openxmlformats.org/officeDocument/2006/relationships/hyperlink" Target="https://descent2e.fandom.com/wiki/Champion" TargetMode="External"/><Relationship Id="rId56" Type="http://schemas.openxmlformats.org/officeDocument/2006/relationships/hyperlink" Target="https://descent2e.fandom.com/wiki/Champion" TargetMode="External"/><Relationship Id="rId159" Type="http://schemas.openxmlformats.org/officeDocument/2006/relationships/hyperlink" Target="https://descent2e.fandom.com/wiki/Apothecary" TargetMode="External"/><Relationship Id="rId59" Type="http://schemas.openxmlformats.org/officeDocument/2006/relationships/hyperlink" Target="https://descent2e.fandom.com/wiki/Champion" TargetMode="External"/><Relationship Id="rId154" Type="http://schemas.openxmlformats.org/officeDocument/2006/relationships/hyperlink" Target="https://descent2e.fandom.com/wiki/Prophet" TargetMode="External"/><Relationship Id="rId58" Type="http://schemas.openxmlformats.org/officeDocument/2006/relationships/hyperlink" Target="https://descent2e.fandom.com/wiki/Champion" TargetMode="External"/><Relationship Id="rId153" Type="http://schemas.openxmlformats.org/officeDocument/2006/relationships/hyperlink" Target="https://descent2e.fandom.com/wiki/Prophet" TargetMode="External"/><Relationship Id="rId152" Type="http://schemas.openxmlformats.org/officeDocument/2006/relationships/hyperlink" Target="https://descent2e.fandom.com/wiki/Prophet" TargetMode="External"/><Relationship Id="rId151" Type="http://schemas.openxmlformats.org/officeDocument/2006/relationships/hyperlink" Target="https://descent2e.fandom.com/wiki/Prophet" TargetMode="External"/><Relationship Id="rId158" Type="http://schemas.openxmlformats.org/officeDocument/2006/relationships/hyperlink" Target="https://descent2e.fandom.com/wiki/Prophet" TargetMode="External"/><Relationship Id="rId157" Type="http://schemas.openxmlformats.org/officeDocument/2006/relationships/hyperlink" Target="https://descent2e.fandom.com/wiki/Prophet" TargetMode="External"/><Relationship Id="rId156" Type="http://schemas.openxmlformats.org/officeDocument/2006/relationships/hyperlink" Target="https://descent2e.fandom.com/wiki/Prophet" TargetMode="External"/><Relationship Id="rId155" Type="http://schemas.openxmlformats.org/officeDocument/2006/relationships/hyperlink" Target="https://descent2e.fandom.com/wiki/Prophet" TargetMode="External"/><Relationship Id="rId107" Type="http://schemas.openxmlformats.org/officeDocument/2006/relationships/hyperlink" Target="https://descent2e.fandom.com/wiki/Shadow_Walker" TargetMode="External"/><Relationship Id="rId106" Type="http://schemas.openxmlformats.org/officeDocument/2006/relationships/hyperlink" Target="https://descent2e.fandom.com/wiki/Shadow_Walker" TargetMode="External"/><Relationship Id="rId105" Type="http://schemas.openxmlformats.org/officeDocument/2006/relationships/hyperlink" Target="https://descent2e.fandom.com/wiki/Shadow_Walker" TargetMode="External"/><Relationship Id="rId104" Type="http://schemas.openxmlformats.org/officeDocument/2006/relationships/hyperlink" Target="https://descent2e.fandom.com/wiki/Shadow_Walker" TargetMode="External"/><Relationship Id="rId109" Type="http://schemas.openxmlformats.org/officeDocument/2006/relationships/hyperlink" Target="https://descent2e.fandom.com/wiki/Shadow_Walker" TargetMode="External"/><Relationship Id="rId108" Type="http://schemas.openxmlformats.org/officeDocument/2006/relationships/hyperlink" Target="https://descent2e.fandom.com/wiki/Shadow_Walker" TargetMode="External"/><Relationship Id="rId103" Type="http://schemas.openxmlformats.org/officeDocument/2006/relationships/hyperlink" Target="https://descent2e.fandom.com/wiki/Shadow_Walker" TargetMode="External"/><Relationship Id="rId102" Type="http://schemas.openxmlformats.org/officeDocument/2006/relationships/hyperlink" Target="https://descent2e.fandom.com/wiki/Shadow_Walker" TargetMode="External"/><Relationship Id="rId101" Type="http://schemas.openxmlformats.org/officeDocument/2006/relationships/hyperlink" Target="https://descent2e.fandom.com/wiki/Raider" TargetMode="External"/><Relationship Id="rId100" Type="http://schemas.openxmlformats.org/officeDocument/2006/relationships/hyperlink" Target="https://descent2e.fandom.com/wiki/Raider" TargetMode="External"/><Relationship Id="rId129" Type="http://schemas.openxmlformats.org/officeDocument/2006/relationships/hyperlink" Target="https://descent2e.fandom.com/wiki/Bounty_Hunter" TargetMode="External"/><Relationship Id="rId128" Type="http://schemas.openxmlformats.org/officeDocument/2006/relationships/hyperlink" Target="https://descent2e.fandom.com/wiki/Stalker" TargetMode="External"/><Relationship Id="rId127" Type="http://schemas.openxmlformats.org/officeDocument/2006/relationships/hyperlink" Target="https://descent2e.fandom.com/wiki/Stalker" TargetMode="External"/><Relationship Id="rId126" Type="http://schemas.openxmlformats.org/officeDocument/2006/relationships/hyperlink" Target="https://descent2e.fandom.com/wiki/Stalker" TargetMode="External"/><Relationship Id="rId121" Type="http://schemas.openxmlformats.org/officeDocument/2006/relationships/hyperlink" Target="https://descent2e.fandom.com/wiki/Stalker" TargetMode="External"/><Relationship Id="rId120" Type="http://schemas.openxmlformats.org/officeDocument/2006/relationships/hyperlink" Target="https://descent2e.fandom.com/wiki/Stalker" TargetMode="External"/><Relationship Id="rId125" Type="http://schemas.openxmlformats.org/officeDocument/2006/relationships/hyperlink" Target="https://descent2e.fandom.com/wiki/Stalker" TargetMode="External"/><Relationship Id="rId124" Type="http://schemas.openxmlformats.org/officeDocument/2006/relationships/hyperlink" Target="https://descent2e.fandom.com/wiki/Stalker" TargetMode="External"/><Relationship Id="rId123" Type="http://schemas.openxmlformats.org/officeDocument/2006/relationships/hyperlink" Target="https://descent2e.fandom.com/wiki/Stalker" TargetMode="External"/><Relationship Id="rId122" Type="http://schemas.openxmlformats.org/officeDocument/2006/relationships/hyperlink" Target="https://descent2e.fandom.com/wiki/Stalker" TargetMode="External"/><Relationship Id="rId95" Type="http://schemas.openxmlformats.org/officeDocument/2006/relationships/hyperlink" Target="https://descent2e.fandom.com/wiki/Avenger" TargetMode="External"/><Relationship Id="rId94" Type="http://schemas.openxmlformats.org/officeDocument/2006/relationships/hyperlink" Target="https://descent2e.fandom.com/wiki/Avenger" TargetMode="External"/><Relationship Id="rId97" Type="http://schemas.openxmlformats.org/officeDocument/2006/relationships/hyperlink" Target="https://descent2e.fandom.com/wiki/Avenger" TargetMode="External"/><Relationship Id="rId96" Type="http://schemas.openxmlformats.org/officeDocument/2006/relationships/hyperlink" Target="https://descent2e.fandom.com/wiki/Avenger" TargetMode="External"/><Relationship Id="rId99" Type="http://schemas.openxmlformats.org/officeDocument/2006/relationships/hyperlink" Target="https://descent2e.fandom.com/wiki/Raider" TargetMode="External"/><Relationship Id="rId98" Type="http://schemas.openxmlformats.org/officeDocument/2006/relationships/hyperlink" Target="https://descent2e.fandom.com/wiki/Raider" TargetMode="External"/><Relationship Id="rId91" Type="http://schemas.openxmlformats.org/officeDocument/2006/relationships/hyperlink" Target="https://descent2e.fandom.com/wiki/Steelcaster" TargetMode="External"/><Relationship Id="rId90" Type="http://schemas.openxmlformats.org/officeDocument/2006/relationships/hyperlink" Target="https://descent2e.fandom.com/wiki/Steelcaster" TargetMode="External"/><Relationship Id="rId93" Type="http://schemas.openxmlformats.org/officeDocument/2006/relationships/hyperlink" Target="https://descent2e.fandom.com/wiki/Steelcaster" TargetMode="External"/><Relationship Id="rId92" Type="http://schemas.openxmlformats.org/officeDocument/2006/relationships/hyperlink" Target="https://descent2e.fandom.com/wiki/Steelcaster" TargetMode="External"/><Relationship Id="rId118" Type="http://schemas.openxmlformats.org/officeDocument/2006/relationships/hyperlink" Target="https://descent2e.fandom.com/wiki/Treasure_Hunter" TargetMode="External"/><Relationship Id="rId117" Type="http://schemas.openxmlformats.org/officeDocument/2006/relationships/hyperlink" Target="https://descent2e.fandom.com/wiki/Treasure_Hunter" TargetMode="External"/><Relationship Id="rId116" Type="http://schemas.openxmlformats.org/officeDocument/2006/relationships/hyperlink" Target="https://descent2e.fandom.com/wiki/Treasure_Hunter" TargetMode="External"/><Relationship Id="rId115" Type="http://schemas.openxmlformats.org/officeDocument/2006/relationships/hyperlink" Target="https://descent2e.fandom.com/wiki/Treasure_Hunter" TargetMode="External"/><Relationship Id="rId119" Type="http://schemas.openxmlformats.org/officeDocument/2006/relationships/hyperlink" Target="https://descent2e.fandom.com/wiki/Treasure_Hunter" TargetMode="External"/><Relationship Id="rId110" Type="http://schemas.openxmlformats.org/officeDocument/2006/relationships/hyperlink" Target="https://descent2e.fandom.com/wiki/Shadow_Walker" TargetMode="External"/><Relationship Id="rId114" Type="http://schemas.openxmlformats.org/officeDocument/2006/relationships/hyperlink" Target="https://descent2e.fandom.com/wiki/Treasure_Hunter" TargetMode="External"/><Relationship Id="rId113" Type="http://schemas.openxmlformats.org/officeDocument/2006/relationships/hyperlink" Target="https://descent2e.fandom.com/wiki/Treasure_Hunter" TargetMode="External"/><Relationship Id="rId112" Type="http://schemas.openxmlformats.org/officeDocument/2006/relationships/hyperlink" Target="https://descent2e.fandom.com/wiki/Treasure_Hunter" TargetMode="External"/><Relationship Id="rId111" Type="http://schemas.openxmlformats.org/officeDocument/2006/relationships/hyperlink" Target="https://descent2e.fandom.com/wiki/Treasure_Hunter" TargetMode="Externa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40" Type="http://schemas.openxmlformats.org/officeDocument/2006/relationships/hyperlink" Target="https://descent2e.fandom.com/wiki/Labyrinth_of_Ruin" TargetMode="External"/><Relationship Id="rId42" Type="http://schemas.openxmlformats.org/officeDocument/2006/relationships/hyperlink" Target="https://descent2e.fandom.com/wiki/Shadow_of_Nerekhall" TargetMode="External"/><Relationship Id="rId41" Type="http://schemas.openxmlformats.org/officeDocument/2006/relationships/hyperlink" Target="https://descent2e.fandom.com/wiki/Rylan_Olliven" TargetMode="External"/><Relationship Id="rId44" Type="http://schemas.openxmlformats.org/officeDocument/2006/relationships/hyperlink" Target="https://descent2e.fandom.com/wiki/Shadow_of_Nerekhall" TargetMode="External"/><Relationship Id="rId43" Type="http://schemas.openxmlformats.org/officeDocument/2006/relationships/hyperlink" Target="https://descent2e.fandom.com/wiki/Rylan_Olliven" TargetMode="External"/><Relationship Id="rId46" Type="http://schemas.openxmlformats.org/officeDocument/2006/relationships/hyperlink" Target="https://descent2e.fandom.com/wiki/Labyrinth_of_Ruin" TargetMode="External"/><Relationship Id="rId45" Type="http://schemas.openxmlformats.org/officeDocument/2006/relationships/hyperlink" Target="https://descent2e.fandom.com/wiki/Serena_(Lieutenant)" TargetMode="External"/><Relationship Id="rId48" Type="http://schemas.openxmlformats.org/officeDocument/2006/relationships/hyperlink" Target="https://descent2e.fandom.com/wiki/Second_Edition_Base_Game" TargetMode="External"/><Relationship Id="rId47" Type="http://schemas.openxmlformats.org/officeDocument/2006/relationships/hyperlink" Target="https://descent2e.fandom.com/wiki/Sir_Alric_Farrow" TargetMode="External"/><Relationship Id="rId49" Type="http://schemas.openxmlformats.org/officeDocument/2006/relationships/hyperlink" Target="https://descent2e.fandom.com/wiki/Sir_Alric_Farrow" TargetMode="External"/><Relationship Id="rId31" Type="http://schemas.openxmlformats.org/officeDocument/2006/relationships/hyperlink" Target="https://descent2e.fandom.com/wiki/Lady_Eliza_Farrow" TargetMode="External"/><Relationship Id="rId30" Type="http://schemas.openxmlformats.org/officeDocument/2006/relationships/hyperlink" Target="https://descent2e.fandom.com/wiki/Second_Edition_Base_Game" TargetMode="External"/><Relationship Id="rId33" Type="http://schemas.openxmlformats.org/officeDocument/2006/relationships/hyperlink" Target="https://descent2e.fandom.com/wiki/Lord_Merick_Farrow" TargetMode="External"/><Relationship Id="rId32" Type="http://schemas.openxmlformats.org/officeDocument/2006/relationships/hyperlink" Target="https://descent2e.fandom.com/wiki/Second_Edition_Base_Game" TargetMode="External"/><Relationship Id="rId35" Type="http://schemas.openxmlformats.org/officeDocument/2006/relationships/hyperlink" Target="https://descent2e.fandom.com/wiki/Lord_Merick_Farrow" TargetMode="External"/><Relationship Id="rId34" Type="http://schemas.openxmlformats.org/officeDocument/2006/relationships/hyperlink" Target="https://descent2e.fandom.com/wiki/Second_Edition_Base_Game" TargetMode="External"/><Relationship Id="rId37" Type="http://schemas.openxmlformats.org/officeDocument/2006/relationships/hyperlink" Target="https://descent2e.fandom.com/wiki/Queen_Ariad" TargetMode="External"/><Relationship Id="rId36" Type="http://schemas.openxmlformats.org/officeDocument/2006/relationships/hyperlink" Target="https://descent2e.fandom.com/wiki/Second_Edition_Base_Game" TargetMode="External"/><Relationship Id="rId39" Type="http://schemas.openxmlformats.org/officeDocument/2006/relationships/hyperlink" Target="https://descent2e.fandom.com/wiki/Raythen_(Lieutenant)" TargetMode="External"/><Relationship Id="rId38" Type="http://schemas.openxmlformats.org/officeDocument/2006/relationships/hyperlink" Target="https://descent2e.fandom.com/wiki/Labyrinth_of_Ruin" TargetMode="External"/><Relationship Id="rId20" Type="http://schemas.openxmlformats.org/officeDocument/2006/relationships/hyperlink" Target="https://descent2e.fandom.com/wiki/The_Trollfens" TargetMode="External"/><Relationship Id="rId22" Type="http://schemas.openxmlformats.org/officeDocument/2006/relationships/hyperlink" Target="https://descent2e.fandom.com/wiki/Shadow_of_Nerekhall" TargetMode="External"/><Relationship Id="rId21" Type="http://schemas.openxmlformats.org/officeDocument/2006/relationships/hyperlink" Target="https://descent2e.fandom.com/wiki/Mirklace" TargetMode="External"/><Relationship Id="rId24" Type="http://schemas.openxmlformats.org/officeDocument/2006/relationships/hyperlink" Target="https://descent2e.fandom.com/wiki/Shadow_of_Nerekhall" TargetMode="External"/><Relationship Id="rId23" Type="http://schemas.openxmlformats.org/officeDocument/2006/relationships/hyperlink" Target="https://descent2e.fandom.com/wiki/Mirklace" TargetMode="External"/><Relationship Id="rId26" Type="http://schemas.openxmlformats.org/officeDocument/2006/relationships/hyperlink" Target="https://descent2e.fandom.com/wiki/Mists_of_Bilehall" TargetMode="External"/><Relationship Id="rId25" Type="http://schemas.openxmlformats.org/officeDocument/2006/relationships/hyperlink" Target="https://descent2e.fandom.com/wiki/Kyndrithul" TargetMode="External"/><Relationship Id="rId28" Type="http://schemas.openxmlformats.org/officeDocument/2006/relationships/hyperlink" Target="https://descent2e.fandom.com/wiki/Mists_of_Bilehall" TargetMode="External"/><Relationship Id="rId27" Type="http://schemas.openxmlformats.org/officeDocument/2006/relationships/hyperlink" Target="https://descent2e.fandom.com/wiki/Kyndrithul" TargetMode="External"/><Relationship Id="rId29" Type="http://schemas.openxmlformats.org/officeDocument/2006/relationships/hyperlink" Target="https://descent2e.fandom.com/wiki/Lady_Eliza_Farrow" TargetMode="External"/><Relationship Id="rId11" Type="http://schemas.openxmlformats.org/officeDocument/2006/relationships/hyperlink" Target="https://descent2e.fandom.com/wiki/Baron_Zachareth" TargetMode="External"/><Relationship Id="rId10" Type="http://schemas.openxmlformats.org/officeDocument/2006/relationships/hyperlink" Target="https://descent2e.fandom.com/wiki/Second_Edition_Base_Game" TargetMode="External"/><Relationship Id="rId13" Type="http://schemas.openxmlformats.org/officeDocument/2006/relationships/hyperlink" Target="https://descent2e.fandom.com/wiki/Belthir" TargetMode="External"/><Relationship Id="rId12" Type="http://schemas.openxmlformats.org/officeDocument/2006/relationships/hyperlink" Target="https://descent2e.fandom.com/wiki/Second_Edition_Base_Game" TargetMode="External"/><Relationship Id="rId15" Type="http://schemas.openxmlformats.org/officeDocument/2006/relationships/hyperlink" Target="https://descent2e.fandom.com/wiki/Belthir" TargetMode="External"/><Relationship Id="rId14" Type="http://schemas.openxmlformats.org/officeDocument/2006/relationships/hyperlink" Target="https://descent2e.fandom.com/wiki/Second_Edition_Base_Game" TargetMode="External"/><Relationship Id="rId17" Type="http://schemas.openxmlformats.org/officeDocument/2006/relationships/hyperlink" Target="https://descent2e.fandom.com/wiki/Bol%27Goreth" TargetMode="External"/><Relationship Id="rId16" Type="http://schemas.openxmlformats.org/officeDocument/2006/relationships/hyperlink" Target="https://descent2e.fandom.com/wiki/Second_Edition_Base_Game" TargetMode="External"/><Relationship Id="rId19" Type="http://schemas.openxmlformats.org/officeDocument/2006/relationships/hyperlink" Target="https://descent2e.fandom.com/wiki/Bol%27Goreth" TargetMode="External"/><Relationship Id="rId18" Type="http://schemas.openxmlformats.org/officeDocument/2006/relationships/hyperlink" Target="https://descent2e.fandom.com/wiki/The_Trollfens" TargetMode="External"/><Relationship Id="rId1" Type="http://schemas.openxmlformats.org/officeDocument/2006/relationships/hyperlink" Target="https://descent2e.fandom.com/wiki/Ardus_Ix%E2%80%99Erebus" TargetMode="External"/><Relationship Id="rId2" Type="http://schemas.openxmlformats.org/officeDocument/2006/relationships/hyperlink" Target="https://descent2e.fandom.com/wiki/Mists_of_Bilehall" TargetMode="External"/><Relationship Id="rId3" Type="http://schemas.openxmlformats.org/officeDocument/2006/relationships/hyperlink" Target="https://descent2e.fandom.com/wiki/Ardus_Ix%E2%80%99Erebus" TargetMode="External"/><Relationship Id="rId4" Type="http://schemas.openxmlformats.org/officeDocument/2006/relationships/hyperlink" Target="https://descent2e.fandom.com/wiki/Mists_of_Bilehall" TargetMode="External"/><Relationship Id="rId9" Type="http://schemas.openxmlformats.org/officeDocument/2006/relationships/hyperlink" Target="https://descent2e.fandom.com/wiki/Baron_Zachareth" TargetMode="External"/><Relationship Id="rId5" Type="http://schemas.openxmlformats.org/officeDocument/2006/relationships/hyperlink" Target="https://descent2e.fandom.com/wiki/Ariad" TargetMode="External"/><Relationship Id="rId6" Type="http://schemas.openxmlformats.org/officeDocument/2006/relationships/hyperlink" Target="https://descent2e.fandom.com/wiki/Labyrinth_of_Ruin" TargetMode="External"/><Relationship Id="rId7" Type="http://schemas.openxmlformats.org/officeDocument/2006/relationships/hyperlink" Target="https://descent2e.fandom.com/wiki/Ariad" TargetMode="External"/><Relationship Id="rId8" Type="http://schemas.openxmlformats.org/officeDocument/2006/relationships/hyperlink" Target="https://descent2e.fandom.com/wiki/Labyrinth_of_Ruin" TargetMode="External"/><Relationship Id="rId73" Type="http://schemas.openxmlformats.org/officeDocument/2006/relationships/hyperlink" Target="https://descent2e.fandom.com/wiki/Zarihell" TargetMode="External"/><Relationship Id="rId72" Type="http://schemas.openxmlformats.org/officeDocument/2006/relationships/hyperlink" Target="https://descent2e.fandom.com/wiki/Mists_of_Bilehall" TargetMode="External"/><Relationship Id="rId75" Type="http://schemas.openxmlformats.org/officeDocument/2006/relationships/drawing" Target="../drawings/drawing17.xml"/><Relationship Id="rId74" Type="http://schemas.openxmlformats.org/officeDocument/2006/relationships/hyperlink" Target="https://descent2e.fandom.com/wiki/Mists_of_Bilehall" TargetMode="External"/><Relationship Id="rId71" Type="http://schemas.openxmlformats.org/officeDocument/2006/relationships/hyperlink" Target="https://descent2e.fandom.com/wiki/Zarihell" TargetMode="External"/><Relationship Id="rId70" Type="http://schemas.openxmlformats.org/officeDocument/2006/relationships/hyperlink" Target="https://descent2e.fandom.com/wiki/Shadow_of_Nerekhall" TargetMode="External"/><Relationship Id="rId62" Type="http://schemas.openxmlformats.org/officeDocument/2006/relationships/hyperlink" Target="https://descent2e.fandom.com/wiki/Shadow_of_Nerekhall" TargetMode="External"/><Relationship Id="rId61" Type="http://schemas.openxmlformats.org/officeDocument/2006/relationships/hyperlink" Target="https://descent2e.fandom.com/wiki/Tristayne_Olliven" TargetMode="External"/><Relationship Id="rId64" Type="http://schemas.openxmlformats.org/officeDocument/2006/relationships/hyperlink" Target="https://descent2e.fandom.com/wiki/Lair_of_the_Wyrm" TargetMode="External"/><Relationship Id="rId63" Type="http://schemas.openxmlformats.org/officeDocument/2006/relationships/hyperlink" Target="https://descent2e.fandom.com/wiki/Valyndra" TargetMode="External"/><Relationship Id="rId66" Type="http://schemas.openxmlformats.org/officeDocument/2006/relationships/hyperlink" Target="https://descent2e.fandom.com/wiki/Lair_of_the_Wyrm" TargetMode="External"/><Relationship Id="rId65" Type="http://schemas.openxmlformats.org/officeDocument/2006/relationships/hyperlink" Target="https://descent2e.fandom.com/wiki/Valyndra" TargetMode="External"/><Relationship Id="rId68" Type="http://schemas.openxmlformats.org/officeDocument/2006/relationships/hyperlink" Target="https://descent2e.fandom.com/wiki/Shadow_of_Nerekhall" TargetMode="External"/><Relationship Id="rId67" Type="http://schemas.openxmlformats.org/officeDocument/2006/relationships/hyperlink" Target="https://descent2e.fandom.com/wiki/Verminous" TargetMode="External"/><Relationship Id="rId60" Type="http://schemas.openxmlformats.org/officeDocument/2006/relationships/hyperlink" Target="https://descent2e.fandom.com/wiki/Shadow_of_Nerekhall" TargetMode="External"/><Relationship Id="rId69" Type="http://schemas.openxmlformats.org/officeDocument/2006/relationships/hyperlink" Target="https://descent2e.fandom.com/wiki/Verminous" TargetMode="External"/><Relationship Id="rId51" Type="http://schemas.openxmlformats.org/officeDocument/2006/relationships/hyperlink" Target="https://descent2e.fandom.com/wiki/Skarn" TargetMode="External"/><Relationship Id="rId50" Type="http://schemas.openxmlformats.org/officeDocument/2006/relationships/hyperlink" Target="https://descent2e.fandom.com/wiki/Second_Edition_Base_Game" TargetMode="External"/><Relationship Id="rId53" Type="http://schemas.openxmlformats.org/officeDocument/2006/relationships/hyperlink" Target="https://descent2e.fandom.com/wiki/Skarn" TargetMode="External"/><Relationship Id="rId52" Type="http://schemas.openxmlformats.org/officeDocument/2006/relationships/hyperlink" Target="https://descent2e.fandom.com/wiki/Manor_of_Ravens" TargetMode="External"/><Relationship Id="rId55" Type="http://schemas.openxmlformats.org/officeDocument/2006/relationships/hyperlink" Target="https://descent2e.fandom.com/wiki/Splig" TargetMode="External"/><Relationship Id="rId54" Type="http://schemas.openxmlformats.org/officeDocument/2006/relationships/hyperlink" Target="https://descent2e.fandom.com/wiki/Manor_of_Ravens" TargetMode="External"/><Relationship Id="rId57" Type="http://schemas.openxmlformats.org/officeDocument/2006/relationships/hyperlink" Target="https://descent2e.fandom.com/wiki/Splig" TargetMode="External"/><Relationship Id="rId56" Type="http://schemas.openxmlformats.org/officeDocument/2006/relationships/hyperlink" Target="https://descent2e.fandom.com/wiki/Second_Edition_Base_Game" TargetMode="External"/><Relationship Id="rId59" Type="http://schemas.openxmlformats.org/officeDocument/2006/relationships/hyperlink" Target="https://descent2e.fandom.com/wiki/Tristayne_Olliven" TargetMode="External"/><Relationship Id="rId58" Type="http://schemas.openxmlformats.org/officeDocument/2006/relationships/hyperlink" Target="https://descent2e.fandom.com/wiki/Second_Edition_Base_Game" TargetMode="External"/></Relationships>
</file>

<file path=xl/worksheets/_rels/sheet18.xml.rels><?xml version="1.0" encoding="UTF-8" standalone="yes"?><Relationships xmlns="http://schemas.openxmlformats.org/package/2006/relationships"><Relationship Id="rId40" Type="http://schemas.openxmlformats.org/officeDocument/2006/relationships/hyperlink" Target="https://descent2e.fandom.com/wiki/Rylan_Olliven" TargetMode="External"/><Relationship Id="rId42" Type="http://schemas.openxmlformats.org/officeDocument/2006/relationships/hyperlink" Target="https://descent2e.fandom.com/wiki/Rylan_Olliven" TargetMode="External"/><Relationship Id="rId41" Type="http://schemas.openxmlformats.org/officeDocument/2006/relationships/hyperlink" Target="https://descent2e.fandom.com/wiki/Shadow_of_Nerekhall" TargetMode="External"/><Relationship Id="rId44" Type="http://schemas.openxmlformats.org/officeDocument/2006/relationships/hyperlink" Target="https://descent2e.fandom.com/wiki/Serena_(Lieutenant)" TargetMode="External"/><Relationship Id="rId43" Type="http://schemas.openxmlformats.org/officeDocument/2006/relationships/hyperlink" Target="https://descent2e.fandom.com/wiki/Shadow_of_Nerekhall" TargetMode="External"/><Relationship Id="rId46" Type="http://schemas.openxmlformats.org/officeDocument/2006/relationships/hyperlink" Target="https://descent2e.fandom.com/wiki/Labyrinth_of_Ruin" TargetMode="External"/><Relationship Id="rId45" Type="http://schemas.openxmlformats.org/officeDocument/2006/relationships/hyperlink" Target="https://descent2e.fandom.com/wiki/Serena_(Lieutenant)" TargetMode="External"/><Relationship Id="rId48" Type="http://schemas.openxmlformats.org/officeDocument/2006/relationships/hyperlink" Target="https://descent2e.fandom.com/wiki/Second_Edition_Base_Game" TargetMode="External"/><Relationship Id="rId47" Type="http://schemas.openxmlformats.org/officeDocument/2006/relationships/hyperlink" Target="https://descent2e.fandom.com/wiki/Sir_Alric_Farrow" TargetMode="External"/><Relationship Id="rId49" Type="http://schemas.openxmlformats.org/officeDocument/2006/relationships/hyperlink" Target="https://descent2e.fandom.com/wiki/Sir_Alric_Farrow" TargetMode="External"/><Relationship Id="rId31" Type="http://schemas.openxmlformats.org/officeDocument/2006/relationships/hyperlink" Target="https://descent2e.fandom.com/wiki/Lady_Eliza_Farrow" TargetMode="External"/><Relationship Id="rId30" Type="http://schemas.openxmlformats.org/officeDocument/2006/relationships/hyperlink" Target="https://descent2e.fandom.com/wiki/Second_Edition_Base_Game" TargetMode="External"/><Relationship Id="rId33" Type="http://schemas.openxmlformats.org/officeDocument/2006/relationships/hyperlink" Target="https://descent2e.fandom.com/wiki/Lord_Merick_Farrow" TargetMode="External"/><Relationship Id="rId32" Type="http://schemas.openxmlformats.org/officeDocument/2006/relationships/hyperlink" Target="https://descent2e.fandom.com/wiki/Second_Edition_Base_Game" TargetMode="External"/><Relationship Id="rId35" Type="http://schemas.openxmlformats.org/officeDocument/2006/relationships/hyperlink" Target="https://descent2e.fandom.com/wiki/Lord_Merick_Farrow" TargetMode="External"/><Relationship Id="rId34" Type="http://schemas.openxmlformats.org/officeDocument/2006/relationships/hyperlink" Target="https://descent2e.fandom.com/wiki/Second_Edition_Base_Game" TargetMode="External"/><Relationship Id="rId37" Type="http://schemas.openxmlformats.org/officeDocument/2006/relationships/hyperlink" Target="https://descent2e.fandom.com/wiki/Queen_Ariad" TargetMode="External"/><Relationship Id="rId36" Type="http://schemas.openxmlformats.org/officeDocument/2006/relationships/hyperlink" Target="https://descent2e.fandom.com/wiki/Second_Edition_Base_Game" TargetMode="External"/><Relationship Id="rId39" Type="http://schemas.openxmlformats.org/officeDocument/2006/relationships/hyperlink" Target="https://descent2e.fandom.com/wiki/Labyrinth_of_Ruin" TargetMode="External"/><Relationship Id="rId38" Type="http://schemas.openxmlformats.org/officeDocument/2006/relationships/hyperlink" Target="https://descent2e.fandom.com/wiki/Queen_Ariad" TargetMode="External"/><Relationship Id="rId20" Type="http://schemas.openxmlformats.org/officeDocument/2006/relationships/hyperlink" Target="https://descent2e.fandom.com/wiki/The_Trollfens" TargetMode="External"/><Relationship Id="rId22" Type="http://schemas.openxmlformats.org/officeDocument/2006/relationships/hyperlink" Target="https://descent2e.fandom.com/wiki/Shadow_of_Nerekhall" TargetMode="External"/><Relationship Id="rId21" Type="http://schemas.openxmlformats.org/officeDocument/2006/relationships/hyperlink" Target="https://descent2e.fandom.com/wiki/Mirklace" TargetMode="External"/><Relationship Id="rId24" Type="http://schemas.openxmlformats.org/officeDocument/2006/relationships/hyperlink" Target="https://descent2e.fandom.com/wiki/Shadow_of_Nerekhall" TargetMode="External"/><Relationship Id="rId23" Type="http://schemas.openxmlformats.org/officeDocument/2006/relationships/hyperlink" Target="https://descent2e.fandom.com/wiki/Mirklace" TargetMode="External"/><Relationship Id="rId26" Type="http://schemas.openxmlformats.org/officeDocument/2006/relationships/hyperlink" Target="https://descent2e.fandom.com/wiki/Mists_of_Bilehall" TargetMode="External"/><Relationship Id="rId25" Type="http://schemas.openxmlformats.org/officeDocument/2006/relationships/hyperlink" Target="https://descent2e.fandom.com/wiki/Kyndrithul" TargetMode="External"/><Relationship Id="rId28" Type="http://schemas.openxmlformats.org/officeDocument/2006/relationships/hyperlink" Target="https://descent2e.fandom.com/wiki/Mists_of_Bilehall" TargetMode="External"/><Relationship Id="rId27" Type="http://schemas.openxmlformats.org/officeDocument/2006/relationships/hyperlink" Target="https://descent2e.fandom.com/wiki/Kyndrithul" TargetMode="External"/><Relationship Id="rId29" Type="http://schemas.openxmlformats.org/officeDocument/2006/relationships/hyperlink" Target="https://descent2e.fandom.com/wiki/Lady_Eliza_Farrow" TargetMode="External"/><Relationship Id="rId11" Type="http://schemas.openxmlformats.org/officeDocument/2006/relationships/hyperlink" Target="https://descent2e.fandom.com/wiki/Baron_Zachareth" TargetMode="External"/><Relationship Id="rId10" Type="http://schemas.openxmlformats.org/officeDocument/2006/relationships/hyperlink" Target="https://descent2e.fandom.com/wiki/Second_Edition_Base_Game" TargetMode="External"/><Relationship Id="rId13" Type="http://schemas.openxmlformats.org/officeDocument/2006/relationships/hyperlink" Target="https://descent2e.fandom.com/wiki/Belthir" TargetMode="External"/><Relationship Id="rId12" Type="http://schemas.openxmlformats.org/officeDocument/2006/relationships/hyperlink" Target="https://descent2e.fandom.com/wiki/Second_Edition_Base_Game" TargetMode="External"/><Relationship Id="rId15" Type="http://schemas.openxmlformats.org/officeDocument/2006/relationships/hyperlink" Target="https://descent2e.fandom.com/wiki/Belthir" TargetMode="External"/><Relationship Id="rId14" Type="http://schemas.openxmlformats.org/officeDocument/2006/relationships/hyperlink" Target="https://descent2e.fandom.com/wiki/Second_Edition_Base_Game" TargetMode="External"/><Relationship Id="rId17" Type="http://schemas.openxmlformats.org/officeDocument/2006/relationships/hyperlink" Target="https://descent2e.fandom.com/wiki/Bol%27Goreth" TargetMode="External"/><Relationship Id="rId16" Type="http://schemas.openxmlformats.org/officeDocument/2006/relationships/hyperlink" Target="https://descent2e.fandom.com/wiki/Second_Edition_Base_Game" TargetMode="External"/><Relationship Id="rId19" Type="http://schemas.openxmlformats.org/officeDocument/2006/relationships/hyperlink" Target="https://descent2e.fandom.com/wiki/Bol%27Goreth" TargetMode="External"/><Relationship Id="rId18" Type="http://schemas.openxmlformats.org/officeDocument/2006/relationships/hyperlink" Target="https://descent2e.fandom.com/wiki/The_Trollfens" TargetMode="External"/><Relationship Id="rId1" Type="http://schemas.openxmlformats.org/officeDocument/2006/relationships/hyperlink" Target="https://descent2e.fandom.com/wiki/Ardus_Ix%E2%80%99Erebus" TargetMode="External"/><Relationship Id="rId2" Type="http://schemas.openxmlformats.org/officeDocument/2006/relationships/hyperlink" Target="https://descent2e.fandom.com/wiki/Mists_of_Bilehall" TargetMode="External"/><Relationship Id="rId3" Type="http://schemas.openxmlformats.org/officeDocument/2006/relationships/hyperlink" Target="https://descent2e.fandom.com/wiki/Ardus_Ix%E2%80%99Erebus" TargetMode="External"/><Relationship Id="rId4" Type="http://schemas.openxmlformats.org/officeDocument/2006/relationships/hyperlink" Target="https://descent2e.fandom.com/wiki/Mists_of_Bilehall" TargetMode="External"/><Relationship Id="rId9" Type="http://schemas.openxmlformats.org/officeDocument/2006/relationships/hyperlink" Target="https://descent2e.fandom.com/wiki/Baron_Zachareth" TargetMode="External"/><Relationship Id="rId5" Type="http://schemas.openxmlformats.org/officeDocument/2006/relationships/hyperlink" Target="https://descent2e.fandom.com/wiki/Ariad" TargetMode="External"/><Relationship Id="rId6" Type="http://schemas.openxmlformats.org/officeDocument/2006/relationships/hyperlink" Target="https://descent2e.fandom.com/wiki/Labyrinth_of_Ruin" TargetMode="External"/><Relationship Id="rId7" Type="http://schemas.openxmlformats.org/officeDocument/2006/relationships/hyperlink" Target="https://descent2e.fandom.com/wiki/Ariad" TargetMode="External"/><Relationship Id="rId8" Type="http://schemas.openxmlformats.org/officeDocument/2006/relationships/hyperlink" Target="https://descent2e.fandom.com/wiki/Labyrinth_of_Ruin" TargetMode="External"/><Relationship Id="rId73" Type="http://schemas.openxmlformats.org/officeDocument/2006/relationships/hyperlink" Target="https://descent2e.fandom.com/wiki/Zarihell" TargetMode="External"/><Relationship Id="rId72" Type="http://schemas.openxmlformats.org/officeDocument/2006/relationships/hyperlink" Target="https://descent2e.fandom.com/wiki/Mists_of_Bilehall" TargetMode="External"/><Relationship Id="rId75" Type="http://schemas.openxmlformats.org/officeDocument/2006/relationships/drawing" Target="../drawings/drawing18.xml"/><Relationship Id="rId74" Type="http://schemas.openxmlformats.org/officeDocument/2006/relationships/hyperlink" Target="https://descent2e.fandom.com/wiki/Mists_of_Bilehall" TargetMode="External"/><Relationship Id="rId71" Type="http://schemas.openxmlformats.org/officeDocument/2006/relationships/hyperlink" Target="https://descent2e.fandom.com/wiki/Zarihell" TargetMode="External"/><Relationship Id="rId70" Type="http://schemas.openxmlformats.org/officeDocument/2006/relationships/hyperlink" Target="https://descent2e.fandom.com/wiki/Shadow_of_Nerekhall" TargetMode="External"/><Relationship Id="rId62" Type="http://schemas.openxmlformats.org/officeDocument/2006/relationships/hyperlink" Target="https://descent2e.fandom.com/wiki/Shadow_of_Nerekhall" TargetMode="External"/><Relationship Id="rId61" Type="http://schemas.openxmlformats.org/officeDocument/2006/relationships/hyperlink" Target="https://descent2e.fandom.com/wiki/Tristayne_Olliven" TargetMode="External"/><Relationship Id="rId64" Type="http://schemas.openxmlformats.org/officeDocument/2006/relationships/hyperlink" Target="https://descent2e.fandom.com/wiki/Lair_of_the_Wyrm" TargetMode="External"/><Relationship Id="rId63" Type="http://schemas.openxmlformats.org/officeDocument/2006/relationships/hyperlink" Target="https://descent2e.fandom.com/wiki/Valyndra" TargetMode="External"/><Relationship Id="rId66" Type="http://schemas.openxmlformats.org/officeDocument/2006/relationships/hyperlink" Target="https://descent2e.fandom.com/wiki/Lair_of_the_Wyrm" TargetMode="External"/><Relationship Id="rId65" Type="http://schemas.openxmlformats.org/officeDocument/2006/relationships/hyperlink" Target="https://descent2e.fandom.com/wiki/Valyndra" TargetMode="External"/><Relationship Id="rId68" Type="http://schemas.openxmlformats.org/officeDocument/2006/relationships/hyperlink" Target="https://descent2e.fandom.com/wiki/Shadow_of_Nerekhall" TargetMode="External"/><Relationship Id="rId67" Type="http://schemas.openxmlformats.org/officeDocument/2006/relationships/hyperlink" Target="https://descent2e.fandom.com/wiki/Verminous" TargetMode="External"/><Relationship Id="rId60" Type="http://schemas.openxmlformats.org/officeDocument/2006/relationships/hyperlink" Target="https://descent2e.fandom.com/wiki/Shadow_of_Nerekhall" TargetMode="External"/><Relationship Id="rId69" Type="http://schemas.openxmlformats.org/officeDocument/2006/relationships/hyperlink" Target="https://descent2e.fandom.com/wiki/Verminous" TargetMode="External"/><Relationship Id="rId51" Type="http://schemas.openxmlformats.org/officeDocument/2006/relationships/hyperlink" Target="https://descent2e.fandom.com/wiki/Skarn" TargetMode="External"/><Relationship Id="rId50" Type="http://schemas.openxmlformats.org/officeDocument/2006/relationships/hyperlink" Target="https://descent2e.fandom.com/wiki/Second_Edition_Base_Game" TargetMode="External"/><Relationship Id="rId53" Type="http://schemas.openxmlformats.org/officeDocument/2006/relationships/hyperlink" Target="https://descent2e.fandom.com/wiki/Skarn" TargetMode="External"/><Relationship Id="rId52" Type="http://schemas.openxmlformats.org/officeDocument/2006/relationships/hyperlink" Target="https://descent2e.fandom.com/wiki/Manor_of_Ravens" TargetMode="External"/><Relationship Id="rId55" Type="http://schemas.openxmlformats.org/officeDocument/2006/relationships/hyperlink" Target="https://descent2e.fandom.com/wiki/Splig" TargetMode="External"/><Relationship Id="rId54" Type="http://schemas.openxmlformats.org/officeDocument/2006/relationships/hyperlink" Target="https://descent2e.fandom.com/wiki/Manor_of_Ravens" TargetMode="External"/><Relationship Id="rId57" Type="http://schemas.openxmlformats.org/officeDocument/2006/relationships/hyperlink" Target="https://descent2e.fandom.com/wiki/Splig" TargetMode="External"/><Relationship Id="rId56" Type="http://schemas.openxmlformats.org/officeDocument/2006/relationships/hyperlink" Target="https://descent2e.fandom.com/wiki/Second_Edition_Base_Game" TargetMode="External"/><Relationship Id="rId59" Type="http://schemas.openxmlformats.org/officeDocument/2006/relationships/hyperlink" Target="https://descent2e.fandom.com/wiki/Tristayne_Olliven" TargetMode="External"/><Relationship Id="rId58" Type="http://schemas.openxmlformats.org/officeDocument/2006/relationships/hyperlink" Target="https://descent2e.fandom.com/wiki/Second_Edition_Base_Game"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0.xml"/><Relationship Id="rId3"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75"/>
    <col customWidth="1" min="2" max="2" width="10.13"/>
    <col customWidth="1" min="3" max="3" width="7.88"/>
    <col customWidth="1" min="4" max="4" width="7.63"/>
    <col customWidth="1" min="5" max="5" width="57.5"/>
    <col customWidth="1" min="6" max="6" width="4.75"/>
    <col customWidth="1" min="7" max="26" width="7.63"/>
  </cols>
  <sheetData>
    <row r="1">
      <c r="A1" s="1" t="s">
        <v>0</v>
      </c>
      <c r="B1" s="2" t="s">
        <v>1</v>
      </c>
      <c r="C1" s="2" t="s">
        <v>2</v>
      </c>
      <c r="D1" s="2" t="s">
        <v>3</v>
      </c>
      <c r="E1" s="3" t="s">
        <v>4</v>
      </c>
      <c r="F1" s="4" t="s">
        <v>5</v>
      </c>
      <c r="G1" s="5" t="s">
        <v>6</v>
      </c>
      <c r="L1" s="6" t="s">
        <v>7</v>
      </c>
      <c r="M1" s="7"/>
      <c r="N1" s="7"/>
      <c r="O1" s="7"/>
      <c r="P1" s="8"/>
      <c r="Q1" s="6" t="s">
        <v>8</v>
      </c>
      <c r="R1" s="7"/>
      <c r="S1" s="7"/>
      <c r="T1" s="7"/>
      <c r="U1" s="8"/>
      <c r="V1" s="9"/>
      <c r="W1" s="9"/>
      <c r="X1" s="9"/>
      <c r="Y1" s="9"/>
      <c r="Z1" s="9"/>
    </row>
    <row r="2">
      <c r="G2" s="10" t="s">
        <v>9</v>
      </c>
      <c r="H2" s="11" t="s">
        <v>10</v>
      </c>
      <c r="I2" s="12" t="s">
        <v>11</v>
      </c>
      <c r="J2" s="13" t="s">
        <v>12</v>
      </c>
      <c r="K2" s="14" t="s">
        <v>13</v>
      </c>
      <c r="L2" s="10" t="s">
        <v>9</v>
      </c>
      <c r="M2" s="11" t="s">
        <v>10</v>
      </c>
      <c r="N2" s="12" t="s">
        <v>11</v>
      </c>
      <c r="O2" s="13" t="s">
        <v>12</v>
      </c>
      <c r="P2" s="14" t="s">
        <v>13</v>
      </c>
      <c r="Q2" s="10" t="s">
        <v>9</v>
      </c>
      <c r="R2" s="11" t="s">
        <v>10</v>
      </c>
      <c r="S2" s="12" t="s">
        <v>11</v>
      </c>
      <c r="T2" s="13" t="s">
        <v>12</v>
      </c>
      <c r="U2" s="14" t="s">
        <v>13</v>
      </c>
      <c r="V2" s="9"/>
      <c r="W2" s="9"/>
      <c r="X2" s="9"/>
      <c r="Y2" s="9"/>
      <c r="Z2" s="9"/>
    </row>
    <row r="3">
      <c r="A3" s="15" t="s">
        <v>14</v>
      </c>
      <c r="B3" s="16" t="s">
        <v>15</v>
      </c>
      <c r="C3" s="16">
        <v>3.0</v>
      </c>
      <c r="D3" s="16">
        <v>1.0</v>
      </c>
      <c r="E3" s="17" t="s">
        <v>16</v>
      </c>
      <c r="F3" s="18">
        <f t="shared" ref="F3:F202" si="1">SUM(
IFERROR(SUM(G3:U3)/(COUNTA(G3:U3)/3),0),
)
- C3 - D3</f>
        <v>-0.5</v>
      </c>
      <c r="G3" s="19"/>
      <c r="H3" s="20">
        <v>4.0</v>
      </c>
      <c r="I3" s="21"/>
      <c r="J3" s="22">
        <v>2.0</v>
      </c>
      <c r="K3" s="23"/>
      <c r="L3" s="19"/>
      <c r="M3" s="20">
        <v>-3.0</v>
      </c>
      <c r="N3" s="21"/>
      <c r="O3" s="22">
        <v>-3.0</v>
      </c>
      <c r="P3" s="23"/>
      <c r="Q3" s="19"/>
      <c r="R3" s="20">
        <v>4.0</v>
      </c>
      <c r="S3" s="21"/>
      <c r="T3" s="22">
        <v>3.0</v>
      </c>
      <c r="U3" s="23"/>
      <c r="V3" s="24"/>
      <c r="W3" s="24"/>
      <c r="X3" s="24"/>
      <c r="Y3" s="24"/>
      <c r="Z3" s="24"/>
    </row>
    <row r="4">
      <c r="A4" s="15" t="s">
        <v>14</v>
      </c>
      <c r="B4" s="16" t="s">
        <v>17</v>
      </c>
      <c r="C4" s="16">
        <v>3.0</v>
      </c>
      <c r="D4" s="16">
        <v>2.0</v>
      </c>
      <c r="E4" s="17" t="s">
        <v>18</v>
      </c>
      <c r="F4" s="18">
        <f t="shared" si="1"/>
        <v>-2</v>
      </c>
      <c r="G4" s="19"/>
      <c r="H4" s="20">
        <v>2.0</v>
      </c>
      <c r="I4" s="21"/>
      <c r="J4" s="22">
        <v>5.0</v>
      </c>
      <c r="K4" s="23"/>
      <c r="L4" s="19"/>
      <c r="M4" s="20">
        <v>-5.0</v>
      </c>
      <c r="N4" s="21"/>
      <c r="O4" s="22">
        <v>-2.0</v>
      </c>
      <c r="P4" s="23"/>
      <c r="Q4" s="19"/>
      <c r="R4" s="20">
        <v>4.0</v>
      </c>
      <c r="S4" s="21"/>
      <c r="T4" s="22">
        <v>2.0</v>
      </c>
      <c r="U4" s="23"/>
      <c r="V4" s="24"/>
      <c r="W4" s="24"/>
      <c r="X4" s="24"/>
      <c r="Y4" s="24"/>
      <c r="Z4" s="24"/>
    </row>
    <row r="5">
      <c r="A5" s="15" t="s">
        <v>14</v>
      </c>
      <c r="B5" s="16" t="s">
        <v>19</v>
      </c>
      <c r="C5" s="16">
        <v>3.0</v>
      </c>
      <c r="D5" s="16">
        <v>0.0</v>
      </c>
      <c r="E5" s="17" t="s">
        <v>20</v>
      </c>
      <c r="F5" s="18">
        <f t="shared" si="1"/>
        <v>-1.5</v>
      </c>
      <c r="G5" s="19"/>
      <c r="H5" s="20">
        <v>3.0</v>
      </c>
      <c r="I5" s="21"/>
      <c r="J5" s="22">
        <v>3.0</v>
      </c>
      <c r="K5" s="23"/>
      <c r="L5" s="19"/>
      <c r="M5" s="20">
        <v>-4.0</v>
      </c>
      <c r="N5" s="21"/>
      <c r="O5" s="22">
        <v>-4.0</v>
      </c>
      <c r="P5" s="23"/>
      <c r="Q5" s="19"/>
      <c r="R5" s="20">
        <v>3.0</v>
      </c>
      <c r="S5" s="21"/>
      <c r="T5" s="22">
        <v>2.0</v>
      </c>
      <c r="U5" s="23"/>
      <c r="V5" s="24"/>
      <c r="W5" s="24"/>
      <c r="X5" s="24"/>
      <c r="Y5" s="24"/>
      <c r="Z5" s="24"/>
    </row>
    <row r="6">
      <c r="A6" s="15" t="s">
        <v>14</v>
      </c>
      <c r="B6" s="16" t="s">
        <v>21</v>
      </c>
      <c r="C6" s="16">
        <v>1.0</v>
      </c>
      <c r="D6" s="16">
        <v>1.0</v>
      </c>
      <c r="E6" s="17" t="s">
        <v>22</v>
      </c>
      <c r="F6" s="18">
        <f t="shared" si="1"/>
        <v>3.5</v>
      </c>
      <c r="G6" s="19"/>
      <c r="H6" s="20">
        <v>5.0</v>
      </c>
      <c r="I6" s="21"/>
      <c r="J6" s="22">
        <v>5.0</v>
      </c>
      <c r="K6" s="23"/>
      <c r="L6" s="19"/>
      <c r="M6" s="20">
        <v>-1.0</v>
      </c>
      <c r="N6" s="21"/>
      <c r="O6" s="22">
        <v>-1.0</v>
      </c>
      <c r="P6" s="23"/>
      <c r="Q6" s="19"/>
      <c r="R6" s="20">
        <v>1.0</v>
      </c>
      <c r="S6" s="21"/>
      <c r="T6" s="22">
        <v>2.0</v>
      </c>
      <c r="U6" s="23"/>
      <c r="V6" s="24"/>
      <c r="W6" s="24"/>
      <c r="X6" s="24"/>
      <c r="Y6" s="24"/>
      <c r="Z6" s="24"/>
    </row>
    <row r="7">
      <c r="A7" s="15" t="s">
        <v>14</v>
      </c>
      <c r="B7" s="16" t="s">
        <v>23</v>
      </c>
      <c r="C7" s="16">
        <v>0.0</v>
      </c>
      <c r="D7" s="16">
        <v>2.0</v>
      </c>
      <c r="E7" s="17" t="s">
        <v>24</v>
      </c>
      <c r="F7" s="18">
        <f t="shared" si="1"/>
        <v>5.5</v>
      </c>
      <c r="G7" s="19"/>
      <c r="H7" s="20">
        <v>4.0</v>
      </c>
      <c r="I7" s="21"/>
      <c r="J7" s="22">
        <v>4.0</v>
      </c>
      <c r="K7" s="23"/>
      <c r="L7" s="19"/>
      <c r="M7" s="20">
        <v>-2.0</v>
      </c>
      <c r="N7" s="21"/>
      <c r="O7" s="22">
        <v>-1.0</v>
      </c>
      <c r="P7" s="23"/>
      <c r="Q7" s="19"/>
      <c r="R7" s="20">
        <v>5.0</v>
      </c>
      <c r="S7" s="21"/>
      <c r="T7" s="22">
        <v>5.0</v>
      </c>
      <c r="U7" s="23"/>
      <c r="V7" s="24"/>
      <c r="W7" s="24"/>
      <c r="X7" s="24"/>
      <c r="Y7" s="24"/>
      <c r="Z7" s="24"/>
    </row>
    <row r="8">
      <c r="A8" s="15" t="s">
        <v>14</v>
      </c>
      <c r="B8" s="16" t="s">
        <v>25</v>
      </c>
      <c r="C8" s="16">
        <v>2.0</v>
      </c>
      <c r="D8" s="16">
        <v>1.0</v>
      </c>
      <c r="E8" s="17" t="s">
        <v>26</v>
      </c>
      <c r="F8" s="18">
        <f t="shared" si="1"/>
        <v>0.5</v>
      </c>
      <c r="G8" s="19"/>
      <c r="H8" s="20">
        <v>3.0</v>
      </c>
      <c r="I8" s="21"/>
      <c r="J8" s="22">
        <v>5.0</v>
      </c>
      <c r="K8" s="23"/>
      <c r="L8" s="19"/>
      <c r="M8" s="20">
        <v>-4.0</v>
      </c>
      <c r="N8" s="21"/>
      <c r="O8" s="22">
        <v>-2.0</v>
      </c>
      <c r="P8" s="23"/>
      <c r="Q8" s="19"/>
      <c r="R8" s="20">
        <v>2.0</v>
      </c>
      <c r="S8" s="21"/>
      <c r="T8" s="22">
        <v>3.0</v>
      </c>
      <c r="U8" s="23"/>
      <c r="V8" s="24"/>
      <c r="W8" s="24"/>
      <c r="X8" s="24"/>
      <c r="Y8" s="24"/>
      <c r="Z8" s="24"/>
    </row>
    <row r="9">
      <c r="A9" s="15" t="s">
        <v>14</v>
      </c>
      <c r="B9" s="16" t="s">
        <v>27</v>
      </c>
      <c r="C9" s="16">
        <v>3.0</v>
      </c>
      <c r="D9" s="16">
        <v>2.0</v>
      </c>
      <c r="E9" s="17" t="s">
        <v>28</v>
      </c>
      <c r="F9" s="18">
        <f t="shared" si="1"/>
        <v>-0.5</v>
      </c>
      <c r="G9" s="19"/>
      <c r="H9" s="20">
        <v>5.0</v>
      </c>
      <c r="I9" s="21"/>
      <c r="J9" s="22">
        <v>1.0</v>
      </c>
      <c r="K9" s="23"/>
      <c r="L9" s="19"/>
      <c r="M9" s="25">
        <v>-5.0</v>
      </c>
      <c r="N9" s="21"/>
      <c r="O9" s="22">
        <v>-1.0</v>
      </c>
      <c r="P9" s="23"/>
      <c r="Q9" s="19"/>
      <c r="R9" s="20">
        <v>5.0</v>
      </c>
      <c r="S9" s="21"/>
      <c r="T9" s="22">
        <v>4.0</v>
      </c>
      <c r="U9" s="23"/>
      <c r="V9" s="24"/>
      <c r="W9" s="24"/>
      <c r="X9" s="24"/>
      <c r="Y9" s="24"/>
      <c r="Z9" s="24"/>
    </row>
    <row r="10">
      <c r="A10" s="15" t="s">
        <v>14</v>
      </c>
      <c r="B10" s="16" t="s">
        <v>29</v>
      </c>
      <c r="C10" s="16">
        <v>2.0</v>
      </c>
      <c r="D10" s="16">
        <v>0.0</v>
      </c>
      <c r="E10" s="17" t="s">
        <v>30</v>
      </c>
      <c r="F10" s="18">
        <f t="shared" si="1"/>
        <v>3.5</v>
      </c>
      <c r="G10" s="19"/>
      <c r="H10" s="20">
        <v>2.0</v>
      </c>
      <c r="I10" s="21"/>
      <c r="J10" s="22">
        <v>4.0</v>
      </c>
      <c r="K10" s="23"/>
      <c r="L10" s="19"/>
      <c r="M10" s="20">
        <v>0.0</v>
      </c>
      <c r="N10" s="21"/>
      <c r="O10" s="22">
        <v>0.0</v>
      </c>
      <c r="P10" s="23"/>
      <c r="Q10" s="19"/>
      <c r="R10" s="20">
        <v>2.0</v>
      </c>
      <c r="S10" s="21"/>
      <c r="T10" s="22">
        <v>3.0</v>
      </c>
      <c r="U10" s="23"/>
      <c r="V10" s="24"/>
      <c r="W10" s="24"/>
      <c r="X10" s="24"/>
      <c r="Y10" s="24"/>
      <c r="Z10" s="24"/>
    </row>
    <row r="11">
      <c r="A11" s="15" t="s">
        <v>14</v>
      </c>
      <c r="B11" s="16" t="s">
        <v>31</v>
      </c>
      <c r="C11" s="16">
        <v>2.0</v>
      </c>
      <c r="D11" s="16">
        <v>1.0</v>
      </c>
      <c r="E11" s="17" t="s">
        <v>32</v>
      </c>
      <c r="F11" s="18">
        <f t="shared" si="1"/>
        <v>0.5</v>
      </c>
      <c r="G11" s="19"/>
      <c r="H11" s="20">
        <v>4.0</v>
      </c>
      <c r="I11" s="21"/>
      <c r="J11" s="22">
        <v>2.0</v>
      </c>
      <c r="K11" s="23"/>
      <c r="L11" s="19"/>
      <c r="M11" s="20">
        <v>-3.0</v>
      </c>
      <c r="N11" s="21"/>
      <c r="O11" s="22">
        <v>-1.0</v>
      </c>
      <c r="P11" s="23"/>
      <c r="Q11" s="19"/>
      <c r="R11" s="20">
        <v>2.0</v>
      </c>
      <c r="S11" s="21"/>
      <c r="T11" s="22">
        <v>3.0</v>
      </c>
      <c r="U11" s="23"/>
      <c r="V11" s="24"/>
      <c r="W11" s="24"/>
      <c r="X11" s="24"/>
      <c r="Y11" s="24"/>
      <c r="Z11" s="24"/>
    </row>
    <row r="12">
      <c r="A12" s="26" t="s">
        <v>14</v>
      </c>
      <c r="B12" s="27" t="s">
        <v>33</v>
      </c>
      <c r="C12" s="27">
        <v>2.0</v>
      </c>
      <c r="D12" s="27">
        <v>1.0</v>
      </c>
      <c r="E12" s="28" t="s">
        <v>34</v>
      </c>
      <c r="F12" s="18">
        <f t="shared" si="1"/>
        <v>0</v>
      </c>
      <c r="G12" s="19"/>
      <c r="H12" s="20">
        <v>2.0</v>
      </c>
      <c r="I12" s="21"/>
      <c r="J12" s="22">
        <v>5.0</v>
      </c>
      <c r="K12" s="23"/>
      <c r="L12" s="19"/>
      <c r="M12" s="20">
        <v>-3.0</v>
      </c>
      <c r="N12" s="21"/>
      <c r="O12" s="22">
        <v>-4.0</v>
      </c>
      <c r="P12" s="23"/>
      <c r="Q12" s="19"/>
      <c r="R12" s="20">
        <v>2.0</v>
      </c>
      <c r="S12" s="21"/>
      <c r="T12" s="22">
        <v>4.0</v>
      </c>
      <c r="U12" s="23"/>
      <c r="V12" s="24"/>
      <c r="W12" s="24"/>
      <c r="X12" s="24"/>
      <c r="Y12" s="24"/>
      <c r="Z12" s="24"/>
    </row>
    <row r="13">
      <c r="A13" s="29" t="s">
        <v>35</v>
      </c>
      <c r="B13" s="30" t="s">
        <v>36</v>
      </c>
      <c r="C13" s="30"/>
      <c r="D13" s="30">
        <v>1.0</v>
      </c>
      <c r="E13" s="31" t="s">
        <v>37</v>
      </c>
      <c r="F13" s="18">
        <f t="shared" si="1"/>
        <v>1.5</v>
      </c>
      <c r="G13" s="19"/>
      <c r="H13" s="20">
        <v>2.0</v>
      </c>
      <c r="I13" s="21"/>
      <c r="J13" s="22">
        <v>3.0</v>
      </c>
      <c r="K13" s="23"/>
      <c r="L13" s="19"/>
      <c r="M13" s="20">
        <v>-3.0</v>
      </c>
      <c r="N13" s="21"/>
      <c r="O13" s="22">
        <v>0.0</v>
      </c>
      <c r="P13" s="23"/>
      <c r="Q13" s="19"/>
      <c r="R13" s="20">
        <v>1.0</v>
      </c>
      <c r="S13" s="21"/>
      <c r="T13" s="22">
        <v>2.0</v>
      </c>
      <c r="U13" s="23"/>
      <c r="V13" s="9"/>
      <c r="W13" s="9"/>
      <c r="X13" s="9"/>
      <c r="Y13" s="9"/>
      <c r="Z13" s="9"/>
    </row>
    <row r="14">
      <c r="A14" s="32" t="s">
        <v>35</v>
      </c>
      <c r="B14" s="33" t="s">
        <v>38</v>
      </c>
      <c r="C14" s="33">
        <v>1.0</v>
      </c>
      <c r="D14" s="33">
        <v>1.0</v>
      </c>
      <c r="E14" s="34" t="s">
        <v>39</v>
      </c>
      <c r="F14" s="18">
        <f t="shared" si="1"/>
        <v>3</v>
      </c>
      <c r="G14" s="19"/>
      <c r="H14" s="20">
        <v>5.0</v>
      </c>
      <c r="I14" s="21"/>
      <c r="J14" s="22">
        <v>5.0</v>
      </c>
      <c r="K14" s="23"/>
      <c r="L14" s="19"/>
      <c r="M14" s="20">
        <v>-1.0</v>
      </c>
      <c r="N14" s="21"/>
      <c r="O14" s="22">
        <v>-1.0</v>
      </c>
      <c r="P14" s="23"/>
      <c r="Q14" s="19"/>
      <c r="R14" s="20">
        <v>1.0</v>
      </c>
      <c r="S14" s="21"/>
      <c r="T14" s="22">
        <v>1.0</v>
      </c>
      <c r="U14" s="23"/>
      <c r="V14" s="9"/>
      <c r="W14" s="9"/>
      <c r="X14" s="9"/>
      <c r="Y14" s="9"/>
      <c r="Z14" s="9"/>
    </row>
    <row r="15">
      <c r="A15" s="32" t="s">
        <v>35</v>
      </c>
      <c r="B15" s="33" t="s">
        <v>40</v>
      </c>
      <c r="C15" s="33">
        <v>2.0</v>
      </c>
      <c r="D15" s="33">
        <v>1.0</v>
      </c>
      <c r="E15" s="34" t="s">
        <v>41</v>
      </c>
      <c r="F15" s="18">
        <f t="shared" si="1"/>
        <v>1.5</v>
      </c>
      <c r="G15" s="19"/>
      <c r="H15" s="20">
        <v>5.0</v>
      </c>
      <c r="I15" s="21"/>
      <c r="J15" s="22">
        <v>5.0</v>
      </c>
      <c r="K15" s="23"/>
      <c r="L15" s="19"/>
      <c r="M15" s="20">
        <v>-3.0</v>
      </c>
      <c r="N15" s="21"/>
      <c r="O15" s="22">
        <v>-4.0</v>
      </c>
      <c r="P15" s="23"/>
      <c r="Q15" s="19"/>
      <c r="R15" s="20">
        <v>3.0</v>
      </c>
      <c r="S15" s="21"/>
      <c r="T15" s="22">
        <v>3.0</v>
      </c>
      <c r="U15" s="23"/>
      <c r="V15" s="9"/>
      <c r="W15" s="9"/>
      <c r="X15" s="9"/>
      <c r="Y15" s="9"/>
      <c r="Z15" s="9"/>
    </row>
    <row r="16">
      <c r="A16" s="32" t="s">
        <v>35</v>
      </c>
      <c r="B16" s="33" t="s">
        <v>42</v>
      </c>
      <c r="C16" s="33">
        <v>2.0</v>
      </c>
      <c r="D16" s="33">
        <v>1.0</v>
      </c>
      <c r="E16" s="34" t="s">
        <v>43</v>
      </c>
      <c r="F16" s="18">
        <f t="shared" si="1"/>
        <v>-0.5</v>
      </c>
      <c r="G16" s="19"/>
      <c r="H16" s="20">
        <v>2.0</v>
      </c>
      <c r="I16" s="21"/>
      <c r="J16" s="22">
        <v>3.0</v>
      </c>
      <c r="K16" s="23"/>
      <c r="L16" s="19"/>
      <c r="M16" s="20">
        <v>-4.0</v>
      </c>
      <c r="N16" s="21"/>
      <c r="O16" s="22">
        <v>-1.0</v>
      </c>
      <c r="P16" s="23"/>
      <c r="Q16" s="19"/>
      <c r="R16" s="20">
        <v>2.0</v>
      </c>
      <c r="S16" s="21"/>
      <c r="T16" s="22">
        <v>3.0</v>
      </c>
      <c r="U16" s="23"/>
      <c r="V16" s="9"/>
      <c r="W16" s="9"/>
      <c r="X16" s="9"/>
      <c r="Y16" s="9"/>
      <c r="Z16" s="9"/>
    </row>
    <row r="17">
      <c r="A17" s="32" t="s">
        <v>35</v>
      </c>
      <c r="B17" s="33" t="s">
        <v>44</v>
      </c>
      <c r="C17" s="33">
        <v>2.0</v>
      </c>
      <c r="D17" s="33">
        <v>1.0</v>
      </c>
      <c r="E17" s="34" t="s">
        <v>45</v>
      </c>
      <c r="F17" s="18">
        <f t="shared" si="1"/>
        <v>1.5</v>
      </c>
      <c r="G17" s="19"/>
      <c r="H17" s="20">
        <v>2.0</v>
      </c>
      <c r="I17" s="21"/>
      <c r="J17" s="22">
        <v>3.0</v>
      </c>
      <c r="K17" s="23"/>
      <c r="L17" s="19"/>
      <c r="M17" s="20">
        <v>-1.0</v>
      </c>
      <c r="N17" s="21"/>
      <c r="O17" s="22">
        <v>-1.0</v>
      </c>
      <c r="P17" s="23"/>
      <c r="Q17" s="19"/>
      <c r="R17" s="20">
        <v>3.0</v>
      </c>
      <c r="S17" s="21"/>
      <c r="T17" s="22">
        <v>3.0</v>
      </c>
      <c r="U17" s="23"/>
      <c r="V17" s="9"/>
      <c r="W17" s="9"/>
      <c r="X17" s="9"/>
      <c r="Y17" s="9"/>
      <c r="Z17" s="9"/>
    </row>
    <row r="18">
      <c r="A18" s="32" t="s">
        <v>35</v>
      </c>
      <c r="B18" s="33" t="s">
        <v>46</v>
      </c>
      <c r="C18" s="33">
        <v>3.0</v>
      </c>
      <c r="D18" s="33">
        <v>1.0</v>
      </c>
      <c r="E18" s="34" t="s">
        <v>47</v>
      </c>
      <c r="F18" s="18">
        <f t="shared" si="1"/>
        <v>-1.5</v>
      </c>
      <c r="G18" s="19"/>
      <c r="H18" s="20">
        <v>2.0</v>
      </c>
      <c r="I18" s="21"/>
      <c r="J18" s="22">
        <v>3.0</v>
      </c>
      <c r="K18" s="23"/>
      <c r="L18" s="19"/>
      <c r="M18" s="20">
        <v>-3.0</v>
      </c>
      <c r="N18" s="21"/>
      <c r="O18" s="22">
        <v>-1.0</v>
      </c>
      <c r="P18" s="23"/>
      <c r="Q18" s="19"/>
      <c r="R18" s="20">
        <v>2.0</v>
      </c>
      <c r="S18" s="21"/>
      <c r="T18" s="22">
        <v>2.0</v>
      </c>
      <c r="U18" s="23"/>
      <c r="V18" s="9"/>
      <c r="W18" s="9"/>
      <c r="X18" s="9"/>
      <c r="Y18" s="9"/>
      <c r="Z18" s="9"/>
    </row>
    <row r="19">
      <c r="A19" s="32" t="s">
        <v>35</v>
      </c>
      <c r="B19" s="33" t="s">
        <v>48</v>
      </c>
      <c r="C19" s="33">
        <v>3.0</v>
      </c>
      <c r="D19" s="33">
        <v>1.0</v>
      </c>
      <c r="E19" s="34" t="s">
        <v>49</v>
      </c>
      <c r="F19" s="18">
        <f t="shared" si="1"/>
        <v>3.5</v>
      </c>
      <c r="G19" s="19"/>
      <c r="H19" s="20">
        <v>4.0</v>
      </c>
      <c r="I19" s="21"/>
      <c r="J19" s="22">
        <v>2.0</v>
      </c>
      <c r="K19" s="23"/>
      <c r="L19" s="19"/>
      <c r="M19" s="20">
        <v>-3.0</v>
      </c>
      <c r="N19" s="21"/>
      <c r="O19" s="22">
        <v>4.0</v>
      </c>
      <c r="P19" s="23"/>
      <c r="Q19" s="19"/>
      <c r="R19" s="20">
        <v>4.0</v>
      </c>
      <c r="S19" s="21"/>
      <c r="T19" s="22">
        <v>4.0</v>
      </c>
      <c r="U19" s="23"/>
      <c r="V19" s="9"/>
      <c r="W19" s="9"/>
      <c r="X19" s="9"/>
      <c r="Y19" s="9"/>
      <c r="Z19" s="9"/>
    </row>
    <row r="20">
      <c r="A20" s="32" t="s">
        <v>35</v>
      </c>
      <c r="B20" s="33" t="s">
        <v>50</v>
      </c>
      <c r="C20" s="33">
        <v>4.0</v>
      </c>
      <c r="D20" s="33">
        <v>2.0</v>
      </c>
      <c r="E20" s="34" t="s">
        <v>51</v>
      </c>
      <c r="F20" s="18">
        <f t="shared" si="1"/>
        <v>0.5</v>
      </c>
      <c r="G20" s="19"/>
      <c r="H20" s="20">
        <v>5.0</v>
      </c>
      <c r="I20" s="21"/>
      <c r="J20" s="22">
        <v>5.0</v>
      </c>
      <c r="K20" s="23"/>
      <c r="L20" s="19"/>
      <c r="M20" s="20">
        <v>-3.0</v>
      </c>
      <c r="N20" s="21"/>
      <c r="O20" s="22">
        <v>-1.0</v>
      </c>
      <c r="P20" s="23"/>
      <c r="Q20" s="19"/>
      <c r="R20" s="20">
        <v>4.0</v>
      </c>
      <c r="S20" s="21"/>
      <c r="T20" s="22">
        <v>3.0</v>
      </c>
      <c r="U20" s="23"/>
      <c r="V20" s="9"/>
      <c r="W20" s="9"/>
      <c r="X20" s="9"/>
      <c r="Y20" s="9"/>
      <c r="Z20" s="9"/>
    </row>
    <row r="21">
      <c r="A21" s="32" t="s">
        <v>35</v>
      </c>
      <c r="B21" s="33" t="s">
        <v>52</v>
      </c>
      <c r="C21" s="33">
        <v>4.0</v>
      </c>
      <c r="D21" s="33">
        <v>1.0</v>
      </c>
      <c r="E21" s="35" t="s">
        <v>53</v>
      </c>
      <c r="F21" s="18">
        <f t="shared" si="1"/>
        <v>-4</v>
      </c>
      <c r="G21" s="19"/>
      <c r="H21" s="20">
        <v>3.0</v>
      </c>
      <c r="I21" s="21"/>
      <c r="J21" s="22">
        <v>5.0</v>
      </c>
      <c r="K21" s="23"/>
      <c r="L21" s="19"/>
      <c r="M21" s="20">
        <v>-7.0</v>
      </c>
      <c r="N21" s="21"/>
      <c r="O21" s="22">
        <v>-5.0</v>
      </c>
      <c r="P21" s="23"/>
      <c r="Q21" s="19"/>
      <c r="R21" s="20">
        <v>3.0</v>
      </c>
      <c r="S21" s="21"/>
      <c r="T21" s="22">
        <v>3.0</v>
      </c>
      <c r="U21" s="23"/>
      <c r="V21" s="9"/>
      <c r="W21" s="9"/>
      <c r="X21" s="9"/>
      <c r="Y21" s="9"/>
      <c r="Z21" s="9"/>
    </row>
    <row r="22">
      <c r="A22" s="36" t="s">
        <v>35</v>
      </c>
      <c r="B22" s="37" t="s">
        <v>54</v>
      </c>
      <c r="C22" s="37">
        <v>3.0</v>
      </c>
      <c r="D22" s="37">
        <v>2.0</v>
      </c>
      <c r="E22" s="38" t="s">
        <v>55</v>
      </c>
      <c r="F22" s="18">
        <f t="shared" si="1"/>
        <v>-0.5</v>
      </c>
      <c r="G22" s="19"/>
      <c r="H22" s="20">
        <v>5.0</v>
      </c>
      <c r="I22" s="21"/>
      <c r="J22" s="22">
        <v>5.0</v>
      </c>
      <c r="K22" s="23"/>
      <c r="L22" s="19"/>
      <c r="M22" s="25">
        <v>-5.0</v>
      </c>
      <c r="N22" s="21"/>
      <c r="O22" s="22">
        <v>-4.0</v>
      </c>
      <c r="P22" s="23"/>
      <c r="Q22" s="19"/>
      <c r="R22" s="20">
        <v>5.0</v>
      </c>
      <c r="S22" s="21"/>
      <c r="T22" s="22">
        <v>3.0</v>
      </c>
      <c r="U22" s="23"/>
      <c r="V22" s="9"/>
      <c r="W22" s="9"/>
      <c r="X22" s="9"/>
      <c r="Y22" s="9"/>
      <c r="Z22" s="9"/>
    </row>
    <row r="23">
      <c r="A23" s="29" t="s">
        <v>56</v>
      </c>
      <c r="B23" s="30" t="s">
        <v>57</v>
      </c>
      <c r="C23" s="39">
        <v>0.0</v>
      </c>
      <c r="D23" s="30">
        <v>1.0</v>
      </c>
      <c r="E23" s="31" t="s">
        <v>58</v>
      </c>
      <c r="F23" s="18">
        <f t="shared" si="1"/>
        <v>4.5</v>
      </c>
      <c r="G23" s="19"/>
      <c r="H23" s="20">
        <v>4.0</v>
      </c>
      <c r="I23" s="21"/>
      <c r="J23" s="22">
        <v>4.0</v>
      </c>
      <c r="K23" s="23"/>
      <c r="L23" s="19"/>
      <c r="M23" s="20">
        <v>-3.0</v>
      </c>
      <c r="N23" s="21"/>
      <c r="O23" s="22">
        <v>0.0</v>
      </c>
      <c r="P23" s="23"/>
      <c r="Q23" s="19"/>
      <c r="R23" s="20">
        <v>3.0</v>
      </c>
      <c r="S23" s="21"/>
      <c r="T23" s="22">
        <v>3.0</v>
      </c>
      <c r="U23" s="23"/>
      <c r="V23" s="9"/>
      <c r="W23" s="9"/>
      <c r="X23" s="9"/>
      <c r="Y23" s="9"/>
      <c r="Z23" s="9"/>
    </row>
    <row r="24">
      <c r="A24" s="32" t="s">
        <v>56</v>
      </c>
      <c r="B24" s="33" t="s">
        <v>59</v>
      </c>
      <c r="C24" s="33">
        <v>1.0</v>
      </c>
      <c r="D24" s="33">
        <v>0.0</v>
      </c>
      <c r="E24" s="34" t="s">
        <v>60</v>
      </c>
      <c r="F24" s="18">
        <f t="shared" si="1"/>
        <v>0.5</v>
      </c>
      <c r="G24" s="19"/>
      <c r="H24" s="20">
        <v>1.0</v>
      </c>
      <c r="I24" s="21"/>
      <c r="J24" s="22">
        <v>1.0</v>
      </c>
      <c r="K24" s="23"/>
      <c r="L24" s="19"/>
      <c r="M24" s="20">
        <v>-3.0</v>
      </c>
      <c r="N24" s="21"/>
      <c r="O24" s="22">
        <v>0.0</v>
      </c>
      <c r="P24" s="23"/>
      <c r="Q24" s="19"/>
      <c r="R24" s="20">
        <v>2.0</v>
      </c>
      <c r="S24" s="21"/>
      <c r="T24" s="22">
        <v>2.0</v>
      </c>
      <c r="U24" s="23"/>
      <c r="V24" s="9"/>
      <c r="W24" s="9"/>
      <c r="X24" s="9"/>
      <c r="Y24" s="9"/>
      <c r="Z24" s="9"/>
    </row>
    <row r="25">
      <c r="A25" s="32" t="s">
        <v>56</v>
      </c>
      <c r="B25" s="33" t="s">
        <v>61</v>
      </c>
      <c r="C25" s="33">
        <v>2.0</v>
      </c>
      <c r="D25" s="33">
        <v>0.0</v>
      </c>
      <c r="E25" s="34" t="s">
        <v>62</v>
      </c>
      <c r="F25" s="18">
        <f t="shared" si="1"/>
        <v>-2</v>
      </c>
      <c r="G25" s="19"/>
      <c r="H25" s="20">
        <v>1.0</v>
      </c>
      <c r="I25" s="21"/>
      <c r="J25" s="22">
        <v>1.0</v>
      </c>
      <c r="K25" s="23"/>
      <c r="L25" s="19"/>
      <c r="M25" s="20">
        <v>-3.0</v>
      </c>
      <c r="N25" s="21"/>
      <c r="O25" s="22">
        <v>-4.0</v>
      </c>
      <c r="P25" s="23"/>
      <c r="Q25" s="19"/>
      <c r="R25" s="20">
        <v>2.0</v>
      </c>
      <c r="S25" s="21"/>
      <c r="T25" s="22">
        <v>3.0</v>
      </c>
      <c r="U25" s="23"/>
      <c r="V25" s="9"/>
      <c r="W25" s="9"/>
      <c r="X25" s="9"/>
      <c r="Y25" s="9"/>
      <c r="Z25" s="9"/>
    </row>
    <row r="26">
      <c r="A26" s="32" t="s">
        <v>56</v>
      </c>
      <c r="B26" s="33" t="s">
        <v>63</v>
      </c>
      <c r="C26" s="33">
        <v>2.0</v>
      </c>
      <c r="D26" s="33">
        <v>1.0</v>
      </c>
      <c r="E26" s="34" t="s">
        <v>64</v>
      </c>
      <c r="F26" s="18">
        <f t="shared" si="1"/>
        <v>-1.5</v>
      </c>
      <c r="G26" s="19"/>
      <c r="H26" s="20">
        <v>1.0</v>
      </c>
      <c r="I26" s="21"/>
      <c r="J26" s="22">
        <v>1.0</v>
      </c>
      <c r="K26" s="23"/>
      <c r="L26" s="19"/>
      <c r="M26" s="20">
        <v>-3.0</v>
      </c>
      <c r="N26" s="21"/>
      <c r="O26" s="22">
        <v>-4.0</v>
      </c>
      <c r="P26" s="23"/>
      <c r="Q26" s="19"/>
      <c r="R26" s="20">
        <v>3.0</v>
      </c>
      <c r="S26" s="21"/>
      <c r="T26" s="22">
        <v>5.0</v>
      </c>
      <c r="U26" s="23"/>
      <c r="V26" s="9"/>
      <c r="W26" s="9"/>
      <c r="X26" s="9"/>
      <c r="Y26" s="9"/>
      <c r="Z26" s="9"/>
    </row>
    <row r="27">
      <c r="A27" s="32" t="s">
        <v>56</v>
      </c>
      <c r="B27" s="33" t="s">
        <v>65</v>
      </c>
      <c r="C27" s="33">
        <v>2.0</v>
      </c>
      <c r="D27" s="33">
        <v>1.0</v>
      </c>
      <c r="E27" s="34" t="s">
        <v>66</v>
      </c>
      <c r="F27" s="18">
        <f t="shared" si="1"/>
        <v>2.5</v>
      </c>
      <c r="G27" s="19"/>
      <c r="H27" s="20">
        <v>2.0</v>
      </c>
      <c r="I27" s="21"/>
      <c r="J27" s="22">
        <v>3.0</v>
      </c>
      <c r="K27" s="23"/>
      <c r="L27" s="19"/>
      <c r="M27" s="20">
        <v>-3.0</v>
      </c>
      <c r="N27" s="21"/>
      <c r="O27" s="22">
        <v>0.0</v>
      </c>
      <c r="P27" s="23"/>
      <c r="Q27" s="19"/>
      <c r="R27" s="20">
        <v>5.0</v>
      </c>
      <c r="S27" s="21"/>
      <c r="T27" s="22">
        <v>4.0</v>
      </c>
      <c r="U27" s="23"/>
      <c r="V27" s="9"/>
      <c r="W27" s="9"/>
      <c r="X27" s="9"/>
      <c r="Y27" s="9"/>
      <c r="Z27" s="9"/>
    </row>
    <row r="28">
      <c r="A28" s="32" t="s">
        <v>56</v>
      </c>
      <c r="B28" s="33" t="s">
        <v>67</v>
      </c>
      <c r="C28" s="33">
        <v>2.0</v>
      </c>
      <c r="D28" s="33">
        <v>1.0</v>
      </c>
      <c r="E28" s="34" t="s">
        <v>68</v>
      </c>
      <c r="F28" s="18">
        <f t="shared" si="1"/>
        <v>1.5</v>
      </c>
      <c r="G28" s="19"/>
      <c r="H28" s="20">
        <v>2.0</v>
      </c>
      <c r="I28" s="21"/>
      <c r="J28" s="22">
        <v>4.0</v>
      </c>
      <c r="K28" s="23"/>
      <c r="L28" s="19"/>
      <c r="M28" s="20">
        <v>-3.0</v>
      </c>
      <c r="N28" s="21"/>
      <c r="O28" s="22">
        <v>-1.0</v>
      </c>
      <c r="P28" s="23"/>
      <c r="Q28" s="19"/>
      <c r="R28" s="20">
        <v>3.0</v>
      </c>
      <c r="S28" s="21"/>
      <c r="T28" s="22">
        <v>4.0</v>
      </c>
      <c r="U28" s="23"/>
      <c r="V28" s="9"/>
      <c r="W28" s="9"/>
      <c r="X28" s="9"/>
      <c r="Y28" s="9"/>
      <c r="Z28" s="9"/>
    </row>
    <row r="29">
      <c r="A29" s="32" t="s">
        <v>56</v>
      </c>
      <c r="B29" s="33" t="s">
        <v>69</v>
      </c>
      <c r="C29" s="33">
        <v>2.0</v>
      </c>
      <c r="D29" s="33">
        <v>2.0</v>
      </c>
      <c r="E29" s="34" t="s">
        <v>70</v>
      </c>
      <c r="F29" s="18">
        <f t="shared" si="1"/>
        <v>-1.5</v>
      </c>
      <c r="G29" s="19"/>
      <c r="H29" s="20">
        <v>2.0</v>
      </c>
      <c r="I29" s="21"/>
      <c r="J29" s="22">
        <v>2.0</v>
      </c>
      <c r="K29" s="23"/>
      <c r="L29" s="19"/>
      <c r="M29" s="20">
        <v>-3.0</v>
      </c>
      <c r="N29" s="21"/>
      <c r="O29" s="22">
        <v>-4.0</v>
      </c>
      <c r="P29" s="23"/>
      <c r="Q29" s="19"/>
      <c r="R29" s="20">
        <v>4.0</v>
      </c>
      <c r="S29" s="21"/>
      <c r="T29" s="22">
        <v>4.0</v>
      </c>
      <c r="U29" s="23"/>
      <c r="V29" s="9"/>
      <c r="W29" s="9"/>
      <c r="X29" s="9"/>
      <c r="Y29" s="9"/>
      <c r="Z29" s="9"/>
    </row>
    <row r="30">
      <c r="A30" s="32" t="s">
        <v>56</v>
      </c>
      <c r="B30" s="33" t="s">
        <v>71</v>
      </c>
      <c r="C30" s="33">
        <v>3.0</v>
      </c>
      <c r="D30" s="33">
        <v>1.0</v>
      </c>
      <c r="E30" s="34" t="s">
        <v>72</v>
      </c>
      <c r="F30" s="18">
        <f t="shared" si="1"/>
        <v>-2</v>
      </c>
      <c r="G30" s="19"/>
      <c r="H30" s="20">
        <v>1.0</v>
      </c>
      <c r="I30" s="21"/>
      <c r="J30" s="22">
        <v>1.0</v>
      </c>
      <c r="K30" s="23"/>
      <c r="L30" s="19"/>
      <c r="M30" s="20">
        <v>-3.0</v>
      </c>
      <c r="N30" s="21"/>
      <c r="O30" s="22">
        <v>0.0</v>
      </c>
      <c r="P30" s="23"/>
      <c r="Q30" s="19"/>
      <c r="R30" s="20">
        <v>2.0</v>
      </c>
      <c r="S30" s="21"/>
      <c r="T30" s="22">
        <v>3.0</v>
      </c>
      <c r="U30" s="23"/>
      <c r="V30" s="9"/>
      <c r="W30" s="9"/>
      <c r="X30" s="9"/>
      <c r="Y30" s="9"/>
      <c r="Z30" s="9"/>
    </row>
    <row r="31">
      <c r="A31" s="32" t="s">
        <v>56</v>
      </c>
      <c r="B31" s="33" t="s">
        <v>73</v>
      </c>
      <c r="C31" s="33">
        <v>4.0</v>
      </c>
      <c r="D31" s="33">
        <v>0.0</v>
      </c>
      <c r="E31" s="34" t="s">
        <v>74</v>
      </c>
      <c r="F31" s="18">
        <f t="shared" si="1"/>
        <v>3</v>
      </c>
      <c r="G31" s="19"/>
      <c r="H31" s="20">
        <v>5.0</v>
      </c>
      <c r="I31" s="21"/>
      <c r="J31" s="22">
        <v>5.0</v>
      </c>
      <c r="K31" s="23"/>
      <c r="L31" s="19"/>
      <c r="M31" s="20">
        <v>-4.0</v>
      </c>
      <c r="N31" s="21"/>
      <c r="O31" s="22">
        <v>-1.0</v>
      </c>
      <c r="P31" s="23"/>
      <c r="Q31" s="19"/>
      <c r="R31" s="20">
        <v>5.0</v>
      </c>
      <c r="S31" s="21"/>
      <c r="T31" s="22">
        <v>4.0</v>
      </c>
      <c r="U31" s="23"/>
      <c r="V31" s="9"/>
      <c r="W31" s="9"/>
      <c r="X31" s="9"/>
      <c r="Y31" s="9"/>
      <c r="Z31" s="9"/>
    </row>
    <row r="32">
      <c r="A32" s="36" t="s">
        <v>56</v>
      </c>
      <c r="B32" s="37" t="s">
        <v>75</v>
      </c>
      <c r="C32" s="37">
        <v>2.0</v>
      </c>
      <c r="D32" s="37">
        <v>3.0</v>
      </c>
      <c r="E32" s="38" t="s">
        <v>76</v>
      </c>
      <c r="F32" s="18">
        <f t="shared" si="1"/>
        <v>1</v>
      </c>
      <c r="G32" s="19"/>
      <c r="H32" s="20">
        <v>5.0</v>
      </c>
      <c r="I32" s="21"/>
      <c r="J32" s="22">
        <v>5.0</v>
      </c>
      <c r="K32" s="23"/>
      <c r="L32" s="19"/>
      <c r="M32" s="25">
        <v>-5.0</v>
      </c>
      <c r="N32" s="21"/>
      <c r="O32" s="22">
        <v>-1.0</v>
      </c>
      <c r="P32" s="23"/>
      <c r="Q32" s="19"/>
      <c r="R32" s="20">
        <v>5.0</v>
      </c>
      <c r="S32" s="21"/>
      <c r="T32" s="22">
        <v>3.0</v>
      </c>
      <c r="U32" s="23"/>
      <c r="V32" s="9"/>
      <c r="W32" s="9"/>
      <c r="X32" s="9"/>
      <c r="Y32" s="9"/>
      <c r="Z32" s="9"/>
    </row>
    <row r="33">
      <c r="A33" s="29" t="s">
        <v>77</v>
      </c>
      <c r="B33" s="30" t="s">
        <v>78</v>
      </c>
      <c r="C33" s="30"/>
      <c r="D33" s="30">
        <v>1.0</v>
      </c>
      <c r="E33" s="31" t="s">
        <v>79</v>
      </c>
      <c r="F33" s="18">
        <f t="shared" si="1"/>
        <v>2</v>
      </c>
      <c r="G33" s="19"/>
      <c r="H33" s="20">
        <v>1.0</v>
      </c>
      <c r="I33" s="21"/>
      <c r="J33" s="22">
        <v>1.0</v>
      </c>
      <c r="K33" s="23"/>
      <c r="L33" s="19"/>
      <c r="M33" s="20">
        <v>-1.0</v>
      </c>
      <c r="N33" s="21"/>
      <c r="O33" s="22">
        <v>0.0</v>
      </c>
      <c r="P33" s="23"/>
      <c r="Q33" s="19"/>
      <c r="R33" s="20">
        <v>2.0</v>
      </c>
      <c r="S33" s="21"/>
      <c r="T33" s="22">
        <v>3.0</v>
      </c>
      <c r="U33" s="23"/>
      <c r="V33" s="9"/>
      <c r="W33" s="9"/>
      <c r="X33" s="9"/>
      <c r="Y33" s="9"/>
      <c r="Z33" s="9"/>
    </row>
    <row r="34">
      <c r="A34" s="32" t="s">
        <v>77</v>
      </c>
      <c r="B34" s="33" t="s">
        <v>80</v>
      </c>
      <c r="C34" s="33">
        <v>1.0</v>
      </c>
      <c r="D34" s="33">
        <v>3.0</v>
      </c>
      <c r="E34" s="34" t="s">
        <v>81</v>
      </c>
      <c r="F34" s="18">
        <f t="shared" si="1"/>
        <v>0.5</v>
      </c>
      <c r="G34" s="19"/>
      <c r="H34" s="20">
        <v>1.0</v>
      </c>
      <c r="I34" s="21"/>
      <c r="J34" s="22">
        <v>1.0</v>
      </c>
      <c r="K34" s="23"/>
      <c r="L34" s="19"/>
      <c r="M34" s="20">
        <v>-3.0</v>
      </c>
      <c r="N34" s="21"/>
      <c r="O34" s="22">
        <v>0.0</v>
      </c>
      <c r="P34" s="23"/>
      <c r="Q34" s="19"/>
      <c r="R34" s="20">
        <v>5.0</v>
      </c>
      <c r="S34" s="21"/>
      <c r="T34" s="22">
        <v>5.0</v>
      </c>
      <c r="U34" s="23"/>
      <c r="V34" s="9"/>
      <c r="W34" s="9"/>
      <c r="X34" s="9"/>
      <c r="Y34" s="9"/>
      <c r="Z34" s="9"/>
    </row>
    <row r="35">
      <c r="A35" s="32" t="s">
        <v>77</v>
      </c>
      <c r="B35" s="33" t="s">
        <v>82</v>
      </c>
      <c r="C35" s="33">
        <v>2.0</v>
      </c>
      <c r="D35" s="33">
        <v>1.0</v>
      </c>
      <c r="E35" s="34" t="s">
        <v>83</v>
      </c>
      <c r="F35" s="18">
        <f t="shared" si="1"/>
        <v>0.5</v>
      </c>
      <c r="G35" s="19"/>
      <c r="H35" s="20">
        <v>1.0</v>
      </c>
      <c r="I35" s="21"/>
      <c r="J35" s="22">
        <v>1.0</v>
      </c>
      <c r="K35" s="23"/>
      <c r="L35" s="19"/>
      <c r="M35" s="20">
        <v>-3.0</v>
      </c>
      <c r="N35" s="21"/>
      <c r="O35" s="22">
        <v>0.0</v>
      </c>
      <c r="P35" s="23"/>
      <c r="Q35" s="19"/>
      <c r="R35" s="20">
        <v>4.0</v>
      </c>
      <c r="S35" s="21"/>
      <c r="T35" s="22">
        <v>4.0</v>
      </c>
      <c r="U35" s="23"/>
      <c r="V35" s="9"/>
      <c r="W35" s="9"/>
      <c r="X35" s="9"/>
      <c r="Y35" s="9"/>
      <c r="Z35" s="9"/>
    </row>
    <row r="36">
      <c r="A36" s="32" t="s">
        <v>77</v>
      </c>
      <c r="B36" s="33" t="s">
        <v>84</v>
      </c>
      <c r="C36" s="33">
        <v>2.0</v>
      </c>
      <c r="D36" s="33">
        <v>1.0</v>
      </c>
      <c r="E36" s="34" t="s">
        <v>85</v>
      </c>
      <c r="F36" s="18">
        <f t="shared" si="1"/>
        <v>-2.5</v>
      </c>
      <c r="G36" s="19"/>
      <c r="H36" s="20">
        <v>1.0</v>
      </c>
      <c r="I36" s="21"/>
      <c r="J36" s="22">
        <v>1.0</v>
      </c>
      <c r="K36" s="23"/>
      <c r="L36" s="19"/>
      <c r="M36" s="20">
        <v>-4.0</v>
      </c>
      <c r="N36" s="21"/>
      <c r="O36" s="22">
        <v>-4.0</v>
      </c>
      <c r="P36" s="23"/>
      <c r="Q36" s="19"/>
      <c r="R36" s="20">
        <v>4.0</v>
      </c>
      <c r="S36" s="21"/>
      <c r="T36" s="22">
        <v>3.0</v>
      </c>
      <c r="U36" s="23"/>
      <c r="V36" s="9"/>
      <c r="W36" s="9"/>
      <c r="X36" s="9"/>
      <c r="Y36" s="9"/>
      <c r="Z36" s="9"/>
    </row>
    <row r="37">
      <c r="A37" s="32" t="s">
        <v>77</v>
      </c>
      <c r="B37" s="33" t="s">
        <v>86</v>
      </c>
      <c r="C37" s="33">
        <v>2.0</v>
      </c>
      <c r="D37" s="33">
        <v>1.0</v>
      </c>
      <c r="E37" s="34" t="s">
        <v>87</v>
      </c>
      <c r="F37" s="18">
        <f t="shared" si="1"/>
        <v>0</v>
      </c>
      <c r="G37" s="19"/>
      <c r="H37" s="20">
        <v>2.0</v>
      </c>
      <c r="I37" s="21"/>
      <c r="J37" s="22">
        <v>2.0</v>
      </c>
      <c r="K37" s="23"/>
      <c r="L37" s="19"/>
      <c r="M37" s="20">
        <v>-4.0</v>
      </c>
      <c r="N37" s="21"/>
      <c r="O37" s="22">
        <v>-2.0</v>
      </c>
      <c r="P37" s="23"/>
      <c r="Q37" s="19"/>
      <c r="R37" s="20">
        <v>3.0</v>
      </c>
      <c r="S37" s="21"/>
      <c r="T37" s="22">
        <v>5.0</v>
      </c>
      <c r="U37" s="23"/>
      <c r="V37" s="9"/>
      <c r="W37" s="9"/>
      <c r="X37" s="9"/>
      <c r="Y37" s="9"/>
      <c r="Z37" s="9"/>
    </row>
    <row r="38">
      <c r="A38" s="32" t="s">
        <v>77</v>
      </c>
      <c r="B38" s="33" t="s">
        <v>88</v>
      </c>
      <c r="C38" s="33">
        <v>2.0</v>
      </c>
      <c r="D38" s="33">
        <v>1.0</v>
      </c>
      <c r="E38" s="34" t="s">
        <v>89</v>
      </c>
      <c r="F38" s="18">
        <f t="shared" si="1"/>
        <v>-1.5</v>
      </c>
      <c r="G38" s="19"/>
      <c r="H38" s="20">
        <v>1.0</v>
      </c>
      <c r="I38" s="21"/>
      <c r="J38" s="22">
        <v>1.0</v>
      </c>
      <c r="K38" s="23"/>
      <c r="L38" s="19"/>
      <c r="M38" s="20">
        <v>-3.0</v>
      </c>
      <c r="N38" s="21"/>
      <c r="O38" s="22">
        <v>-1.0</v>
      </c>
      <c r="P38" s="23"/>
      <c r="Q38" s="19"/>
      <c r="R38" s="20">
        <v>1.0</v>
      </c>
      <c r="S38" s="21"/>
      <c r="T38" s="22">
        <v>4.0</v>
      </c>
      <c r="U38" s="23"/>
      <c r="V38" s="9"/>
      <c r="W38" s="9"/>
      <c r="X38" s="9"/>
      <c r="Y38" s="9"/>
      <c r="Z38" s="9"/>
    </row>
    <row r="39">
      <c r="A39" s="32" t="s">
        <v>77</v>
      </c>
      <c r="B39" s="33" t="s">
        <v>90</v>
      </c>
      <c r="C39" s="33">
        <v>3.0</v>
      </c>
      <c r="D39" s="33">
        <v>2.0</v>
      </c>
      <c r="E39" s="34" t="s">
        <v>91</v>
      </c>
      <c r="F39" s="18">
        <f t="shared" si="1"/>
        <v>-3.5</v>
      </c>
      <c r="G39" s="19"/>
      <c r="H39" s="20">
        <v>2.0</v>
      </c>
      <c r="I39" s="21"/>
      <c r="J39" s="22">
        <v>1.0</v>
      </c>
      <c r="K39" s="23"/>
      <c r="L39" s="19"/>
      <c r="M39" s="20">
        <v>-2.0</v>
      </c>
      <c r="N39" s="21"/>
      <c r="O39" s="22">
        <v>-4.0</v>
      </c>
      <c r="P39" s="23"/>
      <c r="Q39" s="19"/>
      <c r="R39" s="20">
        <v>2.0</v>
      </c>
      <c r="S39" s="21"/>
      <c r="T39" s="22">
        <v>4.0</v>
      </c>
      <c r="U39" s="23"/>
      <c r="V39" s="9"/>
      <c r="W39" s="9"/>
      <c r="X39" s="9"/>
      <c r="Y39" s="9"/>
      <c r="Z39" s="9"/>
    </row>
    <row r="40">
      <c r="A40" s="32" t="s">
        <v>77</v>
      </c>
      <c r="B40" s="33" t="s">
        <v>92</v>
      </c>
      <c r="C40" s="33">
        <v>3.0</v>
      </c>
      <c r="D40" s="33">
        <v>2.0</v>
      </c>
      <c r="E40" s="34" t="s">
        <v>93</v>
      </c>
      <c r="F40" s="18">
        <f t="shared" si="1"/>
        <v>1</v>
      </c>
      <c r="G40" s="19"/>
      <c r="H40" s="20">
        <v>5.0</v>
      </c>
      <c r="I40" s="21"/>
      <c r="J40" s="22">
        <v>5.0</v>
      </c>
      <c r="K40" s="23"/>
      <c r="L40" s="19"/>
      <c r="M40" s="20">
        <v>-5.0</v>
      </c>
      <c r="N40" s="21"/>
      <c r="O40" s="22">
        <v>0.0</v>
      </c>
      <c r="P40" s="23"/>
      <c r="Q40" s="19"/>
      <c r="R40" s="20">
        <v>3.0</v>
      </c>
      <c r="S40" s="21"/>
      <c r="T40" s="22">
        <v>4.0</v>
      </c>
      <c r="U40" s="23"/>
      <c r="V40" s="9"/>
      <c r="W40" s="9"/>
      <c r="X40" s="9"/>
      <c r="Y40" s="9"/>
      <c r="Z40" s="9"/>
    </row>
    <row r="41">
      <c r="A41" s="32" t="s">
        <v>77</v>
      </c>
      <c r="B41" s="33" t="s">
        <v>94</v>
      </c>
      <c r="C41" s="33">
        <v>4.0</v>
      </c>
      <c r="D41" s="33">
        <v>1.0</v>
      </c>
      <c r="E41" s="34" t="s">
        <v>95</v>
      </c>
      <c r="F41" s="18">
        <f t="shared" si="1"/>
        <v>-3.5</v>
      </c>
      <c r="G41" s="19"/>
      <c r="H41" s="20">
        <v>2.0</v>
      </c>
      <c r="I41" s="21"/>
      <c r="J41" s="22">
        <v>2.0</v>
      </c>
      <c r="K41" s="23"/>
      <c r="L41" s="19"/>
      <c r="M41" s="20">
        <v>-3.0</v>
      </c>
      <c r="N41" s="21"/>
      <c r="O41" s="22">
        <v>-1.0</v>
      </c>
      <c r="P41" s="23"/>
      <c r="Q41" s="19"/>
      <c r="R41" s="20">
        <v>2.0</v>
      </c>
      <c r="S41" s="21"/>
      <c r="T41" s="22">
        <v>1.0</v>
      </c>
      <c r="U41" s="23"/>
      <c r="V41" s="9"/>
      <c r="W41" s="9"/>
      <c r="X41" s="9"/>
      <c r="Y41" s="9"/>
      <c r="Z41" s="9"/>
    </row>
    <row r="42">
      <c r="A42" s="36" t="s">
        <v>77</v>
      </c>
      <c r="B42" s="37" t="s">
        <v>96</v>
      </c>
      <c r="C42" s="37">
        <v>3.0</v>
      </c>
      <c r="D42" s="37">
        <v>2.0</v>
      </c>
      <c r="E42" s="38" t="s">
        <v>97</v>
      </c>
      <c r="F42" s="18">
        <f t="shared" si="1"/>
        <v>0</v>
      </c>
      <c r="G42" s="19"/>
      <c r="H42" s="20">
        <v>5.0</v>
      </c>
      <c r="I42" s="21"/>
      <c r="J42" s="22">
        <v>5.0</v>
      </c>
      <c r="K42" s="23"/>
      <c r="L42" s="19"/>
      <c r="M42" s="25">
        <v>-5.0</v>
      </c>
      <c r="N42" s="21"/>
      <c r="O42" s="22">
        <v>-4.0</v>
      </c>
      <c r="P42" s="23"/>
      <c r="Q42" s="19"/>
      <c r="R42" s="20">
        <v>5.0</v>
      </c>
      <c r="S42" s="21"/>
      <c r="T42" s="22">
        <v>4.0</v>
      </c>
      <c r="U42" s="23"/>
      <c r="V42" s="9"/>
      <c r="W42" s="9"/>
      <c r="X42" s="9"/>
      <c r="Y42" s="9"/>
      <c r="Z42" s="9"/>
    </row>
    <row r="43">
      <c r="A43" s="29" t="s">
        <v>98</v>
      </c>
      <c r="B43" s="30" t="s">
        <v>99</v>
      </c>
      <c r="C43" s="39">
        <v>0.0</v>
      </c>
      <c r="D43" s="30">
        <v>1.0</v>
      </c>
      <c r="E43" s="31" t="s">
        <v>100</v>
      </c>
      <c r="F43" s="18">
        <f t="shared" si="1"/>
        <v>3</v>
      </c>
      <c r="G43" s="19"/>
      <c r="H43" s="25">
        <v>3.0</v>
      </c>
      <c r="I43" s="21"/>
      <c r="J43" s="22">
        <v>3.0</v>
      </c>
      <c r="K43" s="23"/>
      <c r="L43" s="19"/>
      <c r="M43" s="25">
        <v>-3.0</v>
      </c>
      <c r="N43" s="21"/>
      <c r="O43" s="22">
        <v>-1.0</v>
      </c>
      <c r="P43" s="23"/>
      <c r="Q43" s="19"/>
      <c r="R43" s="25">
        <v>3.0</v>
      </c>
      <c r="S43" s="21"/>
      <c r="T43" s="22">
        <v>3.0</v>
      </c>
      <c r="U43" s="23"/>
      <c r="V43" s="9"/>
      <c r="W43" s="9"/>
      <c r="X43" s="9"/>
      <c r="Y43" s="9"/>
      <c r="Z43" s="9"/>
    </row>
    <row r="44">
      <c r="A44" s="32" t="s">
        <v>98</v>
      </c>
      <c r="B44" s="33" t="s">
        <v>101</v>
      </c>
      <c r="C44" s="33">
        <v>2.0</v>
      </c>
      <c r="D44" s="33">
        <v>3.0</v>
      </c>
      <c r="E44" s="34" t="s">
        <v>102</v>
      </c>
      <c r="F44" s="18">
        <f t="shared" si="1"/>
        <v>1</v>
      </c>
      <c r="G44" s="19"/>
      <c r="H44" s="25">
        <v>3.0</v>
      </c>
      <c r="I44" s="21"/>
      <c r="J44" s="22">
        <v>5.0</v>
      </c>
      <c r="K44" s="23"/>
      <c r="L44" s="19"/>
      <c r="M44" s="25">
        <v>-2.0</v>
      </c>
      <c r="N44" s="21"/>
      <c r="O44" s="22">
        <v>-1.0</v>
      </c>
      <c r="P44" s="23"/>
      <c r="Q44" s="19"/>
      <c r="R44" s="25">
        <v>3.0</v>
      </c>
      <c r="S44" s="21"/>
      <c r="T44" s="22">
        <v>4.0</v>
      </c>
      <c r="U44" s="23"/>
      <c r="V44" s="9"/>
      <c r="W44" s="9"/>
      <c r="X44" s="9"/>
      <c r="Y44" s="9"/>
      <c r="Z44" s="9"/>
    </row>
    <row r="45">
      <c r="A45" s="32" t="s">
        <v>98</v>
      </c>
      <c r="B45" s="33" t="s">
        <v>103</v>
      </c>
      <c r="C45" s="33">
        <v>2.0</v>
      </c>
      <c r="D45" s="33">
        <v>1.0</v>
      </c>
      <c r="E45" s="34" t="s">
        <v>104</v>
      </c>
      <c r="F45" s="18">
        <f t="shared" si="1"/>
        <v>1.5</v>
      </c>
      <c r="G45" s="19"/>
      <c r="H45" s="25">
        <v>3.0</v>
      </c>
      <c r="I45" s="21"/>
      <c r="J45" s="22">
        <v>5.0</v>
      </c>
      <c r="K45" s="23"/>
      <c r="L45" s="19"/>
      <c r="M45" s="25">
        <v>-3.0</v>
      </c>
      <c r="N45" s="21"/>
      <c r="O45" s="22">
        <v>-1.0</v>
      </c>
      <c r="P45" s="23"/>
      <c r="Q45" s="19"/>
      <c r="R45" s="25">
        <v>2.0</v>
      </c>
      <c r="S45" s="21"/>
      <c r="T45" s="22">
        <v>3.0</v>
      </c>
      <c r="U45" s="23"/>
      <c r="V45" s="9"/>
      <c r="W45" s="9"/>
      <c r="X45" s="9"/>
      <c r="Y45" s="9"/>
      <c r="Z45" s="9"/>
    </row>
    <row r="46">
      <c r="A46" s="32" t="s">
        <v>98</v>
      </c>
      <c r="B46" s="33" t="s">
        <v>105</v>
      </c>
      <c r="C46" s="33">
        <v>2.0</v>
      </c>
      <c r="D46" s="33">
        <v>1.0</v>
      </c>
      <c r="E46" s="34" t="s">
        <v>106</v>
      </c>
      <c r="F46" s="18">
        <f t="shared" si="1"/>
        <v>-3</v>
      </c>
      <c r="G46" s="19"/>
      <c r="H46" s="25">
        <v>2.0</v>
      </c>
      <c r="I46" s="21"/>
      <c r="J46" s="22">
        <v>2.0</v>
      </c>
      <c r="K46" s="23"/>
      <c r="L46" s="19"/>
      <c r="M46" s="25">
        <v>-4.0</v>
      </c>
      <c r="N46" s="21"/>
      <c r="O46" s="22">
        <v>-4.0</v>
      </c>
      <c r="P46" s="23"/>
      <c r="Q46" s="19"/>
      <c r="R46" s="25">
        <v>2.0</v>
      </c>
      <c r="S46" s="21"/>
      <c r="T46" s="22">
        <v>2.0</v>
      </c>
      <c r="U46" s="23"/>
      <c r="V46" s="9"/>
      <c r="W46" s="9"/>
      <c r="X46" s="9"/>
      <c r="Y46" s="9"/>
      <c r="Z46" s="9"/>
    </row>
    <row r="47">
      <c r="A47" s="32" t="s">
        <v>98</v>
      </c>
      <c r="B47" s="33" t="s">
        <v>107</v>
      </c>
      <c r="C47" s="33">
        <v>2.0</v>
      </c>
      <c r="D47" s="33">
        <v>1.0</v>
      </c>
      <c r="E47" s="34" t="s">
        <v>108</v>
      </c>
      <c r="F47" s="18">
        <f t="shared" si="1"/>
        <v>-3</v>
      </c>
      <c r="G47" s="19"/>
      <c r="H47" s="25">
        <v>1.0</v>
      </c>
      <c r="I47" s="21"/>
      <c r="J47" s="22">
        <v>1.0</v>
      </c>
      <c r="K47" s="23"/>
      <c r="L47" s="19"/>
      <c r="M47" s="25">
        <v>-3.0</v>
      </c>
      <c r="N47" s="21"/>
      <c r="O47" s="22">
        <v>-4.0</v>
      </c>
      <c r="P47" s="23"/>
      <c r="Q47" s="19"/>
      <c r="R47" s="25">
        <v>2.0</v>
      </c>
      <c r="S47" s="21"/>
      <c r="T47" s="22">
        <v>3.0</v>
      </c>
      <c r="U47" s="23"/>
      <c r="V47" s="9"/>
      <c r="W47" s="9"/>
      <c r="X47" s="9"/>
      <c r="Y47" s="9"/>
      <c r="Z47" s="9"/>
    </row>
    <row r="48">
      <c r="A48" s="32" t="s">
        <v>98</v>
      </c>
      <c r="B48" s="33" t="s">
        <v>109</v>
      </c>
      <c r="C48" s="33">
        <v>3.0</v>
      </c>
      <c r="D48" s="33">
        <v>1.0</v>
      </c>
      <c r="E48" s="34" t="s">
        <v>110</v>
      </c>
      <c r="F48" s="18">
        <f t="shared" si="1"/>
        <v>2</v>
      </c>
      <c r="G48" s="19"/>
      <c r="H48" s="25">
        <v>3.0</v>
      </c>
      <c r="I48" s="21"/>
      <c r="J48" s="22">
        <v>5.0</v>
      </c>
      <c r="K48" s="23"/>
      <c r="L48" s="19"/>
      <c r="M48" s="25">
        <v>-2.0</v>
      </c>
      <c r="N48" s="21"/>
      <c r="O48" s="22">
        <v>0.0</v>
      </c>
      <c r="P48" s="23"/>
      <c r="Q48" s="19"/>
      <c r="R48" s="25">
        <v>3.0</v>
      </c>
      <c r="S48" s="21"/>
      <c r="T48" s="22">
        <v>3.0</v>
      </c>
      <c r="U48" s="23"/>
      <c r="V48" s="9"/>
      <c r="W48" s="9"/>
      <c r="X48" s="9"/>
      <c r="Y48" s="9"/>
      <c r="Z48" s="9"/>
    </row>
    <row r="49">
      <c r="A49" s="32" t="s">
        <v>98</v>
      </c>
      <c r="B49" s="33" t="s">
        <v>111</v>
      </c>
      <c r="C49" s="33">
        <v>3.0</v>
      </c>
      <c r="D49" s="33">
        <v>2.0</v>
      </c>
      <c r="E49" s="34" t="s">
        <v>112</v>
      </c>
      <c r="F49" s="18">
        <f t="shared" si="1"/>
        <v>-1</v>
      </c>
      <c r="G49" s="19"/>
      <c r="H49" s="25">
        <v>2.0</v>
      </c>
      <c r="I49" s="21"/>
      <c r="J49" s="22">
        <v>3.0</v>
      </c>
      <c r="K49" s="23"/>
      <c r="L49" s="19"/>
      <c r="M49" s="25">
        <v>-3.0</v>
      </c>
      <c r="N49" s="21"/>
      <c r="O49" s="22">
        <v>-4.0</v>
      </c>
      <c r="P49" s="23"/>
      <c r="Q49" s="19"/>
      <c r="R49" s="25">
        <v>5.0</v>
      </c>
      <c r="S49" s="21"/>
      <c r="T49" s="22">
        <v>5.0</v>
      </c>
      <c r="U49" s="23"/>
      <c r="V49" s="9"/>
      <c r="W49" s="9"/>
      <c r="X49" s="9"/>
      <c r="Y49" s="9"/>
      <c r="Z49" s="9"/>
    </row>
    <row r="50">
      <c r="A50" s="32" t="s">
        <v>98</v>
      </c>
      <c r="B50" s="33" t="s">
        <v>113</v>
      </c>
      <c r="C50" s="33">
        <v>3.0</v>
      </c>
      <c r="D50" s="33">
        <v>1.0</v>
      </c>
      <c r="E50" s="34" t="s">
        <v>114</v>
      </c>
      <c r="F50" s="18">
        <f t="shared" si="1"/>
        <v>1.5</v>
      </c>
      <c r="G50" s="19"/>
      <c r="H50" s="25">
        <v>4.0</v>
      </c>
      <c r="I50" s="21"/>
      <c r="J50" s="22">
        <v>5.0</v>
      </c>
      <c r="K50" s="23"/>
      <c r="L50" s="19"/>
      <c r="M50" s="25">
        <v>-3.0</v>
      </c>
      <c r="N50" s="21"/>
      <c r="O50" s="22">
        <v>0.0</v>
      </c>
      <c r="P50" s="23"/>
      <c r="Q50" s="19"/>
      <c r="R50" s="25">
        <v>2.0</v>
      </c>
      <c r="S50" s="21"/>
      <c r="T50" s="22">
        <v>3.0</v>
      </c>
      <c r="U50" s="23"/>
      <c r="V50" s="9"/>
      <c r="W50" s="9"/>
      <c r="X50" s="9"/>
      <c r="Y50" s="9"/>
      <c r="Z50" s="9"/>
    </row>
    <row r="51">
      <c r="A51" s="32" t="s">
        <v>98</v>
      </c>
      <c r="B51" s="33" t="s">
        <v>115</v>
      </c>
      <c r="C51" s="33">
        <v>4.0</v>
      </c>
      <c r="D51" s="33">
        <v>2.0</v>
      </c>
      <c r="E51" s="34" t="s">
        <v>116</v>
      </c>
      <c r="F51" s="18">
        <f t="shared" si="1"/>
        <v>-3</v>
      </c>
      <c r="G51" s="19"/>
      <c r="H51" s="25">
        <v>2.0</v>
      </c>
      <c r="I51" s="21"/>
      <c r="J51" s="22">
        <v>3.0</v>
      </c>
      <c r="K51" s="23"/>
      <c r="L51" s="19"/>
      <c r="M51" s="25">
        <v>-3.0</v>
      </c>
      <c r="N51" s="21"/>
      <c r="O51" s="22">
        <v>-4.0</v>
      </c>
      <c r="P51" s="23"/>
      <c r="Q51" s="19"/>
      <c r="R51" s="25">
        <v>4.0</v>
      </c>
      <c r="S51" s="21"/>
      <c r="T51" s="22">
        <v>4.0</v>
      </c>
      <c r="U51" s="23"/>
      <c r="V51" s="9"/>
      <c r="W51" s="9"/>
      <c r="X51" s="9"/>
      <c r="Y51" s="9"/>
      <c r="Z51" s="9"/>
    </row>
    <row r="52">
      <c r="A52" s="36" t="s">
        <v>98</v>
      </c>
      <c r="B52" s="37" t="s">
        <v>117</v>
      </c>
      <c r="C52" s="37">
        <v>3.0</v>
      </c>
      <c r="D52" s="37">
        <v>2.0</v>
      </c>
      <c r="E52" s="38" t="s">
        <v>118</v>
      </c>
      <c r="F52" s="18">
        <f t="shared" si="1"/>
        <v>2</v>
      </c>
      <c r="G52" s="19"/>
      <c r="H52" s="25">
        <v>5.0</v>
      </c>
      <c r="I52" s="21"/>
      <c r="J52" s="22">
        <v>5.0</v>
      </c>
      <c r="K52" s="23"/>
      <c r="L52" s="19"/>
      <c r="M52" s="25">
        <v>-5.0</v>
      </c>
      <c r="N52" s="21"/>
      <c r="O52" s="22">
        <v>0.0</v>
      </c>
      <c r="P52" s="23"/>
      <c r="Q52" s="19"/>
      <c r="R52" s="25">
        <v>5.0</v>
      </c>
      <c r="S52" s="21"/>
      <c r="T52" s="22">
        <v>4.0</v>
      </c>
      <c r="U52" s="23"/>
      <c r="V52" s="9"/>
      <c r="W52" s="9"/>
      <c r="X52" s="9"/>
      <c r="Y52" s="9"/>
      <c r="Z52" s="9"/>
    </row>
    <row r="53">
      <c r="A53" s="29" t="s">
        <v>119</v>
      </c>
      <c r="B53" s="39" t="s">
        <v>120</v>
      </c>
      <c r="C53" s="39">
        <v>0.0</v>
      </c>
      <c r="D53" s="30">
        <v>0.0</v>
      </c>
      <c r="E53" s="31" t="s">
        <v>121</v>
      </c>
      <c r="F53" s="18">
        <f t="shared" si="1"/>
        <v>3</v>
      </c>
      <c r="G53" s="19"/>
      <c r="H53" s="25">
        <v>2.0</v>
      </c>
      <c r="I53" s="21"/>
      <c r="J53" s="22">
        <v>3.0</v>
      </c>
      <c r="K53" s="23"/>
      <c r="L53" s="19"/>
      <c r="M53" s="25">
        <v>-1.0</v>
      </c>
      <c r="N53" s="21"/>
      <c r="O53" s="22">
        <v>-1.0</v>
      </c>
      <c r="P53" s="23"/>
      <c r="Q53" s="19"/>
      <c r="R53" s="25">
        <v>2.0</v>
      </c>
      <c r="S53" s="21"/>
      <c r="T53" s="22">
        <v>1.0</v>
      </c>
      <c r="U53" s="23"/>
      <c r="V53" s="9"/>
      <c r="W53" s="9"/>
      <c r="X53" s="9"/>
      <c r="Y53" s="9"/>
      <c r="Z53" s="9"/>
    </row>
    <row r="54">
      <c r="A54" s="32" t="s">
        <v>119</v>
      </c>
      <c r="B54" s="33" t="s">
        <v>122</v>
      </c>
      <c r="C54" s="33">
        <v>2.0</v>
      </c>
      <c r="D54" s="33">
        <v>1.0</v>
      </c>
      <c r="E54" s="34" t="s">
        <v>123</v>
      </c>
      <c r="F54" s="18">
        <f t="shared" si="1"/>
        <v>2</v>
      </c>
      <c r="G54" s="19"/>
      <c r="H54" s="25">
        <v>4.0</v>
      </c>
      <c r="I54" s="21"/>
      <c r="J54" s="22">
        <v>4.0</v>
      </c>
      <c r="K54" s="23"/>
      <c r="L54" s="19"/>
      <c r="M54" s="25">
        <v>-3.0</v>
      </c>
      <c r="N54" s="21"/>
      <c r="O54" s="22">
        <v>-1.0</v>
      </c>
      <c r="P54" s="23"/>
      <c r="Q54" s="19"/>
      <c r="R54" s="25">
        <v>3.0</v>
      </c>
      <c r="S54" s="21"/>
      <c r="T54" s="22">
        <v>3.0</v>
      </c>
      <c r="U54" s="23"/>
      <c r="V54" s="9"/>
      <c r="W54" s="9"/>
      <c r="X54" s="9"/>
      <c r="Y54" s="9"/>
      <c r="Z54" s="9"/>
    </row>
    <row r="55">
      <c r="A55" s="32" t="s">
        <v>119</v>
      </c>
      <c r="B55" s="33" t="s">
        <v>124</v>
      </c>
      <c r="C55" s="33">
        <v>2.0</v>
      </c>
      <c r="D55" s="33">
        <v>1.0</v>
      </c>
      <c r="E55" s="34" t="s">
        <v>125</v>
      </c>
      <c r="F55" s="18">
        <f t="shared" si="1"/>
        <v>1.5</v>
      </c>
      <c r="G55" s="19"/>
      <c r="H55" s="25">
        <v>3.0</v>
      </c>
      <c r="I55" s="21"/>
      <c r="J55" s="22">
        <v>3.0</v>
      </c>
      <c r="K55" s="23"/>
      <c r="L55" s="19"/>
      <c r="M55" s="25">
        <v>-3.0</v>
      </c>
      <c r="N55" s="21"/>
      <c r="O55" s="22">
        <v>-4.0</v>
      </c>
      <c r="P55" s="23"/>
      <c r="Q55" s="19"/>
      <c r="R55" s="25">
        <v>5.0</v>
      </c>
      <c r="S55" s="21"/>
      <c r="T55" s="22">
        <v>5.0</v>
      </c>
      <c r="U55" s="23"/>
      <c r="V55" s="9"/>
      <c r="W55" s="9"/>
      <c r="X55" s="9"/>
      <c r="Y55" s="9"/>
      <c r="Z55" s="9"/>
    </row>
    <row r="56">
      <c r="A56" s="32" t="s">
        <v>119</v>
      </c>
      <c r="B56" s="33" t="s">
        <v>126</v>
      </c>
      <c r="C56" s="33">
        <v>2.0</v>
      </c>
      <c r="D56" s="33">
        <v>0.0</v>
      </c>
      <c r="E56" s="34" t="s">
        <v>127</v>
      </c>
      <c r="F56" s="18">
        <f t="shared" si="1"/>
        <v>1</v>
      </c>
      <c r="G56" s="19"/>
      <c r="H56" s="25">
        <v>2.0</v>
      </c>
      <c r="I56" s="21"/>
      <c r="J56" s="22">
        <v>2.0</v>
      </c>
      <c r="K56" s="23"/>
      <c r="L56" s="19"/>
      <c r="M56" s="25">
        <v>-3.0</v>
      </c>
      <c r="N56" s="21"/>
      <c r="O56" s="22">
        <v>0.0</v>
      </c>
      <c r="P56" s="23"/>
      <c r="Q56" s="19"/>
      <c r="R56" s="25">
        <v>2.0</v>
      </c>
      <c r="S56" s="21"/>
      <c r="T56" s="22">
        <v>3.0</v>
      </c>
      <c r="U56" s="23"/>
      <c r="V56" s="9"/>
      <c r="W56" s="9"/>
      <c r="X56" s="9"/>
      <c r="Y56" s="9"/>
      <c r="Z56" s="9"/>
    </row>
    <row r="57">
      <c r="A57" s="32" t="s">
        <v>119</v>
      </c>
      <c r="B57" s="33" t="s">
        <v>128</v>
      </c>
      <c r="C57" s="33">
        <v>2.0</v>
      </c>
      <c r="D57" s="33">
        <v>1.0</v>
      </c>
      <c r="E57" s="34" t="s">
        <v>129</v>
      </c>
      <c r="F57" s="18">
        <f t="shared" si="1"/>
        <v>1</v>
      </c>
      <c r="G57" s="19"/>
      <c r="H57" s="25">
        <v>2.0</v>
      </c>
      <c r="I57" s="21"/>
      <c r="J57" s="22">
        <v>2.0</v>
      </c>
      <c r="K57" s="23"/>
      <c r="L57" s="19"/>
      <c r="M57" s="25">
        <v>-3.0</v>
      </c>
      <c r="N57" s="21"/>
      <c r="O57" s="22">
        <v>-1.0</v>
      </c>
      <c r="P57" s="23"/>
      <c r="Q57" s="19"/>
      <c r="R57" s="25">
        <v>4.0</v>
      </c>
      <c r="S57" s="21"/>
      <c r="T57" s="22">
        <v>4.0</v>
      </c>
      <c r="U57" s="23"/>
      <c r="V57" s="9"/>
      <c r="W57" s="9"/>
      <c r="X57" s="9"/>
      <c r="Y57" s="9"/>
      <c r="Z57" s="9"/>
    </row>
    <row r="58">
      <c r="A58" s="32" t="s">
        <v>119</v>
      </c>
      <c r="B58" s="33" t="s">
        <v>130</v>
      </c>
      <c r="C58" s="33">
        <v>3.0</v>
      </c>
      <c r="D58" s="33">
        <v>1.0</v>
      </c>
      <c r="E58" s="34" t="s">
        <v>131</v>
      </c>
      <c r="F58" s="18">
        <f t="shared" si="1"/>
        <v>2</v>
      </c>
      <c r="G58" s="19"/>
      <c r="H58" s="25">
        <v>4.0</v>
      </c>
      <c r="I58" s="21"/>
      <c r="J58" s="22">
        <v>4.0</v>
      </c>
      <c r="K58" s="23"/>
      <c r="L58" s="19"/>
      <c r="M58" s="25">
        <v>-3.0</v>
      </c>
      <c r="N58" s="21"/>
      <c r="O58" s="22">
        <v>-1.0</v>
      </c>
      <c r="P58" s="23"/>
      <c r="Q58" s="19"/>
      <c r="R58" s="25">
        <v>4.0</v>
      </c>
      <c r="S58" s="21"/>
      <c r="T58" s="22">
        <v>4.0</v>
      </c>
      <c r="U58" s="23"/>
      <c r="V58" s="9"/>
      <c r="W58" s="9"/>
      <c r="X58" s="9"/>
      <c r="Y58" s="9"/>
      <c r="Z58" s="9"/>
    </row>
    <row r="59">
      <c r="A59" s="32" t="s">
        <v>119</v>
      </c>
      <c r="B59" s="33" t="s">
        <v>132</v>
      </c>
      <c r="C59" s="33">
        <v>3.0</v>
      </c>
      <c r="D59" s="33">
        <v>1.0</v>
      </c>
      <c r="E59" s="34" t="s">
        <v>133</v>
      </c>
      <c r="F59" s="18">
        <f t="shared" si="1"/>
        <v>2</v>
      </c>
      <c r="G59" s="19"/>
      <c r="H59" s="25">
        <v>4.0</v>
      </c>
      <c r="I59" s="21"/>
      <c r="J59" s="22">
        <v>3.0</v>
      </c>
      <c r="K59" s="23"/>
      <c r="L59" s="19"/>
      <c r="M59" s="25">
        <v>-1.0</v>
      </c>
      <c r="N59" s="21"/>
      <c r="O59" s="22">
        <v>-1.0</v>
      </c>
      <c r="P59" s="23"/>
      <c r="Q59" s="19"/>
      <c r="R59" s="25">
        <v>4.0</v>
      </c>
      <c r="S59" s="21"/>
      <c r="T59" s="22">
        <v>3.0</v>
      </c>
      <c r="U59" s="23"/>
      <c r="V59" s="9"/>
      <c r="W59" s="9"/>
      <c r="X59" s="9"/>
      <c r="Y59" s="9"/>
      <c r="Z59" s="9"/>
    </row>
    <row r="60">
      <c r="A60" s="32" t="s">
        <v>119</v>
      </c>
      <c r="B60" s="33" t="s">
        <v>134</v>
      </c>
      <c r="C60" s="33">
        <v>3.0</v>
      </c>
      <c r="D60" s="33">
        <v>1.0</v>
      </c>
      <c r="E60" s="34" t="s">
        <v>135</v>
      </c>
      <c r="F60" s="18">
        <f t="shared" si="1"/>
        <v>-2.5</v>
      </c>
      <c r="G60" s="19"/>
      <c r="H60" s="25">
        <v>1.0</v>
      </c>
      <c r="I60" s="21"/>
      <c r="J60" s="22">
        <v>1.0</v>
      </c>
      <c r="K60" s="23"/>
      <c r="L60" s="19"/>
      <c r="M60" s="25">
        <v>-3.0</v>
      </c>
      <c r="N60" s="21"/>
      <c r="O60" s="22">
        <v>0.0</v>
      </c>
      <c r="P60" s="23"/>
      <c r="Q60" s="19"/>
      <c r="R60" s="25">
        <v>2.0</v>
      </c>
      <c r="S60" s="21"/>
      <c r="T60" s="22">
        <v>2.0</v>
      </c>
      <c r="U60" s="23"/>
      <c r="V60" s="9"/>
      <c r="W60" s="9"/>
      <c r="X60" s="9"/>
      <c r="Y60" s="9"/>
      <c r="Z60" s="9"/>
    </row>
    <row r="61">
      <c r="A61" s="32" t="s">
        <v>119</v>
      </c>
      <c r="B61" s="33" t="s">
        <v>136</v>
      </c>
      <c r="C61" s="33">
        <v>4.0</v>
      </c>
      <c r="D61" s="33">
        <v>1.0</v>
      </c>
      <c r="E61" s="34" t="s">
        <v>137</v>
      </c>
      <c r="F61" s="18">
        <f t="shared" si="1"/>
        <v>2.5</v>
      </c>
      <c r="G61" s="19"/>
      <c r="H61" s="25">
        <v>5.0</v>
      </c>
      <c r="I61" s="21"/>
      <c r="J61" s="22">
        <v>5.0</v>
      </c>
      <c r="K61" s="23"/>
      <c r="L61" s="19"/>
      <c r="M61" s="25">
        <v>-3.0</v>
      </c>
      <c r="N61" s="21"/>
      <c r="O61" s="22">
        <v>0.0</v>
      </c>
      <c r="P61" s="23"/>
      <c r="Q61" s="19"/>
      <c r="R61" s="25">
        <v>4.0</v>
      </c>
      <c r="S61" s="21"/>
      <c r="T61" s="22">
        <v>4.0</v>
      </c>
      <c r="U61" s="23"/>
      <c r="V61" s="9"/>
      <c r="W61" s="9"/>
      <c r="X61" s="9"/>
      <c r="Y61" s="9"/>
      <c r="Z61" s="9"/>
    </row>
    <row r="62">
      <c r="A62" s="36" t="s">
        <v>119</v>
      </c>
      <c r="B62" s="37" t="s">
        <v>138</v>
      </c>
      <c r="C62" s="37">
        <v>3.0</v>
      </c>
      <c r="D62" s="37">
        <v>2.0</v>
      </c>
      <c r="E62" s="38" t="s">
        <v>139</v>
      </c>
      <c r="F62" s="18">
        <f t="shared" si="1"/>
        <v>0</v>
      </c>
      <c r="G62" s="19"/>
      <c r="H62" s="25">
        <v>5.0</v>
      </c>
      <c r="I62" s="21"/>
      <c r="J62" s="22">
        <v>5.0</v>
      </c>
      <c r="K62" s="23"/>
      <c r="L62" s="19"/>
      <c r="M62" s="25">
        <v>-5.0</v>
      </c>
      <c r="N62" s="21"/>
      <c r="O62" s="22">
        <v>-4.0</v>
      </c>
      <c r="P62" s="23"/>
      <c r="Q62" s="19"/>
      <c r="R62" s="25">
        <v>5.0</v>
      </c>
      <c r="S62" s="21"/>
      <c r="T62" s="22">
        <v>4.0</v>
      </c>
      <c r="U62" s="23"/>
      <c r="V62" s="9"/>
      <c r="W62" s="9"/>
      <c r="X62" s="9"/>
      <c r="Y62" s="9"/>
      <c r="Z62" s="9"/>
    </row>
    <row r="63">
      <c r="A63" s="40" t="s">
        <v>140</v>
      </c>
      <c r="B63" s="41" t="s">
        <v>141</v>
      </c>
      <c r="C63" s="41">
        <v>0.0</v>
      </c>
      <c r="D63" s="41">
        <v>0.0</v>
      </c>
      <c r="E63" s="42" t="s">
        <v>142</v>
      </c>
      <c r="F63" s="18">
        <f t="shared" si="1"/>
        <v>3.5</v>
      </c>
      <c r="G63" s="19"/>
      <c r="H63" s="25">
        <v>3.0</v>
      </c>
      <c r="I63" s="21"/>
      <c r="J63" s="22">
        <v>3.0</v>
      </c>
      <c r="K63" s="23"/>
      <c r="L63" s="19"/>
      <c r="M63" s="25">
        <v>-3.0</v>
      </c>
      <c r="N63" s="21"/>
      <c r="O63" s="22">
        <v>-1.0</v>
      </c>
      <c r="P63" s="23"/>
      <c r="Q63" s="19"/>
      <c r="R63" s="25">
        <v>2.0</v>
      </c>
      <c r="S63" s="21"/>
      <c r="T63" s="22">
        <v>3.0</v>
      </c>
      <c r="U63" s="23"/>
      <c r="V63" s="9"/>
      <c r="W63" s="9"/>
      <c r="X63" s="9"/>
      <c r="Y63" s="9"/>
      <c r="Z63" s="9"/>
    </row>
    <row r="64">
      <c r="A64" s="15" t="s">
        <v>140</v>
      </c>
      <c r="B64" s="16" t="s">
        <v>143</v>
      </c>
      <c r="C64" s="16">
        <v>1.0</v>
      </c>
      <c r="D64" s="16">
        <v>1.0</v>
      </c>
      <c r="E64" s="17" t="s">
        <v>144</v>
      </c>
      <c r="F64" s="18">
        <f t="shared" si="1"/>
        <v>1</v>
      </c>
      <c r="G64" s="19"/>
      <c r="H64" s="25">
        <v>5.0</v>
      </c>
      <c r="I64" s="21"/>
      <c r="J64" s="22">
        <v>5.0</v>
      </c>
      <c r="K64" s="23"/>
      <c r="L64" s="19"/>
      <c r="M64" s="25">
        <v>-5.0</v>
      </c>
      <c r="N64" s="21"/>
      <c r="O64" s="22">
        <v>-5.0</v>
      </c>
      <c r="P64" s="23"/>
      <c r="Q64" s="19"/>
      <c r="R64" s="25">
        <v>3.0</v>
      </c>
      <c r="S64" s="21"/>
      <c r="T64" s="22">
        <v>3.0</v>
      </c>
      <c r="U64" s="23"/>
      <c r="V64" s="9"/>
      <c r="W64" s="9"/>
      <c r="X64" s="9"/>
      <c r="Y64" s="9"/>
      <c r="Z64" s="9"/>
    </row>
    <row r="65">
      <c r="A65" s="15" t="s">
        <v>140</v>
      </c>
      <c r="B65" s="16" t="s">
        <v>145</v>
      </c>
      <c r="C65" s="16">
        <v>1.0</v>
      </c>
      <c r="D65" s="16">
        <v>1.0</v>
      </c>
      <c r="E65" s="17" t="s">
        <v>146</v>
      </c>
      <c r="F65" s="18">
        <f t="shared" si="1"/>
        <v>2</v>
      </c>
      <c r="G65" s="19"/>
      <c r="H65" s="25">
        <v>5.0</v>
      </c>
      <c r="I65" s="21"/>
      <c r="J65" s="22">
        <v>5.0</v>
      </c>
      <c r="K65" s="23"/>
      <c r="L65" s="19"/>
      <c r="M65" s="25">
        <v>-1.0</v>
      </c>
      <c r="N65" s="21"/>
      <c r="O65" s="22">
        <v>-4.0</v>
      </c>
      <c r="P65" s="23"/>
      <c r="Q65" s="19"/>
      <c r="R65" s="25">
        <v>1.0</v>
      </c>
      <c r="S65" s="21"/>
      <c r="T65" s="22">
        <v>2.0</v>
      </c>
      <c r="U65" s="23"/>
      <c r="V65" s="9"/>
      <c r="W65" s="9"/>
      <c r="X65" s="9"/>
      <c r="Y65" s="9"/>
      <c r="Z65" s="9"/>
    </row>
    <row r="66">
      <c r="A66" s="15" t="s">
        <v>140</v>
      </c>
      <c r="B66" s="16" t="s">
        <v>147</v>
      </c>
      <c r="C66" s="16">
        <v>2.0</v>
      </c>
      <c r="D66" s="16">
        <v>1.0</v>
      </c>
      <c r="E66" s="17" t="s">
        <v>148</v>
      </c>
      <c r="F66" s="18">
        <f t="shared" si="1"/>
        <v>-0.5</v>
      </c>
      <c r="G66" s="19"/>
      <c r="H66" s="25">
        <v>2.0</v>
      </c>
      <c r="I66" s="21"/>
      <c r="J66" s="22">
        <v>3.0</v>
      </c>
      <c r="K66" s="23"/>
      <c r="L66" s="19"/>
      <c r="M66" s="25">
        <v>-3.0</v>
      </c>
      <c r="N66" s="21"/>
      <c r="O66" s="22">
        <v>-1.0</v>
      </c>
      <c r="P66" s="23"/>
      <c r="Q66" s="19"/>
      <c r="R66" s="25">
        <v>2.0</v>
      </c>
      <c r="S66" s="21"/>
      <c r="T66" s="22">
        <v>2.0</v>
      </c>
      <c r="U66" s="23"/>
      <c r="V66" s="9"/>
      <c r="W66" s="9"/>
      <c r="X66" s="9"/>
      <c r="Y66" s="9"/>
      <c r="Z66" s="9"/>
    </row>
    <row r="67">
      <c r="A67" s="15" t="s">
        <v>140</v>
      </c>
      <c r="B67" s="16" t="s">
        <v>149</v>
      </c>
      <c r="C67" s="16">
        <v>2.0</v>
      </c>
      <c r="D67" s="16">
        <v>1.0</v>
      </c>
      <c r="E67" s="17" t="s">
        <v>150</v>
      </c>
      <c r="F67" s="18">
        <f t="shared" si="1"/>
        <v>-0.25</v>
      </c>
      <c r="G67" s="19"/>
      <c r="H67" s="25">
        <v>2.0</v>
      </c>
      <c r="I67" s="21"/>
      <c r="J67" s="22">
        <v>4.0</v>
      </c>
      <c r="K67" s="23"/>
      <c r="L67" s="19"/>
      <c r="M67" s="25">
        <v>-3.0</v>
      </c>
      <c r="N67" s="21"/>
      <c r="O67" s="22">
        <v>-1.0</v>
      </c>
      <c r="P67" s="23"/>
      <c r="Q67" s="19"/>
      <c r="R67" s="25">
        <v>1.5</v>
      </c>
      <c r="S67" s="21"/>
      <c r="T67" s="22">
        <v>2.0</v>
      </c>
      <c r="U67" s="23"/>
      <c r="V67" s="9"/>
      <c r="W67" s="9"/>
      <c r="X67" s="9"/>
      <c r="Y67" s="9"/>
      <c r="Z67" s="9"/>
    </row>
    <row r="68">
      <c r="A68" s="15" t="s">
        <v>140</v>
      </c>
      <c r="B68" s="16" t="s">
        <v>151</v>
      </c>
      <c r="C68" s="16">
        <v>3.0</v>
      </c>
      <c r="D68" s="16">
        <v>1.0</v>
      </c>
      <c r="E68" s="17" t="s">
        <v>152</v>
      </c>
      <c r="F68" s="18">
        <f t="shared" si="1"/>
        <v>1.5</v>
      </c>
      <c r="G68" s="19"/>
      <c r="H68" s="25">
        <v>4.0</v>
      </c>
      <c r="I68" s="21"/>
      <c r="J68" s="22">
        <v>2.0</v>
      </c>
      <c r="K68" s="23"/>
      <c r="L68" s="19"/>
      <c r="M68" s="25">
        <v>-3.0</v>
      </c>
      <c r="N68" s="21"/>
      <c r="O68" s="22">
        <v>0.0</v>
      </c>
      <c r="P68" s="23"/>
      <c r="Q68" s="19"/>
      <c r="R68" s="25">
        <v>4.0</v>
      </c>
      <c r="S68" s="21"/>
      <c r="T68" s="22">
        <v>4.0</v>
      </c>
      <c r="U68" s="23"/>
      <c r="V68" s="9"/>
      <c r="W68" s="9"/>
      <c r="X68" s="9"/>
      <c r="Y68" s="9"/>
      <c r="Z68" s="9"/>
    </row>
    <row r="69">
      <c r="A69" s="15" t="s">
        <v>140</v>
      </c>
      <c r="B69" s="16" t="s">
        <v>153</v>
      </c>
      <c r="C69" s="16">
        <v>3.0</v>
      </c>
      <c r="D69" s="16">
        <v>1.0</v>
      </c>
      <c r="E69" s="17" t="s">
        <v>154</v>
      </c>
      <c r="F69" s="18">
        <f t="shared" si="1"/>
        <v>1</v>
      </c>
      <c r="G69" s="19"/>
      <c r="H69" s="25">
        <v>4.0</v>
      </c>
      <c r="I69" s="21"/>
      <c r="J69" s="22">
        <v>4.0</v>
      </c>
      <c r="K69" s="23"/>
      <c r="L69" s="19"/>
      <c r="M69" s="25">
        <v>-3.0</v>
      </c>
      <c r="N69" s="21"/>
      <c r="O69" s="22">
        <v>-1.0</v>
      </c>
      <c r="P69" s="23"/>
      <c r="Q69" s="19"/>
      <c r="R69" s="25">
        <v>3.0</v>
      </c>
      <c r="S69" s="21"/>
      <c r="T69" s="22">
        <v>3.0</v>
      </c>
      <c r="U69" s="23"/>
      <c r="V69" s="9"/>
      <c r="W69" s="9"/>
      <c r="X69" s="9"/>
      <c r="Y69" s="9"/>
      <c r="Z69" s="9"/>
    </row>
    <row r="70">
      <c r="A70" s="15" t="s">
        <v>140</v>
      </c>
      <c r="B70" s="16" t="s">
        <v>155</v>
      </c>
      <c r="C70" s="16">
        <v>3.0</v>
      </c>
      <c r="D70" s="16">
        <v>1.0</v>
      </c>
      <c r="E70" s="17" t="s">
        <v>156</v>
      </c>
      <c r="F70" s="18">
        <f t="shared" si="1"/>
        <v>-0.5</v>
      </c>
      <c r="G70" s="19"/>
      <c r="H70" s="25">
        <v>2.0</v>
      </c>
      <c r="I70" s="21"/>
      <c r="J70" s="22">
        <v>3.0</v>
      </c>
      <c r="K70" s="23"/>
      <c r="L70" s="19"/>
      <c r="M70" s="25">
        <v>-3.0</v>
      </c>
      <c r="N70" s="21"/>
      <c r="O70" s="22">
        <v>-1.0</v>
      </c>
      <c r="P70" s="23"/>
      <c r="Q70" s="19"/>
      <c r="R70" s="25">
        <v>3.0</v>
      </c>
      <c r="S70" s="21"/>
      <c r="T70" s="22">
        <v>3.0</v>
      </c>
      <c r="U70" s="23"/>
      <c r="V70" s="9"/>
      <c r="W70" s="9"/>
      <c r="X70" s="9"/>
      <c r="Y70" s="9"/>
      <c r="Z70" s="9"/>
    </row>
    <row r="71">
      <c r="A71" s="15" t="s">
        <v>140</v>
      </c>
      <c r="B71" s="16" t="s">
        <v>157</v>
      </c>
      <c r="C71" s="16">
        <v>3.0</v>
      </c>
      <c r="D71" s="16">
        <v>2.0</v>
      </c>
      <c r="E71" s="17" t="s">
        <v>158</v>
      </c>
      <c r="F71" s="18">
        <f t="shared" si="1"/>
        <v>2</v>
      </c>
      <c r="G71" s="19"/>
      <c r="H71" s="25">
        <v>5.0</v>
      </c>
      <c r="I71" s="21"/>
      <c r="J71" s="22">
        <v>5.0</v>
      </c>
      <c r="K71" s="23"/>
      <c r="L71" s="19"/>
      <c r="M71" s="25">
        <v>-5.0</v>
      </c>
      <c r="N71" s="21"/>
      <c r="O71" s="22">
        <v>0.0</v>
      </c>
      <c r="P71" s="23"/>
      <c r="Q71" s="19"/>
      <c r="R71" s="25">
        <v>5.0</v>
      </c>
      <c r="S71" s="21"/>
      <c r="T71" s="22">
        <v>4.0</v>
      </c>
      <c r="U71" s="23"/>
      <c r="V71" s="9"/>
      <c r="W71" s="9"/>
      <c r="X71" s="9"/>
      <c r="Y71" s="9"/>
      <c r="Z71" s="9"/>
    </row>
    <row r="72">
      <c r="A72" s="26" t="s">
        <v>140</v>
      </c>
      <c r="B72" s="27" t="s">
        <v>159</v>
      </c>
      <c r="C72" s="27">
        <v>3.0</v>
      </c>
      <c r="D72" s="27">
        <v>1.0</v>
      </c>
      <c r="E72" s="28" t="s">
        <v>160</v>
      </c>
      <c r="F72" s="18">
        <f t="shared" si="1"/>
        <v>-0.5</v>
      </c>
      <c r="G72" s="19"/>
      <c r="H72" s="25">
        <v>2.0</v>
      </c>
      <c r="I72" s="21"/>
      <c r="J72" s="22">
        <v>2.0</v>
      </c>
      <c r="K72" s="23"/>
      <c r="L72" s="19"/>
      <c r="M72" s="25">
        <v>-3.0</v>
      </c>
      <c r="N72" s="21"/>
      <c r="O72" s="22">
        <v>0.0</v>
      </c>
      <c r="P72" s="23"/>
      <c r="Q72" s="19"/>
      <c r="R72" s="25">
        <v>3.0</v>
      </c>
      <c r="S72" s="21"/>
      <c r="T72" s="22">
        <v>3.0</v>
      </c>
      <c r="U72" s="23"/>
      <c r="V72" s="9"/>
      <c r="W72" s="9"/>
      <c r="X72" s="9"/>
      <c r="Y72" s="9"/>
      <c r="Z72" s="9"/>
    </row>
    <row r="73">
      <c r="A73" s="40" t="s">
        <v>161</v>
      </c>
      <c r="B73" s="41" t="s">
        <v>162</v>
      </c>
      <c r="C73" s="41">
        <v>0.0</v>
      </c>
      <c r="D73" s="41">
        <v>0.0</v>
      </c>
      <c r="E73" s="42" t="s">
        <v>163</v>
      </c>
      <c r="F73" s="18">
        <f t="shared" si="1"/>
        <v>3.5</v>
      </c>
      <c r="G73" s="19"/>
      <c r="H73" s="25">
        <v>1.0</v>
      </c>
      <c r="I73" s="21"/>
      <c r="J73" s="22">
        <v>1.0</v>
      </c>
      <c r="K73" s="23"/>
      <c r="L73" s="19"/>
      <c r="M73" s="25">
        <v>-1.0</v>
      </c>
      <c r="N73" s="21"/>
      <c r="O73" s="22">
        <v>-1.0</v>
      </c>
      <c r="P73" s="23"/>
      <c r="Q73" s="19"/>
      <c r="R73" s="25">
        <v>4.0</v>
      </c>
      <c r="S73" s="21"/>
      <c r="T73" s="22">
        <v>3.0</v>
      </c>
      <c r="U73" s="23"/>
      <c r="V73" s="9"/>
      <c r="W73" s="9"/>
      <c r="X73" s="9"/>
      <c r="Y73" s="9"/>
      <c r="Z73" s="9"/>
    </row>
    <row r="74">
      <c r="A74" s="15" t="s">
        <v>161</v>
      </c>
      <c r="B74" s="16" t="s">
        <v>164</v>
      </c>
      <c r="C74" s="16">
        <v>2.0</v>
      </c>
      <c r="D74" s="16">
        <v>1.0</v>
      </c>
      <c r="E74" s="17" t="s">
        <v>165</v>
      </c>
      <c r="F74" s="18">
        <f t="shared" si="1"/>
        <v>3</v>
      </c>
      <c r="G74" s="19"/>
      <c r="H74" s="25">
        <v>5.0</v>
      </c>
      <c r="I74" s="21"/>
      <c r="J74" s="22">
        <v>5.0</v>
      </c>
      <c r="K74" s="23"/>
      <c r="L74" s="19"/>
      <c r="M74" s="25">
        <v>-3.0</v>
      </c>
      <c r="N74" s="21"/>
      <c r="O74" s="22">
        <v>-1.0</v>
      </c>
      <c r="P74" s="23"/>
      <c r="Q74" s="19"/>
      <c r="R74" s="25">
        <v>3.0</v>
      </c>
      <c r="S74" s="21"/>
      <c r="T74" s="22">
        <v>3.0</v>
      </c>
      <c r="U74" s="23"/>
      <c r="V74" s="9"/>
      <c r="W74" s="9"/>
      <c r="X74" s="9"/>
      <c r="Y74" s="9"/>
      <c r="Z74" s="9"/>
    </row>
    <row r="75">
      <c r="A75" s="15" t="s">
        <v>161</v>
      </c>
      <c r="B75" s="16" t="s">
        <v>166</v>
      </c>
      <c r="C75" s="16">
        <v>1.0</v>
      </c>
      <c r="D75" s="16">
        <v>2.0</v>
      </c>
      <c r="E75" s="17" t="s">
        <v>167</v>
      </c>
      <c r="F75" s="18">
        <f t="shared" si="1"/>
        <v>2</v>
      </c>
      <c r="G75" s="19"/>
      <c r="H75" s="25">
        <v>3.0</v>
      </c>
      <c r="I75" s="21"/>
      <c r="J75" s="22">
        <v>3.0</v>
      </c>
      <c r="K75" s="23"/>
      <c r="L75" s="19"/>
      <c r="M75" s="25">
        <v>-3.0</v>
      </c>
      <c r="N75" s="21"/>
      <c r="O75" s="22">
        <v>-1.0</v>
      </c>
      <c r="P75" s="23"/>
      <c r="Q75" s="19"/>
      <c r="R75" s="25">
        <v>4.0</v>
      </c>
      <c r="S75" s="21"/>
      <c r="T75" s="22">
        <v>4.0</v>
      </c>
      <c r="U75" s="23"/>
      <c r="V75" s="9"/>
      <c r="W75" s="9"/>
      <c r="X75" s="9"/>
      <c r="Y75" s="9"/>
      <c r="Z75" s="9"/>
    </row>
    <row r="76">
      <c r="A76" s="15" t="s">
        <v>161</v>
      </c>
      <c r="B76" s="16" t="s">
        <v>168</v>
      </c>
      <c r="C76" s="16">
        <v>3.0</v>
      </c>
      <c r="D76" s="16">
        <v>2.0</v>
      </c>
      <c r="E76" s="17" t="s">
        <v>169</v>
      </c>
      <c r="F76" s="18">
        <f t="shared" si="1"/>
        <v>0.5</v>
      </c>
      <c r="G76" s="19"/>
      <c r="H76" s="25">
        <v>4.0</v>
      </c>
      <c r="I76" s="21"/>
      <c r="J76" s="22">
        <v>2.0</v>
      </c>
      <c r="K76" s="23"/>
      <c r="L76" s="19"/>
      <c r="M76" s="25">
        <v>-3.0</v>
      </c>
      <c r="N76" s="21"/>
      <c r="O76" s="22">
        <v>-1.0</v>
      </c>
      <c r="P76" s="23"/>
      <c r="Q76" s="19"/>
      <c r="R76" s="25">
        <v>5.0</v>
      </c>
      <c r="S76" s="21"/>
      <c r="T76" s="22">
        <v>4.0</v>
      </c>
      <c r="U76" s="23"/>
      <c r="V76" s="9"/>
      <c r="W76" s="9"/>
      <c r="X76" s="9"/>
      <c r="Y76" s="9"/>
      <c r="Z76" s="9"/>
    </row>
    <row r="77">
      <c r="A77" s="15" t="s">
        <v>161</v>
      </c>
      <c r="B77" s="16" t="s">
        <v>170</v>
      </c>
      <c r="C77" s="16">
        <v>3.0</v>
      </c>
      <c r="D77" s="16">
        <v>1.0</v>
      </c>
      <c r="E77" s="17" t="s">
        <v>171</v>
      </c>
      <c r="F77" s="18">
        <f t="shared" si="1"/>
        <v>-2</v>
      </c>
      <c r="G77" s="19"/>
      <c r="H77" s="25">
        <v>2.0</v>
      </c>
      <c r="I77" s="21"/>
      <c r="J77" s="22">
        <v>3.0</v>
      </c>
      <c r="K77" s="23"/>
      <c r="L77" s="19"/>
      <c r="M77" s="25">
        <v>-3.0</v>
      </c>
      <c r="N77" s="21"/>
      <c r="O77" s="22">
        <v>-3.0</v>
      </c>
      <c r="P77" s="23"/>
      <c r="Q77" s="19"/>
      <c r="R77" s="25">
        <v>2.0</v>
      </c>
      <c r="S77" s="21"/>
      <c r="T77" s="22">
        <v>3.0</v>
      </c>
      <c r="U77" s="23"/>
      <c r="V77" s="9"/>
      <c r="W77" s="9"/>
      <c r="X77" s="9"/>
      <c r="Y77" s="9"/>
      <c r="Z77" s="9"/>
    </row>
    <row r="78">
      <c r="A78" s="15" t="s">
        <v>161</v>
      </c>
      <c r="B78" s="16" t="s">
        <v>172</v>
      </c>
      <c r="C78" s="16">
        <v>3.0</v>
      </c>
      <c r="D78" s="16">
        <v>2.0</v>
      </c>
      <c r="E78" s="17" t="s">
        <v>173</v>
      </c>
      <c r="F78" s="18">
        <f t="shared" si="1"/>
        <v>2</v>
      </c>
      <c r="G78" s="19"/>
      <c r="H78" s="25">
        <v>5.0</v>
      </c>
      <c r="I78" s="21"/>
      <c r="J78" s="22">
        <v>5.0</v>
      </c>
      <c r="K78" s="23"/>
      <c r="L78" s="19"/>
      <c r="M78" s="25">
        <v>-3.0</v>
      </c>
      <c r="N78" s="21"/>
      <c r="O78" s="22">
        <v>-1.0</v>
      </c>
      <c r="P78" s="23"/>
      <c r="Q78" s="19"/>
      <c r="R78" s="25">
        <v>4.0</v>
      </c>
      <c r="S78" s="21"/>
      <c r="T78" s="22">
        <v>4.0</v>
      </c>
      <c r="U78" s="23"/>
      <c r="V78" s="9"/>
      <c r="W78" s="9"/>
      <c r="X78" s="9"/>
      <c r="Y78" s="9"/>
      <c r="Z78" s="9"/>
    </row>
    <row r="79">
      <c r="A79" s="15" t="s">
        <v>161</v>
      </c>
      <c r="B79" s="16" t="s">
        <v>174</v>
      </c>
      <c r="C79" s="16">
        <v>3.0</v>
      </c>
      <c r="D79" s="16">
        <v>2.0</v>
      </c>
      <c r="E79" s="17" t="s">
        <v>175</v>
      </c>
      <c r="F79" s="18">
        <f t="shared" si="1"/>
        <v>1.5</v>
      </c>
      <c r="G79" s="19"/>
      <c r="H79" s="25">
        <v>5.0</v>
      </c>
      <c r="I79" s="21"/>
      <c r="J79" s="22">
        <v>5.0</v>
      </c>
      <c r="K79" s="23"/>
      <c r="L79" s="19"/>
      <c r="M79" s="25">
        <v>-3.0</v>
      </c>
      <c r="N79" s="21"/>
      <c r="O79" s="22">
        <v>-4.0</v>
      </c>
      <c r="P79" s="23"/>
      <c r="Q79" s="19"/>
      <c r="R79" s="25">
        <v>5.0</v>
      </c>
      <c r="S79" s="21"/>
      <c r="T79" s="22">
        <v>5.0</v>
      </c>
      <c r="U79" s="23"/>
      <c r="V79" s="9"/>
      <c r="W79" s="9"/>
      <c r="X79" s="9"/>
      <c r="Y79" s="9"/>
      <c r="Z79" s="9"/>
    </row>
    <row r="80">
      <c r="A80" s="15" t="s">
        <v>161</v>
      </c>
      <c r="B80" s="16" t="s">
        <v>176</v>
      </c>
      <c r="C80" s="16">
        <v>4.0</v>
      </c>
      <c r="D80" s="16">
        <v>1.0</v>
      </c>
      <c r="E80" s="17" t="s">
        <v>177</v>
      </c>
      <c r="F80" s="18">
        <f t="shared" si="1"/>
        <v>0.5</v>
      </c>
      <c r="G80" s="19"/>
      <c r="H80" s="25">
        <v>4.0</v>
      </c>
      <c r="I80" s="21"/>
      <c r="J80" s="22">
        <v>2.0</v>
      </c>
      <c r="K80" s="23"/>
      <c r="L80" s="19"/>
      <c r="M80" s="25">
        <v>-3.0</v>
      </c>
      <c r="N80" s="21"/>
      <c r="O80" s="22">
        <v>0.0</v>
      </c>
      <c r="P80" s="23"/>
      <c r="Q80" s="19"/>
      <c r="R80" s="25">
        <v>5.0</v>
      </c>
      <c r="S80" s="21"/>
      <c r="T80" s="22">
        <v>3.0</v>
      </c>
      <c r="U80" s="23"/>
      <c r="V80" s="9"/>
      <c r="W80" s="9"/>
      <c r="X80" s="9"/>
      <c r="Y80" s="9"/>
      <c r="Z80" s="9"/>
    </row>
    <row r="81">
      <c r="A81" s="15" t="s">
        <v>161</v>
      </c>
      <c r="B81" s="16" t="s">
        <v>178</v>
      </c>
      <c r="C81" s="16">
        <v>4.0</v>
      </c>
      <c r="D81" s="16">
        <v>0.0</v>
      </c>
      <c r="E81" s="17" t="s">
        <v>179</v>
      </c>
      <c r="F81" s="18">
        <f t="shared" si="1"/>
        <v>1.5</v>
      </c>
      <c r="G81" s="19"/>
      <c r="H81" s="25">
        <v>5.0</v>
      </c>
      <c r="I81" s="21"/>
      <c r="J81" s="22">
        <v>5.0</v>
      </c>
      <c r="K81" s="23"/>
      <c r="L81" s="19"/>
      <c r="M81" s="25">
        <v>-3.0</v>
      </c>
      <c r="N81" s="21"/>
      <c r="O81" s="22">
        <v>-4.0</v>
      </c>
      <c r="P81" s="23"/>
      <c r="Q81" s="19"/>
      <c r="R81" s="25">
        <v>5.0</v>
      </c>
      <c r="S81" s="21"/>
      <c r="T81" s="22">
        <v>3.0</v>
      </c>
      <c r="U81" s="23"/>
      <c r="V81" s="9"/>
      <c r="W81" s="9"/>
      <c r="X81" s="9"/>
      <c r="Y81" s="9"/>
      <c r="Z81" s="9"/>
    </row>
    <row r="82">
      <c r="A82" s="26" t="s">
        <v>161</v>
      </c>
      <c r="B82" s="27" t="s">
        <v>180</v>
      </c>
      <c r="C82" s="27">
        <v>3.0</v>
      </c>
      <c r="D82" s="27">
        <v>2.0</v>
      </c>
      <c r="E82" s="28" t="s">
        <v>181</v>
      </c>
      <c r="F82" s="18">
        <f t="shared" si="1"/>
        <v>-0.5</v>
      </c>
      <c r="G82" s="19"/>
      <c r="H82" s="25">
        <v>5.0</v>
      </c>
      <c r="I82" s="21"/>
      <c r="J82" s="22">
        <v>5.0</v>
      </c>
      <c r="K82" s="23"/>
      <c r="L82" s="19"/>
      <c r="M82" s="25">
        <v>-5.0</v>
      </c>
      <c r="N82" s="21"/>
      <c r="O82" s="22">
        <v>-5.0</v>
      </c>
      <c r="P82" s="23"/>
      <c r="Q82" s="19"/>
      <c r="R82" s="25">
        <v>5.0</v>
      </c>
      <c r="S82" s="21"/>
      <c r="T82" s="22">
        <v>4.0</v>
      </c>
      <c r="U82" s="23"/>
      <c r="V82" s="9"/>
      <c r="W82" s="9"/>
      <c r="X82" s="9"/>
      <c r="Y82" s="9"/>
      <c r="Z82" s="9"/>
    </row>
    <row r="83">
      <c r="A83" s="40" t="s">
        <v>182</v>
      </c>
      <c r="B83" s="41" t="s">
        <v>183</v>
      </c>
      <c r="C83" s="43">
        <v>0.0</v>
      </c>
      <c r="D83" s="41">
        <v>1.0</v>
      </c>
      <c r="E83" s="42" t="s">
        <v>184</v>
      </c>
      <c r="F83" s="18">
        <f t="shared" si="1"/>
        <v>2.5</v>
      </c>
      <c r="G83" s="19"/>
      <c r="H83" s="25">
        <v>2.0</v>
      </c>
      <c r="I83" s="21"/>
      <c r="J83" s="22">
        <v>5.0</v>
      </c>
      <c r="K83" s="23"/>
      <c r="L83" s="19"/>
      <c r="M83" s="25">
        <v>-5.0</v>
      </c>
      <c r="N83" s="21"/>
      <c r="O83" s="22">
        <v>-1.0</v>
      </c>
      <c r="P83" s="23"/>
      <c r="Q83" s="19"/>
      <c r="R83" s="25">
        <v>3.0</v>
      </c>
      <c r="S83" s="21"/>
      <c r="T83" s="22">
        <v>3.0</v>
      </c>
      <c r="U83" s="23"/>
      <c r="V83" s="9"/>
      <c r="W83" s="9"/>
      <c r="X83" s="9"/>
      <c r="Y83" s="9"/>
      <c r="Z83" s="9"/>
    </row>
    <row r="84">
      <c r="A84" s="15" t="s">
        <v>182</v>
      </c>
      <c r="B84" s="16" t="s">
        <v>185</v>
      </c>
      <c r="C84" s="16">
        <v>1.0</v>
      </c>
      <c r="D84" s="16">
        <v>1.0</v>
      </c>
      <c r="E84" s="17" t="s">
        <v>186</v>
      </c>
      <c r="F84" s="18">
        <f t="shared" si="1"/>
        <v>2.5</v>
      </c>
      <c r="G84" s="19"/>
      <c r="H84" s="25">
        <v>5.0</v>
      </c>
      <c r="I84" s="21"/>
      <c r="J84" s="22">
        <v>5.0</v>
      </c>
      <c r="K84" s="23"/>
      <c r="L84" s="19"/>
      <c r="M84" s="25">
        <v>-3.0</v>
      </c>
      <c r="N84" s="21"/>
      <c r="O84" s="22">
        <v>-4.0</v>
      </c>
      <c r="P84" s="23"/>
      <c r="Q84" s="19"/>
      <c r="R84" s="25">
        <v>2.0</v>
      </c>
      <c r="S84" s="21"/>
      <c r="T84" s="22">
        <v>4.0</v>
      </c>
      <c r="U84" s="23"/>
      <c r="V84" s="9"/>
      <c r="W84" s="9"/>
      <c r="X84" s="9"/>
      <c r="Y84" s="9"/>
      <c r="Z84" s="9"/>
    </row>
    <row r="85">
      <c r="A85" s="15" t="s">
        <v>182</v>
      </c>
      <c r="B85" s="16" t="s">
        <v>187</v>
      </c>
      <c r="C85" s="16">
        <v>1.0</v>
      </c>
      <c r="D85" s="16">
        <v>1.0</v>
      </c>
      <c r="E85" s="17" t="s">
        <v>188</v>
      </c>
      <c r="F85" s="18">
        <f t="shared" si="1"/>
        <v>2.5</v>
      </c>
      <c r="G85" s="19"/>
      <c r="H85" s="25">
        <v>5.0</v>
      </c>
      <c r="I85" s="21"/>
      <c r="J85" s="22">
        <v>5.0</v>
      </c>
      <c r="K85" s="23"/>
      <c r="L85" s="19"/>
      <c r="M85" s="25">
        <v>-3.0</v>
      </c>
      <c r="N85" s="21"/>
      <c r="O85" s="22">
        <v>-4.0</v>
      </c>
      <c r="P85" s="23"/>
      <c r="Q85" s="19"/>
      <c r="R85" s="25">
        <v>2.0</v>
      </c>
      <c r="S85" s="21"/>
      <c r="T85" s="22">
        <v>4.0</v>
      </c>
      <c r="U85" s="23"/>
      <c r="V85" s="9"/>
      <c r="W85" s="9"/>
      <c r="X85" s="9"/>
      <c r="Y85" s="9"/>
      <c r="Z85" s="9"/>
    </row>
    <row r="86">
      <c r="A86" s="15" t="s">
        <v>182</v>
      </c>
      <c r="B86" s="16" t="s">
        <v>189</v>
      </c>
      <c r="C86" s="16">
        <v>2.0</v>
      </c>
      <c r="D86" s="16">
        <v>1.0</v>
      </c>
      <c r="E86" s="17" t="s">
        <v>190</v>
      </c>
      <c r="F86" s="18">
        <f t="shared" si="1"/>
        <v>-4</v>
      </c>
      <c r="G86" s="19"/>
      <c r="H86" s="25">
        <v>1.0</v>
      </c>
      <c r="I86" s="21"/>
      <c r="J86" s="22">
        <v>1.0</v>
      </c>
      <c r="K86" s="23"/>
      <c r="L86" s="19"/>
      <c r="M86" s="25">
        <v>-3.0</v>
      </c>
      <c r="N86" s="21"/>
      <c r="O86" s="22">
        <v>-4.0</v>
      </c>
      <c r="P86" s="23"/>
      <c r="Q86" s="19"/>
      <c r="R86" s="25">
        <v>1.0</v>
      </c>
      <c r="S86" s="21"/>
      <c r="T86" s="22">
        <v>2.0</v>
      </c>
      <c r="U86" s="23"/>
      <c r="V86" s="9"/>
      <c r="W86" s="9"/>
      <c r="X86" s="9"/>
      <c r="Y86" s="9"/>
      <c r="Z86" s="9"/>
    </row>
    <row r="87">
      <c r="A87" s="15" t="s">
        <v>182</v>
      </c>
      <c r="B87" s="16" t="s">
        <v>191</v>
      </c>
      <c r="C87" s="16">
        <v>2.0</v>
      </c>
      <c r="D87" s="16">
        <v>2.0</v>
      </c>
      <c r="E87" s="17" t="s">
        <v>192</v>
      </c>
      <c r="F87" s="18">
        <f t="shared" si="1"/>
        <v>1.5</v>
      </c>
      <c r="G87" s="19"/>
      <c r="H87" s="25">
        <v>4.0</v>
      </c>
      <c r="I87" s="21"/>
      <c r="J87" s="22">
        <v>5.0</v>
      </c>
      <c r="K87" s="23"/>
      <c r="L87" s="19"/>
      <c r="M87" s="25">
        <v>-2.0</v>
      </c>
      <c r="N87" s="21"/>
      <c r="O87" s="22">
        <v>-1.0</v>
      </c>
      <c r="P87" s="23"/>
      <c r="Q87" s="19"/>
      <c r="R87" s="25">
        <v>3.0</v>
      </c>
      <c r="S87" s="21"/>
      <c r="T87" s="22">
        <v>2.0</v>
      </c>
      <c r="U87" s="23"/>
      <c r="V87" s="9"/>
      <c r="W87" s="9"/>
      <c r="X87" s="9"/>
      <c r="Y87" s="9"/>
      <c r="Z87" s="9"/>
    </row>
    <row r="88">
      <c r="A88" s="15" t="s">
        <v>182</v>
      </c>
      <c r="B88" s="16" t="s">
        <v>193</v>
      </c>
      <c r="C88" s="16">
        <v>2.0</v>
      </c>
      <c r="D88" s="16">
        <v>1.0</v>
      </c>
      <c r="E88" s="17" t="s">
        <v>194</v>
      </c>
      <c r="F88" s="18">
        <f t="shared" si="1"/>
        <v>1.5</v>
      </c>
      <c r="G88" s="19"/>
      <c r="H88" s="25">
        <v>5.0</v>
      </c>
      <c r="I88" s="21"/>
      <c r="J88" s="22">
        <v>2.0</v>
      </c>
      <c r="K88" s="23"/>
      <c r="L88" s="19"/>
      <c r="M88" s="25">
        <v>-3.0</v>
      </c>
      <c r="N88" s="21"/>
      <c r="O88" s="22">
        <v>-1.0</v>
      </c>
      <c r="P88" s="23"/>
      <c r="Q88" s="19"/>
      <c r="R88" s="25">
        <v>3.0</v>
      </c>
      <c r="S88" s="21"/>
      <c r="T88" s="22">
        <v>3.0</v>
      </c>
      <c r="U88" s="23"/>
      <c r="V88" s="9"/>
      <c r="W88" s="9"/>
      <c r="X88" s="9"/>
      <c r="Y88" s="9"/>
      <c r="Z88" s="9"/>
    </row>
    <row r="89">
      <c r="A89" s="15" t="s">
        <v>182</v>
      </c>
      <c r="B89" s="16" t="s">
        <v>195</v>
      </c>
      <c r="C89" s="16">
        <v>2.0</v>
      </c>
      <c r="D89" s="16">
        <v>2.0</v>
      </c>
      <c r="E89" s="17" t="s">
        <v>196</v>
      </c>
      <c r="F89" s="18">
        <f t="shared" si="1"/>
        <v>0</v>
      </c>
      <c r="G89" s="19"/>
      <c r="H89" s="25">
        <v>5.0</v>
      </c>
      <c r="I89" s="21"/>
      <c r="J89" s="22">
        <v>2.0</v>
      </c>
      <c r="K89" s="23"/>
      <c r="L89" s="19"/>
      <c r="M89" s="25">
        <v>-3.0</v>
      </c>
      <c r="N89" s="21"/>
      <c r="O89" s="22">
        <v>-1.0</v>
      </c>
      <c r="P89" s="23"/>
      <c r="Q89" s="19"/>
      <c r="R89" s="25">
        <v>3.0</v>
      </c>
      <c r="S89" s="21"/>
      <c r="T89" s="22">
        <v>2.0</v>
      </c>
      <c r="U89" s="23"/>
      <c r="V89" s="9"/>
      <c r="W89" s="9"/>
      <c r="X89" s="9"/>
      <c r="Y89" s="9"/>
      <c r="Z89" s="9"/>
    </row>
    <row r="90">
      <c r="A90" s="15" t="s">
        <v>182</v>
      </c>
      <c r="B90" s="16" t="s">
        <v>197</v>
      </c>
      <c r="C90" s="16">
        <v>3.0</v>
      </c>
      <c r="D90" s="16">
        <v>1.0</v>
      </c>
      <c r="E90" s="17" t="s">
        <v>198</v>
      </c>
      <c r="F90" s="18">
        <f t="shared" si="1"/>
        <v>0</v>
      </c>
      <c r="G90" s="19"/>
      <c r="H90" s="25">
        <v>5.0</v>
      </c>
      <c r="I90" s="21"/>
      <c r="J90" s="22">
        <v>2.0</v>
      </c>
      <c r="K90" s="23"/>
      <c r="L90" s="19"/>
      <c r="M90" s="25">
        <v>-3.0</v>
      </c>
      <c r="N90" s="21"/>
      <c r="O90" s="22">
        <v>-1.0</v>
      </c>
      <c r="P90" s="23"/>
      <c r="Q90" s="19"/>
      <c r="R90" s="25">
        <v>3.0</v>
      </c>
      <c r="S90" s="21"/>
      <c r="T90" s="22">
        <v>2.0</v>
      </c>
      <c r="U90" s="23"/>
      <c r="V90" s="9"/>
      <c r="W90" s="9"/>
      <c r="X90" s="9"/>
      <c r="Y90" s="9"/>
      <c r="Z90" s="9"/>
    </row>
    <row r="91">
      <c r="A91" s="15" t="s">
        <v>182</v>
      </c>
      <c r="B91" s="16" t="s">
        <v>199</v>
      </c>
      <c r="C91" s="16">
        <v>4.0</v>
      </c>
      <c r="D91" s="16">
        <v>1.0</v>
      </c>
      <c r="E91" s="17" t="s">
        <v>200</v>
      </c>
      <c r="F91" s="18">
        <f t="shared" si="1"/>
        <v>-0.5</v>
      </c>
      <c r="G91" s="19"/>
      <c r="H91" s="25">
        <v>5.0</v>
      </c>
      <c r="I91" s="21"/>
      <c r="J91" s="22">
        <v>5.0</v>
      </c>
      <c r="K91" s="23"/>
      <c r="L91" s="19"/>
      <c r="M91" s="25">
        <v>-3.0</v>
      </c>
      <c r="N91" s="21"/>
      <c r="O91" s="22">
        <v>-4.0</v>
      </c>
      <c r="P91" s="23"/>
      <c r="Q91" s="19"/>
      <c r="R91" s="25">
        <v>2.0</v>
      </c>
      <c r="S91" s="21"/>
      <c r="T91" s="22">
        <v>4.0</v>
      </c>
      <c r="U91" s="23"/>
      <c r="V91" s="9"/>
      <c r="W91" s="9"/>
      <c r="X91" s="9"/>
      <c r="Y91" s="9"/>
      <c r="Z91" s="9"/>
    </row>
    <row r="92">
      <c r="A92" s="26" t="s">
        <v>182</v>
      </c>
      <c r="B92" s="27" t="s">
        <v>201</v>
      </c>
      <c r="C92" s="27">
        <v>3.0</v>
      </c>
      <c r="D92" s="27">
        <v>2.0</v>
      </c>
      <c r="E92" s="28" t="s">
        <v>202</v>
      </c>
      <c r="F92" s="18">
        <f t="shared" si="1"/>
        <v>0</v>
      </c>
      <c r="G92" s="19"/>
      <c r="H92" s="25">
        <v>5.0</v>
      </c>
      <c r="I92" s="21"/>
      <c r="J92" s="22">
        <v>5.0</v>
      </c>
      <c r="K92" s="23"/>
      <c r="L92" s="19"/>
      <c r="M92" s="25">
        <v>-5.0</v>
      </c>
      <c r="N92" s="21"/>
      <c r="O92" s="22">
        <v>-4.0</v>
      </c>
      <c r="P92" s="23"/>
      <c r="Q92" s="19"/>
      <c r="R92" s="25">
        <v>5.0</v>
      </c>
      <c r="S92" s="21"/>
      <c r="T92" s="22">
        <v>4.0</v>
      </c>
      <c r="U92" s="23"/>
      <c r="V92" s="9"/>
      <c r="W92" s="9"/>
      <c r="X92" s="9"/>
      <c r="Y92" s="9"/>
      <c r="Z92" s="9"/>
    </row>
    <row r="93">
      <c r="A93" s="29" t="s">
        <v>203</v>
      </c>
      <c r="B93" s="30" t="s">
        <v>204</v>
      </c>
      <c r="C93" s="39">
        <v>0.0</v>
      </c>
      <c r="D93" s="30">
        <v>1.0</v>
      </c>
      <c r="E93" s="31" t="s">
        <v>205</v>
      </c>
      <c r="F93" s="18">
        <f t="shared" si="1"/>
        <v>3.5</v>
      </c>
      <c r="G93" s="19"/>
      <c r="H93" s="25">
        <v>4.0</v>
      </c>
      <c r="I93" s="21"/>
      <c r="J93" s="22">
        <v>2.0</v>
      </c>
      <c r="K93" s="23"/>
      <c r="L93" s="19"/>
      <c r="M93" s="25">
        <v>-3.0</v>
      </c>
      <c r="N93" s="21"/>
      <c r="O93" s="22">
        <v>-1.0</v>
      </c>
      <c r="P93" s="23"/>
      <c r="Q93" s="19"/>
      <c r="R93" s="25">
        <v>4.0</v>
      </c>
      <c r="S93" s="21"/>
      <c r="T93" s="22">
        <v>3.0</v>
      </c>
      <c r="U93" s="23"/>
      <c r="V93" s="9"/>
      <c r="W93" s="9"/>
      <c r="X93" s="9"/>
      <c r="Y93" s="9"/>
      <c r="Z93" s="9"/>
    </row>
    <row r="94">
      <c r="A94" s="32" t="s">
        <v>203</v>
      </c>
      <c r="B94" s="33" t="s">
        <v>206</v>
      </c>
      <c r="C94" s="33">
        <v>1.0</v>
      </c>
      <c r="D94" s="33">
        <v>1.0</v>
      </c>
      <c r="E94" s="34" t="s">
        <v>207</v>
      </c>
      <c r="F94" s="18">
        <f t="shared" si="1"/>
        <v>3</v>
      </c>
      <c r="G94" s="19"/>
      <c r="H94" s="25">
        <v>5.0</v>
      </c>
      <c r="I94" s="21"/>
      <c r="J94" s="22">
        <v>5.0</v>
      </c>
      <c r="K94" s="23"/>
      <c r="L94" s="19"/>
      <c r="M94" s="25">
        <v>-1.0</v>
      </c>
      <c r="N94" s="21"/>
      <c r="O94" s="22">
        <v>-1.0</v>
      </c>
      <c r="P94" s="23"/>
      <c r="Q94" s="19"/>
      <c r="R94" s="25">
        <v>1.0</v>
      </c>
      <c r="S94" s="21"/>
      <c r="T94" s="22">
        <v>1.0</v>
      </c>
      <c r="U94" s="23"/>
      <c r="V94" s="9"/>
      <c r="W94" s="9"/>
      <c r="X94" s="9"/>
      <c r="Y94" s="9"/>
      <c r="Z94" s="9"/>
    </row>
    <row r="95">
      <c r="A95" s="32" t="s">
        <v>203</v>
      </c>
      <c r="B95" s="33" t="s">
        <v>208</v>
      </c>
      <c r="C95" s="33">
        <v>1.0</v>
      </c>
      <c r="D95" s="33">
        <v>0.0</v>
      </c>
      <c r="E95" s="34" t="s">
        <v>209</v>
      </c>
      <c r="F95" s="18">
        <f t="shared" si="1"/>
        <v>1</v>
      </c>
      <c r="G95" s="19"/>
      <c r="H95" s="25">
        <v>1.0</v>
      </c>
      <c r="I95" s="21"/>
      <c r="J95" s="22">
        <v>1.0</v>
      </c>
      <c r="K95" s="23"/>
      <c r="L95" s="19"/>
      <c r="M95" s="25">
        <v>-1.0</v>
      </c>
      <c r="N95" s="21"/>
      <c r="O95" s="22">
        <v>-4.0</v>
      </c>
      <c r="P95" s="23"/>
      <c r="Q95" s="19"/>
      <c r="R95" s="25">
        <v>5.0</v>
      </c>
      <c r="S95" s="21"/>
      <c r="T95" s="22">
        <v>2.0</v>
      </c>
      <c r="U95" s="23"/>
      <c r="V95" s="9"/>
      <c r="W95" s="9"/>
      <c r="X95" s="9"/>
      <c r="Y95" s="9"/>
      <c r="Z95" s="9"/>
    </row>
    <row r="96">
      <c r="A96" s="32" t="s">
        <v>203</v>
      </c>
      <c r="B96" s="33" t="s">
        <v>210</v>
      </c>
      <c r="C96" s="33">
        <v>2.0</v>
      </c>
      <c r="D96" s="33">
        <v>1.0</v>
      </c>
      <c r="E96" s="34" t="s">
        <v>211</v>
      </c>
      <c r="F96" s="18">
        <f t="shared" si="1"/>
        <v>0</v>
      </c>
      <c r="G96" s="19"/>
      <c r="H96" s="25">
        <v>4.0</v>
      </c>
      <c r="I96" s="21"/>
      <c r="J96" s="22">
        <v>2.0</v>
      </c>
      <c r="K96" s="23"/>
      <c r="L96" s="19"/>
      <c r="M96" s="25">
        <v>-3.0</v>
      </c>
      <c r="N96" s="21"/>
      <c r="O96" s="22">
        <v>-1.0</v>
      </c>
      <c r="P96" s="23"/>
      <c r="Q96" s="19"/>
      <c r="R96" s="25">
        <v>2.0</v>
      </c>
      <c r="S96" s="21"/>
      <c r="T96" s="22">
        <v>2.0</v>
      </c>
      <c r="U96" s="23"/>
      <c r="V96" s="9"/>
      <c r="W96" s="9"/>
      <c r="X96" s="9"/>
      <c r="Y96" s="9"/>
      <c r="Z96" s="9"/>
    </row>
    <row r="97">
      <c r="A97" s="32" t="s">
        <v>203</v>
      </c>
      <c r="B97" s="33" t="s">
        <v>212</v>
      </c>
      <c r="C97" s="33">
        <v>2.0</v>
      </c>
      <c r="D97" s="33">
        <v>1.0</v>
      </c>
      <c r="E97" s="34" t="s">
        <v>213</v>
      </c>
      <c r="F97" s="18">
        <f t="shared" si="1"/>
        <v>-1</v>
      </c>
      <c r="G97" s="19"/>
      <c r="H97" s="25">
        <v>2.0</v>
      </c>
      <c r="I97" s="21"/>
      <c r="J97" s="22">
        <v>2.0</v>
      </c>
      <c r="K97" s="23"/>
      <c r="L97" s="19"/>
      <c r="M97" s="25">
        <v>-3.0</v>
      </c>
      <c r="N97" s="21"/>
      <c r="O97" s="22">
        <v>-1.0</v>
      </c>
      <c r="P97" s="23"/>
      <c r="Q97" s="19"/>
      <c r="R97" s="25">
        <v>2.0</v>
      </c>
      <c r="S97" s="21"/>
      <c r="T97" s="22">
        <v>2.0</v>
      </c>
      <c r="U97" s="23"/>
      <c r="V97" s="9"/>
      <c r="W97" s="9"/>
      <c r="X97" s="9"/>
      <c r="Y97" s="9"/>
      <c r="Z97" s="9"/>
    </row>
    <row r="98">
      <c r="A98" s="32" t="s">
        <v>203</v>
      </c>
      <c r="B98" s="33" t="s">
        <v>214</v>
      </c>
      <c r="C98" s="33">
        <v>2.0</v>
      </c>
      <c r="D98" s="33">
        <v>1.0</v>
      </c>
      <c r="E98" s="34" t="s">
        <v>215</v>
      </c>
      <c r="F98" s="18">
        <f t="shared" si="1"/>
        <v>-0.5</v>
      </c>
      <c r="G98" s="19"/>
      <c r="H98" s="25">
        <v>2.0</v>
      </c>
      <c r="I98" s="21"/>
      <c r="J98" s="22">
        <v>5.0</v>
      </c>
      <c r="K98" s="23"/>
      <c r="L98" s="19"/>
      <c r="M98" s="25">
        <v>-5.0</v>
      </c>
      <c r="N98" s="21"/>
      <c r="O98" s="22">
        <v>-1.0</v>
      </c>
      <c r="P98" s="23"/>
      <c r="Q98" s="19"/>
      <c r="R98" s="25">
        <v>1.0</v>
      </c>
      <c r="S98" s="21"/>
      <c r="T98" s="22">
        <v>3.0</v>
      </c>
      <c r="U98" s="23"/>
      <c r="V98" s="9"/>
      <c r="W98" s="9"/>
      <c r="X98" s="9"/>
      <c r="Y98" s="9"/>
      <c r="Z98" s="9"/>
    </row>
    <row r="99">
      <c r="A99" s="32" t="s">
        <v>203</v>
      </c>
      <c r="B99" s="33" t="s">
        <v>216</v>
      </c>
      <c r="C99" s="33">
        <v>3.0</v>
      </c>
      <c r="D99" s="33">
        <v>1.0</v>
      </c>
      <c r="E99" s="34" t="s">
        <v>217</v>
      </c>
      <c r="F99" s="18">
        <f t="shared" si="1"/>
        <v>0</v>
      </c>
      <c r="G99" s="19"/>
      <c r="H99" s="25">
        <v>4.0</v>
      </c>
      <c r="I99" s="21"/>
      <c r="J99" s="22">
        <v>3.0</v>
      </c>
      <c r="K99" s="23"/>
      <c r="L99" s="19"/>
      <c r="M99" s="25">
        <v>-3.0</v>
      </c>
      <c r="N99" s="21"/>
      <c r="O99" s="22">
        <v>-1.0</v>
      </c>
      <c r="P99" s="23"/>
      <c r="Q99" s="19"/>
      <c r="R99" s="25">
        <v>2.0</v>
      </c>
      <c r="S99" s="21"/>
      <c r="T99" s="22">
        <v>3.0</v>
      </c>
      <c r="U99" s="23"/>
      <c r="V99" s="9"/>
      <c r="W99" s="9"/>
      <c r="X99" s="9"/>
      <c r="Y99" s="9"/>
      <c r="Z99" s="9"/>
    </row>
    <row r="100">
      <c r="A100" s="32" t="s">
        <v>203</v>
      </c>
      <c r="B100" s="33" t="s">
        <v>218</v>
      </c>
      <c r="C100" s="33">
        <v>3.0</v>
      </c>
      <c r="D100" s="33">
        <v>1.0</v>
      </c>
      <c r="E100" s="34" t="s">
        <v>219</v>
      </c>
      <c r="F100" s="18">
        <f t="shared" si="1"/>
        <v>0</v>
      </c>
      <c r="G100" s="19"/>
      <c r="H100" s="25">
        <v>4.0</v>
      </c>
      <c r="I100" s="21"/>
      <c r="J100" s="22">
        <v>3.0</v>
      </c>
      <c r="K100" s="23"/>
      <c r="L100" s="19"/>
      <c r="M100" s="25">
        <v>-3.0</v>
      </c>
      <c r="N100" s="21"/>
      <c r="O100" s="22">
        <v>-4.0</v>
      </c>
      <c r="P100" s="23"/>
      <c r="Q100" s="19"/>
      <c r="R100" s="25">
        <v>4.0</v>
      </c>
      <c r="S100" s="21"/>
      <c r="T100" s="22">
        <v>4.0</v>
      </c>
      <c r="U100" s="23"/>
      <c r="V100" s="9"/>
      <c r="W100" s="9"/>
      <c r="X100" s="9"/>
      <c r="Y100" s="9"/>
      <c r="Z100" s="9"/>
    </row>
    <row r="101">
      <c r="A101" s="32" t="s">
        <v>203</v>
      </c>
      <c r="B101" s="33" t="s">
        <v>220</v>
      </c>
      <c r="C101" s="33">
        <v>4.0</v>
      </c>
      <c r="D101" s="33">
        <v>0.0</v>
      </c>
      <c r="E101" s="34" t="s">
        <v>221</v>
      </c>
      <c r="F101" s="18">
        <f t="shared" si="1"/>
        <v>-2</v>
      </c>
      <c r="G101" s="19"/>
      <c r="H101" s="25">
        <v>3.0</v>
      </c>
      <c r="I101" s="21"/>
      <c r="J101" s="22">
        <v>1.0</v>
      </c>
      <c r="K101" s="23"/>
      <c r="L101" s="19"/>
      <c r="M101" s="25">
        <v>-1.0</v>
      </c>
      <c r="N101" s="44"/>
      <c r="O101" s="22">
        <v>-4.0</v>
      </c>
      <c r="P101" s="23"/>
      <c r="Q101" s="19"/>
      <c r="R101" s="25">
        <v>2.0</v>
      </c>
      <c r="S101" s="21"/>
      <c r="T101" s="22">
        <v>3.0</v>
      </c>
      <c r="U101" s="23"/>
      <c r="V101" s="9"/>
      <c r="W101" s="9"/>
      <c r="X101" s="9"/>
      <c r="Y101" s="9"/>
      <c r="Z101" s="9"/>
    </row>
    <row r="102">
      <c r="A102" s="36" t="s">
        <v>203</v>
      </c>
      <c r="B102" s="37" t="s">
        <v>222</v>
      </c>
      <c r="C102" s="37">
        <v>3.0</v>
      </c>
      <c r="D102" s="37">
        <v>2.0</v>
      </c>
      <c r="E102" s="38" t="s">
        <v>223</v>
      </c>
      <c r="F102" s="18">
        <f t="shared" si="1"/>
        <v>0</v>
      </c>
      <c r="G102" s="19"/>
      <c r="H102" s="25">
        <v>5.0</v>
      </c>
      <c r="I102" s="21"/>
      <c r="J102" s="22">
        <v>5.0</v>
      </c>
      <c r="K102" s="23"/>
      <c r="L102" s="19"/>
      <c r="M102" s="25">
        <v>-5.0</v>
      </c>
      <c r="N102" s="21"/>
      <c r="O102" s="22">
        <v>-4.0</v>
      </c>
      <c r="P102" s="23"/>
      <c r="Q102" s="19"/>
      <c r="R102" s="25">
        <v>5.0</v>
      </c>
      <c r="S102" s="21"/>
      <c r="T102" s="22">
        <v>4.0</v>
      </c>
      <c r="U102" s="23"/>
      <c r="V102" s="9"/>
      <c r="W102" s="9"/>
      <c r="X102" s="9"/>
      <c r="Y102" s="9"/>
      <c r="Z102" s="9"/>
    </row>
    <row r="103">
      <c r="A103" s="40" t="s">
        <v>224</v>
      </c>
      <c r="B103" s="41" t="s">
        <v>225</v>
      </c>
      <c r="C103" s="41">
        <v>2.0</v>
      </c>
      <c r="D103" s="41">
        <v>1.0</v>
      </c>
      <c r="E103" s="42" t="s">
        <v>226</v>
      </c>
      <c r="F103" s="18">
        <f t="shared" si="1"/>
        <v>-3</v>
      </c>
      <c r="G103" s="19"/>
      <c r="H103" s="25">
        <v>1.0</v>
      </c>
      <c r="I103" s="21"/>
      <c r="J103" s="22">
        <v>1.0</v>
      </c>
      <c r="K103" s="23"/>
      <c r="L103" s="19"/>
      <c r="M103" s="25">
        <v>-2.0</v>
      </c>
      <c r="N103" s="21"/>
      <c r="O103" s="22">
        <v>-4.0</v>
      </c>
      <c r="P103" s="23"/>
      <c r="Q103" s="19"/>
      <c r="R103" s="25">
        <v>2.0</v>
      </c>
      <c r="S103" s="21"/>
      <c r="T103" s="22">
        <v>2.0</v>
      </c>
      <c r="U103" s="23"/>
      <c r="V103" s="9"/>
      <c r="W103" s="9"/>
      <c r="X103" s="9"/>
      <c r="Y103" s="9"/>
      <c r="Z103" s="9"/>
    </row>
    <row r="104">
      <c r="A104" s="15" t="s">
        <v>224</v>
      </c>
      <c r="B104" s="16" t="s">
        <v>227</v>
      </c>
      <c r="C104" s="16">
        <v>2.0</v>
      </c>
      <c r="D104" s="16">
        <v>1.0</v>
      </c>
      <c r="E104" s="17" t="s">
        <v>228</v>
      </c>
      <c r="F104" s="18">
        <f t="shared" si="1"/>
        <v>2.5</v>
      </c>
      <c r="G104" s="19"/>
      <c r="H104" s="25">
        <v>5.0</v>
      </c>
      <c r="I104" s="21"/>
      <c r="J104" s="22">
        <v>5.0</v>
      </c>
      <c r="K104" s="23"/>
      <c r="L104" s="19"/>
      <c r="M104" s="25">
        <v>-3.0</v>
      </c>
      <c r="N104" s="21"/>
      <c r="O104" s="22">
        <v>0.0</v>
      </c>
      <c r="P104" s="23"/>
      <c r="Q104" s="19"/>
      <c r="R104" s="25">
        <v>2.0</v>
      </c>
      <c r="S104" s="21"/>
      <c r="T104" s="22">
        <v>2.0</v>
      </c>
      <c r="U104" s="23"/>
      <c r="V104" s="9"/>
      <c r="W104" s="9"/>
      <c r="X104" s="9"/>
      <c r="Y104" s="9"/>
      <c r="Z104" s="9"/>
    </row>
    <row r="105">
      <c r="A105" s="15" t="s">
        <v>224</v>
      </c>
      <c r="B105" s="16" t="s">
        <v>229</v>
      </c>
      <c r="C105" s="16">
        <v>2.0</v>
      </c>
      <c r="D105" s="16">
        <v>1.0</v>
      </c>
      <c r="E105" s="17" t="s">
        <v>230</v>
      </c>
      <c r="F105" s="18">
        <f t="shared" si="1"/>
        <v>4</v>
      </c>
      <c r="G105" s="19"/>
      <c r="H105" s="25">
        <v>5.0</v>
      </c>
      <c r="I105" s="21"/>
      <c r="J105" s="22">
        <v>5.0</v>
      </c>
      <c r="K105" s="23"/>
      <c r="L105" s="45"/>
      <c r="M105" s="25">
        <v>-3.0</v>
      </c>
      <c r="N105" s="21"/>
      <c r="O105" s="22">
        <v>-1.0</v>
      </c>
      <c r="P105" s="23"/>
      <c r="Q105" s="19"/>
      <c r="R105" s="25">
        <v>4.0</v>
      </c>
      <c r="S105" s="21"/>
      <c r="T105" s="22">
        <v>4.0</v>
      </c>
      <c r="U105" s="23"/>
      <c r="V105" s="9"/>
      <c r="W105" s="9"/>
      <c r="X105" s="9"/>
      <c r="Y105" s="9"/>
      <c r="Z105" s="9"/>
    </row>
    <row r="106">
      <c r="A106" s="15" t="s">
        <v>224</v>
      </c>
      <c r="B106" s="16" t="s">
        <v>231</v>
      </c>
      <c r="C106" s="16"/>
      <c r="D106" s="16">
        <v>1.0</v>
      </c>
      <c r="E106" s="17" t="s">
        <v>232</v>
      </c>
      <c r="F106" s="18">
        <f t="shared" si="1"/>
        <v>3</v>
      </c>
      <c r="G106" s="19"/>
      <c r="H106" s="25">
        <v>3.0</v>
      </c>
      <c r="I106" s="21"/>
      <c r="J106" s="22">
        <v>3.0</v>
      </c>
      <c r="K106" s="23"/>
      <c r="L106" s="19"/>
      <c r="M106" s="25">
        <v>-3.0</v>
      </c>
      <c r="N106" s="21"/>
      <c r="O106" s="22">
        <v>-1.0</v>
      </c>
      <c r="P106" s="23"/>
      <c r="Q106" s="19"/>
      <c r="R106" s="25">
        <v>3.0</v>
      </c>
      <c r="S106" s="21"/>
      <c r="T106" s="22">
        <v>3.0</v>
      </c>
      <c r="U106" s="23"/>
      <c r="V106" s="9"/>
      <c r="W106" s="9"/>
      <c r="X106" s="9"/>
      <c r="Y106" s="9"/>
      <c r="Z106" s="9"/>
    </row>
    <row r="107">
      <c r="A107" s="15" t="s">
        <v>224</v>
      </c>
      <c r="B107" s="16" t="s">
        <v>233</v>
      </c>
      <c r="C107" s="16">
        <v>4.0</v>
      </c>
      <c r="D107" s="16">
        <v>2.0</v>
      </c>
      <c r="E107" s="17" t="s">
        <v>234</v>
      </c>
      <c r="F107" s="18">
        <f t="shared" si="1"/>
        <v>-0.5</v>
      </c>
      <c r="G107" s="19"/>
      <c r="H107" s="25">
        <v>4.0</v>
      </c>
      <c r="I107" s="21"/>
      <c r="J107" s="22">
        <v>2.0</v>
      </c>
      <c r="K107" s="23"/>
      <c r="L107" s="19"/>
      <c r="M107" s="25">
        <v>-3.0</v>
      </c>
      <c r="N107" s="21"/>
      <c r="O107" s="22">
        <v>-1.0</v>
      </c>
      <c r="P107" s="23"/>
      <c r="Q107" s="19"/>
      <c r="R107" s="25">
        <v>5.0</v>
      </c>
      <c r="S107" s="21"/>
      <c r="T107" s="22">
        <v>4.0</v>
      </c>
      <c r="U107" s="23"/>
      <c r="V107" s="9"/>
      <c r="W107" s="9"/>
      <c r="X107" s="9"/>
      <c r="Y107" s="9"/>
      <c r="Z107" s="9"/>
    </row>
    <row r="108">
      <c r="A108" s="15" t="s">
        <v>224</v>
      </c>
      <c r="B108" s="16" t="s">
        <v>235</v>
      </c>
      <c r="C108" s="16">
        <v>3.0</v>
      </c>
      <c r="D108" s="16">
        <v>1.0</v>
      </c>
      <c r="E108" s="17" t="s">
        <v>236</v>
      </c>
      <c r="F108" s="18">
        <f t="shared" si="1"/>
        <v>1.5</v>
      </c>
      <c r="G108" s="19"/>
      <c r="H108" s="25">
        <v>4.0</v>
      </c>
      <c r="I108" s="21"/>
      <c r="J108" s="22">
        <v>4.0</v>
      </c>
      <c r="K108" s="23"/>
      <c r="L108" s="19"/>
      <c r="M108" s="25">
        <v>-3.0</v>
      </c>
      <c r="N108" s="21"/>
      <c r="O108" s="22">
        <v>-1.0</v>
      </c>
      <c r="P108" s="23"/>
      <c r="Q108" s="19"/>
      <c r="R108" s="25">
        <v>3.0</v>
      </c>
      <c r="S108" s="21"/>
      <c r="T108" s="22">
        <v>4.0</v>
      </c>
      <c r="U108" s="23"/>
      <c r="V108" s="9"/>
      <c r="W108" s="9"/>
      <c r="X108" s="9"/>
      <c r="Y108" s="9"/>
      <c r="Z108" s="9"/>
    </row>
    <row r="109">
      <c r="A109" s="15" t="s">
        <v>224</v>
      </c>
      <c r="B109" s="16" t="s">
        <v>237</v>
      </c>
      <c r="C109" s="16">
        <v>3.0</v>
      </c>
      <c r="D109" s="16">
        <v>2.0</v>
      </c>
      <c r="E109" s="17" t="s">
        <v>238</v>
      </c>
      <c r="F109" s="18">
        <f t="shared" si="1"/>
        <v>2.5</v>
      </c>
      <c r="G109" s="19"/>
      <c r="H109" s="25">
        <v>5.0</v>
      </c>
      <c r="I109" s="21"/>
      <c r="J109" s="22">
        <v>5.0</v>
      </c>
      <c r="K109" s="23"/>
      <c r="L109" s="19"/>
      <c r="M109" s="25">
        <v>-2.0</v>
      </c>
      <c r="N109" s="21"/>
      <c r="O109" s="22">
        <v>-1.0</v>
      </c>
      <c r="P109" s="23"/>
      <c r="Q109" s="19"/>
      <c r="R109" s="25">
        <v>4.0</v>
      </c>
      <c r="S109" s="21"/>
      <c r="T109" s="22">
        <v>4.0</v>
      </c>
      <c r="U109" s="23"/>
      <c r="V109" s="9"/>
      <c r="W109" s="9"/>
      <c r="X109" s="9"/>
      <c r="Y109" s="9"/>
      <c r="Z109" s="9"/>
    </row>
    <row r="110">
      <c r="A110" s="15" t="s">
        <v>224</v>
      </c>
      <c r="B110" s="16" t="s">
        <v>239</v>
      </c>
      <c r="C110" s="16">
        <v>2.0</v>
      </c>
      <c r="D110" s="16">
        <v>2.0</v>
      </c>
      <c r="E110" s="17" t="s">
        <v>240</v>
      </c>
      <c r="F110" s="18">
        <f t="shared" si="1"/>
        <v>-2.5</v>
      </c>
      <c r="G110" s="19"/>
      <c r="H110" s="25">
        <v>1.0</v>
      </c>
      <c r="I110" s="21"/>
      <c r="J110" s="22">
        <v>1.0</v>
      </c>
      <c r="K110" s="23"/>
      <c r="L110" s="19"/>
      <c r="M110" s="25">
        <v>-3.0</v>
      </c>
      <c r="N110" s="21"/>
      <c r="O110" s="22">
        <v>-1.0</v>
      </c>
      <c r="P110" s="23"/>
      <c r="Q110" s="19"/>
      <c r="R110" s="25">
        <v>3.0</v>
      </c>
      <c r="S110" s="21"/>
      <c r="T110" s="22">
        <v>2.0</v>
      </c>
      <c r="U110" s="23"/>
      <c r="V110" s="9"/>
      <c r="W110" s="9"/>
      <c r="X110" s="9"/>
      <c r="Y110" s="9"/>
      <c r="Z110" s="9"/>
    </row>
    <row r="111">
      <c r="A111" s="15" t="s">
        <v>224</v>
      </c>
      <c r="B111" s="16" t="s">
        <v>241</v>
      </c>
      <c r="C111" s="16">
        <v>2.0</v>
      </c>
      <c r="D111" s="16">
        <v>1.0</v>
      </c>
      <c r="E111" s="17" t="s">
        <v>242</v>
      </c>
      <c r="F111" s="18">
        <f t="shared" si="1"/>
        <v>0.5</v>
      </c>
      <c r="G111" s="19"/>
      <c r="H111" s="25">
        <v>2.0</v>
      </c>
      <c r="I111" s="21"/>
      <c r="J111" s="22">
        <v>2.0</v>
      </c>
      <c r="K111" s="23"/>
      <c r="L111" s="19"/>
      <c r="M111" s="25">
        <v>-3.0</v>
      </c>
      <c r="N111" s="21"/>
      <c r="O111" s="22">
        <v>-1.0</v>
      </c>
      <c r="P111" s="23"/>
      <c r="Q111" s="19"/>
      <c r="R111" s="25">
        <v>3.0</v>
      </c>
      <c r="S111" s="21"/>
      <c r="T111" s="22">
        <v>4.0</v>
      </c>
      <c r="U111" s="23"/>
      <c r="V111" s="9"/>
      <c r="W111" s="9"/>
      <c r="X111" s="9"/>
      <c r="Y111" s="9"/>
      <c r="Z111" s="9"/>
    </row>
    <row r="112">
      <c r="A112" s="26" t="s">
        <v>224</v>
      </c>
      <c r="B112" s="27" t="s">
        <v>38</v>
      </c>
      <c r="C112" s="27">
        <v>1.0</v>
      </c>
      <c r="D112" s="27">
        <v>1.0</v>
      </c>
      <c r="E112" s="28" t="s">
        <v>39</v>
      </c>
      <c r="F112" s="18">
        <f t="shared" si="1"/>
        <v>0</v>
      </c>
      <c r="G112" s="19"/>
      <c r="H112" s="25">
        <v>5.0</v>
      </c>
      <c r="I112" s="21"/>
      <c r="J112" s="22">
        <v>5.0</v>
      </c>
      <c r="K112" s="23"/>
      <c r="L112" s="19"/>
      <c r="M112" s="25">
        <v>-5.0</v>
      </c>
      <c r="N112" s="21"/>
      <c r="O112" s="22">
        <v>-4.0</v>
      </c>
      <c r="P112" s="23"/>
      <c r="Q112" s="19"/>
      <c r="R112" s="25">
        <v>1.0</v>
      </c>
      <c r="S112" s="21"/>
      <c r="T112" s="22">
        <v>2.0</v>
      </c>
      <c r="U112" s="23"/>
      <c r="V112" s="9"/>
      <c r="W112" s="9"/>
      <c r="X112" s="9"/>
      <c r="Y112" s="9"/>
      <c r="Z112" s="9"/>
    </row>
    <row r="113">
      <c r="A113" s="40" t="s">
        <v>243</v>
      </c>
      <c r="B113" s="41" t="s">
        <v>244</v>
      </c>
      <c r="C113" s="41">
        <v>0.0</v>
      </c>
      <c r="D113" s="41">
        <v>1.0</v>
      </c>
      <c r="E113" s="42" t="s">
        <v>245</v>
      </c>
      <c r="F113" s="18">
        <f t="shared" si="1"/>
        <v>4.5</v>
      </c>
      <c r="G113" s="19"/>
      <c r="H113" s="25">
        <v>5.0</v>
      </c>
      <c r="I113" s="21"/>
      <c r="J113" s="22">
        <v>5.0</v>
      </c>
      <c r="K113" s="23"/>
      <c r="L113" s="19"/>
      <c r="M113" s="25">
        <v>-3.0</v>
      </c>
      <c r="N113" s="21"/>
      <c r="O113" s="22">
        <v>0.0</v>
      </c>
      <c r="P113" s="23"/>
      <c r="Q113" s="19"/>
      <c r="R113" s="25">
        <v>3.0</v>
      </c>
      <c r="S113" s="21"/>
      <c r="T113" s="22">
        <v>1.0</v>
      </c>
      <c r="U113" s="23"/>
      <c r="V113" s="9"/>
      <c r="W113" s="9"/>
      <c r="X113" s="9"/>
      <c r="Y113" s="9"/>
      <c r="Z113" s="9"/>
    </row>
    <row r="114">
      <c r="A114" s="15" t="s">
        <v>243</v>
      </c>
      <c r="B114" s="16" t="s">
        <v>246</v>
      </c>
      <c r="C114" s="16">
        <v>3.0</v>
      </c>
      <c r="D114" s="16">
        <v>0.0</v>
      </c>
      <c r="E114" s="17" t="s">
        <v>247</v>
      </c>
      <c r="F114" s="18">
        <f t="shared" si="1"/>
        <v>-1.5</v>
      </c>
      <c r="G114" s="19"/>
      <c r="H114" s="25">
        <v>1.0</v>
      </c>
      <c r="I114" s="21"/>
      <c r="J114" s="22">
        <v>1.0</v>
      </c>
      <c r="K114" s="23"/>
      <c r="L114" s="19"/>
      <c r="M114" s="25">
        <v>-3.0</v>
      </c>
      <c r="N114" s="21"/>
      <c r="O114" s="22">
        <v>-1.0</v>
      </c>
      <c r="P114" s="23"/>
      <c r="Q114" s="19"/>
      <c r="R114" s="25">
        <v>3.0</v>
      </c>
      <c r="S114" s="21"/>
      <c r="T114" s="22">
        <v>2.0</v>
      </c>
      <c r="U114" s="23"/>
      <c r="V114" s="9"/>
      <c r="W114" s="9"/>
      <c r="X114" s="9"/>
      <c r="Y114" s="9"/>
      <c r="Z114" s="9"/>
    </row>
    <row r="115">
      <c r="A115" s="15" t="s">
        <v>243</v>
      </c>
      <c r="B115" s="16" t="s">
        <v>248</v>
      </c>
      <c r="C115" s="16">
        <v>2.0</v>
      </c>
      <c r="D115" s="16">
        <v>0.0</v>
      </c>
      <c r="E115" s="17" t="s">
        <v>249</v>
      </c>
      <c r="F115" s="18">
        <f t="shared" si="1"/>
        <v>-1</v>
      </c>
      <c r="G115" s="19"/>
      <c r="H115" s="25">
        <v>1.0</v>
      </c>
      <c r="I115" s="21"/>
      <c r="J115" s="22">
        <v>1.0</v>
      </c>
      <c r="K115" s="23"/>
      <c r="L115" s="19"/>
      <c r="M115" s="25">
        <v>-3.0</v>
      </c>
      <c r="N115" s="21"/>
      <c r="O115" s="22">
        <v>-1.0</v>
      </c>
      <c r="P115" s="23"/>
      <c r="Q115" s="19"/>
      <c r="R115" s="25">
        <v>2.0</v>
      </c>
      <c r="S115" s="21"/>
      <c r="T115" s="22">
        <v>2.0</v>
      </c>
      <c r="U115" s="23"/>
      <c r="V115" s="9"/>
      <c r="W115" s="9"/>
      <c r="X115" s="9"/>
      <c r="Y115" s="9"/>
      <c r="Z115" s="9"/>
    </row>
    <row r="116">
      <c r="A116" s="15" t="s">
        <v>243</v>
      </c>
      <c r="B116" s="16" t="s">
        <v>250</v>
      </c>
      <c r="C116" s="16">
        <v>2.0</v>
      </c>
      <c r="D116" s="16">
        <v>1.0</v>
      </c>
      <c r="E116" s="17" t="s">
        <v>251</v>
      </c>
      <c r="F116" s="18">
        <f t="shared" si="1"/>
        <v>1</v>
      </c>
      <c r="G116" s="19"/>
      <c r="H116" s="25">
        <v>2.0</v>
      </c>
      <c r="I116" s="21"/>
      <c r="J116" s="22">
        <v>2.0</v>
      </c>
      <c r="K116" s="23"/>
      <c r="L116" s="19"/>
      <c r="M116" s="25">
        <v>-2.0</v>
      </c>
      <c r="N116" s="21"/>
      <c r="O116" s="22">
        <v>0.0</v>
      </c>
      <c r="P116" s="23"/>
      <c r="Q116" s="19"/>
      <c r="R116" s="25">
        <v>3.0</v>
      </c>
      <c r="S116" s="21"/>
      <c r="T116" s="22">
        <v>3.0</v>
      </c>
      <c r="U116" s="23"/>
      <c r="V116" s="9"/>
      <c r="W116" s="9"/>
      <c r="X116" s="9"/>
      <c r="Y116" s="9"/>
      <c r="Z116" s="9"/>
    </row>
    <row r="117">
      <c r="A117" s="15" t="s">
        <v>243</v>
      </c>
      <c r="B117" s="16" t="s">
        <v>252</v>
      </c>
      <c r="C117" s="16">
        <v>2.0</v>
      </c>
      <c r="D117" s="16">
        <v>2.0</v>
      </c>
      <c r="E117" s="17" t="s">
        <v>253</v>
      </c>
      <c r="F117" s="18">
        <f t="shared" si="1"/>
        <v>0</v>
      </c>
      <c r="G117" s="19"/>
      <c r="H117" s="25">
        <v>2.0</v>
      </c>
      <c r="I117" s="21"/>
      <c r="J117" s="22">
        <v>3.0</v>
      </c>
      <c r="K117" s="23"/>
      <c r="L117" s="19"/>
      <c r="M117" s="25">
        <v>-3.0</v>
      </c>
      <c r="N117" s="21"/>
      <c r="O117" s="22">
        <v>-1.0</v>
      </c>
      <c r="P117" s="23"/>
      <c r="Q117" s="19"/>
      <c r="R117" s="25">
        <v>4.0</v>
      </c>
      <c r="S117" s="21"/>
      <c r="T117" s="22">
        <v>3.0</v>
      </c>
      <c r="U117" s="23"/>
      <c r="V117" s="9"/>
      <c r="W117" s="9"/>
      <c r="X117" s="9"/>
      <c r="Y117" s="9"/>
      <c r="Z117" s="9"/>
    </row>
    <row r="118">
      <c r="A118" s="15" t="s">
        <v>243</v>
      </c>
      <c r="B118" s="16" t="s">
        <v>254</v>
      </c>
      <c r="C118" s="16">
        <v>3.0</v>
      </c>
      <c r="D118" s="16">
        <v>2.0</v>
      </c>
      <c r="E118" s="17" t="s">
        <v>255</v>
      </c>
      <c r="F118" s="18">
        <f t="shared" si="1"/>
        <v>0.5</v>
      </c>
      <c r="G118" s="19"/>
      <c r="H118" s="25">
        <v>5.0</v>
      </c>
      <c r="I118" s="21"/>
      <c r="J118" s="22">
        <v>2.0</v>
      </c>
      <c r="K118" s="23"/>
      <c r="L118" s="19"/>
      <c r="M118" s="25">
        <v>-3.0</v>
      </c>
      <c r="N118" s="21"/>
      <c r="O118" s="22">
        <v>-1.0</v>
      </c>
      <c r="P118" s="23"/>
      <c r="Q118" s="19"/>
      <c r="R118" s="25">
        <v>5.0</v>
      </c>
      <c r="S118" s="21"/>
      <c r="T118" s="22">
        <v>3.0</v>
      </c>
      <c r="U118" s="23"/>
      <c r="V118" s="9"/>
      <c r="W118" s="9"/>
      <c r="X118" s="9"/>
      <c r="Y118" s="9"/>
      <c r="Z118" s="9"/>
    </row>
    <row r="119">
      <c r="A119" s="15" t="s">
        <v>243</v>
      </c>
      <c r="B119" s="16" t="s">
        <v>256</v>
      </c>
      <c r="C119" s="16">
        <v>2.0</v>
      </c>
      <c r="D119" s="16">
        <v>1.0</v>
      </c>
      <c r="E119" s="17" t="s">
        <v>257</v>
      </c>
      <c r="F119" s="18">
        <f t="shared" si="1"/>
        <v>2</v>
      </c>
      <c r="G119" s="19"/>
      <c r="H119" s="25">
        <v>4.0</v>
      </c>
      <c r="I119" s="21"/>
      <c r="J119" s="22">
        <v>4.0</v>
      </c>
      <c r="K119" s="23"/>
      <c r="L119" s="19"/>
      <c r="M119" s="25">
        <v>-3.0</v>
      </c>
      <c r="N119" s="21"/>
      <c r="O119" s="22">
        <v>-1.0</v>
      </c>
      <c r="P119" s="23"/>
      <c r="Q119" s="19"/>
      <c r="R119" s="25">
        <v>3.0</v>
      </c>
      <c r="S119" s="21"/>
      <c r="T119" s="22">
        <v>3.0</v>
      </c>
      <c r="U119" s="23"/>
      <c r="V119" s="9"/>
      <c r="W119" s="9"/>
      <c r="X119" s="9"/>
      <c r="Y119" s="9"/>
      <c r="Z119" s="9"/>
    </row>
    <row r="120">
      <c r="A120" s="15" t="s">
        <v>243</v>
      </c>
      <c r="B120" s="16" t="s">
        <v>258</v>
      </c>
      <c r="C120" s="16">
        <v>2.0</v>
      </c>
      <c r="D120" s="16">
        <v>1.0</v>
      </c>
      <c r="E120" s="46" t="s">
        <v>259</v>
      </c>
      <c r="F120" s="18">
        <f t="shared" si="1"/>
        <v>-1.5</v>
      </c>
      <c r="G120" s="19"/>
      <c r="H120" s="25">
        <v>2.0</v>
      </c>
      <c r="I120" s="21"/>
      <c r="J120" s="22">
        <v>2.0</v>
      </c>
      <c r="K120" s="23"/>
      <c r="L120" s="19"/>
      <c r="M120" s="25">
        <v>-3.0</v>
      </c>
      <c r="N120" s="21"/>
      <c r="O120" s="22">
        <v>-1.0</v>
      </c>
      <c r="P120" s="23"/>
      <c r="Q120" s="19"/>
      <c r="R120" s="25">
        <v>2.0</v>
      </c>
      <c r="S120" s="21"/>
      <c r="T120" s="22">
        <v>1.0</v>
      </c>
      <c r="U120" s="23"/>
      <c r="V120" s="9"/>
      <c r="W120" s="9"/>
      <c r="X120" s="9"/>
      <c r="Y120" s="9"/>
      <c r="Z120" s="9"/>
    </row>
    <row r="121">
      <c r="A121" s="15" t="s">
        <v>243</v>
      </c>
      <c r="B121" s="16" t="s">
        <v>260</v>
      </c>
      <c r="C121" s="16">
        <v>3.0</v>
      </c>
      <c r="D121" s="16">
        <v>0.0</v>
      </c>
      <c r="E121" s="17" t="s">
        <v>261</v>
      </c>
      <c r="F121" s="18">
        <f t="shared" si="1"/>
        <v>2.5</v>
      </c>
      <c r="G121" s="19"/>
      <c r="H121" s="25">
        <v>5.0</v>
      </c>
      <c r="I121" s="21"/>
      <c r="J121" s="22">
        <v>3.0</v>
      </c>
      <c r="K121" s="23"/>
      <c r="L121" s="19"/>
      <c r="M121" s="25">
        <v>-1.0</v>
      </c>
      <c r="N121" s="21"/>
      <c r="O121" s="22">
        <v>-1.0</v>
      </c>
      <c r="P121" s="23"/>
      <c r="Q121" s="19"/>
      <c r="R121" s="25">
        <v>2.0</v>
      </c>
      <c r="S121" s="21"/>
      <c r="T121" s="22">
        <v>3.0</v>
      </c>
      <c r="U121" s="23"/>
      <c r="V121" s="9"/>
      <c r="W121" s="9"/>
      <c r="X121" s="9"/>
      <c r="Y121" s="9"/>
      <c r="Z121" s="9"/>
    </row>
    <row r="122">
      <c r="A122" s="26" t="s">
        <v>243</v>
      </c>
      <c r="B122" s="27" t="s">
        <v>262</v>
      </c>
      <c r="C122" s="27">
        <v>3.0</v>
      </c>
      <c r="D122" s="27">
        <v>2.0</v>
      </c>
      <c r="E122" s="28" t="s">
        <v>263</v>
      </c>
      <c r="F122" s="18">
        <f t="shared" si="1"/>
        <v>0</v>
      </c>
      <c r="G122" s="19"/>
      <c r="H122" s="25">
        <v>5.0</v>
      </c>
      <c r="I122" s="21"/>
      <c r="J122" s="22">
        <v>5.0</v>
      </c>
      <c r="K122" s="23"/>
      <c r="L122" s="19"/>
      <c r="M122" s="25">
        <v>-5.0</v>
      </c>
      <c r="N122" s="21"/>
      <c r="O122" s="22">
        <v>-4.0</v>
      </c>
      <c r="P122" s="23"/>
      <c r="Q122" s="19"/>
      <c r="R122" s="25">
        <v>5.0</v>
      </c>
      <c r="S122" s="21"/>
      <c r="T122" s="22">
        <v>4.0</v>
      </c>
      <c r="U122" s="23"/>
      <c r="V122" s="9"/>
      <c r="W122" s="9"/>
      <c r="X122" s="9"/>
      <c r="Y122" s="9"/>
      <c r="Z122" s="9"/>
    </row>
    <row r="123">
      <c r="A123" s="15" t="s">
        <v>264</v>
      </c>
      <c r="B123" s="16" t="s">
        <v>265</v>
      </c>
      <c r="C123" s="16">
        <v>0.0</v>
      </c>
      <c r="D123" s="16">
        <v>1.0</v>
      </c>
      <c r="E123" s="17" t="s">
        <v>266</v>
      </c>
      <c r="F123" s="18">
        <f t="shared" si="1"/>
        <v>3.5</v>
      </c>
      <c r="G123" s="19"/>
      <c r="H123" s="25">
        <v>3.0</v>
      </c>
      <c r="I123" s="21"/>
      <c r="J123" s="22">
        <v>3.0</v>
      </c>
      <c r="K123" s="23"/>
      <c r="L123" s="19"/>
      <c r="M123" s="25">
        <v>-4.0</v>
      </c>
      <c r="N123" s="21"/>
      <c r="O123" s="22">
        <v>-1.0</v>
      </c>
      <c r="P123" s="23"/>
      <c r="Q123" s="19"/>
      <c r="R123" s="25">
        <v>5.0</v>
      </c>
      <c r="S123" s="21"/>
      <c r="T123" s="22">
        <v>3.0</v>
      </c>
      <c r="U123" s="23"/>
      <c r="V123" s="9"/>
      <c r="W123" s="9"/>
      <c r="X123" s="9"/>
      <c r="Y123" s="9"/>
      <c r="Z123" s="9"/>
    </row>
    <row r="124">
      <c r="A124" s="15" t="s">
        <v>264</v>
      </c>
      <c r="B124" s="16" t="s">
        <v>267</v>
      </c>
      <c r="C124" s="16">
        <v>1.0</v>
      </c>
      <c r="D124" s="16">
        <v>1.0</v>
      </c>
      <c r="E124" s="17" t="s">
        <v>268</v>
      </c>
      <c r="F124" s="18">
        <f t="shared" si="1"/>
        <v>4</v>
      </c>
      <c r="G124" s="19"/>
      <c r="H124" s="25">
        <v>5.0</v>
      </c>
      <c r="I124" s="21"/>
      <c r="J124" s="22">
        <v>5.0</v>
      </c>
      <c r="K124" s="23"/>
      <c r="L124" s="19"/>
      <c r="M124" s="25">
        <v>0.0</v>
      </c>
      <c r="N124" s="21"/>
      <c r="O124" s="22">
        <v>0.0</v>
      </c>
      <c r="P124" s="23"/>
      <c r="Q124" s="19"/>
      <c r="R124" s="25">
        <v>1.0</v>
      </c>
      <c r="S124" s="21"/>
      <c r="T124" s="22">
        <v>1.0</v>
      </c>
      <c r="U124" s="23"/>
      <c r="V124" s="9"/>
      <c r="W124" s="9"/>
      <c r="X124" s="9"/>
      <c r="Y124" s="9"/>
      <c r="Z124" s="9"/>
    </row>
    <row r="125">
      <c r="A125" s="15" t="s">
        <v>264</v>
      </c>
      <c r="B125" s="16" t="s">
        <v>269</v>
      </c>
      <c r="C125" s="16">
        <v>2.0</v>
      </c>
      <c r="D125" s="16">
        <v>1.0</v>
      </c>
      <c r="E125" s="17" t="s">
        <v>270</v>
      </c>
      <c r="F125" s="18">
        <f t="shared" si="1"/>
        <v>4</v>
      </c>
      <c r="G125" s="19"/>
      <c r="H125" s="25">
        <v>5.0</v>
      </c>
      <c r="I125" s="21"/>
      <c r="J125" s="22">
        <v>3.0</v>
      </c>
      <c r="K125" s="23"/>
      <c r="L125" s="19"/>
      <c r="M125" s="25">
        <v>-2.0</v>
      </c>
      <c r="N125" s="21"/>
      <c r="O125" s="22">
        <v>-1.0</v>
      </c>
      <c r="P125" s="23"/>
      <c r="Q125" s="19"/>
      <c r="R125" s="25">
        <v>5.0</v>
      </c>
      <c r="S125" s="21"/>
      <c r="T125" s="22">
        <v>4.0</v>
      </c>
      <c r="U125" s="23"/>
      <c r="V125" s="9"/>
      <c r="W125" s="9"/>
      <c r="X125" s="9"/>
      <c r="Y125" s="9"/>
      <c r="Z125" s="9"/>
    </row>
    <row r="126">
      <c r="A126" s="15" t="s">
        <v>264</v>
      </c>
      <c r="B126" s="16" t="s">
        <v>271</v>
      </c>
      <c r="C126" s="16">
        <v>2.0</v>
      </c>
      <c r="D126" s="16">
        <v>3.0</v>
      </c>
      <c r="E126" s="17" t="s">
        <v>272</v>
      </c>
      <c r="F126" s="18">
        <f t="shared" si="1"/>
        <v>4</v>
      </c>
      <c r="G126" s="19"/>
      <c r="H126" s="25">
        <v>5.0</v>
      </c>
      <c r="I126" s="21"/>
      <c r="J126" s="22">
        <v>5.0</v>
      </c>
      <c r="K126" s="23"/>
      <c r="L126" s="19"/>
      <c r="M126" s="25">
        <v>-2.0</v>
      </c>
      <c r="N126" s="21"/>
      <c r="O126" s="22">
        <v>0.0</v>
      </c>
      <c r="P126" s="23"/>
      <c r="Q126" s="19"/>
      <c r="R126" s="25">
        <v>5.0</v>
      </c>
      <c r="S126" s="21"/>
      <c r="T126" s="22">
        <v>5.0</v>
      </c>
      <c r="U126" s="23"/>
      <c r="V126" s="9"/>
      <c r="W126" s="9"/>
      <c r="X126" s="9"/>
      <c r="Y126" s="9"/>
      <c r="Z126" s="9"/>
    </row>
    <row r="127">
      <c r="A127" s="15" t="s">
        <v>264</v>
      </c>
      <c r="B127" s="16" t="s">
        <v>273</v>
      </c>
      <c r="C127" s="16">
        <v>2.0</v>
      </c>
      <c r="D127" s="16">
        <v>1.0</v>
      </c>
      <c r="E127" s="17" t="s">
        <v>274</v>
      </c>
      <c r="F127" s="18">
        <f t="shared" si="1"/>
        <v>-1.5</v>
      </c>
      <c r="G127" s="19"/>
      <c r="H127" s="25">
        <v>2.0</v>
      </c>
      <c r="I127" s="21"/>
      <c r="J127" s="22">
        <v>2.0</v>
      </c>
      <c r="K127" s="23"/>
      <c r="L127" s="19"/>
      <c r="M127" s="25">
        <v>-5.0</v>
      </c>
      <c r="N127" s="21"/>
      <c r="O127" s="22">
        <v>-1.0</v>
      </c>
      <c r="P127" s="23"/>
      <c r="Q127" s="19"/>
      <c r="R127" s="25">
        <v>3.0</v>
      </c>
      <c r="S127" s="21"/>
      <c r="T127" s="22">
        <v>2.0</v>
      </c>
      <c r="U127" s="23"/>
      <c r="V127" s="9"/>
      <c r="W127" s="9"/>
      <c r="X127" s="9"/>
      <c r="Y127" s="9"/>
      <c r="Z127" s="9"/>
    </row>
    <row r="128">
      <c r="A128" s="15" t="s">
        <v>264</v>
      </c>
      <c r="B128" s="16" t="s">
        <v>275</v>
      </c>
      <c r="C128" s="16">
        <v>2.0</v>
      </c>
      <c r="D128" s="16">
        <v>1.0</v>
      </c>
      <c r="E128" s="17" t="s">
        <v>276</v>
      </c>
      <c r="F128" s="18">
        <f t="shared" si="1"/>
        <v>1</v>
      </c>
      <c r="G128" s="19"/>
      <c r="H128" s="25">
        <v>4.0</v>
      </c>
      <c r="I128" s="21"/>
      <c r="J128" s="22">
        <v>2.0</v>
      </c>
      <c r="K128" s="23"/>
      <c r="L128" s="19"/>
      <c r="M128" s="25">
        <v>-3.0</v>
      </c>
      <c r="N128" s="21"/>
      <c r="O128" s="22">
        <v>-1.0</v>
      </c>
      <c r="P128" s="23"/>
      <c r="Q128" s="19"/>
      <c r="R128" s="25">
        <v>3.0</v>
      </c>
      <c r="S128" s="21"/>
      <c r="T128" s="22">
        <v>3.0</v>
      </c>
      <c r="U128" s="23"/>
      <c r="V128" s="9"/>
      <c r="W128" s="9"/>
      <c r="X128" s="9"/>
      <c r="Y128" s="9"/>
      <c r="Z128" s="9"/>
    </row>
    <row r="129">
      <c r="A129" s="15" t="s">
        <v>264</v>
      </c>
      <c r="B129" s="16" t="s">
        <v>277</v>
      </c>
      <c r="C129" s="16">
        <v>1.0</v>
      </c>
      <c r="D129" s="16">
        <v>1.0</v>
      </c>
      <c r="E129" s="17" t="s">
        <v>278</v>
      </c>
      <c r="F129" s="18">
        <f t="shared" si="1"/>
        <v>3</v>
      </c>
      <c r="G129" s="19"/>
      <c r="H129" s="25">
        <v>5.0</v>
      </c>
      <c r="I129" s="21"/>
      <c r="J129" s="22">
        <v>3.0</v>
      </c>
      <c r="K129" s="23"/>
      <c r="L129" s="19"/>
      <c r="M129" s="25">
        <v>-3.0</v>
      </c>
      <c r="N129" s="21"/>
      <c r="O129" s="22">
        <v>-1.0</v>
      </c>
      <c r="P129" s="23"/>
      <c r="Q129" s="19"/>
      <c r="R129" s="25">
        <v>3.0</v>
      </c>
      <c r="S129" s="21"/>
      <c r="T129" s="22">
        <v>3.0</v>
      </c>
      <c r="U129" s="23"/>
      <c r="V129" s="9"/>
      <c r="W129" s="9"/>
      <c r="X129" s="9"/>
      <c r="Y129" s="9"/>
      <c r="Z129" s="9"/>
    </row>
    <row r="130">
      <c r="A130" s="15" t="s">
        <v>264</v>
      </c>
      <c r="B130" s="16" t="s">
        <v>279</v>
      </c>
      <c r="C130" s="16">
        <v>3.0</v>
      </c>
      <c r="D130" s="16">
        <v>1.0</v>
      </c>
      <c r="E130" s="17" t="s">
        <v>280</v>
      </c>
      <c r="F130" s="18">
        <f t="shared" si="1"/>
        <v>-0.5</v>
      </c>
      <c r="G130" s="19"/>
      <c r="H130" s="25">
        <v>1.0</v>
      </c>
      <c r="I130" s="21"/>
      <c r="J130" s="22">
        <v>1.0</v>
      </c>
      <c r="K130" s="23"/>
      <c r="L130" s="19"/>
      <c r="M130" s="25">
        <v>-3.0</v>
      </c>
      <c r="N130" s="21"/>
      <c r="O130" s="22">
        <v>-1.0</v>
      </c>
      <c r="P130" s="23"/>
      <c r="Q130" s="19"/>
      <c r="R130" s="25">
        <v>5.0</v>
      </c>
      <c r="S130" s="21"/>
      <c r="T130" s="22">
        <v>4.0</v>
      </c>
      <c r="U130" s="23"/>
      <c r="V130" s="9"/>
      <c r="W130" s="9"/>
      <c r="X130" s="9"/>
      <c r="Y130" s="9"/>
      <c r="Z130" s="9"/>
    </row>
    <row r="131">
      <c r="A131" s="15" t="s">
        <v>264</v>
      </c>
      <c r="B131" s="16" t="s">
        <v>281</v>
      </c>
      <c r="C131" s="16">
        <v>3.0</v>
      </c>
      <c r="D131" s="16">
        <v>1.0</v>
      </c>
      <c r="E131" s="17" t="s">
        <v>282</v>
      </c>
      <c r="F131" s="18">
        <f t="shared" si="1"/>
        <v>0</v>
      </c>
      <c r="G131" s="19"/>
      <c r="H131" s="25">
        <v>5.0</v>
      </c>
      <c r="I131" s="21"/>
      <c r="J131" s="22">
        <v>3.0</v>
      </c>
      <c r="K131" s="23"/>
      <c r="L131" s="19"/>
      <c r="M131" s="25">
        <v>-2.0</v>
      </c>
      <c r="N131" s="21"/>
      <c r="O131" s="22">
        <v>-4.0</v>
      </c>
      <c r="P131" s="23"/>
      <c r="Q131" s="19"/>
      <c r="R131" s="25">
        <v>2.0</v>
      </c>
      <c r="S131" s="21"/>
      <c r="T131" s="22">
        <v>4.0</v>
      </c>
      <c r="U131" s="23"/>
      <c r="V131" s="9"/>
      <c r="W131" s="9"/>
      <c r="X131" s="9"/>
      <c r="Y131" s="9"/>
      <c r="Z131" s="9"/>
    </row>
    <row r="132">
      <c r="A132" s="26" t="s">
        <v>264</v>
      </c>
      <c r="B132" s="27" t="s">
        <v>283</v>
      </c>
      <c r="C132" s="27">
        <v>3.0</v>
      </c>
      <c r="D132" s="27">
        <v>1.0</v>
      </c>
      <c r="E132" s="28" t="s">
        <v>284</v>
      </c>
      <c r="F132" s="18">
        <f t="shared" si="1"/>
        <v>3</v>
      </c>
      <c r="G132" s="19"/>
      <c r="H132" s="25">
        <v>5.0</v>
      </c>
      <c r="I132" s="21"/>
      <c r="J132" s="22">
        <v>5.0</v>
      </c>
      <c r="K132" s="23"/>
      <c r="L132" s="19"/>
      <c r="M132" s="25">
        <v>-5.0</v>
      </c>
      <c r="N132" s="21"/>
      <c r="O132" s="22">
        <v>0.0</v>
      </c>
      <c r="P132" s="23"/>
      <c r="Q132" s="19"/>
      <c r="R132" s="25">
        <v>5.0</v>
      </c>
      <c r="S132" s="21"/>
      <c r="T132" s="22">
        <v>4.0</v>
      </c>
      <c r="U132" s="23"/>
      <c r="V132" s="9"/>
      <c r="W132" s="9"/>
      <c r="X132" s="9"/>
      <c r="Y132" s="9"/>
      <c r="Z132" s="9"/>
    </row>
    <row r="133">
      <c r="A133" s="40" t="s">
        <v>285</v>
      </c>
      <c r="B133" s="41" t="s">
        <v>286</v>
      </c>
      <c r="C133" s="41">
        <v>3.0</v>
      </c>
      <c r="D133" s="41">
        <v>2.0</v>
      </c>
      <c r="E133" s="42" t="s">
        <v>287</v>
      </c>
      <c r="F133" s="18">
        <f t="shared" si="1"/>
        <v>0.5</v>
      </c>
      <c r="G133" s="19"/>
      <c r="H133" s="25">
        <v>4.0</v>
      </c>
      <c r="I133" s="21"/>
      <c r="J133" s="22">
        <v>2.0</v>
      </c>
      <c r="K133" s="23"/>
      <c r="L133" s="19"/>
      <c r="M133" s="25">
        <v>-4.0</v>
      </c>
      <c r="N133" s="21"/>
      <c r="O133" s="22">
        <v>-1.0</v>
      </c>
      <c r="P133" s="23"/>
      <c r="Q133" s="19"/>
      <c r="R133" s="25">
        <v>5.0</v>
      </c>
      <c r="S133" s="21"/>
      <c r="T133" s="22">
        <v>5.0</v>
      </c>
      <c r="U133" s="23"/>
      <c r="V133" s="9"/>
      <c r="W133" s="9"/>
      <c r="X133" s="9"/>
      <c r="Y133" s="9"/>
      <c r="Z133" s="9"/>
    </row>
    <row r="134">
      <c r="A134" s="15" t="s">
        <v>285</v>
      </c>
      <c r="B134" s="16" t="s">
        <v>288</v>
      </c>
      <c r="C134" s="16">
        <v>2.0</v>
      </c>
      <c r="D134" s="16">
        <v>1.0</v>
      </c>
      <c r="E134" s="17" t="s">
        <v>289</v>
      </c>
      <c r="F134" s="18">
        <f t="shared" si="1"/>
        <v>-1</v>
      </c>
      <c r="G134" s="19"/>
      <c r="H134" s="25">
        <v>1.0</v>
      </c>
      <c r="I134" s="21"/>
      <c r="J134" s="22">
        <v>1.0</v>
      </c>
      <c r="K134" s="23"/>
      <c r="L134" s="19"/>
      <c r="M134" s="25">
        <v>-2.0</v>
      </c>
      <c r="N134" s="21"/>
      <c r="O134" s="22">
        <v>0.0</v>
      </c>
      <c r="P134" s="23"/>
      <c r="Q134" s="19"/>
      <c r="R134" s="25">
        <v>3.0</v>
      </c>
      <c r="S134" s="21"/>
      <c r="T134" s="22">
        <v>1.0</v>
      </c>
      <c r="U134" s="23"/>
      <c r="V134" s="9"/>
      <c r="W134" s="9"/>
      <c r="X134" s="9"/>
      <c r="Y134" s="9"/>
      <c r="Z134" s="9"/>
    </row>
    <row r="135">
      <c r="A135" s="15" t="s">
        <v>285</v>
      </c>
      <c r="B135" s="16" t="s">
        <v>290</v>
      </c>
      <c r="C135" s="16">
        <v>4.0</v>
      </c>
      <c r="D135" s="16">
        <v>1.0</v>
      </c>
      <c r="E135" s="17" t="s">
        <v>291</v>
      </c>
      <c r="F135" s="18">
        <f t="shared" si="1"/>
        <v>-1.5</v>
      </c>
      <c r="G135" s="19"/>
      <c r="H135" s="25">
        <v>3.0</v>
      </c>
      <c r="I135" s="21"/>
      <c r="J135" s="22">
        <v>5.0</v>
      </c>
      <c r="K135" s="23"/>
      <c r="L135" s="19"/>
      <c r="M135" s="25">
        <v>-4.0</v>
      </c>
      <c r="N135" s="21"/>
      <c r="O135" s="22">
        <v>-4.0</v>
      </c>
      <c r="P135" s="23"/>
      <c r="Q135" s="19"/>
      <c r="R135" s="25">
        <v>3.0</v>
      </c>
      <c r="S135" s="21"/>
      <c r="T135" s="22">
        <v>4.0</v>
      </c>
      <c r="U135" s="23"/>
      <c r="V135" s="9"/>
      <c r="W135" s="9"/>
      <c r="X135" s="9"/>
      <c r="Y135" s="9"/>
      <c r="Z135" s="9"/>
    </row>
    <row r="136">
      <c r="A136" s="15" t="s">
        <v>285</v>
      </c>
      <c r="B136" s="16" t="s">
        <v>292</v>
      </c>
      <c r="C136" s="16">
        <v>2.0</v>
      </c>
      <c r="D136" s="16">
        <v>0.0</v>
      </c>
      <c r="E136" s="17" t="s">
        <v>293</v>
      </c>
      <c r="F136" s="18">
        <f t="shared" si="1"/>
        <v>-0.5</v>
      </c>
      <c r="G136" s="19"/>
      <c r="H136" s="25">
        <v>2.0</v>
      </c>
      <c r="I136" s="21"/>
      <c r="J136" s="22">
        <v>1.0</v>
      </c>
      <c r="K136" s="23"/>
      <c r="L136" s="19"/>
      <c r="M136" s="25">
        <v>-2.0</v>
      </c>
      <c r="N136" s="21"/>
      <c r="O136" s="22">
        <v>0.0</v>
      </c>
      <c r="P136" s="23"/>
      <c r="Q136" s="19"/>
      <c r="R136" s="25">
        <v>1.0</v>
      </c>
      <c r="S136" s="21"/>
      <c r="T136" s="22">
        <v>1.0</v>
      </c>
      <c r="U136" s="23"/>
      <c r="V136" s="9"/>
      <c r="W136" s="9"/>
      <c r="X136" s="9"/>
      <c r="Y136" s="9"/>
      <c r="Z136" s="9"/>
    </row>
    <row r="137">
      <c r="A137" s="15" t="s">
        <v>285</v>
      </c>
      <c r="B137" s="16" t="s">
        <v>294</v>
      </c>
      <c r="C137" s="16">
        <v>2.0</v>
      </c>
      <c r="D137" s="16">
        <v>1.0</v>
      </c>
      <c r="E137" s="17" t="s">
        <v>295</v>
      </c>
      <c r="F137" s="18">
        <f t="shared" si="1"/>
        <v>-3.5</v>
      </c>
      <c r="G137" s="19"/>
      <c r="H137" s="25">
        <v>1.0</v>
      </c>
      <c r="I137" s="21"/>
      <c r="J137" s="22">
        <v>1.0</v>
      </c>
      <c r="K137" s="23"/>
      <c r="L137" s="19"/>
      <c r="M137" s="25">
        <v>-2.0</v>
      </c>
      <c r="N137" s="21"/>
      <c r="O137" s="22">
        <v>-4.0</v>
      </c>
      <c r="P137" s="23"/>
      <c r="Q137" s="19"/>
      <c r="R137" s="25">
        <v>2.0</v>
      </c>
      <c r="S137" s="21"/>
      <c r="T137" s="22">
        <v>1.0</v>
      </c>
      <c r="U137" s="23"/>
      <c r="V137" s="9"/>
      <c r="W137" s="9"/>
      <c r="X137" s="9"/>
      <c r="Y137" s="9"/>
      <c r="Z137" s="9"/>
    </row>
    <row r="138">
      <c r="A138" s="15" t="s">
        <v>285</v>
      </c>
      <c r="B138" s="16" t="s">
        <v>296</v>
      </c>
      <c r="C138" s="16">
        <v>0.0</v>
      </c>
      <c r="D138" s="16">
        <v>1.0</v>
      </c>
      <c r="E138" s="17" t="s">
        <v>297</v>
      </c>
      <c r="F138" s="18">
        <f t="shared" si="1"/>
        <v>4.5</v>
      </c>
      <c r="G138" s="19"/>
      <c r="H138" s="25">
        <v>2.0</v>
      </c>
      <c r="I138" s="21"/>
      <c r="J138" s="22">
        <v>3.0</v>
      </c>
      <c r="K138" s="23"/>
      <c r="L138" s="19"/>
      <c r="M138" s="25">
        <v>-2.0</v>
      </c>
      <c r="N138" s="21"/>
      <c r="O138" s="22">
        <v>-1.0</v>
      </c>
      <c r="P138" s="23"/>
      <c r="Q138" s="19"/>
      <c r="R138" s="25">
        <v>5.0</v>
      </c>
      <c r="S138" s="21"/>
      <c r="T138" s="22">
        <v>4.0</v>
      </c>
      <c r="U138" s="23"/>
      <c r="V138" s="9"/>
      <c r="W138" s="9"/>
      <c r="X138" s="9"/>
      <c r="Y138" s="9"/>
      <c r="Z138" s="9"/>
    </row>
    <row r="139">
      <c r="A139" s="15" t="s">
        <v>285</v>
      </c>
      <c r="B139" s="16" t="s">
        <v>298</v>
      </c>
      <c r="C139" s="16">
        <v>3.0</v>
      </c>
      <c r="D139" s="16">
        <v>0.0</v>
      </c>
      <c r="E139" s="46" t="s">
        <v>299</v>
      </c>
      <c r="F139" s="18">
        <f t="shared" si="1"/>
        <v>0.5</v>
      </c>
      <c r="G139" s="19"/>
      <c r="H139" s="25">
        <v>1.0</v>
      </c>
      <c r="I139" s="21"/>
      <c r="J139" s="22">
        <v>1.0</v>
      </c>
      <c r="K139" s="23"/>
      <c r="L139" s="19"/>
      <c r="M139" s="25">
        <v>-5.0</v>
      </c>
      <c r="N139" s="21"/>
      <c r="O139" s="22">
        <v>0.0</v>
      </c>
      <c r="P139" s="23"/>
      <c r="Q139" s="19"/>
      <c r="R139" s="25">
        <v>5.0</v>
      </c>
      <c r="S139" s="21"/>
      <c r="T139" s="22">
        <v>5.0</v>
      </c>
      <c r="U139" s="23"/>
      <c r="V139" s="9"/>
      <c r="W139" s="9"/>
      <c r="X139" s="9"/>
      <c r="Y139" s="9"/>
      <c r="Z139" s="9"/>
    </row>
    <row r="140">
      <c r="A140" s="15" t="s">
        <v>285</v>
      </c>
      <c r="B140" s="16" t="s">
        <v>300</v>
      </c>
      <c r="C140" s="16">
        <v>3.0</v>
      </c>
      <c r="D140" s="16">
        <v>1.0</v>
      </c>
      <c r="E140" s="17" t="s">
        <v>301</v>
      </c>
      <c r="F140" s="18">
        <f t="shared" si="1"/>
        <v>-2</v>
      </c>
      <c r="G140" s="19"/>
      <c r="H140" s="25">
        <v>1.0</v>
      </c>
      <c r="I140" s="21"/>
      <c r="J140" s="22">
        <v>2.0</v>
      </c>
      <c r="K140" s="23"/>
      <c r="L140" s="19"/>
      <c r="M140" s="25">
        <v>-5.0</v>
      </c>
      <c r="N140" s="21"/>
      <c r="O140" s="22">
        <v>0.0</v>
      </c>
      <c r="P140" s="23"/>
      <c r="Q140" s="19"/>
      <c r="R140" s="25">
        <v>3.0</v>
      </c>
      <c r="S140" s="21"/>
      <c r="T140" s="22">
        <v>3.0</v>
      </c>
      <c r="U140" s="23"/>
      <c r="V140" s="9"/>
      <c r="W140" s="9"/>
      <c r="X140" s="9"/>
      <c r="Y140" s="9"/>
      <c r="Z140" s="9"/>
    </row>
    <row r="141">
      <c r="A141" s="15" t="s">
        <v>285</v>
      </c>
      <c r="B141" s="16" t="s">
        <v>302</v>
      </c>
      <c r="C141" s="16">
        <v>3.0</v>
      </c>
      <c r="D141" s="16">
        <v>0.0</v>
      </c>
      <c r="E141" s="17" t="s">
        <v>303</v>
      </c>
      <c r="F141" s="18">
        <f t="shared" si="1"/>
        <v>5</v>
      </c>
      <c r="G141" s="19"/>
      <c r="H141" s="25">
        <v>5.0</v>
      </c>
      <c r="I141" s="21"/>
      <c r="J141" s="22">
        <v>5.0</v>
      </c>
      <c r="K141" s="23"/>
      <c r="L141" s="19"/>
      <c r="M141" s="25">
        <v>-3.0</v>
      </c>
      <c r="N141" s="21"/>
      <c r="O141" s="22">
        <v>0.0</v>
      </c>
      <c r="P141" s="23"/>
      <c r="Q141" s="19"/>
      <c r="R141" s="25">
        <v>4.0</v>
      </c>
      <c r="S141" s="21"/>
      <c r="T141" s="22">
        <v>5.0</v>
      </c>
      <c r="U141" s="23"/>
      <c r="V141" s="9"/>
      <c r="W141" s="9"/>
      <c r="X141" s="9"/>
      <c r="Y141" s="9"/>
      <c r="Z141" s="9"/>
    </row>
    <row r="142">
      <c r="A142" s="26" t="s">
        <v>285</v>
      </c>
      <c r="B142" s="27" t="s">
        <v>304</v>
      </c>
      <c r="C142" s="27">
        <v>3.0</v>
      </c>
      <c r="D142" s="27">
        <v>2.0</v>
      </c>
      <c r="E142" s="28" t="s">
        <v>305</v>
      </c>
      <c r="F142" s="18">
        <f t="shared" si="1"/>
        <v>2</v>
      </c>
      <c r="G142" s="19"/>
      <c r="H142" s="25">
        <v>5.0</v>
      </c>
      <c r="I142" s="21"/>
      <c r="J142" s="22">
        <v>5.0</v>
      </c>
      <c r="K142" s="23"/>
      <c r="L142" s="19"/>
      <c r="M142" s="25">
        <v>-5.0</v>
      </c>
      <c r="N142" s="21"/>
      <c r="O142" s="22">
        <v>0.0</v>
      </c>
      <c r="P142" s="23"/>
      <c r="Q142" s="19"/>
      <c r="R142" s="25">
        <v>5.0</v>
      </c>
      <c r="S142" s="21"/>
      <c r="T142" s="22">
        <v>4.0</v>
      </c>
      <c r="U142" s="23"/>
      <c r="V142" s="9"/>
      <c r="W142" s="9"/>
      <c r="X142" s="9"/>
      <c r="Y142" s="9"/>
      <c r="Z142" s="9"/>
    </row>
    <row r="143">
      <c r="A143" s="16" t="s">
        <v>306</v>
      </c>
      <c r="B143" s="16" t="s">
        <v>307</v>
      </c>
      <c r="C143" s="16">
        <v>0.0</v>
      </c>
      <c r="D143" s="16">
        <v>0.0</v>
      </c>
      <c r="E143" s="16" t="s">
        <v>308</v>
      </c>
      <c r="F143" s="18">
        <f t="shared" si="1"/>
        <v>4.5</v>
      </c>
      <c r="G143" s="19"/>
      <c r="H143" s="25">
        <v>4.0</v>
      </c>
      <c r="I143" s="21"/>
      <c r="J143" s="22">
        <v>4.0</v>
      </c>
      <c r="K143" s="23"/>
      <c r="L143" s="19"/>
      <c r="M143" s="25">
        <v>-3.0</v>
      </c>
      <c r="N143" s="21"/>
      <c r="O143" s="22">
        <v>-1.0</v>
      </c>
      <c r="P143" s="23"/>
      <c r="Q143" s="19"/>
      <c r="R143" s="25">
        <v>3.0</v>
      </c>
      <c r="S143" s="21"/>
      <c r="T143" s="22">
        <v>2.0</v>
      </c>
      <c r="U143" s="23"/>
      <c r="V143" s="9"/>
      <c r="W143" s="9"/>
      <c r="X143" s="9"/>
      <c r="Y143" s="9"/>
      <c r="Z143" s="9"/>
    </row>
    <row r="144">
      <c r="A144" s="16" t="s">
        <v>306</v>
      </c>
      <c r="B144" s="16" t="s">
        <v>309</v>
      </c>
      <c r="C144" s="16">
        <v>2.0</v>
      </c>
      <c r="D144" s="16">
        <v>0.0</v>
      </c>
      <c r="E144" s="16" t="s">
        <v>310</v>
      </c>
      <c r="F144" s="18">
        <f t="shared" si="1"/>
        <v>4</v>
      </c>
      <c r="G144" s="19"/>
      <c r="H144" s="25">
        <v>5.0</v>
      </c>
      <c r="I144" s="21"/>
      <c r="J144" s="22">
        <v>5.0</v>
      </c>
      <c r="K144" s="23"/>
      <c r="L144" s="19"/>
      <c r="M144" s="25">
        <v>-3.0</v>
      </c>
      <c r="N144" s="21"/>
      <c r="O144" s="22">
        <v>0.0</v>
      </c>
      <c r="P144" s="23"/>
      <c r="Q144" s="19"/>
      <c r="R144" s="25">
        <v>3.0</v>
      </c>
      <c r="S144" s="21"/>
      <c r="T144" s="22">
        <v>2.0</v>
      </c>
      <c r="U144" s="23"/>
      <c r="V144" s="9"/>
      <c r="W144" s="9"/>
      <c r="X144" s="9"/>
      <c r="Y144" s="9"/>
      <c r="Z144" s="9"/>
    </row>
    <row r="145">
      <c r="A145" s="16" t="s">
        <v>306</v>
      </c>
      <c r="B145" s="16" t="s">
        <v>311</v>
      </c>
      <c r="C145" s="16">
        <v>3.0</v>
      </c>
      <c r="D145" s="16">
        <v>0.0</v>
      </c>
      <c r="E145" s="16" t="s">
        <v>312</v>
      </c>
      <c r="F145" s="18">
        <f t="shared" si="1"/>
        <v>0</v>
      </c>
      <c r="G145" s="19"/>
      <c r="H145" s="25">
        <v>4.0</v>
      </c>
      <c r="I145" s="21"/>
      <c r="J145" s="22">
        <v>4.0</v>
      </c>
      <c r="K145" s="23"/>
      <c r="L145" s="19"/>
      <c r="M145" s="25">
        <v>-5.0</v>
      </c>
      <c r="N145" s="21"/>
      <c r="O145" s="22">
        <v>-3.0</v>
      </c>
      <c r="P145" s="23"/>
      <c r="Q145" s="19"/>
      <c r="R145" s="25">
        <v>3.0</v>
      </c>
      <c r="S145" s="21"/>
      <c r="T145" s="22">
        <v>3.0</v>
      </c>
      <c r="U145" s="23"/>
      <c r="V145" s="9"/>
      <c r="W145" s="9"/>
      <c r="X145" s="9"/>
      <c r="Y145" s="9"/>
      <c r="Z145" s="9"/>
    </row>
    <row r="146">
      <c r="A146" s="40" t="s">
        <v>306</v>
      </c>
      <c r="B146" s="41" t="s">
        <v>313</v>
      </c>
      <c r="C146" s="41">
        <v>1.0</v>
      </c>
      <c r="D146" s="41">
        <v>2.0</v>
      </c>
      <c r="E146" s="42" t="s">
        <v>314</v>
      </c>
      <c r="F146" s="18">
        <f t="shared" si="1"/>
        <v>2</v>
      </c>
      <c r="G146" s="19"/>
      <c r="H146" s="25">
        <v>5.0</v>
      </c>
      <c r="I146" s="21"/>
      <c r="J146" s="47"/>
      <c r="K146" s="23"/>
      <c r="L146" s="19"/>
      <c r="M146" s="25">
        <v>-3.0</v>
      </c>
      <c r="N146" s="21"/>
      <c r="O146" s="47"/>
      <c r="P146" s="23"/>
      <c r="Q146" s="19"/>
      <c r="R146" s="25">
        <v>3.0</v>
      </c>
      <c r="S146" s="21"/>
      <c r="T146" s="47"/>
      <c r="U146" s="23"/>
      <c r="V146" s="9"/>
      <c r="W146" s="9"/>
      <c r="X146" s="9"/>
      <c r="Y146" s="9"/>
      <c r="Z146" s="9"/>
    </row>
    <row r="147">
      <c r="A147" s="15" t="s">
        <v>306</v>
      </c>
      <c r="B147" s="16" t="s">
        <v>315</v>
      </c>
      <c r="C147" s="16">
        <v>2.0</v>
      </c>
      <c r="D147" s="16">
        <v>2.0</v>
      </c>
      <c r="E147" s="17" t="s">
        <v>316</v>
      </c>
      <c r="F147" s="18">
        <f t="shared" si="1"/>
        <v>-1</v>
      </c>
      <c r="G147" s="19"/>
      <c r="H147" s="25">
        <v>2.0</v>
      </c>
      <c r="I147" s="21"/>
      <c r="J147" s="47"/>
      <c r="K147" s="23"/>
      <c r="L147" s="19"/>
      <c r="M147" s="25">
        <v>-4.0</v>
      </c>
      <c r="N147" s="21"/>
      <c r="O147" s="47"/>
      <c r="P147" s="23"/>
      <c r="Q147" s="19"/>
      <c r="R147" s="25">
        <v>5.0</v>
      </c>
      <c r="S147" s="21"/>
      <c r="T147" s="47"/>
      <c r="U147" s="23"/>
      <c r="V147" s="9"/>
      <c r="W147" s="9"/>
      <c r="X147" s="9"/>
      <c r="Y147" s="9"/>
      <c r="Z147" s="9"/>
    </row>
    <row r="148">
      <c r="A148" s="15" t="s">
        <v>306</v>
      </c>
      <c r="B148" s="16" t="s">
        <v>317</v>
      </c>
      <c r="C148" s="16">
        <v>3.0</v>
      </c>
      <c r="D148" s="16">
        <v>1.0</v>
      </c>
      <c r="E148" s="17" t="s">
        <v>318</v>
      </c>
      <c r="F148" s="18">
        <f t="shared" si="1"/>
        <v>-4</v>
      </c>
      <c r="G148" s="19"/>
      <c r="H148" s="25">
        <v>1.0</v>
      </c>
      <c r="I148" s="21"/>
      <c r="J148" s="47"/>
      <c r="K148" s="23"/>
      <c r="L148" s="19"/>
      <c r="M148" s="25">
        <v>-4.0</v>
      </c>
      <c r="N148" s="21"/>
      <c r="O148" s="47"/>
      <c r="P148" s="23"/>
      <c r="Q148" s="19"/>
      <c r="R148" s="25">
        <v>3.0</v>
      </c>
      <c r="S148" s="21"/>
      <c r="T148" s="47"/>
      <c r="U148" s="23"/>
      <c r="V148" s="9"/>
      <c r="W148" s="9"/>
      <c r="X148" s="9"/>
      <c r="Y148" s="9"/>
      <c r="Z148" s="9"/>
    </row>
    <row r="149">
      <c r="A149" s="15" t="s">
        <v>306</v>
      </c>
      <c r="B149" s="16" t="s">
        <v>319</v>
      </c>
      <c r="C149" s="16">
        <v>3.0</v>
      </c>
      <c r="D149" s="16">
        <v>2.0</v>
      </c>
      <c r="E149" s="17" t="s">
        <v>320</v>
      </c>
      <c r="F149" s="18">
        <f t="shared" si="1"/>
        <v>2</v>
      </c>
      <c r="G149" s="19"/>
      <c r="H149" s="25">
        <v>5.0</v>
      </c>
      <c r="I149" s="21"/>
      <c r="J149" s="47"/>
      <c r="K149" s="23"/>
      <c r="L149" s="19"/>
      <c r="M149" s="25">
        <v>-3.0</v>
      </c>
      <c r="N149" s="21"/>
      <c r="O149" s="47"/>
      <c r="P149" s="23"/>
      <c r="Q149" s="19"/>
      <c r="R149" s="25">
        <v>5.0</v>
      </c>
      <c r="S149" s="21"/>
      <c r="T149" s="47"/>
      <c r="U149" s="23"/>
      <c r="V149" s="9"/>
      <c r="W149" s="9"/>
      <c r="X149" s="9"/>
      <c r="Y149" s="9"/>
      <c r="Z149" s="9"/>
    </row>
    <row r="150">
      <c r="A150" s="15" t="s">
        <v>306</v>
      </c>
      <c r="B150" s="16" t="s">
        <v>321</v>
      </c>
      <c r="C150" s="16">
        <v>3.0</v>
      </c>
      <c r="D150" s="16">
        <v>1.0</v>
      </c>
      <c r="E150" s="17" t="s">
        <v>322</v>
      </c>
      <c r="F150" s="18">
        <f t="shared" si="1"/>
        <v>-4</v>
      </c>
      <c r="G150" s="19"/>
      <c r="H150" s="25">
        <v>2.0</v>
      </c>
      <c r="I150" s="21"/>
      <c r="J150" s="47"/>
      <c r="K150" s="23"/>
      <c r="L150" s="19"/>
      <c r="M150" s="25">
        <v>-5.0</v>
      </c>
      <c r="N150" s="21"/>
      <c r="O150" s="47"/>
      <c r="P150" s="23"/>
      <c r="Q150" s="19"/>
      <c r="R150" s="25">
        <v>3.0</v>
      </c>
      <c r="S150" s="21"/>
      <c r="T150" s="47"/>
      <c r="U150" s="23"/>
      <c r="V150" s="9"/>
      <c r="W150" s="9"/>
      <c r="X150" s="9"/>
      <c r="Y150" s="9"/>
      <c r="Z150" s="9"/>
    </row>
    <row r="151">
      <c r="A151" s="15" t="s">
        <v>306</v>
      </c>
      <c r="B151" s="16" t="s">
        <v>323</v>
      </c>
      <c r="C151" s="16">
        <v>3.0</v>
      </c>
      <c r="D151" s="16">
        <v>1.0</v>
      </c>
      <c r="E151" s="17" t="s">
        <v>324</v>
      </c>
      <c r="F151" s="18">
        <f t="shared" si="1"/>
        <v>-4</v>
      </c>
      <c r="G151" s="19"/>
      <c r="H151" s="25">
        <v>2.0</v>
      </c>
      <c r="I151" s="21"/>
      <c r="J151" s="47"/>
      <c r="K151" s="23"/>
      <c r="L151" s="19"/>
      <c r="M151" s="25">
        <v>-3.0</v>
      </c>
      <c r="N151" s="21"/>
      <c r="O151" s="47"/>
      <c r="P151" s="23"/>
      <c r="Q151" s="19"/>
      <c r="R151" s="25">
        <v>1.0</v>
      </c>
      <c r="S151" s="21"/>
      <c r="T151" s="47"/>
      <c r="U151" s="23"/>
      <c r="V151" s="9"/>
      <c r="W151" s="9"/>
      <c r="X151" s="9"/>
      <c r="Y151" s="9"/>
      <c r="Z151" s="9"/>
    </row>
    <row r="152">
      <c r="A152" s="26" t="s">
        <v>306</v>
      </c>
      <c r="B152" s="27" t="s">
        <v>325</v>
      </c>
      <c r="C152" s="27">
        <v>3.0</v>
      </c>
      <c r="D152" s="27">
        <v>2.0</v>
      </c>
      <c r="E152" s="28" t="s">
        <v>326</v>
      </c>
      <c r="F152" s="18">
        <f t="shared" si="1"/>
        <v>-2</v>
      </c>
      <c r="G152" s="19"/>
      <c r="H152" s="25">
        <v>3.0</v>
      </c>
      <c r="I152" s="21"/>
      <c r="J152" s="47"/>
      <c r="K152" s="23"/>
      <c r="L152" s="19"/>
      <c r="M152" s="25">
        <v>-5.0</v>
      </c>
      <c r="N152" s="21"/>
      <c r="O152" s="47"/>
      <c r="P152" s="23"/>
      <c r="Q152" s="19"/>
      <c r="R152" s="25">
        <v>5.0</v>
      </c>
      <c r="S152" s="21"/>
      <c r="T152" s="47"/>
      <c r="U152" s="23"/>
      <c r="V152" s="9"/>
      <c r="W152" s="9"/>
      <c r="X152" s="9"/>
      <c r="Y152" s="9"/>
      <c r="Z152" s="9"/>
    </row>
    <row r="153">
      <c r="A153" s="40" t="s">
        <v>327</v>
      </c>
      <c r="B153" s="41" t="s">
        <v>328</v>
      </c>
      <c r="C153" s="41">
        <v>0.0</v>
      </c>
      <c r="D153" s="41">
        <v>0.0</v>
      </c>
      <c r="E153" s="42" t="s">
        <v>329</v>
      </c>
      <c r="F153" s="18">
        <f t="shared" si="1"/>
        <v>0</v>
      </c>
      <c r="G153" s="19"/>
      <c r="H153" s="25">
        <v>1.0</v>
      </c>
      <c r="I153" s="21"/>
      <c r="J153" s="47"/>
      <c r="K153" s="23"/>
      <c r="L153" s="19"/>
      <c r="M153" s="25">
        <v>-3.0</v>
      </c>
      <c r="N153" s="21"/>
      <c r="O153" s="47"/>
      <c r="P153" s="23"/>
      <c r="Q153" s="19"/>
      <c r="R153" s="25">
        <v>2.0</v>
      </c>
      <c r="S153" s="21"/>
      <c r="T153" s="47"/>
      <c r="U153" s="23"/>
      <c r="V153" s="9"/>
      <c r="W153" s="9"/>
      <c r="X153" s="9"/>
      <c r="Y153" s="9"/>
      <c r="Z153" s="9"/>
    </row>
    <row r="154">
      <c r="A154" s="15" t="s">
        <v>327</v>
      </c>
      <c r="B154" s="16" t="s">
        <v>330</v>
      </c>
      <c r="C154" s="16">
        <v>3.0</v>
      </c>
      <c r="D154" s="16">
        <v>1.0</v>
      </c>
      <c r="E154" s="17" t="s">
        <v>331</v>
      </c>
      <c r="F154" s="18">
        <f t="shared" si="1"/>
        <v>1</v>
      </c>
      <c r="G154" s="19"/>
      <c r="H154" s="25">
        <v>4.0</v>
      </c>
      <c r="I154" s="21"/>
      <c r="J154" s="47"/>
      <c r="K154" s="23"/>
      <c r="L154" s="19"/>
      <c r="M154" s="25">
        <v>-1.0</v>
      </c>
      <c r="N154" s="21"/>
      <c r="O154" s="47"/>
      <c r="P154" s="23"/>
      <c r="Q154" s="19"/>
      <c r="R154" s="25">
        <v>2.0</v>
      </c>
      <c r="S154" s="21"/>
      <c r="T154" s="47"/>
      <c r="U154" s="23"/>
      <c r="V154" s="9"/>
      <c r="W154" s="9"/>
      <c r="X154" s="9"/>
      <c r="Y154" s="9"/>
      <c r="Z154" s="9"/>
    </row>
    <row r="155">
      <c r="A155" s="15" t="s">
        <v>327</v>
      </c>
      <c r="B155" s="16" t="s">
        <v>332</v>
      </c>
      <c r="C155" s="16">
        <v>2.0</v>
      </c>
      <c r="D155" s="16">
        <v>0.0</v>
      </c>
      <c r="E155" s="17" t="s">
        <v>333</v>
      </c>
      <c r="F155" s="18">
        <f t="shared" si="1"/>
        <v>0</v>
      </c>
      <c r="G155" s="19"/>
      <c r="H155" s="25">
        <v>4.0</v>
      </c>
      <c r="I155" s="21"/>
      <c r="J155" s="47"/>
      <c r="K155" s="23"/>
      <c r="L155" s="19"/>
      <c r="M155" s="25">
        <v>-5.0</v>
      </c>
      <c r="N155" s="21"/>
      <c r="O155" s="47"/>
      <c r="P155" s="23"/>
      <c r="Q155" s="19"/>
      <c r="R155" s="25">
        <v>3.0</v>
      </c>
      <c r="S155" s="21"/>
      <c r="T155" s="47"/>
      <c r="U155" s="23"/>
      <c r="V155" s="9"/>
      <c r="W155" s="9"/>
      <c r="X155" s="9"/>
      <c r="Y155" s="9"/>
      <c r="Z155" s="9"/>
    </row>
    <row r="156">
      <c r="A156" s="15" t="s">
        <v>327</v>
      </c>
      <c r="B156" s="16" t="s">
        <v>334</v>
      </c>
      <c r="C156" s="16">
        <v>2.0</v>
      </c>
      <c r="D156" s="16">
        <v>1.0</v>
      </c>
      <c r="E156" s="17" t="s">
        <v>335</v>
      </c>
      <c r="F156" s="18">
        <f t="shared" si="1"/>
        <v>1</v>
      </c>
      <c r="G156" s="19"/>
      <c r="H156" s="25">
        <v>2.0</v>
      </c>
      <c r="I156" s="21"/>
      <c r="J156" s="47"/>
      <c r="K156" s="23"/>
      <c r="L156" s="19"/>
      <c r="M156" s="25">
        <v>-3.0</v>
      </c>
      <c r="N156" s="21"/>
      <c r="O156" s="47"/>
      <c r="P156" s="23"/>
      <c r="Q156" s="19"/>
      <c r="R156" s="25">
        <v>5.0</v>
      </c>
      <c r="S156" s="21"/>
      <c r="T156" s="47"/>
      <c r="U156" s="23"/>
      <c r="V156" s="9"/>
      <c r="W156" s="9"/>
      <c r="X156" s="9"/>
      <c r="Y156" s="9"/>
      <c r="Z156" s="9"/>
    </row>
    <row r="157">
      <c r="A157" s="15" t="s">
        <v>327</v>
      </c>
      <c r="B157" s="16" t="s">
        <v>336</v>
      </c>
      <c r="C157" s="16">
        <v>2.0</v>
      </c>
      <c r="D157" s="16">
        <v>1.0</v>
      </c>
      <c r="E157" s="17" t="s">
        <v>337</v>
      </c>
      <c r="F157" s="18">
        <f t="shared" si="1"/>
        <v>0</v>
      </c>
      <c r="G157" s="19"/>
      <c r="H157" s="25">
        <v>2.0</v>
      </c>
      <c r="I157" s="21"/>
      <c r="J157" s="47"/>
      <c r="K157" s="23"/>
      <c r="L157" s="19"/>
      <c r="M157" s="25">
        <v>-1.0</v>
      </c>
      <c r="N157" s="21"/>
      <c r="O157" s="47"/>
      <c r="P157" s="23"/>
      <c r="Q157" s="19"/>
      <c r="R157" s="25">
        <v>2.0</v>
      </c>
      <c r="S157" s="21"/>
      <c r="T157" s="47"/>
      <c r="U157" s="23"/>
      <c r="V157" s="9"/>
      <c r="W157" s="9"/>
      <c r="X157" s="9"/>
      <c r="Y157" s="9"/>
      <c r="Z157" s="9"/>
    </row>
    <row r="158">
      <c r="A158" s="15" t="s">
        <v>327</v>
      </c>
      <c r="B158" s="16" t="s">
        <v>338</v>
      </c>
      <c r="C158" s="16">
        <v>2.0</v>
      </c>
      <c r="D158" s="16">
        <v>1.0</v>
      </c>
      <c r="E158" s="17" t="s">
        <v>339</v>
      </c>
      <c r="F158" s="18">
        <f t="shared" si="1"/>
        <v>-1</v>
      </c>
      <c r="G158" s="19"/>
      <c r="H158" s="25">
        <v>4.0</v>
      </c>
      <c r="I158" s="21"/>
      <c r="J158" s="47"/>
      <c r="K158" s="23"/>
      <c r="L158" s="19"/>
      <c r="M158" s="25">
        <v>-3.0</v>
      </c>
      <c r="N158" s="21"/>
      <c r="O158" s="47"/>
      <c r="P158" s="23"/>
      <c r="Q158" s="19"/>
      <c r="R158" s="25">
        <v>1.0</v>
      </c>
      <c r="S158" s="21"/>
      <c r="T158" s="47"/>
      <c r="U158" s="23"/>
      <c r="V158" s="9"/>
      <c r="W158" s="9"/>
      <c r="X158" s="9"/>
      <c r="Y158" s="9"/>
      <c r="Z158" s="9"/>
    </row>
    <row r="159">
      <c r="A159" s="15" t="s">
        <v>327</v>
      </c>
      <c r="B159" s="16" t="s">
        <v>340</v>
      </c>
      <c r="C159" s="16">
        <v>3.0</v>
      </c>
      <c r="D159" s="16">
        <v>1.0</v>
      </c>
      <c r="E159" s="17" t="s">
        <v>341</v>
      </c>
      <c r="F159" s="18">
        <f t="shared" si="1"/>
        <v>2</v>
      </c>
      <c r="G159" s="19"/>
      <c r="H159" s="25">
        <v>2.0</v>
      </c>
      <c r="I159" s="21"/>
      <c r="J159" s="47"/>
      <c r="K159" s="23"/>
      <c r="L159" s="19"/>
      <c r="M159" s="25">
        <v>-1.0</v>
      </c>
      <c r="N159" s="21"/>
      <c r="O159" s="47"/>
      <c r="P159" s="23"/>
      <c r="Q159" s="19"/>
      <c r="R159" s="25">
        <v>5.0</v>
      </c>
      <c r="S159" s="21"/>
      <c r="T159" s="47"/>
      <c r="U159" s="23"/>
      <c r="V159" s="9"/>
      <c r="W159" s="9"/>
      <c r="X159" s="9"/>
      <c r="Y159" s="9"/>
      <c r="Z159" s="9"/>
    </row>
    <row r="160">
      <c r="A160" s="15" t="s">
        <v>327</v>
      </c>
      <c r="B160" s="16" t="s">
        <v>342</v>
      </c>
      <c r="C160" s="16">
        <v>4.0</v>
      </c>
      <c r="D160" s="16">
        <v>1.0</v>
      </c>
      <c r="E160" s="17" t="s">
        <v>343</v>
      </c>
      <c r="F160" s="18">
        <f t="shared" si="1"/>
        <v>-5</v>
      </c>
      <c r="G160" s="19"/>
      <c r="H160" s="25">
        <v>1.0</v>
      </c>
      <c r="I160" s="21"/>
      <c r="J160" s="47"/>
      <c r="K160" s="23"/>
      <c r="L160" s="19"/>
      <c r="M160" s="25">
        <v>-3.0</v>
      </c>
      <c r="N160" s="21"/>
      <c r="O160" s="47"/>
      <c r="P160" s="23"/>
      <c r="Q160" s="19"/>
      <c r="R160" s="25">
        <v>2.0</v>
      </c>
      <c r="S160" s="21"/>
      <c r="T160" s="47"/>
      <c r="U160" s="23"/>
      <c r="V160" s="9"/>
      <c r="W160" s="9"/>
      <c r="X160" s="9"/>
      <c r="Y160" s="9"/>
      <c r="Z160" s="9"/>
    </row>
    <row r="161">
      <c r="A161" s="15" t="s">
        <v>327</v>
      </c>
      <c r="B161" s="16" t="s">
        <v>344</v>
      </c>
      <c r="C161" s="16">
        <v>2.0</v>
      </c>
      <c r="D161" s="16">
        <v>1.0</v>
      </c>
      <c r="E161" s="17" t="s">
        <v>345</v>
      </c>
      <c r="F161" s="18">
        <f t="shared" si="1"/>
        <v>0</v>
      </c>
      <c r="G161" s="19"/>
      <c r="H161" s="25">
        <v>5.0</v>
      </c>
      <c r="I161" s="21"/>
      <c r="J161" s="47"/>
      <c r="K161" s="23"/>
      <c r="L161" s="19"/>
      <c r="M161" s="25">
        <v>-3.0</v>
      </c>
      <c r="N161" s="21"/>
      <c r="O161" s="47"/>
      <c r="P161" s="23"/>
      <c r="Q161" s="19"/>
      <c r="R161" s="25">
        <v>1.0</v>
      </c>
      <c r="S161" s="21"/>
      <c r="T161" s="47"/>
      <c r="U161" s="23"/>
      <c r="V161" s="9"/>
      <c r="W161" s="9"/>
      <c r="X161" s="9"/>
      <c r="Y161" s="9"/>
      <c r="Z161" s="9"/>
    </row>
    <row r="162">
      <c r="A162" s="26" t="s">
        <v>327</v>
      </c>
      <c r="B162" s="27" t="s">
        <v>346</v>
      </c>
      <c r="C162" s="27">
        <v>3.0</v>
      </c>
      <c r="D162" s="27">
        <v>2.0</v>
      </c>
      <c r="E162" s="28" t="s">
        <v>347</v>
      </c>
      <c r="F162" s="18">
        <f t="shared" si="1"/>
        <v>0</v>
      </c>
      <c r="G162" s="19"/>
      <c r="H162" s="25">
        <v>5.0</v>
      </c>
      <c r="I162" s="21"/>
      <c r="J162" s="47"/>
      <c r="K162" s="23"/>
      <c r="L162" s="19"/>
      <c r="M162" s="25">
        <v>-5.0</v>
      </c>
      <c r="N162" s="21"/>
      <c r="O162" s="47"/>
      <c r="P162" s="23"/>
      <c r="Q162" s="19"/>
      <c r="R162" s="25">
        <v>5.0</v>
      </c>
      <c r="S162" s="21"/>
      <c r="T162" s="47"/>
      <c r="U162" s="23"/>
      <c r="V162" s="9"/>
      <c r="W162" s="9"/>
      <c r="X162" s="9"/>
      <c r="Y162" s="9"/>
      <c r="Z162" s="9"/>
    </row>
    <row r="163">
      <c r="A163" s="40" t="s">
        <v>348</v>
      </c>
      <c r="B163" s="41" t="s">
        <v>349</v>
      </c>
      <c r="C163" s="41">
        <v>0.0</v>
      </c>
      <c r="D163" s="41">
        <v>1.0</v>
      </c>
      <c r="E163" s="42" t="s">
        <v>350</v>
      </c>
      <c r="F163" s="18">
        <f t="shared" si="1"/>
        <v>1</v>
      </c>
      <c r="G163" s="19"/>
      <c r="H163" s="25">
        <v>3.0</v>
      </c>
      <c r="I163" s="21"/>
      <c r="J163" s="47"/>
      <c r="K163" s="23"/>
      <c r="L163" s="19"/>
      <c r="M163" s="25">
        <v>-3.0</v>
      </c>
      <c r="N163" s="21"/>
      <c r="O163" s="47"/>
      <c r="P163" s="23"/>
      <c r="Q163" s="19"/>
      <c r="R163" s="25">
        <v>2.0</v>
      </c>
      <c r="S163" s="21"/>
      <c r="T163" s="47"/>
      <c r="U163" s="23"/>
      <c r="V163" s="9"/>
      <c r="W163" s="9"/>
      <c r="X163" s="9"/>
      <c r="Y163" s="9"/>
      <c r="Z163" s="9"/>
    </row>
    <row r="164">
      <c r="A164" s="15" t="s">
        <v>348</v>
      </c>
      <c r="B164" s="16" t="s">
        <v>351</v>
      </c>
      <c r="C164" s="16">
        <v>1.0</v>
      </c>
      <c r="D164" s="16">
        <v>0.0</v>
      </c>
      <c r="E164" s="17" t="s">
        <v>352</v>
      </c>
      <c r="F164" s="18">
        <f t="shared" si="1"/>
        <v>1</v>
      </c>
      <c r="G164" s="19"/>
      <c r="H164" s="25">
        <v>1.0</v>
      </c>
      <c r="I164" s="21"/>
      <c r="J164" s="47"/>
      <c r="K164" s="23"/>
      <c r="L164" s="19"/>
      <c r="M164" s="25">
        <v>-2.0</v>
      </c>
      <c r="N164" s="21"/>
      <c r="O164" s="47"/>
      <c r="P164" s="23"/>
      <c r="Q164" s="19"/>
      <c r="R164" s="25">
        <v>3.0</v>
      </c>
      <c r="S164" s="21"/>
      <c r="T164" s="47"/>
      <c r="U164" s="23"/>
      <c r="V164" s="9"/>
      <c r="W164" s="9"/>
      <c r="X164" s="9"/>
      <c r="Y164" s="9"/>
      <c r="Z164" s="9"/>
    </row>
    <row r="165">
      <c r="A165" s="15" t="s">
        <v>348</v>
      </c>
      <c r="B165" s="16" t="s">
        <v>353</v>
      </c>
      <c r="C165" s="16">
        <v>2.0</v>
      </c>
      <c r="D165" s="16">
        <v>1.0</v>
      </c>
      <c r="E165" s="17" t="s">
        <v>354</v>
      </c>
      <c r="F165" s="18">
        <f t="shared" si="1"/>
        <v>0</v>
      </c>
      <c r="G165" s="19"/>
      <c r="H165" s="25">
        <v>4.0</v>
      </c>
      <c r="I165" s="21"/>
      <c r="J165" s="47"/>
      <c r="K165" s="23"/>
      <c r="L165" s="19"/>
      <c r="M165" s="25">
        <v>-3.0</v>
      </c>
      <c r="N165" s="21"/>
      <c r="O165" s="47"/>
      <c r="P165" s="23"/>
      <c r="Q165" s="19"/>
      <c r="R165" s="25">
        <v>2.0</v>
      </c>
      <c r="S165" s="21"/>
      <c r="T165" s="47"/>
      <c r="U165" s="23"/>
      <c r="V165" s="9"/>
      <c r="W165" s="9"/>
      <c r="X165" s="9"/>
      <c r="Y165" s="9"/>
      <c r="Z165" s="9"/>
    </row>
    <row r="166">
      <c r="A166" s="15" t="s">
        <v>348</v>
      </c>
      <c r="B166" s="16" t="s">
        <v>355</v>
      </c>
      <c r="C166" s="16">
        <v>2.0</v>
      </c>
      <c r="D166" s="16">
        <v>2.0</v>
      </c>
      <c r="E166" s="17" t="s">
        <v>356</v>
      </c>
      <c r="F166" s="18">
        <f t="shared" si="1"/>
        <v>1</v>
      </c>
      <c r="G166" s="19"/>
      <c r="H166" s="25">
        <v>5.0</v>
      </c>
      <c r="I166" s="21"/>
      <c r="J166" s="47"/>
      <c r="K166" s="23"/>
      <c r="L166" s="19"/>
      <c r="M166" s="25">
        <v>-3.0</v>
      </c>
      <c r="N166" s="21"/>
      <c r="O166" s="47"/>
      <c r="P166" s="23"/>
      <c r="Q166" s="19"/>
      <c r="R166" s="25">
        <v>3.0</v>
      </c>
      <c r="S166" s="21"/>
      <c r="T166" s="47"/>
      <c r="U166" s="23"/>
      <c r="V166" s="9"/>
      <c r="W166" s="9"/>
      <c r="X166" s="9"/>
      <c r="Y166" s="9"/>
      <c r="Z166" s="9"/>
    </row>
    <row r="167">
      <c r="A167" s="15" t="s">
        <v>348</v>
      </c>
      <c r="B167" s="16" t="s">
        <v>357</v>
      </c>
      <c r="C167" s="16">
        <v>2.0</v>
      </c>
      <c r="D167" s="16">
        <v>1.0</v>
      </c>
      <c r="E167" s="17" t="s">
        <v>358</v>
      </c>
      <c r="F167" s="18">
        <f t="shared" si="1"/>
        <v>2</v>
      </c>
      <c r="G167" s="19"/>
      <c r="H167" s="25">
        <v>5.0</v>
      </c>
      <c r="I167" s="21"/>
      <c r="J167" s="47"/>
      <c r="K167" s="23"/>
      <c r="L167" s="19"/>
      <c r="M167" s="25">
        <v>-3.0</v>
      </c>
      <c r="N167" s="21"/>
      <c r="O167" s="47"/>
      <c r="P167" s="23"/>
      <c r="Q167" s="19"/>
      <c r="R167" s="25">
        <v>3.0</v>
      </c>
      <c r="S167" s="21"/>
      <c r="T167" s="47"/>
      <c r="U167" s="23"/>
      <c r="V167" s="9"/>
      <c r="W167" s="9"/>
      <c r="X167" s="9"/>
      <c r="Y167" s="9"/>
      <c r="Z167" s="9"/>
    </row>
    <row r="168">
      <c r="A168" s="15" t="s">
        <v>348</v>
      </c>
      <c r="B168" s="16" t="s">
        <v>359</v>
      </c>
      <c r="C168" s="16">
        <v>2.0</v>
      </c>
      <c r="D168" s="16">
        <v>1.0</v>
      </c>
      <c r="E168" s="17" t="s">
        <v>360</v>
      </c>
      <c r="F168" s="18">
        <f t="shared" si="1"/>
        <v>1</v>
      </c>
      <c r="G168" s="19"/>
      <c r="H168" s="25">
        <v>5.0</v>
      </c>
      <c r="I168" s="21"/>
      <c r="J168" s="47"/>
      <c r="K168" s="23"/>
      <c r="L168" s="19"/>
      <c r="M168" s="25">
        <v>-3.0</v>
      </c>
      <c r="N168" s="21"/>
      <c r="O168" s="47"/>
      <c r="P168" s="23"/>
      <c r="Q168" s="19"/>
      <c r="R168" s="25">
        <v>2.0</v>
      </c>
      <c r="S168" s="21"/>
      <c r="T168" s="47"/>
      <c r="U168" s="23"/>
      <c r="V168" s="9"/>
      <c r="W168" s="9"/>
      <c r="X168" s="9"/>
      <c r="Y168" s="9"/>
      <c r="Z168" s="9"/>
    </row>
    <row r="169">
      <c r="A169" s="15" t="s">
        <v>348</v>
      </c>
      <c r="B169" s="16" t="s">
        <v>361</v>
      </c>
      <c r="C169" s="16">
        <v>3.0</v>
      </c>
      <c r="D169" s="16">
        <v>1.0</v>
      </c>
      <c r="E169" s="17" t="s">
        <v>362</v>
      </c>
      <c r="F169" s="18">
        <f t="shared" si="1"/>
        <v>-4</v>
      </c>
      <c r="G169" s="19"/>
      <c r="H169" s="25">
        <v>2.0</v>
      </c>
      <c r="I169" s="21"/>
      <c r="J169" s="47"/>
      <c r="K169" s="23"/>
      <c r="L169" s="19"/>
      <c r="M169" s="25">
        <v>-5.0</v>
      </c>
      <c r="N169" s="21"/>
      <c r="O169" s="47"/>
      <c r="P169" s="23"/>
      <c r="Q169" s="19"/>
      <c r="R169" s="25">
        <v>3.0</v>
      </c>
      <c r="S169" s="21"/>
      <c r="T169" s="47"/>
      <c r="U169" s="23"/>
      <c r="V169" s="9"/>
      <c r="W169" s="9"/>
      <c r="X169" s="9"/>
      <c r="Y169" s="9"/>
      <c r="Z169" s="9"/>
    </row>
    <row r="170">
      <c r="A170" s="15" t="s">
        <v>348</v>
      </c>
      <c r="B170" s="16" t="s">
        <v>363</v>
      </c>
      <c r="C170" s="16">
        <v>3.0</v>
      </c>
      <c r="D170" s="16">
        <v>0.0</v>
      </c>
      <c r="E170" s="17" t="s">
        <v>364</v>
      </c>
      <c r="F170" s="18">
        <f t="shared" si="1"/>
        <v>-3</v>
      </c>
      <c r="G170" s="19"/>
      <c r="H170" s="25">
        <v>1.0</v>
      </c>
      <c r="I170" s="21"/>
      <c r="J170" s="47"/>
      <c r="K170" s="23"/>
      <c r="L170" s="19"/>
      <c r="M170" s="25">
        <v>-3.0</v>
      </c>
      <c r="N170" s="21"/>
      <c r="O170" s="47"/>
      <c r="P170" s="23"/>
      <c r="Q170" s="19"/>
      <c r="R170" s="25">
        <v>2.0</v>
      </c>
      <c r="S170" s="21"/>
      <c r="T170" s="47"/>
      <c r="U170" s="23"/>
      <c r="V170" s="9"/>
      <c r="W170" s="9"/>
      <c r="X170" s="9"/>
      <c r="Y170" s="9"/>
      <c r="Z170" s="9"/>
    </row>
    <row r="171">
      <c r="A171" s="15" t="s">
        <v>348</v>
      </c>
      <c r="B171" s="16" t="s">
        <v>365</v>
      </c>
      <c r="C171" s="16">
        <v>4.0</v>
      </c>
      <c r="D171" s="16">
        <v>0.0</v>
      </c>
      <c r="E171" s="17" t="s">
        <v>366</v>
      </c>
      <c r="F171" s="18">
        <f t="shared" si="1"/>
        <v>-4</v>
      </c>
      <c r="G171" s="19"/>
      <c r="H171" s="25">
        <v>1.0</v>
      </c>
      <c r="I171" s="21"/>
      <c r="J171" s="47"/>
      <c r="K171" s="23"/>
      <c r="L171" s="19"/>
      <c r="M171" s="25">
        <v>-3.0</v>
      </c>
      <c r="N171" s="21"/>
      <c r="O171" s="47"/>
      <c r="P171" s="23"/>
      <c r="Q171" s="19"/>
      <c r="R171" s="25">
        <v>2.0</v>
      </c>
      <c r="S171" s="21"/>
      <c r="T171" s="47"/>
      <c r="U171" s="23"/>
      <c r="V171" s="9"/>
      <c r="W171" s="9"/>
      <c r="X171" s="9"/>
      <c r="Y171" s="9"/>
      <c r="Z171" s="9"/>
    </row>
    <row r="172">
      <c r="A172" s="26" t="s">
        <v>348</v>
      </c>
      <c r="B172" s="27" t="s">
        <v>367</v>
      </c>
      <c r="C172" s="27" t="s">
        <v>368</v>
      </c>
      <c r="D172" s="27" t="s">
        <v>369</v>
      </c>
      <c r="E172" s="28" t="s">
        <v>370</v>
      </c>
      <c r="F172" s="18">
        <f t="shared" si="1"/>
        <v>0</v>
      </c>
      <c r="G172" s="19"/>
      <c r="H172" s="25">
        <v>5.0</v>
      </c>
      <c r="I172" s="21"/>
      <c r="J172" s="47"/>
      <c r="K172" s="23"/>
      <c r="L172" s="19"/>
      <c r="M172" s="25">
        <v>-5.0</v>
      </c>
      <c r="N172" s="21"/>
      <c r="O172" s="47"/>
      <c r="P172" s="23"/>
      <c r="Q172" s="19"/>
      <c r="R172" s="25">
        <v>5.0</v>
      </c>
      <c r="S172" s="21"/>
      <c r="T172" s="47"/>
      <c r="U172" s="23"/>
      <c r="V172" s="9"/>
      <c r="W172" s="9"/>
      <c r="X172" s="9"/>
      <c r="Y172" s="9"/>
      <c r="Z172" s="9"/>
    </row>
    <row r="173">
      <c r="A173" s="40" t="s">
        <v>371</v>
      </c>
      <c r="B173" s="41" t="s">
        <v>372</v>
      </c>
      <c r="C173" s="41">
        <v>0.0</v>
      </c>
      <c r="D173" s="41">
        <v>1.0</v>
      </c>
      <c r="E173" s="42" t="s">
        <v>373</v>
      </c>
      <c r="F173" s="18">
        <f t="shared" si="1"/>
        <v>2</v>
      </c>
      <c r="G173" s="19"/>
      <c r="H173" s="25">
        <v>4.0</v>
      </c>
      <c r="I173" s="21"/>
      <c r="J173" s="47"/>
      <c r="K173" s="23"/>
      <c r="L173" s="19"/>
      <c r="M173" s="25">
        <v>-3.0</v>
      </c>
      <c r="N173" s="21"/>
      <c r="O173" s="47"/>
      <c r="P173" s="23"/>
      <c r="Q173" s="19"/>
      <c r="R173" s="25">
        <v>2.0</v>
      </c>
      <c r="S173" s="21"/>
      <c r="T173" s="47"/>
      <c r="U173" s="23"/>
      <c r="V173" s="9"/>
      <c r="W173" s="9"/>
      <c r="X173" s="9"/>
      <c r="Y173" s="9"/>
      <c r="Z173" s="9"/>
    </row>
    <row r="174">
      <c r="A174" s="15" t="s">
        <v>371</v>
      </c>
      <c r="B174" s="16" t="s">
        <v>374</v>
      </c>
      <c r="C174" s="48">
        <v>2.0</v>
      </c>
      <c r="D174" s="16">
        <v>1.0</v>
      </c>
      <c r="E174" s="17" t="s">
        <v>375</v>
      </c>
      <c r="F174" s="18">
        <f t="shared" si="1"/>
        <v>1</v>
      </c>
      <c r="G174" s="19"/>
      <c r="H174" s="25">
        <v>4.0</v>
      </c>
      <c r="I174" s="21"/>
      <c r="J174" s="47"/>
      <c r="K174" s="23"/>
      <c r="L174" s="19"/>
      <c r="M174" s="25">
        <v>-5.0</v>
      </c>
      <c r="N174" s="21"/>
      <c r="O174" s="47"/>
      <c r="P174" s="23"/>
      <c r="Q174" s="19"/>
      <c r="R174" s="25">
        <v>5.0</v>
      </c>
      <c r="S174" s="21"/>
      <c r="T174" s="47"/>
      <c r="U174" s="23"/>
      <c r="V174" s="9"/>
      <c r="W174" s="9"/>
      <c r="X174" s="9"/>
      <c r="Y174" s="9"/>
      <c r="Z174" s="9"/>
    </row>
    <row r="175">
      <c r="A175" s="15" t="s">
        <v>371</v>
      </c>
      <c r="B175" s="16" t="s">
        <v>376</v>
      </c>
      <c r="C175" s="16">
        <v>2.0</v>
      </c>
      <c r="D175" s="16">
        <v>1.0</v>
      </c>
      <c r="E175" s="17" t="s">
        <v>377</v>
      </c>
      <c r="F175" s="18">
        <f t="shared" si="1"/>
        <v>1</v>
      </c>
      <c r="G175" s="19"/>
      <c r="H175" s="25">
        <v>5.0</v>
      </c>
      <c r="I175" s="21"/>
      <c r="J175" s="47"/>
      <c r="K175" s="23"/>
      <c r="L175" s="19"/>
      <c r="M175" s="25">
        <v>-4.0</v>
      </c>
      <c r="N175" s="21"/>
      <c r="O175" s="47"/>
      <c r="P175" s="23"/>
      <c r="Q175" s="19"/>
      <c r="R175" s="25">
        <v>3.0</v>
      </c>
      <c r="S175" s="21"/>
      <c r="T175" s="47"/>
      <c r="U175" s="23"/>
      <c r="V175" s="9"/>
      <c r="W175" s="9"/>
      <c r="X175" s="9"/>
      <c r="Y175" s="9"/>
      <c r="Z175" s="9"/>
    </row>
    <row r="176">
      <c r="A176" s="15" t="s">
        <v>371</v>
      </c>
      <c r="B176" s="16" t="s">
        <v>378</v>
      </c>
      <c r="C176" s="16">
        <v>2.0</v>
      </c>
      <c r="D176" s="16">
        <v>1.0</v>
      </c>
      <c r="E176" s="17" t="s">
        <v>379</v>
      </c>
      <c r="F176" s="18">
        <f t="shared" si="1"/>
        <v>-4</v>
      </c>
      <c r="G176" s="19"/>
      <c r="H176" s="25">
        <v>1.0</v>
      </c>
      <c r="I176" s="21"/>
      <c r="J176" s="47"/>
      <c r="K176" s="23"/>
      <c r="L176" s="19"/>
      <c r="M176" s="25">
        <v>-4.0</v>
      </c>
      <c r="N176" s="21"/>
      <c r="O176" s="47"/>
      <c r="P176" s="23"/>
      <c r="Q176" s="19"/>
      <c r="R176" s="25">
        <v>2.0</v>
      </c>
      <c r="S176" s="21"/>
      <c r="T176" s="47"/>
      <c r="U176" s="23"/>
      <c r="V176" s="9"/>
      <c r="W176" s="9"/>
      <c r="X176" s="9"/>
      <c r="Y176" s="9"/>
      <c r="Z176" s="9"/>
    </row>
    <row r="177">
      <c r="A177" s="15" t="s">
        <v>371</v>
      </c>
      <c r="B177" s="16" t="s">
        <v>380</v>
      </c>
      <c r="C177" s="16">
        <v>2.0</v>
      </c>
      <c r="D177" s="16">
        <v>1.0</v>
      </c>
      <c r="E177" s="17" t="s">
        <v>381</v>
      </c>
      <c r="F177" s="18">
        <f t="shared" si="1"/>
        <v>4</v>
      </c>
      <c r="G177" s="19"/>
      <c r="H177" s="25">
        <v>5.0</v>
      </c>
      <c r="I177" s="21"/>
      <c r="J177" s="47"/>
      <c r="K177" s="23"/>
      <c r="L177" s="19"/>
      <c r="M177" s="25">
        <v>-2.0</v>
      </c>
      <c r="N177" s="21"/>
      <c r="O177" s="47"/>
      <c r="P177" s="23"/>
      <c r="Q177" s="19"/>
      <c r="R177" s="25">
        <v>4.0</v>
      </c>
      <c r="S177" s="21"/>
      <c r="T177" s="47"/>
      <c r="U177" s="23"/>
      <c r="V177" s="9"/>
      <c r="W177" s="9"/>
      <c r="X177" s="9"/>
      <c r="Y177" s="9"/>
      <c r="Z177" s="9"/>
    </row>
    <row r="178">
      <c r="A178" s="15" t="s">
        <v>371</v>
      </c>
      <c r="B178" s="16" t="s">
        <v>382</v>
      </c>
      <c r="C178" s="16">
        <v>2.0</v>
      </c>
      <c r="D178" s="16">
        <v>1.0</v>
      </c>
      <c r="E178" s="17" t="s">
        <v>383</v>
      </c>
      <c r="F178" s="18">
        <f t="shared" si="1"/>
        <v>-3</v>
      </c>
      <c r="G178" s="19"/>
      <c r="H178" s="25">
        <v>2.0</v>
      </c>
      <c r="I178" s="21"/>
      <c r="J178" s="47"/>
      <c r="K178" s="23"/>
      <c r="L178" s="19"/>
      <c r="M178" s="25">
        <v>-4.0</v>
      </c>
      <c r="N178" s="21"/>
      <c r="O178" s="47"/>
      <c r="P178" s="23"/>
      <c r="Q178" s="19"/>
      <c r="R178" s="25">
        <v>2.0</v>
      </c>
      <c r="S178" s="21"/>
      <c r="T178" s="47"/>
      <c r="U178" s="23"/>
      <c r="V178" s="9"/>
      <c r="W178" s="9"/>
      <c r="X178" s="9"/>
      <c r="Y178" s="9"/>
      <c r="Z178" s="9"/>
    </row>
    <row r="179">
      <c r="A179" s="15" t="s">
        <v>371</v>
      </c>
      <c r="B179" s="16" t="s">
        <v>384</v>
      </c>
      <c r="C179" s="16">
        <v>3.0</v>
      </c>
      <c r="D179" s="16">
        <v>2.0</v>
      </c>
      <c r="E179" s="17" t="s">
        <v>385</v>
      </c>
      <c r="F179" s="18">
        <f t="shared" si="1"/>
        <v>-4</v>
      </c>
      <c r="G179" s="19"/>
      <c r="H179" s="25">
        <v>2.0</v>
      </c>
      <c r="I179" s="21"/>
      <c r="J179" s="47"/>
      <c r="K179" s="23"/>
      <c r="L179" s="19"/>
      <c r="M179" s="25">
        <v>-3.0</v>
      </c>
      <c r="N179" s="21"/>
      <c r="O179" s="47"/>
      <c r="P179" s="23"/>
      <c r="Q179" s="19"/>
      <c r="R179" s="25">
        <v>2.0</v>
      </c>
      <c r="S179" s="21"/>
      <c r="T179" s="47"/>
      <c r="U179" s="23"/>
      <c r="V179" s="9"/>
      <c r="W179" s="9"/>
      <c r="X179" s="9"/>
      <c r="Y179" s="9"/>
      <c r="Z179" s="9"/>
    </row>
    <row r="180">
      <c r="A180" s="15" t="s">
        <v>371</v>
      </c>
      <c r="B180" s="16" t="s">
        <v>386</v>
      </c>
      <c r="C180" s="16">
        <v>4.0</v>
      </c>
      <c r="D180" s="16">
        <v>0.0</v>
      </c>
      <c r="E180" s="17" t="s">
        <v>387</v>
      </c>
      <c r="F180" s="18">
        <f t="shared" si="1"/>
        <v>3</v>
      </c>
      <c r="G180" s="19"/>
      <c r="H180" s="25">
        <v>5.0</v>
      </c>
      <c r="I180" s="21"/>
      <c r="J180" s="47"/>
      <c r="K180" s="23"/>
      <c r="L180" s="19"/>
      <c r="M180" s="25">
        <v>-3.0</v>
      </c>
      <c r="N180" s="21"/>
      <c r="O180" s="47"/>
      <c r="P180" s="23"/>
      <c r="Q180" s="19"/>
      <c r="R180" s="25">
        <v>5.0</v>
      </c>
      <c r="S180" s="21"/>
      <c r="T180" s="47"/>
      <c r="U180" s="23"/>
      <c r="V180" s="9"/>
      <c r="W180" s="9"/>
      <c r="X180" s="9"/>
      <c r="Y180" s="9"/>
      <c r="Z180" s="9"/>
    </row>
    <row r="181">
      <c r="A181" s="15" t="s">
        <v>371</v>
      </c>
      <c r="B181" s="16" t="s">
        <v>388</v>
      </c>
      <c r="C181" s="16">
        <v>4.0</v>
      </c>
      <c r="D181" s="16">
        <v>1.0</v>
      </c>
      <c r="E181" s="17" t="s">
        <v>389</v>
      </c>
      <c r="F181" s="18">
        <f t="shared" si="1"/>
        <v>0</v>
      </c>
      <c r="G181" s="19"/>
      <c r="H181" s="25">
        <v>5.0</v>
      </c>
      <c r="I181" s="21"/>
      <c r="J181" s="47"/>
      <c r="K181" s="23"/>
      <c r="L181" s="19"/>
      <c r="M181" s="25">
        <v>-3.0</v>
      </c>
      <c r="N181" s="21"/>
      <c r="O181" s="47"/>
      <c r="P181" s="23"/>
      <c r="Q181" s="19"/>
      <c r="R181" s="25">
        <v>3.0</v>
      </c>
      <c r="S181" s="21"/>
      <c r="T181" s="47"/>
      <c r="U181" s="23"/>
      <c r="V181" s="9"/>
      <c r="W181" s="9"/>
      <c r="X181" s="9"/>
      <c r="Y181" s="9"/>
      <c r="Z181" s="9"/>
    </row>
    <row r="182">
      <c r="A182" s="26" t="s">
        <v>371</v>
      </c>
      <c r="B182" s="27" t="s">
        <v>390</v>
      </c>
      <c r="C182" s="27">
        <v>3.0</v>
      </c>
      <c r="D182" s="27">
        <v>2.0</v>
      </c>
      <c r="E182" s="28" t="s">
        <v>391</v>
      </c>
      <c r="F182" s="18">
        <f t="shared" si="1"/>
        <v>0</v>
      </c>
      <c r="G182" s="19"/>
      <c r="H182" s="25">
        <v>5.0</v>
      </c>
      <c r="I182" s="21"/>
      <c r="J182" s="47"/>
      <c r="K182" s="23"/>
      <c r="L182" s="19"/>
      <c r="M182" s="25">
        <v>-5.0</v>
      </c>
      <c r="N182" s="21"/>
      <c r="O182" s="47"/>
      <c r="P182" s="23"/>
      <c r="Q182" s="19"/>
      <c r="R182" s="25">
        <v>5.0</v>
      </c>
      <c r="S182" s="21"/>
      <c r="T182" s="47"/>
      <c r="U182" s="23"/>
      <c r="V182" s="9"/>
      <c r="W182" s="9"/>
      <c r="X182" s="9"/>
      <c r="Y182" s="9"/>
      <c r="Z182" s="9"/>
    </row>
    <row r="183">
      <c r="A183" s="40" t="s">
        <v>392</v>
      </c>
      <c r="B183" s="41" t="s">
        <v>393</v>
      </c>
      <c r="C183" s="43">
        <v>0.0</v>
      </c>
      <c r="D183" s="41">
        <v>1.0</v>
      </c>
      <c r="E183" s="42" t="s">
        <v>394</v>
      </c>
      <c r="F183" s="18">
        <f t="shared" si="1"/>
        <v>2</v>
      </c>
      <c r="G183" s="19"/>
      <c r="H183" s="25">
        <v>2.0</v>
      </c>
      <c r="I183" s="21"/>
      <c r="J183" s="47"/>
      <c r="K183" s="23"/>
      <c r="L183" s="19"/>
      <c r="M183" s="25">
        <v>-3.0</v>
      </c>
      <c r="N183" s="21"/>
      <c r="O183" s="47"/>
      <c r="P183" s="23"/>
      <c r="Q183" s="19"/>
      <c r="R183" s="25">
        <v>4.0</v>
      </c>
      <c r="S183" s="21"/>
      <c r="T183" s="47"/>
      <c r="U183" s="23"/>
      <c r="V183" s="9"/>
      <c r="W183" s="9"/>
      <c r="X183" s="9"/>
      <c r="Y183" s="9"/>
      <c r="Z183" s="9"/>
    </row>
    <row r="184">
      <c r="A184" s="15" t="s">
        <v>392</v>
      </c>
      <c r="B184" s="16" t="s">
        <v>395</v>
      </c>
      <c r="C184" s="16">
        <v>1.0</v>
      </c>
      <c r="D184" s="16">
        <v>2.0</v>
      </c>
      <c r="E184" s="17" t="s">
        <v>396</v>
      </c>
      <c r="F184" s="18">
        <f t="shared" si="1"/>
        <v>-2</v>
      </c>
      <c r="G184" s="19"/>
      <c r="H184" s="25">
        <v>2.0</v>
      </c>
      <c r="I184" s="21"/>
      <c r="J184" s="47"/>
      <c r="K184" s="23"/>
      <c r="L184" s="19"/>
      <c r="M184" s="25">
        <v>-3.0</v>
      </c>
      <c r="N184" s="21"/>
      <c r="O184" s="47"/>
      <c r="P184" s="23"/>
      <c r="Q184" s="19"/>
      <c r="R184" s="25">
        <v>2.0</v>
      </c>
      <c r="S184" s="21"/>
      <c r="T184" s="47"/>
      <c r="U184" s="23"/>
      <c r="V184" s="9"/>
      <c r="W184" s="9"/>
      <c r="X184" s="9"/>
      <c r="Y184" s="9"/>
      <c r="Z184" s="9"/>
    </row>
    <row r="185">
      <c r="A185" s="15" t="s">
        <v>392</v>
      </c>
      <c r="B185" s="16" t="s">
        <v>397</v>
      </c>
      <c r="C185" s="16">
        <v>1.0</v>
      </c>
      <c r="D185" s="16">
        <v>1.0</v>
      </c>
      <c r="E185" s="17" t="s">
        <v>398</v>
      </c>
      <c r="F185" s="18">
        <f t="shared" si="1"/>
        <v>3</v>
      </c>
      <c r="G185" s="19"/>
      <c r="H185" s="25">
        <v>5.0</v>
      </c>
      <c r="I185" s="21"/>
      <c r="J185" s="47"/>
      <c r="K185" s="23"/>
      <c r="L185" s="19"/>
      <c r="M185" s="25">
        <v>-3.0</v>
      </c>
      <c r="N185" s="21"/>
      <c r="O185" s="47"/>
      <c r="P185" s="23"/>
      <c r="Q185" s="19"/>
      <c r="R185" s="25">
        <v>3.0</v>
      </c>
      <c r="S185" s="21"/>
      <c r="T185" s="47"/>
      <c r="U185" s="23"/>
      <c r="V185" s="9"/>
      <c r="W185" s="9"/>
      <c r="X185" s="9"/>
      <c r="Y185" s="9"/>
      <c r="Z185" s="9"/>
    </row>
    <row r="186">
      <c r="A186" s="15" t="s">
        <v>392</v>
      </c>
      <c r="B186" s="16" t="s">
        <v>399</v>
      </c>
      <c r="C186" s="16">
        <v>1.0</v>
      </c>
      <c r="D186" s="16">
        <v>1.0</v>
      </c>
      <c r="E186" s="17" t="s">
        <v>400</v>
      </c>
      <c r="F186" s="18">
        <f t="shared" si="1"/>
        <v>1</v>
      </c>
      <c r="G186" s="19"/>
      <c r="H186" s="25">
        <v>4.0</v>
      </c>
      <c r="I186" s="21"/>
      <c r="J186" s="47"/>
      <c r="K186" s="23"/>
      <c r="L186" s="19"/>
      <c r="M186" s="25">
        <v>-6.0</v>
      </c>
      <c r="N186" s="21"/>
      <c r="O186" s="47"/>
      <c r="P186" s="23"/>
      <c r="Q186" s="19"/>
      <c r="R186" s="25">
        <v>5.0</v>
      </c>
      <c r="S186" s="21"/>
      <c r="T186" s="47"/>
      <c r="U186" s="23"/>
      <c r="V186" s="9"/>
      <c r="W186" s="9"/>
      <c r="X186" s="9"/>
      <c r="Y186" s="9"/>
      <c r="Z186" s="9"/>
    </row>
    <row r="187">
      <c r="A187" s="15" t="s">
        <v>392</v>
      </c>
      <c r="B187" s="16" t="s">
        <v>401</v>
      </c>
      <c r="C187" s="16">
        <v>2.0</v>
      </c>
      <c r="D187" s="48">
        <v>0.0</v>
      </c>
      <c r="E187" s="17" t="s">
        <v>402</v>
      </c>
      <c r="F187" s="18">
        <f t="shared" si="1"/>
        <v>0</v>
      </c>
      <c r="G187" s="19"/>
      <c r="H187" s="25">
        <v>2.0</v>
      </c>
      <c r="I187" s="21"/>
      <c r="J187" s="47"/>
      <c r="K187" s="23"/>
      <c r="L187" s="19"/>
      <c r="M187" s="25">
        <v>-3.0</v>
      </c>
      <c r="N187" s="21"/>
      <c r="O187" s="47"/>
      <c r="P187" s="23"/>
      <c r="Q187" s="19"/>
      <c r="R187" s="25">
        <v>3.0</v>
      </c>
      <c r="S187" s="21"/>
      <c r="T187" s="47"/>
      <c r="U187" s="23"/>
      <c r="V187" s="9"/>
      <c r="W187" s="9"/>
      <c r="X187" s="9"/>
      <c r="Y187" s="9"/>
      <c r="Z187" s="9"/>
    </row>
    <row r="188">
      <c r="A188" s="15" t="s">
        <v>392</v>
      </c>
      <c r="B188" s="16" t="s">
        <v>403</v>
      </c>
      <c r="C188" s="16">
        <v>2.0</v>
      </c>
      <c r="D188" s="16">
        <v>1.0</v>
      </c>
      <c r="E188" s="17" t="s">
        <v>404</v>
      </c>
      <c r="F188" s="18">
        <f t="shared" si="1"/>
        <v>0</v>
      </c>
      <c r="G188" s="19"/>
      <c r="H188" s="25">
        <v>2.0</v>
      </c>
      <c r="I188" s="21"/>
      <c r="J188" s="47"/>
      <c r="K188" s="23"/>
      <c r="L188" s="19"/>
      <c r="M188" s="25">
        <v>-3.0</v>
      </c>
      <c r="N188" s="21"/>
      <c r="O188" s="47"/>
      <c r="P188" s="23"/>
      <c r="Q188" s="19"/>
      <c r="R188" s="25">
        <v>4.0</v>
      </c>
      <c r="S188" s="21"/>
      <c r="T188" s="47"/>
      <c r="U188" s="23"/>
      <c r="V188" s="9"/>
      <c r="W188" s="9"/>
      <c r="X188" s="9"/>
      <c r="Y188" s="9"/>
      <c r="Z188" s="9"/>
    </row>
    <row r="189">
      <c r="A189" s="15" t="s">
        <v>392</v>
      </c>
      <c r="B189" s="16" t="s">
        <v>405</v>
      </c>
      <c r="C189" s="16">
        <v>3.0</v>
      </c>
      <c r="D189" s="16">
        <v>1.0</v>
      </c>
      <c r="E189" s="17" t="s">
        <v>406</v>
      </c>
      <c r="F189" s="18">
        <f t="shared" si="1"/>
        <v>-2</v>
      </c>
      <c r="G189" s="19"/>
      <c r="H189" s="25">
        <v>4.0</v>
      </c>
      <c r="I189" s="21"/>
      <c r="J189" s="47"/>
      <c r="K189" s="23"/>
      <c r="L189" s="19"/>
      <c r="M189" s="25">
        <v>-5.0</v>
      </c>
      <c r="N189" s="21"/>
      <c r="O189" s="47"/>
      <c r="P189" s="23"/>
      <c r="Q189" s="19"/>
      <c r="R189" s="25">
        <v>3.0</v>
      </c>
      <c r="S189" s="21"/>
      <c r="T189" s="47"/>
      <c r="U189" s="23"/>
      <c r="V189" s="9"/>
      <c r="W189" s="9"/>
      <c r="X189" s="9"/>
      <c r="Y189" s="9"/>
      <c r="Z189" s="9"/>
    </row>
    <row r="190">
      <c r="A190" s="15" t="s">
        <v>392</v>
      </c>
      <c r="B190" s="16" t="s">
        <v>407</v>
      </c>
      <c r="C190" s="16">
        <v>3.0</v>
      </c>
      <c r="D190" s="16">
        <v>1.0</v>
      </c>
      <c r="E190" s="17" t="s">
        <v>408</v>
      </c>
      <c r="F190" s="18">
        <f t="shared" si="1"/>
        <v>0</v>
      </c>
      <c r="G190" s="19"/>
      <c r="H190" s="25">
        <v>2.0</v>
      </c>
      <c r="I190" s="21"/>
      <c r="J190" s="47"/>
      <c r="K190" s="23"/>
      <c r="L190" s="19"/>
      <c r="M190" s="25">
        <v>-1.0</v>
      </c>
      <c r="N190" s="21"/>
      <c r="O190" s="47"/>
      <c r="P190" s="23"/>
      <c r="Q190" s="19"/>
      <c r="R190" s="25">
        <v>3.0</v>
      </c>
      <c r="S190" s="21"/>
      <c r="T190" s="47"/>
      <c r="U190" s="23"/>
      <c r="V190" s="9"/>
      <c r="W190" s="9"/>
      <c r="X190" s="9"/>
      <c r="Y190" s="9"/>
      <c r="Z190" s="9"/>
    </row>
    <row r="191">
      <c r="A191" s="15" t="s">
        <v>392</v>
      </c>
      <c r="B191" s="16" t="s">
        <v>409</v>
      </c>
      <c r="C191" s="16">
        <v>3.0</v>
      </c>
      <c r="D191" s="16">
        <v>2.0</v>
      </c>
      <c r="E191" s="17" t="s">
        <v>410</v>
      </c>
      <c r="F191" s="18">
        <f t="shared" si="1"/>
        <v>-3</v>
      </c>
      <c r="G191" s="19"/>
      <c r="H191" s="25">
        <v>1.0</v>
      </c>
      <c r="I191" s="21"/>
      <c r="J191" s="47"/>
      <c r="K191" s="23"/>
      <c r="L191" s="19"/>
      <c r="M191" s="25">
        <v>-3.0</v>
      </c>
      <c r="N191" s="21"/>
      <c r="O191" s="47"/>
      <c r="P191" s="23"/>
      <c r="Q191" s="19"/>
      <c r="R191" s="25">
        <v>4.0</v>
      </c>
      <c r="S191" s="21"/>
      <c r="T191" s="47"/>
      <c r="U191" s="23"/>
      <c r="V191" s="9"/>
      <c r="W191" s="9"/>
      <c r="X191" s="9"/>
      <c r="Y191" s="9"/>
      <c r="Z191" s="9"/>
    </row>
    <row r="192">
      <c r="A192" s="26" t="s">
        <v>392</v>
      </c>
      <c r="B192" s="27" t="s">
        <v>411</v>
      </c>
      <c r="C192" s="27">
        <v>3.0</v>
      </c>
      <c r="D192" s="27">
        <v>2.0</v>
      </c>
      <c r="E192" s="28" t="s">
        <v>412</v>
      </c>
      <c r="F192" s="18">
        <f t="shared" si="1"/>
        <v>0</v>
      </c>
      <c r="G192" s="19"/>
      <c r="H192" s="25">
        <v>5.0</v>
      </c>
      <c r="I192" s="21"/>
      <c r="J192" s="47"/>
      <c r="K192" s="23"/>
      <c r="L192" s="19"/>
      <c r="M192" s="25">
        <v>-5.0</v>
      </c>
      <c r="N192" s="21"/>
      <c r="O192" s="47"/>
      <c r="P192" s="23"/>
      <c r="Q192" s="19"/>
      <c r="R192" s="25">
        <v>5.0</v>
      </c>
      <c r="S192" s="21"/>
      <c r="T192" s="47"/>
      <c r="U192" s="23"/>
      <c r="V192" s="9"/>
      <c r="W192" s="9"/>
      <c r="X192" s="9"/>
      <c r="Y192" s="9"/>
      <c r="Z192" s="9"/>
    </row>
    <row r="193">
      <c r="A193" s="15" t="s">
        <v>413</v>
      </c>
      <c r="B193" s="16" t="s">
        <v>414</v>
      </c>
      <c r="C193" s="16">
        <v>0.0</v>
      </c>
      <c r="D193" s="16">
        <v>0.0</v>
      </c>
      <c r="E193" s="17" t="s">
        <v>415</v>
      </c>
      <c r="F193" s="18">
        <f t="shared" si="1"/>
        <v>3</v>
      </c>
      <c r="G193" s="19"/>
      <c r="H193" s="25">
        <v>2.0</v>
      </c>
      <c r="I193" s="21"/>
      <c r="J193" s="47"/>
      <c r="K193" s="23"/>
      <c r="L193" s="19"/>
      <c r="M193" s="25">
        <v>-3.0</v>
      </c>
      <c r="N193" s="21"/>
      <c r="O193" s="47"/>
      <c r="P193" s="23"/>
      <c r="Q193" s="19"/>
      <c r="R193" s="25">
        <v>4.0</v>
      </c>
      <c r="S193" s="21"/>
      <c r="T193" s="47"/>
      <c r="U193" s="23"/>
      <c r="V193" s="9"/>
      <c r="W193" s="9"/>
      <c r="X193" s="9"/>
      <c r="Y193" s="9"/>
      <c r="Z193" s="9"/>
    </row>
    <row r="194">
      <c r="A194" s="15" t="s">
        <v>413</v>
      </c>
      <c r="B194" s="16" t="s">
        <v>416</v>
      </c>
      <c r="C194" s="16">
        <v>1.0</v>
      </c>
      <c r="D194" s="16">
        <v>1.0</v>
      </c>
      <c r="E194" s="17" t="s">
        <v>417</v>
      </c>
      <c r="F194" s="18">
        <f t="shared" si="1"/>
        <v>1</v>
      </c>
      <c r="G194" s="19"/>
      <c r="H194" s="25">
        <v>2.0</v>
      </c>
      <c r="I194" s="21"/>
      <c r="J194" s="47"/>
      <c r="K194" s="23"/>
      <c r="L194" s="19"/>
      <c r="M194" s="25">
        <v>-3.0</v>
      </c>
      <c r="N194" s="21"/>
      <c r="O194" s="47"/>
      <c r="P194" s="23"/>
      <c r="Q194" s="19"/>
      <c r="R194" s="25">
        <v>4.0</v>
      </c>
      <c r="S194" s="21"/>
      <c r="T194" s="47"/>
      <c r="U194" s="23"/>
      <c r="V194" s="9"/>
      <c r="W194" s="9"/>
      <c r="X194" s="9"/>
      <c r="Y194" s="9"/>
      <c r="Z194" s="9"/>
    </row>
    <row r="195">
      <c r="A195" s="15" t="s">
        <v>413</v>
      </c>
      <c r="B195" s="16" t="s">
        <v>418</v>
      </c>
      <c r="C195" s="16">
        <v>2.0</v>
      </c>
      <c r="D195" s="16">
        <v>1.0</v>
      </c>
      <c r="E195" s="17" t="s">
        <v>419</v>
      </c>
      <c r="F195" s="18">
        <f t="shared" si="1"/>
        <v>-1</v>
      </c>
      <c r="G195" s="19"/>
      <c r="H195" s="25">
        <v>2.0</v>
      </c>
      <c r="I195" s="21"/>
      <c r="J195" s="47"/>
      <c r="K195" s="23"/>
      <c r="L195" s="19"/>
      <c r="M195" s="25">
        <v>-3.0</v>
      </c>
      <c r="N195" s="21"/>
      <c r="O195" s="47"/>
      <c r="P195" s="23"/>
      <c r="Q195" s="19"/>
      <c r="R195" s="25">
        <v>3.0</v>
      </c>
      <c r="S195" s="21"/>
      <c r="T195" s="47"/>
      <c r="U195" s="23"/>
      <c r="V195" s="9"/>
      <c r="W195" s="9"/>
      <c r="X195" s="9"/>
      <c r="Y195" s="9"/>
      <c r="Z195" s="9"/>
    </row>
    <row r="196">
      <c r="A196" s="15" t="s">
        <v>413</v>
      </c>
      <c r="B196" s="16" t="s">
        <v>420</v>
      </c>
      <c r="C196" s="16">
        <v>2.0</v>
      </c>
      <c r="D196" s="48">
        <v>0.0</v>
      </c>
      <c r="E196" s="17" t="s">
        <v>421</v>
      </c>
      <c r="F196" s="18">
        <f t="shared" si="1"/>
        <v>0</v>
      </c>
      <c r="G196" s="19"/>
      <c r="H196" s="25">
        <v>2.0</v>
      </c>
      <c r="I196" s="21"/>
      <c r="J196" s="47"/>
      <c r="K196" s="23"/>
      <c r="L196" s="19"/>
      <c r="M196" s="25">
        <v>-3.0</v>
      </c>
      <c r="N196" s="21"/>
      <c r="O196" s="47"/>
      <c r="P196" s="23"/>
      <c r="Q196" s="19"/>
      <c r="R196" s="25">
        <v>3.0</v>
      </c>
      <c r="S196" s="21"/>
      <c r="T196" s="47"/>
      <c r="U196" s="23"/>
      <c r="V196" s="9"/>
      <c r="W196" s="9"/>
      <c r="X196" s="9"/>
      <c r="Y196" s="9"/>
      <c r="Z196" s="9"/>
    </row>
    <row r="197">
      <c r="A197" s="15" t="s">
        <v>413</v>
      </c>
      <c r="B197" s="16" t="s">
        <v>422</v>
      </c>
      <c r="C197" s="16">
        <v>2.0</v>
      </c>
      <c r="D197" s="16">
        <v>1.0</v>
      </c>
      <c r="E197" s="17" t="s">
        <v>423</v>
      </c>
      <c r="F197" s="18">
        <f t="shared" si="1"/>
        <v>-1</v>
      </c>
      <c r="G197" s="19"/>
      <c r="H197" s="25">
        <v>2.0</v>
      </c>
      <c r="I197" s="21"/>
      <c r="J197" s="47"/>
      <c r="K197" s="23"/>
      <c r="L197" s="19"/>
      <c r="M197" s="25">
        <v>-3.0</v>
      </c>
      <c r="N197" s="21"/>
      <c r="O197" s="47"/>
      <c r="P197" s="23"/>
      <c r="Q197" s="19"/>
      <c r="R197" s="25">
        <v>3.0</v>
      </c>
      <c r="S197" s="21"/>
      <c r="T197" s="47"/>
      <c r="U197" s="23"/>
      <c r="V197" s="9"/>
      <c r="W197" s="9"/>
      <c r="X197" s="9"/>
      <c r="Y197" s="9"/>
      <c r="Z197" s="9"/>
    </row>
    <row r="198">
      <c r="A198" s="15" t="s">
        <v>413</v>
      </c>
      <c r="B198" s="16" t="s">
        <v>424</v>
      </c>
      <c r="C198" s="16">
        <v>3.0</v>
      </c>
      <c r="D198" s="16">
        <v>1.0</v>
      </c>
      <c r="E198" s="17" t="s">
        <v>425</v>
      </c>
      <c r="F198" s="18">
        <f t="shared" si="1"/>
        <v>-4</v>
      </c>
      <c r="G198" s="19"/>
      <c r="H198" s="25">
        <v>2.0</v>
      </c>
      <c r="I198" s="21"/>
      <c r="J198" s="47"/>
      <c r="K198" s="23"/>
      <c r="L198" s="19"/>
      <c r="M198" s="25">
        <v>-3.0</v>
      </c>
      <c r="N198" s="21"/>
      <c r="O198" s="47"/>
      <c r="P198" s="23"/>
      <c r="Q198" s="19"/>
      <c r="R198" s="25">
        <v>1.0</v>
      </c>
      <c r="S198" s="21"/>
      <c r="T198" s="47"/>
      <c r="U198" s="23"/>
      <c r="V198" s="9"/>
      <c r="W198" s="9"/>
      <c r="X198" s="9"/>
      <c r="Y198" s="9"/>
      <c r="Z198" s="9"/>
    </row>
    <row r="199">
      <c r="A199" s="15" t="s">
        <v>413</v>
      </c>
      <c r="B199" s="16" t="s">
        <v>426</v>
      </c>
      <c r="C199" s="16">
        <v>3.0</v>
      </c>
      <c r="D199" s="16">
        <v>1.0</v>
      </c>
      <c r="E199" s="17" t="s">
        <v>427</v>
      </c>
      <c r="F199" s="18">
        <f t="shared" si="1"/>
        <v>1</v>
      </c>
      <c r="G199" s="19"/>
      <c r="H199" s="25">
        <v>5.0</v>
      </c>
      <c r="I199" s="21"/>
      <c r="J199" s="47"/>
      <c r="K199" s="23"/>
      <c r="L199" s="19"/>
      <c r="M199" s="25">
        <v>-3.0</v>
      </c>
      <c r="N199" s="21"/>
      <c r="O199" s="47"/>
      <c r="P199" s="23"/>
      <c r="Q199" s="19"/>
      <c r="R199" s="25">
        <v>3.0</v>
      </c>
      <c r="S199" s="21"/>
      <c r="T199" s="47"/>
      <c r="U199" s="23"/>
      <c r="V199" s="9"/>
      <c r="W199" s="9"/>
      <c r="X199" s="9"/>
      <c r="Y199" s="9"/>
      <c r="Z199" s="9"/>
    </row>
    <row r="200">
      <c r="A200" s="15" t="s">
        <v>413</v>
      </c>
      <c r="B200" s="16" t="s">
        <v>428</v>
      </c>
      <c r="C200" s="16">
        <v>3.0</v>
      </c>
      <c r="D200" s="48">
        <v>0.0</v>
      </c>
      <c r="E200" s="17" t="s">
        <v>429</v>
      </c>
      <c r="F200" s="18">
        <f t="shared" si="1"/>
        <v>-2</v>
      </c>
      <c r="G200" s="19"/>
      <c r="H200" s="25">
        <v>2.0</v>
      </c>
      <c r="I200" s="21"/>
      <c r="J200" s="47"/>
      <c r="K200" s="23"/>
      <c r="L200" s="19"/>
      <c r="M200" s="25">
        <v>-3.0</v>
      </c>
      <c r="N200" s="21"/>
      <c r="O200" s="47"/>
      <c r="P200" s="23"/>
      <c r="Q200" s="19"/>
      <c r="R200" s="25">
        <v>2.0</v>
      </c>
      <c r="S200" s="21"/>
      <c r="T200" s="47"/>
      <c r="U200" s="23"/>
      <c r="V200" s="9"/>
      <c r="W200" s="9"/>
      <c r="X200" s="9"/>
      <c r="Y200" s="9"/>
      <c r="Z200" s="9"/>
    </row>
    <row r="201">
      <c r="A201" s="15" t="s">
        <v>413</v>
      </c>
      <c r="B201" s="16" t="s">
        <v>430</v>
      </c>
      <c r="C201" s="16">
        <v>3.0</v>
      </c>
      <c r="D201" s="16">
        <v>1.0</v>
      </c>
      <c r="E201" s="17" t="s">
        <v>431</v>
      </c>
      <c r="F201" s="18">
        <f t="shared" si="1"/>
        <v>-5</v>
      </c>
      <c r="G201" s="19"/>
      <c r="H201" s="25">
        <v>1.0</v>
      </c>
      <c r="I201" s="21"/>
      <c r="J201" s="47"/>
      <c r="K201" s="23"/>
      <c r="L201" s="19"/>
      <c r="M201" s="25">
        <v>-5.0</v>
      </c>
      <c r="N201" s="21"/>
      <c r="O201" s="47"/>
      <c r="P201" s="23"/>
      <c r="Q201" s="19"/>
      <c r="R201" s="25">
        <v>3.0</v>
      </c>
      <c r="S201" s="21"/>
      <c r="T201" s="47"/>
      <c r="U201" s="23"/>
      <c r="V201" s="9"/>
      <c r="W201" s="9"/>
      <c r="X201" s="9"/>
      <c r="Y201" s="9"/>
      <c r="Z201" s="9"/>
    </row>
    <row r="202">
      <c r="A202" s="26" t="s">
        <v>413</v>
      </c>
      <c r="B202" s="27" t="s">
        <v>432</v>
      </c>
      <c r="C202" s="27">
        <v>3.0</v>
      </c>
      <c r="D202" s="27">
        <v>2.0</v>
      </c>
      <c r="E202" s="28" t="s">
        <v>433</v>
      </c>
      <c r="F202" s="18">
        <f t="shared" si="1"/>
        <v>0</v>
      </c>
      <c r="G202" s="19"/>
      <c r="H202" s="25">
        <v>5.0</v>
      </c>
      <c r="I202" s="21"/>
      <c r="J202" s="47"/>
      <c r="K202" s="23"/>
      <c r="L202" s="19"/>
      <c r="M202" s="25">
        <v>-5.0</v>
      </c>
      <c r="N202" s="21"/>
      <c r="O202" s="47"/>
      <c r="P202" s="23"/>
      <c r="Q202" s="19"/>
      <c r="R202" s="25">
        <v>5.0</v>
      </c>
      <c r="S202" s="21"/>
      <c r="T202" s="47"/>
      <c r="U202" s="23"/>
      <c r="V202" s="9"/>
      <c r="W202" s="9"/>
      <c r="X202" s="9"/>
      <c r="Y202" s="9"/>
      <c r="Z202" s="9"/>
    </row>
  </sheetData>
  <autoFilter ref="$A$1:$E$202"/>
  <mergeCells count="4">
    <mergeCell ref="F1:F2"/>
    <mergeCell ref="G1:K1"/>
    <mergeCell ref="L1:P1"/>
    <mergeCell ref="Q1:U1"/>
  </mergeCells>
  <conditionalFormatting sqref="G1:U202">
    <cfRule type="containsBlanks" dxfId="0" priority="1">
      <formula>LEN(TRIM(G1))=0</formula>
    </cfRule>
  </conditionalFormatting>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3.5"/>
    <col customWidth="1" min="2" max="2" width="19.88"/>
    <col customWidth="1" min="3" max="3" width="3.0"/>
    <col customWidth="1" min="4" max="4" width="2.88"/>
    <col customWidth="1" min="5" max="5" width="5.5"/>
    <col customWidth="1" min="6" max="6" width="55.25"/>
    <col customWidth="1" min="7" max="7" width="4.75"/>
    <col customWidth="1" min="8" max="26" width="7.63"/>
  </cols>
  <sheetData>
    <row r="1">
      <c r="A1" s="49" t="s">
        <v>434</v>
      </c>
      <c r="B1" s="49" t="s">
        <v>435</v>
      </c>
      <c r="C1" s="49" t="s">
        <v>436</v>
      </c>
      <c r="D1" s="49" t="s">
        <v>437</v>
      </c>
      <c r="E1" s="49" t="s">
        <v>438</v>
      </c>
      <c r="F1" s="50" t="s">
        <v>439</v>
      </c>
      <c r="G1" s="51" t="s">
        <v>5</v>
      </c>
      <c r="H1" s="6" t="s">
        <v>6</v>
      </c>
      <c r="I1" s="7"/>
      <c r="J1" s="7"/>
      <c r="K1" s="7"/>
      <c r="L1" s="8"/>
      <c r="M1" s="6" t="s">
        <v>440</v>
      </c>
      <c r="N1" s="7"/>
      <c r="O1" s="7"/>
      <c r="P1" s="7"/>
      <c r="Q1" s="8"/>
      <c r="R1" s="6" t="s">
        <v>8</v>
      </c>
      <c r="S1" s="7"/>
      <c r="T1" s="7"/>
      <c r="U1" s="7"/>
      <c r="V1" s="8"/>
      <c r="W1" s="9"/>
      <c r="X1" s="9"/>
      <c r="Y1" s="9"/>
      <c r="Z1" s="9"/>
    </row>
    <row r="2">
      <c r="A2" s="52"/>
      <c r="B2" s="52"/>
      <c r="C2" s="52"/>
      <c r="D2" s="52"/>
      <c r="E2" s="52"/>
      <c r="F2" s="52"/>
      <c r="G2" s="53"/>
      <c r="H2" s="10" t="s">
        <v>9</v>
      </c>
      <c r="I2" s="11" t="s">
        <v>10</v>
      </c>
      <c r="J2" s="12" t="s">
        <v>11</v>
      </c>
      <c r="K2" s="13" t="s">
        <v>12</v>
      </c>
      <c r="L2" s="14" t="s">
        <v>13</v>
      </c>
      <c r="M2" s="10" t="s">
        <v>9</v>
      </c>
      <c r="N2" s="11" t="s">
        <v>10</v>
      </c>
      <c r="O2" s="12" t="s">
        <v>11</v>
      </c>
      <c r="P2" s="13" t="s">
        <v>12</v>
      </c>
      <c r="Q2" s="14" t="s">
        <v>13</v>
      </c>
      <c r="R2" s="10" t="s">
        <v>9</v>
      </c>
      <c r="S2" s="11" t="s">
        <v>10</v>
      </c>
      <c r="T2" s="12" t="s">
        <v>11</v>
      </c>
      <c r="U2" s="13" t="s">
        <v>12</v>
      </c>
      <c r="V2" s="14" t="s">
        <v>13</v>
      </c>
      <c r="W2" s="9"/>
      <c r="X2" s="9"/>
      <c r="Y2" s="9"/>
      <c r="Z2" s="9"/>
    </row>
    <row r="3">
      <c r="A3" s="54" t="s">
        <v>441</v>
      </c>
      <c r="B3" s="55" t="s">
        <v>442</v>
      </c>
      <c r="C3" s="55">
        <v>1.0</v>
      </c>
      <c r="D3" s="55">
        <v>2.0</v>
      </c>
      <c r="E3" s="55" t="s">
        <v>443</v>
      </c>
      <c r="F3" s="56" t="s">
        <v>444</v>
      </c>
      <c r="G3" s="57">
        <f t="shared" ref="G3:G107" si="1">IFERROR(SUM(H3:V3)/(COUNTA(H3:V3)/3),0)
-
IF(C3 = 3, 11 , C3*C3)</f>
        <v>4.333333333</v>
      </c>
      <c r="H3" s="19"/>
      <c r="I3" s="20">
        <v>3.0</v>
      </c>
      <c r="J3" s="44">
        <v>3.0</v>
      </c>
      <c r="K3" s="47"/>
      <c r="L3" s="23">
        <v>3.0</v>
      </c>
      <c r="M3" s="19"/>
      <c r="N3" s="20">
        <v>0.0</v>
      </c>
      <c r="O3" s="44">
        <v>0.0</v>
      </c>
      <c r="P3" s="47"/>
      <c r="Q3" s="23">
        <v>0.0</v>
      </c>
      <c r="R3" s="19"/>
      <c r="S3" s="20">
        <v>3.0</v>
      </c>
      <c r="T3" s="44">
        <v>2.0</v>
      </c>
      <c r="U3" s="47"/>
      <c r="V3" s="23">
        <v>2.0</v>
      </c>
      <c r="W3" s="9"/>
      <c r="X3" s="9"/>
      <c r="Y3" s="9"/>
      <c r="Z3" s="9"/>
    </row>
    <row r="4">
      <c r="A4" s="58" t="s">
        <v>441</v>
      </c>
      <c r="B4" s="9" t="s">
        <v>445</v>
      </c>
      <c r="C4" s="9">
        <v>1.0</v>
      </c>
      <c r="D4" s="9">
        <v>2.0</v>
      </c>
      <c r="E4" s="9" t="s">
        <v>443</v>
      </c>
      <c r="F4" s="59" t="s">
        <v>446</v>
      </c>
      <c r="G4" s="57">
        <f t="shared" si="1"/>
        <v>5.333333333</v>
      </c>
      <c r="H4" s="19"/>
      <c r="I4" s="20">
        <v>4.0</v>
      </c>
      <c r="J4" s="44">
        <v>4.0</v>
      </c>
      <c r="K4" s="47"/>
      <c r="L4" s="23">
        <v>4.0</v>
      </c>
      <c r="M4" s="19"/>
      <c r="N4" s="20">
        <v>-1.0</v>
      </c>
      <c r="O4" s="44">
        <v>-4.0</v>
      </c>
      <c r="P4" s="47"/>
      <c r="Q4" s="23">
        <v>-3.0</v>
      </c>
      <c r="R4" s="19"/>
      <c r="S4" s="20">
        <v>5.0</v>
      </c>
      <c r="T4" s="44">
        <v>5.0</v>
      </c>
      <c r="U4" s="47"/>
      <c r="V4" s="23">
        <v>5.0</v>
      </c>
      <c r="W4" s="9"/>
      <c r="X4" s="9"/>
      <c r="Y4" s="9"/>
      <c r="Z4" s="9"/>
    </row>
    <row r="5">
      <c r="A5" s="58" t="s">
        <v>441</v>
      </c>
      <c r="B5" s="9" t="s">
        <v>447</v>
      </c>
      <c r="C5" s="9">
        <v>2.0</v>
      </c>
      <c r="D5" s="9">
        <v>1.0</v>
      </c>
      <c r="E5" s="9" t="s">
        <v>443</v>
      </c>
      <c r="F5" s="59" t="s">
        <v>448</v>
      </c>
      <c r="G5" s="57">
        <f t="shared" si="1"/>
        <v>2.666666667</v>
      </c>
      <c r="H5" s="19"/>
      <c r="I5" s="20">
        <v>4.0</v>
      </c>
      <c r="J5" s="44">
        <v>4.0</v>
      </c>
      <c r="K5" s="47"/>
      <c r="L5" s="23">
        <v>4.0</v>
      </c>
      <c r="M5" s="19"/>
      <c r="N5" s="20">
        <v>-1.0</v>
      </c>
      <c r="O5" s="44">
        <v>-1.0</v>
      </c>
      <c r="P5" s="47"/>
      <c r="Q5" s="23">
        <v>-1.0</v>
      </c>
      <c r="R5" s="19"/>
      <c r="S5" s="20">
        <v>4.0</v>
      </c>
      <c r="T5" s="44">
        <v>3.0</v>
      </c>
      <c r="U5" s="47"/>
      <c r="V5" s="23">
        <v>4.0</v>
      </c>
      <c r="W5" s="9"/>
      <c r="X5" s="9"/>
      <c r="Y5" s="9"/>
      <c r="Z5" s="9"/>
    </row>
    <row r="6">
      <c r="A6" s="58" t="s">
        <v>441</v>
      </c>
      <c r="B6" s="9" t="s">
        <v>449</v>
      </c>
      <c r="C6" s="9">
        <v>2.0</v>
      </c>
      <c r="D6" s="9">
        <v>1.0</v>
      </c>
      <c r="E6" s="9" t="s">
        <v>443</v>
      </c>
      <c r="F6" s="59" t="s">
        <v>450</v>
      </c>
      <c r="G6" s="57">
        <f t="shared" si="1"/>
        <v>0</v>
      </c>
      <c r="H6" s="19"/>
      <c r="I6" s="20">
        <v>1.0</v>
      </c>
      <c r="J6" s="21"/>
      <c r="K6" s="47"/>
      <c r="L6" s="23">
        <v>1.0</v>
      </c>
      <c r="M6" s="19"/>
      <c r="N6" s="20">
        <v>-1.0</v>
      </c>
      <c r="O6" s="21"/>
      <c r="P6" s="47"/>
      <c r="Q6" s="23">
        <v>-1.0</v>
      </c>
      <c r="R6" s="19"/>
      <c r="S6" s="20">
        <v>4.0</v>
      </c>
      <c r="T6" s="21"/>
      <c r="U6" s="47"/>
      <c r="V6" s="23">
        <v>4.0</v>
      </c>
      <c r="W6" s="9"/>
      <c r="X6" s="9"/>
      <c r="Y6" s="9"/>
      <c r="Z6" s="9"/>
    </row>
    <row r="7">
      <c r="A7" s="60" t="s">
        <v>441</v>
      </c>
      <c r="B7" s="61" t="s">
        <v>451</v>
      </c>
      <c r="C7" s="61">
        <v>3.0</v>
      </c>
      <c r="D7" s="61">
        <v>1.0</v>
      </c>
      <c r="E7" s="61" t="s">
        <v>443</v>
      </c>
      <c r="F7" s="62" t="s">
        <v>452</v>
      </c>
      <c r="G7" s="57">
        <f t="shared" si="1"/>
        <v>-2</v>
      </c>
      <c r="H7" s="19"/>
      <c r="I7" s="20">
        <v>5.0</v>
      </c>
      <c r="J7" s="21"/>
      <c r="K7" s="47"/>
      <c r="L7" s="23">
        <v>5.0</v>
      </c>
      <c r="M7" s="19"/>
      <c r="N7" s="20">
        <v>-1.0</v>
      </c>
      <c r="O7" s="21"/>
      <c r="P7" s="47"/>
      <c r="Q7" s="23">
        <v>-1.0</v>
      </c>
      <c r="R7" s="19"/>
      <c r="S7" s="20">
        <v>5.0</v>
      </c>
      <c r="T7" s="21"/>
      <c r="U7" s="47"/>
      <c r="V7" s="23">
        <v>5.0</v>
      </c>
      <c r="W7" s="9"/>
      <c r="X7" s="9"/>
      <c r="Y7" s="9"/>
      <c r="Z7" s="9"/>
    </row>
    <row r="8">
      <c r="A8" s="54" t="s">
        <v>453</v>
      </c>
      <c r="B8" s="55" t="s">
        <v>454</v>
      </c>
      <c r="C8" s="55">
        <v>1.0</v>
      </c>
      <c r="D8" s="55">
        <v>2.0</v>
      </c>
      <c r="E8" s="55" t="s">
        <v>455</v>
      </c>
      <c r="F8" s="56" t="s">
        <v>456</v>
      </c>
      <c r="G8" s="57">
        <f t="shared" si="1"/>
        <v>0.5</v>
      </c>
      <c r="H8" s="19"/>
      <c r="I8" s="20">
        <v>1.0</v>
      </c>
      <c r="J8" s="21"/>
      <c r="K8" s="47"/>
      <c r="L8" s="23">
        <v>1.0</v>
      </c>
      <c r="M8" s="19"/>
      <c r="N8" s="20">
        <v>-2.0</v>
      </c>
      <c r="O8" s="21"/>
      <c r="P8" s="47"/>
      <c r="Q8" s="23">
        <v>-3.0</v>
      </c>
      <c r="R8" s="19"/>
      <c r="S8" s="20">
        <v>3.0</v>
      </c>
      <c r="T8" s="21"/>
      <c r="U8" s="47"/>
      <c r="V8" s="23">
        <v>3.0</v>
      </c>
      <c r="W8" s="9"/>
      <c r="X8" s="9"/>
      <c r="Y8" s="9"/>
      <c r="Z8" s="9"/>
    </row>
    <row r="9">
      <c r="A9" s="58" t="s">
        <v>453</v>
      </c>
      <c r="B9" s="9" t="s">
        <v>457</v>
      </c>
      <c r="C9" s="9">
        <v>2.0</v>
      </c>
      <c r="D9" s="9">
        <v>1.0</v>
      </c>
      <c r="E9" s="9" t="s">
        <v>455</v>
      </c>
      <c r="F9" s="59" t="s">
        <v>458</v>
      </c>
      <c r="G9" s="57">
        <f t="shared" si="1"/>
        <v>-0.5</v>
      </c>
      <c r="H9" s="19"/>
      <c r="I9" s="20">
        <v>4.0</v>
      </c>
      <c r="J9" s="21"/>
      <c r="K9" s="47"/>
      <c r="L9" s="23">
        <v>4.0</v>
      </c>
      <c r="M9" s="19"/>
      <c r="N9" s="20">
        <v>-3.0</v>
      </c>
      <c r="O9" s="21"/>
      <c r="P9" s="47"/>
      <c r="Q9" s="23">
        <v>-2.0</v>
      </c>
      <c r="R9" s="19"/>
      <c r="S9" s="20">
        <v>3.0</v>
      </c>
      <c r="T9" s="21"/>
      <c r="U9" s="47"/>
      <c r="V9" s="23">
        <v>1.0</v>
      </c>
      <c r="W9" s="9"/>
      <c r="X9" s="9"/>
      <c r="Y9" s="9"/>
      <c r="Z9" s="9"/>
    </row>
    <row r="10">
      <c r="A10" s="58" t="s">
        <v>453</v>
      </c>
      <c r="B10" s="9" t="s">
        <v>459</v>
      </c>
      <c r="C10" s="9">
        <v>2.0</v>
      </c>
      <c r="D10" s="9">
        <v>1.0</v>
      </c>
      <c r="E10" s="9" t="s">
        <v>455</v>
      </c>
      <c r="F10" s="59" t="s">
        <v>460</v>
      </c>
      <c r="G10" s="57">
        <f t="shared" si="1"/>
        <v>1.5</v>
      </c>
      <c r="H10" s="19"/>
      <c r="I10" s="20">
        <v>2.0</v>
      </c>
      <c r="J10" s="21"/>
      <c r="K10" s="47"/>
      <c r="L10" s="23">
        <v>2.0</v>
      </c>
      <c r="M10" s="19"/>
      <c r="N10" s="20">
        <v>-2.0</v>
      </c>
      <c r="O10" s="21"/>
      <c r="P10" s="47"/>
      <c r="Q10" s="23">
        <v>-1.0</v>
      </c>
      <c r="R10" s="19"/>
      <c r="S10" s="20">
        <v>5.0</v>
      </c>
      <c r="T10" s="21"/>
      <c r="U10" s="47"/>
      <c r="V10" s="23">
        <v>5.0</v>
      </c>
      <c r="W10" s="9"/>
      <c r="X10" s="9"/>
      <c r="Y10" s="9"/>
      <c r="Z10" s="9"/>
    </row>
    <row r="11">
      <c r="A11" s="58" t="s">
        <v>453</v>
      </c>
      <c r="B11" s="9" t="s">
        <v>461</v>
      </c>
      <c r="C11" s="9">
        <v>1.0</v>
      </c>
      <c r="D11" s="9">
        <v>2.0</v>
      </c>
      <c r="E11" s="9" t="s">
        <v>455</v>
      </c>
      <c r="F11" s="59" t="s">
        <v>462</v>
      </c>
      <c r="G11" s="57">
        <f t="shared" si="1"/>
        <v>1.5</v>
      </c>
      <c r="H11" s="19"/>
      <c r="I11" s="20">
        <v>4.0</v>
      </c>
      <c r="J11" s="21"/>
      <c r="K11" s="47"/>
      <c r="L11" s="23">
        <v>4.0</v>
      </c>
      <c r="M11" s="19"/>
      <c r="N11" s="20">
        <v>-3.0</v>
      </c>
      <c r="O11" s="21"/>
      <c r="P11" s="47"/>
      <c r="Q11" s="23">
        <v>-3.0</v>
      </c>
      <c r="R11" s="19"/>
      <c r="S11" s="20">
        <v>1.0</v>
      </c>
      <c r="T11" s="21"/>
      <c r="U11" s="47"/>
      <c r="V11" s="23">
        <v>2.0</v>
      </c>
      <c r="W11" s="9"/>
      <c r="X11" s="9"/>
      <c r="Y11" s="9"/>
      <c r="Z11" s="9"/>
    </row>
    <row r="12">
      <c r="A12" s="60" t="s">
        <v>453</v>
      </c>
      <c r="B12" s="61" t="s">
        <v>463</v>
      </c>
      <c r="C12" s="61">
        <v>3.0</v>
      </c>
      <c r="D12" s="61">
        <v>1.0</v>
      </c>
      <c r="E12" s="61" t="s">
        <v>455</v>
      </c>
      <c r="F12" s="62" t="s">
        <v>464</v>
      </c>
      <c r="G12" s="57">
        <f t="shared" si="1"/>
        <v>-5</v>
      </c>
      <c r="H12" s="19"/>
      <c r="I12" s="20">
        <v>5.0</v>
      </c>
      <c r="J12" s="21"/>
      <c r="K12" s="47"/>
      <c r="L12" s="23">
        <v>5.0</v>
      </c>
      <c r="M12" s="19"/>
      <c r="N12" s="20">
        <v>-3.0</v>
      </c>
      <c r="O12" s="21"/>
      <c r="P12" s="47"/>
      <c r="Q12" s="23">
        <v>-2.0</v>
      </c>
      <c r="R12" s="19"/>
      <c r="S12" s="20">
        <v>3.0</v>
      </c>
      <c r="T12" s="21"/>
      <c r="U12" s="47"/>
      <c r="V12" s="23">
        <v>4.0</v>
      </c>
      <c r="W12" s="9"/>
      <c r="X12" s="9"/>
      <c r="Y12" s="9"/>
      <c r="Z12" s="9"/>
    </row>
    <row r="13">
      <c r="A13" s="54" t="s">
        <v>465</v>
      </c>
      <c r="B13" s="55" t="s">
        <v>466</v>
      </c>
      <c r="C13" s="55">
        <v>1.0</v>
      </c>
      <c r="D13" s="55">
        <v>2.0</v>
      </c>
      <c r="E13" s="55" t="s">
        <v>467</v>
      </c>
      <c r="F13" s="56" t="s">
        <v>468</v>
      </c>
      <c r="G13" s="57">
        <f t="shared" si="1"/>
        <v>1.5</v>
      </c>
      <c r="H13" s="19"/>
      <c r="I13" s="20">
        <v>4.0</v>
      </c>
      <c r="J13" s="21"/>
      <c r="K13" s="47"/>
      <c r="L13" s="23">
        <v>4.0</v>
      </c>
      <c r="M13" s="19"/>
      <c r="N13" s="20">
        <v>-3.0</v>
      </c>
      <c r="O13" s="21"/>
      <c r="P13" s="47"/>
      <c r="Q13" s="23">
        <v>-3.0</v>
      </c>
      <c r="R13" s="19"/>
      <c r="S13" s="20">
        <v>2.0</v>
      </c>
      <c r="T13" s="21"/>
      <c r="U13" s="47"/>
      <c r="V13" s="23">
        <v>1.0</v>
      </c>
      <c r="W13" s="9"/>
      <c r="X13" s="9"/>
      <c r="Y13" s="9"/>
      <c r="Z13" s="9"/>
    </row>
    <row r="14">
      <c r="A14" s="58" t="s">
        <v>465</v>
      </c>
      <c r="B14" s="9" t="s">
        <v>469</v>
      </c>
      <c r="C14" s="9">
        <v>1.0</v>
      </c>
      <c r="D14" s="9">
        <v>2.0</v>
      </c>
      <c r="E14" s="9" t="s">
        <v>467</v>
      </c>
      <c r="F14" s="59" t="s">
        <v>470</v>
      </c>
      <c r="G14" s="57">
        <f t="shared" si="1"/>
        <v>5.5</v>
      </c>
      <c r="H14" s="19"/>
      <c r="I14" s="20">
        <v>4.0</v>
      </c>
      <c r="J14" s="21"/>
      <c r="K14" s="47"/>
      <c r="L14" s="23">
        <v>4.0</v>
      </c>
      <c r="M14" s="19"/>
      <c r="N14" s="20">
        <v>-2.0</v>
      </c>
      <c r="O14" s="21"/>
      <c r="P14" s="47"/>
      <c r="Q14" s="23">
        <v>-2.0</v>
      </c>
      <c r="R14" s="19"/>
      <c r="S14" s="20">
        <v>4.0</v>
      </c>
      <c r="T14" s="21"/>
      <c r="U14" s="47"/>
      <c r="V14" s="23">
        <v>5.0</v>
      </c>
      <c r="W14" s="9"/>
      <c r="X14" s="9"/>
      <c r="Y14" s="9"/>
      <c r="Z14" s="9"/>
    </row>
    <row r="15">
      <c r="A15" s="58" t="s">
        <v>465</v>
      </c>
      <c r="B15" s="9" t="s">
        <v>471</v>
      </c>
      <c r="C15" s="9">
        <v>2.0</v>
      </c>
      <c r="D15" s="9">
        <v>1.0</v>
      </c>
      <c r="E15" s="9" t="s">
        <v>443</v>
      </c>
      <c r="F15" s="59" t="s">
        <v>472</v>
      </c>
      <c r="G15" s="57">
        <f t="shared" si="1"/>
        <v>1</v>
      </c>
      <c r="H15" s="19"/>
      <c r="I15" s="20">
        <v>4.0</v>
      </c>
      <c r="J15" s="21"/>
      <c r="K15" s="47"/>
      <c r="L15" s="23">
        <v>4.0</v>
      </c>
      <c r="M15" s="19"/>
      <c r="N15" s="20">
        <v>-2.0</v>
      </c>
      <c r="O15" s="21"/>
      <c r="P15" s="47"/>
      <c r="Q15" s="23">
        <v>-2.0</v>
      </c>
      <c r="R15" s="19"/>
      <c r="S15" s="20">
        <v>3.0</v>
      </c>
      <c r="T15" s="21"/>
      <c r="U15" s="47"/>
      <c r="V15" s="23">
        <v>3.0</v>
      </c>
      <c r="W15" s="9"/>
      <c r="X15" s="9"/>
      <c r="Y15" s="9"/>
      <c r="Z15" s="9"/>
    </row>
    <row r="16">
      <c r="A16" s="58" t="s">
        <v>465</v>
      </c>
      <c r="B16" s="9" t="s">
        <v>473</v>
      </c>
      <c r="C16" s="9">
        <v>2.0</v>
      </c>
      <c r="D16" s="9">
        <v>1.0</v>
      </c>
      <c r="E16" s="9" t="s">
        <v>467</v>
      </c>
      <c r="F16" s="59" t="s">
        <v>474</v>
      </c>
      <c r="G16" s="57">
        <f t="shared" si="1"/>
        <v>2</v>
      </c>
      <c r="H16" s="19"/>
      <c r="I16" s="20">
        <v>5.0</v>
      </c>
      <c r="J16" s="21"/>
      <c r="K16" s="47"/>
      <c r="L16" s="23">
        <v>4.0</v>
      </c>
      <c r="M16" s="19"/>
      <c r="N16" s="20">
        <v>-3.0</v>
      </c>
      <c r="O16" s="21"/>
      <c r="P16" s="47"/>
      <c r="Q16" s="23">
        <v>-2.0</v>
      </c>
      <c r="R16" s="19"/>
      <c r="S16" s="20">
        <v>5.0</v>
      </c>
      <c r="T16" s="21"/>
      <c r="U16" s="47"/>
      <c r="V16" s="23">
        <v>3.0</v>
      </c>
      <c r="W16" s="9"/>
      <c r="X16" s="9"/>
      <c r="Y16" s="9"/>
      <c r="Z16" s="9"/>
    </row>
    <row r="17">
      <c r="A17" s="60" t="s">
        <v>465</v>
      </c>
      <c r="B17" s="61" t="s">
        <v>475</v>
      </c>
      <c r="C17" s="61">
        <v>3.0</v>
      </c>
      <c r="D17" s="61">
        <v>1.0</v>
      </c>
      <c r="E17" s="61" t="s">
        <v>467</v>
      </c>
      <c r="F17" s="62" t="s">
        <v>476</v>
      </c>
      <c r="G17" s="57">
        <f t="shared" si="1"/>
        <v>-6</v>
      </c>
      <c r="H17" s="19"/>
      <c r="I17" s="20">
        <v>4.0</v>
      </c>
      <c r="J17" s="21"/>
      <c r="K17" s="47"/>
      <c r="L17" s="23">
        <v>2.0</v>
      </c>
      <c r="M17" s="19"/>
      <c r="N17" s="20">
        <v>-3.0</v>
      </c>
      <c r="O17" s="21"/>
      <c r="P17" s="47"/>
      <c r="Q17" s="23">
        <v>-3.0</v>
      </c>
      <c r="R17" s="19"/>
      <c r="S17" s="20">
        <v>5.0</v>
      </c>
      <c r="T17" s="21"/>
      <c r="U17" s="47"/>
      <c r="V17" s="23">
        <v>5.0</v>
      </c>
      <c r="W17" s="9"/>
      <c r="X17" s="9"/>
      <c r="Y17" s="9"/>
      <c r="Z17" s="9"/>
    </row>
    <row r="18">
      <c r="A18" s="54" t="s">
        <v>477</v>
      </c>
      <c r="B18" s="55" t="s">
        <v>478</v>
      </c>
      <c r="C18" s="55">
        <v>1.0</v>
      </c>
      <c r="D18" s="55">
        <v>2.0</v>
      </c>
      <c r="E18" s="55" t="s">
        <v>443</v>
      </c>
      <c r="F18" s="56" t="s">
        <v>479</v>
      </c>
      <c r="G18" s="57">
        <f t="shared" si="1"/>
        <v>1</v>
      </c>
      <c r="H18" s="19"/>
      <c r="I18" s="20">
        <v>2.0</v>
      </c>
      <c r="J18" s="21"/>
      <c r="K18" s="47"/>
      <c r="L18" s="23">
        <v>2.0</v>
      </c>
      <c r="M18" s="19"/>
      <c r="N18" s="20">
        <v>-1.0</v>
      </c>
      <c r="O18" s="21"/>
      <c r="P18" s="47"/>
      <c r="Q18" s="23">
        <v>-1.0</v>
      </c>
      <c r="R18" s="19"/>
      <c r="S18" s="20">
        <v>1.0</v>
      </c>
      <c r="T18" s="21"/>
      <c r="U18" s="47"/>
      <c r="V18" s="23">
        <v>1.0</v>
      </c>
      <c r="W18" s="9"/>
      <c r="X18" s="9"/>
      <c r="Y18" s="9"/>
      <c r="Z18" s="9"/>
    </row>
    <row r="19">
      <c r="A19" s="58" t="s">
        <v>477</v>
      </c>
      <c r="B19" s="9" t="s">
        <v>480</v>
      </c>
      <c r="C19" s="9">
        <v>1.0</v>
      </c>
      <c r="D19" s="9">
        <v>2.0</v>
      </c>
      <c r="E19" s="9" t="s">
        <v>443</v>
      </c>
      <c r="F19" s="59" t="s">
        <v>481</v>
      </c>
      <c r="G19" s="57">
        <f t="shared" si="1"/>
        <v>3.5</v>
      </c>
      <c r="H19" s="19"/>
      <c r="I19" s="20">
        <v>4.0</v>
      </c>
      <c r="J19" s="21"/>
      <c r="K19" s="47"/>
      <c r="L19" s="23">
        <v>2.0</v>
      </c>
      <c r="M19" s="19"/>
      <c r="N19" s="20">
        <v>-2.0</v>
      </c>
      <c r="O19" s="21"/>
      <c r="P19" s="47"/>
      <c r="Q19" s="23">
        <v>-1.0</v>
      </c>
      <c r="R19" s="19"/>
      <c r="S19" s="20">
        <v>3.0</v>
      </c>
      <c r="T19" s="21"/>
      <c r="U19" s="47"/>
      <c r="V19" s="23">
        <v>3.0</v>
      </c>
      <c r="W19" s="9"/>
      <c r="X19" s="9"/>
      <c r="Y19" s="9"/>
      <c r="Z19" s="9"/>
    </row>
    <row r="20">
      <c r="A20" s="58" t="s">
        <v>477</v>
      </c>
      <c r="B20" s="9" t="s">
        <v>482</v>
      </c>
      <c r="C20" s="9">
        <v>2.0</v>
      </c>
      <c r="D20" s="9">
        <v>1.0</v>
      </c>
      <c r="E20" s="9" t="s">
        <v>443</v>
      </c>
      <c r="F20" s="59" t="s">
        <v>483</v>
      </c>
      <c r="G20" s="57">
        <f t="shared" si="1"/>
        <v>1.5</v>
      </c>
      <c r="H20" s="19"/>
      <c r="I20" s="20">
        <v>5.0</v>
      </c>
      <c r="J20" s="21"/>
      <c r="K20" s="47"/>
      <c r="L20" s="23">
        <v>2.0</v>
      </c>
      <c r="M20" s="19"/>
      <c r="N20" s="20">
        <v>-1.0</v>
      </c>
      <c r="O20" s="21"/>
      <c r="P20" s="47"/>
      <c r="Q20" s="23">
        <v>-3.0</v>
      </c>
      <c r="R20" s="19"/>
      <c r="S20" s="20">
        <v>4.0</v>
      </c>
      <c r="T20" s="21"/>
      <c r="U20" s="47"/>
      <c r="V20" s="23">
        <v>4.0</v>
      </c>
      <c r="W20" s="9"/>
      <c r="X20" s="9"/>
      <c r="Y20" s="9"/>
      <c r="Z20" s="9"/>
    </row>
    <row r="21">
      <c r="A21" s="58" t="s">
        <v>477</v>
      </c>
      <c r="B21" s="9" t="s">
        <v>484</v>
      </c>
      <c r="C21" s="9">
        <v>2.0</v>
      </c>
      <c r="D21" s="9">
        <v>1.0</v>
      </c>
      <c r="E21" s="9" t="s">
        <v>443</v>
      </c>
      <c r="F21" s="59" t="s">
        <v>485</v>
      </c>
      <c r="G21" s="57">
        <f t="shared" si="1"/>
        <v>3</v>
      </c>
      <c r="H21" s="19"/>
      <c r="I21" s="20">
        <v>4.0</v>
      </c>
      <c r="J21" s="21"/>
      <c r="K21" s="47"/>
      <c r="L21" s="23">
        <v>4.0</v>
      </c>
      <c r="M21" s="19"/>
      <c r="N21" s="20">
        <v>-2.0</v>
      </c>
      <c r="O21" s="21"/>
      <c r="P21" s="47"/>
      <c r="Q21" s="23">
        <v>-2.0</v>
      </c>
      <c r="R21" s="19"/>
      <c r="S21" s="20">
        <v>5.0</v>
      </c>
      <c r="T21" s="21"/>
      <c r="U21" s="47"/>
      <c r="V21" s="23">
        <v>5.0</v>
      </c>
      <c r="W21" s="9"/>
      <c r="X21" s="9"/>
      <c r="Y21" s="9"/>
      <c r="Z21" s="9"/>
    </row>
    <row r="22">
      <c r="A22" s="60" t="s">
        <v>477</v>
      </c>
      <c r="B22" s="61" t="s">
        <v>486</v>
      </c>
      <c r="C22" s="61">
        <v>3.0</v>
      </c>
      <c r="D22" s="61">
        <v>1.0</v>
      </c>
      <c r="E22" s="61" t="s">
        <v>443</v>
      </c>
      <c r="F22" s="62" t="s">
        <v>487</v>
      </c>
      <c r="G22" s="57">
        <f t="shared" si="1"/>
        <v>-2</v>
      </c>
      <c r="H22" s="19"/>
      <c r="I22" s="20">
        <v>5.0</v>
      </c>
      <c r="J22" s="21"/>
      <c r="K22" s="47"/>
      <c r="L22" s="23">
        <v>5.0</v>
      </c>
      <c r="M22" s="19"/>
      <c r="N22" s="20">
        <v>-1.0</v>
      </c>
      <c r="O22" s="21"/>
      <c r="P22" s="47"/>
      <c r="Q22" s="23">
        <v>-1.0</v>
      </c>
      <c r="R22" s="19"/>
      <c r="S22" s="20">
        <v>5.0</v>
      </c>
      <c r="T22" s="21"/>
      <c r="U22" s="47"/>
      <c r="V22" s="23">
        <v>5.0</v>
      </c>
      <c r="W22" s="9"/>
      <c r="X22" s="9"/>
      <c r="Y22" s="9"/>
      <c r="Z22" s="9"/>
    </row>
    <row r="23">
      <c r="A23" s="54" t="s">
        <v>488</v>
      </c>
      <c r="B23" s="55" t="s">
        <v>489</v>
      </c>
      <c r="C23" s="55">
        <v>1.0</v>
      </c>
      <c r="D23" s="61">
        <v>1.0</v>
      </c>
      <c r="E23" s="55" t="s">
        <v>455</v>
      </c>
      <c r="F23" s="56" t="s">
        <v>490</v>
      </c>
      <c r="G23" s="57">
        <f t="shared" si="1"/>
        <v>4</v>
      </c>
      <c r="H23" s="19"/>
      <c r="I23" s="20">
        <v>3.0</v>
      </c>
      <c r="J23" s="21"/>
      <c r="K23" s="47"/>
      <c r="L23" s="23">
        <v>4.0</v>
      </c>
      <c r="M23" s="19"/>
      <c r="N23" s="20">
        <v>-1.0</v>
      </c>
      <c r="O23" s="21"/>
      <c r="P23" s="47"/>
      <c r="Q23" s="23">
        <v>-1.0</v>
      </c>
      <c r="R23" s="19"/>
      <c r="S23" s="20">
        <v>3.0</v>
      </c>
      <c r="T23" s="21"/>
      <c r="U23" s="47"/>
      <c r="V23" s="23">
        <v>2.0</v>
      </c>
      <c r="W23" s="9"/>
      <c r="X23" s="9"/>
      <c r="Y23" s="9"/>
      <c r="Z23" s="9"/>
    </row>
    <row r="24">
      <c r="A24" s="58" t="s">
        <v>488</v>
      </c>
      <c r="B24" s="9" t="s">
        <v>491</v>
      </c>
      <c r="C24" s="9">
        <v>1.0</v>
      </c>
      <c r="D24" s="61">
        <v>1.0</v>
      </c>
      <c r="E24" s="9" t="s">
        <v>455</v>
      </c>
      <c r="F24" s="59" t="s">
        <v>492</v>
      </c>
      <c r="G24" s="57">
        <f t="shared" si="1"/>
        <v>4</v>
      </c>
      <c r="H24" s="19"/>
      <c r="I24" s="20">
        <v>4.0</v>
      </c>
      <c r="J24" s="21"/>
      <c r="K24" s="47"/>
      <c r="L24" s="23">
        <v>4.0</v>
      </c>
      <c r="M24" s="19"/>
      <c r="N24" s="20">
        <v>-1.0</v>
      </c>
      <c r="O24" s="21"/>
      <c r="P24" s="47"/>
      <c r="Q24" s="23">
        <v>-1.0</v>
      </c>
      <c r="R24" s="19"/>
      <c r="S24" s="20">
        <v>2.0</v>
      </c>
      <c r="T24" s="21"/>
      <c r="U24" s="47"/>
      <c r="V24" s="23">
        <v>2.0</v>
      </c>
      <c r="W24" s="9"/>
      <c r="X24" s="9"/>
      <c r="Y24" s="9"/>
      <c r="Z24" s="9"/>
    </row>
    <row r="25">
      <c r="A25" s="58" t="s">
        <v>488</v>
      </c>
      <c r="B25" s="9" t="s">
        <v>493</v>
      </c>
      <c r="C25" s="9">
        <v>1.0</v>
      </c>
      <c r="D25" s="61">
        <v>1.0</v>
      </c>
      <c r="E25" s="9" t="s">
        <v>443</v>
      </c>
      <c r="F25" s="59" t="s">
        <v>494</v>
      </c>
      <c r="G25" s="57">
        <f t="shared" si="1"/>
        <v>1</v>
      </c>
      <c r="H25" s="19"/>
      <c r="I25" s="20">
        <v>2.0</v>
      </c>
      <c r="J25" s="21"/>
      <c r="K25" s="47"/>
      <c r="L25" s="23">
        <v>2.0</v>
      </c>
      <c r="M25" s="19"/>
      <c r="N25" s="20">
        <v>-1.0</v>
      </c>
      <c r="O25" s="21"/>
      <c r="P25" s="47"/>
      <c r="Q25" s="23">
        <v>-1.0</v>
      </c>
      <c r="R25" s="19"/>
      <c r="S25" s="20">
        <v>1.0</v>
      </c>
      <c r="T25" s="21"/>
      <c r="U25" s="47"/>
      <c r="V25" s="23">
        <v>1.0</v>
      </c>
      <c r="W25" s="9"/>
      <c r="X25" s="9"/>
      <c r="Y25" s="9"/>
      <c r="Z25" s="9"/>
    </row>
    <row r="26">
      <c r="A26" s="58" t="s">
        <v>488</v>
      </c>
      <c r="B26" s="9" t="s">
        <v>495</v>
      </c>
      <c r="C26" s="9">
        <v>1.0</v>
      </c>
      <c r="D26" s="61">
        <v>1.0</v>
      </c>
      <c r="E26" s="9" t="s">
        <v>455</v>
      </c>
      <c r="F26" s="59" t="s">
        <v>496</v>
      </c>
      <c r="G26" s="57">
        <f t="shared" si="1"/>
        <v>2</v>
      </c>
      <c r="H26" s="19"/>
      <c r="I26" s="20">
        <v>4.0</v>
      </c>
      <c r="J26" s="21"/>
      <c r="K26" s="47"/>
      <c r="L26" s="23">
        <v>4.0</v>
      </c>
      <c r="M26" s="19"/>
      <c r="N26" s="20">
        <v>-1.0</v>
      </c>
      <c r="O26" s="21"/>
      <c r="P26" s="47"/>
      <c r="Q26" s="23">
        <v>-3.0</v>
      </c>
      <c r="R26" s="19"/>
      <c r="S26" s="20">
        <v>1.0</v>
      </c>
      <c r="T26" s="21"/>
      <c r="U26" s="47"/>
      <c r="V26" s="23">
        <v>1.0</v>
      </c>
      <c r="W26" s="9"/>
      <c r="X26" s="9"/>
      <c r="Y26" s="9"/>
      <c r="Z26" s="9"/>
    </row>
    <row r="27">
      <c r="A27" s="58" t="s">
        <v>488</v>
      </c>
      <c r="B27" s="9" t="s">
        <v>497</v>
      </c>
      <c r="C27" s="9">
        <v>2.0</v>
      </c>
      <c r="D27" s="61">
        <v>1.0</v>
      </c>
      <c r="E27" s="9" t="s">
        <v>443</v>
      </c>
      <c r="F27" s="59" t="s">
        <v>498</v>
      </c>
      <c r="G27" s="57">
        <f t="shared" si="1"/>
        <v>1</v>
      </c>
      <c r="H27" s="19"/>
      <c r="I27" s="20">
        <v>4.0</v>
      </c>
      <c r="J27" s="21"/>
      <c r="K27" s="47"/>
      <c r="L27" s="63">
        <v>4.0</v>
      </c>
      <c r="M27" s="19"/>
      <c r="N27" s="20">
        <v>-1.0</v>
      </c>
      <c r="O27" s="21"/>
      <c r="P27" s="47"/>
      <c r="Q27" s="63">
        <v>-1.0</v>
      </c>
      <c r="R27" s="19"/>
      <c r="S27" s="20">
        <v>2.0</v>
      </c>
      <c r="T27" s="21"/>
      <c r="U27" s="47"/>
      <c r="V27" s="63">
        <v>2.0</v>
      </c>
      <c r="W27" s="9"/>
      <c r="X27" s="9"/>
      <c r="Y27" s="9"/>
      <c r="Z27" s="9"/>
    </row>
    <row r="28">
      <c r="A28" s="58" t="s">
        <v>488</v>
      </c>
      <c r="B28" s="9" t="s">
        <v>499</v>
      </c>
      <c r="C28" s="9">
        <v>2.0</v>
      </c>
      <c r="D28" s="61">
        <v>1.0</v>
      </c>
      <c r="E28" s="9" t="s">
        <v>467</v>
      </c>
      <c r="F28" s="59" t="s">
        <v>500</v>
      </c>
      <c r="G28" s="57">
        <f t="shared" si="1"/>
        <v>-1</v>
      </c>
      <c r="H28" s="19"/>
      <c r="I28" s="20">
        <v>4.0</v>
      </c>
      <c r="J28" s="21"/>
      <c r="K28" s="47"/>
      <c r="L28" s="63">
        <v>4.0</v>
      </c>
      <c r="M28" s="19"/>
      <c r="N28" s="20">
        <v>-4.0</v>
      </c>
      <c r="O28" s="21"/>
      <c r="P28" s="47"/>
      <c r="Q28" s="63">
        <v>-3.0</v>
      </c>
      <c r="R28" s="19"/>
      <c r="S28" s="20">
        <v>2.0</v>
      </c>
      <c r="T28" s="21"/>
      <c r="U28" s="47"/>
      <c r="V28" s="63">
        <v>3.0</v>
      </c>
      <c r="W28" s="9"/>
      <c r="X28" s="9"/>
      <c r="Y28" s="9"/>
      <c r="Z28" s="9"/>
    </row>
    <row r="29">
      <c r="A29" s="60" t="s">
        <v>488</v>
      </c>
      <c r="B29" s="61" t="s">
        <v>501</v>
      </c>
      <c r="C29" s="61">
        <v>3.0</v>
      </c>
      <c r="D29" s="61">
        <v>1.0</v>
      </c>
      <c r="E29" s="61" t="s">
        <v>455</v>
      </c>
      <c r="F29" s="62" t="s">
        <v>502</v>
      </c>
      <c r="G29" s="57">
        <f t="shared" si="1"/>
        <v>-4.5</v>
      </c>
      <c r="H29" s="19"/>
      <c r="I29" s="20">
        <v>4.0</v>
      </c>
      <c r="J29" s="21"/>
      <c r="K29" s="47"/>
      <c r="L29" s="63">
        <v>4.0</v>
      </c>
      <c r="M29" s="19"/>
      <c r="N29" s="20">
        <v>-2.0</v>
      </c>
      <c r="O29" s="21"/>
      <c r="P29" s="47"/>
      <c r="Q29" s="63">
        <v>-3.0</v>
      </c>
      <c r="R29" s="19"/>
      <c r="S29" s="20">
        <v>5.0</v>
      </c>
      <c r="T29" s="21"/>
      <c r="U29" s="47"/>
      <c r="V29" s="63">
        <v>5.0</v>
      </c>
      <c r="W29" s="9"/>
      <c r="X29" s="9"/>
      <c r="Y29" s="9"/>
      <c r="Z29" s="9"/>
    </row>
    <row r="30">
      <c r="A30" s="58" t="s">
        <v>503</v>
      </c>
      <c r="B30" s="9" t="s">
        <v>504</v>
      </c>
      <c r="C30" s="9">
        <v>1.0</v>
      </c>
      <c r="D30" s="61">
        <v>1.0</v>
      </c>
      <c r="E30" s="9" t="s">
        <v>467</v>
      </c>
      <c r="F30" s="59" t="s">
        <v>505</v>
      </c>
      <c r="G30" s="57">
        <f t="shared" si="1"/>
        <v>5.5</v>
      </c>
      <c r="H30" s="19"/>
      <c r="I30" s="20">
        <v>5.0</v>
      </c>
      <c r="J30" s="21"/>
      <c r="K30" s="47"/>
      <c r="L30" s="63">
        <v>4.0</v>
      </c>
      <c r="M30" s="19"/>
      <c r="N30" s="20">
        <v>-3.0</v>
      </c>
      <c r="O30" s="21"/>
      <c r="P30" s="47"/>
      <c r="Q30" s="63">
        <v>-3.0</v>
      </c>
      <c r="R30" s="19"/>
      <c r="S30" s="20">
        <v>5.0</v>
      </c>
      <c r="T30" s="21"/>
      <c r="U30" s="47"/>
      <c r="V30" s="63">
        <v>5.0</v>
      </c>
      <c r="W30" s="9"/>
      <c r="X30" s="9"/>
      <c r="Y30" s="9"/>
      <c r="Z30" s="9"/>
    </row>
    <row r="31">
      <c r="A31" s="58" t="s">
        <v>503</v>
      </c>
      <c r="B31" s="9" t="s">
        <v>506</v>
      </c>
      <c r="C31" s="9">
        <v>1.0</v>
      </c>
      <c r="D31" s="61">
        <v>1.0</v>
      </c>
      <c r="E31" s="9" t="s">
        <v>443</v>
      </c>
      <c r="F31" s="59" t="s">
        <v>507</v>
      </c>
      <c r="G31" s="57">
        <f t="shared" si="1"/>
        <v>5.5</v>
      </c>
      <c r="H31" s="19"/>
      <c r="I31" s="20">
        <v>4.0</v>
      </c>
      <c r="J31" s="21"/>
      <c r="K31" s="47"/>
      <c r="L31" s="63">
        <v>4.0</v>
      </c>
      <c r="M31" s="19"/>
      <c r="N31" s="20">
        <v>-1.0</v>
      </c>
      <c r="O31" s="21"/>
      <c r="P31" s="47"/>
      <c r="Q31" s="63">
        <v>-2.0</v>
      </c>
      <c r="R31" s="19"/>
      <c r="S31" s="20">
        <v>5.0</v>
      </c>
      <c r="T31" s="21"/>
      <c r="U31" s="47"/>
      <c r="V31" s="63">
        <v>3.0</v>
      </c>
      <c r="W31" s="9"/>
      <c r="X31" s="9"/>
      <c r="Y31" s="9"/>
      <c r="Z31" s="9"/>
    </row>
    <row r="32">
      <c r="A32" s="58" t="s">
        <v>503</v>
      </c>
      <c r="B32" s="9" t="s">
        <v>508</v>
      </c>
      <c r="C32" s="9">
        <v>1.0</v>
      </c>
      <c r="D32" s="61">
        <v>1.0</v>
      </c>
      <c r="E32" s="9" t="s">
        <v>455</v>
      </c>
      <c r="F32" s="59" t="s">
        <v>509</v>
      </c>
      <c r="G32" s="57">
        <f t="shared" si="1"/>
        <v>1.5</v>
      </c>
      <c r="H32" s="19"/>
      <c r="I32" s="20">
        <v>2.0</v>
      </c>
      <c r="J32" s="21"/>
      <c r="K32" s="47"/>
      <c r="L32" s="63">
        <v>2.0</v>
      </c>
      <c r="M32" s="19"/>
      <c r="N32" s="20">
        <v>-1.0</v>
      </c>
      <c r="O32" s="21"/>
      <c r="P32" s="47"/>
      <c r="Q32" s="63">
        <v>-1.0</v>
      </c>
      <c r="R32" s="19"/>
      <c r="S32" s="20">
        <v>2.0</v>
      </c>
      <c r="T32" s="21"/>
      <c r="U32" s="47"/>
      <c r="V32" s="63">
        <v>1.0</v>
      </c>
      <c r="W32" s="9"/>
      <c r="X32" s="9"/>
      <c r="Y32" s="9"/>
      <c r="Z32" s="9"/>
    </row>
    <row r="33">
      <c r="A33" s="58" t="s">
        <v>503</v>
      </c>
      <c r="B33" s="9" t="s">
        <v>510</v>
      </c>
      <c r="C33" s="9">
        <v>1.0</v>
      </c>
      <c r="D33" s="61">
        <v>1.0</v>
      </c>
      <c r="E33" s="9" t="s">
        <v>443</v>
      </c>
      <c r="F33" s="59" t="s">
        <v>511</v>
      </c>
      <c r="G33" s="57">
        <f t="shared" si="1"/>
        <v>3</v>
      </c>
      <c r="H33" s="19"/>
      <c r="I33" s="20">
        <v>2.0</v>
      </c>
      <c r="J33" s="21"/>
      <c r="K33" s="47"/>
      <c r="L33" s="63">
        <v>4.0</v>
      </c>
      <c r="M33" s="19"/>
      <c r="N33" s="20">
        <v>-2.0</v>
      </c>
      <c r="O33" s="21"/>
      <c r="P33" s="47"/>
      <c r="Q33" s="63">
        <v>-1.0</v>
      </c>
      <c r="R33" s="19"/>
      <c r="S33" s="20">
        <v>2.0</v>
      </c>
      <c r="T33" s="21"/>
      <c r="U33" s="47"/>
      <c r="V33" s="63">
        <v>3.0</v>
      </c>
      <c r="W33" s="9"/>
      <c r="X33" s="9"/>
      <c r="Y33" s="9"/>
      <c r="Z33" s="9"/>
    </row>
    <row r="34">
      <c r="A34" s="58" t="s">
        <v>503</v>
      </c>
      <c r="B34" s="9" t="s">
        <v>512</v>
      </c>
      <c r="C34" s="9">
        <v>2.0</v>
      </c>
      <c r="D34" s="61">
        <v>1.0</v>
      </c>
      <c r="E34" s="9" t="s">
        <v>455</v>
      </c>
      <c r="F34" s="59" t="s">
        <v>513</v>
      </c>
      <c r="G34" s="57">
        <f t="shared" si="1"/>
        <v>2</v>
      </c>
      <c r="H34" s="19"/>
      <c r="I34" s="20">
        <v>5.0</v>
      </c>
      <c r="J34" s="21"/>
      <c r="K34" s="47"/>
      <c r="L34" s="63">
        <v>5.0</v>
      </c>
      <c r="M34" s="19"/>
      <c r="N34" s="20">
        <v>-1.0</v>
      </c>
      <c r="O34" s="21"/>
      <c r="P34" s="47"/>
      <c r="Q34" s="63">
        <v>-1.0</v>
      </c>
      <c r="R34" s="19"/>
      <c r="S34" s="20">
        <v>2.0</v>
      </c>
      <c r="T34" s="21"/>
      <c r="U34" s="47"/>
      <c r="V34" s="63">
        <v>2.0</v>
      </c>
      <c r="W34" s="9"/>
      <c r="X34" s="9"/>
      <c r="Y34" s="9"/>
      <c r="Z34" s="9"/>
    </row>
    <row r="35">
      <c r="A35" s="58" t="s">
        <v>503</v>
      </c>
      <c r="B35" s="9" t="s">
        <v>514</v>
      </c>
      <c r="C35" s="9">
        <v>2.0</v>
      </c>
      <c r="D35" s="61">
        <v>1.0</v>
      </c>
      <c r="E35" s="9" t="s">
        <v>455</v>
      </c>
      <c r="F35" s="59" t="s">
        <v>515</v>
      </c>
      <c r="G35" s="57">
        <f t="shared" si="1"/>
        <v>-0.5</v>
      </c>
      <c r="H35" s="19"/>
      <c r="I35" s="20">
        <v>2.0</v>
      </c>
      <c r="J35" s="21"/>
      <c r="K35" s="47"/>
      <c r="L35" s="63">
        <v>2.0</v>
      </c>
      <c r="M35" s="19"/>
      <c r="N35" s="20">
        <v>-1.0</v>
      </c>
      <c r="O35" s="21"/>
      <c r="P35" s="47"/>
      <c r="Q35" s="63">
        <v>0.0</v>
      </c>
      <c r="R35" s="19"/>
      <c r="S35" s="20">
        <v>2.0</v>
      </c>
      <c r="T35" s="21"/>
      <c r="U35" s="47"/>
      <c r="V35" s="63">
        <v>2.0</v>
      </c>
      <c r="W35" s="9"/>
      <c r="X35" s="9"/>
      <c r="Y35" s="9"/>
      <c r="Z35" s="9"/>
    </row>
    <row r="36">
      <c r="A36" s="60" t="s">
        <v>503</v>
      </c>
      <c r="B36" s="61" t="s">
        <v>516</v>
      </c>
      <c r="C36" s="61">
        <v>3.0</v>
      </c>
      <c r="D36" s="61">
        <v>1.0</v>
      </c>
      <c r="E36" s="61" t="s">
        <v>455</v>
      </c>
      <c r="F36" s="62" t="s">
        <v>517</v>
      </c>
      <c r="G36" s="57">
        <f t="shared" si="1"/>
        <v>-4.5</v>
      </c>
      <c r="H36" s="19"/>
      <c r="I36" s="20">
        <v>4.0</v>
      </c>
      <c r="J36" s="21"/>
      <c r="K36" s="47"/>
      <c r="L36" s="63">
        <v>5.0</v>
      </c>
      <c r="M36" s="19"/>
      <c r="N36" s="20">
        <v>-3.0</v>
      </c>
      <c r="O36" s="21"/>
      <c r="P36" s="47"/>
      <c r="Q36" s="63">
        <v>-3.0</v>
      </c>
      <c r="R36" s="19"/>
      <c r="S36" s="20">
        <v>5.0</v>
      </c>
      <c r="T36" s="21"/>
      <c r="U36" s="47"/>
      <c r="V36" s="63">
        <v>5.0</v>
      </c>
      <c r="W36" s="9"/>
      <c r="X36" s="9"/>
      <c r="Y36" s="9"/>
      <c r="Z36" s="9"/>
    </row>
    <row r="37">
      <c r="A37" s="54" t="s">
        <v>518</v>
      </c>
      <c r="B37" s="55" t="s">
        <v>519</v>
      </c>
      <c r="C37" s="55">
        <v>1.0</v>
      </c>
      <c r="D37" s="61">
        <v>1.0</v>
      </c>
      <c r="E37" s="55" t="s">
        <v>455</v>
      </c>
      <c r="F37" s="56" t="s">
        <v>520</v>
      </c>
      <c r="G37" s="57">
        <f t="shared" si="1"/>
        <v>2.5</v>
      </c>
      <c r="H37" s="19"/>
      <c r="I37" s="20">
        <v>2.0</v>
      </c>
      <c r="J37" s="21"/>
      <c r="K37" s="47"/>
      <c r="L37" s="63">
        <v>5.0</v>
      </c>
      <c r="M37" s="19"/>
      <c r="N37" s="20">
        <v>-1.0</v>
      </c>
      <c r="O37" s="21"/>
      <c r="P37" s="47"/>
      <c r="Q37" s="63">
        <v>-1.0</v>
      </c>
      <c r="R37" s="19"/>
      <c r="S37" s="20">
        <v>1.0</v>
      </c>
      <c r="T37" s="21"/>
      <c r="U37" s="47"/>
      <c r="V37" s="63">
        <v>1.0</v>
      </c>
      <c r="W37" s="9"/>
      <c r="X37" s="9"/>
      <c r="Y37" s="9"/>
      <c r="Z37" s="9"/>
    </row>
    <row r="38">
      <c r="A38" s="58" t="s">
        <v>518</v>
      </c>
      <c r="B38" s="9" t="s">
        <v>521</v>
      </c>
      <c r="C38" s="9">
        <v>1.0</v>
      </c>
      <c r="D38" s="61">
        <v>1.0</v>
      </c>
      <c r="E38" s="9" t="s">
        <v>455</v>
      </c>
      <c r="F38" s="59" t="s">
        <v>522</v>
      </c>
      <c r="G38" s="57">
        <f t="shared" si="1"/>
        <v>4</v>
      </c>
      <c r="H38" s="19"/>
      <c r="I38" s="20">
        <v>4.0</v>
      </c>
      <c r="J38" s="21"/>
      <c r="K38" s="47"/>
      <c r="L38" s="63">
        <v>5.0</v>
      </c>
      <c r="M38" s="19"/>
      <c r="N38" s="20">
        <v>-1.0</v>
      </c>
      <c r="O38" s="21"/>
      <c r="P38" s="47"/>
      <c r="Q38" s="63">
        <v>-1.0</v>
      </c>
      <c r="R38" s="19"/>
      <c r="S38" s="20">
        <v>1.0</v>
      </c>
      <c r="T38" s="21"/>
      <c r="U38" s="47"/>
      <c r="V38" s="63">
        <v>2.0</v>
      </c>
      <c r="W38" s="9"/>
      <c r="X38" s="9"/>
      <c r="Y38" s="9"/>
      <c r="Z38" s="9"/>
    </row>
    <row r="39">
      <c r="A39" s="58" t="s">
        <v>518</v>
      </c>
      <c r="B39" s="9" t="s">
        <v>523</v>
      </c>
      <c r="C39" s="9">
        <v>1.0</v>
      </c>
      <c r="D39" s="61">
        <v>1.0</v>
      </c>
      <c r="E39" s="9" t="s">
        <v>455</v>
      </c>
      <c r="F39" s="59" t="s">
        <v>524</v>
      </c>
      <c r="G39" s="57">
        <f t="shared" si="1"/>
        <v>5.5</v>
      </c>
      <c r="H39" s="19"/>
      <c r="I39" s="20">
        <v>4.0</v>
      </c>
      <c r="J39" s="21"/>
      <c r="K39" s="47"/>
      <c r="L39" s="63">
        <v>5.0</v>
      </c>
      <c r="M39" s="19"/>
      <c r="N39" s="20">
        <v>-1.0</v>
      </c>
      <c r="O39" s="21"/>
      <c r="P39" s="47"/>
      <c r="Q39" s="63">
        <v>-1.0</v>
      </c>
      <c r="R39" s="19"/>
      <c r="S39" s="20">
        <v>1.0</v>
      </c>
      <c r="T39" s="21"/>
      <c r="U39" s="47"/>
      <c r="V39" s="63">
        <v>5.0</v>
      </c>
      <c r="W39" s="9"/>
      <c r="X39" s="9"/>
      <c r="Y39" s="9"/>
      <c r="Z39" s="9"/>
    </row>
    <row r="40">
      <c r="A40" s="58" t="s">
        <v>518</v>
      </c>
      <c r="B40" s="9" t="s">
        <v>525</v>
      </c>
      <c r="C40" s="9">
        <v>1.0</v>
      </c>
      <c r="D40" s="61">
        <v>1.0</v>
      </c>
      <c r="E40" s="9" t="s">
        <v>455</v>
      </c>
      <c r="F40" s="59" t="s">
        <v>526</v>
      </c>
      <c r="G40" s="57">
        <f t="shared" si="1"/>
        <v>4.5</v>
      </c>
      <c r="H40" s="19"/>
      <c r="I40" s="20">
        <v>3.0</v>
      </c>
      <c r="J40" s="21"/>
      <c r="K40" s="47"/>
      <c r="L40" s="63">
        <v>5.0</v>
      </c>
      <c r="M40" s="19"/>
      <c r="N40" s="20">
        <v>-1.0</v>
      </c>
      <c r="O40" s="21"/>
      <c r="P40" s="47"/>
      <c r="Q40" s="63">
        <v>-3.0</v>
      </c>
      <c r="R40" s="19"/>
      <c r="S40" s="20">
        <v>2.0</v>
      </c>
      <c r="T40" s="21"/>
      <c r="U40" s="47"/>
      <c r="V40" s="63">
        <v>5.0</v>
      </c>
      <c r="W40" s="9"/>
      <c r="X40" s="9"/>
      <c r="Y40" s="9"/>
      <c r="Z40" s="9"/>
    </row>
    <row r="41">
      <c r="A41" s="58" t="s">
        <v>518</v>
      </c>
      <c r="B41" s="9" t="s">
        <v>527</v>
      </c>
      <c r="C41" s="9">
        <v>2.0</v>
      </c>
      <c r="D41" s="61">
        <v>1.0</v>
      </c>
      <c r="E41" s="9" t="s">
        <v>455</v>
      </c>
      <c r="F41" s="59" t="s">
        <v>528</v>
      </c>
      <c r="G41" s="57">
        <f t="shared" si="1"/>
        <v>2.5</v>
      </c>
      <c r="H41" s="19"/>
      <c r="I41" s="20">
        <v>5.0</v>
      </c>
      <c r="J41" s="21"/>
      <c r="K41" s="47"/>
      <c r="L41" s="63">
        <v>5.0</v>
      </c>
      <c r="M41" s="19"/>
      <c r="N41" s="20">
        <v>0.0</v>
      </c>
      <c r="O41" s="21"/>
      <c r="P41" s="47"/>
      <c r="Q41" s="63">
        <v>0.0</v>
      </c>
      <c r="R41" s="19"/>
      <c r="S41" s="20">
        <v>2.0</v>
      </c>
      <c r="T41" s="21"/>
      <c r="U41" s="47"/>
      <c r="V41" s="63">
        <v>1.0</v>
      </c>
      <c r="W41" s="9"/>
      <c r="X41" s="9"/>
      <c r="Y41" s="9"/>
      <c r="Z41" s="9"/>
    </row>
    <row r="42">
      <c r="A42" s="58" t="s">
        <v>518</v>
      </c>
      <c r="B42" s="9" t="s">
        <v>529</v>
      </c>
      <c r="C42" s="9">
        <v>2.0</v>
      </c>
      <c r="D42" s="61">
        <v>1.0</v>
      </c>
      <c r="E42" s="9" t="s">
        <v>455</v>
      </c>
      <c r="F42" s="59" t="s">
        <v>530</v>
      </c>
      <c r="G42" s="57">
        <f t="shared" si="1"/>
        <v>1.5</v>
      </c>
      <c r="H42" s="19"/>
      <c r="I42" s="20">
        <v>2.0</v>
      </c>
      <c r="J42" s="21"/>
      <c r="K42" s="47"/>
      <c r="L42" s="63">
        <v>2.0</v>
      </c>
      <c r="M42" s="19"/>
      <c r="N42" s="20">
        <v>-1.0</v>
      </c>
      <c r="O42" s="21"/>
      <c r="P42" s="47"/>
      <c r="Q42" s="63">
        <v>-1.0</v>
      </c>
      <c r="R42" s="19"/>
      <c r="S42" s="20">
        <v>4.0</v>
      </c>
      <c r="T42" s="21"/>
      <c r="U42" s="47"/>
      <c r="V42" s="63">
        <v>5.0</v>
      </c>
      <c r="W42" s="9"/>
      <c r="X42" s="9"/>
      <c r="Y42" s="9"/>
      <c r="Z42" s="9"/>
    </row>
    <row r="43">
      <c r="A43" s="60" t="s">
        <v>518</v>
      </c>
      <c r="B43" s="61" t="s">
        <v>531</v>
      </c>
      <c r="C43" s="61">
        <v>3.0</v>
      </c>
      <c r="D43" s="61">
        <v>1.0</v>
      </c>
      <c r="E43" s="61" t="s">
        <v>455</v>
      </c>
      <c r="F43" s="59" t="s">
        <v>532</v>
      </c>
      <c r="G43" s="57">
        <f t="shared" si="1"/>
        <v>-5.5</v>
      </c>
      <c r="H43" s="19"/>
      <c r="I43" s="20">
        <v>1.0</v>
      </c>
      <c r="J43" s="21"/>
      <c r="K43" s="47"/>
      <c r="L43" s="63">
        <v>5.0</v>
      </c>
      <c r="M43" s="19"/>
      <c r="N43" s="20">
        <v>-1.0</v>
      </c>
      <c r="O43" s="21"/>
      <c r="P43" s="47"/>
      <c r="Q43" s="63">
        <v>-2.0</v>
      </c>
      <c r="R43" s="19"/>
      <c r="S43" s="20">
        <v>3.0</v>
      </c>
      <c r="T43" s="21"/>
      <c r="U43" s="47"/>
      <c r="V43" s="63">
        <v>5.0</v>
      </c>
      <c r="W43" s="9"/>
      <c r="X43" s="9"/>
      <c r="Y43" s="9"/>
      <c r="Z43" s="9"/>
    </row>
    <row r="44">
      <c r="A44" s="54" t="s">
        <v>533</v>
      </c>
      <c r="B44" s="55" t="s">
        <v>534</v>
      </c>
      <c r="C44" s="55">
        <v>1.0</v>
      </c>
      <c r="D44" s="61">
        <v>1.0</v>
      </c>
      <c r="E44" s="55" t="s">
        <v>443</v>
      </c>
      <c r="F44" s="56" t="s">
        <v>535</v>
      </c>
      <c r="G44" s="57">
        <f t="shared" si="1"/>
        <v>1</v>
      </c>
      <c r="H44" s="19"/>
      <c r="I44" s="20">
        <v>2.0</v>
      </c>
      <c r="J44" s="21"/>
      <c r="K44" s="47"/>
      <c r="L44" s="63">
        <v>1.0</v>
      </c>
      <c r="M44" s="19"/>
      <c r="N44" s="20">
        <v>-4.0</v>
      </c>
      <c r="O44" s="21"/>
      <c r="P44" s="47"/>
      <c r="Q44" s="63">
        <v>-5.0</v>
      </c>
      <c r="R44" s="19"/>
      <c r="S44" s="20">
        <v>5.0</v>
      </c>
      <c r="T44" s="21"/>
      <c r="U44" s="47"/>
      <c r="V44" s="63">
        <v>5.0</v>
      </c>
      <c r="W44" s="9"/>
      <c r="X44" s="9"/>
      <c r="Y44" s="9"/>
      <c r="Z44" s="9"/>
    </row>
    <row r="45">
      <c r="A45" s="58" t="s">
        <v>533</v>
      </c>
      <c r="B45" s="9" t="s">
        <v>536</v>
      </c>
      <c r="C45" s="9">
        <v>1.0</v>
      </c>
      <c r="D45" s="61">
        <v>1.0</v>
      </c>
      <c r="E45" s="9" t="s">
        <v>455</v>
      </c>
      <c r="F45" s="59" t="s">
        <v>537</v>
      </c>
      <c r="G45" s="57">
        <f t="shared" si="1"/>
        <v>3.5</v>
      </c>
      <c r="H45" s="19"/>
      <c r="I45" s="20">
        <v>2.0</v>
      </c>
      <c r="J45" s="21"/>
      <c r="K45" s="47"/>
      <c r="L45" s="63">
        <v>2.0</v>
      </c>
      <c r="M45" s="19"/>
      <c r="N45" s="20">
        <v>-1.0</v>
      </c>
      <c r="O45" s="21"/>
      <c r="P45" s="47"/>
      <c r="Q45" s="63">
        <v>-1.0</v>
      </c>
      <c r="R45" s="19"/>
      <c r="S45" s="20">
        <v>4.0</v>
      </c>
      <c r="T45" s="21"/>
      <c r="U45" s="47"/>
      <c r="V45" s="63">
        <v>3.0</v>
      </c>
      <c r="W45" s="9"/>
      <c r="X45" s="9"/>
      <c r="Y45" s="9"/>
      <c r="Z45" s="9"/>
    </row>
    <row r="46">
      <c r="A46" s="58" t="s">
        <v>533</v>
      </c>
      <c r="B46" s="9" t="s">
        <v>538</v>
      </c>
      <c r="C46" s="9">
        <v>1.0</v>
      </c>
      <c r="D46" s="61">
        <v>1.0</v>
      </c>
      <c r="E46" s="9" t="s">
        <v>455</v>
      </c>
      <c r="F46" s="59" t="s">
        <v>539</v>
      </c>
      <c r="G46" s="57">
        <f t="shared" si="1"/>
        <v>2.5</v>
      </c>
      <c r="H46" s="19"/>
      <c r="I46" s="20">
        <v>2.0</v>
      </c>
      <c r="J46" s="21"/>
      <c r="K46" s="47"/>
      <c r="L46" s="63">
        <v>2.0</v>
      </c>
      <c r="M46" s="19"/>
      <c r="N46" s="20">
        <v>-3.0</v>
      </c>
      <c r="O46" s="21"/>
      <c r="P46" s="47"/>
      <c r="Q46" s="63" t="s">
        <v>540</v>
      </c>
      <c r="R46" s="19"/>
      <c r="S46" s="20">
        <v>3.0</v>
      </c>
      <c r="T46" s="21"/>
      <c r="U46" s="47"/>
      <c r="V46" s="63">
        <v>3.0</v>
      </c>
      <c r="W46" s="9"/>
      <c r="X46" s="9"/>
      <c r="Y46" s="9"/>
      <c r="Z46" s="9"/>
    </row>
    <row r="47">
      <c r="A47" s="58" t="s">
        <v>533</v>
      </c>
      <c r="B47" s="9" t="s">
        <v>541</v>
      </c>
      <c r="C47" s="9">
        <v>1.0</v>
      </c>
      <c r="D47" s="61">
        <v>1.0</v>
      </c>
      <c r="E47" s="9" t="s">
        <v>443</v>
      </c>
      <c r="F47" s="59" t="s">
        <v>542</v>
      </c>
      <c r="G47" s="57">
        <f t="shared" si="1"/>
        <v>4</v>
      </c>
      <c r="H47" s="19"/>
      <c r="I47" s="20">
        <v>2.0</v>
      </c>
      <c r="J47" s="21"/>
      <c r="K47" s="47"/>
      <c r="L47" s="63">
        <v>2.0</v>
      </c>
      <c r="M47" s="19"/>
      <c r="N47" s="20">
        <v>-1.0</v>
      </c>
      <c r="O47" s="21"/>
      <c r="P47" s="47"/>
      <c r="Q47" s="63">
        <v>-2.0</v>
      </c>
      <c r="R47" s="19"/>
      <c r="S47" s="20">
        <v>5.0</v>
      </c>
      <c r="T47" s="21"/>
      <c r="U47" s="47"/>
      <c r="V47" s="63">
        <v>4.0</v>
      </c>
      <c r="W47" s="9"/>
      <c r="X47" s="9"/>
      <c r="Y47" s="9"/>
      <c r="Z47" s="9"/>
    </row>
    <row r="48">
      <c r="A48" s="58" t="s">
        <v>533</v>
      </c>
      <c r="B48" s="9" t="s">
        <v>543</v>
      </c>
      <c r="C48" s="9">
        <v>2.0</v>
      </c>
      <c r="D48" s="61">
        <v>1.0</v>
      </c>
      <c r="E48" s="9" t="s">
        <v>443</v>
      </c>
      <c r="F48" s="59" t="s">
        <v>544</v>
      </c>
      <c r="G48" s="57">
        <f t="shared" si="1"/>
        <v>5</v>
      </c>
      <c r="H48" s="19"/>
      <c r="I48" s="20">
        <v>4.0</v>
      </c>
      <c r="J48" s="21"/>
      <c r="K48" s="47"/>
      <c r="L48" s="63">
        <v>4.0</v>
      </c>
      <c r="M48" s="19"/>
      <c r="N48" s="20">
        <v>0.0</v>
      </c>
      <c r="O48" s="21"/>
      <c r="P48" s="47"/>
      <c r="Q48" s="63">
        <v>0.0</v>
      </c>
      <c r="R48" s="19"/>
      <c r="S48" s="20">
        <v>5.0</v>
      </c>
      <c r="T48" s="21"/>
      <c r="U48" s="47"/>
      <c r="V48" s="63">
        <v>5.0</v>
      </c>
      <c r="W48" s="9"/>
      <c r="X48" s="9"/>
      <c r="Y48" s="9"/>
      <c r="Z48" s="9"/>
    </row>
    <row r="49">
      <c r="A49" s="58" t="s">
        <v>533</v>
      </c>
      <c r="B49" s="9" t="s">
        <v>545</v>
      </c>
      <c r="C49" s="9">
        <v>2.0</v>
      </c>
      <c r="D49" s="61">
        <v>1.0</v>
      </c>
      <c r="E49" s="9" t="s">
        <v>467</v>
      </c>
      <c r="F49" s="59" t="s">
        <v>546</v>
      </c>
      <c r="G49" s="57">
        <f t="shared" si="1"/>
        <v>3.5</v>
      </c>
      <c r="H49" s="19"/>
      <c r="I49" s="20">
        <v>4.0</v>
      </c>
      <c r="J49" s="21"/>
      <c r="K49" s="47"/>
      <c r="L49" s="63">
        <v>4.0</v>
      </c>
      <c r="M49" s="19"/>
      <c r="N49" s="20">
        <v>-1.0</v>
      </c>
      <c r="O49" s="21"/>
      <c r="P49" s="47"/>
      <c r="Q49" s="63">
        <v>0.0</v>
      </c>
      <c r="R49" s="19"/>
      <c r="S49" s="20">
        <v>5.0</v>
      </c>
      <c r="T49" s="21"/>
      <c r="U49" s="47"/>
      <c r="V49" s="63">
        <v>3.0</v>
      </c>
      <c r="W49" s="9"/>
      <c r="X49" s="9"/>
      <c r="Y49" s="9"/>
      <c r="Z49" s="9"/>
    </row>
    <row r="50">
      <c r="A50" s="58" t="s">
        <v>533</v>
      </c>
      <c r="B50" s="9" t="s">
        <v>547</v>
      </c>
      <c r="C50" s="9">
        <v>2.0</v>
      </c>
      <c r="D50" s="61">
        <v>1.0</v>
      </c>
      <c r="E50" s="9" t="s">
        <v>443</v>
      </c>
      <c r="F50" s="59" t="s">
        <v>548</v>
      </c>
      <c r="G50" s="57">
        <f t="shared" si="1"/>
        <v>-3</v>
      </c>
      <c r="H50" s="19"/>
      <c r="I50" s="20">
        <v>2.0</v>
      </c>
      <c r="J50" s="21"/>
      <c r="K50" s="47"/>
      <c r="L50" s="63">
        <v>2.0</v>
      </c>
      <c r="M50" s="19"/>
      <c r="N50" s="20">
        <v>-3.0</v>
      </c>
      <c r="O50" s="21"/>
      <c r="P50" s="47"/>
      <c r="Q50" s="63">
        <v>-1.0</v>
      </c>
      <c r="R50" s="19"/>
      <c r="S50" s="20">
        <v>1.0</v>
      </c>
      <c r="T50" s="21"/>
      <c r="U50" s="47"/>
      <c r="V50" s="63">
        <v>1.0</v>
      </c>
      <c r="W50" s="9"/>
      <c r="X50" s="9"/>
      <c r="Y50" s="9"/>
      <c r="Z50" s="9"/>
    </row>
    <row r="51">
      <c r="A51" s="60" t="s">
        <v>533</v>
      </c>
      <c r="B51" s="61" t="s">
        <v>549</v>
      </c>
      <c r="C51" s="61">
        <v>3.0</v>
      </c>
      <c r="D51" s="61">
        <v>1.0</v>
      </c>
      <c r="E51" s="61" t="s">
        <v>443</v>
      </c>
      <c r="F51" s="62" t="s">
        <v>550</v>
      </c>
      <c r="G51" s="57">
        <f t="shared" si="1"/>
        <v>-6</v>
      </c>
      <c r="H51" s="19"/>
      <c r="I51" s="20">
        <v>2.0</v>
      </c>
      <c r="J51" s="21"/>
      <c r="K51" s="47"/>
      <c r="L51" s="63">
        <v>4.0</v>
      </c>
      <c r="M51" s="19"/>
      <c r="N51" s="20">
        <v>-1.0</v>
      </c>
      <c r="O51" s="21"/>
      <c r="P51" s="47"/>
      <c r="Q51" s="63">
        <v>-2.0</v>
      </c>
      <c r="R51" s="19"/>
      <c r="S51" s="20">
        <v>3.0</v>
      </c>
      <c r="T51" s="21"/>
      <c r="U51" s="47"/>
      <c r="V51" s="63">
        <v>4.0</v>
      </c>
      <c r="W51" s="9"/>
      <c r="X51" s="9"/>
      <c r="Y51" s="9"/>
      <c r="Z51" s="9"/>
    </row>
    <row r="52">
      <c r="A52" s="54" t="s">
        <v>551</v>
      </c>
      <c r="B52" s="55" t="s">
        <v>552</v>
      </c>
      <c r="C52" s="55">
        <v>1.0</v>
      </c>
      <c r="D52" s="61">
        <v>1.0</v>
      </c>
      <c r="E52" s="55" t="s">
        <v>455</v>
      </c>
      <c r="F52" s="56" t="s">
        <v>553</v>
      </c>
      <c r="G52" s="57">
        <f t="shared" si="1"/>
        <v>1.5</v>
      </c>
      <c r="H52" s="19"/>
      <c r="I52" s="20">
        <v>2.0</v>
      </c>
      <c r="J52" s="21"/>
      <c r="K52" s="47"/>
      <c r="L52" s="63">
        <v>2.0</v>
      </c>
      <c r="M52" s="19"/>
      <c r="N52" s="20">
        <v>-3.0</v>
      </c>
      <c r="O52" s="21"/>
      <c r="P52" s="47"/>
      <c r="Q52" s="63">
        <v>-2.0</v>
      </c>
      <c r="R52" s="19"/>
      <c r="S52" s="20">
        <v>3.0</v>
      </c>
      <c r="T52" s="21"/>
      <c r="U52" s="47"/>
      <c r="V52" s="63">
        <v>3.0</v>
      </c>
      <c r="W52" s="9"/>
      <c r="X52" s="9"/>
      <c r="Y52" s="9"/>
      <c r="Z52" s="9"/>
    </row>
    <row r="53">
      <c r="A53" s="58" t="s">
        <v>551</v>
      </c>
      <c r="B53" s="9" t="s">
        <v>554</v>
      </c>
      <c r="C53" s="9">
        <v>1.0</v>
      </c>
      <c r="D53" s="61">
        <v>1.0</v>
      </c>
      <c r="E53" s="9" t="s">
        <v>443</v>
      </c>
      <c r="F53" s="59" t="s">
        <v>555</v>
      </c>
      <c r="G53" s="57">
        <f t="shared" si="1"/>
        <v>5</v>
      </c>
      <c r="H53" s="19"/>
      <c r="I53" s="20">
        <v>2.0</v>
      </c>
      <c r="J53" s="21"/>
      <c r="K53" s="47"/>
      <c r="L53" s="63">
        <v>1.0</v>
      </c>
      <c r="M53" s="19"/>
      <c r="N53" s="20">
        <v>-1.0</v>
      </c>
      <c r="O53" s="21"/>
      <c r="P53" s="47"/>
      <c r="Q53" s="63">
        <v>0.0</v>
      </c>
      <c r="R53" s="19"/>
      <c r="S53" s="20">
        <v>5.0</v>
      </c>
      <c r="T53" s="21"/>
      <c r="U53" s="47"/>
      <c r="V53" s="63">
        <v>5.0</v>
      </c>
      <c r="W53" s="9"/>
      <c r="X53" s="9"/>
      <c r="Y53" s="9"/>
      <c r="Z53" s="9"/>
    </row>
    <row r="54">
      <c r="A54" s="58" t="s">
        <v>551</v>
      </c>
      <c r="B54" s="9" t="s">
        <v>556</v>
      </c>
      <c r="C54" s="9">
        <v>1.0</v>
      </c>
      <c r="D54" s="61">
        <v>1.0</v>
      </c>
      <c r="E54" s="9" t="s">
        <v>443</v>
      </c>
      <c r="F54" s="64" t="s">
        <v>557</v>
      </c>
      <c r="G54" s="57">
        <f t="shared" si="1"/>
        <v>2</v>
      </c>
      <c r="H54" s="19"/>
      <c r="I54" s="20">
        <v>2.0</v>
      </c>
      <c r="J54" s="21"/>
      <c r="K54" s="47"/>
      <c r="L54" s="63">
        <v>2.0</v>
      </c>
      <c r="M54" s="19"/>
      <c r="N54" s="20">
        <v>-1.0</v>
      </c>
      <c r="O54" s="21"/>
      <c r="P54" s="47"/>
      <c r="Q54" s="63">
        <v>-1.0</v>
      </c>
      <c r="R54" s="19"/>
      <c r="S54" s="20">
        <v>2.0</v>
      </c>
      <c r="T54" s="21"/>
      <c r="U54" s="47"/>
      <c r="V54" s="63">
        <v>2.0</v>
      </c>
      <c r="W54" s="9"/>
      <c r="X54" s="9"/>
      <c r="Y54" s="9"/>
      <c r="Z54" s="9"/>
    </row>
    <row r="55">
      <c r="A55" s="58" t="s">
        <v>551</v>
      </c>
      <c r="B55" s="9" t="s">
        <v>558</v>
      </c>
      <c r="C55" s="9">
        <v>1.0</v>
      </c>
      <c r="D55" s="61">
        <v>1.0</v>
      </c>
      <c r="E55" s="9" t="s">
        <v>467</v>
      </c>
      <c r="F55" s="59" t="s">
        <v>559</v>
      </c>
      <c r="G55" s="57">
        <f t="shared" si="1"/>
        <v>6.5</v>
      </c>
      <c r="H55" s="19"/>
      <c r="I55" s="20">
        <v>4.0</v>
      </c>
      <c r="J55" s="21"/>
      <c r="K55" s="47"/>
      <c r="L55" s="63">
        <v>2.0</v>
      </c>
      <c r="M55" s="19"/>
      <c r="N55" s="20">
        <v>-1.0</v>
      </c>
      <c r="O55" s="21"/>
      <c r="P55" s="47"/>
      <c r="Q55" s="63">
        <v>0.0</v>
      </c>
      <c r="R55" s="19"/>
      <c r="S55" s="20">
        <v>5.0</v>
      </c>
      <c r="T55" s="21"/>
      <c r="U55" s="47"/>
      <c r="V55" s="63">
        <v>5.0</v>
      </c>
      <c r="W55" s="9"/>
      <c r="X55" s="9"/>
      <c r="Y55" s="9"/>
      <c r="Z55" s="9"/>
    </row>
    <row r="56">
      <c r="A56" s="58" t="s">
        <v>551</v>
      </c>
      <c r="B56" s="9" t="s">
        <v>560</v>
      </c>
      <c r="C56" s="9">
        <v>1.0</v>
      </c>
      <c r="D56" s="61">
        <v>1.0</v>
      </c>
      <c r="E56" s="9" t="s">
        <v>467</v>
      </c>
      <c r="F56" s="59" t="s">
        <v>561</v>
      </c>
      <c r="G56" s="57">
        <f t="shared" si="1"/>
        <v>2</v>
      </c>
      <c r="H56" s="19"/>
      <c r="I56" s="20">
        <v>2.0</v>
      </c>
      <c r="J56" s="21"/>
      <c r="K56" s="47"/>
      <c r="L56" s="63">
        <v>2.0</v>
      </c>
      <c r="M56" s="19"/>
      <c r="N56" s="20">
        <v>-1.0</v>
      </c>
      <c r="O56" s="21"/>
      <c r="P56" s="47"/>
      <c r="Q56" s="63">
        <v>0.0</v>
      </c>
      <c r="R56" s="19"/>
      <c r="S56" s="20">
        <v>2.0</v>
      </c>
      <c r="T56" s="21"/>
      <c r="U56" s="47"/>
      <c r="V56" s="63">
        <v>1.0</v>
      </c>
      <c r="W56" s="9"/>
      <c r="X56" s="9"/>
      <c r="Y56" s="9"/>
      <c r="Z56" s="9"/>
    </row>
    <row r="57">
      <c r="A57" s="58" t="s">
        <v>551</v>
      </c>
      <c r="B57" s="9" t="s">
        <v>562</v>
      </c>
      <c r="C57" s="9">
        <v>2.0</v>
      </c>
      <c r="D57" s="61">
        <v>1.0</v>
      </c>
      <c r="E57" s="9" t="s">
        <v>443</v>
      </c>
      <c r="F57" s="59" t="s">
        <v>563</v>
      </c>
      <c r="G57" s="57">
        <f t="shared" si="1"/>
        <v>4.5</v>
      </c>
      <c r="H57" s="19"/>
      <c r="I57" s="20">
        <v>5.0</v>
      </c>
      <c r="J57" s="21"/>
      <c r="K57" s="47"/>
      <c r="L57" s="63">
        <v>5.0</v>
      </c>
      <c r="M57" s="19"/>
      <c r="N57" s="20">
        <v>-1.0</v>
      </c>
      <c r="O57" s="21"/>
      <c r="P57" s="47"/>
      <c r="Q57" s="63">
        <v>-1.0</v>
      </c>
      <c r="R57" s="19"/>
      <c r="S57" s="20">
        <v>4.0</v>
      </c>
      <c r="T57" s="21"/>
      <c r="U57" s="47"/>
      <c r="V57" s="63">
        <v>5.0</v>
      </c>
      <c r="W57" s="9"/>
      <c r="X57" s="9"/>
      <c r="Y57" s="9"/>
      <c r="Z57" s="9"/>
    </row>
    <row r="58">
      <c r="A58" s="58" t="s">
        <v>551</v>
      </c>
      <c r="B58" s="9" t="s">
        <v>564</v>
      </c>
      <c r="C58" s="9">
        <v>2.0</v>
      </c>
      <c r="D58" s="61">
        <v>1.0</v>
      </c>
      <c r="E58" s="9" t="s">
        <v>467</v>
      </c>
      <c r="F58" s="59" t="s">
        <v>565</v>
      </c>
      <c r="G58" s="57">
        <f t="shared" si="1"/>
        <v>-1.5</v>
      </c>
      <c r="H58" s="19"/>
      <c r="I58" s="20">
        <v>2.0</v>
      </c>
      <c r="J58" s="21"/>
      <c r="K58" s="47"/>
      <c r="L58" s="63">
        <v>2.0</v>
      </c>
      <c r="M58" s="19"/>
      <c r="N58" s="20">
        <v>-1.0</v>
      </c>
      <c r="O58" s="21"/>
      <c r="P58" s="47"/>
      <c r="Q58" s="63">
        <v>0.0</v>
      </c>
      <c r="R58" s="19"/>
      <c r="S58" s="20">
        <v>1.0</v>
      </c>
      <c r="T58" s="21"/>
      <c r="U58" s="47"/>
      <c r="V58" s="63">
        <v>1.0</v>
      </c>
      <c r="W58" s="9"/>
      <c r="X58" s="9"/>
      <c r="Y58" s="9"/>
      <c r="Z58" s="9"/>
    </row>
    <row r="59">
      <c r="A59" s="60" t="s">
        <v>551</v>
      </c>
      <c r="B59" s="61" t="s">
        <v>566</v>
      </c>
      <c r="C59" s="61">
        <v>3.0</v>
      </c>
      <c r="D59" s="61">
        <v>1.0</v>
      </c>
      <c r="E59" s="61" t="s">
        <v>455</v>
      </c>
      <c r="F59" s="62" t="s">
        <v>567</v>
      </c>
      <c r="G59" s="57">
        <f t="shared" si="1"/>
        <v>-2.5</v>
      </c>
      <c r="H59" s="19"/>
      <c r="I59" s="20">
        <v>5.0</v>
      </c>
      <c r="J59" s="21"/>
      <c r="K59" s="47"/>
      <c r="L59" s="63">
        <v>4.0</v>
      </c>
      <c r="M59" s="19"/>
      <c r="N59" s="20">
        <v>-1.0</v>
      </c>
      <c r="O59" s="21"/>
      <c r="P59" s="47"/>
      <c r="Q59" s="63">
        <v>-1.0</v>
      </c>
      <c r="R59" s="19"/>
      <c r="S59" s="20">
        <v>5.0</v>
      </c>
      <c r="T59" s="21"/>
      <c r="U59" s="47"/>
      <c r="V59" s="63">
        <v>5.0</v>
      </c>
      <c r="W59" s="9"/>
      <c r="X59" s="9"/>
      <c r="Y59" s="9"/>
      <c r="Z59" s="9"/>
    </row>
    <row r="60">
      <c r="A60" s="54" t="s">
        <v>568</v>
      </c>
      <c r="B60" s="55" t="s">
        <v>569</v>
      </c>
      <c r="C60" s="55">
        <v>0.0</v>
      </c>
      <c r="D60" s="55">
        <v>2.0</v>
      </c>
      <c r="E60" s="55" t="s">
        <v>455</v>
      </c>
      <c r="F60" s="56" t="s">
        <v>570</v>
      </c>
      <c r="G60" s="57">
        <f t="shared" si="1"/>
        <v>4.5</v>
      </c>
      <c r="H60" s="19"/>
      <c r="I60" s="20">
        <v>4.0</v>
      </c>
      <c r="J60" s="21"/>
      <c r="K60" s="47"/>
      <c r="L60" s="63">
        <v>3.0</v>
      </c>
      <c r="M60" s="19"/>
      <c r="N60" s="20">
        <v>-3.0</v>
      </c>
      <c r="O60" s="21"/>
      <c r="P60" s="47"/>
      <c r="Q60" s="63">
        <v>-2.0</v>
      </c>
      <c r="R60" s="19"/>
      <c r="S60" s="20">
        <v>3.0</v>
      </c>
      <c r="T60" s="21"/>
      <c r="U60" s="47"/>
      <c r="V60" s="63">
        <v>4.0</v>
      </c>
      <c r="W60" s="9"/>
      <c r="X60" s="9"/>
      <c r="Y60" s="9"/>
      <c r="Z60" s="9"/>
    </row>
    <row r="61">
      <c r="A61" s="58" t="s">
        <v>568</v>
      </c>
      <c r="B61" s="9" t="s">
        <v>571</v>
      </c>
      <c r="C61" s="9">
        <v>0.0</v>
      </c>
      <c r="D61" s="9">
        <v>2.0</v>
      </c>
      <c r="E61" s="9" t="s">
        <v>455</v>
      </c>
      <c r="F61" s="59" t="s">
        <v>572</v>
      </c>
      <c r="G61" s="57">
        <f t="shared" si="1"/>
        <v>3</v>
      </c>
      <c r="H61" s="19"/>
      <c r="I61" s="20">
        <v>3.0</v>
      </c>
      <c r="J61" s="21"/>
      <c r="K61" s="47"/>
      <c r="L61" s="63">
        <v>2.0</v>
      </c>
      <c r="M61" s="19"/>
      <c r="N61" s="20">
        <v>-2.0</v>
      </c>
      <c r="O61" s="21"/>
      <c r="P61" s="47"/>
      <c r="Q61" s="63">
        <v>-2.0</v>
      </c>
      <c r="R61" s="19"/>
      <c r="S61" s="20">
        <v>3.0</v>
      </c>
      <c r="T61" s="21"/>
      <c r="U61" s="47"/>
      <c r="V61" s="63">
        <v>2.0</v>
      </c>
      <c r="W61" s="9"/>
      <c r="X61" s="9"/>
      <c r="Y61" s="9"/>
      <c r="Z61" s="9"/>
    </row>
    <row r="62">
      <c r="A62" s="58" t="s">
        <v>568</v>
      </c>
      <c r="B62" s="65" t="s">
        <v>573</v>
      </c>
      <c r="C62" s="9">
        <v>0.0</v>
      </c>
      <c r="D62" s="9">
        <v>2.0</v>
      </c>
      <c r="E62" s="9" t="s">
        <v>443</v>
      </c>
      <c r="F62" s="59" t="s">
        <v>574</v>
      </c>
      <c r="G62" s="57">
        <f t="shared" si="1"/>
        <v>6.5</v>
      </c>
      <c r="H62" s="19"/>
      <c r="I62" s="25">
        <v>4.0</v>
      </c>
      <c r="J62" s="21"/>
      <c r="K62" s="47"/>
      <c r="L62" s="63">
        <v>4.0</v>
      </c>
      <c r="M62" s="19"/>
      <c r="N62" s="20">
        <v>-1.0</v>
      </c>
      <c r="O62" s="21"/>
      <c r="P62" s="47"/>
      <c r="Q62" s="63">
        <v>-1.0</v>
      </c>
      <c r="R62" s="19"/>
      <c r="S62" s="20">
        <v>3.0</v>
      </c>
      <c r="T62" s="21"/>
      <c r="U62" s="47"/>
      <c r="V62" s="63">
        <v>4.0</v>
      </c>
      <c r="W62" s="9"/>
      <c r="X62" s="9"/>
      <c r="Y62" s="9"/>
      <c r="Z62" s="9"/>
    </row>
    <row r="63">
      <c r="A63" s="58" t="s">
        <v>568</v>
      </c>
      <c r="B63" s="9" t="s">
        <v>575</v>
      </c>
      <c r="C63" s="9">
        <v>0.0</v>
      </c>
      <c r="D63" s="9">
        <v>2.0</v>
      </c>
      <c r="E63" s="9" t="s">
        <v>455</v>
      </c>
      <c r="F63" s="59" t="s">
        <v>576</v>
      </c>
      <c r="G63" s="57">
        <f t="shared" si="1"/>
        <v>5</v>
      </c>
      <c r="H63" s="19"/>
      <c r="I63" s="20">
        <v>2.0</v>
      </c>
      <c r="J63" s="21"/>
      <c r="K63" s="47"/>
      <c r="L63" s="63">
        <v>2.0</v>
      </c>
      <c r="M63" s="19"/>
      <c r="N63" s="20">
        <v>-1.0</v>
      </c>
      <c r="O63" s="21"/>
      <c r="P63" s="47"/>
      <c r="Q63" s="63">
        <v>0.0</v>
      </c>
      <c r="R63" s="19"/>
      <c r="S63" s="20">
        <v>4.0</v>
      </c>
      <c r="T63" s="21"/>
      <c r="U63" s="47"/>
      <c r="V63" s="63">
        <v>3.0</v>
      </c>
      <c r="W63" s="9"/>
      <c r="X63" s="9"/>
      <c r="Y63" s="9"/>
      <c r="Z63" s="9"/>
    </row>
    <row r="64">
      <c r="A64" s="58" t="s">
        <v>568</v>
      </c>
      <c r="B64" s="9" t="s">
        <v>577</v>
      </c>
      <c r="C64" s="9">
        <v>0.0</v>
      </c>
      <c r="D64" s="65">
        <v>1.0</v>
      </c>
      <c r="E64" s="9" t="s">
        <v>467</v>
      </c>
      <c r="F64" s="59" t="s">
        <v>578</v>
      </c>
      <c r="G64" s="57">
        <f t="shared" si="1"/>
        <v>2.5</v>
      </c>
      <c r="H64" s="19"/>
      <c r="I64" s="20">
        <v>2.0</v>
      </c>
      <c r="J64" s="21"/>
      <c r="K64" s="47"/>
      <c r="L64" s="63">
        <v>2.0</v>
      </c>
      <c r="M64" s="19"/>
      <c r="N64" s="20">
        <v>-3.0</v>
      </c>
      <c r="O64" s="21"/>
      <c r="P64" s="47"/>
      <c r="Q64" s="63">
        <v>-3.0</v>
      </c>
      <c r="R64" s="19"/>
      <c r="S64" s="20">
        <v>4.0</v>
      </c>
      <c r="T64" s="21"/>
      <c r="U64" s="47"/>
      <c r="V64" s="63">
        <v>3.0</v>
      </c>
      <c r="W64" s="9"/>
      <c r="X64" s="9"/>
      <c r="Y64" s="9"/>
      <c r="Z64" s="9"/>
    </row>
    <row r="65">
      <c r="A65" s="58" t="s">
        <v>568</v>
      </c>
      <c r="B65" s="9" t="s">
        <v>579</v>
      </c>
      <c r="C65" s="9">
        <v>0.0</v>
      </c>
      <c r="D65" s="65">
        <v>1.0</v>
      </c>
      <c r="E65" s="9" t="s">
        <v>443</v>
      </c>
      <c r="F65" s="59" t="s">
        <v>580</v>
      </c>
      <c r="G65" s="57">
        <f t="shared" si="1"/>
        <v>3.5</v>
      </c>
      <c r="H65" s="19"/>
      <c r="I65" s="20">
        <v>2.0</v>
      </c>
      <c r="J65" s="21"/>
      <c r="K65" s="47"/>
      <c r="L65" s="63">
        <v>4.0</v>
      </c>
      <c r="M65" s="19"/>
      <c r="N65" s="20">
        <v>-2.0</v>
      </c>
      <c r="O65" s="21"/>
      <c r="P65" s="47"/>
      <c r="Q65" s="63">
        <v>-3.0</v>
      </c>
      <c r="R65" s="19"/>
      <c r="S65" s="20">
        <v>2.0</v>
      </c>
      <c r="T65" s="21"/>
      <c r="U65" s="47"/>
      <c r="V65" s="63">
        <v>4.0</v>
      </c>
      <c r="W65" s="9"/>
      <c r="X65" s="9"/>
      <c r="Y65" s="9"/>
      <c r="Z65" s="9"/>
    </row>
    <row r="66">
      <c r="A66" s="58" t="s">
        <v>568</v>
      </c>
      <c r="B66" s="9" t="s">
        <v>581</v>
      </c>
      <c r="C66" s="9">
        <v>0.0</v>
      </c>
      <c r="D66" s="65">
        <v>1.0</v>
      </c>
      <c r="E66" s="9" t="s">
        <v>467</v>
      </c>
      <c r="F66" s="59" t="s">
        <v>582</v>
      </c>
      <c r="G66" s="57">
        <f t="shared" si="1"/>
        <v>6</v>
      </c>
      <c r="H66" s="19"/>
      <c r="I66" s="20">
        <v>2.0</v>
      </c>
      <c r="J66" s="21"/>
      <c r="K66" s="47"/>
      <c r="L66" s="63">
        <v>2.0</v>
      </c>
      <c r="M66" s="19"/>
      <c r="N66" s="20">
        <v>-1.0</v>
      </c>
      <c r="O66" s="21"/>
      <c r="P66" s="47"/>
      <c r="Q66" s="63">
        <v>-1.0</v>
      </c>
      <c r="R66" s="19"/>
      <c r="S66" s="20">
        <v>5.0</v>
      </c>
      <c r="T66" s="21"/>
      <c r="U66" s="47"/>
      <c r="V66" s="63">
        <v>5.0</v>
      </c>
      <c r="W66" s="9"/>
      <c r="X66" s="9"/>
      <c r="Y66" s="9"/>
      <c r="Z66" s="9"/>
    </row>
    <row r="67">
      <c r="A67" s="58" t="s">
        <v>568</v>
      </c>
      <c r="B67" s="9" t="s">
        <v>583</v>
      </c>
      <c r="C67" s="9">
        <v>0.0</v>
      </c>
      <c r="D67" s="65">
        <v>1.0</v>
      </c>
      <c r="E67" s="9" t="s">
        <v>443</v>
      </c>
      <c r="F67" s="59" t="s">
        <v>584</v>
      </c>
      <c r="G67" s="57">
        <f t="shared" si="1"/>
        <v>6.5</v>
      </c>
      <c r="H67" s="19"/>
      <c r="I67" s="20">
        <v>4.0</v>
      </c>
      <c r="J67" s="21"/>
      <c r="K67" s="47"/>
      <c r="L67" s="63">
        <v>4.0</v>
      </c>
      <c r="M67" s="19"/>
      <c r="N67" s="20">
        <v>-1.0</v>
      </c>
      <c r="O67" s="21"/>
      <c r="P67" s="47"/>
      <c r="Q67" s="63">
        <v>-3.0</v>
      </c>
      <c r="R67" s="19"/>
      <c r="S67" s="20">
        <v>5.0</v>
      </c>
      <c r="T67" s="21"/>
      <c r="U67" s="47"/>
      <c r="V67" s="63">
        <v>4.0</v>
      </c>
      <c r="W67" s="9"/>
      <c r="X67" s="9"/>
      <c r="Y67" s="9"/>
      <c r="Z67" s="9"/>
    </row>
    <row r="68">
      <c r="A68" s="58" t="s">
        <v>568</v>
      </c>
      <c r="B68" s="9" t="s">
        <v>585</v>
      </c>
      <c r="C68" s="9">
        <v>0.0</v>
      </c>
      <c r="D68" s="65">
        <v>1.0</v>
      </c>
      <c r="E68" s="9" t="s">
        <v>455</v>
      </c>
      <c r="F68" s="59" t="s">
        <v>586</v>
      </c>
      <c r="G68" s="57">
        <f t="shared" si="1"/>
        <v>6</v>
      </c>
      <c r="H68" s="19"/>
      <c r="I68" s="20">
        <v>4.0</v>
      </c>
      <c r="J68" s="21"/>
      <c r="K68" s="47"/>
      <c r="L68" s="63">
        <v>4.0</v>
      </c>
      <c r="M68" s="19"/>
      <c r="N68" s="20">
        <v>-1.0</v>
      </c>
      <c r="O68" s="21"/>
      <c r="P68" s="47"/>
      <c r="Q68" s="63">
        <v>-2.0</v>
      </c>
      <c r="R68" s="19"/>
      <c r="S68" s="20">
        <v>4.0</v>
      </c>
      <c r="T68" s="21"/>
      <c r="U68" s="47"/>
      <c r="V68" s="63">
        <v>3.0</v>
      </c>
      <c r="W68" s="9"/>
      <c r="X68" s="9"/>
      <c r="Y68" s="9"/>
      <c r="Z68" s="9"/>
    </row>
    <row r="69">
      <c r="A69" s="58" t="s">
        <v>568</v>
      </c>
      <c r="B69" s="9" t="s">
        <v>587</v>
      </c>
      <c r="C69" s="9">
        <v>0.0</v>
      </c>
      <c r="D69" s="65">
        <v>1.0</v>
      </c>
      <c r="E69" s="9" t="s">
        <v>443</v>
      </c>
      <c r="F69" s="59" t="s">
        <v>588</v>
      </c>
      <c r="G69" s="57">
        <f t="shared" si="1"/>
        <v>5.5</v>
      </c>
      <c r="H69" s="19"/>
      <c r="I69" s="20">
        <v>4.0</v>
      </c>
      <c r="J69" s="21"/>
      <c r="K69" s="47"/>
      <c r="L69" s="63">
        <v>2.0</v>
      </c>
      <c r="M69" s="19"/>
      <c r="N69" s="20">
        <v>-3.0</v>
      </c>
      <c r="O69" s="21"/>
      <c r="P69" s="47"/>
      <c r="Q69" s="63">
        <v>-2.0</v>
      </c>
      <c r="R69" s="19"/>
      <c r="S69" s="20">
        <v>5.0</v>
      </c>
      <c r="T69" s="21"/>
      <c r="U69" s="47"/>
      <c r="V69" s="63">
        <v>5.0</v>
      </c>
      <c r="W69" s="9"/>
      <c r="X69" s="9"/>
      <c r="Y69" s="9"/>
      <c r="Z69" s="9"/>
    </row>
    <row r="70">
      <c r="A70" s="60" t="s">
        <v>568</v>
      </c>
      <c r="B70" s="61" t="s">
        <v>589</v>
      </c>
      <c r="C70" s="61">
        <v>0.0</v>
      </c>
      <c r="D70" s="66">
        <v>1.0</v>
      </c>
      <c r="E70" s="61" t="s">
        <v>467</v>
      </c>
      <c r="F70" s="62" t="s">
        <v>590</v>
      </c>
      <c r="G70" s="57">
        <f t="shared" si="1"/>
        <v>2</v>
      </c>
      <c r="H70" s="19"/>
      <c r="I70" s="20">
        <v>3.0</v>
      </c>
      <c r="J70" s="21"/>
      <c r="K70" s="47"/>
      <c r="L70" s="63">
        <v>2.0</v>
      </c>
      <c r="M70" s="19"/>
      <c r="N70" s="20">
        <v>-3.0</v>
      </c>
      <c r="O70" s="21"/>
      <c r="P70" s="47"/>
      <c r="Q70" s="63">
        <v>-3.0</v>
      </c>
      <c r="R70" s="19"/>
      <c r="S70" s="20">
        <v>3.0</v>
      </c>
      <c r="T70" s="21"/>
      <c r="U70" s="47"/>
      <c r="V70" s="63">
        <v>2.0</v>
      </c>
      <c r="W70" s="9"/>
      <c r="X70" s="9"/>
      <c r="Y70" s="9"/>
      <c r="Z70" s="9"/>
    </row>
    <row r="71">
      <c r="A71" s="67" t="s">
        <v>591</v>
      </c>
      <c r="B71" s="55" t="s">
        <v>592</v>
      </c>
      <c r="C71" s="55">
        <v>0.0</v>
      </c>
      <c r="D71" s="55">
        <v>2.0</v>
      </c>
      <c r="E71" s="55" t="s">
        <v>455</v>
      </c>
      <c r="F71" s="56" t="s">
        <v>593</v>
      </c>
      <c r="G71" s="57">
        <f t="shared" si="1"/>
        <v>4.5</v>
      </c>
      <c r="H71" s="19"/>
      <c r="I71" s="20">
        <v>2.0</v>
      </c>
      <c r="J71" s="21"/>
      <c r="K71" s="47"/>
      <c r="L71" s="63">
        <v>4.0</v>
      </c>
      <c r="M71" s="19"/>
      <c r="N71" s="20">
        <v>-1.0</v>
      </c>
      <c r="O71" s="21"/>
      <c r="P71" s="47"/>
      <c r="Q71" s="63">
        <v>0.0</v>
      </c>
      <c r="R71" s="19"/>
      <c r="S71" s="20">
        <v>2.0</v>
      </c>
      <c r="T71" s="21"/>
      <c r="U71" s="47"/>
      <c r="V71" s="63">
        <v>2.0</v>
      </c>
      <c r="W71" s="9"/>
      <c r="X71" s="9"/>
      <c r="Y71" s="9"/>
      <c r="Z71" s="9"/>
    </row>
    <row r="72">
      <c r="A72" s="68" t="s">
        <v>591</v>
      </c>
      <c r="B72" s="9" t="s">
        <v>594</v>
      </c>
      <c r="C72" s="9">
        <v>0.0</v>
      </c>
      <c r="D72" s="9">
        <v>2.0</v>
      </c>
      <c r="E72" s="9" t="s">
        <v>467</v>
      </c>
      <c r="F72" s="59" t="s">
        <v>595</v>
      </c>
      <c r="G72" s="57">
        <f t="shared" si="1"/>
        <v>2</v>
      </c>
      <c r="H72" s="19"/>
      <c r="I72" s="20">
        <v>2.0</v>
      </c>
      <c r="J72" s="21"/>
      <c r="K72" s="47"/>
      <c r="L72" s="63">
        <v>2.0</v>
      </c>
      <c r="M72" s="19"/>
      <c r="N72" s="20">
        <v>-3.0</v>
      </c>
      <c r="O72" s="21"/>
      <c r="P72" s="47"/>
      <c r="Q72" s="63">
        <v>-2.0</v>
      </c>
      <c r="R72" s="19"/>
      <c r="S72" s="20">
        <v>3.0</v>
      </c>
      <c r="T72" s="21"/>
      <c r="U72" s="47"/>
      <c r="V72" s="63">
        <v>2.0</v>
      </c>
      <c r="W72" s="9"/>
      <c r="X72" s="9"/>
      <c r="Y72" s="9"/>
      <c r="Z72" s="9"/>
    </row>
    <row r="73">
      <c r="A73" s="68" t="s">
        <v>591</v>
      </c>
      <c r="B73" s="9" t="s">
        <v>596</v>
      </c>
      <c r="C73" s="9">
        <v>0.0</v>
      </c>
      <c r="D73" s="9">
        <v>2.0</v>
      </c>
      <c r="E73" s="9" t="s">
        <v>443</v>
      </c>
      <c r="F73" s="59" t="s">
        <v>597</v>
      </c>
      <c r="G73" s="57">
        <f t="shared" si="1"/>
        <v>4.5</v>
      </c>
      <c r="H73" s="19"/>
      <c r="I73" s="20">
        <v>2.0</v>
      </c>
      <c r="J73" s="21"/>
      <c r="K73" s="47"/>
      <c r="L73" s="63">
        <v>2.0</v>
      </c>
      <c r="M73" s="19"/>
      <c r="N73" s="20">
        <v>-1.0</v>
      </c>
      <c r="O73" s="21"/>
      <c r="P73" s="47"/>
      <c r="Q73" s="63">
        <v>0.0</v>
      </c>
      <c r="R73" s="19"/>
      <c r="S73" s="20">
        <v>3.0</v>
      </c>
      <c r="T73" s="21"/>
      <c r="U73" s="47"/>
      <c r="V73" s="63">
        <v>3.0</v>
      </c>
      <c r="W73" s="9"/>
      <c r="X73" s="9"/>
      <c r="Y73" s="9"/>
      <c r="Z73" s="9"/>
    </row>
    <row r="74">
      <c r="A74" s="68" t="s">
        <v>591</v>
      </c>
      <c r="B74" s="9" t="s">
        <v>598</v>
      </c>
      <c r="C74" s="9">
        <v>0.0</v>
      </c>
      <c r="D74" s="9">
        <v>2.0</v>
      </c>
      <c r="E74" s="9" t="s">
        <v>443</v>
      </c>
      <c r="F74" s="59" t="s">
        <v>599</v>
      </c>
      <c r="G74" s="57">
        <f t="shared" si="1"/>
        <v>6.5</v>
      </c>
      <c r="H74" s="19"/>
      <c r="I74" s="20">
        <v>4.0</v>
      </c>
      <c r="J74" s="21"/>
      <c r="K74" s="47"/>
      <c r="L74" s="63">
        <v>2.0</v>
      </c>
      <c r="M74" s="19"/>
      <c r="N74" s="20">
        <v>-1.0</v>
      </c>
      <c r="O74" s="21"/>
      <c r="P74" s="47"/>
      <c r="Q74" s="63">
        <v>0.0</v>
      </c>
      <c r="R74" s="19"/>
      <c r="S74" s="20">
        <v>5.0</v>
      </c>
      <c r="T74" s="21"/>
      <c r="U74" s="47"/>
      <c r="V74" s="63">
        <v>3.0</v>
      </c>
      <c r="W74" s="9"/>
      <c r="X74" s="9"/>
      <c r="Y74" s="9"/>
      <c r="Z74" s="9"/>
    </row>
    <row r="75">
      <c r="A75" s="68" t="s">
        <v>591</v>
      </c>
      <c r="B75" s="9" t="s">
        <v>600</v>
      </c>
      <c r="C75" s="9">
        <v>0.0</v>
      </c>
      <c r="D75" s="9">
        <v>2.0</v>
      </c>
      <c r="E75" s="9" t="s">
        <v>443</v>
      </c>
      <c r="F75" s="59" t="s">
        <v>601</v>
      </c>
      <c r="G75" s="57">
        <f t="shared" si="1"/>
        <v>5.5</v>
      </c>
      <c r="H75" s="19"/>
      <c r="I75" s="20">
        <v>2.0</v>
      </c>
      <c r="J75" s="21"/>
      <c r="K75" s="47"/>
      <c r="L75" s="63">
        <v>2.0</v>
      </c>
      <c r="M75" s="19"/>
      <c r="N75" s="20">
        <v>-1.0</v>
      </c>
      <c r="O75" s="21"/>
      <c r="P75" s="47"/>
      <c r="Q75" s="63">
        <v>0.0</v>
      </c>
      <c r="R75" s="19"/>
      <c r="S75" s="20">
        <v>5.0</v>
      </c>
      <c r="T75" s="21"/>
      <c r="U75" s="47"/>
      <c r="V75" s="63">
        <v>3.0</v>
      </c>
      <c r="W75" s="9"/>
      <c r="X75" s="9"/>
      <c r="Y75" s="9"/>
      <c r="Z75" s="9"/>
    </row>
    <row r="76">
      <c r="A76" s="68" t="s">
        <v>591</v>
      </c>
      <c r="B76" s="9" t="s">
        <v>602</v>
      </c>
      <c r="C76" s="9">
        <v>0.0</v>
      </c>
      <c r="D76" s="65">
        <v>1.0</v>
      </c>
      <c r="E76" s="9" t="s">
        <v>467</v>
      </c>
      <c r="F76" s="59" t="s">
        <v>603</v>
      </c>
      <c r="G76" s="57">
        <f t="shared" si="1"/>
        <v>3.5</v>
      </c>
      <c r="H76" s="19"/>
      <c r="I76" s="20">
        <v>2.0</v>
      </c>
      <c r="J76" s="21"/>
      <c r="K76" s="47"/>
      <c r="L76" s="63">
        <v>2.0</v>
      </c>
      <c r="M76" s="19"/>
      <c r="N76" s="20">
        <v>-3.0</v>
      </c>
      <c r="O76" s="21"/>
      <c r="P76" s="47"/>
      <c r="Q76" s="63">
        <v>-2.0</v>
      </c>
      <c r="R76" s="19"/>
      <c r="S76" s="20">
        <v>4.0</v>
      </c>
      <c r="T76" s="21"/>
      <c r="U76" s="47"/>
      <c r="V76" s="63">
        <v>4.0</v>
      </c>
      <c r="W76" s="9"/>
      <c r="X76" s="9"/>
      <c r="Y76" s="9"/>
      <c r="Z76" s="9"/>
    </row>
    <row r="77">
      <c r="A77" s="68" t="s">
        <v>591</v>
      </c>
      <c r="B77" s="9" t="s">
        <v>604</v>
      </c>
      <c r="C77" s="9">
        <v>0.0</v>
      </c>
      <c r="D77" s="65">
        <v>1.0</v>
      </c>
      <c r="E77" s="9" t="s">
        <v>443</v>
      </c>
      <c r="F77" s="59" t="s">
        <v>605</v>
      </c>
      <c r="G77" s="57">
        <f t="shared" si="1"/>
        <v>5</v>
      </c>
      <c r="H77" s="19"/>
      <c r="I77" s="20">
        <v>4.0</v>
      </c>
      <c r="J77" s="21"/>
      <c r="K77" s="47"/>
      <c r="L77" s="63">
        <v>4.0</v>
      </c>
      <c r="M77" s="19"/>
      <c r="N77" s="20">
        <v>-1.0</v>
      </c>
      <c r="O77" s="21"/>
      <c r="P77" s="47"/>
      <c r="Q77" s="63">
        <v>-3.0</v>
      </c>
      <c r="R77" s="19"/>
      <c r="S77" s="20">
        <v>2.0</v>
      </c>
      <c r="T77" s="21"/>
      <c r="U77" s="47"/>
      <c r="V77" s="63">
        <v>4.0</v>
      </c>
      <c r="W77" s="9"/>
      <c r="X77" s="9"/>
      <c r="Y77" s="9"/>
      <c r="Z77" s="9"/>
    </row>
    <row r="78">
      <c r="A78" s="68" t="s">
        <v>591</v>
      </c>
      <c r="B78" s="9" t="s">
        <v>606</v>
      </c>
      <c r="C78" s="9">
        <v>0.0</v>
      </c>
      <c r="D78" s="65">
        <v>1.0</v>
      </c>
      <c r="E78" s="9" t="s">
        <v>467</v>
      </c>
      <c r="F78" s="59" t="s">
        <v>607</v>
      </c>
      <c r="G78" s="57">
        <f t="shared" si="1"/>
        <v>2.5</v>
      </c>
      <c r="H78" s="19"/>
      <c r="I78" s="20">
        <v>3.0</v>
      </c>
      <c r="J78" s="21"/>
      <c r="K78" s="47"/>
      <c r="L78" s="63">
        <v>2.0</v>
      </c>
      <c r="M78" s="19"/>
      <c r="N78" s="20">
        <v>-3.0</v>
      </c>
      <c r="O78" s="21"/>
      <c r="P78" s="47"/>
      <c r="Q78" s="63">
        <v>-3.0</v>
      </c>
      <c r="R78" s="19"/>
      <c r="S78" s="20">
        <v>3.0</v>
      </c>
      <c r="T78" s="21"/>
      <c r="U78" s="47"/>
      <c r="V78" s="63">
        <v>3.0</v>
      </c>
      <c r="W78" s="9"/>
      <c r="X78" s="9"/>
      <c r="Y78" s="9"/>
      <c r="Z78" s="9"/>
    </row>
    <row r="79">
      <c r="A79" s="68" t="s">
        <v>591</v>
      </c>
      <c r="B79" s="9" t="s">
        <v>608</v>
      </c>
      <c r="C79" s="9">
        <v>0.0</v>
      </c>
      <c r="D79" s="65">
        <v>1.0</v>
      </c>
      <c r="E79" s="9" t="s">
        <v>455</v>
      </c>
      <c r="F79" s="59" t="s">
        <v>609</v>
      </c>
      <c r="G79" s="57">
        <f t="shared" si="1"/>
        <v>8.5</v>
      </c>
      <c r="H79" s="19"/>
      <c r="I79" s="20">
        <v>5.0</v>
      </c>
      <c r="J79" s="21"/>
      <c r="K79" s="47"/>
      <c r="L79" s="63">
        <v>5.0</v>
      </c>
      <c r="M79" s="19"/>
      <c r="N79" s="20">
        <v>-1.0</v>
      </c>
      <c r="O79" s="21"/>
      <c r="P79" s="47"/>
      <c r="Q79" s="63">
        <v>-1.0</v>
      </c>
      <c r="R79" s="19"/>
      <c r="S79" s="20">
        <v>4.0</v>
      </c>
      <c r="T79" s="21"/>
      <c r="U79" s="47"/>
      <c r="V79" s="63">
        <v>5.0</v>
      </c>
      <c r="W79" s="9"/>
      <c r="X79" s="9"/>
      <c r="Y79" s="9"/>
      <c r="Z79" s="9"/>
    </row>
    <row r="80">
      <c r="A80" s="69" t="s">
        <v>591</v>
      </c>
      <c r="B80" s="61" t="s">
        <v>610</v>
      </c>
      <c r="C80" s="61">
        <v>0.0</v>
      </c>
      <c r="D80" s="66">
        <v>1.0</v>
      </c>
      <c r="E80" s="61" t="s">
        <v>455</v>
      </c>
      <c r="F80" s="62" t="s">
        <v>611</v>
      </c>
      <c r="G80" s="57">
        <f t="shared" si="1"/>
        <v>4</v>
      </c>
      <c r="H80" s="19"/>
      <c r="I80" s="20">
        <v>4.0</v>
      </c>
      <c r="J80" s="21"/>
      <c r="K80" s="47"/>
      <c r="L80" s="63">
        <v>2.0</v>
      </c>
      <c r="M80" s="19"/>
      <c r="N80" s="20">
        <v>-3.0</v>
      </c>
      <c r="O80" s="21"/>
      <c r="P80" s="47"/>
      <c r="Q80" s="63">
        <v>-3.0</v>
      </c>
      <c r="R80" s="19"/>
      <c r="S80" s="20">
        <v>5.0</v>
      </c>
      <c r="T80" s="21"/>
      <c r="U80" s="47"/>
      <c r="V80" s="63">
        <v>3.0</v>
      </c>
      <c r="W80" s="9"/>
      <c r="X80" s="9"/>
      <c r="Y80" s="9"/>
      <c r="Z80" s="9"/>
    </row>
    <row r="81">
      <c r="A81" s="54" t="s">
        <v>612</v>
      </c>
      <c r="B81" s="55" t="s">
        <v>613</v>
      </c>
      <c r="C81" s="55">
        <v>1.0</v>
      </c>
      <c r="D81" s="55">
        <v>2.0</v>
      </c>
      <c r="E81" s="55" t="s">
        <v>443</v>
      </c>
      <c r="F81" s="56" t="s">
        <v>614</v>
      </c>
      <c r="G81" s="57">
        <f t="shared" si="1"/>
        <v>1</v>
      </c>
      <c r="H81" s="19"/>
      <c r="I81" s="20">
        <v>1.0</v>
      </c>
      <c r="J81" s="21"/>
      <c r="K81" s="47"/>
      <c r="L81" s="63">
        <v>1.0</v>
      </c>
      <c r="M81" s="19"/>
      <c r="N81" s="20">
        <v>0.0</v>
      </c>
      <c r="O81" s="21"/>
      <c r="P81" s="47"/>
      <c r="Q81" s="63">
        <v>0.0</v>
      </c>
      <c r="R81" s="19"/>
      <c r="S81" s="20">
        <v>1.0</v>
      </c>
      <c r="T81" s="21"/>
      <c r="U81" s="47"/>
      <c r="V81" s="63">
        <v>1.0</v>
      </c>
      <c r="W81" s="9"/>
      <c r="X81" s="9"/>
      <c r="Y81" s="9"/>
      <c r="Z81" s="9"/>
    </row>
    <row r="82">
      <c r="A82" s="58" t="s">
        <v>612</v>
      </c>
      <c r="B82" s="9" t="s">
        <v>615</v>
      </c>
      <c r="C82" s="9">
        <v>1.0</v>
      </c>
      <c r="D82" s="9">
        <v>2.0</v>
      </c>
      <c r="E82" s="9" t="s">
        <v>455</v>
      </c>
      <c r="F82" s="59" t="s">
        <v>616</v>
      </c>
      <c r="G82" s="57">
        <f t="shared" si="1"/>
        <v>5.5</v>
      </c>
      <c r="H82" s="19"/>
      <c r="I82" s="20">
        <v>5.0</v>
      </c>
      <c r="J82" s="21"/>
      <c r="K82" s="47"/>
      <c r="L82" s="63">
        <v>5.0</v>
      </c>
      <c r="M82" s="19"/>
      <c r="N82" s="20">
        <v>0.0</v>
      </c>
      <c r="O82" s="21"/>
      <c r="P82" s="47"/>
      <c r="Q82" s="63">
        <v>0.0</v>
      </c>
      <c r="R82" s="19"/>
      <c r="S82" s="20">
        <v>2.0</v>
      </c>
      <c r="T82" s="21"/>
      <c r="U82" s="47"/>
      <c r="V82" s="63">
        <v>1.0</v>
      </c>
      <c r="W82" s="9"/>
      <c r="X82" s="9"/>
      <c r="Y82" s="9"/>
      <c r="Z82" s="9"/>
    </row>
    <row r="83">
      <c r="A83" s="58" t="s">
        <v>612</v>
      </c>
      <c r="B83" s="9" t="s">
        <v>617</v>
      </c>
      <c r="C83" s="9">
        <v>1.0</v>
      </c>
      <c r="D83" s="65">
        <v>1.0</v>
      </c>
      <c r="E83" s="9" t="s">
        <v>455</v>
      </c>
      <c r="F83" s="59" t="s">
        <v>618</v>
      </c>
      <c r="G83" s="57">
        <f t="shared" si="1"/>
        <v>4</v>
      </c>
      <c r="H83" s="19"/>
      <c r="I83" s="20">
        <v>2.0</v>
      </c>
      <c r="J83" s="21"/>
      <c r="K83" s="47"/>
      <c r="L83" s="63">
        <v>2.0</v>
      </c>
      <c r="M83" s="19"/>
      <c r="N83" s="20">
        <v>-1.0</v>
      </c>
      <c r="O83" s="21"/>
      <c r="P83" s="47"/>
      <c r="Q83" s="63">
        <v>0.0</v>
      </c>
      <c r="R83" s="19"/>
      <c r="S83" s="20">
        <v>4.0</v>
      </c>
      <c r="T83" s="21"/>
      <c r="U83" s="47"/>
      <c r="V83" s="63">
        <v>3.0</v>
      </c>
      <c r="W83" s="9"/>
      <c r="X83" s="9"/>
      <c r="Y83" s="9"/>
      <c r="Z83" s="9"/>
    </row>
    <row r="84">
      <c r="A84" s="58" t="s">
        <v>612</v>
      </c>
      <c r="B84" s="9" t="s">
        <v>619</v>
      </c>
      <c r="C84" s="9">
        <v>1.0</v>
      </c>
      <c r="D84" s="65">
        <v>1.0</v>
      </c>
      <c r="E84" s="9" t="s">
        <v>443</v>
      </c>
      <c r="F84" s="59" t="s">
        <v>620</v>
      </c>
      <c r="G84" s="57">
        <f t="shared" si="1"/>
        <v>2</v>
      </c>
      <c r="H84" s="19"/>
      <c r="I84" s="20">
        <v>2.0</v>
      </c>
      <c r="J84" s="21"/>
      <c r="K84" s="47"/>
      <c r="L84" s="63">
        <v>1.0</v>
      </c>
      <c r="M84" s="19"/>
      <c r="N84" s="20">
        <v>0.0</v>
      </c>
      <c r="O84" s="21"/>
      <c r="P84" s="47"/>
      <c r="Q84" s="63">
        <v>0.0</v>
      </c>
      <c r="R84" s="19"/>
      <c r="S84" s="20">
        <v>2.0</v>
      </c>
      <c r="T84" s="21"/>
      <c r="U84" s="47"/>
      <c r="V84" s="63">
        <v>1.0</v>
      </c>
      <c r="W84" s="9"/>
      <c r="X84" s="9"/>
      <c r="Y84" s="9"/>
      <c r="Z84" s="9"/>
    </row>
    <row r="85">
      <c r="A85" s="58" t="s">
        <v>612</v>
      </c>
      <c r="B85" s="9" t="s">
        <v>621</v>
      </c>
      <c r="C85" s="9">
        <v>1.0</v>
      </c>
      <c r="D85" s="65">
        <v>1.0</v>
      </c>
      <c r="E85" s="9" t="s">
        <v>443</v>
      </c>
      <c r="F85" s="59" t="s">
        <v>622</v>
      </c>
      <c r="G85" s="57">
        <f t="shared" si="1"/>
        <v>3.5</v>
      </c>
      <c r="H85" s="19"/>
      <c r="I85" s="20">
        <v>2.0</v>
      </c>
      <c r="J85" s="21"/>
      <c r="K85" s="47"/>
      <c r="L85" s="63">
        <v>2.0</v>
      </c>
      <c r="M85" s="19"/>
      <c r="N85" s="20">
        <v>-1.0</v>
      </c>
      <c r="O85" s="21"/>
      <c r="P85" s="47"/>
      <c r="Q85" s="63">
        <v>0.0</v>
      </c>
      <c r="R85" s="19"/>
      <c r="S85" s="20">
        <v>3.0</v>
      </c>
      <c r="T85" s="21"/>
      <c r="U85" s="47"/>
      <c r="V85" s="63">
        <v>3.0</v>
      </c>
      <c r="W85" s="9"/>
      <c r="X85" s="9"/>
      <c r="Y85" s="9"/>
      <c r="Z85" s="9"/>
    </row>
    <row r="86">
      <c r="A86" s="58" t="s">
        <v>612</v>
      </c>
      <c r="B86" s="9" t="s">
        <v>623</v>
      </c>
      <c r="C86" s="9">
        <v>1.0</v>
      </c>
      <c r="D86" s="65">
        <v>1.0</v>
      </c>
      <c r="E86" s="9" t="s">
        <v>624</v>
      </c>
      <c r="F86" s="59" t="s">
        <v>625</v>
      </c>
      <c r="G86" s="57">
        <f t="shared" si="1"/>
        <v>2</v>
      </c>
      <c r="H86" s="19"/>
      <c r="I86" s="20">
        <v>2.0</v>
      </c>
      <c r="J86" s="21"/>
      <c r="K86" s="47"/>
      <c r="L86" s="63">
        <v>5.0</v>
      </c>
      <c r="M86" s="19"/>
      <c r="N86" s="20">
        <v>-1.0</v>
      </c>
      <c r="O86" s="21"/>
      <c r="P86" s="47"/>
      <c r="Q86" s="63">
        <v>-3.0</v>
      </c>
      <c r="R86" s="19"/>
      <c r="S86" s="20">
        <v>2.0</v>
      </c>
      <c r="T86" s="21"/>
      <c r="U86" s="47"/>
      <c r="V86" s="63">
        <v>1.0</v>
      </c>
      <c r="W86" s="9"/>
      <c r="X86" s="9"/>
      <c r="Y86" s="9"/>
      <c r="Z86" s="9"/>
    </row>
    <row r="87">
      <c r="A87" s="58" t="s">
        <v>612</v>
      </c>
      <c r="B87" s="9" t="s">
        <v>626</v>
      </c>
      <c r="C87" s="9">
        <v>1.0</v>
      </c>
      <c r="D87" s="65">
        <v>1.0</v>
      </c>
      <c r="E87" s="9" t="s">
        <v>443</v>
      </c>
      <c r="F87" s="59" t="s">
        <v>627</v>
      </c>
      <c r="G87" s="57">
        <f t="shared" si="1"/>
        <v>0</v>
      </c>
      <c r="H87" s="19"/>
      <c r="I87" s="20">
        <v>1.0</v>
      </c>
      <c r="J87" s="21"/>
      <c r="K87" s="47"/>
      <c r="L87" s="63">
        <v>1.0</v>
      </c>
      <c r="M87" s="19"/>
      <c r="N87" s="20">
        <v>-1.0</v>
      </c>
      <c r="O87" s="21"/>
      <c r="P87" s="47"/>
      <c r="Q87" s="63">
        <v>-2.0</v>
      </c>
      <c r="R87" s="19"/>
      <c r="S87" s="20">
        <v>2.0</v>
      </c>
      <c r="T87" s="21"/>
      <c r="U87" s="47"/>
      <c r="V87" s="63">
        <v>1.0</v>
      </c>
      <c r="W87" s="9"/>
      <c r="X87" s="9"/>
      <c r="Y87" s="9"/>
      <c r="Z87" s="9"/>
    </row>
    <row r="88">
      <c r="A88" s="58" t="s">
        <v>612</v>
      </c>
      <c r="B88" s="9" t="s">
        <v>628</v>
      </c>
      <c r="C88" s="9">
        <v>1.0</v>
      </c>
      <c r="D88" s="65">
        <v>1.0</v>
      </c>
      <c r="E88" s="9" t="s">
        <v>443</v>
      </c>
      <c r="F88" s="59" t="s">
        <v>629</v>
      </c>
      <c r="G88" s="57">
        <f t="shared" si="1"/>
        <v>0.5</v>
      </c>
      <c r="H88" s="19"/>
      <c r="I88" s="20">
        <v>1.0</v>
      </c>
      <c r="J88" s="21"/>
      <c r="K88" s="47"/>
      <c r="L88" s="63">
        <v>1.0</v>
      </c>
      <c r="M88" s="19"/>
      <c r="N88" s="20">
        <v>-1.0</v>
      </c>
      <c r="O88" s="21"/>
      <c r="P88" s="47"/>
      <c r="Q88" s="63">
        <v>-1.0</v>
      </c>
      <c r="R88" s="19"/>
      <c r="S88" s="20">
        <v>1.0</v>
      </c>
      <c r="T88" s="21"/>
      <c r="U88" s="47"/>
      <c r="V88" s="63">
        <v>2.0</v>
      </c>
      <c r="W88" s="9"/>
      <c r="X88" s="9"/>
      <c r="Y88" s="9"/>
      <c r="Z88" s="9"/>
    </row>
    <row r="89">
      <c r="A89" s="60" t="s">
        <v>612</v>
      </c>
      <c r="B89" s="61" t="s">
        <v>630</v>
      </c>
      <c r="C89" s="61">
        <v>2.0</v>
      </c>
      <c r="D89" s="66">
        <v>1.0</v>
      </c>
      <c r="E89" s="61" t="s">
        <v>443</v>
      </c>
      <c r="F89" s="62" t="s">
        <v>631</v>
      </c>
      <c r="G89" s="57">
        <f t="shared" si="1"/>
        <v>-0.5</v>
      </c>
      <c r="H89" s="19"/>
      <c r="I89" s="20">
        <v>2.0</v>
      </c>
      <c r="J89" s="21"/>
      <c r="K89" s="47"/>
      <c r="L89" s="63">
        <v>2.0</v>
      </c>
      <c r="M89" s="19"/>
      <c r="N89" s="20">
        <v>-1.0</v>
      </c>
      <c r="O89" s="21"/>
      <c r="P89" s="47"/>
      <c r="Q89" s="63">
        <v>-2.0</v>
      </c>
      <c r="R89" s="19"/>
      <c r="S89" s="20">
        <v>2.0</v>
      </c>
      <c r="T89" s="21"/>
      <c r="U89" s="47"/>
      <c r="V89" s="63">
        <v>4.0</v>
      </c>
      <c r="W89" s="9"/>
      <c r="X89" s="9"/>
      <c r="Y89" s="9"/>
      <c r="Z89" s="9"/>
    </row>
    <row r="90">
      <c r="A90" s="54" t="s">
        <v>632</v>
      </c>
      <c r="B90" s="55" t="s">
        <v>633</v>
      </c>
      <c r="C90" s="55">
        <v>0.0</v>
      </c>
      <c r="D90" s="70">
        <v>1.0</v>
      </c>
      <c r="E90" s="55" t="s">
        <v>634</v>
      </c>
      <c r="F90" s="56" t="s">
        <v>635</v>
      </c>
      <c r="G90" s="57">
        <f t="shared" si="1"/>
        <v>7</v>
      </c>
      <c r="H90" s="19"/>
      <c r="I90" s="20">
        <v>5.0</v>
      </c>
      <c r="J90" s="44">
        <v>5.0</v>
      </c>
      <c r="K90" s="47"/>
      <c r="L90" s="23"/>
      <c r="M90" s="19"/>
      <c r="N90" s="20">
        <v>-3.0</v>
      </c>
      <c r="O90" s="44">
        <v>-2.0</v>
      </c>
      <c r="P90" s="47"/>
      <c r="Q90" s="23"/>
      <c r="R90" s="19"/>
      <c r="S90" s="20">
        <v>5.0</v>
      </c>
      <c r="T90" s="44">
        <v>4.0</v>
      </c>
      <c r="U90" s="47"/>
      <c r="V90" s="23"/>
      <c r="W90" s="9"/>
      <c r="X90" s="9"/>
      <c r="Y90" s="9"/>
      <c r="Z90" s="9"/>
    </row>
    <row r="91">
      <c r="A91" s="58" t="s">
        <v>632</v>
      </c>
      <c r="B91" s="9" t="s">
        <v>636</v>
      </c>
      <c r="C91" s="9">
        <v>0.0</v>
      </c>
      <c r="D91" s="65">
        <v>1.0</v>
      </c>
      <c r="E91" s="9" t="s">
        <v>443</v>
      </c>
      <c r="F91" s="59" t="s">
        <v>637</v>
      </c>
      <c r="G91" s="57">
        <f t="shared" si="1"/>
        <v>4.5</v>
      </c>
      <c r="H91" s="19"/>
      <c r="I91" s="20">
        <v>2.0</v>
      </c>
      <c r="J91" s="44">
        <v>2.0</v>
      </c>
      <c r="K91" s="47"/>
      <c r="L91" s="23"/>
      <c r="M91" s="19"/>
      <c r="N91" s="20">
        <v>-1.0</v>
      </c>
      <c r="O91" s="44">
        <v>-4.0</v>
      </c>
      <c r="P91" s="47"/>
      <c r="Q91" s="23"/>
      <c r="R91" s="19"/>
      <c r="S91" s="20">
        <v>5.0</v>
      </c>
      <c r="T91" s="44">
        <v>5.0</v>
      </c>
      <c r="U91" s="47"/>
      <c r="V91" s="23"/>
      <c r="W91" s="9"/>
      <c r="X91" s="9"/>
      <c r="Y91" s="9"/>
      <c r="Z91" s="9"/>
    </row>
    <row r="92">
      <c r="A92" s="58" t="s">
        <v>632</v>
      </c>
      <c r="B92" s="9" t="s">
        <v>638</v>
      </c>
      <c r="C92" s="9">
        <v>0.0</v>
      </c>
      <c r="D92" s="65">
        <v>1.0</v>
      </c>
      <c r="E92" s="9" t="s">
        <v>455</v>
      </c>
      <c r="F92" s="59" t="s">
        <v>639</v>
      </c>
      <c r="G92" s="57">
        <f t="shared" si="1"/>
        <v>5</v>
      </c>
      <c r="H92" s="19"/>
      <c r="I92" s="20">
        <v>2.0</v>
      </c>
      <c r="J92" s="44">
        <v>2.0</v>
      </c>
      <c r="K92" s="47"/>
      <c r="L92" s="23"/>
      <c r="M92" s="19"/>
      <c r="N92" s="20">
        <v>-1.0</v>
      </c>
      <c r="O92" s="44">
        <v>-1.0</v>
      </c>
      <c r="P92" s="47"/>
      <c r="Q92" s="23"/>
      <c r="R92" s="19"/>
      <c r="S92" s="20">
        <v>5.0</v>
      </c>
      <c r="T92" s="44">
        <v>3.0</v>
      </c>
      <c r="U92" s="47"/>
      <c r="V92" s="23"/>
      <c r="W92" s="9"/>
      <c r="X92" s="9"/>
      <c r="Y92" s="9"/>
      <c r="Z92" s="9"/>
    </row>
    <row r="93">
      <c r="A93" s="58" t="s">
        <v>632</v>
      </c>
      <c r="B93" s="9" t="s">
        <v>640</v>
      </c>
      <c r="C93" s="9">
        <v>0.0</v>
      </c>
      <c r="D93" s="65">
        <v>1.0</v>
      </c>
      <c r="E93" s="9" t="s">
        <v>443</v>
      </c>
      <c r="F93" s="59" t="s">
        <v>641</v>
      </c>
      <c r="G93" s="57">
        <f t="shared" si="1"/>
        <v>3</v>
      </c>
      <c r="H93" s="19"/>
      <c r="I93" s="20">
        <v>2.0</v>
      </c>
      <c r="J93" s="44">
        <v>2.0</v>
      </c>
      <c r="K93" s="47"/>
      <c r="L93" s="23"/>
      <c r="M93" s="19"/>
      <c r="N93" s="20">
        <v>-2.0</v>
      </c>
      <c r="O93" s="44">
        <v>-1.0</v>
      </c>
      <c r="P93" s="47"/>
      <c r="Q93" s="23"/>
      <c r="R93" s="19"/>
      <c r="S93" s="20">
        <v>3.0</v>
      </c>
      <c r="T93" s="44">
        <v>2.0</v>
      </c>
      <c r="U93" s="47"/>
      <c r="V93" s="23"/>
      <c r="W93" s="9"/>
      <c r="X93" s="9"/>
      <c r="Y93" s="9"/>
      <c r="Z93" s="9"/>
    </row>
    <row r="94">
      <c r="A94" s="58" t="s">
        <v>632</v>
      </c>
      <c r="B94" s="9" t="s">
        <v>642</v>
      </c>
      <c r="C94" s="9">
        <v>0.0</v>
      </c>
      <c r="D94" s="65">
        <v>1.0</v>
      </c>
      <c r="E94" s="9" t="s">
        <v>634</v>
      </c>
      <c r="F94" s="59" t="s">
        <v>643</v>
      </c>
      <c r="G94" s="57">
        <f t="shared" si="1"/>
        <v>8.5</v>
      </c>
      <c r="H94" s="19"/>
      <c r="I94" s="20">
        <v>5.0</v>
      </c>
      <c r="J94" s="44">
        <v>5.0</v>
      </c>
      <c r="K94" s="47"/>
      <c r="L94" s="23"/>
      <c r="M94" s="19"/>
      <c r="N94" s="20">
        <v>-1.0</v>
      </c>
      <c r="O94" s="44">
        <v>-1.0</v>
      </c>
      <c r="P94" s="47"/>
      <c r="Q94" s="23"/>
      <c r="R94" s="19"/>
      <c r="S94" s="20">
        <v>5.0</v>
      </c>
      <c r="T94" s="44">
        <v>4.0</v>
      </c>
      <c r="U94" s="47"/>
      <c r="V94" s="23"/>
      <c r="W94" s="9"/>
      <c r="X94" s="9"/>
      <c r="Y94" s="9"/>
      <c r="Z94" s="9"/>
    </row>
    <row r="95">
      <c r="A95" s="58" t="s">
        <v>632</v>
      </c>
      <c r="B95" s="9" t="s">
        <v>644</v>
      </c>
      <c r="C95" s="9">
        <v>0.0</v>
      </c>
      <c r="D95" s="65">
        <v>1.0</v>
      </c>
      <c r="E95" s="9" t="s">
        <v>634</v>
      </c>
      <c r="F95" s="59" t="s">
        <v>645</v>
      </c>
      <c r="G95" s="57">
        <f t="shared" si="1"/>
        <v>4</v>
      </c>
      <c r="H95" s="19"/>
      <c r="I95" s="20">
        <v>2.0</v>
      </c>
      <c r="J95" s="21"/>
      <c r="K95" s="47"/>
      <c r="L95" s="23"/>
      <c r="M95" s="19"/>
      <c r="N95" s="20">
        <v>-1.0</v>
      </c>
      <c r="O95" s="21"/>
      <c r="P95" s="47"/>
      <c r="Q95" s="23"/>
      <c r="R95" s="19"/>
      <c r="S95" s="20">
        <v>3.0</v>
      </c>
      <c r="T95" s="21"/>
      <c r="U95" s="47"/>
      <c r="V95" s="23"/>
      <c r="W95" s="9"/>
      <c r="X95" s="9"/>
      <c r="Y95" s="9"/>
      <c r="Z95" s="9"/>
    </row>
    <row r="96">
      <c r="A96" s="58" t="s">
        <v>632</v>
      </c>
      <c r="B96" s="9" t="s">
        <v>646</v>
      </c>
      <c r="C96" s="9">
        <v>0.0</v>
      </c>
      <c r="D96" s="65">
        <v>1.0</v>
      </c>
      <c r="E96" s="9" t="s">
        <v>467</v>
      </c>
      <c r="F96" s="59" t="s">
        <v>647</v>
      </c>
      <c r="G96" s="57">
        <f t="shared" si="1"/>
        <v>3</v>
      </c>
      <c r="H96" s="19"/>
      <c r="I96" s="20">
        <v>2.0</v>
      </c>
      <c r="J96" s="21"/>
      <c r="K96" s="47"/>
      <c r="L96" s="23"/>
      <c r="M96" s="19"/>
      <c r="N96" s="20">
        <v>-3.0</v>
      </c>
      <c r="O96" s="21"/>
      <c r="P96" s="47"/>
      <c r="Q96" s="23"/>
      <c r="R96" s="19"/>
      <c r="S96" s="20">
        <v>4.0</v>
      </c>
      <c r="T96" s="21"/>
      <c r="U96" s="47"/>
      <c r="V96" s="23"/>
      <c r="W96" s="9"/>
      <c r="X96" s="9"/>
      <c r="Y96" s="9"/>
      <c r="Z96" s="9"/>
    </row>
    <row r="97">
      <c r="A97" s="58" t="s">
        <v>632</v>
      </c>
      <c r="B97" s="9" t="s">
        <v>648</v>
      </c>
      <c r="C97" s="9">
        <v>0.0</v>
      </c>
      <c r="D97" s="65">
        <v>1.0</v>
      </c>
      <c r="E97" s="9" t="s">
        <v>443</v>
      </c>
      <c r="F97" s="59" t="s">
        <v>649</v>
      </c>
      <c r="G97" s="57">
        <f t="shared" si="1"/>
        <v>4</v>
      </c>
      <c r="H97" s="19"/>
      <c r="I97" s="20">
        <v>1.0</v>
      </c>
      <c r="J97" s="21"/>
      <c r="K97" s="47"/>
      <c r="L97" s="23"/>
      <c r="M97" s="19"/>
      <c r="N97" s="20">
        <v>-1.0</v>
      </c>
      <c r="O97" s="21"/>
      <c r="P97" s="47"/>
      <c r="Q97" s="23"/>
      <c r="R97" s="19"/>
      <c r="S97" s="20">
        <v>4.0</v>
      </c>
      <c r="T97" s="21"/>
      <c r="U97" s="47"/>
      <c r="V97" s="23"/>
      <c r="W97" s="9"/>
      <c r="X97" s="9"/>
      <c r="Y97" s="9"/>
      <c r="Z97" s="9"/>
    </row>
    <row r="98">
      <c r="A98" s="58" t="s">
        <v>632</v>
      </c>
      <c r="B98" s="9" t="s">
        <v>650</v>
      </c>
      <c r="C98" s="9">
        <v>0.0</v>
      </c>
      <c r="D98" s="65">
        <v>1.0</v>
      </c>
      <c r="E98" s="9" t="s">
        <v>443</v>
      </c>
      <c r="F98" s="59" t="s">
        <v>651</v>
      </c>
      <c r="G98" s="57">
        <f t="shared" si="1"/>
        <v>5</v>
      </c>
      <c r="H98" s="19"/>
      <c r="I98" s="20">
        <v>2.0</v>
      </c>
      <c r="J98" s="21"/>
      <c r="K98" s="47"/>
      <c r="L98" s="23"/>
      <c r="M98" s="19"/>
      <c r="N98" s="20">
        <v>-2.0</v>
      </c>
      <c r="O98" s="21"/>
      <c r="P98" s="47"/>
      <c r="Q98" s="23"/>
      <c r="R98" s="19"/>
      <c r="S98" s="20">
        <v>5.0</v>
      </c>
      <c r="T98" s="21"/>
      <c r="U98" s="47"/>
      <c r="V98" s="23"/>
      <c r="W98" s="9"/>
      <c r="X98" s="9"/>
      <c r="Y98" s="9"/>
      <c r="Z98" s="9"/>
    </row>
    <row r="99">
      <c r="A99" s="58" t="s">
        <v>632</v>
      </c>
      <c r="B99" s="9" t="s">
        <v>652</v>
      </c>
      <c r="C99" s="9">
        <v>0.0</v>
      </c>
      <c r="D99" s="65">
        <v>1.0</v>
      </c>
      <c r="E99" s="9" t="s">
        <v>443</v>
      </c>
      <c r="F99" s="59" t="s">
        <v>653</v>
      </c>
      <c r="G99" s="57">
        <f t="shared" si="1"/>
        <v>7</v>
      </c>
      <c r="H99" s="19"/>
      <c r="I99" s="20">
        <v>5.0</v>
      </c>
      <c r="J99" s="21"/>
      <c r="K99" s="47"/>
      <c r="L99" s="23"/>
      <c r="M99" s="19"/>
      <c r="N99" s="20">
        <v>0.0</v>
      </c>
      <c r="O99" s="21"/>
      <c r="P99" s="47"/>
      <c r="Q99" s="23"/>
      <c r="R99" s="19"/>
      <c r="S99" s="20">
        <v>2.0</v>
      </c>
      <c r="T99" s="21"/>
      <c r="U99" s="47"/>
      <c r="V99" s="23"/>
      <c r="W99" s="9"/>
      <c r="X99" s="9"/>
      <c r="Y99" s="9"/>
      <c r="Z99" s="9"/>
    </row>
    <row r="100">
      <c r="A100" s="58" t="s">
        <v>632</v>
      </c>
      <c r="B100" s="9" t="s">
        <v>654</v>
      </c>
      <c r="C100" s="9">
        <v>0.0</v>
      </c>
      <c r="D100" s="65">
        <v>1.0</v>
      </c>
      <c r="E100" s="9" t="s">
        <v>455</v>
      </c>
      <c r="F100" s="59" t="s">
        <v>655</v>
      </c>
      <c r="G100" s="57">
        <f t="shared" si="1"/>
        <v>4</v>
      </c>
      <c r="H100" s="19"/>
      <c r="I100" s="20">
        <v>3.0</v>
      </c>
      <c r="J100" s="21"/>
      <c r="K100" s="47"/>
      <c r="L100" s="23"/>
      <c r="M100" s="19"/>
      <c r="N100" s="20">
        <v>-3.0</v>
      </c>
      <c r="O100" s="21"/>
      <c r="P100" s="47"/>
      <c r="Q100" s="23"/>
      <c r="R100" s="19"/>
      <c r="S100" s="20">
        <v>4.0</v>
      </c>
      <c r="T100" s="21"/>
      <c r="U100" s="47"/>
      <c r="V100" s="23"/>
      <c r="W100" s="9"/>
      <c r="X100" s="9"/>
      <c r="Y100" s="9"/>
      <c r="Z100" s="9"/>
    </row>
    <row r="101">
      <c r="A101" s="58" t="s">
        <v>632</v>
      </c>
      <c r="B101" s="9" t="s">
        <v>656</v>
      </c>
      <c r="C101" s="9">
        <v>0.0</v>
      </c>
      <c r="D101" s="65">
        <v>1.0</v>
      </c>
      <c r="E101" s="9" t="s">
        <v>455</v>
      </c>
      <c r="F101" s="59" t="s">
        <v>657</v>
      </c>
      <c r="G101" s="57">
        <f t="shared" si="1"/>
        <v>7</v>
      </c>
      <c r="H101" s="19"/>
      <c r="I101" s="20">
        <v>5.0</v>
      </c>
      <c r="J101" s="21"/>
      <c r="K101" s="47"/>
      <c r="L101" s="23"/>
      <c r="M101" s="19"/>
      <c r="N101" s="20">
        <v>-1.0</v>
      </c>
      <c r="O101" s="21"/>
      <c r="P101" s="47"/>
      <c r="Q101" s="23"/>
      <c r="R101" s="19"/>
      <c r="S101" s="20">
        <v>3.0</v>
      </c>
      <c r="T101" s="21"/>
      <c r="U101" s="47"/>
      <c r="V101" s="23"/>
      <c r="W101" s="9"/>
      <c r="X101" s="9"/>
      <c r="Y101" s="9"/>
      <c r="Z101" s="9"/>
    </row>
    <row r="102">
      <c r="A102" s="58" t="s">
        <v>632</v>
      </c>
      <c r="B102" s="9" t="s">
        <v>658</v>
      </c>
      <c r="C102" s="9">
        <v>0.0</v>
      </c>
      <c r="D102" s="65">
        <v>1.0</v>
      </c>
      <c r="E102" s="9" t="s">
        <v>443</v>
      </c>
      <c r="F102" s="59" t="s">
        <v>659</v>
      </c>
      <c r="G102" s="57">
        <f t="shared" si="1"/>
        <v>8</v>
      </c>
      <c r="H102" s="19"/>
      <c r="I102" s="20">
        <v>5.0</v>
      </c>
      <c r="J102" s="21"/>
      <c r="K102" s="47"/>
      <c r="L102" s="23"/>
      <c r="M102" s="19"/>
      <c r="N102" s="20">
        <v>-1.0</v>
      </c>
      <c r="O102" s="21"/>
      <c r="P102" s="47"/>
      <c r="Q102" s="23"/>
      <c r="R102" s="19"/>
      <c r="S102" s="20">
        <v>4.0</v>
      </c>
      <c r="T102" s="21"/>
      <c r="U102" s="47"/>
      <c r="V102" s="23"/>
      <c r="W102" s="9"/>
      <c r="X102" s="9"/>
      <c r="Y102" s="9"/>
      <c r="Z102" s="9"/>
    </row>
    <row r="103">
      <c r="A103" s="58" t="s">
        <v>632</v>
      </c>
      <c r="B103" s="9" t="s">
        <v>660</v>
      </c>
      <c r="C103" s="9">
        <v>0.0</v>
      </c>
      <c r="D103" s="65">
        <v>1.0</v>
      </c>
      <c r="E103" s="9" t="s">
        <v>443</v>
      </c>
      <c r="F103" s="59" t="s">
        <v>661</v>
      </c>
      <c r="G103" s="57">
        <f t="shared" si="1"/>
        <v>6</v>
      </c>
      <c r="H103" s="19"/>
      <c r="I103" s="20">
        <v>4.0</v>
      </c>
      <c r="J103" s="21"/>
      <c r="K103" s="47"/>
      <c r="L103" s="23"/>
      <c r="M103" s="19"/>
      <c r="N103" s="20">
        <v>-1.0</v>
      </c>
      <c r="O103" s="21"/>
      <c r="P103" s="47"/>
      <c r="Q103" s="23"/>
      <c r="R103" s="19"/>
      <c r="S103" s="20">
        <v>3.0</v>
      </c>
      <c r="T103" s="21"/>
      <c r="U103" s="47"/>
      <c r="V103" s="23"/>
      <c r="W103" s="9"/>
      <c r="X103" s="9"/>
      <c r="Y103" s="9"/>
      <c r="Z103" s="9"/>
    </row>
    <row r="104">
      <c r="A104" s="58" t="s">
        <v>632</v>
      </c>
      <c r="B104" s="9" t="s">
        <v>662</v>
      </c>
      <c r="C104" s="9">
        <v>0.0</v>
      </c>
      <c r="D104" s="65">
        <v>1.0</v>
      </c>
      <c r="E104" s="9" t="s">
        <v>443</v>
      </c>
      <c r="F104" s="59" t="s">
        <v>663</v>
      </c>
      <c r="G104" s="57">
        <f t="shared" si="1"/>
        <v>2</v>
      </c>
      <c r="H104" s="19"/>
      <c r="I104" s="20">
        <v>2.0</v>
      </c>
      <c r="J104" s="21"/>
      <c r="K104" s="47"/>
      <c r="L104" s="23"/>
      <c r="M104" s="19"/>
      <c r="N104" s="20">
        <v>-3.0</v>
      </c>
      <c r="O104" s="21"/>
      <c r="P104" s="47"/>
      <c r="Q104" s="23"/>
      <c r="R104" s="19"/>
      <c r="S104" s="20">
        <v>3.0</v>
      </c>
      <c r="T104" s="21"/>
      <c r="U104" s="47"/>
      <c r="V104" s="23"/>
      <c r="W104" s="9"/>
      <c r="X104" s="9"/>
      <c r="Y104" s="9"/>
      <c r="Z104" s="9"/>
    </row>
    <row r="105">
      <c r="A105" s="58" t="s">
        <v>632</v>
      </c>
      <c r="B105" s="9" t="s">
        <v>664</v>
      </c>
      <c r="C105" s="9">
        <v>0.0</v>
      </c>
      <c r="D105" s="65">
        <v>1.0</v>
      </c>
      <c r="E105" s="9" t="s">
        <v>455</v>
      </c>
      <c r="F105" s="59" t="s">
        <v>665</v>
      </c>
      <c r="G105" s="57">
        <f t="shared" si="1"/>
        <v>5</v>
      </c>
      <c r="H105" s="19"/>
      <c r="I105" s="20">
        <v>4.0</v>
      </c>
      <c r="J105" s="21"/>
      <c r="K105" s="47"/>
      <c r="L105" s="23"/>
      <c r="M105" s="19"/>
      <c r="N105" s="20">
        <v>-1.0</v>
      </c>
      <c r="O105" s="21"/>
      <c r="P105" s="47"/>
      <c r="Q105" s="23"/>
      <c r="R105" s="19"/>
      <c r="S105" s="20">
        <v>2.0</v>
      </c>
      <c r="T105" s="21"/>
      <c r="U105" s="47"/>
      <c r="V105" s="23"/>
      <c r="W105" s="9"/>
      <c r="X105" s="9"/>
      <c r="Y105" s="9"/>
      <c r="Z105" s="9"/>
    </row>
    <row r="106">
      <c r="A106" s="58" t="s">
        <v>632</v>
      </c>
      <c r="B106" s="9" t="s">
        <v>666</v>
      </c>
      <c r="C106" s="9">
        <v>0.0</v>
      </c>
      <c r="D106" s="65">
        <v>1.0</v>
      </c>
      <c r="E106" s="9" t="s">
        <v>443</v>
      </c>
      <c r="F106" s="59" t="s">
        <v>667</v>
      </c>
      <c r="G106" s="57">
        <f t="shared" si="1"/>
        <v>5</v>
      </c>
      <c r="H106" s="19"/>
      <c r="I106" s="20">
        <v>2.0</v>
      </c>
      <c r="J106" s="21"/>
      <c r="K106" s="47"/>
      <c r="L106" s="23"/>
      <c r="M106" s="19"/>
      <c r="N106" s="20">
        <v>-1.0</v>
      </c>
      <c r="O106" s="21"/>
      <c r="P106" s="47"/>
      <c r="Q106" s="23"/>
      <c r="R106" s="19"/>
      <c r="S106" s="20">
        <v>4.0</v>
      </c>
      <c r="T106" s="21"/>
      <c r="U106" s="47"/>
      <c r="V106" s="23"/>
      <c r="W106" s="9"/>
      <c r="X106" s="9"/>
      <c r="Y106" s="9"/>
      <c r="Z106" s="9"/>
    </row>
    <row r="107">
      <c r="A107" s="60" t="s">
        <v>632</v>
      </c>
      <c r="B107" s="61" t="s">
        <v>668</v>
      </c>
      <c r="C107" s="61">
        <v>0.0</v>
      </c>
      <c r="D107" s="66">
        <v>1.0</v>
      </c>
      <c r="E107" s="61" t="s">
        <v>443</v>
      </c>
      <c r="F107" s="62" t="s">
        <v>669</v>
      </c>
      <c r="G107" s="71">
        <f t="shared" si="1"/>
        <v>6</v>
      </c>
      <c r="H107" s="19"/>
      <c r="I107" s="20">
        <v>5.0</v>
      </c>
      <c r="J107" s="21"/>
      <c r="K107" s="47"/>
      <c r="L107" s="23"/>
      <c r="M107" s="19"/>
      <c r="N107" s="20">
        <v>-2.0</v>
      </c>
      <c r="O107" s="21"/>
      <c r="P107" s="47"/>
      <c r="Q107" s="23"/>
      <c r="R107" s="19"/>
      <c r="S107" s="20">
        <v>3.0</v>
      </c>
      <c r="T107" s="21"/>
      <c r="U107" s="47"/>
      <c r="V107" s="23"/>
      <c r="W107" s="9"/>
      <c r="X107" s="9"/>
      <c r="Y107" s="9"/>
      <c r="Z107" s="9"/>
    </row>
    <row r="108">
      <c r="A108" s="9"/>
      <c r="B108" s="9"/>
      <c r="C108" s="9"/>
      <c r="D108" s="9"/>
      <c r="E108" s="9"/>
      <c r="F108" s="72"/>
      <c r="G108" s="73"/>
      <c r="H108" s="19"/>
      <c r="I108" s="20"/>
      <c r="J108" s="21"/>
      <c r="K108" s="47"/>
      <c r="L108" s="23"/>
      <c r="M108" s="19"/>
      <c r="N108" s="20"/>
      <c r="O108" s="21"/>
      <c r="P108" s="47"/>
      <c r="Q108" s="23"/>
      <c r="R108" s="19"/>
      <c r="S108" s="20"/>
      <c r="T108" s="21"/>
      <c r="U108" s="47"/>
      <c r="V108" s="23"/>
      <c r="W108" s="9"/>
      <c r="X108" s="9"/>
      <c r="Y108" s="9"/>
      <c r="Z108" s="9"/>
    </row>
    <row r="109">
      <c r="A109" s="9"/>
      <c r="B109" s="9"/>
      <c r="C109" s="9"/>
      <c r="D109" s="9"/>
      <c r="E109" s="9"/>
      <c r="F109" s="72"/>
      <c r="G109" s="73"/>
      <c r="H109" s="19"/>
      <c r="I109" s="20"/>
      <c r="J109" s="21"/>
      <c r="K109" s="47"/>
      <c r="L109" s="23"/>
      <c r="M109" s="19"/>
      <c r="N109" s="20"/>
      <c r="O109" s="21"/>
      <c r="P109" s="47"/>
      <c r="Q109" s="23"/>
      <c r="R109" s="19"/>
      <c r="S109" s="20"/>
      <c r="T109" s="21"/>
      <c r="U109" s="47"/>
      <c r="V109" s="23"/>
      <c r="W109" s="9"/>
      <c r="X109" s="9"/>
      <c r="Y109" s="9"/>
      <c r="Z109" s="9"/>
    </row>
    <row r="110">
      <c r="A110" s="9"/>
      <c r="B110" s="9"/>
      <c r="C110" s="9"/>
      <c r="D110" s="9"/>
      <c r="E110" s="9"/>
      <c r="F110" s="72"/>
      <c r="G110" s="73"/>
      <c r="H110" s="19"/>
      <c r="I110" s="20"/>
      <c r="J110" s="21"/>
      <c r="K110" s="47"/>
      <c r="L110" s="23"/>
      <c r="M110" s="19"/>
      <c r="N110" s="20"/>
      <c r="O110" s="21"/>
      <c r="P110" s="47"/>
      <c r="Q110" s="23"/>
      <c r="R110" s="19"/>
      <c r="S110" s="20"/>
      <c r="T110" s="21"/>
      <c r="U110" s="47"/>
      <c r="V110" s="23"/>
      <c r="W110" s="9"/>
      <c r="X110" s="9"/>
      <c r="Y110" s="9"/>
      <c r="Z110" s="9"/>
    </row>
    <row r="111">
      <c r="A111" s="9"/>
      <c r="B111" s="9"/>
      <c r="C111" s="9"/>
      <c r="D111" s="9"/>
      <c r="E111" s="9"/>
      <c r="F111" s="72"/>
      <c r="G111" s="73"/>
      <c r="H111" s="19"/>
      <c r="I111" s="20"/>
      <c r="J111" s="21"/>
      <c r="K111" s="47"/>
      <c r="L111" s="23"/>
      <c r="M111" s="19"/>
      <c r="N111" s="20"/>
      <c r="O111" s="21"/>
      <c r="P111" s="47"/>
      <c r="Q111" s="23"/>
      <c r="R111" s="19"/>
      <c r="S111" s="20"/>
      <c r="T111" s="21"/>
      <c r="U111" s="47"/>
      <c r="V111" s="23"/>
      <c r="W111" s="9"/>
      <c r="X111" s="9"/>
      <c r="Y111" s="9"/>
      <c r="Z111" s="9"/>
    </row>
    <row r="112">
      <c r="A112" s="9"/>
      <c r="B112" s="9"/>
      <c r="C112" s="9"/>
      <c r="D112" s="9"/>
      <c r="E112" s="9"/>
      <c r="F112" s="72"/>
      <c r="G112" s="73"/>
      <c r="H112" s="19"/>
      <c r="I112" s="20"/>
      <c r="J112" s="21"/>
      <c r="K112" s="47"/>
      <c r="L112" s="23"/>
      <c r="M112" s="19"/>
      <c r="N112" s="20"/>
      <c r="O112" s="21"/>
      <c r="P112" s="47"/>
      <c r="Q112" s="23"/>
      <c r="R112" s="19"/>
      <c r="S112" s="20"/>
      <c r="T112" s="21"/>
      <c r="U112" s="47"/>
      <c r="V112" s="23"/>
      <c r="W112" s="9"/>
      <c r="X112" s="9"/>
      <c r="Y112" s="9"/>
      <c r="Z112" s="9"/>
    </row>
    <row r="113">
      <c r="A113" s="9"/>
      <c r="B113" s="9"/>
      <c r="C113" s="9"/>
      <c r="D113" s="9"/>
      <c r="E113" s="9"/>
      <c r="F113" s="72"/>
      <c r="G113" s="73"/>
      <c r="H113" s="19"/>
      <c r="I113" s="20"/>
      <c r="J113" s="21"/>
      <c r="K113" s="47"/>
      <c r="L113" s="23"/>
      <c r="M113" s="19"/>
      <c r="N113" s="20"/>
      <c r="O113" s="21"/>
      <c r="P113" s="47"/>
      <c r="Q113" s="23"/>
      <c r="R113" s="19"/>
      <c r="S113" s="20"/>
      <c r="T113" s="21"/>
      <c r="U113" s="47"/>
      <c r="V113" s="23"/>
      <c r="W113" s="9"/>
      <c r="X113" s="9"/>
      <c r="Y113" s="9"/>
      <c r="Z113" s="9"/>
    </row>
    <row r="114">
      <c r="A114" s="9"/>
      <c r="B114" s="9"/>
      <c r="C114" s="9"/>
      <c r="D114" s="9"/>
      <c r="E114" s="9"/>
      <c r="F114" s="72"/>
      <c r="G114" s="73"/>
      <c r="H114" s="19"/>
      <c r="I114" s="20"/>
      <c r="J114" s="21"/>
      <c r="K114" s="47"/>
      <c r="L114" s="23"/>
      <c r="M114" s="19"/>
      <c r="N114" s="20"/>
      <c r="O114" s="21"/>
      <c r="P114" s="47"/>
      <c r="Q114" s="23"/>
      <c r="R114" s="19"/>
      <c r="S114" s="20"/>
      <c r="T114" s="21"/>
      <c r="U114" s="47"/>
      <c r="V114" s="23"/>
      <c r="W114" s="9"/>
      <c r="X114" s="9"/>
      <c r="Y114" s="9"/>
      <c r="Z114" s="9"/>
    </row>
    <row r="115">
      <c r="A115" s="9"/>
      <c r="B115" s="9"/>
      <c r="C115" s="9"/>
      <c r="D115" s="9"/>
      <c r="E115" s="9"/>
      <c r="F115" s="72"/>
      <c r="G115" s="73"/>
      <c r="H115" s="19"/>
      <c r="I115" s="20"/>
      <c r="J115" s="21"/>
      <c r="K115" s="47"/>
      <c r="L115" s="23"/>
      <c r="M115" s="19"/>
      <c r="N115" s="20"/>
      <c r="O115" s="21"/>
      <c r="P115" s="47"/>
      <c r="Q115" s="23"/>
      <c r="R115" s="19"/>
      <c r="S115" s="20"/>
      <c r="T115" s="21"/>
      <c r="U115" s="47"/>
      <c r="V115" s="23"/>
      <c r="W115" s="9"/>
      <c r="X115" s="9"/>
      <c r="Y115" s="9"/>
      <c r="Z115" s="9"/>
    </row>
    <row r="116">
      <c r="A116" s="9"/>
      <c r="B116" s="9"/>
      <c r="C116" s="9"/>
      <c r="D116" s="9"/>
      <c r="E116" s="9"/>
      <c r="F116" s="72"/>
      <c r="G116" s="73"/>
      <c r="H116" s="19"/>
      <c r="I116" s="20"/>
      <c r="J116" s="21"/>
      <c r="K116" s="47"/>
      <c r="L116" s="23"/>
      <c r="M116" s="19"/>
      <c r="N116" s="20"/>
      <c r="O116" s="21"/>
      <c r="P116" s="47"/>
      <c r="Q116" s="23"/>
      <c r="R116" s="19"/>
      <c r="S116" s="20"/>
      <c r="T116" s="21"/>
      <c r="U116" s="47"/>
      <c r="V116" s="23"/>
      <c r="W116" s="9"/>
      <c r="X116" s="9"/>
      <c r="Y116" s="9"/>
      <c r="Z116" s="9"/>
    </row>
    <row r="117">
      <c r="A117" s="9"/>
      <c r="B117" s="9"/>
      <c r="C117" s="9"/>
      <c r="D117" s="9"/>
      <c r="E117" s="9"/>
      <c r="F117" s="72"/>
      <c r="G117" s="73"/>
      <c r="H117" s="19"/>
      <c r="I117" s="20"/>
      <c r="J117" s="21"/>
      <c r="K117" s="47"/>
      <c r="L117" s="23"/>
      <c r="M117" s="19"/>
      <c r="N117" s="20"/>
      <c r="O117" s="21"/>
      <c r="P117" s="47"/>
      <c r="Q117" s="23"/>
      <c r="R117" s="19"/>
      <c r="S117" s="20"/>
      <c r="T117" s="21"/>
      <c r="U117" s="47"/>
      <c r="V117" s="23"/>
      <c r="W117" s="9"/>
      <c r="X117" s="9"/>
      <c r="Y117" s="9"/>
      <c r="Z117" s="9"/>
    </row>
    <row r="118">
      <c r="A118" s="9"/>
      <c r="B118" s="9"/>
      <c r="C118" s="9"/>
      <c r="D118" s="9"/>
      <c r="E118" s="9"/>
      <c r="F118" s="72"/>
      <c r="G118" s="73"/>
      <c r="H118" s="19"/>
      <c r="I118" s="20"/>
      <c r="J118" s="21"/>
      <c r="K118" s="47"/>
      <c r="L118" s="23"/>
      <c r="M118" s="19"/>
      <c r="N118" s="20"/>
      <c r="O118" s="21"/>
      <c r="P118" s="47"/>
      <c r="Q118" s="23"/>
      <c r="R118" s="19"/>
      <c r="S118" s="20"/>
      <c r="T118" s="21"/>
      <c r="U118" s="47"/>
      <c r="V118" s="23"/>
      <c r="W118" s="9"/>
      <c r="X118" s="9"/>
      <c r="Y118" s="9"/>
      <c r="Z118" s="9"/>
    </row>
    <row r="119">
      <c r="A119" s="9"/>
      <c r="B119" s="9"/>
      <c r="C119" s="9"/>
      <c r="D119" s="9"/>
      <c r="E119" s="9"/>
      <c r="F119" s="72"/>
      <c r="G119" s="73"/>
      <c r="H119" s="19"/>
      <c r="I119" s="20"/>
      <c r="J119" s="21"/>
      <c r="K119" s="47"/>
      <c r="L119" s="23"/>
      <c r="M119" s="19"/>
      <c r="N119" s="20"/>
      <c r="O119" s="21"/>
      <c r="P119" s="47"/>
      <c r="Q119" s="23"/>
      <c r="R119" s="19"/>
      <c r="S119" s="20"/>
      <c r="T119" s="21"/>
      <c r="U119" s="47"/>
      <c r="V119" s="23"/>
      <c r="W119" s="9"/>
      <c r="X119" s="9"/>
      <c r="Y119" s="9"/>
      <c r="Z119" s="9"/>
    </row>
    <row r="120">
      <c r="A120" s="9"/>
      <c r="B120" s="9"/>
      <c r="C120" s="9"/>
      <c r="D120" s="9"/>
      <c r="E120" s="9"/>
      <c r="F120" s="72"/>
      <c r="G120" s="73"/>
      <c r="H120" s="19"/>
      <c r="I120" s="20"/>
      <c r="J120" s="21"/>
      <c r="K120" s="47"/>
      <c r="L120" s="23"/>
      <c r="M120" s="19"/>
      <c r="N120" s="20"/>
      <c r="O120" s="21"/>
      <c r="P120" s="47"/>
      <c r="Q120" s="23"/>
      <c r="R120" s="19"/>
      <c r="S120" s="20"/>
      <c r="T120" s="21"/>
      <c r="U120" s="47"/>
      <c r="V120" s="23"/>
      <c r="W120" s="9"/>
      <c r="X120" s="9"/>
      <c r="Y120" s="9"/>
      <c r="Z120" s="9"/>
    </row>
    <row r="121">
      <c r="A121" s="9"/>
      <c r="B121" s="9"/>
      <c r="C121" s="9"/>
      <c r="D121" s="9"/>
      <c r="E121" s="9"/>
      <c r="F121" s="72"/>
      <c r="G121" s="73"/>
      <c r="H121" s="19"/>
      <c r="I121" s="20"/>
      <c r="J121" s="21"/>
      <c r="K121" s="47"/>
      <c r="L121" s="23"/>
      <c r="M121" s="19"/>
      <c r="N121" s="20"/>
      <c r="O121" s="21"/>
      <c r="P121" s="47"/>
      <c r="Q121" s="23"/>
      <c r="R121" s="19"/>
      <c r="S121" s="20"/>
      <c r="T121" s="21"/>
      <c r="U121" s="47"/>
      <c r="V121" s="23"/>
      <c r="W121" s="9"/>
      <c r="X121" s="9"/>
      <c r="Y121" s="9"/>
      <c r="Z121" s="9"/>
    </row>
    <row r="122">
      <c r="A122" s="9"/>
      <c r="B122" s="9"/>
      <c r="C122" s="9"/>
      <c r="D122" s="9"/>
      <c r="E122" s="9"/>
      <c r="F122" s="72"/>
      <c r="G122" s="73"/>
      <c r="H122" s="19"/>
      <c r="I122" s="20"/>
      <c r="J122" s="21"/>
      <c r="K122" s="47"/>
      <c r="L122" s="23"/>
      <c r="M122" s="19"/>
      <c r="N122" s="20"/>
      <c r="O122" s="21"/>
      <c r="P122" s="47"/>
      <c r="Q122" s="23"/>
      <c r="R122" s="19"/>
      <c r="S122" s="20"/>
      <c r="T122" s="21"/>
      <c r="U122" s="47"/>
      <c r="V122" s="23"/>
      <c r="W122" s="9"/>
      <c r="X122" s="9"/>
      <c r="Y122" s="9"/>
      <c r="Z122" s="9"/>
    </row>
    <row r="123">
      <c r="A123" s="9"/>
      <c r="B123" s="9"/>
      <c r="C123" s="9"/>
      <c r="D123" s="9"/>
      <c r="E123" s="9"/>
      <c r="F123" s="72"/>
      <c r="G123" s="73"/>
      <c r="H123" s="19"/>
      <c r="I123" s="20"/>
      <c r="J123" s="21"/>
      <c r="K123" s="47"/>
      <c r="L123" s="23"/>
      <c r="M123" s="19"/>
      <c r="N123" s="20"/>
      <c r="O123" s="21"/>
      <c r="P123" s="47"/>
      <c r="Q123" s="23"/>
      <c r="R123" s="19"/>
      <c r="S123" s="20"/>
      <c r="T123" s="21"/>
      <c r="U123" s="47"/>
      <c r="V123" s="23"/>
      <c r="W123" s="9"/>
      <c r="X123" s="9"/>
      <c r="Y123" s="9"/>
      <c r="Z123" s="9"/>
    </row>
    <row r="124">
      <c r="A124" s="9"/>
      <c r="B124" s="9"/>
      <c r="C124" s="9"/>
      <c r="D124" s="9"/>
      <c r="E124" s="9"/>
      <c r="F124" s="72"/>
      <c r="G124" s="73"/>
      <c r="H124" s="19"/>
      <c r="I124" s="20"/>
      <c r="J124" s="21"/>
      <c r="K124" s="47"/>
      <c r="L124" s="23"/>
      <c r="M124" s="19"/>
      <c r="N124" s="20"/>
      <c r="O124" s="21"/>
      <c r="P124" s="47"/>
      <c r="Q124" s="23"/>
      <c r="R124" s="19"/>
      <c r="S124" s="20"/>
      <c r="T124" s="21"/>
      <c r="U124" s="47"/>
      <c r="V124" s="23"/>
      <c r="W124" s="9"/>
      <c r="X124" s="9"/>
      <c r="Y124" s="9"/>
      <c r="Z124" s="9"/>
    </row>
    <row r="125">
      <c r="A125" s="9"/>
      <c r="B125" s="9"/>
      <c r="C125" s="9"/>
      <c r="D125" s="9"/>
      <c r="E125" s="9"/>
      <c r="F125" s="72"/>
      <c r="G125" s="73"/>
      <c r="H125" s="19"/>
      <c r="I125" s="20"/>
      <c r="J125" s="21"/>
      <c r="K125" s="47"/>
      <c r="L125" s="23"/>
      <c r="M125" s="19"/>
      <c r="N125" s="20"/>
      <c r="O125" s="21"/>
      <c r="P125" s="47"/>
      <c r="Q125" s="23"/>
      <c r="R125" s="19"/>
      <c r="S125" s="20"/>
      <c r="T125" s="21"/>
      <c r="U125" s="47"/>
      <c r="V125" s="23"/>
      <c r="W125" s="9"/>
      <c r="X125" s="9"/>
      <c r="Y125" s="9"/>
      <c r="Z125" s="9"/>
    </row>
    <row r="126">
      <c r="A126" s="9"/>
      <c r="B126" s="9"/>
      <c r="C126" s="9"/>
      <c r="D126" s="9"/>
      <c r="E126" s="9"/>
      <c r="F126" s="72"/>
      <c r="G126" s="73"/>
      <c r="H126" s="19"/>
      <c r="I126" s="20"/>
      <c r="J126" s="21"/>
      <c r="K126" s="47"/>
      <c r="L126" s="23"/>
      <c r="M126" s="19"/>
      <c r="N126" s="20"/>
      <c r="O126" s="21"/>
      <c r="P126" s="47"/>
      <c r="Q126" s="23"/>
      <c r="R126" s="19"/>
      <c r="S126" s="20"/>
      <c r="T126" s="21"/>
      <c r="U126" s="47"/>
      <c r="V126" s="23"/>
      <c r="W126" s="9"/>
      <c r="X126" s="9"/>
      <c r="Y126" s="9"/>
      <c r="Z126" s="9"/>
    </row>
    <row r="127">
      <c r="A127" s="9"/>
      <c r="B127" s="9"/>
      <c r="C127" s="9"/>
      <c r="D127" s="9"/>
      <c r="E127" s="9"/>
      <c r="F127" s="72"/>
      <c r="G127" s="73"/>
      <c r="H127" s="19"/>
      <c r="I127" s="20"/>
      <c r="J127" s="21"/>
      <c r="K127" s="47"/>
      <c r="L127" s="23"/>
      <c r="M127" s="19"/>
      <c r="N127" s="20"/>
      <c r="O127" s="21"/>
      <c r="P127" s="47"/>
      <c r="Q127" s="23"/>
      <c r="R127" s="19"/>
      <c r="S127" s="20"/>
      <c r="T127" s="21"/>
      <c r="U127" s="47"/>
      <c r="V127" s="23"/>
      <c r="W127" s="9"/>
      <c r="X127" s="9"/>
      <c r="Y127" s="9"/>
      <c r="Z127" s="9"/>
    </row>
    <row r="128">
      <c r="A128" s="9"/>
      <c r="B128" s="9"/>
      <c r="C128" s="9"/>
      <c r="D128" s="9"/>
      <c r="E128" s="9"/>
      <c r="F128" s="72"/>
      <c r="G128" s="73"/>
      <c r="H128" s="19"/>
      <c r="I128" s="20"/>
      <c r="J128" s="21"/>
      <c r="K128" s="47"/>
      <c r="L128" s="23"/>
      <c r="M128" s="19"/>
      <c r="N128" s="20"/>
      <c r="O128" s="21"/>
      <c r="P128" s="47"/>
      <c r="Q128" s="23"/>
      <c r="R128" s="19"/>
      <c r="S128" s="20"/>
      <c r="T128" s="21"/>
      <c r="U128" s="47"/>
      <c r="V128" s="23"/>
      <c r="W128" s="9"/>
      <c r="X128" s="9"/>
      <c r="Y128" s="9"/>
      <c r="Z128" s="9"/>
    </row>
    <row r="129">
      <c r="A129" s="9"/>
      <c r="B129" s="9"/>
      <c r="C129" s="9"/>
      <c r="D129" s="9"/>
      <c r="E129" s="9"/>
      <c r="F129" s="72"/>
      <c r="G129" s="73"/>
      <c r="H129" s="19"/>
      <c r="I129" s="20"/>
      <c r="J129" s="21"/>
      <c r="K129" s="47"/>
      <c r="L129" s="23"/>
      <c r="M129" s="19"/>
      <c r="N129" s="20"/>
      <c r="O129" s="21"/>
      <c r="P129" s="47"/>
      <c r="Q129" s="23"/>
      <c r="R129" s="19"/>
      <c r="S129" s="20"/>
      <c r="T129" s="21"/>
      <c r="U129" s="47"/>
      <c r="V129" s="23"/>
      <c r="W129" s="9"/>
      <c r="X129" s="9"/>
      <c r="Y129" s="9"/>
      <c r="Z129" s="9"/>
    </row>
    <row r="130">
      <c r="A130" s="9"/>
      <c r="B130" s="9"/>
      <c r="C130" s="9"/>
      <c r="D130" s="9"/>
      <c r="E130" s="9"/>
      <c r="F130" s="72"/>
      <c r="G130" s="73"/>
      <c r="H130" s="19"/>
      <c r="I130" s="20"/>
      <c r="J130" s="21"/>
      <c r="K130" s="47"/>
      <c r="L130" s="23"/>
      <c r="M130" s="19"/>
      <c r="N130" s="20"/>
      <c r="O130" s="21"/>
      <c r="P130" s="47"/>
      <c r="Q130" s="23"/>
      <c r="R130" s="19"/>
      <c r="S130" s="20"/>
      <c r="T130" s="21"/>
      <c r="U130" s="47"/>
      <c r="V130" s="23"/>
      <c r="W130" s="9"/>
      <c r="X130" s="9"/>
      <c r="Y130" s="9"/>
      <c r="Z130" s="9"/>
    </row>
    <row r="131">
      <c r="A131" s="9"/>
      <c r="B131" s="9"/>
      <c r="C131" s="9"/>
      <c r="D131" s="9"/>
      <c r="E131" s="9"/>
      <c r="F131" s="72"/>
      <c r="G131" s="73"/>
      <c r="H131" s="19"/>
      <c r="I131" s="20"/>
      <c r="J131" s="21"/>
      <c r="K131" s="47"/>
      <c r="L131" s="23"/>
      <c r="M131" s="19"/>
      <c r="N131" s="20"/>
      <c r="O131" s="21"/>
      <c r="P131" s="47"/>
      <c r="Q131" s="23"/>
      <c r="R131" s="19"/>
      <c r="S131" s="20"/>
      <c r="T131" s="21"/>
      <c r="U131" s="47"/>
      <c r="V131" s="23"/>
      <c r="W131" s="9"/>
      <c r="X131" s="9"/>
      <c r="Y131" s="9"/>
      <c r="Z131" s="9"/>
    </row>
    <row r="132">
      <c r="A132" s="9"/>
      <c r="B132" s="9"/>
      <c r="C132" s="9"/>
      <c r="D132" s="9"/>
      <c r="E132" s="9"/>
      <c r="F132" s="72"/>
      <c r="G132" s="73"/>
      <c r="H132" s="19"/>
      <c r="I132" s="20"/>
      <c r="J132" s="21"/>
      <c r="K132" s="47"/>
      <c r="L132" s="23"/>
      <c r="M132" s="19"/>
      <c r="N132" s="20"/>
      <c r="O132" s="21"/>
      <c r="P132" s="47"/>
      <c r="Q132" s="23"/>
      <c r="R132" s="19"/>
      <c r="S132" s="20"/>
      <c r="T132" s="21"/>
      <c r="U132" s="47"/>
      <c r="V132" s="23"/>
      <c r="W132" s="9"/>
      <c r="X132" s="9"/>
      <c r="Y132" s="9"/>
      <c r="Z132" s="9"/>
    </row>
    <row r="133">
      <c r="A133" s="9"/>
      <c r="B133" s="9"/>
      <c r="C133" s="9"/>
      <c r="D133" s="9"/>
      <c r="E133" s="9"/>
      <c r="F133" s="72"/>
      <c r="G133" s="73"/>
      <c r="H133" s="19"/>
      <c r="I133" s="20"/>
      <c r="J133" s="21"/>
      <c r="K133" s="47"/>
      <c r="L133" s="23"/>
      <c r="M133" s="19"/>
      <c r="N133" s="20"/>
      <c r="O133" s="21"/>
      <c r="P133" s="47"/>
      <c r="Q133" s="23"/>
      <c r="R133" s="19"/>
      <c r="S133" s="20"/>
      <c r="T133" s="21"/>
      <c r="U133" s="47"/>
      <c r="V133" s="23"/>
      <c r="W133" s="9"/>
      <c r="X133" s="9"/>
      <c r="Y133" s="9"/>
      <c r="Z133" s="9"/>
    </row>
    <row r="134">
      <c r="A134" s="9"/>
      <c r="B134" s="9"/>
      <c r="C134" s="9"/>
      <c r="D134" s="9"/>
      <c r="E134" s="9"/>
      <c r="F134" s="72"/>
      <c r="G134" s="73"/>
      <c r="H134" s="19"/>
      <c r="I134" s="20"/>
      <c r="J134" s="21"/>
      <c r="K134" s="47"/>
      <c r="L134" s="23"/>
      <c r="M134" s="19"/>
      <c r="N134" s="20"/>
      <c r="O134" s="21"/>
      <c r="P134" s="47"/>
      <c r="Q134" s="23"/>
      <c r="R134" s="19"/>
      <c r="S134" s="20"/>
      <c r="T134" s="21"/>
      <c r="U134" s="47"/>
      <c r="V134" s="23"/>
      <c r="W134" s="9"/>
      <c r="X134" s="9"/>
      <c r="Y134" s="9"/>
      <c r="Z134" s="9"/>
    </row>
    <row r="135">
      <c r="A135" s="9"/>
      <c r="B135" s="9"/>
      <c r="C135" s="9"/>
      <c r="D135" s="9"/>
      <c r="E135" s="9"/>
      <c r="F135" s="72"/>
      <c r="G135" s="73"/>
      <c r="H135" s="19"/>
      <c r="I135" s="20"/>
      <c r="J135" s="21"/>
      <c r="K135" s="47"/>
      <c r="L135" s="23"/>
      <c r="M135" s="19"/>
      <c r="N135" s="20"/>
      <c r="O135" s="21"/>
      <c r="P135" s="47"/>
      <c r="Q135" s="23"/>
      <c r="R135" s="19"/>
      <c r="S135" s="20"/>
      <c r="T135" s="21"/>
      <c r="U135" s="47"/>
      <c r="V135" s="23"/>
      <c r="W135" s="9"/>
      <c r="X135" s="9"/>
      <c r="Y135" s="9"/>
      <c r="Z135" s="9"/>
    </row>
    <row r="136">
      <c r="A136" s="9"/>
      <c r="B136" s="9"/>
      <c r="C136" s="9"/>
      <c r="D136" s="9"/>
      <c r="E136" s="9"/>
      <c r="F136" s="72"/>
      <c r="G136" s="73"/>
      <c r="H136" s="19"/>
      <c r="I136" s="20"/>
      <c r="J136" s="21"/>
      <c r="K136" s="47"/>
      <c r="L136" s="23"/>
      <c r="M136" s="19"/>
      <c r="N136" s="20"/>
      <c r="O136" s="21"/>
      <c r="P136" s="47"/>
      <c r="Q136" s="23"/>
      <c r="R136" s="19"/>
      <c r="S136" s="20"/>
      <c r="T136" s="21"/>
      <c r="U136" s="47"/>
      <c r="V136" s="23"/>
      <c r="W136" s="9"/>
      <c r="X136" s="9"/>
      <c r="Y136" s="9"/>
      <c r="Z136" s="9"/>
    </row>
    <row r="137">
      <c r="A137" s="9"/>
      <c r="B137" s="9"/>
      <c r="C137" s="9"/>
      <c r="D137" s="9"/>
      <c r="E137" s="9"/>
      <c r="F137" s="72"/>
      <c r="G137" s="73"/>
      <c r="H137" s="19"/>
      <c r="I137" s="20"/>
      <c r="J137" s="21"/>
      <c r="K137" s="47"/>
      <c r="L137" s="23"/>
      <c r="M137" s="19"/>
      <c r="N137" s="20"/>
      <c r="O137" s="21"/>
      <c r="P137" s="47"/>
      <c r="Q137" s="23"/>
      <c r="R137" s="19"/>
      <c r="S137" s="20"/>
      <c r="T137" s="21"/>
      <c r="U137" s="47"/>
      <c r="V137" s="23"/>
      <c r="W137" s="9"/>
      <c r="X137" s="9"/>
      <c r="Y137" s="9"/>
      <c r="Z137" s="9"/>
    </row>
    <row r="138">
      <c r="A138" s="9"/>
      <c r="B138" s="9"/>
      <c r="C138" s="9"/>
      <c r="D138" s="9"/>
      <c r="E138" s="9"/>
      <c r="F138" s="72"/>
      <c r="G138" s="73"/>
      <c r="H138" s="19"/>
      <c r="I138" s="20"/>
      <c r="J138" s="21"/>
      <c r="K138" s="47"/>
      <c r="L138" s="23"/>
      <c r="M138" s="19"/>
      <c r="N138" s="20"/>
      <c r="O138" s="21"/>
      <c r="P138" s="47"/>
      <c r="Q138" s="23"/>
      <c r="R138" s="19"/>
      <c r="S138" s="20"/>
      <c r="T138" s="21"/>
      <c r="U138" s="47"/>
      <c r="V138" s="23"/>
      <c r="W138" s="9"/>
      <c r="X138" s="9"/>
      <c r="Y138" s="9"/>
      <c r="Z138" s="9"/>
    </row>
    <row r="139">
      <c r="A139" s="9"/>
      <c r="B139" s="9"/>
      <c r="C139" s="9"/>
      <c r="D139" s="9"/>
      <c r="E139" s="9"/>
      <c r="F139" s="72"/>
      <c r="G139" s="73"/>
      <c r="H139" s="19"/>
      <c r="I139" s="20"/>
      <c r="J139" s="21"/>
      <c r="K139" s="47"/>
      <c r="L139" s="23"/>
      <c r="M139" s="19"/>
      <c r="N139" s="20"/>
      <c r="O139" s="21"/>
      <c r="P139" s="47"/>
      <c r="Q139" s="23"/>
      <c r="R139" s="19"/>
      <c r="S139" s="20"/>
      <c r="T139" s="21"/>
      <c r="U139" s="47"/>
      <c r="V139" s="23"/>
      <c r="W139" s="9"/>
      <c r="X139" s="9"/>
      <c r="Y139" s="9"/>
      <c r="Z139" s="9"/>
    </row>
    <row r="140">
      <c r="A140" s="9"/>
      <c r="B140" s="9"/>
      <c r="C140" s="9"/>
      <c r="D140" s="9"/>
      <c r="E140" s="9"/>
      <c r="F140" s="72"/>
      <c r="G140" s="73"/>
      <c r="H140" s="19"/>
      <c r="I140" s="20"/>
      <c r="J140" s="21"/>
      <c r="K140" s="47"/>
      <c r="L140" s="23"/>
      <c r="M140" s="19"/>
      <c r="N140" s="20"/>
      <c r="O140" s="21"/>
      <c r="P140" s="47"/>
      <c r="Q140" s="23"/>
      <c r="R140" s="19"/>
      <c r="S140" s="20"/>
      <c r="T140" s="21"/>
      <c r="U140" s="47"/>
      <c r="V140" s="23"/>
      <c r="W140" s="9"/>
      <c r="X140" s="9"/>
      <c r="Y140" s="9"/>
      <c r="Z140" s="9"/>
    </row>
    <row r="141">
      <c r="A141" s="9"/>
      <c r="B141" s="9"/>
      <c r="C141" s="9"/>
      <c r="D141" s="9"/>
      <c r="E141" s="9"/>
      <c r="F141" s="72"/>
      <c r="G141" s="73"/>
      <c r="H141" s="19"/>
      <c r="I141" s="20"/>
      <c r="J141" s="21"/>
      <c r="K141" s="47"/>
      <c r="L141" s="23"/>
      <c r="M141" s="19"/>
      <c r="N141" s="20"/>
      <c r="O141" s="21"/>
      <c r="P141" s="47"/>
      <c r="Q141" s="23"/>
      <c r="R141" s="19"/>
      <c r="S141" s="20"/>
      <c r="T141" s="21"/>
      <c r="U141" s="47"/>
      <c r="V141" s="23"/>
      <c r="W141" s="9"/>
      <c r="X141" s="9"/>
      <c r="Y141" s="9"/>
      <c r="Z141" s="9"/>
    </row>
    <row r="142">
      <c r="A142" s="9"/>
      <c r="B142" s="9"/>
      <c r="C142" s="9"/>
      <c r="D142" s="9"/>
      <c r="E142" s="9"/>
      <c r="F142" s="72"/>
      <c r="G142" s="73"/>
      <c r="H142" s="19"/>
      <c r="I142" s="20"/>
      <c r="J142" s="21"/>
      <c r="K142" s="47"/>
      <c r="L142" s="23"/>
      <c r="M142" s="19"/>
      <c r="N142" s="20"/>
      <c r="O142" s="21"/>
      <c r="P142" s="47"/>
      <c r="Q142" s="23"/>
      <c r="R142" s="19"/>
      <c r="S142" s="20"/>
      <c r="T142" s="21"/>
      <c r="U142" s="47"/>
      <c r="V142" s="23"/>
      <c r="W142" s="9"/>
      <c r="X142" s="9"/>
      <c r="Y142" s="9"/>
      <c r="Z142" s="9"/>
    </row>
    <row r="143">
      <c r="A143" s="9"/>
      <c r="B143" s="9"/>
      <c r="C143" s="9"/>
      <c r="D143" s="9"/>
      <c r="E143" s="9"/>
      <c r="F143" s="72"/>
      <c r="G143" s="73"/>
      <c r="H143" s="19"/>
      <c r="I143" s="20"/>
      <c r="J143" s="21"/>
      <c r="K143" s="47"/>
      <c r="L143" s="23"/>
      <c r="M143" s="19"/>
      <c r="N143" s="20"/>
      <c r="O143" s="21"/>
      <c r="P143" s="47"/>
      <c r="Q143" s="23"/>
      <c r="R143" s="19"/>
      <c r="S143" s="20"/>
      <c r="T143" s="21"/>
      <c r="U143" s="47"/>
      <c r="V143" s="23"/>
      <c r="W143" s="9"/>
      <c r="X143" s="9"/>
      <c r="Y143" s="9"/>
      <c r="Z143" s="9"/>
    </row>
    <row r="144">
      <c r="A144" s="9"/>
      <c r="B144" s="9"/>
      <c r="C144" s="9"/>
      <c r="D144" s="9"/>
      <c r="E144" s="9"/>
      <c r="F144" s="72"/>
      <c r="G144" s="73"/>
      <c r="H144" s="19"/>
      <c r="I144" s="20"/>
      <c r="J144" s="21"/>
      <c r="K144" s="47"/>
      <c r="L144" s="23"/>
      <c r="M144" s="19"/>
      <c r="N144" s="20"/>
      <c r="O144" s="21"/>
      <c r="P144" s="47"/>
      <c r="Q144" s="23"/>
      <c r="R144" s="19"/>
      <c r="S144" s="20"/>
      <c r="T144" s="21"/>
      <c r="U144" s="47"/>
      <c r="V144" s="23"/>
      <c r="W144" s="9"/>
      <c r="X144" s="9"/>
      <c r="Y144" s="9"/>
      <c r="Z144" s="9"/>
    </row>
    <row r="145">
      <c r="A145" s="9"/>
      <c r="B145" s="9"/>
      <c r="C145" s="9"/>
      <c r="D145" s="9"/>
      <c r="E145" s="9"/>
      <c r="F145" s="72"/>
      <c r="G145" s="73"/>
      <c r="H145" s="19"/>
      <c r="I145" s="20"/>
      <c r="J145" s="21"/>
      <c r="K145" s="47"/>
      <c r="L145" s="23"/>
      <c r="M145" s="19"/>
      <c r="N145" s="20"/>
      <c r="O145" s="21"/>
      <c r="P145" s="47"/>
      <c r="Q145" s="23"/>
      <c r="R145" s="19"/>
      <c r="S145" s="20"/>
      <c r="T145" s="21"/>
      <c r="U145" s="47"/>
      <c r="V145" s="23"/>
      <c r="W145" s="9"/>
      <c r="X145" s="9"/>
      <c r="Y145" s="9"/>
      <c r="Z145" s="9"/>
    </row>
    <row r="146">
      <c r="A146" s="9"/>
      <c r="B146" s="9"/>
      <c r="C146" s="9"/>
      <c r="D146" s="9"/>
      <c r="E146" s="9"/>
      <c r="F146" s="72"/>
      <c r="G146" s="73"/>
      <c r="H146" s="19"/>
      <c r="I146" s="20"/>
      <c r="J146" s="21"/>
      <c r="K146" s="47"/>
      <c r="L146" s="23"/>
      <c r="M146" s="19"/>
      <c r="N146" s="20"/>
      <c r="O146" s="21"/>
      <c r="P146" s="47"/>
      <c r="Q146" s="23"/>
      <c r="R146" s="19"/>
      <c r="S146" s="20"/>
      <c r="T146" s="21"/>
      <c r="U146" s="47"/>
      <c r="V146" s="23"/>
      <c r="W146" s="9"/>
      <c r="X146" s="9"/>
      <c r="Y146" s="9"/>
      <c r="Z146" s="9"/>
    </row>
    <row r="147">
      <c r="A147" s="9"/>
      <c r="B147" s="9"/>
      <c r="C147" s="9"/>
      <c r="D147" s="9"/>
      <c r="E147" s="9"/>
      <c r="F147" s="72"/>
      <c r="G147" s="73"/>
      <c r="H147" s="19"/>
      <c r="I147" s="20"/>
      <c r="J147" s="21"/>
      <c r="K147" s="47"/>
      <c r="L147" s="23"/>
      <c r="M147" s="19"/>
      <c r="N147" s="20"/>
      <c r="O147" s="21"/>
      <c r="P147" s="47"/>
      <c r="Q147" s="23"/>
      <c r="R147" s="19"/>
      <c r="S147" s="20"/>
      <c r="T147" s="21"/>
      <c r="U147" s="47"/>
      <c r="V147" s="23"/>
      <c r="W147" s="9"/>
      <c r="X147" s="9"/>
      <c r="Y147" s="9"/>
      <c r="Z147" s="9"/>
    </row>
    <row r="148">
      <c r="A148" s="9"/>
      <c r="B148" s="9"/>
      <c r="C148" s="9"/>
      <c r="D148" s="9"/>
      <c r="E148" s="9"/>
      <c r="F148" s="72"/>
      <c r="G148" s="73"/>
      <c r="H148" s="19"/>
      <c r="I148" s="20"/>
      <c r="J148" s="21"/>
      <c r="K148" s="47"/>
      <c r="L148" s="23"/>
      <c r="M148" s="19"/>
      <c r="N148" s="20"/>
      <c r="O148" s="21"/>
      <c r="P148" s="47"/>
      <c r="Q148" s="23"/>
      <c r="R148" s="19"/>
      <c r="S148" s="20"/>
      <c r="T148" s="21"/>
      <c r="U148" s="47"/>
      <c r="V148" s="23"/>
      <c r="W148" s="9"/>
      <c r="X148" s="9"/>
      <c r="Y148" s="9"/>
      <c r="Z148" s="9"/>
    </row>
    <row r="149">
      <c r="A149" s="9"/>
      <c r="B149" s="9"/>
      <c r="C149" s="9"/>
      <c r="D149" s="9"/>
      <c r="E149" s="9"/>
      <c r="F149" s="72"/>
      <c r="G149" s="73"/>
      <c r="H149" s="19"/>
      <c r="I149" s="20"/>
      <c r="J149" s="21"/>
      <c r="K149" s="47"/>
      <c r="L149" s="23"/>
      <c r="M149" s="19"/>
      <c r="N149" s="20"/>
      <c r="O149" s="21"/>
      <c r="P149" s="47"/>
      <c r="Q149" s="23"/>
      <c r="R149" s="19"/>
      <c r="S149" s="20"/>
      <c r="T149" s="21"/>
      <c r="U149" s="47"/>
      <c r="V149" s="23"/>
      <c r="W149" s="9"/>
      <c r="X149" s="9"/>
      <c r="Y149" s="9"/>
      <c r="Z149" s="9"/>
    </row>
    <row r="150">
      <c r="A150" s="9"/>
      <c r="B150" s="9"/>
      <c r="C150" s="9"/>
      <c r="D150" s="9"/>
      <c r="E150" s="9"/>
      <c r="F150" s="72"/>
      <c r="G150" s="73"/>
      <c r="H150" s="19"/>
      <c r="I150" s="20"/>
      <c r="J150" s="21"/>
      <c r="K150" s="47"/>
      <c r="L150" s="23"/>
      <c r="M150" s="19"/>
      <c r="N150" s="20"/>
      <c r="O150" s="21"/>
      <c r="P150" s="47"/>
      <c r="Q150" s="23"/>
      <c r="R150" s="19"/>
      <c r="S150" s="20"/>
      <c r="T150" s="21"/>
      <c r="U150" s="47"/>
      <c r="V150" s="23"/>
      <c r="W150" s="9"/>
      <c r="X150" s="9"/>
      <c r="Y150" s="9"/>
      <c r="Z150" s="9"/>
    </row>
    <row r="151">
      <c r="A151" s="9"/>
      <c r="B151" s="9"/>
      <c r="C151" s="9"/>
      <c r="D151" s="9"/>
      <c r="E151" s="9"/>
      <c r="F151" s="72"/>
      <c r="G151" s="73"/>
      <c r="H151" s="19"/>
      <c r="I151" s="20"/>
      <c r="J151" s="21"/>
      <c r="K151" s="47"/>
      <c r="L151" s="23"/>
      <c r="M151" s="19"/>
      <c r="N151" s="20"/>
      <c r="O151" s="21"/>
      <c r="P151" s="47"/>
      <c r="Q151" s="23"/>
      <c r="R151" s="19"/>
      <c r="S151" s="20"/>
      <c r="T151" s="21"/>
      <c r="U151" s="47"/>
      <c r="V151" s="23"/>
      <c r="W151" s="9"/>
      <c r="X151" s="9"/>
      <c r="Y151" s="9"/>
      <c r="Z151" s="9"/>
    </row>
    <row r="152">
      <c r="A152" s="9"/>
      <c r="B152" s="9"/>
      <c r="C152" s="9"/>
      <c r="D152" s="9"/>
      <c r="E152" s="9"/>
      <c r="F152" s="72"/>
      <c r="G152" s="73"/>
      <c r="H152" s="19"/>
      <c r="I152" s="20"/>
      <c r="J152" s="21"/>
      <c r="K152" s="47"/>
      <c r="L152" s="23"/>
      <c r="M152" s="19"/>
      <c r="N152" s="20"/>
      <c r="O152" s="21"/>
      <c r="P152" s="47"/>
      <c r="Q152" s="23"/>
      <c r="R152" s="19"/>
      <c r="S152" s="20"/>
      <c r="T152" s="21"/>
      <c r="U152" s="47"/>
      <c r="V152" s="23"/>
      <c r="W152" s="9"/>
      <c r="X152" s="9"/>
      <c r="Y152" s="9"/>
      <c r="Z152" s="9"/>
    </row>
    <row r="153">
      <c r="A153" s="9"/>
      <c r="B153" s="9"/>
      <c r="C153" s="9"/>
      <c r="D153" s="9"/>
      <c r="E153" s="9"/>
      <c r="F153" s="72"/>
      <c r="G153" s="73"/>
      <c r="H153" s="19"/>
      <c r="I153" s="20"/>
      <c r="J153" s="21"/>
      <c r="K153" s="47"/>
      <c r="L153" s="23"/>
      <c r="M153" s="19"/>
      <c r="N153" s="20"/>
      <c r="O153" s="21"/>
      <c r="P153" s="47"/>
      <c r="Q153" s="23"/>
      <c r="R153" s="19"/>
      <c r="S153" s="20"/>
      <c r="T153" s="21"/>
      <c r="U153" s="47"/>
      <c r="V153" s="23"/>
      <c r="W153" s="9"/>
      <c r="X153" s="9"/>
      <c r="Y153" s="9"/>
      <c r="Z153" s="9"/>
    </row>
    <row r="154">
      <c r="A154" s="9"/>
      <c r="B154" s="9"/>
      <c r="C154" s="9"/>
      <c r="D154" s="9"/>
      <c r="E154" s="9"/>
      <c r="F154" s="72"/>
      <c r="G154" s="73"/>
      <c r="H154" s="19"/>
      <c r="I154" s="20"/>
      <c r="J154" s="21"/>
      <c r="K154" s="47"/>
      <c r="L154" s="23"/>
      <c r="M154" s="19"/>
      <c r="N154" s="20"/>
      <c r="O154" s="21"/>
      <c r="P154" s="47"/>
      <c r="Q154" s="23"/>
      <c r="R154" s="19"/>
      <c r="S154" s="20"/>
      <c r="T154" s="21"/>
      <c r="U154" s="47"/>
      <c r="V154" s="23"/>
      <c r="W154" s="9"/>
      <c r="X154" s="9"/>
      <c r="Y154" s="9"/>
      <c r="Z154" s="9"/>
    </row>
    <row r="155">
      <c r="A155" s="9"/>
      <c r="B155" s="9"/>
      <c r="C155" s="9"/>
      <c r="D155" s="9"/>
      <c r="E155" s="9"/>
      <c r="F155" s="72"/>
      <c r="G155" s="73"/>
      <c r="H155" s="19"/>
      <c r="I155" s="20"/>
      <c r="J155" s="21"/>
      <c r="K155" s="47"/>
      <c r="L155" s="23"/>
      <c r="M155" s="19"/>
      <c r="N155" s="20"/>
      <c r="O155" s="21"/>
      <c r="P155" s="47"/>
      <c r="Q155" s="23"/>
      <c r="R155" s="19"/>
      <c r="S155" s="20"/>
      <c r="T155" s="21"/>
      <c r="U155" s="47"/>
      <c r="V155" s="23"/>
      <c r="W155" s="9"/>
      <c r="X155" s="9"/>
      <c r="Y155" s="9"/>
      <c r="Z155" s="9"/>
    </row>
    <row r="156">
      <c r="A156" s="9"/>
      <c r="B156" s="9"/>
      <c r="C156" s="9"/>
      <c r="D156" s="9"/>
      <c r="E156" s="9"/>
      <c r="F156" s="72"/>
      <c r="G156" s="73"/>
      <c r="H156" s="19"/>
      <c r="I156" s="20"/>
      <c r="J156" s="21"/>
      <c r="K156" s="47"/>
      <c r="L156" s="23"/>
      <c r="M156" s="19"/>
      <c r="N156" s="20"/>
      <c r="O156" s="21"/>
      <c r="P156" s="47"/>
      <c r="Q156" s="23"/>
      <c r="R156" s="19"/>
      <c r="S156" s="20"/>
      <c r="T156" s="21"/>
      <c r="U156" s="47"/>
      <c r="V156" s="23"/>
      <c r="W156" s="9"/>
      <c r="X156" s="9"/>
      <c r="Y156" s="9"/>
      <c r="Z156" s="9"/>
    </row>
    <row r="157">
      <c r="A157" s="9"/>
      <c r="B157" s="9"/>
      <c r="C157" s="9"/>
      <c r="D157" s="9"/>
      <c r="E157" s="9"/>
      <c r="F157" s="72"/>
      <c r="G157" s="73"/>
      <c r="H157" s="19"/>
      <c r="I157" s="20"/>
      <c r="J157" s="21"/>
      <c r="K157" s="47"/>
      <c r="L157" s="23"/>
      <c r="M157" s="19"/>
      <c r="N157" s="20"/>
      <c r="O157" s="21"/>
      <c r="P157" s="47"/>
      <c r="Q157" s="23"/>
      <c r="R157" s="19"/>
      <c r="S157" s="20"/>
      <c r="T157" s="21"/>
      <c r="U157" s="47"/>
      <c r="V157" s="23"/>
      <c r="W157" s="9"/>
      <c r="X157" s="9"/>
      <c r="Y157" s="9"/>
      <c r="Z157" s="9"/>
    </row>
    <row r="158">
      <c r="A158" s="9"/>
      <c r="B158" s="9"/>
      <c r="C158" s="9"/>
      <c r="D158" s="9"/>
      <c r="E158" s="9"/>
      <c r="F158" s="72"/>
      <c r="G158" s="73"/>
      <c r="H158" s="19"/>
      <c r="I158" s="20"/>
      <c r="J158" s="21"/>
      <c r="K158" s="47"/>
      <c r="L158" s="23"/>
      <c r="M158" s="19"/>
      <c r="N158" s="20"/>
      <c r="O158" s="21"/>
      <c r="P158" s="47"/>
      <c r="Q158" s="23"/>
      <c r="R158" s="19"/>
      <c r="S158" s="20"/>
      <c r="T158" s="21"/>
      <c r="U158" s="47"/>
      <c r="V158" s="23"/>
      <c r="W158" s="9"/>
      <c r="X158" s="9"/>
      <c r="Y158" s="9"/>
      <c r="Z158" s="9"/>
    </row>
    <row r="159">
      <c r="A159" s="9"/>
      <c r="B159" s="9"/>
      <c r="C159" s="9"/>
      <c r="D159" s="9"/>
      <c r="E159" s="9"/>
      <c r="F159" s="72"/>
      <c r="G159" s="73"/>
      <c r="H159" s="19"/>
      <c r="I159" s="20"/>
      <c r="J159" s="21"/>
      <c r="K159" s="47"/>
      <c r="L159" s="23"/>
      <c r="M159" s="19"/>
      <c r="N159" s="20"/>
      <c r="O159" s="21"/>
      <c r="P159" s="47"/>
      <c r="Q159" s="23"/>
      <c r="R159" s="19"/>
      <c r="S159" s="20"/>
      <c r="T159" s="21"/>
      <c r="U159" s="47"/>
      <c r="V159" s="23"/>
      <c r="W159" s="9"/>
      <c r="X159" s="9"/>
      <c r="Y159" s="9"/>
      <c r="Z159" s="9"/>
    </row>
    <row r="160">
      <c r="A160" s="9"/>
      <c r="B160" s="9"/>
      <c r="C160" s="9"/>
      <c r="D160" s="9"/>
      <c r="E160" s="9"/>
      <c r="F160" s="72"/>
      <c r="G160" s="73"/>
      <c r="H160" s="19"/>
      <c r="I160" s="20"/>
      <c r="J160" s="21"/>
      <c r="K160" s="47"/>
      <c r="L160" s="23"/>
      <c r="M160" s="19"/>
      <c r="N160" s="20"/>
      <c r="O160" s="21"/>
      <c r="P160" s="47"/>
      <c r="Q160" s="23"/>
      <c r="R160" s="19"/>
      <c r="S160" s="20"/>
      <c r="T160" s="21"/>
      <c r="U160" s="47"/>
      <c r="V160" s="23"/>
      <c r="W160" s="9"/>
      <c r="X160" s="9"/>
      <c r="Y160" s="9"/>
      <c r="Z160" s="9"/>
    </row>
    <row r="161">
      <c r="A161" s="9"/>
      <c r="B161" s="9"/>
      <c r="C161" s="9"/>
      <c r="D161" s="9"/>
      <c r="E161" s="9"/>
      <c r="F161" s="72"/>
      <c r="G161" s="73"/>
      <c r="H161" s="19"/>
      <c r="I161" s="20"/>
      <c r="J161" s="21"/>
      <c r="K161" s="47"/>
      <c r="L161" s="23"/>
      <c r="M161" s="19"/>
      <c r="N161" s="20"/>
      <c r="O161" s="21"/>
      <c r="P161" s="47"/>
      <c r="Q161" s="23"/>
      <c r="R161" s="19"/>
      <c r="S161" s="20"/>
      <c r="T161" s="21"/>
      <c r="U161" s="47"/>
      <c r="V161" s="23"/>
      <c r="W161" s="9"/>
      <c r="X161" s="9"/>
      <c r="Y161" s="9"/>
      <c r="Z161" s="9"/>
    </row>
    <row r="162">
      <c r="A162" s="9"/>
      <c r="B162" s="9"/>
      <c r="C162" s="9"/>
      <c r="D162" s="9"/>
      <c r="E162" s="9"/>
      <c r="F162" s="72"/>
      <c r="G162" s="73"/>
      <c r="H162" s="19"/>
      <c r="I162" s="20"/>
      <c r="J162" s="21"/>
      <c r="K162" s="47"/>
      <c r="L162" s="23"/>
      <c r="M162" s="19"/>
      <c r="N162" s="20"/>
      <c r="O162" s="21"/>
      <c r="P162" s="47"/>
      <c r="Q162" s="23"/>
      <c r="R162" s="19"/>
      <c r="S162" s="20"/>
      <c r="T162" s="21"/>
      <c r="U162" s="47"/>
      <c r="V162" s="23"/>
      <c r="W162" s="9"/>
      <c r="X162" s="9"/>
      <c r="Y162" s="9"/>
      <c r="Z162" s="9"/>
    </row>
    <row r="163">
      <c r="A163" s="9"/>
      <c r="B163" s="9"/>
      <c r="C163" s="9"/>
      <c r="D163" s="9"/>
      <c r="E163" s="9"/>
      <c r="F163" s="72"/>
      <c r="G163" s="73"/>
      <c r="H163" s="19"/>
      <c r="I163" s="20"/>
      <c r="J163" s="21"/>
      <c r="K163" s="47"/>
      <c r="L163" s="23"/>
      <c r="M163" s="19"/>
      <c r="N163" s="20"/>
      <c r="O163" s="21"/>
      <c r="P163" s="47"/>
      <c r="Q163" s="23"/>
      <c r="R163" s="19"/>
      <c r="S163" s="20"/>
      <c r="T163" s="21"/>
      <c r="U163" s="47"/>
      <c r="V163" s="23"/>
      <c r="W163" s="9"/>
      <c r="X163" s="9"/>
      <c r="Y163" s="9"/>
      <c r="Z163" s="9"/>
    </row>
    <row r="164">
      <c r="A164" s="9"/>
      <c r="B164" s="9"/>
      <c r="C164" s="9"/>
      <c r="D164" s="9"/>
      <c r="E164" s="9"/>
      <c r="F164" s="72"/>
      <c r="G164" s="73"/>
      <c r="H164" s="19"/>
      <c r="I164" s="20"/>
      <c r="J164" s="21"/>
      <c r="K164" s="47"/>
      <c r="L164" s="23"/>
      <c r="M164" s="19"/>
      <c r="N164" s="20"/>
      <c r="O164" s="21"/>
      <c r="P164" s="47"/>
      <c r="Q164" s="23"/>
      <c r="R164" s="19"/>
      <c r="S164" s="20"/>
      <c r="T164" s="21"/>
      <c r="U164" s="47"/>
      <c r="V164" s="23"/>
      <c r="W164" s="9"/>
      <c r="X164" s="9"/>
      <c r="Y164" s="9"/>
      <c r="Z164" s="9"/>
    </row>
    <row r="165">
      <c r="A165" s="9"/>
      <c r="B165" s="9"/>
      <c r="C165" s="9"/>
      <c r="D165" s="9"/>
      <c r="E165" s="9"/>
      <c r="F165" s="72"/>
      <c r="G165" s="73"/>
      <c r="H165" s="19"/>
      <c r="I165" s="20"/>
      <c r="J165" s="21"/>
      <c r="K165" s="47"/>
      <c r="L165" s="23"/>
      <c r="M165" s="19"/>
      <c r="N165" s="20"/>
      <c r="O165" s="21"/>
      <c r="P165" s="47"/>
      <c r="Q165" s="23"/>
      <c r="R165" s="19"/>
      <c r="S165" s="20"/>
      <c r="T165" s="21"/>
      <c r="U165" s="47"/>
      <c r="V165" s="23"/>
      <c r="W165" s="9"/>
      <c r="X165" s="9"/>
      <c r="Y165" s="9"/>
      <c r="Z165" s="9"/>
    </row>
    <row r="166">
      <c r="A166" s="9"/>
      <c r="B166" s="9"/>
      <c r="C166" s="9"/>
      <c r="D166" s="9"/>
      <c r="E166" s="9"/>
      <c r="F166" s="72"/>
      <c r="G166" s="73"/>
      <c r="H166" s="19"/>
      <c r="I166" s="20"/>
      <c r="J166" s="21"/>
      <c r="K166" s="47"/>
      <c r="L166" s="23"/>
      <c r="M166" s="19"/>
      <c r="N166" s="20"/>
      <c r="O166" s="21"/>
      <c r="P166" s="47"/>
      <c r="Q166" s="23"/>
      <c r="R166" s="19"/>
      <c r="S166" s="20"/>
      <c r="T166" s="21"/>
      <c r="U166" s="47"/>
      <c r="V166" s="23"/>
      <c r="W166" s="9"/>
      <c r="X166" s="9"/>
      <c r="Y166" s="9"/>
      <c r="Z166" s="9"/>
    </row>
    <row r="167">
      <c r="A167" s="9"/>
      <c r="B167" s="9"/>
      <c r="C167" s="9"/>
      <c r="D167" s="9"/>
      <c r="E167" s="9"/>
      <c r="F167" s="72"/>
      <c r="G167" s="73"/>
      <c r="H167" s="19"/>
      <c r="I167" s="20"/>
      <c r="J167" s="21"/>
      <c r="K167" s="47"/>
      <c r="L167" s="23"/>
      <c r="M167" s="19"/>
      <c r="N167" s="20"/>
      <c r="O167" s="21"/>
      <c r="P167" s="47"/>
      <c r="Q167" s="23"/>
      <c r="R167" s="19"/>
      <c r="S167" s="20"/>
      <c r="T167" s="21"/>
      <c r="U167" s="47"/>
      <c r="V167" s="23"/>
      <c r="W167" s="9"/>
      <c r="X167" s="9"/>
      <c r="Y167" s="9"/>
      <c r="Z167" s="9"/>
    </row>
    <row r="168">
      <c r="A168" s="9"/>
      <c r="B168" s="9"/>
      <c r="C168" s="9"/>
      <c r="D168" s="9"/>
      <c r="E168" s="9"/>
      <c r="F168" s="72"/>
      <c r="G168" s="73"/>
      <c r="H168" s="19"/>
      <c r="I168" s="20"/>
      <c r="J168" s="21"/>
      <c r="K168" s="47"/>
      <c r="L168" s="23"/>
      <c r="M168" s="19"/>
      <c r="N168" s="20"/>
      <c r="O168" s="21"/>
      <c r="P168" s="47"/>
      <c r="Q168" s="23"/>
      <c r="R168" s="19"/>
      <c r="S168" s="20"/>
      <c r="T168" s="21"/>
      <c r="U168" s="47"/>
      <c r="V168" s="23"/>
      <c r="W168" s="9"/>
      <c r="X168" s="9"/>
      <c r="Y168" s="9"/>
      <c r="Z168" s="9"/>
    </row>
    <row r="169">
      <c r="A169" s="9"/>
      <c r="B169" s="9"/>
      <c r="C169" s="9"/>
      <c r="D169" s="9"/>
      <c r="E169" s="9"/>
      <c r="F169" s="72"/>
      <c r="G169" s="73"/>
      <c r="H169" s="19"/>
      <c r="I169" s="20"/>
      <c r="J169" s="21"/>
      <c r="K169" s="47"/>
      <c r="L169" s="23"/>
      <c r="M169" s="19"/>
      <c r="N169" s="20"/>
      <c r="O169" s="21"/>
      <c r="P169" s="47"/>
      <c r="Q169" s="23"/>
      <c r="R169" s="19"/>
      <c r="S169" s="20"/>
      <c r="T169" s="21"/>
      <c r="U169" s="47"/>
      <c r="V169" s="23"/>
      <c r="W169" s="9"/>
      <c r="X169" s="9"/>
      <c r="Y169" s="9"/>
      <c r="Z169" s="9"/>
    </row>
    <row r="170">
      <c r="A170" s="9"/>
      <c r="B170" s="9"/>
      <c r="C170" s="9"/>
      <c r="D170" s="9"/>
      <c r="E170" s="9"/>
      <c r="F170" s="72"/>
      <c r="G170" s="73"/>
      <c r="H170" s="19"/>
      <c r="I170" s="20"/>
      <c r="J170" s="21"/>
      <c r="K170" s="47"/>
      <c r="L170" s="23"/>
      <c r="M170" s="19"/>
      <c r="N170" s="20"/>
      <c r="O170" s="21"/>
      <c r="P170" s="47"/>
      <c r="Q170" s="23"/>
      <c r="R170" s="19"/>
      <c r="S170" s="20"/>
      <c r="T170" s="21"/>
      <c r="U170" s="47"/>
      <c r="V170" s="23"/>
      <c r="W170" s="9"/>
      <c r="X170" s="9"/>
      <c r="Y170" s="9"/>
      <c r="Z170" s="9"/>
    </row>
    <row r="171">
      <c r="A171" s="9"/>
      <c r="B171" s="9"/>
      <c r="C171" s="9"/>
      <c r="D171" s="9"/>
      <c r="E171" s="9"/>
      <c r="F171" s="72"/>
      <c r="G171" s="73"/>
      <c r="H171" s="19"/>
      <c r="I171" s="20"/>
      <c r="J171" s="21"/>
      <c r="K171" s="47"/>
      <c r="L171" s="23"/>
      <c r="M171" s="19"/>
      <c r="N171" s="20"/>
      <c r="O171" s="21"/>
      <c r="P171" s="47"/>
      <c r="Q171" s="23"/>
      <c r="R171" s="19"/>
      <c r="S171" s="20"/>
      <c r="T171" s="21"/>
      <c r="U171" s="47"/>
      <c r="V171" s="23"/>
      <c r="W171" s="9"/>
      <c r="X171" s="9"/>
      <c r="Y171" s="9"/>
      <c r="Z171" s="9"/>
    </row>
    <row r="172">
      <c r="A172" s="9"/>
      <c r="B172" s="9"/>
      <c r="C172" s="9"/>
      <c r="D172" s="9"/>
      <c r="E172" s="9"/>
      <c r="F172" s="72"/>
      <c r="G172" s="73"/>
      <c r="H172" s="19"/>
      <c r="I172" s="20"/>
      <c r="J172" s="21"/>
      <c r="K172" s="47"/>
      <c r="L172" s="23"/>
      <c r="M172" s="19"/>
      <c r="N172" s="20"/>
      <c r="O172" s="21"/>
      <c r="P172" s="47"/>
      <c r="Q172" s="23"/>
      <c r="R172" s="19"/>
      <c r="S172" s="20"/>
      <c r="T172" s="21"/>
      <c r="U172" s="47"/>
      <c r="V172" s="23"/>
      <c r="W172" s="9"/>
      <c r="X172" s="9"/>
      <c r="Y172" s="9"/>
      <c r="Z172" s="9"/>
    </row>
    <row r="173">
      <c r="A173" s="9"/>
      <c r="B173" s="9"/>
      <c r="C173" s="9"/>
      <c r="D173" s="9"/>
      <c r="E173" s="9"/>
      <c r="F173" s="72"/>
      <c r="G173" s="73"/>
      <c r="H173" s="19"/>
      <c r="I173" s="20"/>
      <c r="J173" s="21"/>
      <c r="K173" s="47"/>
      <c r="L173" s="23"/>
      <c r="M173" s="19"/>
      <c r="N173" s="20"/>
      <c r="O173" s="21"/>
      <c r="P173" s="47"/>
      <c r="Q173" s="23"/>
      <c r="R173" s="19"/>
      <c r="S173" s="20"/>
      <c r="T173" s="21"/>
      <c r="U173" s="47"/>
      <c r="V173" s="23"/>
      <c r="W173" s="9"/>
      <c r="X173" s="9"/>
      <c r="Y173" s="9"/>
      <c r="Z173" s="9"/>
    </row>
    <row r="174">
      <c r="A174" s="9"/>
      <c r="B174" s="9"/>
      <c r="C174" s="9"/>
      <c r="D174" s="9"/>
      <c r="E174" s="9"/>
      <c r="F174" s="72"/>
      <c r="G174" s="73"/>
      <c r="H174" s="19"/>
      <c r="I174" s="20"/>
      <c r="J174" s="21"/>
      <c r="K174" s="47"/>
      <c r="L174" s="23"/>
      <c r="M174" s="19"/>
      <c r="N174" s="20"/>
      <c r="O174" s="21"/>
      <c r="P174" s="47"/>
      <c r="Q174" s="23"/>
      <c r="R174" s="19"/>
      <c r="S174" s="20"/>
      <c r="T174" s="21"/>
      <c r="U174" s="47"/>
      <c r="V174" s="23"/>
      <c r="W174" s="9"/>
      <c r="X174" s="9"/>
      <c r="Y174" s="9"/>
      <c r="Z174" s="9"/>
    </row>
    <row r="175">
      <c r="A175" s="9"/>
      <c r="B175" s="9"/>
      <c r="C175" s="9"/>
      <c r="D175" s="9"/>
      <c r="E175" s="9"/>
      <c r="F175" s="72"/>
      <c r="G175" s="73"/>
      <c r="H175" s="19"/>
      <c r="I175" s="20"/>
      <c r="J175" s="21"/>
      <c r="K175" s="47"/>
      <c r="L175" s="23"/>
      <c r="M175" s="19"/>
      <c r="N175" s="20"/>
      <c r="O175" s="21"/>
      <c r="P175" s="47"/>
      <c r="Q175" s="23"/>
      <c r="R175" s="19"/>
      <c r="S175" s="20"/>
      <c r="T175" s="21"/>
      <c r="U175" s="47"/>
      <c r="V175" s="23"/>
      <c r="W175" s="9"/>
      <c r="X175" s="9"/>
      <c r="Y175" s="9"/>
      <c r="Z175" s="9"/>
    </row>
    <row r="176">
      <c r="A176" s="9"/>
      <c r="B176" s="9"/>
      <c r="C176" s="9"/>
      <c r="D176" s="9"/>
      <c r="E176" s="9"/>
      <c r="F176" s="72"/>
      <c r="G176" s="73"/>
      <c r="H176" s="19"/>
      <c r="I176" s="20"/>
      <c r="J176" s="21"/>
      <c r="K176" s="47"/>
      <c r="L176" s="23"/>
      <c r="M176" s="19"/>
      <c r="N176" s="20"/>
      <c r="O176" s="21"/>
      <c r="P176" s="47"/>
      <c r="Q176" s="23"/>
      <c r="R176" s="19"/>
      <c r="S176" s="20"/>
      <c r="T176" s="21"/>
      <c r="U176" s="47"/>
      <c r="V176" s="23"/>
      <c r="W176" s="9"/>
      <c r="X176" s="9"/>
      <c r="Y176" s="9"/>
      <c r="Z176" s="9"/>
    </row>
    <row r="177">
      <c r="A177" s="9"/>
      <c r="B177" s="9"/>
      <c r="C177" s="9"/>
      <c r="D177" s="9"/>
      <c r="E177" s="9"/>
      <c r="F177" s="72"/>
      <c r="G177" s="73"/>
      <c r="H177" s="19"/>
      <c r="I177" s="20"/>
      <c r="J177" s="21"/>
      <c r="K177" s="47"/>
      <c r="L177" s="23"/>
      <c r="M177" s="19"/>
      <c r="N177" s="20"/>
      <c r="O177" s="21"/>
      <c r="P177" s="47"/>
      <c r="Q177" s="23"/>
      <c r="R177" s="19"/>
      <c r="S177" s="20"/>
      <c r="T177" s="21"/>
      <c r="U177" s="47"/>
      <c r="V177" s="23"/>
      <c r="W177" s="9"/>
      <c r="X177" s="9"/>
      <c r="Y177" s="9"/>
      <c r="Z177" s="9"/>
    </row>
    <row r="178">
      <c r="A178" s="9"/>
      <c r="B178" s="9"/>
      <c r="C178" s="9"/>
      <c r="D178" s="9"/>
      <c r="E178" s="9"/>
      <c r="F178" s="72"/>
      <c r="G178" s="73"/>
      <c r="H178" s="19"/>
      <c r="I178" s="20"/>
      <c r="J178" s="21"/>
      <c r="K178" s="47"/>
      <c r="L178" s="23"/>
      <c r="M178" s="19"/>
      <c r="N178" s="20"/>
      <c r="O178" s="21"/>
      <c r="P178" s="47"/>
      <c r="Q178" s="23"/>
      <c r="R178" s="19"/>
      <c r="S178" s="20"/>
      <c r="T178" s="21"/>
      <c r="U178" s="47"/>
      <c r="V178" s="23"/>
      <c r="W178" s="9"/>
      <c r="X178" s="9"/>
      <c r="Y178" s="9"/>
      <c r="Z178" s="9"/>
    </row>
    <row r="179">
      <c r="A179" s="9"/>
      <c r="B179" s="9"/>
      <c r="C179" s="9"/>
      <c r="D179" s="9"/>
      <c r="E179" s="9"/>
      <c r="F179" s="72"/>
      <c r="G179" s="73"/>
      <c r="H179" s="19"/>
      <c r="I179" s="20"/>
      <c r="J179" s="21"/>
      <c r="K179" s="47"/>
      <c r="L179" s="23"/>
      <c r="M179" s="19"/>
      <c r="N179" s="20"/>
      <c r="O179" s="21"/>
      <c r="P179" s="47"/>
      <c r="Q179" s="23"/>
      <c r="R179" s="19"/>
      <c r="S179" s="20"/>
      <c r="T179" s="21"/>
      <c r="U179" s="47"/>
      <c r="V179" s="23"/>
      <c r="W179" s="9"/>
      <c r="X179" s="9"/>
      <c r="Y179" s="9"/>
      <c r="Z179" s="9"/>
    </row>
    <row r="180">
      <c r="A180" s="9"/>
      <c r="B180" s="9"/>
      <c r="C180" s="9"/>
      <c r="D180" s="9"/>
      <c r="E180" s="9"/>
      <c r="F180" s="72"/>
      <c r="G180" s="73"/>
      <c r="H180" s="19"/>
      <c r="I180" s="20"/>
      <c r="J180" s="21"/>
      <c r="K180" s="47"/>
      <c r="L180" s="23"/>
      <c r="M180" s="19"/>
      <c r="N180" s="20"/>
      <c r="O180" s="21"/>
      <c r="P180" s="47"/>
      <c r="Q180" s="23"/>
      <c r="R180" s="19"/>
      <c r="S180" s="20"/>
      <c r="T180" s="21"/>
      <c r="U180" s="47"/>
      <c r="V180" s="23"/>
      <c r="W180" s="9"/>
      <c r="X180" s="9"/>
      <c r="Y180" s="9"/>
      <c r="Z180" s="9"/>
    </row>
    <row r="181">
      <c r="A181" s="9"/>
      <c r="B181" s="9"/>
      <c r="C181" s="9"/>
      <c r="D181" s="9"/>
      <c r="E181" s="9"/>
      <c r="F181" s="72"/>
      <c r="G181" s="73"/>
      <c r="H181" s="19"/>
      <c r="I181" s="20"/>
      <c r="J181" s="21"/>
      <c r="K181" s="47"/>
      <c r="L181" s="23"/>
      <c r="M181" s="19"/>
      <c r="N181" s="20"/>
      <c r="O181" s="21"/>
      <c r="P181" s="47"/>
      <c r="Q181" s="23"/>
      <c r="R181" s="19"/>
      <c r="S181" s="20"/>
      <c r="T181" s="21"/>
      <c r="U181" s="47"/>
      <c r="V181" s="23"/>
      <c r="W181" s="9"/>
      <c r="X181" s="9"/>
      <c r="Y181" s="9"/>
      <c r="Z181" s="9"/>
    </row>
    <row r="182">
      <c r="A182" s="9"/>
      <c r="B182" s="9"/>
      <c r="C182" s="9"/>
      <c r="D182" s="9"/>
      <c r="E182" s="9"/>
      <c r="F182" s="72"/>
      <c r="G182" s="73"/>
      <c r="H182" s="19"/>
      <c r="I182" s="20"/>
      <c r="J182" s="21"/>
      <c r="K182" s="47"/>
      <c r="L182" s="23"/>
      <c r="M182" s="19"/>
      <c r="N182" s="20"/>
      <c r="O182" s="21"/>
      <c r="P182" s="47"/>
      <c r="Q182" s="23"/>
      <c r="R182" s="19"/>
      <c r="S182" s="20"/>
      <c r="T182" s="21"/>
      <c r="U182" s="47"/>
      <c r="V182" s="23"/>
      <c r="W182" s="9"/>
      <c r="X182" s="9"/>
      <c r="Y182" s="9"/>
      <c r="Z182" s="9"/>
    </row>
    <row r="183">
      <c r="A183" s="9"/>
      <c r="B183" s="9"/>
      <c r="C183" s="9"/>
      <c r="D183" s="9"/>
      <c r="E183" s="9"/>
      <c r="F183" s="72"/>
      <c r="G183" s="73"/>
      <c r="H183" s="19"/>
      <c r="I183" s="20"/>
      <c r="J183" s="21"/>
      <c r="K183" s="47"/>
      <c r="L183" s="23"/>
      <c r="M183" s="19"/>
      <c r="N183" s="20"/>
      <c r="O183" s="21"/>
      <c r="P183" s="47"/>
      <c r="Q183" s="23"/>
      <c r="R183" s="19"/>
      <c r="S183" s="20"/>
      <c r="T183" s="21"/>
      <c r="U183" s="47"/>
      <c r="V183" s="23"/>
      <c r="W183" s="9"/>
      <c r="X183" s="9"/>
      <c r="Y183" s="9"/>
      <c r="Z183" s="9"/>
    </row>
    <row r="184">
      <c r="A184" s="9"/>
      <c r="B184" s="9"/>
      <c r="C184" s="9"/>
      <c r="D184" s="9"/>
      <c r="E184" s="9"/>
      <c r="F184" s="72"/>
      <c r="G184" s="73"/>
      <c r="H184" s="19"/>
      <c r="I184" s="20"/>
      <c r="J184" s="21"/>
      <c r="K184" s="47"/>
      <c r="L184" s="23"/>
      <c r="M184" s="19"/>
      <c r="N184" s="20"/>
      <c r="O184" s="21"/>
      <c r="P184" s="47"/>
      <c r="Q184" s="23"/>
      <c r="R184" s="19"/>
      <c r="S184" s="20"/>
      <c r="T184" s="21"/>
      <c r="U184" s="47"/>
      <c r="V184" s="23"/>
      <c r="W184" s="9"/>
      <c r="X184" s="9"/>
      <c r="Y184" s="9"/>
      <c r="Z184" s="9"/>
    </row>
    <row r="185">
      <c r="A185" s="9"/>
      <c r="B185" s="9"/>
      <c r="C185" s="9"/>
      <c r="D185" s="9"/>
      <c r="E185" s="9"/>
      <c r="F185" s="72"/>
      <c r="G185" s="73"/>
      <c r="H185" s="19"/>
      <c r="I185" s="20"/>
      <c r="J185" s="21"/>
      <c r="K185" s="47"/>
      <c r="L185" s="23"/>
      <c r="M185" s="19"/>
      <c r="N185" s="20"/>
      <c r="O185" s="21"/>
      <c r="P185" s="47"/>
      <c r="Q185" s="23"/>
      <c r="R185" s="19"/>
      <c r="S185" s="20"/>
      <c r="T185" s="21"/>
      <c r="U185" s="47"/>
      <c r="V185" s="23"/>
      <c r="W185" s="9"/>
      <c r="X185" s="9"/>
      <c r="Y185" s="9"/>
      <c r="Z185" s="9"/>
    </row>
    <row r="186">
      <c r="A186" s="9"/>
      <c r="B186" s="9"/>
      <c r="C186" s="9"/>
      <c r="D186" s="9"/>
      <c r="E186" s="9"/>
      <c r="F186" s="72"/>
      <c r="G186" s="73"/>
      <c r="H186" s="19"/>
      <c r="I186" s="20"/>
      <c r="J186" s="21"/>
      <c r="K186" s="47"/>
      <c r="L186" s="23"/>
      <c r="M186" s="19"/>
      <c r="N186" s="20"/>
      <c r="O186" s="21"/>
      <c r="P186" s="47"/>
      <c r="Q186" s="23"/>
      <c r="R186" s="19"/>
      <c r="S186" s="20"/>
      <c r="T186" s="21"/>
      <c r="U186" s="47"/>
      <c r="V186" s="23"/>
      <c r="W186" s="9"/>
      <c r="X186" s="9"/>
      <c r="Y186" s="9"/>
      <c r="Z186" s="9"/>
    </row>
    <row r="187">
      <c r="A187" s="9"/>
      <c r="B187" s="9"/>
      <c r="C187" s="9"/>
      <c r="D187" s="9"/>
      <c r="E187" s="9"/>
      <c r="F187" s="72"/>
      <c r="G187" s="73"/>
      <c r="H187" s="19"/>
      <c r="I187" s="20"/>
      <c r="J187" s="21"/>
      <c r="K187" s="47"/>
      <c r="L187" s="23"/>
      <c r="M187" s="19"/>
      <c r="N187" s="20"/>
      <c r="O187" s="21"/>
      <c r="P187" s="47"/>
      <c r="Q187" s="23"/>
      <c r="R187" s="19"/>
      <c r="S187" s="20"/>
      <c r="T187" s="21"/>
      <c r="U187" s="47"/>
      <c r="V187" s="23"/>
      <c r="W187" s="9"/>
      <c r="X187" s="9"/>
      <c r="Y187" s="9"/>
      <c r="Z187" s="9"/>
    </row>
    <row r="188">
      <c r="A188" s="9"/>
      <c r="B188" s="9"/>
      <c r="C188" s="9"/>
      <c r="D188" s="9"/>
      <c r="E188" s="9"/>
      <c r="F188" s="72"/>
      <c r="G188" s="73"/>
      <c r="H188" s="19"/>
      <c r="I188" s="20"/>
      <c r="J188" s="21"/>
      <c r="K188" s="47"/>
      <c r="L188" s="23"/>
      <c r="M188" s="19"/>
      <c r="N188" s="20"/>
      <c r="O188" s="21"/>
      <c r="P188" s="47"/>
      <c r="Q188" s="23"/>
      <c r="R188" s="19"/>
      <c r="S188" s="20"/>
      <c r="T188" s="21"/>
      <c r="U188" s="47"/>
      <c r="V188" s="23"/>
      <c r="W188" s="9"/>
      <c r="X188" s="9"/>
      <c r="Y188" s="9"/>
      <c r="Z188" s="9"/>
    </row>
    <row r="189">
      <c r="A189" s="9"/>
      <c r="B189" s="9"/>
      <c r="C189" s="9"/>
      <c r="D189" s="9"/>
      <c r="E189" s="9"/>
      <c r="F189" s="72"/>
      <c r="G189" s="73"/>
      <c r="H189" s="19"/>
      <c r="I189" s="20"/>
      <c r="J189" s="21"/>
      <c r="K189" s="47"/>
      <c r="L189" s="23"/>
      <c r="M189" s="19"/>
      <c r="N189" s="20"/>
      <c r="O189" s="21"/>
      <c r="P189" s="47"/>
      <c r="Q189" s="23"/>
      <c r="R189" s="19"/>
      <c r="S189" s="20"/>
      <c r="T189" s="21"/>
      <c r="U189" s="47"/>
      <c r="V189" s="23"/>
      <c r="W189" s="9"/>
      <c r="X189" s="9"/>
      <c r="Y189" s="9"/>
      <c r="Z189" s="9"/>
    </row>
    <row r="190">
      <c r="A190" s="9"/>
      <c r="B190" s="9"/>
      <c r="C190" s="9"/>
      <c r="D190" s="9"/>
      <c r="E190" s="9"/>
      <c r="F190" s="72"/>
      <c r="G190" s="73"/>
      <c r="H190" s="19"/>
      <c r="I190" s="20"/>
      <c r="J190" s="21"/>
      <c r="K190" s="47"/>
      <c r="L190" s="23"/>
      <c r="M190" s="19"/>
      <c r="N190" s="20"/>
      <c r="O190" s="21"/>
      <c r="P190" s="47"/>
      <c r="Q190" s="23"/>
      <c r="R190" s="19"/>
      <c r="S190" s="20"/>
      <c r="T190" s="21"/>
      <c r="U190" s="47"/>
      <c r="V190" s="23"/>
      <c r="W190" s="9"/>
      <c r="X190" s="9"/>
      <c r="Y190" s="9"/>
      <c r="Z190" s="9"/>
    </row>
    <row r="191">
      <c r="A191" s="9"/>
      <c r="B191" s="9"/>
      <c r="C191" s="9"/>
      <c r="D191" s="9"/>
      <c r="E191" s="9"/>
      <c r="F191" s="72"/>
      <c r="G191" s="73"/>
      <c r="H191" s="19"/>
      <c r="I191" s="20"/>
      <c r="J191" s="21"/>
      <c r="K191" s="47"/>
      <c r="L191" s="23"/>
      <c r="M191" s="19"/>
      <c r="N191" s="20"/>
      <c r="O191" s="21"/>
      <c r="P191" s="47"/>
      <c r="Q191" s="23"/>
      <c r="R191" s="19"/>
      <c r="S191" s="20"/>
      <c r="T191" s="21"/>
      <c r="U191" s="47"/>
      <c r="V191" s="23"/>
      <c r="W191" s="9"/>
      <c r="X191" s="9"/>
      <c r="Y191" s="9"/>
      <c r="Z191" s="9"/>
    </row>
    <row r="192">
      <c r="A192" s="9"/>
      <c r="B192" s="9"/>
      <c r="C192" s="9"/>
      <c r="D192" s="9"/>
      <c r="E192" s="9"/>
      <c r="F192" s="72"/>
      <c r="G192" s="73"/>
      <c r="H192" s="19"/>
      <c r="I192" s="20"/>
      <c r="J192" s="21"/>
      <c r="K192" s="47"/>
      <c r="L192" s="23"/>
      <c r="M192" s="19"/>
      <c r="N192" s="20"/>
      <c r="O192" s="21"/>
      <c r="P192" s="47"/>
      <c r="Q192" s="23"/>
      <c r="R192" s="19"/>
      <c r="S192" s="20"/>
      <c r="T192" s="21"/>
      <c r="U192" s="47"/>
      <c r="V192" s="23"/>
      <c r="W192" s="9"/>
      <c r="X192" s="9"/>
      <c r="Y192" s="9"/>
      <c r="Z192" s="9"/>
    </row>
    <row r="193">
      <c r="A193" s="9"/>
      <c r="B193" s="9"/>
      <c r="C193" s="9"/>
      <c r="D193" s="9"/>
      <c r="E193" s="9"/>
      <c r="F193" s="72"/>
      <c r="G193" s="73"/>
      <c r="H193" s="19"/>
      <c r="I193" s="20"/>
      <c r="J193" s="21"/>
      <c r="K193" s="47"/>
      <c r="L193" s="23"/>
      <c r="M193" s="19"/>
      <c r="N193" s="20"/>
      <c r="O193" s="21"/>
      <c r="P193" s="47"/>
      <c r="Q193" s="23"/>
      <c r="R193" s="19"/>
      <c r="S193" s="20"/>
      <c r="T193" s="21"/>
      <c r="U193" s="47"/>
      <c r="V193" s="23"/>
      <c r="W193" s="9"/>
      <c r="X193" s="9"/>
      <c r="Y193" s="9"/>
      <c r="Z193" s="9"/>
    </row>
    <row r="194">
      <c r="A194" s="9"/>
      <c r="B194" s="9"/>
      <c r="C194" s="9"/>
      <c r="D194" s="9"/>
      <c r="E194" s="9"/>
      <c r="F194" s="72"/>
      <c r="G194" s="73"/>
      <c r="H194" s="19"/>
      <c r="I194" s="20"/>
      <c r="J194" s="21"/>
      <c r="K194" s="47"/>
      <c r="L194" s="23"/>
      <c r="M194" s="19"/>
      <c r="N194" s="20"/>
      <c r="O194" s="21"/>
      <c r="P194" s="47"/>
      <c r="Q194" s="23"/>
      <c r="R194" s="19"/>
      <c r="S194" s="20"/>
      <c r="T194" s="21"/>
      <c r="U194" s="47"/>
      <c r="V194" s="23"/>
      <c r="W194" s="9"/>
      <c r="X194" s="9"/>
      <c r="Y194" s="9"/>
      <c r="Z194" s="9"/>
    </row>
    <row r="195">
      <c r="A195" s="9"/>
      <c r="B195" s="9"/>
      <c r="C195" s="9"/>
      <c r="D195" s="9"/>
      <c r="E195" s="9"/>
      <c r="F195" s="72"/>
      <c r="G195" s="73"/>
      <c r="H195" s="19"/>
      <c r="I195" s="20"/>
      <c r="J195" s="21"/>
      <c r="K195" s="47"/>
      <c r="L195" s="23"/>
      <c r="M195" s="19"/>
      <c r="N195" s="20"/>
      <c r="O195" s="21"/>
      <c r="P195" s="47"/>
      <c r="Q195" s="23"/>
      <c r="R195" s="19"/>
      <c r="S195" s="20"/>
      <c r="T195" s="21"/>
      <c r="U195" s="47"/>
      <c r="V195" s="23"/>
      <c r="W195" s="9"/>
      <c r="X195" s="9"/>
      <c r="Y195" s="9"/>
      <c r="Z195" s="9"/>
    </row>
    <row r="196">
      <c r="A196" s="9"/>
      <c r="B196" s="9"/>
      <c r="C196" s="9"/>
      <c r="D196" s="9"/>
      <c r="E196" s="9"/>
      <c r="F196" s="72"/>
      <c r="G196" s="73"/>
      <c r="H196" s="19"/>
      <c r="I196" s="20"/>
      <c r="J196" s="21"/>
      <c r="K196" s="47"/>
      <c r="L196" s="23"/>
      <c r="M196" s="19"/>
      <c r="N196" s="20"/>
      <c r="O196" s="21"/>
      <c r="P196" s="47"/>
      <c r="Q196" s="23"/>
      <c r="R196" s="19"/>
      <c r="S196" s="20"/>
      <c r="T196" s="21"/>
      <c r="U196" s="47"/>
      <c r="V196" s="23"/>
      <c r="W196" s="9"/>
      <c r="X196" s="9"/>
      <c r="Y196" s="9"/>
      <c r="Z196" s="9"/>
    </row>
    <row r="197">
      <c r="A197" s="9"/>
      <c r="B197" s="9"/>
      <c r="C197" s="9"/>
      <c r="D197" s="9"/>
      <c r="E197" s="9"/>
      <c r="F197" s="72"/>
      <c r="G197" s="73"/>
      <c r="H197" s="19"/>
      <c r="I197" s="20"/>
      <c r="J197" s="21"/>
      <c r="K197" s="47"/>
      <c r="L197" s="23"/>
      <c r="M197" s="19"/>
      <c r="N197" s="20"/>
      <c r="O197" s="21"/>
      <c r="P197" s="47"/>
      <c r="Q197" s="23"/>
      <c r="R197" s="19"/>
      <c r="S197" s="20"/>
      <c r="T197" s="21"/>
      <c r="U197" s="47"/>
      <c r="V197" s="23"/>
      <c r="W197" s="9"/>
      <c r="X197" s="9"/>
      <c r="Y197" s="9"/>
      <c r="Z197" s="9"/>
    </row>
    <row r="198">
      <c r="A198" s="9"/>
      <c r="B198" s="9"/>
      <c r="C198" s="9"/>
      <c r="D198" s="9"/>
      <c r="E198" s="9"/>
      <c r="F198" s="72"/>
      <c r="G198" s="73"/>
      <c r="H198" s="19"/>
      <c r="I198" s="20"/>
      <c r="J198" s="21"/>
      <c r="K198" s="47"/>
      <c r="L198" s="23"/>
      <c r="M198" s="19"/>
      <c r="N198" s="20"/>
      <c r="O198" s="21"/>
      <c r="P198" s="47"/>
      <c r="Q198" s="23"/>
      <c r="R198" s="19"/>
      <c r="S198" s="20"/>
      <c r="T198" s="21"/>
      <c r="U198" s="47"/>
      <c r="V198" s="23"/>
      <c r="W198" s="9"/>
      <c r="X198" s="9"/>
      <c r="Y198" s="9"/>
      <c r="Z198" s="9"/>
    </row>
    <row r="199">
      <c r="A199" s="9"/>
      <c r="B199" s="9"/>
      <c r="C199" s="9"/>
      <c r="D199" s="9"/>
      <c r="E199" s="9"/>
      <c r="F199" s="72"/>
      <c r="G199" s="73"/>
      <c r="H199" s="19"/>
      <c r="I199" s="20"/>
      <c r="J199" s="21"/>
      <c r="K199" s="47"/>
      <c r="L199" s="23"/>
      <c r="M199" s="19"/>
      <c r="N199" s="20"/>
      <c r="O199" s="21"/>
      <c r="P199" s="47"/>
      <c r="Q199" s="23"/>
      <c r="R199" s="19"/>
      <c r="S199" s="20"/>
      <c r="T199" s="21"/>
      <c r="U199" s="47"/>
      <c r="V199" s="23"/>
      <c r="W199" s="9"/>
      <c r="X199" s="9"/>
      <c r="Y199" s="9"/>
      <c r="Z199" s="9"/>
    </row>
    <row r="200">
      <c r="A200" s="9"/>
      <c r="B200" s="9"/>
      <c r="C200" s="9"/>
      <c r="D200" s="9"/>
      <c r="E200" s="9"/>
      <c r="F200" s="72"/>
      <c r="G200" s="73"/>
      <c r="H200" s="19"/>
      <c r="I200" s="20"/>
      <c r="J200" s="21"/>
      <c r="K200" s="47"/>
      <c r="L200" s="23"/>
      <c r="M200" s="19"/>
      <c r="N200" s="20"/>
      <c r="O200" s="21"/>
      <c r="P200" s="47"/>
      <c r="Q200" s="23"/>
      <c r="R200" s="19"/>
      <c r="S200" s="20"/>
      <c r="T200" s="21"/>
      <c r="U200" s="47"/>
      <c r="V200" s="23"/>
      <c r="W200" s="9"/>
      <c r="X200" s="9"/>
      <c r="Y200" s="9"/>
      <c r="Z200" s="9"/>
    </row>
    <row r="201">
      <c r="A201" s="9"/>
      <c r="B201" s="9"/>
      <c r="C201" s="9"/>
      <c r="D201" s="9"/>
      <c r="E201" s="9"/>
      <c r="F201" s="72"/>
      <c r="G201" s="73"/>
      <c r="H201" s="19"/>
      <c r="I201" s="20"/>
      <c r="J201" s="21"/>
      <c r="K201" s="47"/>
      <c r="L201" s="23"/>
      <c r="M201" s="19"/>
      <c r="N201" s="20"/>
      <c r="O201" s="21"/>
      <c r="P201" s="47"/>
      <c r="Q201" s="23"/>
      <c r="R201" s="19"/>
      <c r="S201" s="20"/>
      <c r="T201" s="21"/>
      <c r="U201" s="47"/>
      <c r="V201" s="23"/>
      <c r="W201" s="9"/>
      <c r="X201" s="9"/>
      <c r="Y201" s="9"/>
      <c r="Z201" s="9"/>
    </row>
    <row r="202">
      <c r="A202" s="9"/>
      <c r="B202" s="9"/>
      <c r="C202" s="9"/>
      <c r="D202" s="9"/>
      <c r="E202" s="9"/>
      <c r="F202" s="72"/>
      <c r="G202" s="73"/>
      <c r="H202" s="19"/>
      <c r="I202" s="20"/>
      <c r="J202" s="21"/>
      <c r="K202" s="47"/>
      <c r="L202" s="23"/>
      <c r="M202" s="19"/>
      <c r="N202" s="20"/>
      <c r="O202" s="21"/>
      <c r="P202" s="47"/>
      <c r="Q202" s="23"/>
      <c r="R202" s="19"/>
      <c r="S202" s="20"/>
      <c r="T202" s="21"/>
      <c r="U202" s="47"/>
      <c r="V202" s="23"/>
      <c r="W202" s="9"/>
      <c r="X202" s="9"/>
      <c r="Y202" s="9"/>
      <c r="Z202" s="9"/>
    </row>
    <row r="203">
      <c r="A203" s="9"/>
      <c r="B203" s="9"/>
      <c r="C203" s="9"/>
      <c r="D203" s="9"/>
      <c r="E203" s="9"/>
      <c r="F203" s="72"/>
      <c r="G203" s="73"/>
      <c r="H203" s="19"/>
      <c r="I203" s="20"/>
      <c r="J203" s="21"/>
      <c r="K203" s="47"/>
      <c r="L203" s="23"/>
      <c r="M203" s="19"/>
      <c r="N203" s="20"/>
      <c r="O203" s="21"/>
      <c r="P203" s="47"/>
      <c r="Q203" s="23"/>
      <c r="R203" s="19"/>
      <c r="S203" s="20"/>
      <c r="T203" s="21"/>
      <c r="U203" s="47"/>
      <c r="V203" s="23"/>
      <c r="W203" s="9"/>
      <c r="X203" s="9"/>
      <c r="Y203" s="9"/>
      <c r="Z203" s="9"/>
    </row>
    <row r="204">
      <c r="A204" s="9"/>
      <c r="B204" s="9"/>
      <c r="C204" s="9"/>
      <c r="D204" s="9"/>
      <c r="E204" s="9"/>
      <c r="F204" s="72"/>
      <c r="G204" s="73"/>
      <c r="H204" s="19"/>
      <c r="I204" s="20"/>
      <c r="J204" s="21"/>
      <c r="K204" s="47"/>
      <c r="L204" s="23"/>
      <c r="M204" s="19"/>
      <c r="N204" s="20"/>
      <c r="O204" s="21"/>
      <c r="P204" s="47"/>
      <c r="Q204" s="23"/>
      <c r="R204" s="19"/>
      <c r="S204" s="20"/>
      <c r="T204" s="21"/>
      <c r="U204" s="47"/>
      <c r="V204" s="23"/>
      <c r="W204" s="9"/>
      <c r="X204" s="9"/>
      <c r="Y204" s="9"/>
      <c r="Z204" s="9"/>
    </row>
    <row r="205">
      <c r="A205" s="9"/>
      <c r="B205" s="9"/>
      <c r="C205" s="9"/>
      <c r="D205" s="9"/>
      <c r="E205" s="9"/>
      <c r="F205" s="72"/>
      <c r="G205" s="73"/>
      <c r="H205" s="19"/>
      <c r="I205" s="20"/>
      <c r="J205" s="21"/>
      <c r="K205" s="47"/>
      <c r="L205" s="23"/>
      <c r="M205" s="19"/>
      <c r="N205" s="20"/>
      <c r="O205" s="21"/>
      <c r="P205" s="47"/>
      <c r="Q205" s="23"/>
      <c r="R205" s="19"/>
      <c r="S205" s="20"/>
      <c r="T205" s="21"/>
      <c r="U205" s="47"/>
      <c r="V205" s="23"/>
      <c r="W205" s="9"/>
      <c r="X205" s="9"/>
      <c r="Y205" s="9"/>
      <c r="Z205" s="9"/>
    </row>
    <row r="206">
      <c r="A206" s="9"/>
      <c r="B206" s="9"/>
      <c r="C206" s="9"/>
      <c r="D206" s="9"/>
      <c r="E206" s="9"/>
      <c r="F206" s="72"/>
      <c r="G206" s="73"/>
      <c r="H206" s="19"/>
      <c r="I206" s="20"/>
      <c r="J206" s="21"/>
      <c r="K206" s="47"/>
      <c r="L206" s="23"/>
      <c r="M206" s="19"/>
      <c r="N206" s="20"/>
      <c r="O206" s="21"/>
      <c r="P206" s="47"/>
      <c r="Q206" s="23"/>
      <c r="R206" s="19"/>
      <c r="S206" s="20"/>
      <c r="T206" s="21"/>
      <c r="U206" s="47"/>
      <c r="V206" s="23"/>
      <c r="W206" s="9"/>
      <c r="X206" s="9"/>
      <c r="Y206" s="9"/>
      <c r="Z206" s="9"/>
    </row>
    <row r="207">
      <c r="A207" s="9"/>
      <c r="B207" s="9"/>
      <c r="C207" s="9"/>
      <c r="D207" s="9"/>
      <c r="E207" s="9"/>
      <c r="F207" s="72"/>
      <c r="G207" s="73"/>
      <c r="H207" s="19"/>
      <c r="I207" s="20"/>
      <c r="J207" s="21"/>
      <c r="K207" s="47"/>
      <c r="L207" s="23"/>
      <c r="M207" s="19"/>
      <c r="N207" s="20"/>
      <c r="O207" s="21"/>
      <c r="P207" s="47"/>
      <c r="Q207" s="23"/>
      <c r="R207" s="19"/>
      <c r="S207" s="20"/>
      <c r="T207" s="21"/>
      <c r="U207" s="47"/>
      <c r="V207" s="23"/>
      <c r="W207" s="9"/>
      <c r="X207" s="9"/>
      <c r="Y207" s="9"/>
      <c r="Z207" s="9"/>
    </row>
    <row r="208">
      <c r="A208" s="9"/>
      <c r="B208" s="9"/>
      <c r="C208" s="9"/>
      <c r="D208" s="9"/>
      <c r="E208" s="9"/>
      <c r="F208" s="72"/>
      <c r="G208" s="73"/>
      <c r="H208" s="19"/>
      <c r="I208" s="20"/>
      <c r="J208" s="21"/>
      <c r="K208" s="47"/>
      <c r="L208" s="23"/>
      <c r="M208" s="19"/>
      <c r="N208" s="20"/>
      <c r="O208" s="21"/>
      <c r="P208" s="47"/>
      <c r="Q208" s="23"/>
      <c r="R208" s="19"/>
      <c r="S208" s="20"/>
      <c r="T208" s="21"/>
      <c r="U208" s="47"/>
      <c r="V208" s="23"/>
      <c r="W208" s="9"/>
      <c r="X208" s="9"/>
      <c r="Y208" s="9"/>
      <c r="Z208" s="9"/>
    </row>
    <row r="209">
      <c r="A209" s="9"/>
      <c r="B209" s="9"/>
      <c r="C209" s="9"/>
      <c r="D209" s="9"/>
      <c r="E209" s="9"/>
      <c r="F209" s="72"/>
      <c r="G209" s="73"/>
      <c r="H209" s="19"/>
      <c r="I209" s="20"/>
      <c r="J209" s="21"/>
      <c r="K209" s="47"/>
      <c r="L209" s="23"/>
      <c r="M209" s="19"/>
      <c r="N209" s="20"/>
      <c r="O209" s="21"/>
      <c r="P209" s="47"/>
      <c r="Q209" s="23"/>
      <c r="R209" s="19"/>
      <c r="S209" s="20"/>
      <c r="T209" s="21"/>
      <c r="U209" s="47"/>
      <c r="V209" s="23"/>
      <c r="W209" s="9"/>
      <c r="X209" s="9"/>
      <c r="Y209" s="9"/>
      <c r="Z209" s="9"/>
    </row>
    <row r="210">
      <c r="A210" s="9"/>
      <c r="B210" s="9"/>
      <c r="C210" s="9"/>
      <c r="D210" s="9"/>
      <c r="E210" s="9"/>
      <c r="F210" s="72"/>
      <c r="G210" s="73"/>
      <c r="H210" s="19"/>
      <c r="I210" s="20"/>
      <c r="J210" s="21"/>
      <c r="K210" s="47"/>
      <c r="L210" s="23"/>
      <c r="M210" s="19"/>
      <c r="N210" s="20"/>
      <c r="O210" s="21"/>
      <c r="P210" s="47"/>
      <c r="Q210" s="23"/>
      <c r="R210" s="19"/>
      <c r="S210" s="20"/>
      <c r="T210" s="21"/>
      <c r="U210" s="47"/>
      <c r="V210" s="23"/>
      <c r="W210" s="9"/>
      <c r="X210" s="9"/>
      <c r="Y210" s="9"/>
      <c r="Z210" s="9"/>
    </row>
    <row r="211">
      <c r="A211" s="9"/>
      <c r="B211" s="9"/>
      <c r="C211" s="9"/>
      <c r="D211" s="9"/>
      <c r="E211" s="9"/>
      <c r="F211" s="72"/>
      <c r="G211" s="73"/>
      <c r="H211" s="19"/>
      <c r="I211" s="20"/>
      <c r="J211" s="21"/>
      <c r="K211" s="47"/>
      <c r="L211" s="23"/>
      <c r="M211" s="19"/>
      <c r="N211" s="20"/>
      <c r="O211" s="21"/>
      <c r="P211" s="47"/>
      <c r="Q211" s="23"/>
      <c r="R211" s="19"/>
      <c r="S211" s="20"/>
      <c r="T211" s="21"/>
      <c r="U211" s="47"/>
      <c r="V211" s="23"/>
      <c r="W211" s="9"/>
      <c r="X211" s="9"/>
      <c r="Y211" s="9"/>
      <c r="Z211" s="9"/>
    </row>
    <row r="212">
      <c r="A212" s="9"/>
      <c r="B212" s="9"/>
      <c r="C212" s="9"/>
      <c r="D212" s="9"/>
      <c r="E212" s="9"/>
      <c r="F212" s="72"/>
      <c r="G212" s="73"/>
      <c r="H212" s="19"/>
      <c r="I212" s="20"/>
      <c r="J212" s="21"/>
      <c r="K212" s="47"/>
      <c r="L212" s="23"/>
      <c r="M212" s="19"/>
      <c r="N212" s="20"/>
      <c r="O212" s="21"/>
      <c r="P212" s="47"/>
      <c r="Q212" s="23"/>
      <c r="R212" s="19"/>
      <c r="S212" s="20"/>
      <c r="T212" s="21"/>
      <c r="U212" s="47"/>
      <c r="V212" s="23"/>
      <c r="W212" s="9"/>
      <c r="X212" s="9"/>
      <c r="Y212" s="9"/>
      <c r="Z212" s="9"/>
    </row>
    <row r="213">
      <c r="A213" s="9"/>
      <c r="B213" s="9"/>
      <c r="C213" s="9"/>
      <c r="D213" s="9"/>
      <c r="E213" s="9"/>
      <c r="F213" s="72"/>
      <c r="G213" s="73"/>
      <c r="H213" s="19"/>
      <c r="I213" s="20"/>
      <c r="J213" s="21"/>
      <c r="K213" s="47"/>
      <c r="L213" s="23"/>
      <c r="M213" s="19"/>
      <c r="N213" s="20"/>
      <c r="O213" s="21"/>
      <c r="P213" s="47"/>
      <c r="Q213" s="23"/>
      <c r="R213" s="19"/>
      <c r="S213" s="20"/>
      <c r="T213" s="21"/>
      <c r="U213" s="47"/>
      <c r="V213" s="23"/>
      <c r="W213" s="9"/>
      <c r="X213" s="9"/>
      <c r="Y213" s="9"/>
      <c r="Z213" s="9"/>
    </row>
    <row r="214">
      <c r="A214" s="9"/>
      <c r="B214" s="9"/>
      <c r="C214" s="9"/>
      <c r="D214" s="9"/>
      <c r="E214" s="9"/>
      <c r="F214" s="72"/>
      <c r="G214" s="73"/>
      <c r="H214" s="19"/>
      <c r="I214" s="20"/>
      <c r="J214" s="21"/>
      <c r="K214" s="47"/>
      <c r="L214" s="23"/>
      <c r="M214" s="19"/>
      <c r="N214" s="20"/>
      <c r="O214" s="21"/>
      <c r="P214" s="47"/>
      <c r="Q214" s="23"/>
      <c r="R214" s="19"/>
      <c r="S214" s="20"/>
      <c r="T214" s="21"/>
      <c r="U214" s="47"/>
      <c r="V214" s="23"/>
      <c r="W214" s="9"/>
      <c r="X214" s="9"/>
      <c r="Y214" s="9"/>
      <c r="Z214" s="9"/>
    </row>
    <row r="215">
      <c r="A215" s="9"/>
      <c r="B215" s="9"/>
      <c r="C215" s="9"/>
      <c r="D215" s="9"/>
      <c r="E215" s="9"/>
      <c r="F215" s="72"/>
      <c r="G215" s="73"/>
      <c r="H215" s="19"/>
      <c r="I215" s="20"/>
      <c r="J215" s="21"/>
      <c r="K215" s="47"/>
      <c r="L215" s="23"/>
      <c r="M215" s="19"/>
      <c r="N215" s="20"/>
      <c r="O215" s="21"/>
      <c r="P215" s="47"/>
      <c r="Q215" s="23"/>
      <c r="R215" s="19"/>
      <c r="S215" s="20"/>
      <c r="T215" s="21"/>
      <c r="U215" s="47"/>
      <c r="V215" s="23"/>
      <c r="W215" s="9"/>
      <c r="X215" s="9"/>
      <c r="Y215" s="9"/>
      <c r="Z215" s="9"/>
    </row>
    <row r="216">
      <c r="A216" s="9"/>
      <c r="B216" s="9"/>
      <c r="C216" s="9"/>
      <c r="D216" s="9"/>
      <c r="E216" s="9"/>
      <c r="F216" s="72"/>
      <c r="G216" s="73"/>
      <c r="H216" s="19"/>
      <c r="I216" s="20"/>
      <c r="J216" s="21"/>
      <c r="K216" s="47"/>
      <c r="L216" s="23"/>
      <c r="M216" s="19"/>
      <c r="N216" s="20"/>
      <c r="O216" s="21"/>
      <c r="P216" s="47"/>
      <c r="Q216" s="23"/>
      <c r="R216" s="19"/>
      <c r="S216" s="20"/>
      <c r="T216" s="21"/>
      <c r="U216" s="47"/>
      <c r="V216" s="23"/>
      <c r="W216" s="9"/>
      <c r="X216" s="9"/>
      <c r="Y216" s="9"/>
      <c r="Z216" s="9"/>
    </row>
    <row r="217">
      <c r="A217" s="9"/>
      <c r="B217" s="9"/>
      <c r="C217" s="9"/>
      <c r="D217" s="9"/>
      <c r="E217" s="9"/>
      <c r="F217" s="72"/>
      <c r="G217" s="73"/>
      <c r="H217" s="19"/>
      <c r="I217" s="20"/>
      <c r="J217" s="21"/>
      <c r="K217" s="47"/>
      <c r="L217" s="23"/>
      <c r="M217" s="19"/>
      <c r="N217" s="20"/>
      <c r="O217" s="21"/>
      <c r="P217" s="47"/>
      <c r="Q217" s="23"/>
      <c r="R217" s="19"/>
      <c r="S217" s="20"/>
      <c r="T217" s="21"/>
      <c r="U217" s="47"/>
      <c r="V217" s="23"/>
      <c r="W217" s="9"/>
      <c r="X217" s="9"/>
      <c r="Y217" s="9"/>
      <c r="Z217" s="9"/>
    </row>
    <row r="218">
      <c r="A218" s="9"/>
      <c r="B218" s="9"/>
      <c r="C218" s="9"/>
      <c r="D218" s="9"/>
      <c r="E218" s="9"/>
      <c r="F218" s="72"/>
      <c r="G218" s="73"/>
      <c r="H218" s="19"/>
      <c r="I218" s="20"/>
      <c r="J218" s="21"/>
      <c r="K218" s="47"/>
      <c r="L218" s="23"/>
      <c r="M218" s="19"/>
      <c r="N218" s="20"/>
      <c r="O218" s="21"/>
      <c r="P218" s="47"/>
      <c r="Q218" s="23"/>
      <c r="R218" s="19"/>
      <c r="S218" s="20"/>
      <c r="T218" s="21"/>
      <c r="U218" s="47"/>
      <c r="V218" s="23"/>
      <c r="W218" s="9"/>
      <c r="X218" s="9"/>
      <c r="Y218" s="9"/>
      <c r="Z218" s="9"/>
    </row>
    <row r="219">
      <c r="A219" s="9"/>
      <c r="B219" s="9"/>
      <c r="C219" s="9"/>
      <c r="D219" s="9"/>
      <c r="E219" s="9"/>
      <c r="F219" s="72"/>
      <c r="G219" s="73"/>
      <c r="H219" s="19"/>
      <c r="I219" s="20"/>
      <c r="J219" s="21"/>
      <c r="K219" s="47"/>
      <c r="L219" s="23"/>
      <c r="M219" s="19"/>
      <c r="N219" s="20"/>
      <c r="O219" s="21"/>
      <c r="P219" s="47"/>
      <c r="Q219" s="23"/>
      <c r="R219" s="19"/>
      <c r="S219" s="20"/>
      <c r="T219" s="21"/>
      <c r="U219" s="47"/>
      <c r="V219" s="23"/>
      <c r="W219" s="9"/>
      <c r="X219" s="9"/>
      <c r="Y219" s="9"/>
      <c r="Z219" s="9"/>
    </row>
    <row r="220">
      <c r="A220" s="9"/>
      <c r="B220" s="9"/>
      <c r="C220" s="9"/>
      <c r="D220" s="9"/>
      <c r="E220" s="9"/>
      <c r="F220" s="72"/>
      <c r="G220" s="73"/>
      <c r="H220" s="19"/>
      <c r="I220" s="20"/>
      <c r="J220" s="21"/>
      <c r="K220" s="47"/>
      <c r="L220" s="23"/>
      <c r="M220" s="19"/>
      <c r="N220" s="20"/>
      <c r="O220" s="21"/>
      <c r="P220" s="47"/>
      <c r="Q220" s="23"/>
      <c r="R220" s="19"/>
      <c r="S220" s="20"/>
      <c r="T220" s="21"/>
      <c r="U220" s="47"/>
      <c r="V220" s="23"/>
      <c r="W220" s="9"/>
      <c r="X220" s="9"/>
      <c r="Y220" s="9"/>
      <c r="Z220" s="9"/>
    </row>
    <row r="221">
      <c r="A221" s="9"/>
      <c r="B221" s="9"/>
      <c r="C221" s="9"/>
      <c r="D221" s="9"/>
      <c r="E221" s="9"/>
      <c r="F221" s="72"/>
      <c r="G221" s="73"/>
      <c r="H221" s="19"/>
      <c r="I221" s="20"/>
      <c r="J221" s="21"/>
      <c r="K221" s="47"/>
      <c r="L221" s="23"/>
      <c r="M221" s="19"/>
      <c r="N221" s="20"/>
      <c r="O221" s="21"/>
      <c r="P221" s="47"/>
      <c r="Q221" s="23"/>
      <c r="R221" s="19"/>
      <c r="S221" s="20"/>
      <c r="T221" s="21"/>
      <c r="U221" s="47"/>
      <c r="V221" s="23"/>
      <c r="W221" s="9"/>
      <c r="X221" s="9"/>
      <c r="Y221" s="9"/>
      <c r="Z221" s="9"/>
    </row>
    <row r="222">
      <c r="A222" s="9"/>
      <c r="B222" s="9"/>
      <c r="C222" s="9"/>
      <c r="D222" s="9"/>
      <c r="E222" s="9"/>
      <c r="F222" s="72"/>
      <c r="G222" s="73"/>
      <c r="H222" s="19"/>
      <c r="I222" s="20"/>
      <c r="J222" s="21"/>
      <c r="K222" s="47"/>
      <c r="L222" s="23"/>
      <c r="M222" s="19"/>
      <c r="N222" s="20"/>
      <c r="O222" s="21"/>
      <c r="P222" s="47"/>
      <c r="Q222" s="23"/>
      <c r="R222" s="19"/>
      <c r="S222" s="20"/>
      <c r="T222" s="21"/>
      <c r="U222" s="47"/>
      <c r="V222" s="23"/>
      <c r="W222" s="9"/>
      <c r="X222" s="9"/>
      <c r="Y222" s="9"/>
      <c r="Z222" s="9"/>
    </row>
    <row r="223">
      <c r="A223" s="9"/>
      <c r="B223" s="9"/>
      <c r="C223" s="9"/>
      <c r="D223" s="9"/>
      <c r="E223" s="9"/>
      <c r="F223" s="72"/>
      <c r="G223" s="73"/>
      <c r="H223" s="19"/>
      <c r="I223" s="20"/>
      <c r="J223" s="21"/>
      <c r="K223" s="47"/>
      <c r="L223" s="23"/>
      <c r="M223" s="19"/>
      <c r="N223" s="20"/>
      <c r="O223" s="21"/>
      <c r="P223" s="47"/>
      <c r="Q223" s="23"/>
      <c r="R223" s="19"/>
      <c r="S223" s="20"/>
      <c r="T223" s="21"/>
      <c r="U223" s="47"/>
      <c r="V223" s="23"/>
      <c r="W223" s="9"/>
      <c r="X223" s="9"/>
      <c r="Y223" s="9"/>
      <c r="Z223" s="9"/>
    </row>
    <row r="224">
      <c r="A224" s="9"/>
      <c r="B224" s="9"/>
      <c r="C224" s="9"/>
      <c r="D224" s="9"/>
      <c r="E224" s="9"/>
      <c r="F224" s="72"/>
      <c r="G224" s="73"/>
      <c r="H224" s="19"/>
      <c r="I224" s="20"/>
      <c r="J224" s="21"/>
      <c r="K224" s="47"/>
      <c r="L224" s="23"/>
      <c r="M224" s="19"/>
      <c r="N224" s="20"/>
      <c r="O224" s="21"/>
      <c r="P224" s="47"/>
      <c r="Q224" s="23"/>
      <c r="R224" s="19"/>
      <c r="S224" s="20"/>
      <c r="T224" s="21"/>
      <c r="U224" s="47"/>
      <c r="V224" s="23"/>
      <c r="W224" s="9"/>
      <c r="X224" s="9"/>
      <c r="Y224" s="9"/>
      <c r="Z224" s="9"/>
    </row>
    <row r="225">
      <c r="A225" s="9"/>
      <c r="B225" s="9"/>
      <c r="C225" s="9"/>
      <c r="D225" s="9"/>
      <c r="E225" s="9"/>
      <c r="F225" s="72"/>
      <c r="G225" s="73"/>
      <c r="H225" s="19"/>
      <c r="I225" s="20"/>
      <c r="J225" s="21"/>
      <c r="K225" s="47"/>
      <c r="L225" s="23"/>
      <c r="M225" s="19"/>
      <c r="N225" s="20"/>
      <c r="O225" s="21"/>
      <c r="P225" s="47"/>
      <c r="Q225" s="23"/>
      <c r="R225" s="19"/>
      <c r="S225" s="20"/>
      <c r="T225" s="21"/>
      <c r="U225" s="47"/>
      <c r="V225" s="23"/>
      <c r="W225" s="9"/>
      <c r="X225" s="9"/>
      <c r="Y225" s="9"/>
      <c r="Z225" s="9"/>
    </row>
    <row r="226">
      <c r="A226" s="9"/>
      <c r="B226" s="9"/>
      <c r="C226" s="9"/>
      <c r="D226" s="9"/>
      <c r="E226" s="9"/>
      <c r="F226" s="72"/>
      <c r="G226" s="73"/>
      <c r="H226" s="19"/>
      <c r="I226" s="20"/>
      <c r="J226" s="21"/>
      <c r="K226" s="47"/>
      <c r="L226" s="23"/>
      <c r="M226" s="19"/>
      <c r="N226" s="20"/>
      <c r="O226" s="21"/>
      <c r="P226" s="47"/>
      <c r="Q226" s="23"/>
      <c r="R226" s="19"/>
      <c r="S226" s="20"/>
      <c r="T226" s="21"/>
      <c r="U226" s="47"/>
      <c r="V226" s="23"/>
      <c r="W226" s="9"/>
      <c r="X226" s="9"/>
      <c r="Y226" s="9"/>
      <c r="Z226" s="9"/>
    </row>
    <row r="227">
      <c r="A227" s="9"/>
      <c r="B227" s="9"/>
      <c r="C227" s="9"/>
      <c r="D227" s="9"/>
      <c r="E227" s="9"/>
      <c r="F227" s="72"/>
      <c r="G227" s="73"/>
      <c r="H227" s="19"/>
      <c r="I227" s="20"/>
      <c r="J227" s="21"/>
      <c r="K227" s="47"/>
      <c r="L227" s="23"/>
      <c r="M227" s="19"/>
      <c r="N227" s="20"/>
      <c r="O227" s="21"/>
      <c r="P227" s="47"/>
      <c r="Q227" s="23"/>
      <c r="R227" s="19"/>
      <c r="S227" s="20"/>
      <c r="T227" s="21"/>
      <c r="U227" s="47"/>
      <c r="V227" s="23"/>
      <c r="W227" s="9"/>
      <c r="X227" s="9"/>
      <c r="Y227" s="9"/>
      <c r="Z227" s="9"/>
    </row>
    <row r="228">
      <c r="A228" s="9"/>
      <c r="B228" s="9"/>
      <c r="C228" s="9"/>
      <c r="D228" s="9"/>
      <c r="E228" s="9"/>
      <c r="F228" s="72"/>
      <c r="G228" s="73"/>
      <c r="H228" s="19"/>
      <c r="I228" s="20"/>
      <c r="J228" s="21"/>
      <c r="K228" s="47"/>
      <c r="L228" s="23"/>
      <c r="M228" s="19"/>
      <c r="N228" s="20"/>
      <c r="O228" s="21"/>
      <c r="P228" s="47"/>
      <c r="Q228" s="23"/>
      <c r="R228" s="19"/>
      <c r="S228" s="20"/>
      <c r="T228" s="21"/>
      <c r="U228" s="47"/>
      <c r="V228" s="23"/>
      <c r="W228" s="9"/>
      <c r="X228" s="9"/>
      <c r="Y228" s="9"/>
      <c r="Z228" s="9"/>
    </row>
    <row r="229">
      <c r="A229" s="9"/>
      <c r="B229" s="9"/>
      <c r="C229" s="9"/>
      <c r="D229" s="9"/>
      <c r="E229" s="9"/>
      <c r="F229" s="72"/>
      <c r="G229" s="73"/>
      <c r="H229" s="19"/>
      <c r="I229" s="20"/>
      <c r="J229" s="21"/>
      <c r="K229" s="47"/>
      <c r="L229" s="23"/>
      <c r="M229" s="19"/>
      <c r="N229" s="20"/>
      <c r="O229" s="21"/>
      <c r="P229" s="47"/>
      <c r="Q229" s="23"/>
      <c r="R229" s="19"/>
      <c r="S229" s="20"/>
      <c r="T229" s="21"/>
      <c r="U229" s="47"/>
      <c r="V229" s="23"/>
      <c r="W229" s="9"/>
      <c r="X229" s="9"/>
      <c r="Y229" s="9"/>
      <c r="Z229" s="9"/>
    </row>
    <row r="230">
      <c r="A230" s="9"/>
      <c r="B230" s="9"/>
      <c r="C230" s="9"/>
      <c r="D230" s="9"/>
      <c r="E230" s="9"/>
      <c r="F230" s="72"/>
      <c r="G230" s="73"/>
      <c r="H230" s="19"/>
      <c r="I230" s="20"/>
      <c r="J230" s="21"/>
      <c r="K230" s="47"/>
      <c r="L230" s="23"/>
      <c r="M230" s="19"/>
      <c r="N230" s="20"/>
      <c r="O230" s="21"/>
      <c r="P230" s="47"/>
      <c r="Q230" s="23"/>
      <c r="R230" s="19"/>
      <c r="S230" s="20"/>
      <c r="T230" s="21"/>
      <c r="U230" s="47"/>
      <c r="V230" s="23"/>
      <c r="W230" s="9"/>
      <c r="X230" s="9"/>
      <c r="Y230" s="9"/>
      <c r="Z230" s="9"/>
    </row>
    <row r="231">
      <c r="A231" s="9"/>
      <c r="B231" s="9"/>
      <c r="C231" s="9"/>
      <c r="D231" s="9"/>
      <c r="E231" s="9"/>
      <c r="F231" s="72"/>
      <c r="G231" s="73"/>
      <c r="H231" s="19"/>
      <c r="I231" s="20"/>
      <c r="J231" s="21"/>
      <c r="K231" s="47"/>
      <c r="L231" s="23"/>
      <c r="M231" s="19"/>
      <c r="N231" s="20"/>
      <c r="O231" s="21"/>
      <c r="P231" s="47"/>
      <c r="Q231" s="23"/>
      <c r="R231" s="19"/>
      <c r="S231" s="20"/>
      <c r="T231" s="21"/>
      <c r="U231" s="47"/>
      <c r="V231" s="23"/>
      <c r="W231" s="9"/>
      <c r="X231" s="9"/>
      <c r="Y231" s="9"/>
      <c r="Z231" s="9"/>
    </row>
    <row r="232">
      <c r="A232" s="9"/>
      <c r="B232" s="9"/>
      <c r="C232" s="9"/>
      <c r="D232" s="9"/>
      <c r="E232" s="9"/>
      <c r="F232" s="72"/>
      <c r="G232" s="73"/>
      <c r="H232" s="19"/>
      <c r="I232" s="20"/>
      <c r="J232" s="21"/>
      <c r="K232" s="47"/>
      <c r="L232" s="23"/>
      <c r="M232" s="19"/>
      <c r="N232" s="20"/>
      <c r="O232" s="21"/>
      <c r="P232" s="47"/>
      <c r="Q232" s="23"/>
      <c r="R232" s="19"/>
      <c r="S232" s="20"/>
      <c r="T232" s="21"/>
      <c r="U232" s="47"/>
      <c r="V232" s="23"/>
      <c r="W232" s="9"/>
      <c r="X232" s="9"/>
      <c r="Y232" s="9"/>
      <c r="Z232" s="9"/>
    </row>
    <row r="233">
      <c r="A233" s="9"/>
      <c r="B233" s="9"/>
      <c r="C233" s="9"/>
      <c r="D233" s="9"/>
      <c r="E233" s="9"/>
      <c r="F233" s="72"/>
      <c r="G233" s="73"/>
      <c r="H233" s="19"/>
      <c r="I233" s="20"/>
      <c r="J233" s="21"/>
      <c r="K233" s="47"/>
      <c r="L233" s="23"/>
      <c r="M233" s="19"/>
      <c r="N233" s="20"/>
      <c r="O233" s="21"/>
      <c r="P233" s="47"/>
      <c r="Q233" s="23"/>
      <c r="R233" s="19"/>
      <c r="S233" s="20"/>
      <c r="T233" s="21"/>
      <c r="U233" s="47"/>
      <c r="V233" s="23"/>
      <c r="W233" s="9"/>
      <c r="X233" s="9"/>
      <c r="Y233" s="9"/>
      <c r="Z233" s="9"/>
    </row>
    <row r="234">
      <c r="A234" s="9"/>
      <c r="B234" s="9"/>
      <c r="C234" s="9"/>
      <c r="D234" s="9"/>
      <c r="E234" s="9"/>
      <c r="F234" s="72"/>
      <c r="G234" s="73"/>
      <c r="H234" s="19"/>
      <c r="I234" s="20"/>
      <c r="J234" s="21"/>
      <c r="K234" s="47"/>
      <c r="L234" s="23"/>
      <c r="M234" s="19"/>
      <c r="N234" s="20"/>
      <c r="O234" s="21"/>
      <c r="P234" s="47"/>
      <c r="Q234" s="23"/>
      <c r="R234" s="19"/>
      <c r="S234" s="20"/>
      <c r="T234" s="21"/>
      <c r="U234" s="47"/>
      <c r="V234" s="23"/>
      <c r="W234" s="9"/>
      <c r="X234" s="9"/>
      <c r="Y234" s="9"/>
      <c r="Z234" s="9"/>
    </row>
    <row r="235">
      <c r="A235" s="9"/>
      <c r="B235" s="9"/>
      <c r="C235" s="9"/>
      <c r="D235" s="9"/>
      <c r="E235" s="9"/>
      <c r="F235" s="72"/>
      <c r="G235" s="73"/>
      <c r="H235" s="19"/>
      <c r="I235" s="20"/>
      <c r="J235" s="21"/>
      <c r="K235" s="47"/>
      <c r="L235" s="23"/>
      <c r="M235" s="19"/>
      <c r="N235" s="20"/>
      <c r="O235" s="21"/>
      <c r="P235" s="47"/>
      <c r="Q235" s="23"/>
      <c r="R235" s="19"/>
      <c r="S235" s="20"/>
      <c r="T235" s="21"/>
      <c r="U235" s="47"/>
      <c r="V235" s="23"/>
      <c r="W235" s="9"/>
      <c r="X235" s="9"/>
      <c r="Y235" s="9"/>
      <c r="Z235" s="9"/>
    </row>
    <row r="236">
      <c r="A236" s="9"/>
      <c r="B236" s="9"/>
      <c r="C236" s="9"/>
      <c r="D236" s="9"/>
      <c r="E236" s="9"/>
      <c r="F236" s="72"/>
      <c r="G236" s="73"/>
      <c r="H236" s="19"/>
      <c r="I236" s="20"/>
      <c r="J236" s="21"/>
      <c r="K236" s="47"/>
      <c r="L236" s="23"/>
      <c r="M236" s="19"/>
      <c r="N236" s="20"/>
      <c r="O236" s="21"/>
      <c r="P236" s="47"/>
      <c r="Q236" s="23"/>
      <c r="R236" s="19"/>
      <c r="S236" s="20"/>
      <c r="T236" s="21"/>
      <c r="U236" s="47"/>
      <c r="V236" s="23"/>
      <c r="W236" s="9"/>
      <c r="X236" s="9"/>
      <c r="Y236" s="9"/>
      <c r="Z236" s="9"/>
    </row>
    <row r="237">
      <c r="A237" s="9"/>
      <c r="B237" s="9"/>
      <c r="C237" s="9"/>
      <c r="D237" s="9"/>
      <c r="E237" s="9"/>
      <c r="F237" s="72"/>
      <c r="G237" s="73"/>
      <c r="H237" s="19"/>
      <c r="I237" s="20"/>
      <c r="J237" s="21"/>
      <c r="K237" s="47"/>
      <c r="L237" s="23"/>
      <c r="M237" s="19"/>
      <c r="N237" s="20"/>
      <c r="O237" s="21"/>
      <c r="P237" s="47"/>
      <c r="Q237" s="23"/>
      <c r="R237" s="19"/>
      <c r="S237" s="20"/>
      <c r="T237" s="21"/>
      <c r="U237" s="47"/>
      <c r="V237" s="23"/>
      <c r="W237" s="9"/>
      <c r="X237" s="9"/>
      <c r="Y237" s="9"/>
      <c r="Z237" s="9"/>
    </row>
    <row r="238">
      <c r="A238" s="9"/>
      <c r="B238" s="9"/>
      <c r="C238" s="9"/>
      <c r="D238" s="9"/>
      <c r="E238" s="9"/>
      <c r="F238" s="72"/>
      <c r="G238" s="73"/>
      <c r="H238" s="19"/>
      <c r="I238" s="20"/>
      <c r="J238" s="21"/>
      <c r="K238" s="47"/>
      <c r="L238" s="23"/>
      <c r="M238" s="19"/>
      <c r="N238" s="20"/>
      <c r="O238" s="21"/>
      <c r="P238" s="47"/>
      <c r="Q238" s="23"/>
      <c r="R238" s="19"/>
      <c r="S238" s="20"/>
      <c r="T238" s="21"/>
      <c r="U238" s="47"/>
      <c r="V238" s="23"/>
      <c r="W238" s="9"/>
      <c r="X238" s="9"/>
      <c r="Y238" s="9"/>
      <c r="Z238" s="9"/>
    </row>
    <row r="239">
      <c r="A239" s="9"/>
      <c r="B239" s="9"/>
      <c r="C239" s="9"/>
      <c r="D239" s="9"/>
      <c r="E239" s="9"/>
      <c r="F239" s="72"/>
      <c r="G239" s="73"/>
      <c r="H239" s="19"/>
      <c r="I239" s="20"/>
      <c r="J239" s="21"/>
      <c r="K239" s="47"/>
      <c r="L239" s="23"/>
      <c r="M239" s="19"/>
      <c r="N239" s="20"/>
      <c r="O239" s="21"/>
      <c r="P239" s="47"/>
      <c r="Q239" s="23"/>
      <c r="R239" s="19"/>
      <c r="S239" s="20"/>
      <c r="T239" s="21"/>
      <c r="U239" s="47"/>
      <c r="V239" s="23"/>
      <c r="W239" s="9"/>
      <c r="X239" s="9"/>
      <c r="Y239" s="9"/>
      <c r="Z239" s="9"/>
    </row>
    <row r="240">
      <c r="A240" s="9"/>
      <c r="B240" s="9"/>
      <c r="C240" s="9"/>
      <c r="D240" s="9"/>
      <c r="E240" s="9"/>
      <c r="F240" s="72"/>
      <c r="G240" s="73"/>
      <c r="H240" s="19"/>
      <c r="I240" s="20"/>
      <c r="J240" s="21"/>
      <c r="K240" s="47"/>
      <c r="L240" s="23"/>
      <c r="M240" s="19"/>
      <c r="N240" s="20"/>
      <c r="O240" s="21"/>
      <c r="P240" s="47"/>
      <c r="Q240" s="23"/>
      <c r="R240" s="19"/>
      <c r="S240" s="20"/>
      <c r="T240" s="21"/>
      <c r="U240" s="47"/>
      <c r="V240" s="23"/>
      <c r="W240" s="9"/>
      <c r="X240" s="9"/>
      <c r="Y240" s="9"/>
      <c r="Z240" s="9"/>
    </row>
    <row r="241">
      <c r="A241" s="9"/>
      <c r="B241" s="9"/>
      <c r="C241" s="9"/>
      <c r="D241" s="9"/>
      <c r="E241" s="9"/>
      <c r="F241" s="72"/>
      <c r="G241" s="73"/>
      <c r="H241" s="19"/>
      <c r="I241" s="20"/>
      <c r="J241" s="21"/>
      <c r="K241" s="47"/>
      <c r="L241" s="23"/>
      <c r="M241" s="19"/>
      <c r="N241" s="20"/>
      <c r="O241" s="21"/>
      <c r="P241" s="47"/>
      <c r="Q241" s="23"/>
      <c r="R241" s="19"/>
      <c r="S241" s="20"/>
      <c r="T241" s="21"/>
      <c r="U241" s="47"/>
      <c r="V241" s="23"/>
      <c r="W241" s="9"/>
      <c r="X241" s="9"/>
      <c r="Y241" s="9"/>
      <c r="Z241" s="9"/>
    </row>
    <row r="242">
      <c r="A242" s="9"/>
      <c r="B242" s="9"/>
      <c r="C242" s="9"/>
      <c r="D242" s="9"/>
      <c r="E242" s="9"/>
      <c r="F242" s="72"/>
      <c r="G242" s="73"/>
      <c r="H242" s="19"/>
      <c r="I242" s="20"/>
      <c r="J242" s="21"/>
      <c r="K242" s="47"/>
      <c r="L242" s="23"/>
      <c r="M242" s="19"/>
      <c r="N242" s="20"/>
      <c r="O242" s="21"/>
      <c r="P242" s="47"/>
      <c r="Q242" s="23"/>
      <c r="R242" s="19"/>
      <c r="S242" s="20"/>
      <c r="T242" s="21"/>
      <c r="U242" s="47"/>
      <c r="V242" s="23"/>
      <c r="W242" s="9"/>
      <c r="X242" s="9"/>
      <c r="Y242" s="9"/>
      <c r="Z242" s="9"/>
    </row>
    <row r="243">
      <c r="A243" s="9"/>
      <c r="B243" s="9"/>
      <c r="C243" s="9"/>
      <c r="D243" s="9"/>
      <c r="E243" s="9"/>
      <c r="F243" s="72"/>
      <c r="G243" s="73"/>
      <c r="H243" s="19"/>
      <c r="I243" s="20"/>
      <c r="J243" s="21"/>
      <c r="K243" s="47"/>
      <c r="L243" s="23"/>
      <c r="M243" s="19"/>
      <c r="N243" s="20"/>
      <c r="O243" s="21"/>
      <c r="P243" s="47"/>
      <c r="Q243" s="23"/>
      <c r="R243" s="19"/>
      <c r="S243" s="20"/>
      <c r="T243" s="21"/>
      <c r="U243" s="47"/>
      <c r="V243" s="23"/>
      <c r="W243" s="9"/>
      <c r="X243" s="9"/>
      <c r="Y243" s="9"/>
      <c r="Z243" s="9"/>
    </row>
    <row r="244">
      <c r="A244" s="9"/>
      <c r="B244" s="9"/>
      <c r="C244" s="9"/>
      <c r="D244" s="9"/>
      <c r="E244" s="9"/>
      <c r="F244" s="72"/>
      <c r="G244" s="73"/>
      <c r="H244" s="19"/>
      <c r="I244" s="20"/>
      <c r="J244" s="21"/>
      <c r="K244" s="47"/>
      <c r="L244" s="23"/>
      <c r="M244" s="19"/>
      <c r="N244" s="20"/>
      <c r="O244" s="21"/>
      <c r="P244" s="47"/>
      <c r="Q244" s="23"/>
      <c r="R244" s="19"/>
      <c r="S244" s="20"/>
      <c r="T244" s="21"/>
      <c r="U244" s="47"/>
      <c r="V244" s="23"/>
      <c r="W244" s="9"/>
      <c r="X244" s="9"/>
      <c r="Y244" s="9"/>
      <c r="Z244" s="9"/>
    </row>
    <row r="245">
      <c r="A245" s="9"/>
      <c r="B245" s="9"/>
      <c r="C245" s="9"/>
      <c r="D245" s="9"/>
      <c r="E245" s="9"/>
      <c r="F245" s="72"/>
      <c r="G245" s="73"/>
      <c r="H245" s="19"/>
      <c r="I245" s="20"/>
      <c r="J245" s="21"/>
      <c r="K245" s="47"/>
      <c r="L245" s="23"/>
      <c r="M245" s="19"/>
      <c r="N245" s="20"/>
      <c r="O245" s="21"/>
      <c r="P245" s="47"/>
      <c r="Q245" s="23"/>
      <c r="R245" s="19"/>
      <c r="S245" s="20"/>
      <c r="T245" s="21"/>
      <c r="U245" s="47"/>
      <c r="V245" s="23"/>
      <c r="W245" s="9"/>
      <c r="X245" s="9"/>
      <c r="Y245" s="9"/>
      <c r="Z245" s="9"/>
    </row>
    <row r="246">
      <c r="A246" s="9"/>
      <c r="B246" s="9"/>
      <c r="C246" s="9"/>
      <c r="D246" s="9"/>
      <c r="E246" s="9"/>
      <c r="F246" s="72"/>
      <c r="G246" s="73"/>
      <c r="H246" s="19"/>
      <c r="I246" s="20"/>
      <c r="J246" s="21"/>
      <c r="K246" s="47"/>
      <c r="L246" s="23"/>
      <c r="M246" s="19"/>
      <c r="N246" s="20"/>
      <c r="O246" s="21"/>
      <c r="P246" s="47"/>
      <c r="Q246" s="23"/>
      <c r="R246" s="19"/>
      <c r="S246" s="20"/>
      <c r="T246" s="21"/>
      <c r="U246" s="47"/>
      <c r="V246" s="23"/>
      <c r="W246" s="9"/>
      <c r="X246" s="9"/>
      <c r="Y246" s="9"/>
      <c r="Z246" s="9"/>
    </row>
    <row r="247">
      <c r="A247" s="9"/>
      <c r="B247" s="9"/>
      <c r="C247" s="9"/>
      <c r="D247" s="9"/>
      <c r="E247" s="9"/>
      <c r="F247" s="72"/>
      <c r="G247" s="73"/>
      <c r="H247" s="19"/>
      <c r="I247" s="20"/>
      <c r="J247" s="21"/>
      <c r="K247" s="47"/>
      <c r="L247" s="23"/>
      <c r="M247" s="19"/>
      <c r="N247" s="20"/>
      <c r="O247" s="21"/>
      <c r="P247" s="47"/>
      <c r="Q247" s="23"/>
      <c r="R247" s="19"/>
      <c r="S247" s="20"/>
      <c r="T247" s="21"/>
      <c r="U247" s="47"/>
      <c r="V247" s="23"/>
      <c r="W247" s="9"/>
      <c r="X247" s="9"/>
      <c r="Y247" s="9"/>
      <c r="Z247" s="9"/>
    </row>
    <row r="248">
      <c r="A248" s="9"/>
      <c r="B248" s="9"/>
      <c r="C248" s="9"/>
      <c r="D248" s="9"/>
      <c r="E248" s="9"/>
      <c r="F248" s="72"/>
      <c r="G248" s="73"/>
      <c r="H248" s="19"/>
      <c r="I248" s="20"/>
      <c r="J248" s="21"/>
      <c r="K248" s="47"/>
      <c r="L248" s="23"/>
      <c r="M248" s="19"/>
      <c r="N248" s="20"/>
      <c r="O248" s="21"/>
      <c r="P248" s="47"/>
      <c r="Q248" s="23"/>
      <c r="R248" s="19"/>
      <c r="S248" s="20"/>
      <c r="T248" s="21"/>
      <c r="U248" s="47"/>
      <c r="V248" s="23"/>
      <c r="W248" s="9"/>
      <c r="X248" s="9"/>
      <c r="Y248" s="9"/>
      <c r="Z248" s="9"/>
    </row>
    <row r="249">
      <c r="A249" s="9"/>
      <c r="B249" s="9"/>
      <c r="C249" s="9"/>
      <c r="D249" s="9"/>
      <c r="E249" s="9"/>
      <c r="F249" s="72"/>
      <c r="G249" s="73"/>
      <c r="H249" s="19"/>
      <c r="I249" s="20"/>
      <c r="J249" s="21"/>
      <c r="K249" s="47"/>
      <c r="L249" s="23"/>
      <c r="M249" s="19"/>
      <c r="N249" s="20"/>
      <c r="O249" s="21"/>
      <c r="P249" s="47"/>
      <c r="Q249" s="23"/>
      <c r="R249" s="19"/>
      <c r="S249" s="20"/>
      <c r="T249" s="21"/>
      <c r="U249" s="47"/>
      <c r="V249" s="23"/>
      <c r="W249" s="9"/>
      <c r="X249" s="9"/>
      <c r="Y249" s="9"/>
      <c r="Z249" s="9"/>
    </row>
    <row r="250">
      <c r="A250" s="9"/>
      <c r="B250" s="9"/>
      <c r="C250" s="9"/>
      <c r="D250" s="9"/>
      <c r="E250" s="9"/>
      <c r="F250" s="72"/>
      <c r="G250" s="73"/>
      <c r="H250" s="19"/>
      <c r="I250" s="20"/>
      <c r="J250" s="21"/>
      <c r="K250" s="47"/>
      <c r="L250" s="23"/>
      <c r="M250" s="19"/>
      <c r="N250" s="20"/>
      <c r="O250" s="21"/>
      <c r="P250" s="47"/>
      <c r="Q250" s="23"/>
      <c r="R250" s="19"/>
      <c r="S250" s="20"/>
      <c r="T250" s="21"/>
      <c r="U250" s="47"/>
      <c r="V250" s="23"/>
      <c r="W250" s="9"/>
      <c r="X250" s="9"/>
      <c r="Y250" s="9"/>
      <c r="Z250" s="9"/>
    </row>
    <row r="251">
      <c r="A251" s="9"/>
      <c r="B251" s="9"/>
      <c r="C251" s="9"/>
      <c r="D251" s="9"/>
      <c r="E251" s="9"/>
      <c r="F251" s="72"/>
      <c r="G251" s="73"/>
      <c r="H251" s="19"/>
      <c r="I251" s="20"/>
      <c r="J251" s="21"/>
      <c r="K251" s="47"/>
      <c r="L251" s="23"/>
      <c r="M251" s="19"/>
      <c r="N251" s="20"/>
      <c r="O251" s="21"/>
      <c r="P251" s="47"/>
      <c r="Q251" s="23"/>
      <c r="R251" s="19"/>
      <c r="S251" s="20"/>
      <c r="T251" s="21"/>
      <c r="U251" s="47"/>
      <c r="V251" s="23"/>
      <c r="W251" s="9"/>
      <c r="X251" s="9"/>
      <c r="Y251" s="9"/>
      <c r="Z251" s="9"/>
    </row>
    <row r="252">
      <c r="A252" s="9"/>
      <c r="B252" s="9"/>
      <c r="C252" s="9"/>
      <c r="D252" s="9"/>
      <c r="E252" s="9"/>
      <c r="F252" s="72"/>
      <c r="G252" s="73"/>
      <c r="H252" s="19"/>
      <c r="I252" s="20"/>
      <c r="J252" s="21"/>
      <c r="K252" s="47"/>
      <c r="L252" s="23"/>
      <c r="M252" s="19"/>
      <c r="N252" s="20"/>
      <c r="O252" s="21"/>
      <c r="P252" s="47"/>
      <c r="Q252" s="23"/>
      <c r="R252" s="19"/>
      <c r="S252" s="20"/>
      <c r="T252" s="21"/>
      <c r="U252" s="47"/>
      <c r="V252" s="23"/>
      <c r="W252" s="9"/>
      <c r="X252" s="9"/>
      <c r="Y252" s="9"/>
      <c r="Z252" s="9"/>
    </row>
    <row r="253">
      <c r="A253" s="9"/>
      <c r="B253" s="9"/>
      <c r="C253" s="9"/>
      <c r="D253" s="9"/>
      <c r="E253" s="9"/>
      <c r="F253" s="72"/>
      <c r="G253" s="73"/>
      <c r="H253" s="19"/>
      <c r="I253" s="20"/>
      <c r="J253" s="21"/>
      <c r="K253" s="47"/>
      <c r="L253" s="23"/>
      <c r="M253" s="19"/>
      <c r="N253" s="20"/>
      <c r="O253" s="21"/>
      <c r="P253" s="47"/>
      <c r="Q253" s="23"/>
      <c r="R253" s="19"/>
      <c r="S253" s="20"/>
      <c r="T253" s="21"/>
      <c r="U253" s="47"/>
      <c r="V253" s="23"/>
      <c r="W253" s="9"/>
      <c r="X253" s="9"/>
      <c r="Y253" s="9"/>
      <c r="Z253" s="9"/>
    </row>
    <row r="254">
      <c r="A254" s="9"/>
      <c r="B254" s="9"/>
      <c r="C254" s="9"/>
      <c r="D254" s="9"/>
      <c r="E254" s="9"/>
      <c r="F254" s="72"/>
      <c r="G254" s="73"/>
      <c r="H254" s="19"/>
      <c r="I254" s="20"/>
      <c r="J254" s="21"/>
      <c r="K254" s="47"/>
      <c r="L254" s="23"/>
      <c r="M254" s="19"/>
      <c r="N254" s="20"/>
      <c r="O254" s="21"/>
      <c r="P254" s="47"/>
      <c r="Q254" s="23"/>
      <c r="R254" s="19"/>
      <c r="S254" s="20"/>
      <c r="T254" s="21"/>
      <c r="U254" s="47"/>
      <c r="V254" s="23"/>
      <c r="W254" s="9"/>
      <c r="X254" s="9"/>
      <c r="Y254" s="9"/>
      <c r="Z254" s="9"/>
    </row>
    <row r="255">
      <c r="A255" s="9"/>
      <c r="B255" s="9"/>
      <c r="C255" s="9"/>
      <c r="D255" s="9"/>
      <c r="E255" s="9"/>
      <c r="F255" s="72"/>
      <c r="G255" s="73"/>
      <c r="H255" s="19"/>
      <c r="I255" s="20"/>
      <c r="J255" s="21"/>
      <c r="K255" s="47"/>
      <c r="L255" s="23"/>
      <c r="M255" s="19"/>
      <c r="N255" s="20"/>
      <c r="O255" s="21"/>
      <c r="P255" s="47"/>
      <c r="Q255" s="23"/>
      <c r="R255" s="19"/>
      <c r="S255" s="20"/>
      <c r="T255" s="21"/>
      <c r="U255" s="47"/>
      <c r="V255" s="23"/>
      <c r="W255" s="9"/>
      <c r="X255" s="9"/>
      <c r="Y255" s="9"/>
      <c r="Z255" s="9"/>
    </row>
    <row r="256">
      <c r="A256" s="9"/>
      <c r="B256" s="9"/>
      <c r="C256" s="9"/>
      <c r="D256" s="9"/>
      <c r="E256" s="9"/>
      <c r="F256" s="72"/>
      <c r="G256" s="73"/>
      <c r="H256" s="19"/>
      <c r="I256" s="20"/>
      <c r="J256" s="21"/>
      <c r="K256" s="47"/>
      <c r="L256" s="23"/>
      <c r="M256" s="19"/>
      <c r="N256" s="20"/>
      <c r="O256" s="21"/>
      <c r="P256" s="47"/>
      <c r="Q256" s="23"/>
      <c r="R256" s="19"/>
      <c r="S256" s="20"/>
      <c r="T256" s="21"/>
      <c r="U256" s="47"/>
      <c r="V256" s="23"/>
      <c r="W256" s="9"/>
      <c r="X256" s="9"/>
      <c r="Y256" s="9"/>
      <c r="Z256" s="9"/>
    </row>
    <row r="257">
      <c r="A257" s="9"/>
      <c r="B257" s="9"/>
      <c r="C257" s="9"/>
      <c r="D257" s="9"/>
      <c r="E257" s="9"/>
      <c r="F257" s="72"/>
      <c r="G257" s="73"/>
      <c r="H257" s="19"/>
      <c r="I257" s="20"/>
      <c r="J257" s="21"/>
      <c r="K257" s="47"/>
      <c r="L257" s="23"/>
      <c r="M257" s="19"/>
      <c r="N257" s="20"/>
      <c r="O257" s="21"/>
      <c r="P257" s="47"/>
      <c r="Q257" s="23"/>
      <c r="R257" s="19"/>
      <c r="S257" s="20"/>
      <c r="T257" s="21"/>
      <c r="U257" s="47"/>
      <c r="V257" s="23"/>
      <c r="W257" s="9"/>
      <c r="X257" s="9"/>
      <c r="Y257" s="9"/>
      <c r="Z257" s="9"/>
    </row>
    <row r="258">
      <c r="A258" s="9"/>
      <c r="B258" s="9"/>
      <c r="C258" s="9"/>
      <c r="D258" s="9"/>
      <c r="E258" s="9"/>
      <c r="F258" s="72"/>
      <c r="G258" s="73"/>
      <c r="H258" s="19"/>
      <c r="I258" s="20"/>
      <c r="J258" s="21"/>
      <c r="K258" s="47"/>
      <c r="L258" s="23"/>
      <c r="M258" s="19"/>
      <c r="N258" s="20"/>
      <c r="O258" s="21"/>
      <c r="P258" s="47"/>
      <c r="Q258" s="23"/>
      <c r="R258" s="19"/>
      <c r="S258" s="20"/>
      <c r="T258" s="21"/>
      <c r="U258" s="47"/>
      <c r="V258" s="23"/>
      <c r="W258" s="9"/>
      <c r="X258" s="9"/>
      <c r="Y258" s="9"/>
      <c r="Z258" s="9"/>
    </row>
    <row r="259">
      <c r="A259" s="9"/>
      <c r="B259" s="9"/>
      <c r="C259" s="9"/>
      <c r="D259" s="9"/>
      <c r="E259" s="9"/>
      <c r="F259" s="72"/>
      <c r="G259" s="73"/>
      <c r="H259" s="19"/>
      <c r="I259" s="20"/>
      <c r="J259" s="21"/>
      <c r="K259" s="47"/>
      <c r="L259" s="23"/>
      <c r="M259" s="19"/>
      <c r="N259" s="20"/>
      <c r="O259" s="21"/>
      <c r="P259" s="47"/>
      <c r="Q259" s="23"/>
      <c r="R259" s="19"/>
      <c r="S259" s="20"/>
      <c r="T259" s="21"/>
      <c r="U259" s="47"/>
      <c r="V259" s="23"/>
      <c r="W259" s="9"/>
      <c r="X259" s="9"/>
      <c r="Y259" s="9"/>
      <c r="Z259" s="9"/>
    </row>
    <row r="260">
      <c r="A260" s="9"/>
      <c r="B260" s="9"/>
      <c r="C260" s="9"/>
      <c r="D260" s="9"/>
      <c r="E260" s="9"/>
      <c r="F260" s="72"/>
      <c r="G260" s="73"/>
      <c r="H260" s="19"/>
      <c r="I260" s="20"/>
      <c r="J260" s="21"/>
      <c r="K260" s="47"/>
      <c r="L260" s="23"/>
      <c r="M260" s="19"/>
      <c r="N260" s="20"/>
      <c r="O260" s="21"/>
      <c r="P260" s="47"/>
      <c r="Q260" s="23"/>
      <c r="R260" s="19"/>
      <c r="S260" s="20"/>
      <c r="T260" s="21"/>
      <c r="U260" s="47"/>
      <c r="V260" s="23"/>
      <c r="W260" s="9"/>
      <c r="X260" s="9"/>
      <c r="Y260" s="9"/>
      <c r="Z260" s="9"/>
    </row>
    <row r="261">
      <c r="A261" s="9"/>
      <c r="B261" s="9"/>
      <c r="C261" s="9"/>
      <c r="D261" s="9"/>
      <c r="E261" s="9"/>
      <c r="F261" s="72"/>
      <c r="G261" s="73"/>
      <c r="H261" s="19"/>
      <c r="I261" s="20"/>
      <c r="J261" s="21"/>
      <c r="K261" s="47"/>
      <c r="L261" s="23"/>
      <c r="M261" s="19"/>
      <c r="N261" s="20"/>
      <c r="O261" s="21"/>
      <c r="P261" s="47"/>
      <c r="Q261" s="23"/>
      <c r="R261" s="19"/>
      <c r="S261" s="20"/>
      <c r="T261" s="21"/>
      <c r="U261" s="47"/>
      <c r="V261" s="23"/>
      <c r="W261" s="9"/>
      <c r="X261" s="9"/>
      <c r="Y261" s="9"/>
      <c r="Z261" s="9"/>
    </row>
    <row r="262">
      <c r="A262" s="9"/>
      <c r="B262" s="9"/>
      <c r="C262" s="9"/>
      <c r="D262" s="9"/>
      <c r="E262" s="9"/>
      <c r="F262" s="72"/>
      <c r="G262" s="73"/>
      <c r="H262" s="19"/>
      <c r="I262" s="20"/>
      <c r="J262" s="21"/>
      <c r="K262" s="47"/>
      <c r="L262" s="23"/>
      <c r="M262" s="19"/>
      <c r="N262" s="20"/>
      <c r="O262" s="21"/>
      <c r="P262" s="47"/>
      <c r="Q262" s="23"/>
      <c r="R262" s="19"/>
      <c r="S262" s="20"/>
      <c r="T262" s="21"/>
      <c r="U262" s="47"/>
      <c r="V262" s="23"/>
      <c r="W262" s="9"/>
      <c r="X262" s="9"/>
      <c r="Y262" s="9"/>
      <c r="Z262" s="9"/>
    </row>
    <row r="263">
      <c r="A263" s="9"/>
      <c r="B263" s="9"/>
      <c r="C263" s="9"/>
      <c r="D263" s="9"/>
      <c r="E263" s="9"/>
      <c r="F263" s="72"/>
      <c r="G263" s="73"/>
      <c r="H263" s="19"/>
      <c r="I263" s="20"/>
      <c r="J263" s="21"/>
      <c r="K263" s="47"/>
      <c r="L263" s="23"/>
      <c r="M263" s="19"/>
      <c r="N263" s="20"/>
      <c r="O263" s="21"/>
      <c r="P263" s="47"/>
      <c r="Q263" s="23"/>
      <c r="R263" s="19"/>
      <c r="S263" s="20"/>
      <c r="T263" s="21"/>
      <c r="U263" s="47"/>
      <c r="V263" s="23"/>
      <c r="W263" s="9"/>
      <c r="X263" s="9"/>
      <c r="Y263" s="9"/>
      <c r="Z263" s="9"/>
    </row>
    <row r="264">
      <c r="A264" s="9"/>
      <c r="B264" s="9"/>
      <c r="C264" s="9"/>
      <c r="D264" s="9"/>
      <c r="E264" s="9"/>
      <c r="F264" s="72"/>
      <c r="G264" s="73"/>
      <c r="H264" s="19"/>
      <c r="I264" s="20"/>
      <c r="J264" s="21"/>
      <c r="K264" s="47"/>
      <c r="L264" s="23"/>
      <c r="M264" s="19"/>
      <c r="N264" s="20"/>
      <c r="O264" s="21"/>
      <c r="P264" s="47"/>
      <c r="Q264" s="23"/>
      <c r="R264" s="19"/>
      <c r="S264" s="20"/>
      <c r="T264" s="21"/>
      <c r="U264" s="47"/>
      <c r="V264" s="23"/>
      <c r="W264" s="9"/>
      <c r="X264" s="9"/>
      <c r="Y264" s="9"/>
      <c r="Z264" s="9"/>
    </row>
    <row r="265">
      <c r="A265" s="9"/>
      <c r="B265" s="9"/>
      <c r="C265" s="9"/>
      <c r="D265" s="9"/>
      <c r="E265" s="9"/>
      <c r="F265" s="72"/>
      <c r="G265" s="73"/>
      <c r="H265" s="19"/>
      <c r="I265" s="20"/>
      <c r="J265" s="21"/>
      <c r="K265" s="47"/>
      <c r="L265" s="23"/>
      <c r="M265" s="19"/>
      <c r="N265" s="20"/>
      <c r="O265" s="21"/>
      <c r="P265" s="47"/>
      <c r="Q265" s="23"/>
      <c r="R265" s="19"/>
      <c r="S265" s="20"/>
      <c r="T265" s="21"/>
      <c r="U265" s="47"/>
      <c r="V265" s="23"/>
      <c r="W265" s="9"/>
      <c r="X265" s="9"/>
      <c r="Y265" s="9"/>
      <c r="Z265" s="9"/>
    </row>
    <row r="266">
      <c r="A266" s="9"/>
      <c r="B266" s="9"/>
      <c r="C266" s="9"/>
      <c r="D266" s="9"/>
      <c r="E266" s="9"/>
      <c r="F266" s="72"/>
      <c r="G266" s="73"/>
      <c r="H266" s="19"/>
      <c r="I266" s="20"/>
      <c r="J266" s="21"/>
      <c r="K266" s="47"/>
      <c r="L266" s="23"/>
      <c r="M266" s="19"/>
      <c r="N266" s="20"/>
      <c r="O266" s="21"/>
      <c r="P266" s="47"/>
      <c r="Q266" s="23"/>
      <c r="R266" s="19"/>
      <c r="S266" s="20"/>
      <c r="T266" s="21"/>
      <c r="U266" s="47"/>
      <c r="V266" s="23"/>
      <c r="W266" s="9"/>
      <c r="X266" s="9"/>
      <c r="Y266" s="9"/>
      <c r="Z266" s="9"/>
    </row>
    <row r="267">
      <c r="A267" s="9"/>
      <c r="B267" s="9"/>
      <c r="C267" s="9"/>
      <c r="D267" s="9"/>
      <c r="E267" s="9"/>
      <c r="F267" s="72"/>
      <c r="G267" s="73"/>
      <c r="H267" s="19"/>
      <c r="I267" s="20"/>
      <c r="J267" s="21"/>
      <c r="K267" s="47"/>
      <c r="L267" s="23"/>
      <c r="M267" s="19"/>
      <c r="N267" s="20"/>
      <c r="O267" s="21"/>
      <c r="P267" s="47"/>
      <c r="Q267" s="23"/>
      <c r="R267" s="19"/>
      <c r="S267" s="20"/>
      <c r="T267" s="21"/>
      <c r="U267" s="47"/>
      <c r="V267" s="23"/>
      <c r="W267" s="9"/>
      <c r="X267" s="9"/>
      <c r="Y267" s="9"/>
      <c r="Z267" s="9"/>
    </row>
    <row r="268">
      <c r="A268" s="9"/>
      <c r="B268" s="9"/>
      <c r="C268" s="9"/>
      <c r="D268" s="9"/>
      <c r="E268" s="9"/>
      <c r="F268" s="72"/>
      <c r="G268" s="73"/>
      <c r="H268" s="19"/>
      <c r="I268" s="20"/>
      <c r="J268" s="21"/>
      <c r="K268" s="47"/>
      <c r="L268" s="23"/>
      <c r="M268" s="19"/>
      <c r="N268" s="20"/>
      <c r="O268" s="21"/>
      <c r="P268" s="47"/>
      <c r="Q268" s="23"/>
      <c r="R268" s="19"/>
      <c r="S268" s="20"/>
      <c r="T268" s="21"/>
      <c r="U268" s="47"/>
      <c r="V268" s="23"/>
      <c r="W268" s="9"/>
      <c r="X268" s="9"/>
      <c r="Y268" s="9"/>
      <c r="Z268" s="9"/>
    </row>
    <row r="269">
      <c r="A269" s="9"/>
      <c r="B269" s="9"/>
      <c r="C269" s="9"/>
      <c r="D269" s="9"/>
      <c r="E269" s="9"/>
      <c r="F269" s="72"/>
      <c r="G269" s="73"/>
      <c r="H269" s="19"/>
      <c r="I269" s="20"/>
      <c r="J269" s="21"/>
      <c r="K269" s="47"/>
      <c r="L269" s="23"/>
      <c r="M269" s="19"/>
      <c r="N269" s="20"/>
      <c r="O269" s="21"/>
      <c r="P269" s="47"/>
      <c r="Q269" s="23"/>
      <c r="R269" s="19"/>
      <c r="S269" s="20"/>
      <c r="T269" s="21"/>
      <c r="U269" s="47"/>
      <c r="V269" s="23"/>
      <c r="W269" s="9"/>
      <c r="X269" s="9"/>
      <c r="Y269" s="9"/>
      <c r="Z269" s="9"/>
    </row>
    <row r="270">
      <c r="A270" s="9"/>
      <c r="B270" s="9"/>
      <c r="C270" s="9"/>
      <c r="D270" s="9"/>
      <c r="E270" s="9"/>
      <c r="F270" s="72"/>
      <c r="G270" s="73"/>
      <c r="H270" s="19"/>
      <c r="I270" s="20"/>
      <c r="J270" s="21"/>
      <c r="K270" s="47"/>
      <c r="L270" s="23"/>
      <c r="M270" s="19"/>
      <c r="N270" s="20"/>
      <c r="O270" s="21"/>
      <c r="P270" s="47"/>
      <c r="Q270" s="23"/>
      <c r="R270" s="19"/>
      <c r="S270" s="20"/>
      <c r="T270" s="21"/>
      <c r="U270" s="47"/>
      <c r="V270" s="23"/>
      <c r="W270" s="9"/>
      <c r="X270" s="9"/>
      <c r="Y270" s="9"/>
      <c r="Z270" s="9"/>
    </row>
    <row r="271">
      <c r="A271" s="9"/>
      <c r="B271" s="9"/>
      <c r="C271" s="9"/>
      <c r="D271" s="9"/>
      <c r="E271" s="9"/>
      <c r="F271" s="72"/>
      <c r="G271" s="73"/>
      <c r="H271" s="19"/>
      <c r="I271" s="20"/>
      <c r="J271" s="21"/>
      <c r="K271" s="47"/>
      <c r="L271" s="23"/>
      <c r="M271" s="19"/>
      <c r="N271" s="20"/>
      <c r="O271" s="21"/>
      <c r="P271" s="47"/>
      <c r="Q271" s="23"/>
      <c r="R271" s="19"/>
      <c r="S271" s="20"/>
      <c r="T271" s="21"/>
      <c r="U271" s="47"/>
      <c r="V271" s="23"/>
      <c r="W271" s="9"/>
      <c r="X271" s="9"/>
      <c r="Y271" s="9"/>
      <c r="Z271" s="9"/>
    </row>
    <row r="272">
      <c r="A272" s="9"/>
      <c r="B272" s="9"/>
      <c r="C272" s="9"/>
      <c r="D272" s="9"/>
      <c r="E272" s="9"/>
      <c r="F272" s="72"/>
      <c r="G272" s="73"/>
      <c r="H272" s="19"/>
      <c r="I272" s="20"/>
      <c r="J272" s="21"/>
      <c r="K272" s="47"/>
      <c r="L272" s="23"/>
      <c r="M272" s="19"/>
      <c r="N272" s="20"/>
      <c r="O272" s="21"/>
      <c r="P272" s="47"/>
      <c r="Q272" s="23"/>
      <c r="R272" s="19"/>
      <c r="S272" s="20"/>
      <c r="T272" s="21"/>
      <c r="U272" s="47"/>
      <c r="V272" s="23"/>
      <c r="W272" s="9"/>
      <c r="X272" s="9"/>
      <c r="Y272" s="9"/>
      <c r="Z272" s="9"/>
    </row>
    <row r="273">
      <c r="A273" s="9"/>
      <c r="B273" s="9"/>
      <c r="C273" s="9"/>
      <c r="D273" s="9"/>
      <c r="E273" s="9"/>
      <c r="F273" s="72"/>
      <c r="G273" s="73"/>
      <c r="H273" s="19"/>
      <c r="I273" s="20"/>
      <c r="J273" s="21"/>
      <c r="K273" s="47"/>
      <c r="L273" s="23"/>
      <c r="M273" s="19"/>
      <c r="N273" s="20"/>
      <c r="O273" s="21"/>
      <c r="P273" s="47"/>
      <c r="Q273" s="23"/>
      <c r="R273" s="19"/>
      <c r="S273" s="20"/>
      <c r="T273" s="21"/>
      <c r="U273" s="47"/>
      <c r="V273" s="23"/>
      <c r="W273" s="9"/>
      <c r="X273" s="9"/>
      <c r="Y273" s="9"/>
      <c r="Z273" s="9"/>
    </row>
    <row r="274">
      <c r="A274" s="9"/>
      <c r="B274" s="9"/>
      <c r="C274" s="9"/>
      <c r="D274" s="9"/>
      <c r="E274" s="9"/>
      <c r="F274" s="72"/>
      <c r="G274" s="73"/>
      <c r="H274" s="19"/>
      <c r="I274" s="20"/>
      <c r="J274" s="21"/>
      <c r="K274" s="47"/>
      <c r="L274" s="23"/>
      <c r="M274" s="19"/>
      <c r="N274" s="20"/>
      <c r="O274" s="21"/>
      <c r="P274" s="47"/>
      <c r="Q274" s="23"/>
      <c r="R274" s="19"/>
      <c r="S274" s="20"/>
      <c r="T274" s="21"/>
      <c r="U274" s="47"/>
      <c r="V274" s="23"/>
      <c r="W274" s="9"/>
      <c r="X274" s="9"/>
      <c r="Y274" s="9"/>
      <c r="Z274" s="9"/>
    </row>
    <row r="275">
      <c r="A275" s="9"/>
      <c r="B275" s="9"/>
      <c r="C275" s="9"/>
      <c r="D275" s="9"/>
      <c r="E275" s="9"/>
      <c r="F275" s="72"/>
      <c r="G275" s="73"/>
      <c r="H275" s="19"/>
      <c r="I275" s="20"/>
      <c r="J275" s="21"/>
      <c r="K275" s="47"/>
      <c r="L275" s="23"/>
      <c r="M275" s="19"/>
      <c r="N275" s="20"/>
      <c r="O275" s="21"/>
      <c r="P275" s="47"/>
      <c r="Q275" s="23"/>
      <c r="R275" s="19"/>
      <c r="S275" s="20"/>
      <c r="T275" s="21"/>
      <c r="U275" s="47"/>
      <c r="V275" s="23"/>
      <c r="W275" s="9"/>
      <c r="X275" s="9"/>
      <c r="Y275" s="9"/>
      <c r="Z275" s="9"/>
    </row>
    <row r="276">
      <c r="A276" s="9"/>
      <c r="B276" s="9"/>
      <c r="C276" s="9"/>
      <c r="D276" s="9"/>
      <c r="E276" s="9"/>
      <c r="F276" s="72"/>
      <c r="G276" s="73"/>
      <c r="H276" s="19"/>
      <c r="I276" s="20"/>
      <c r="J276" s="21"/>
      <c r="K276" s="47"/>
      <c r="L276" s="23"/>
      <c r="M276" s="19"/>
      <c r="N276" s="20"/>
      <c r="O276" s="21"/>
      <c r="P276" s="47"/>
      <c r="Q276" s="23"/>
      <c r="R276" s="19"/>
      <c r="S276" s="20"/>
      <c r="T276" s="21"/>
      <c r="U276" s="47"/>
      <c r="V276" s="23"/>
      <c r="W276" s="9"/>
      <c r="X276" s="9"/>
      <c r="Y276" s="9"/>
      <c r="Z276" s="9"/>
    </row>
    <row r="277">
      <c r="A277" s="9"/>
      <c r="B277" s="9"/>
      <c r="C277" s="9"/>
      <c r="D277" s="9"/>
      <c r="E277" s="9"/>
      <c r="F277" s="72"/>
      <c r="G277" s="73"/>
      <c r="H277" s="19"/>
      <c r="I277" s="20"/>
      <c r="J277" s="21"/>
      <c r="K277" s="47"/>
      <c r="L277" s="23"/>
      <c r="M277" s="19"/>
      <c r="N277" s="20"/>
      <c r="O277" s="21"/>
      <c r="P277" s="47"/>
      <c r="Q277" s="23"/>
      <c r="R277" s="19"/>
      <c r="S277" s="20"/>
      <c r="T277" s="21"/>
      <c r="U277" s="47"/>
      <c r="V277" s="23"/>
      <c r="W277" s="9"/>
      <c r="X277" s="9"/>
      <c r="Y277" s="9"/>
      <c r="Z277" s="9"/>
    </row>
    <row r="278">
      <c r="A278" s="9"/>
      <c r="B278" s="9"/>
      <c r="C278" s="9"/>
      <c r="D278" s="9"/>
      <c r="E278" s="9"/>
      <c r="F278" s="72"/>
      <c r="G278" s="73"/>
      <c r="H278" s="19"/>
      <c r="I278" s="20"/>
      <c r="J278" s="21"/>
      <c r="K278" s="47"/>
      <c r="L278" s="23"/>
      <c r="M278" s="19"/>
      <c r="N278" s="20"/>
      <c r="O278" s="21"/>
      <c r="P278" s="47"/>
      <c r="Q278" s="23"/>
      <c r="R278" s="19"/>
      <c r="S278" s="20"/>
      <c r="T278" s="21"/>
      <c r="U278" s="47"/>
      <c r="V278" s="23"/>
      <c r="W278" s="9"/>
      <c r="X278" s="9"/>
      <c r="Y278" s="9"/>
      <c r="Z278" s="9"/>
    </row>
    <row r="279">
      <c r="A279" s="9"/>
      <c r="B279" s="9"/>
      <c r="C279" s="9"/>
      <c r="D279" s="9"/>
      <c r="E279" s="9"/>
      <c r="F279" s="72"/>
      <c r="G279" s="73"/>
      <c r="H279" s="19"/>
      <c r="I279" s="20"/>
      <c r="J279" s="21"/>
      <c r="K279" s="47"/>
      <c r="L279" s="23"/>
      <c r="M279" s="19"/>
      <c r="N279" s="20"/>
      <c r="O279" s="21"/>
      <c r="P279" s="47"/>
      <c r="Q279" s="23"/>
      <c r="R279" s="19"/>
      <c r="S279" s="20"/>
      <c r="T279" s="21"/>
      <c r="U279" s="47"/>
      <c r="V279" s="23"/>
      <c r="W279" s="9"/>
      <c r="X279" s="9"/>
      <c r="Y279" s="9"/>
      <c r="Z279" s="9"/>
    </row>
    <row r="280">
      <c r="A280" s="9"/>
      <c r="B280" s="9"/>
      <c r="C280" s="9"/>
      <c r="D280" s="9"/>
      <c r="E280" s="9"/>
      <c r="F280" s="72"/>
      <c r="G280" s="73"/>
      <c r="H280" s="19"/>
      <c r="I280" s="20"/>
      <c r="J280" s="21"/>
      <c r="K280" s="47"/>
      <c r="L280" s="23"/>
      <c r="M280" s="19"/>
      <c r="N280" s="20"/>
      <c r="O280" s="21"/>
      <c r="P280" s="47"/>
      <c r="Q280" s="23"/>
      <c r="R280" s="19"/>
      <c r="S280" s="20"/>
      <c r="T280" s="21"/>
      <c r="U280" s="47"/>
      <c r="V280" s="23"/>
      <c r="W280" s="9"/>
      <c r="X280" s="9"/>
      <c r="Y280" s="9"/>
      <c r="Z280" s="9"/>
    </row>
    <row r="281">
      <c r="A281" s="9"/>
      <c r="B281" s="9"/>
      <c r="C281" s="9"/>
      <c r="D281" s="9"/>
      <c r="E281" s="9"/>
      <c r="F281" s="72"/>
      <c r="G281" s="73"/>
      <c r="H281" s="19"/>
      <c r="I281" s="20"/>
      <c r="J281" s="21"/>
      <c r="K281" s="47"/>
      <c r="L281" s="23"/>
      <c r="M281" s="19"/>
      <c r="N281" s="20"/>
      <c r="O281" s="21"/>
      <c r="P281" s="47"/>
      <c r="Q281" s="23"/>
      <c r="R281" s="19"/>
      <c r="S281" s="20"/>
      <c r="T281" s="21"/>
      <c r="U281" s="47"/>
      <c r="V281" s="23"/>
      <c r="W281" s="9"/>
      <c r="X281" s="9"/>
      <c r="Y281" s="9"/>
      <c r="Z281" s="9"/>
    </row>
    <row r="282">
      <c r="A282" s="9"/>
      <c r="B282" s="9"/>
      <c r="C282" s="9"/>
      <c r="D282" s="9"/>
      <c r="E282" s="9"/>
      <c r="F282" s="72"/>
      <c r="G282" s="73"/>
      <c r="H282" s="19"/>
      <c r="I282" s="20"/>
      <c r="J282" s="21"/>
      <c r="K282" s="47"/>
      <c r="L282" s="23"/>
      <c r="M282" s="19"/>
      <c r="N282" s="20"/>
      <c r="O282" s="21"/>
      <c r="P282" s="47"/>
      <c r="Q282" s="23"/>
      <c r="R282" s="19"/>
      <c r="S282" s="20"/>
      <c r="T282" s="21"/>
      <c r="U282" s="47"/>
      <c r="V282" s="23"/>
      <c r="W282" s="9"/>
      <c r="X282" s="9"/>
      <c r="Y282" s="9"/>
      <c r="Z282" s="9"/>
    </row>
    <row r="283">
      <c r="A283" s="9"/>
      <c r="B283" s="9"/>
      <c r="C283" s="9"/>
      <c r="D283" s="9"/>
      <c r="E283" s="9"/>
      <c r="F283" s="72"/>
      <c r="G283" s="73"/>
      <c r="H283" s="19"/>
      <c r="I283" s="20"/>
      <c r="J283" s="21"/>
      <c r="K283" s="47"/>
      <c r="L283" s="23"/>
      <c r="M283" s="19"/>
      <c r="N283" s="20"/>
      <c r="O283" s="21"/>
      <c r="P283" s="47"/>
      <c r="Q283" s="23"/>
      <c r="R283" s="19"/>
      <c r="S283" s="20"/>
      <c r="T283" s="21"/>
      <c r="U283" s="47"/>
      <c r="V283" s="23"/>
      <c r="W283" s="9"/>
      <c r="X283" s="9"/>
      <c r="Y283" s="9"/>
      <c r="Z283" s="9"/>
    </row>
    <row r="284">
      <c r="A284" s="9"/>
      <c r="B284" s="9"/>
      <c r="C284" s="9"/>
      <c r="D284" s="9"/>
      <c r="E284" s="9"/>
      <c r="F284" s="72"/>
      <c r="G284" s="73"/>
      <c r="H284" s="19"/>
      <c r="I284" s="20"/>
      <c r="J284" s="21"/>
      <c r="K284" s="47"/>
      <c r="L284" s="23"/>
      <c r="M284" s="19"/>
      <c r="N284" s="20"/>
      <c r="O284" s="21"/>
      <c r="P284" s="47"/>
      <c r="Q284" s="23"/>
      <c r="R284" s="19"/>
      <c r="S284" s="20"/>
      <c r="T284" s="21"/>
      <c r="U284" s="47"/>
      <c r="V284" s="23"/>
      <c r="W284" s="9"/>
      <c r="X284" s="9"/>
      <c r="Y284" s="9"/>
      <c r="Z284" s="9"/>
    </row>
    <row r="285">
      <c r="A285" s="9"/>
      <c r="B285" s="9"/>
      <c r="C285" s="9"/>
      <c r="D285" s="9"/>
      <c r="E285" s="9"/>
      <c r="F285" s="72"/>
      <c r="G285" s="73"/>
      <c r="H285" s="19"/>
      <c r="I285" s="20"/>
      <c r="J285" s="21"/>
      <c r="K285" s="47"/>
      <c r="L285" s="23"/>
      <c r="M285" s="19"/>
      <c r="N285" s="20"/>
      <c r="O285" s="21"/>
      <c r="P285" s="47"/>
      <c r="Q285" s="23"/>
      <c r="R285" s="19"/>
      <c r="S285" s="20"/>
      <c r="T285" s="21"/>
      <c r="U285" s="47"/>
      <c r="V285" s="23"/>
      <c r="W285" s="9"/>
      <c r="X285" s="9"/>
      <c r="Y285" s="9"/>
      <c r="Z285" s="9"/>
    </row>
    <row r="286">
      <c r="A286" s="9"/>
      <c r="B286" s="9"/>
      <c r="C286" s="9"/>
      <c r="D286" s="9"/>
      <c r="E286" s="9"/>
      <c r="F286" s="72"/>
      <c r="G286" s="73"/>
      <c r="H286" s="19"/>
      <c r="I286" s="20"/>
      <c r="J286" s="21"/>
      <c r="K286" s="47"/>
      <c r="L286" s="23"/>
      <c r="M286" s="19"/>
      <c r="N286" s="20"/>
      <c r="O286" s="21"/>
      <c r="P286" s="47"/>
      <c r="Q286" s="23"/>
      <c r="R286" s="19"/>
      <c r="S286" s="20"/>
      <c r="T286" s="21"/>
      <c r="U286" s="47"/>
      <c r="V286" s="23"/>
      <c r="W286" s="9"/>
      <c r="X286" s="9"/>
      <c r="Y286" s="9"/>
      <c r="Z286" s="9"/>
    </row>
    <row r="287">
      <c r="A287" s="9"/>
      <c r="B287" s="9"/>
      <c r="C287" s="9"/>
      <c r="D287" s="9"/>
      <c r="E287" s="9"/>
      <c r="F287" s="72"/>
      <c r="G287" s="73"/>
      <c r="H287" s="19"/>
      <c r="I287" s="20"/>
      <c r="J287" s="21"/>
      <c r="K287" s="47"/>
      <c r="L287" s="23"/>
      <c r="M287" s="19"/>
      <c r="N287" s="20"/>
      <c r="O287" s="21"/>
      <c r="P287" s="47"/>
      <c r="Q287" s="23"/>
      <c r="R287" s="19"/>
      <c r="S287" s="20"/>
      <c r="T287" s="21"/>
      <c r="U287" s="47"/>
      <c r="V287" s="23"/>
      <c r="W287" s="9"/>
      <c r="X287" s="9"/>
      <c r="Y287" s="9"/>
      <c r="Z287" s="9"/>
    </row>
    <row r="288">
      <c r="A288" s="9"/>
      <c r="B288" s="9"/>
      <c r="C288" s="9"/>
      <c r="D288" s="9"/>
      <c r="E288" s="9"/>
      <c r="F288" s="72"/>
      <c r="G288" s="73"/>
      <c r="H288" s="19"/>
      <c r="I288" s="20"/>
      <c r="J288" s="21"/>
      <c r="K288" s="47"/>
      <c r="L288" s="23"/>
      <c r="M288" s="19"/>
      <c r="N288" s="20"/>
      <c r="O288" s="21"/>
      <c r="P288" s="47"/>
      <c r="Q288" s="23"/>
      <c r="R288" s="19"/>
      <c r="S288" s="20"/>
      <c r="T288" s="21"/>
      <c r="U288" s="47"/>
      <c r="V288" s="23"/>
      <c r="W288" s="9"/>
      <c r="X288" s="9"/>
      <c r="Y288" s="9"/>
      <c r="Z288" s="9"/>
    </row>
    <row r="289">
      <c r="A289" s="9"/>
      <c r="B289" s="9"/>
      <c r="C289" s="9"/>
      <c r="D289" s="9"/>
      <c r="E289" s="9"/>
      <c r="F289" s="72"/>
      <c r="G289" s="73"/>
      <c r="H289" s="19"/>
      <c r="I289" s="20"/>
      <c r="J289" s="21"/>
      <c r="K289" s="47"/>
      <c r="L289" s="23"/>
      <c r="M289" s="19"/>
      <c r="N289" s="20"/>
      <c r="O289" s="21"/>
      <c r="P289" s="47"/>
      <c r="Q289" s="23"/>
      <c r="R289" s="19"/>
      <c r="S289" s="20"/>
      <c r="T289" s="21"/>
      <c r="U289" s="47"/>
      <c r="V289" s="23"/>
      <c r="W289" s="9"/>
      <c r="X289" s="9"/>
      <c r="Y289" s="9"/>
      <c r="Z289" s="9"/>
    </row>
    <row r="290">
      <c r="A290" s="9"/>
      <c r="B290" s="9"/>
      <c r="C290" s="9"/>
      <c r="D290" s="9"/>
      <c r="E290" s="9"/>
      <c r="F290" s="72"/>
      <c r="G290" s="73"/>
      <c r="H290" s="19"/>
      <c r="I290" s="20"/>
      <c r="J290" s="21"/>
      <c r="K290" s="47"/>
      <c r="L290" s="23"/>
      <c r="M290" s="19"/>
      <c r="N290" s="20"/>
      <c r="O290" s="21"/>
      <c r="P290" s="47"/>
      <c r="Q290" s="23"/>
      <c r="R290" s="19"/>
      <c r="S290" s="20"/>
      <c r="T290" s="21"/>
      <c r="U290" s="47"/>
      <c r="V290" s="23"/>
      <c r="W290" s="9"/>
      <c r="X290" s="9"/>
      <c r="Y290" s="9"/>
      <c r="Z290" s="9"/>
    </row>
    <row r="291">
      <c r="A291" s="9"/>
      <c r="B291" s="9"/>
      <c r="C291" s="9"/>
      <c r="D291" s="9"/>
      <c r="E291" s="9"/>
      <c r="F291" s="72"/>
      <c r="G291" s="73"/>
      <c r="H291" s="19"/>
      <c r="I291" s="20"/>
      <c r="J291" s="21"/>
      <c r="K291" s="47"/>
      <c r="L291" s="23"/>
      <c r="M291" s="19"/>
      <c r="N291" s="20"/>
      <c r="O291" s="21"/>
      <c r="P291" s="47"/>
      <c r="Q291" s="23"/>
      <c r="R291" s="19"/>
      <c r="S291" s="20"/>
      <c r="T291" s="21"/>
      <c r="U291" s="47"/>
      <c r="V291" s="23"/>
      <c r="W291" s="9"/>
      <c r="X291" s="9"/>
      <c r="Y291" s="9"/>
      <c r="Z291" s="9"/>
    </row>
    <row r="292">
      <c r="A292" s="9"/>
      <c r="B292" s="9"/>
      <c r="C292" s="9"/>
      <c r="D292" s="9"/>
      <c r="E292" s="9"/>
      <c r="F292" s="72"/>
      <c r="G292" s="73"/>
      <c r="H292" s="19"/>
      <c r="I292" s="20"/>
      <c r="J292" s="21"/>
      <c r="K292" s="47"/>
      <c r="L292" s="23"/>
      <c r="M292" s="19"/>
      <c r="N292" s="20"/>
      <c r="O292" s="21"/>
      <c r="P292" s="47"/>
      <c r="Q292" s="23"/>
      <c r="R292" s="19"/>
      <c r="S292" s="20"/>
      <c r="T292" s="21"/>
      <c r="U292" s="47"/>
      <c r="V292" s="23"/>
      <c r="W292" s="9"/>
      <c r="X292" s="9"/>
      <c r="Y292" s="9"/>
      <c r="Z292" s="9"/>
    </row>
    <row r="293">
      <c r="A293" s="9"/>
      <c r="B293" s="9"/>
      <c r="C293" s="9"/>
      <c r="D293" s="9"/>
      <c r="E293" s="9"/>
      <c r="F293" s="72"/>
      <c r="G293" s="73"/>
      <c r="H293" s="19"/>
      <c r="I293" s="20"/>
      <c r="J293" s="21"/>
      <c r="K293" s="47"/>
      <c r="L293" s="23"/>
      <c r="M293" s="19"/>
      <c r="N293" s="20"/>
      <c r="O293" s="21"/>
      <c r="P293" s="47"/>
      <c r="Q293" s="23"/>
      <c r="R293" s="19"/>
      <c r="S293" s="20"/>
      <c r="T293" s="21"/>
      <c r="U293" s="47"/>
      <c r="V293" s="23"/>
      <c r="W293" s="9"/>
      <c r="X293" s="9"/>
      <c r="Y293" s="9"/>
      <c r="Z293" s="9"/>
    </row>
    <row r="294">
      <c r="A294" s="9"/>
      <c r="B294" s="9"/>
      <c r="C294" s="9"/>
      <c r="D294" s="9"/>
      <c r="E294" s="9"/>
      <c r="F294" s="72"/>
      <c r="G294" s="73"/>
      <c r="H294" s="19"/>
      <c r="I294" s="20"/>
      <c r="J294" s="21"/>
      <c r="K294" s="47"/>
      <c r="L294" s="23"/>
      <c r="M294" s="19"/>
      <c r="N294" s="20"/>
      <c r="O294" s="21"/>
      <c r="P294" s="47"/>
      <c r="Q294" s="23"/>
      <c r="R294" s="19"/>
      <c r="S294" s="20"/>
      <c r="T294" s="21"/>
      <c r="U294" s="47"/>
      <c r="V294" s="23"/>
      <c r="W294" s="9"/>
      <c r="X294" s="9"/>
      <c r="Y294" s="9"/>
      <c r="Z294" s="9"/>
    </row>
    <row r="295">
      <c r="A295" s="9"/>
      <c r="B295" s="9"/>
      <c r="C295" s="9"/>
      <c r="D295" s="9"/>
      <c r="E295" s="9"/>
      <c r="F295" s="72"/>
      <c r="G295" s="73"/>
      <c r="H295" s="19"/>
      <c r="I295" s="20"/>
      <c r="J295" s="21"/>
      <c r="K295" s="47"/>
      <c r="L295" s="23"/>
      <c r="M295" s="19"/>
      <c r="N295" s="20"/>
      <c r="O295" s="21"/>
      <c r="P295" s="47"/>
      <c r="Q295" s="23"/>
      <c r="R295" s="19"/>
      <c r="S295" s="20"/>
      <c r="T295" s="21"/>
      <c r="U295" s="47"/>
      <c r="V295" s="23"/>
      <c r="W295" s="9"/>
      <c r="X295" s="9"/>
      <c r="Y295" s="9"/>
      <c r="Z295" s="9"/>
    </row>
    <row r="296">
      <c r="A296" s="9"/>
      <c r="B296" s="9"/>
      <c r="C296" s="9"/>
      <c r="D296" s="9"/>
      <c r="E296" s="9"/>
      <c r="F296" s="72"/>
      <c r="G296" s="73"/>
      <c r="H296" s="19"/>
      <c r="I296" s="20"/>
      <c r="J296" s="21"/>
      <c r="K296" s="47"/>
      <c r="L296" s="23"/>
      <c r="M296" s="19"/>
      <c r="N296" s="20"/>
      <c r="O296" s="21"/>
      <c r="P296" s="47"/>
      <c r="Q296" s="23"/>
      <c r="R296" s="19"/>
      <c r="S296" s="20"/>
      <c r="T296" s="21"/>
      <c r="U296" s="47"/>
      <c r="V296" s="23"/>
      <c r="W296" s="9"/>
      <c r="X296" s="9"/>
      <c r="Y296" s="9"/>
      <c r="Z296" s="9"/>
    </row>
    <row r="297">
      <c r="A297" s="9"/>
      <c r="B297" s="9"/>
      <c r="C297" s="9"/>
      <c r="D297" s="9"/>
      <c r="E297" s="9"/>
      <c r="F297" s="72"/>
      <c r="G297" s="73"/>
      <c r="H297" s="19"/>
      <c r="I297" s="20"/>
      <c r="J297" s="21"/>
      <c r="K297" s="47"/>
      <c r="L297" s="23"/>
      <c r="M297" s="19"/>
      <c r="N297" s="20"/>
      <c r="O297" s="21"/>
      <c r="P297" s="47"/>
      <c r="Q297" s="23"/>
      <c r="R297" s="19"/>
      <c r="S297" s="20"/>
      <c r="T297" s="21"/>
      <c r="U297" s="47"/>
      <c r="V297" s="23"/>
      <c r="W297" s="9"/>
      <c r="X297" s="9"/>
      <c r="Y297" s="9"/>
      <c r="Z297" s="9"/>
    </row>
    <row r="298">
      <c r="A298" s="9"/>
      <c r="B298" s="9"/>
      <c r="C298" s="9"/>
      <c r="D298" s="9"/>
      <c r="E298" s="9"/>
      <c r="F298" s="72"/>
      <c r="G298" s="73"/>
      <c r="H298" s="19"/>
      <c r="I298" s="20"/>
      <c r="J298" s="21"/>
      <c r="K298" s="47"/>
      <c r="L298" s="23"/>
      <c r="M298" s="19"/>
      <c r="N298" s="20"/>
      <c r="O298" s="21"/>
      <c r="P298" s="47"/>
      <c r="Q298" s="23"/>
      <c r="R298" s="19"/>
      <c r="S298" s="20"/>
      <c r="T298" s="21"/>
      <c r="U298" s="47"/>
      <c r="V298" s="23"/>
      <c r="W298" s="9"/>
      <c r="X298" s="9"/>
      <c r="Y298" s="9"/>
      <c r="Z298" s="9"/>
    </row>
    <row r="299">
      <c r="A299" s="9"/>
      <c r="B299" s="9"/>
      <c r="C299" s="9"/>
      <c r="D299" s="9"/>
      <c r="E299" s="9"/>
      <c r="F299" s="72"/>
      <c r="G299" s="73"/>
      <c r="H299" s="19"/>
      <c r="I299" s="20"/>
      <c r="J299" s="21"/>
      <c r="K299" s="47"/>
      <c r="L299" s="23"/>
      <c r="M299" s="19"/>
      <c r="N299" s="20"/>
      <c r="O299" s="21"/>
      <c r="P299" s="47"/>
      <c r="Q299" s="23"/>
      <c r="R299" s="19"/>
      <c r="S299" s="20"/>
      <c r="T299" s="21"/>
      <c r="U299" s="47"/>
      <c r="V299" s="23"/>
      <c r="W299" s="9"/>
      <c r="X299" s="9"/>
      <c r="Y299" s="9"/>
      <c r="Z299" s="9"/>
    </row>
    <row r="300">
      <c r="A300" s="9"/>
      <c r="B300" s="9"/>
      <c r="C300" s="9"/>
      <c r="D300" s="9"/>
      <c r="E300" s="9"/>
      <c r="F300" s="72"/>
      <c r="G300" s="73"/>
      <c r="H300" s="19"/>
      <c r="I300" s="20"/>
      <c r="J300" s="21"/>
      <c r="K300" s="47"/>
      <c r="L300" s="23"/>
      <c r="M300" s="19"/>
      <c r="N300" s="20"/>
      <c r="O300" s="21"/>
      <c r="P300" s="47"/>
      <c r="Q300" s="23"/>
      <c r="R300" s="19"/>
      <c r="S300" s="20"/>
      <c r="T300" s="21"/>
      <c r="U300" s="47"/>
      <c r="V300" s="23"/>
      <c r="W300" s="9"/>
      <c r="X300" s="9"/>
      <c r="Y300" s="9"/>
      <c r="Z300" s="9"/>
    </row>
    <row r="301">
      <c r="A301" s="9"/>
      <c r="B301" s="9"/>
      <c r="C301" s="9"/>
      <c r="D301" s="9"/>
      <c r="E301" s="9"/>
      <c r="F301" s="72"/>
      <c r="G301" s="73"/>
      <c r="H301" s="19"/>
      <c r="I301" s="20"/>
      <c r="J301" s="21"/>
      <c r="K301" s="47"/>
      <c r="L301" s="23"/>
      <c r="M301" s="19"/>
      <c r="N301" s="20"/>
      <c r="O301" s="21"/>
      <c r="P301" s="47"/>
      <c r="Q301" s="23"/>
      <c r="R301" s="19"/>
      <c r="S301" s="20"/>
      <c r="T301" s="21"/>
      <c r="U301" s="47"/>
      <c r="V301" s="23"/>
      <c r="W301" s="9"/>
      <c r="X301" s="9"/>
      <c r="Y301" s="9"/>
      <c r="Z301" s="9"/>
    </row>
    <row r="302">
      <c r="A302" s="9"/>
      <c r="B302" s="9"/>
      <c r="C302" s="9"/>
      <c r="D302" s="9"/>
      <c r="E302" s="9"/>
      <c r="F302" s="72"/>
      <c r="G302" s="73"/>
      <c r="H302" s="19"/>
      <c r="I302" s="20"/>
      <c r="J302" s="21"/>
      <c r="K302" s="47"/>
      <c r="L302" s="23"/>
      <c r="M302" s="19"/>
      <c r="N302" s="20"/>
      <c r="O302" s="21"/>
      <c r="P302" s="47"/>
      <c r="Q302" s="23"/>
      <c r="R302" s="19"/>
      <c r="S302" s="20"/>
      <c r="T302" s="21"/>
      <c r="U302" s="47"/>
      <c r="V302" s="23"/>
      <c r="W302" s="9"/>
      <c r="X302" s="9"/>
      <c r="Y302" s="9"/>
      <c r="Z302" s="9"/>
    </row>
    <row r="303">
      <c r="A303" s="9"/>
      <c r="B303" s="9"/>
      <c r="C303" s="9"/>
      <c r="D303" s="9"/>
      <c r="E303" s="9"/>
      <c r="F303" s="72"/>
      <c r="G303" s="73"/>
      <c r="H303" s="19"/>
      <c r="I303" s="20"/>
      <c r="J303" s="21"/>
      <c r="K303" s="47"/>
      <c r="L303" s="23"/>
      <c r="M303" s="19"/>
      <c r="N303" s="20"/>
      <c r="O303" s="21"/>
      <c r="P303" s="47"/>
      <c r="Q303" s="23"/>
      <c r="R303" s="19"/>
      <c r="S303" s="20"/>
      <c r="T303" s="21"/>
      <c r="U303" s="47"/>
      <c r="V303" s="23"/>
      <c r="W303" s="9"/>
      <c r="X303" s="9"/>
      <c r="Y303" s="9"/>
      <c r="Z303" s="9"/>
    </row>
    <row r="304">
      <c r="A304" s="9"/>
      <c r="B304" s="9"/>
      <c r="C304" s="9"/>
      <c r="D304" s="9"/>
      <c r="E304" s="9"/>
      <c r="F304" s="72"/>
      <c r="G304" s="73"/>
      <c r="H304" s="19"/>
      <c r="I304" s="20"/>
      <c r="J304" s="21"/>
      <c r="K304" s="47"/>
      <c r="L304" s="23"/>
      <c r="M304" s="19"/>
      <c r="N304" s="20"/>
      <c r="O304" s="21"/>
      <c r="P304" s="47"/>
      <c r="Q304" s="23"/>
      <c r="R304" s="19"/>
      <c r="S304" s="20"/>
      <c r="T304" s="21"/>
      <c r="U304" s="47"/>
      <c r="V304" s="23"/>
      <c r="W304" s="9"/>
      <c r="X304" s="9"/>
      <c r="Y304" s="9"/>
      <c r="Z304" s="9"/>
    </row>
    <row r="305">
      <c r="A305" s="9"/>
      <c r="B305" s="9"/>
      <c r="C305" s="9"/>
      <c r="D305" s="9"/>
      <c r="E305" s="9"/>
      <c r="F305" s="72"/>
      <c r="G305" s="73"/>
      <c r="H305" s="19"/>
      <c r="I305" s="20"/>
      <c r="J305" s="21"/>
      <c r="K305" s="47"/>
      <c r="L305" s="23"/>
      <c r="M305" s="19"/>
      <c r="N305" s="20"/>
      <c r="O305" s="21"/>
      <c r="P305" s="47"/>
      <c r="Q305" s="23"/>
      <c r="R305" s="19"/>
      <c r="S305" s="20"/>
      <c r="T305" s="21"/>
      <c r="U305" s="47"/>
      <c r="V305" s="23"/>
      <c r="W305" s="9"/>
      <c r="X305" s="9"/>
      <c r="Y305" s="9"/>
      <c r="Z305" s="9"/>
    </row>
    <row r="306">
      <c r="A306" s="9"/>
      <c r="B306" s="9"/>
      <c r="C306" s="9"/>
      <c r="D306" s="9"/>
      <c r="E306" s="9"/>
      <c r="F306" s="72"/>
      <c r="G306" s="73"/>
      <c r="H306" s="19"/>
      <c r="I306" s="20"/>
      <c r="J306" s="21"/>
      <c r="K306" s="47"/>
      <c r="L306" s="23"/>
      <c r="M306" s="19"/>
      <c r="N306" s="20"/>
      <c r="O306" s="21"/>
      <c r="P306" s="47"/>
      <c r="Q306" s="23"/>
      <c r="R306" s="19"/>
      <c r="S306" s="20"/>
      <c r="T306" s="21"/>
      <c r="U306" s="47"/>
      <c r="V306" s="23"/>
      <c r="W306" s="9"/>
      <c r="X306" s="9"/>
      <c r="Y306" s="9"/>
      <c r="Z306" s="9"/>
    </row>
    <row r="307">
      <c r="A307" s="9"/>
      <c r="B307" s="9"/>
      <c r="C307" s="9"/>
      <c r="D307" s="9"/>
      <c r="E307" s="9"/>
      <c r="F307" s="72"/>
      <c r="G307" s="73"/>
      <c r="H307" s="19"/>
      <c r="I307" s="20"/>
      <c r="J307" s="21"/>
      <c r="K307" s="47"/>
      <c r="L307" s="23"/>
      <c r="M307" s="19"/>
      <c r="N307" s="20"/>
      <c r="O307" s="21"/>
      <c r="P307" s="47"/>
      <c r="Q307" s="23"/>
      <c r="R307" s="19"/>
      <c r="S307" s="20"/>
      <c r="T307" s="21"/>
      <c r="U307" s="47"/>
      <c r="V307" s="23"/>
      <c r="W307" s="9"/>
      <c r="X307" s="9"/>
      <c r="Y307" s="9"/>
      <c r="Z307" s="9"/>
    </row>
    <row r="308">
      <c r="F308" s="74"/>
      <c r="H308" s="75"/>
      <c r="I308" s="75"/>
      <c r="J308" s="75"/>
      <c r="K308" s="75"/>
      <c r="L308" s="75"/>
      <c r="M308" s="75"/>
      <c r="N308" s="75"/>
      <c r="O308" s="75"/>
      <c r="P308" s="75"/>
      <c r="Q308" s="75"/>
      <c r="R308" s="75"/>
      <c r="S308" s="75"/>
      <c r="T308" s="75"/>
      <c r="U308" s="75"/>
      <c r="V308" s="75"/>
    </row>
    <row r="309">
      <c r="F309" s="74"/>
      <c r="H309" s="75"/>
      <c r="I309" s="75"/>
      <c r="J309" s="75"/>
      <c r="K309" s="75"/>
      <c r="L309" s="75"/>
      <c r="M309" s="75"/>
      <c r="N309" s="75"/>
      <c r="O309" s="75"/>
      <c r="P309" s="75"/>
      <c r="Q309" s="75"/>
      <c r="R309" s="75"/>
      <c r="S309" s="75"/>
      <c r="T309" s="75"/>
      <c r="U309" s="75"/>
      <c r="V309" s="75"/>
    </row>
    <row r="310">
      <c r="F310" s="74"/>
      <c r="H310" s="75"/>
      <c r="I310" s="75"/>
      <c r="J310" s="75"/>
      <c r="K310" s="75"/>
      <c r="L310" s="75"/>
      <c r="M310" s="75"/>
      <c r="N310" s="75"/>
      <c r="O310" s="75"/>
      <c r="P310" s="75"/>
      <c r="Q310" s="75"/>
      <c r="R310" s="75"/>
      <c r="S310" s="75"/>
      <c r="T310" s="75"/>
      <c r="U310" s="75"/>
      <c r="V310" s="75"/>
    </row>
    <row r="311">
      <c r="F311" s="74"/>
      <c r="H311" s="75"/>
      <c r="I311" s="75"/>
      <c r="J311" s="75"/>
      <c r="K311" s="75"/>
      <c r="L311" s="75"/>
      <c r="M311" s="75"/>
      <c r="N311" s="75"/>
      <c r="O311" s="75"/>
      <c r="P311" s="75"/>
      <c r="Q311" s="75"/>
      <c r="R311" s="75"/>
      <c r="S311" s="75"/>
      <c r="T311" s="75"/>
      <c r="U311" s="75"/>
      <c r="V311" s="75"/>
    </row>
    <row r="312">
      <c r="F312" s="74"/>
      <c r="H312" s="75"/>
      <c r="I312" s="75"/>
      <c r="J312" s="75"/>
      <c r="K312" s="75"/>
      <c r="L312" s="75"/>
      <c r="M312" s="75"/>
      <c r="N312" s="75"/>
      <c r="O312" s="75"/>
      <c r="P312" s="75"/>
      <c r="Q312" s="75"/>
      <c r="R312" s="75"/>
      <c r="S312" s="75"/>
      <c r="T312" s="75"/>
      <c r="U312" s="75"/>
      <c r="V312" s="75"/>
    </row>
    <row r="313">
      <c r="F313" s="74"/>
      <c r="H313" s="75"/>
      <c r="I313" s="75"/>
      <c r="J313" s="75"/>
      <c r="K313" s="75"/>
      <c r="L313" s="75"/>
      <c r="M313" s="75"/>
      <c r="N313" s="75"/>
      <c r="O313" s="75"/>
      <c r="P313" s="75"/>
      <c r="Q313" s="75"/>
      <c r="R313" s="75"/>
      <c r="S313" s="75"/>
      <c r="T313" s="75"/>
      <c r="U313" s="75"/>
      <c r="V313" s="75"/>
    </row>
    <row r="314">
      <c r="F314" s="74"/>
      <c r="H314" s="75"/>
      <c r="I314" s="75"/>
      <c r="J314" s="75"/>
      <c r="K314" s="75"/>
      <c r="L314" s="75"/>
      <c r="M314" s="75"/>
      <c r="N314" s="75"/>
      <c r="O314" s="75"/>
      <c r="P314" s="75"/>
      <c r="Q314" s="75"/>
      <c r="R314" s="75"/>
      <c r="S314" s="75"/>
      <c r="T314" s="75"/>
      <c r="U314" s="75"/>
      <c r="V314" s="75"/>
    </row>
    <row r="315">
      <c r="F315" s="74"/>
      <c r="H315" s="75"/>
      <c r="I315" s="75"/>
      <c r="J315" s="75"/>
      <c r="K315" s="75"/>
      <c r="L315" s="75"/>
      <c r="M315" s="75"/>
      <c r="N315" s="75"/>
      <c r="O315" s="75"/>
      <c r="P315" s="75"/>
      <c r="Q315" s="75"/>
      <c r="R315" s="75"/>
      <c r="S315" s="75"/>
      <c r="T315" s="75"/>
      <c r="U315" s="75"/>
      <c r="V315" s="75"/>
    </row>
    <row r="316">
      <c r="F316" s="74"/>
      <c r="H316" s="75"/>
      <c r="I316" s="75"/>
      <c r="J316" s="75"/>
      <c r="K316" s="75"/>
      <c r="L316" s="75"/>
      <c r="M316" s="75"/>
      <c r="N316" s="75"/>
      <c r="O316" s="75"/>
      <c r="P316" s="75"/>
      <c r="Q316" s="75"/>
      <c r="R316" s="75"/>
      <c r="S316" s="75"/>
      <c r="T316" s="75"/>
      <c r="U316" s="75"/>
      <c r="V316" s="75"/>
    </row>
    <row r="317">
      <c r="F317" s="74"/>
      <c r="H317" s="75"/>
      <c r="I317" s="75"/>
      <c r="J317" s="75"/>
      <c r="K317" s="75"/>
      <c r="L317" s="75"/>
      <c r="M317" s="75"/>
      <c r="N317" s="75"/>
      <c r="O317" s="75"/>
      <c r="P317" s="75"/>
      <c r="Q317" s="75"/>
      <c r="R317" s="75"/>
      <c r="S317" s="75"/>
      <c r="T317" s="75"/>
      <c r="U317" s="75"/>
      <c r="V317" s="75"/>
    </row>
    <row r="318">
      <c r="F318" s="74"/>
      <c r="H318" s="75"/>
      <c r="I318" s="75"/>
      <c r="J318" s="75"/>
      <c r="K318" s="75"/>
      <c r="L318" s="75"/>
      <c r="M318" s="75"/>
      <c r="N318" s="75"/>
      <c r="O318" s="75"/>
      <c r="P318" s="75"/>
      <c r="Q318" s="75"/>
      <c r="R318" s="75"/>
      <c r="S318" s="75"/>
      <c r="T318" s="75"/>
      <c r="U318" s="75"/>
      <c r="V318" s="75"/>
    </row>
    <row r="319">
      <c r="F319" s="74"/>
      <c r="H319" s="75"/>
      <c r="I319" s="75"/>
      <c r="J319" s="75"/>
      <c r="K319" s="75"/>
      <c r="L319" s="75"/>
      <c r="M319" s="75"/>
      <c r="N319" s="75"/>
      <c r="O319" s="75"/>
      <c r="P319" s="75"/>
      <c r="Q319" s="75"/>
      <c r="R319" s="75"/>
      <c r="S319" s="75"/>
      <c r="T319" s="75"/>
      <c r="U319" s="75"/>
      <c r="V319" s="75"/>
    </row>
    <row r="320">
      <c r="F320" s="74"/>
      <c r="H320" s="75"/>
      <c r="I320" s="75"/>
      <c r="J320" s="75"/>
      <c r="K320" s="75"/>
      <c r="L320" s="75"/>
      <c r="M320" s="75"/>
      <c r="N320" s="75"/>
      <c r="O320" s="75"/>
      <c r="P320" s="75"/>
      <c r="Q320" s="75"/>
      <c r="R320" s="75"/>
      <c r="S320" s="75"/>
      <c r="T320" s="75"/>
      <c r="U320" s="75"/>
      <c r="V320" s="75"/>
    </row>
    <row r="321">
      <c r="F321" s="74"/>
      <c r="H321" s="75"/>
      <c r="I321" s="75"/>
      <c r="J321" s="75"/>
      <c r="K321" s="75"/>
      <c r="L321" s="75"/>
      <c r="M321" s="75"/>
      <c r="N321" s="75"/>
      <c r="O321" s="75"/>
      <c r="P321" s="75"/>
      <c r="Q321" s="75"/>
      <c r="R321" s="75"/>
      <c r="S321" s="75"/>
      <c r="T321" s="75"/>
      <c r="U321" s="75"/>
      <c r="V321" s="75"/>
    </row>
    <row r="322">
      <c r="F322" s="74"/>
      <c r="H322" s="75"/>
      <c r="I322" s="75"/>
      <c r="J322" s="75"/>
      <c r="K322" s="75"/>
      <c r="L322" s="75"/>
      <c r="M322" s="75"/>
      <c r="N322" s="75"/>
      <c r="O322" s="75"/>
      <c r="P322" s="75"/>
      <c r="Q322" s="75"/>
      <c r="R322" s="75"/>
      <c r="S322" s="75"/>
      <c r="T322" s="75"/>
      <c r="U322" s="75"/>
      <c r="V322" s="75"/>
    </row>
    <row r="323">
      <c r="F323" s="74"/>
      <c r="H323" s="75"/>
      <c r="I323" s="75"/>
      <c r="J323" s="75"/>
      <c r="K323" s="75"/>
      <c r="L323" s="75"/>
      <c r="M323" s="75"/>
      <c r="N323" s="75"/>
      <c r="O323" s="75"/>
      <c r="P323" s="75"/>
      <c r="Q323" s="75"/>
      <c r="R323" s="75"/>
      <c r="S323" s="75"/>
      <c r="T323" s="75"/>
      <c r="U323" s="75"/>
      <c r="V323" s="75"/>
    </row>
    <row r="324">
      <c r="F324" s="74"/>
      <c r="H324" s="75"/>
      <c r="I324" s="75"/>
      <c r="J324" s="75"/>
      <c r="K324" s="75"/>
      <c r="L324" s="75"/>
      <c r="M324" s="75"/>
      <c r="N324" s="75"/>
      <c r="O324" s="75"/>
      <c r="P324" s="75"/>
      <c r="Q324" s="75"/>
      <c r="R324" s="75"/>
      <c r="S324" s="75"/>
      <c r="T324" s="75"/>
      <c r="U324" s="75"/>
      <c r="V324" s="75"/>
    </row>
    <row r="325">
      <c r="F325" s="74"/>
      <c r="H325" s="75"/>
      <c r="I325" s="75"/>
      <c r="J325" s="75"/>
      <c r="K325" s="75"/>
      <c r="L325" s="75"/>
      <c r="M325" s="75"/>
      <c r="N325" s="75"/>
      <c r="O325" s="75"/>
      <c r="P325" s="75"/>
      <c r="Q325" s="75"/>
      <c r="R325" s="75"/>
      <c r="S325" s="75"/>
      <c r="T325" s="75"/>
      <c r="U325" s="75"/>
      <c r="V325" s="75"/>
    </row>
    <row r="326">
      <c r="F326" s="74"/>
      <c r="H326" s="75"/>
      <c r="I326" s="75"/>
      <c r="J326" s="75"/>
      <c r="K326" s="75"/>
      <c r="L326" s="75"/>
      <c r="M326" s="75"/>
      <c r="N326" s="75"/>
      <c r="O326" s="75"/>
      <c r="P326" s="75"/>
      <c r="Q326" s="75"/>
      <c r="R326" s="75"/>
      <c r="S326" s="75"/>
      <c r="T326" s="75"/>
      <c r="U326" s="75"/>
      <c r="V326" s="75"/>
    </row>
    <row r="327">
      <c r="F327" s="74"/>
      <c r="H327" s="75"/>
      <c r="I327" s="75"/>
      <c r="J327" s="75"/>
      <c r="K327" s="75"/>
      <c r="L327" s="75"/>
      <c r="M327" s="75"/>
      <c r="N327" s="75"/>
      <c r="O327" s="75"/>
      <c r="P327" s="75"/>
      <c r="Q327" s="75"/>
      <c r="R327" s="75"/>
      <c r="S327" s="75"/>
      <c r="T327" s="75"/>
      <c r="U327" s="75"/>
      <c r="V327" s="75"/>
    </row>
    <row r="328">
      <c r="F328" s="74"/>
      <c r="H328" s="75"/>
      <c r="I328" s="75"/>
      <c r="J328" s="75"/>
      <c r="K328" s="75"/>
      <c r="L328" s="75"/>
      <c r="M328" s="75"/>
      <c r="N328" s="75"/>
      <c r="O328" s="75"/>
      <c r="P328" s="75"/>
      <c r="Q328" s="75"/>
      <c r="R328" s="75"/>
      <c r="S328" s="75"/>
      <c r="T328" s="75"/>
      <c r="U328" s="75"/>
      <c r="V328" s="75"/>
    </row>
    <row r="329">
      <c r="F329" s="74"/>
      <c r="H329" s="75"/>
      <c r="I329" s="75"/>
      <c r="J329" s="75"/>
      <c r="K329" s="75"/>
      <c r="L329" s="75"/>
      <c r="M329" s="75"/>
      <c r="N329" s="75"/>
      <c r="O329" s="75"/>
      <c r="P329" s="75"/>
      <c r="Q329" s="75"/>
      <c r="R329" s="75"/>
      <c r="S329" s="75"/>
      <c r="T329" s="75"/>
      <c r="U329" s="75"/>
      <c r="V329" s="75"/>
    </row>
    <row r="330">
      <c r="F330" s="74"/>
      <c r="H330" s="75"/>
      <c r="I330" s="75"/>
      <c r="J330" s="75"/>
      <c r="K330" s="75"/>
      <c r="L330" s="75"/>
      <c r="M330" s="75"/>
      <c r="N330" s="75"/>
      <c r="O330" s="75"/>
      <c r="P330" s="75"/>
      <c r="Q330" s="75"/>
      <c r="R330" s="75"/>
      <c r="S330" s="75"/>
      <c r="T330" s="75"/>
      <c r="U330" s="75"/>
      <c r="V330" s="75"/>
    </row>
    <row r="331">
      <c r="F331" s="74"/>
      <c r="H331" s="75"/>
      <c r="I331" s="75"/>
      <c r="J331" s="75"/>
      <c r="K331" s="75"/>
      <c r="L331" s="75"/>
      <c r="M331" s="75"/>
      <c r="N331" s="75"/>
      <c r="O331" s="75"/>
      <c r="P331" s="75"/>
      <c r="Q331" s="75"/>
      <c r="R331" s="75"/>
      <c r="S331" s="75"/>
      <c r="T331" s="75"/>
      <c r="U331" s="75"/>
      <c r="V331" s="75"/>
    </row>
    <row r="332">
      <c r="F332" s="74"/>
      <c r="H332" s="75"/>
      <c r="I332" s="75"/>
      <c r="J332" s="75"/>
      <c r="K332" s="75"/>
      <c r="L332" s="75"/>
      <c r="M332" s="75"/>
      <c r="N332" s="75"/>
      <c r="O332" s="75"/>
      <c r="P332" s="75"/>
      <c r="Q332" s="75"/>
      <c r="R332" s="75"/>
      <c r="S332" s="75"/>
      <c r="T332" s="75"/>
      <c r="U332" s="75"/>
      <c r="V332" s="75"/>
    </row>
    <row r="333">
      <c r="F333" s="74"/>
      <c r="H333" s="75"/>
      <c r="I333" s="75"/>
      <c r="J333" s="75"/>
      <c r="K333" s="75"/>
      <c r="L333" s="75"/>
      <c r="M333" s="75"/>
      <c r="N333" s="75"/>
      <c r="O333" s="75"/>
      <c r="P333" s="75"/>
      <c r="Q333" s="75"/>
      <c r="R333" s="75"/>
      <c r="S333" s="75"/>
      <c r="T333" s="75"/>
      <c r="U333" s="75"/>
      <c r="V333" s="75"/>
    </row>
    <row r="334">
      <c r="F334" s="74"/>
      <c r="H334" s="75"/>
      <c r="I334" s="75"/>
      <c r="J334" s="75"/>
      <c r="K334" s="75"/>
      <c r="L334" s="75"/>
      <c r="M334" s="75"/>
      <c r="N334" s="75"/>
      <c r="O334" s="75"/>
      <c r="P334" s="75"/>
      <c r="Q334" s="75"/>
      <c r="R334" s="75"/>
      <c r="S334" s="75"/>
      <c r="T334" s="75"/>
      <c r="U334" s="75"/>
      <c r="V334" s="75"/>
    </row>
    <row r="335">
      <c r="F335" s="74"/>
      <c r="H335" s="75"/>
      <c r="I335" s="75"/>
      <c r="J335" s="75"/>
      <c r="K335" s="75"/>
      <c r="L335" s="75"/>
      <c r="M335" s="75"/>
      <c r="N335" s="75"/>
      <c r="O335" s="75"/>
      <c r="P335" s="75"/>
      <c r="Q335" s="75"/>
      <c r="R335" s="75"/>
      <c r="S335" s="75"/>
      <c r="T335" s="75"/>
      <c r="U335" s="75"/>
      <c r="V335" s="75"/>
    </row>
    <row r="336">
      <c r="F336" s="74"/>
      <c r="H336" s="75"/>
      <c r="I336" s="75"/>
      <c r="J336" s="75"/>
      <c r="K336" s="75"/>
      <c r="L336" s="75"/>
      <c r="M336" s="75"/>
      <c r="N336" s="75"/>
      <c r="O336" s="75"/>
      <c r="P336" s="75"/>
      <c r="Q336" s="75"/>
      <c r="R336" s="75"/>
      <c r="S336" s="75"/>
      <c r="T336" s="75"/>
      <c r="U336" s="75"/>
      <c r="V336" s="75"/>
    </row>
    <row r="337">
      <c r="F337" s="74"/>
      <c r="H337" s="75"/>
      <c r="I337" s="75"/>
      <c r="J337" s="75"/>
      <c r="K337" s="75"/>
      <c r="L337" s="75"/>
      <c r="M337" s="75"/>
      <c r="N337" s="75"/>
      <c r="O337" s="75"/>
      <c r="P337" s="75"/>
      <c r="Q337" s="75"/>
      <c r="R337" s="75"/>
      <c r="S337" s="75"/>
      <c r="T337" s="75"/>
      <c r="U337" s="75"/>
      <c r="V337" s="75"/>
    </row>
    <row r="338">
      <c r="F338" s="74"/>
      <c r="H338" s="75"/>
      <c r="I338" s="75"/>
      <c r="J338" s="75"/>
      <c r="K338" s="75"/>
      <c r="L338" s="75"/>
      <c r="M338" s="75"/>
      <c r="N338" s="75"/>
      <c r="O338" s="75"/>
      <c r="P338" s="75"/>
      <c r="Q338" s="75"/>
      <c r="R338" s="75"/>
      <c r="S338" s="75"/>
      <c r="T338" s="75"/>
      <c r="U338" s="75"/>
      <c r="V338" s="75"/>
    </row>
    <row r="339">
      <c r="F339" s="74"/>
      <c r="H339" s="75"/>
      <c r="I339" s="75"/>
      <c r="J339" s="75"/>
      <c r="K339" s="75"/>
      <c r="L339" s="75"/>
      <c r="M339" s="75"/>
      <c r="N339" s="75"/>
      <c r="O339" s="75"/>
      <c r="P339" s="75"/>
      <c r="Q339" s="75"/>
      <c r="R339" s="75"/>
      <c r="S339" s="75"/>
      <c r="T339" s="75"/>
      <c r="U339" s="75"/>
      <c r="V339" s="75"/>
    </row>
    <row r="340">
      <c r="F340" s="74"/>
      <c r="H340" s="75"/>
      <c r="I340" s="75"/>
      <c r="J340" s="75"/>
      <c r="K340" s="75"/>
      <c r="L340" s="75"/>
      <c r="M340" s="75"/>
      <c r="N340" s="75"/>
      <c r="O340" s="75"/>
      <c r="P340" s="75"/>
      <c r="Q340" s="75"/>
      <c r="R340" s="75"/>
      <c r="S340" s="75"/>
      <c r="T340" s="75"/>
      <c r="U340" s="75"/>
      <c r="V340" s="75"/>
    </row>
    <row r="341">
      <c r="F341" s="74"/>
      <c r="H341" s="75"/>
      <c r="I341" s="75"/>
      <c r="J341" s="75"/>
      <c r="K341" s="75"/>
      <c r="L341" s="75"/>
      <c r="M341" s="75"/>
      <c r="N341" s="75"/>
      <c r="O341" s="75"/>
      <c r="P341" s="75"/>
      <c r="Q341" s="75"/>
      <c r="R341" s="75"/>
      <c r="S341" s="75"/>
      <c r="T341" s="75"/>
      <c r="U341" s="75"/>
      <c r="V341" s="75"/>
    </row>
    <row r="342">
      <c r="F342" s="74"/>
      <c r="H342" s="75"/>
      <c r="I342" s="75"/>
      <c r="J342" s="75"/>
      <c r="K342" s="75"/>
      <c r="L342" s="75"/>
      <c r="M342" s="75"/>
      <c r="N342" s="75"/>
      <c r="O342" s="75"/>
      <c r="P342" s="75"/>
      <c r="Q342" s="75"/>
      <c r="R342" s="75"/>
      <c r="S342" s="75"/>
      <c r="T342" s="75"/>
      <c r="U342" s="75"/>
      <c r="V342" s="75"/>
    </row>
    <row r="343">
      <c r="F343" s="74"/>
      <c r="H343" s="75"/>
      <c r="I343" s="75"/>
      <c r="J343" s="75"/>
      <c r="K343" s="75"/>
      <c r="L343" s="75"/>
      <c r="M343" s="75"/>
      <c r="N343" s="75"/>
      <c r="O343" s="75"/>
      <c r="P343" s="75"/>
      <c r="Q343" s="75"/>
      <c r="R343" s="75"/>
      <c r="S343" s="75"/>
      <c r="T343" s="75"/>
      <c r="U343" s="75"/>
      <c r="V343" s="75"/>
    </row>
    <row r="344">
      <c r="F344" s="74"/>
      <c r="H344" s="75"/>
      <c r="I344" s="75"/>
      <c r="J344" s="75"/>
      <c r="K344" s="75"/>
      <c r="L344" s="75"/>
      <c r="M344" s="75"/>
      <c r="N344" s="75"/>
      <c r="O344" s="75"/>
      <c r="P344" s="75"/>
      <c r="Q344" s="75"/>
      <c r="R344" s="75"/>
      <c r="S344" s="75"/>
      <c r="T344" s="75"/>
      <c r="U344" s="75"/>
      <c r="V344" s="75"/>
    </row>
    <row r="345">
      <c r="F345" s="74"/>
      <c r="H345" s="75"/>
      <c r="I345" s="75"/>
      <c r="J345" s="75"/>
      <c r="K345" s="75"/>
      <c r="L345" s="75"/>
      <c r="M345" s="75"/>
      <c r="N345" s="75"/>
      <c r="O345" s="75"/>
      <c r="P345" s="75"/>
      <c r="Q345" s="75"/>
      <c r="R345" s="75"/>
      <c r="S345" s="75"/>
      <c r="T345" s="75"/>
      <c r="U345" s="75"/>
      <c r="V345" s="75"/>
    </row>
    <row r="346">
      <c r="F346" s="74"/>
      <c r="H346" s="75"/>
      <c r="I346" s="75"/>
      <c r="J346" s="75"/>
      <c r="K346" s="75"/>
      <c r="L346" s="75"/>
      <c r="M346" s="75"/>
      <c r="N346" s="75"/>
      <c r="O346" s="75"/>
      <c r="P346" s="75"/>
      <c r="Q346" s="75"/>
      <c r="R346" s="75"/>
      <c r="S346" s="75"/>
      <c r="T346" s="75"/>
      <c r="U346" s="75"/>
      <c r="V346" s="75"/>
    </row>
    <row r="347">
      <c r="F347" s="74"/>
      <c r="H347" s="75"/>
      <c r="I347" s="75"/>
      <c r="J347" s="75"/>
      <c r="K347" s="75"/>
      <c r="L347" s="75"/>
      <c r="M347" s="75"/>
      <c r="N347" s="75"/>
      <c r="O347" s="75"/>
      <c r="P347" s="75"/>
      <c r="Q347" s="75"/>
      <c r="R347" s="75"/>
      <c r="S347" s="75"/>
      <c r="T347" s="75"/>
      <c r="U347" s="75"/>
      <c r="V347" s="75"/>
    </row>
    <row r="348">
      <c r="F348" s="74"/>
      <c r="H348" s="75"/>
      <c r="I348" s="75"/>
      <c r="J348" s="75"/>
      <c r="K348" s="75"/>
      <c r="L348" s="75"/>
      <c r="M348" s="75"/>
      <c r="N348" s="75"/>
      <c r="O348" s="75"/>
      <c r="P348" s="75"/>
      <c r="Q348" s="75"/>
      <c r="R348" s="75"/>
      <c r="S348" s="75"/>
      <c r="T348" s="75"/>
      <c r="U348" s="75"/>
      <c r="V348" s="75"/>
    </row>
    <row r="349">
      <c r="F349" s="74"/>
      <c r="H349" s="75"/>
      <c r="I349" s="75"/>
      <c r="J349" s="75"/>
      <c r="K349" s="75"/>
      <c r="L349" s="75"/>
      <c r="M349" s="75"/>
      <c r="N349" s="75"/>
      <c r="O349" s="75"/>
      <c r="P349" s="75"/>
      <c r="Q349" s="75"/>
      <c r="R349" s="75"/>
      <c r="S349" s="75"/>
      <c r="T349" s="75"/>
      <c r="U349" s="75"/>
      <c r="V349" s="75"/>
    </row>
    <row r="350">
      <c r="F350" s="74"/>
      <c r="H350" s="75"/>
      <c r="I350" s="75"/>
      <c r="J350" s="75"/>
      <c r="K350" s="75"/>
      <c r="L350" s="75"/>
      <c r="M350" s="75"/>
      <c r="N350" s="75"/>
      <c r="O350" s="75"/>
      <c r="P350" s="75"/>
      <c r="Q350" s="75"/>
      <c r="R350" s="75"/>
      <c r="S350" s="75"/>
      <c r="T350" s="75"/>
      <c r="U350" s="75"/>
      <c r="V350" s="75"/>
    </row>
    <row r="351">
      <c r="F351" s="74"/>
      <c r="H351" s="75"/>
      <c r="I351" s="75"/>
      <c r="J351" s="75"/>
      <c r="K351" s="75"/>
      <c r="L351" s="75"/>
      <c r="M351" s="75"/>
      <c r="N351" s="75"/>
      <c r="O351" s="75"/>
      <c r="P351" s="75"/>
      <c r="Q351" s="75"/>
      <c r="R351" s="75"/>
      <c r="S351" s="75"/>
      <c r="T351" s="75"/>
      <c r="U351" s="75"/>
      <c r="V351" s="75"/>
    </row>
    <row r="352">
      <c r="F352" s="74"/>
      <c r="H352" s="75"/>
      <c r="I352" s="75"/>
      <c r="J352" s="75"/>
      <c r="K352" s="75"/>
      <c r="L352" s="75"/>
      <c r="M352" s="75"/>
      <c r="N352" s="75"/>
      <c r="O352" s="75"/>
      <c r="P352" s="75"/>
      <c r="Q352" s="75"/>
      <c r="R352" s="75"/>
      <c r="S352" s="75"/>
      <c r="T352" s="75"/>
      <c r="U352" s="75"/>
      <c r="V352" s="75"/>
    </row>
    <row r="353">
      <c r="F353" s="74"/>
      <c r="H353" s="75"/>
      <c r="I353" s="75"/>
      <c r="J353" s="75"/>
      <c r="K353" s="75"/>
      <c r="L353" s="75"/>
      <c r="M353" s="75"/>
      <c r="N353" s="75"/>
      <c r="O353" s="75"/>
      <c r="P353" s="75"/>
      <c r="Q353" s="75"/>
      <c r="R353" s="75"/>
      <c r="S353" s="75"/>
      <c r="T353" s="75"/>
      <c r="U353" s="75"/>
      <c r="V353" s="75"/>
    </row>
    <row r="354">
      <c r="F354" s="74"/>
      <c r="H354" s="75"/>
      <c r="I354" s="75"/>
      <c r="J354" s="75"/>
      <c r="K354" s="75"/>
      <c r="L354" s="75"/>
      <c r="M354" s="75"/>
      <c r="N354" s="75"/>
      <c r="O354" s="75"/>
      <c r="P354" s="75"/>
      <c r="Q354" s="75"/>
      <c r="R354" s="75"/>
      <c r="S354" s="75"/>
      <c r="T354" s="75"/>
      <c r="U354" s="75"/>
      <c r="V354" s="75"/>
    </row>
    <row r="355">
      <c r="F355" s="74"/>
      <c r="H355" s="75"/>
      <c r="I355" s="75"/>
      <c r="J355" s="75"/>
      <c r="K355" s="75"/>
      <c r="L355" s="75"/>
      <c r="M355" s="75"/>
      <c r="N355" s="75"/>
      <c r="O355" s="75"/>
      <c r="P355" s="75"/>
      <c r="Q355" s="75"/>
      <c r="R355" s="75"/>
      <c r="S355" s="75"/>
      <c r="T355" s="75"/>
      <c r="U355" s="75"/>
      <c r="V355" s="75"/>
    </row>
    <row r="356">
      <c r="F356" s="74"/>
      <c r="H356" s="75"/>
      <c r="I356" s="75"/>
      <c r="J356" s="75"/>
      <c r="K356" s="75"/>
      <c r="L356" s="75"/>
      <c r="M356" s="75"/>
      <c r="N356" s="75"/>
      <c r="O356" s="75"/>
      <c r="P356" s="75"/>
      <c r="Q356" s="75"/>
      <c r="R356" s="75"/>
      <c r="S356" s="75"/>
      <c r="T356" s="75"/>
      <c r="U356" s="75"/>
      <c r="V356" s="75"/>
    </row>
    <row r="357">
      <c r="F357" s="74"/>
      <c r="H357" s="75"/>
      <c r="I357" s="75"/>
      <c r="J357" s="75"/>
      <c r="K357" s="75"/>
      <c r="L357" s="75"/>
      <c r="M357" s="75"/>
      <c r="N357" s="75"/>
      <c r="O357" s="75"/>
      <c r="P357" s="75"/>
      <c r="Q357" s="75"/>
      <c r="R357" s="75"/>
      <c r="S357" s="75"/>
      <c r="T357" s="75"/>
      <c r="U357" s="75"/>
      <c r="V357" s="75"/>
    </row>
    <row r="358">
      <c r="F358" s="74"/>
      <c r="H358" s="75"/>
      <c r="I358" s="75"/>
      <c r="J358" s="75"/>
      <c r="K358" s="75"/>
      <c r="L358" s="75"/>
      <c r="M358" s="75"/>
      <c r="N358" s="75"/>
      <c r="O358" s="75"/>
      <c r="P358" s="75"/>
      <c r="Q358" s="75"/>
      <c r="R358" s="75"/>
      <c r="S358" s="75"/>
      <c r="T358" s="75"/>
      <c r="U358" s="75"/>
      <c r="V358" s="75"/>
    </row>
    <row r="359">
      <c r="F359" s="74"/>
      <c r="H359" s="75"/>
      <c r="I359" s="75"/>
      <c r="J359" s="75"/>
      <c r="K359" s="75"/>
      <c r="L359" s="75"/>
      <c r="M359" s="75"/>
      <c r="N359" s="75"/>
      <c r="O359" s="75"/>
      <c r="P359" s="75"/>
      <c r="Q359" s="75"/>
      <c r="R359" s="75"/>
      <c r="S359" s="75"/>
      <c r="T359" s="75"/>
      <c r="U359" s="75"/>
      <c r="V359" s="75"/>
    </row>
    <row r="360">
      <c r="F360" s="74"/>
      <c r="H360" s="75"/>
      <c r="I360" s="75"/>
      <c r="J360" s="75"/>
      <c r="K360" s="75"/>
      <c r="L360" s="75"/>
      <c r="M360" s="75"/>
      <c r="N360" s="75"/>
      <c r="O360" s="75"/>
      <c r="P360" s="75"/>
      <c r="Q360" s="75"/>
      <c r="R360" s="75"/>
      <c r="S360" s="75"/>
      <c r="T360" s="75"/>
      <c r="U360" s="75"/>
      <c r="V360" s="75"/>
    </row>
    <row r="361">
      <c r="F361" s="74"/>
      <c r="H361" s="75"/>
      <c r="I361" s="75"/>
      <c r="J361" s="75"/>
      <c r="K361" s="75"/>
      <c r="L361" s="75"/>
      <c r="M361" s="75"/>
      <c r="N361" s="75"/>
      <c r="O361" s="75"/>
      <c r="P361" s="75"/>
      <c r="Q361" s="75"/>
      <c r="R361" s="75"/>
      <c r="S361" s="75"/>
      <c r="T361" s="75"/>
      <c r="U361" s="75"/>
      <c r="V361" s="75"/>
    </row>
    <row r="362">
      <c r="F362" s="74"/>
      <c r="H362" s="75"/>
      <c r="I362" s="75"/>
      <c r="J362" s="75"/>
      <c r="K362" s="75"/>
      <c r="L362" s="75"/>
      <c r="M362" s="75"/>
      <c r="N362" s="75"/>
      <c r="O362" s="75"/>
      <c r="P362" s="75"/>
      <c r="Q362" s="75"/>
      <c r="R362" s="75"/>
      <c r="S362" s="75"/>
      <c r="T362" s="75"/>
      <c r="U362" s="75"/>
      <c r="V362" s="75"/>
    </row>
    <row r="363">
      <c r="F363" s="74"/>
      <c r="H363" s="75"/>
      <c r="I363" s="75"/>
      <c r="J363" s="75"/>
      <c r="K363" s="75"/>
      <c r="L363" s="75"/>
      <c r="M363" s="75"/>
      <c r="N363" s="75"/>
      <c r="O363" s="75"/>
      <c r="P363" s="75"/>
      <c r="Q363" s="75"/>
      <c r="R363" s="75"/>
      <c r="S363" s="75"/>
      <c r="T363" s="75"/>
      <c r="U363" s="75"/>
      <c r="V363" s="75"/>
    </row>
    <row r="364">
      <c r="F364" s="74"/>
      <c r="H364" s="75"/>
      <c r="I364" s="75"/>
      <c r="J364" s="75"/>
      <c r="K364" s="75"/>
      <c r="L364" s="75"/>
      <c r="M364" s="75"/>
      <c r="N364" s="75"/>
      <c r="O364" s="75"/>
      <c r="P364" s="75"/>
      <c r="Q364" s="75"/>
      <c r="R364" s="75"/>
      <c r="S364" s="75"/>
      <c r="T364" s="75"/>
      <c r="U364" s="75"/>
      <c r="V364" s="75"/>
    </row>
    <row r="365">
      <c r="F365" s="74"/>
      <c r="H365" s="75"/>
      <c r="I365" s="75"/>
      <c r="J365" s="75"/>
      <c r="K365" s="75"/>
      <c r="L365" s="75"/>
      <c r="M365" s="75"/>
      <c r="N365" s="75"/>
      <c r="O365" s="75"/>
      <c r="P365" s="75"/>
      <c r="Q365" s="75"/>
      <c r="R365" s="75"/>
      <c r="S365" s="75"/>
      <c r="T365" s="75"/>
      <c r="U365" s="75"/>
      <c r="V365" s="75"/>
    </row>
    <row r="366">
      <c r="F366" s="74"/>
      <c r="H366" s="75"/>
      <c r="I366" s="75"/>
      <c r="J366" s="75"/>
      <c r="K366" s="75"/>
      <c r="L366" s="75"/>
      <c r="M366" s="75"/>
      <c r="N366" s="75"/>
      <c r="O366" s="75"/>
      <c r="P366" s="75"/>
      <c r="Q366" s="75"/>
      <c r="R366" s="75"/>
      <c r="S366" s="75"/>
      <c r="T366" s="75"/>
      <c r="U366" s="75"/>
      <c r="V366" s="75"/>
    </row>
    <row r="367">
      <c r="F367" s="74"/>
      <c r="H367" s="75"/>
      <c r="I367" s="75"/>
      <c r="J367" s="75"/>
      <c r="K367" s="75"/>
      <c r="L367" s="75"/>
      <c r="M367" s="75"/>
      <c r="N367" s="75"/>
      <c r="O367" s="75"/>
      <c r="P367" s="75"/>
      <c r="Q367" s="75"/>
      <c r="R367" s="75"/>
      <c r="S367" s="75"/>
      <c r="T367" s="75"/>
      <c r="U367" s="75"/>
      <c r="V367" s="75"/>
    </row>
    <row r="368">
      <c r="F368" s="74"/>
      <c r="H368" s="75"/>
      <c r="I368" s="75"/>
      <c r="J368" s="75"/>
      <c r="K368" s="75"/>
      <c r="L368" s="75"/>
      <c r="M368" s="75"/>
      <c r="N368" s="75"/>
      <c r="O368" s="75"/>
      <c r="P368" s="75"/>
      <c r="Q368" s="75"/>
      <c r="R368" s="75"/>
      <c r="S368" s="75"/>
      <c r="T368" s="75"/>
      <c r="U368" s="75"/>
      <c r="V368" s="75"/>
    </row>
    <row r="369">
      <c r="F369" s="74"/>
      <c r="H369" s="75"/>
      <c r="I369" s="75"/>
      <c r="J369" s="75"/>
      <c r="K369" s="75"/>
      <c r="L369" s="75"/>
      <c r="M369" s="75"/>
      <c r="N369" s="75"/>
      <c r="O369" s="75"/>
      <c r="P369" s="75"/>
      <c r="Q369" s="75"/>
      <c r="R369" s="75"/>
      <c r="S369" s="75"/>
      <c r="T369" s="75"/>
      <c r="U369" s="75"/>
      <c r="V369" s="75"/>
    </row>
    <row r="370">
      <c r="F370" s="74"/>
      <c r="H370" s="75"/>
      <c r="I370" s="75"/>
      <c r="J370" s="75"/>
      <c r="K370" s="75"/>
      <c r="L370" s="75"/>
      <c r="M370" s="75"/>
      <c r="N370" s="75"/>
      <c r="O370" s="75"/>
      <c r="P370" s="75"/>
      <c r="Q370" s="75"/>
      <c r="R370" s="75"/>
      <c r="S370" s="75"/>
      <c r="T370" s="75"/>
      <c r="U370" s="75"/>
      <c r="V370" s="75"/>
    </row>
    <row r="371">
      <c r="F371" s="74"/>
      <c r="H371" s="75"/>
      <c r="I371" s="75"/>
      <c r="J371" s="75"/>
      <c r="K371" s="75"/>
      <c r="L371" s="75"/>
      <c r="M371" s="75"/>
      <c r="N371" s="75"/>
      <c r="O371" s="75"/>
      <c r="P371" s="75"/>
      <c r="Q371" s="75"/>
      <c r="R371" s="75"/>
      <c r="S371" s="75"/>
      <c r="T371" s="75"/>
      <c r="U371" s="75"/>
      <c r="V371" s="75"/>
    </row>
    <row r="372">
      <c r="F372" s="74"/>
      <c r="H372" s="75"/>
      <c r="I372" s="75"/>
      <c r="J372" s="75"/>
      <c r="K372" s="75"/>
      <c r="L372" s="75"/>
      <c r="M372" s="75"/>
      <c r="N372" s="75"/>
      <c r="O372" s="75"/>
      <c r="P372" s="75"/>
      <c r="Q372" s="75"/>
      <c r="R372" s="75"/>
      <c r="S372" s="75"/>
      <c r="T372" s="75"/>
      <c r="U372" s="75"/>
      <c r="V372" s="75"/>
    </row>
    <row r="373">
      <c r="F373" s="74"/>
      <c r="H373" s="75"/>
      <c r="I373" s="75"/>
      <c r="J373" s="75"/>
      <c r="K373" s="75"/>
      <c r="L373" s="75"/>
      <c r="M373" s="75"/>
      <c r="N373" s="75"/>
      <c r="O373" s="75"/>
      <c r="P373" s="75"/>
      <c r="Q373" s="75"/>
      <c r="R373" s="75"/>
      <c r="S373" s="75"/>
      <c r="T373" s="75"/>
      <c r="U373" s="75"/>
      <c r="V373" s="75"/>
    </row>
    <row r="374">
      <c r="F374" s="74"/>
      <c r="H374" s="75"/>
      <c r="I374" s="75"/>
      <c r="J374" s="75"/>
      <c r="K374" s="75"/>
      <c r="L374" s="75"/>
      <c r="M374" s="75"/>
      <c r="N374" s="75"/>
      <c r="O374" s="75"/>
      <c r="P374" s="75"/>
      <c r="Q374" s="75"/>
      <c r="R374" s="75"/>
      <c r="S374" s="75"/>
      <c r="T374" s="75"/>
      <c r="U374" s="75"/>
      <c r="V374" s="75"/>
    </row>
    <row r="375">
      <c r="F375" s="74"/>
      <c r="H375" s="75"/>
      <c r="I375" s="75"/>
      <c r="J375" s="75"/>
      <c r="K375" s="75"/>
      <c r="L375" s="75"/>
      <c r="M375" s="75"/>
      <c r="N375" s="75"/>
      <c r="O375" s="75"/>
      <c r="P375" s="75"/>
      <c r="Q375" s="75"/>
      <c r="R375" s="75"/>
      <c r="S375" s="75"/>
      <c r="T375" s="75"/>
      <c r="U375" s="75"/>
      <c r="V375" s="75"/>
    </row>
    <row r="376">
      <c r="F376" s="74"/>
      <c r="H376" s="75"/>
      <c r="I376" s="75"/>
      <c r="J376" s="75"/>
      <c r="K376" s="75"/>
      <c r="L376" s="75"/>
      <c r="M376" s="75"/>
      <c r="N376" s="75"/>
      <c r="O376" s="75"/>
      <c r="P376" s="75"/>
      <c r="Q376" s="75"/>
      <c r="R376" s="75"/>
      <c r="S376" s="75"/>
      <c r="T376" s="75"/>
      <c r="U376" s="75"/>
      <c r="V376" s="75"/>
    </row>
    <row r="377">
      <c r="F377" s="74"/>
      <c r="H377" s="75"/>
      <c r="I377" s="75"/>
      <c r="J377" s="75"/>
      <c r="K377" s="75"/>
      <c r="L377" s="75"/>
      <c r="M377" s="75"/>
      <c r="N377" s="75"/>
      <c r="O377" s="75"/>
      <c r="P377" s="75"/>
      <c r="Q377" s="75"/>
      <c r="R377" s="75"/>
      <c r="S377" s="75"/>
      <c r="T377" s="75"/>
      <c r="U377" s="75"/>
      <c r="V377" s="75"/>
    </row>
    <row r="378">
      <c r="F378" s="74"/>
      <c r="H378" s="75"/>
      <c r="I378" s="75"/>
      <c r="J378" s="75"/>
      <c r="K378" s="75"/>
      <c r="L378" s="75"/>
      <c r="M378" s="75"/>
      <c r="N378" s="75"/>
      <c r="O378" s="75"/>
      <c r="P378" s="75"/>
      <c r="Q378" s="75"/>
      <c r="R378" s="75"/>
      <c r="S378" s="75"/>
      <c r="T378" s="75"/>
      <c r="U378" s="75"/>
      <c r="V378" s="75"/>
    </row>
    <row r="379">
      <c r="F379" s="74"/>
      <c r="H379" s="75"/>
      <c r="I379" s="75"/>
      <c r="J379" s="75"/>
      <c r="K379" s="75"/>
      <c r="L379" s="75"/>
      <c r="M379" s="75"/>
      <c r="N379" s="75"/>
      <c r="O379" s="75"/>
      <c r="P379" s="75"/>
      <c r="Q379" s="75"/>
      <c r="R379" s="75"/>
      <c r="S379" s="75"/>
      <c r="T379" s="75"/>
      <c r="U379" s="75"/>
      <c r="V379" s="75"/>
    </row>
    <row r="380">
      <c r="F380" s="74"/>
      <c r="H380" s="75"/>
      <c r="I380" s="75"/>
      <c r="J380" s="75"/>
      <c r="K380" s="75"/>
      <c r="L380" s="75"/>
      <c r="M380" s="75"/>
      <c r="N380" s="75"/>
      <c r="O380" s="75"/>
      <c r="P380" s="75"/>
      <c r="Q380" s="75"/>
      <c r="R380" s="75"/>
      <c r="S380" s="75"/>
      <c r="T380" s="75"/>
      <c r="U380" s="75"/>
      <c r="V380" s="75"/>
    </row>
    <row r="381">
      <c r="F381" s="74"/>
      <c r="H381" s="75"/>
      <c r="I381" s="75"/>
      <c r="J381" s="75"/>
      <c r="K381" s="75"/>
      <c r="L381" s="75"/>
      <c r="M381" s="75"/>
      <c r="N381" s="75"/>
      <c r="O381" s="75"/>
      <c r="P381" s="75"/>
      <c r="Q381" s="75"/>
      <c r="R381" s="75"/>
      <c r="S381" s="75"/>
      <c r="T381" s="75"/>
      <c r="U381" s="75"/>
      <c r="V381" s="75"/>
    </row>
    <row r="382">
      <c r="F382" s="74"/>
      <c r="H382" s="75"/>
      <c r="I382" s="75"/>
      <c r="J382" s="75"/>
      <c r="K382" s="75"/>
      <c r="L382" s="75"/>
      <c r="M382" s="75"/>
      <c r="N382" s="75"/>
      <c r="O382" s="75"/>
      <c r="P382" s="75"/>
      <c r="Q382" s="75"/>
      <c r="R382" s="75"/>
      <c r="S382" s="75"/>
      <c r="T382" s="75"/>
      <c r="U382" s="75"/>
      <c r="V382" s="75"/>
    </row>
    <row r="383">
      <c r="F383" s="74"/>
      <c r="H383" s="75"/>
      <c r="I383" s="75"/>
      <c r="J383" s="75"/>
      <c r="K383" s="75"/>
      <c r="L383" s="75"/>
      <c r="M383" s="75"/>
      <c r="N383" s="75"/>
      <c r="O383" s="75"/>
      <c r="P383" s="75"/>
      <c r="Q383" s="75"/>
      <c r="R383" s="75"/>
      <c r="S383" s="75"/>
      <c r="T383" s="75"/>
      <c r="U383" s="75"/>
      <c r="V383" s="75"/>
    </row>
    <row r="384">
      <c r="F384" s="74"/>
      <c r="H384" s="75"/>
      <c r="I384" s="75"/>
      <c r="J384" s="75"/>
      <c r="K384" s="75"/>
      <c r="L384" s="75"/>
      <c r="M384" s="75"/>
      <c r="N384" s="75"/>
      <c r="O384" s="75"/>
      <c r="P384" s="75"/>
      <c r="Q384" s="75"/>
      <c r="R384" s="75"/>
      <c r="S384" s="75"/>
      <c r="T384" s="75"/>
      <c r="U384" s="75"/>
      <c r="V384" s="75"/>
    </row>
    <row r="385">
      <c r="F385" s="74"/>
      <c r="H385" s="75"/>
      <c r="I385" s="75"/>
      <c r="J385" s="75"/>
      <c r="K385" s="75"/>
      <c r="L385" s="75"/>
      <c r="M385" s="75"/>
      <c r="N385" s="75"/>
      <c r="O385" s="75"/>
      <c r="P385" s="75"/>
      <c r="Q385" s="75"/>
      <c r="R385" s="75"/>
      <c r="S385" s="75"/>
      <c r="T385" s="75"/>
      <c r="U385" s="75"/>
      <c r="V385" s="75"/>
    </row>
    <row r="386">
      <c r="F386" s="74"/>
      <c r="H386" s="75"/>
      <c r="I386" s="75"/>
      <c r="J386" s="75"/>
      <c r="K386" s="75"/>
      <c r="L386" s="75"/>
      <c r="M386" s="75"/>
      <c r="N386" s="75"/>
      <c r="O386" s="75"/>
      <c r="P386" s="75"/>
      <c r="Q386" s="75"/>
      <c r="R386" s="75"/>
      <c r="S386" s="75"/>
      <c r="T386" s="75"/>
      <c r="U386" s="75"/>
      <c r="V386" s="75"/>
    </row>
    <row r="387">
      <c r="F387" s="74"/>
      <c r="H387" s="75"/>
      <c r="I387" s="75"/>
      <c r="J387" s="75"/>
      <c r="K387" s="75"/>
      <c r="L387" s="75"/>
      <c r="M387" s="75"/>
      <c r="N387" s="75"/>
      <c r="O387" s="75"/>
      <c r="P387" s="75"/>
      <c r="Q387" s="75"/>
      <c r="R387" s="75"/>
      <c r="S387" s="75"/>
      <c r="T387" s="75"/>
      <c r="U387" s="75"/>
      <c r="V387" s="75"/>
    </row>
    <row r="388">
      <c r="F388" s="74"/>
      <c r="H388" s="75"/>
      <c r="I388" s="75"/>
      <c r="J388" s="75"/>
      <c r="K388" s="75"/>
      <c r="L388" s="75"/>
      <c r="M388" s="75"/>
      <c r="N388" s="75"/>
      <c r="O388" s="75"/>
      <c r="P388" s="75"/>
      <c r="Q388" s="75"/>
      <c r="R388" s="75"/>
      <c r="S388" s="75"/>
      <c r="T388" s="75"/>
      <c r="U388" s="75"/>
      <c r="V388" s="75"/>
    </row>
    <row r="389">
      <c r="F389" s="74"/>
      <c r="H389" s="75"/>
      <c r="I389" s="75"/>
      <c r="J389" s="75"/>
      <c r="K389" s="75"/>
      <c r="L389" s="75"/>
      <c r="M389" s="75"/>
      <c r="N389" s="75"/>
      <c r="O389" s="75"/>
      <c r="P389" s="75"/>
      <c r="Q389" s="75"/>
      <c r="R389" s="75"/>
      <c r="S389" s="75"/>
      <c r="T389" s="75"/>
      <c r="U389" s="75"/>
      <c r="V389" s="75"/>
    </row>
    <row r="390">
      <c r="F390" s="74"/>
      <c r="H390" s="75"/>
      <c r="I390" s="75"/>
      <c r="J390" s="75"/>
      <c r="K390" s="75"/>
      <c r="L390" s="75"/>
      <c r="M390" s="75"/>
      <c r="N390" s="75"/>
      <c r="O390" s="75"/>
      <c r="P390" s="75"/>
      <c r="Q390" s="75"/>
      <c r="R390" s="75"/>
      <c r="S390" s="75"/>
      <c r="T390" s="75"/>
      <c r="U390" s="75"/>
      <c r="V390" s="75"/>
    </row>
    <row r="391">
      <c r="F391" s="74"/>
      <c r="H391" s="75"/>
      <c r="I391" s="75"/>
      <c r="J391" s="75"/>
      <c r="K391" s="75"/>
      <c r="L391" s="75"/>
      <c r="M391" s="75"/>
      <c r="N391" s="75"/>
      <c r="O391" s="75"/>
      <c r="P391" s="75"/>
      <c r="Q391" s="75"/>
      <c r="R391" s="75"/>
      <c r="S391" s="75"/>
      <c r="T391" s="75"/>
      <c r="U391" s="75"/>
      <c r="V391" s="75"/>
    </row>
    <row r="392">
      <c r="F392" s="74"/>
      <c r="H392" s="75"/>
      <c r="I392" s="75"/>
      <c r="J392" s="75"/>
      <c r="K392" s="75"/>
      <c r="L392" s="75"/>
      <c r="M392" s="75"/>
      <c r="N392" s="75"/>
      <c r="O392" s="75"/>
      <c r="P392" s="75"/>
      <c r="Q392" s="75"/>
      <c r="R392" s="75"/>
      <c r="S392" s="75"/>
      <c r="T392" s="75"/>
      <c r="U392" s="75"/>
      <c r="V392" s="75"/>
    </row>
    <row r="393">
      <c r="F393" s="74"/>
      <c r="H393" s="75"/>
      <c r="I393" s="75"/>
      <c r="J393" s="75"/>
      <c r="K393" s="75"/>
      <c r="L393" s="75"/>
      <c r="M393" s="75"/>
      <c r="N393" s="75"/>
      <c r="O393" s="75"/>
      <c r="P393" s="75"/>
      <c r="Q393" s="75"/>
      <c r="R393" s="75"/>
      <c r="S393" s="75"/>
      <c r="T393" s="75"/>
      <c r="U393" s="75"/>
      <c r="V393" s="75"/>
    </row>
    <row r="394">
      <c r="F394" s="74"/>
      <c r="H394" s="75"/>
      <c r="I394" s="75"/>
      <c r="J394" s="75"/>
      <c r="K394" s="75"/>
      <c r="L394" s="75"/>
      <c r="M394" s="75"/>
      <c r="N394" s="75"/>
      <c r="O394" s="75"/>
      <c r="P394" s="75"/>
      <c r="Q394" s="75"/>
      <c r="R394" s="75"/>
      <c r="S394" s="75"/>
      <c r="T394" s="75"/>
      <c r="U394" s="75"/>
      <c r="V394" s="75"/>
    </row>
    <row r="395">
      <c r="F395" s="74"/>
      <c r="H395" s="75"/>
      <c r="I395" s="75"/>
      <c r="J395" s="75"/>
      <c r="K395" s="75"/>
      <c r="L395" s="75"/>
      <c r="M395" s="75"/>
      <c r="N395" s="75"/>
      <c r="O395" s="75"/>
      <c r="P395" s="75"/>
      <c r="Q395" s="75"/>
      <c r="R395" s="75"/>
      <c r="S395" s="75"/>
      <c r="T395" s="75"/>
      <c r="U395" s="75"/>
      <c r="V395" s="75"/>
    </row>
    <row r="396">
      <c r="F396" s="74"/>
      <c r="H396" s="75"/>
      <c r="I396" s="75"/>
      <c r="J396" s="75"/>
      <c r="K396" s="75"/>
      <c r="L396" s="75"/>
      <c r="M396" s="75"/>
      <c r="N396" s="75"/>
      <c r="O396" s="75"/>
      <c r="P396" s="75"/>
      <c r="Q396" s="75"/>
      <c r="R396" s="75"/>
      <c r="S396" s="75"/>
      <c r="T396" s="75"/>
      <c r="U396" s="75"/>
      <c r="V396" s="75"/>
    </row>
    <row r="397">
      <c r="F397" s="74"/>
      <c r="H397" s="75"/>
      <c r="I397" s="75"/>
      <c r="J397" s="75"/>
      <c r="K397" s="75"/>
      <c r="L397" s="75"/>
      <c r="M397" s="75"/>
      <c r="N397" s="75"/>
      <c r="O397" s="75"/>
      <c r="P397" s="75"/>
      <c r="Q397" s="75"/>
      <c r="R397" s="75"/>
      <c r="S397" s="75"/>
      <c r="T397" s="75"/>
      <c r="U397" s="75"/>
      <c r="V397" s="75"/>
    </row>
    <row r="398">
      <c r="F398" s="74"/>
      <c r="H398" s="75"/>
      <c r="I398" s="75"/>
      <c r="J398" s="75"/>
      <c r="K398" s="75"/>
      <c r="L398" s="75"/>
      <c r="M398" s="75"/>
      <c r="N398" s="75"/>
      <c r="O398" s="75"/>
      <c r="P398" s="75"/>
      <c r="Q398" s="75"/>
      <c r="R398" s="75"/>
      <c r="S398" s="75"/>
      <c r="T398" s="75"/>
      <c r="U398" s="75"/>
      <c r="V398" s="75"/>
    </row>
    <row r="399">
      <c r="F399" s="74"/>
      <c r="H399" s="75"/>
      <c r="I399" s="75"/>
      <c r="J399" s="75"/>
      <c r="K399" s="75"/>
      <c r="L399" s="75"/>
      <c r="M399" s="75"/>
      <c r="N399" s="75"/>
      <c r="O399" s="75"/>
      <c r="P399" s="75"/>
      <c r="Q399" s="75"/>
      <c r="R399" s="75"/>
      <c r="S399" s="75"/>
      <c r="T399" s="75"/>
      <c r="U399" s="75"/>
      <c r="V399" s="75"/>
    </row>
    <row r="400">
      <c r="F400" s="74"/>
      <c r="H400" s="75"/>
      <c r="I400" s="75"/>
      <c r="J400" s="75"/>
      <c r="K400" s="75"/>
      <c r="L400" s="75"/>
      <c r="M400" s="75"/>
      <c r="N400" s="75"/>
      <c r="O400" s="75"/>
      <c r="P400" s="75"/>
      <c r="Q400" s="75"/>
      <c r="R400" s="75"/>
      <c r="S400" s="75"/>
      <c r="T400" s="75"/>
      <c r="U400" s="75"/>
      <c r="V400" s="75"/>
    </row>
    <row r="401">
      <c r="F401" s="74"/>
      <c r="H401" s="75"/>
      <c r="I401" s="75"/>
      <c r="J401" s="75"/>
      <c r="K401" s="75"/>
      <c r="L401" s="75"/>
      <c r="M401" s="75"/>
      <c r="N401" s="75"/>
      <c r="O401" s="75"/>
      <c r="P401" s="75"/>
      <c r="Q401" s="75"/>
      <c r="R401" s="75"/>
      <c r="S401" s="75"/>
      <c r="T401" s="75"/>
      <c r="U401" s="75"/>
      <c r="V401" s="75"/>
    </row>
    <row r="402">
      <c r="F402" s="74"/>
      <c r="H402" s="75"/>
      <c r="I402" s="75"/>
      <c r="J402" s="75"/>
      <c r="K402" s="75"/>
      <c r="L402" s="75"/>
      <c r="M402" s="75"/>
      <c r="N402" s="75"/>
      <c r="O402" s="75"/>
      <c r="P402" s="75"/>
      <c r="Q402" s="75"/>
      <c r="R402" s="75"/>
      <c r="S402" s="75"/>
      <c r="T402" s="75"/>
      <c r="U402" s="75"/>
      <c r="V402" s="75"/>
    </row>
    <row r="403">
      <c r="F403" s="74"/>
      <c r="H403" s="75"/>
      <c r="I403" s="75"/>
      <c r="J403" s="75"/>
      <c r="K403" s="75"/>
      <c r="L403" s="75"/>
      <c r="M403" s="75"/>
      <c r="N403" s="75"/>
      <c r="O403" s="75"/>
      <c r="P403" s="75"/>
      <c r="Q403" s="75"/>
      <c r="R403" s="75"/>
      <c r="S403" s="75"/>
      <c r="T403" s="75"/>
      <c r="U403" s="75"/>
      <c r="V403" s="75"/>
    </row>
    <row r="404">
      <c r="F404" s="74"/>
      <c r="H404" s="75"/>
      <c r="I404" s="75"/>
      <c r="J404" s="75"/>
      <c r="K404" s="75"/>
      <c r="L404" s="75"/>
      <c r="M404" s="75"/>
      <c r="N404" s="75"/>
      <c r="O404" s="75"/>
      <c r="P404" s="75"/>
      <c r="Q404" s="75"/>
      <c r="R404" s="75"/>
      <c r="S404" s="75"/>
      <c r="T404" s="75"/>
      <c r="U404" s="75"/>
      <c r="V404" s="75"/>
    </row>
    <row r="405">
      <c r="F405" s="74"/>
      <c r="H405" s="75"/>
      <c r="I405" s="75"/>
      <c r="J405" s="75"/>
      <c r="K405" s="75"/>
      <c r="L405" s="75"/>
      <c r="M405" s="75"/>
      <c r="N405" s="75"/>
      <c r="O405" s="75"/>
      <c r="P405" s="75"/>
      <c r="Q405" s="75"/>
      <c r="R405" s="75"/>
      <c r="S405" s="75"/>
      <c r="T405" s="75"/>
      <c r="U405" s="75"/>
      <c r="V405" s="75"/>
    </row>
    <row r="406">
      <c r="F406" s="74"/>
      <c r="H406" s="75"/>
      <c r="I406" s="75"/>
      <c r="J406" s="75"/>
      <c r="K406" s="75"/>
      <c r="L406" s="75"/>
      <c r="M406" s="75"/>
      <c r="N406" s="75"/>
      <c r="O406" s="75"/>
      <c r="P406" s="75"/>
      <c r="Q406" s="75"/>
      <c r="R406" s="75"/>
      <c r="S406" s="75"/>
      <c r="T406" s="75"/>
      <c r="U406" s="75"/>
      <c r="V406" s="75"/>
    </row>
    <row r="407">
      <c r="F407" s="74"/>
      <c r="H407" s="75"/>
      <c r="I407" s="75"/>
      <c r="J407" s="75"/>
      <c r="K407" s="75"/>
      <c r="L407" s="75"/>
      <c r="M407" s="75"/>
      <c r="N407" s="75"/>
      <c r="O407" s="75"/>
      <c r="P407" s="75"/>
      <c r="Q407" s="75"/>
      <c r="R407" s="75"/>
      <c r="S407" s="75"/>
      <c r="T407" s="75"/>
      <c r="U407" s="75"/>
      <c r="V407" s="75"/>
    </row>
    <row r="408">
      <c r="F408" s="74"/>
      <c r="H408" s="75"/>
      <c r="I408" s="75"/>
      <c r="J408" s="75"/>
      <c r="K408" s="75"/>
      <c r="L408" s="75"/>
      <c r="M408" s="75"/>
      <c r="N408" s="75"/>
      <c r="O408" s="75"/>
      <c r="P408" s="75"/>
      <c r="Q408" s="75"/>
      <c r="R408" s="75"/>
      <c r="S408" s="75"/>
      <c r="T408" s="75"/>
      <c r="U408" s="75"/>
      <c r="V408" s="75"/>
    </row>
    <row r="409">
      <c r="F409" s="74"/>
      <c r="H409" s="75"/>
      <c r="I409" s="75"/>
      <c r="J409" s="75"/>
      <c r="K409" s="75"/>
      <c r="L409" s="75"/>
      <c r="M409" s="75"/>
      <c r="N409" s="75"/>
      <c r="O409" s="75"/>
      <c r="P409" s="75"/>
      <c r="Q409" s="75"/>
      <c r="R409" s="75"/>
      <c r="S409" s="75"/>
      <c r="T409" s="75"/>
      <c r="U409" s="75"/>
      <c r="V409" s="75"/>
    </row>
    <row r="410">
      <c r="F410" s="74"/>
      <c r="H410" s="75"/>
      <c r="I410" s="75"/>
      <c r="J410" s="75"/>
      <c r="K410" s="75"/>
      <c r="L410" s="75"/>
      <c r="M410" s="75"/>
      <c r="N410" s="75"/>
      <c r="O410" s="75"/>
      <c r="P410" s="75"/>
      <c r="Q410" s="75"/>
      <c r="R410" s="75"/>
      <c r="S410" s="75"/>
      <c r="T410" s="75"/>
      <c r="U410" s="75"/>
      <c r="V410" s="75"/>
    </row>
    <row r="411">
      <c r="F411" s="74"/>
      <c r="H411" s="75"/>
      <c r="I411" s="75"/>
      <c r="J411" s="75"/>
      <c r="K411" s="75"/>
      <c r="L411" s="75"/>
      <c r="M411" s="75"/>
      <c r="N411" s="75"/>
      <c r="O411" s="75"/>
      <c r="P411" s="75"/>
      <c r="Q411" s="75"/>
      <c r="R411" s="75"/>
      <c r="S411" s="75"/>
      <c r="T411" s="75"/>
      <c r="U411" s="75"/>
      <c r="V411" s="75"/>
    </row>
    <row r="412">
      <c r="F412" s="74"/>
      <c r="H412" s="75"/>
      <c r="I412" s="75"/>
      <c r="J412" s="75"/>
      <c r="K412" s="75"/>
      <c r="L412" s="75"/>
      <c r="M412" s="75"/>
      <c r="N412" s="75"/>
      <c r="O412" s="75"/>
      <c r="P412" s="75"/>
      <c r="Q412" s="75"/>
      <c r="R412" s="75"/>
      <c r="S412" s="75"/>
      <c r="T412" s="75"/>
      <c r="U412" s="75"/>
      <c r="V412" s="75"/>
    </row>
    <row r="413">
      <c r="F413" s="74"/>
      <c r="H413" s="75"/>
      <c r="I413" s="75"/>
      <c r="J413" s="75"/>
      <c r="K413" s="75"/>
      <c r="L413" s="75"/>
      <c r="M413" s="75"/>
      <c r="N413" s="75"/>
      <c r="O413" s="75"/>
      <c r="P413" s="75"/>
      <c r="Q413" s="75"/>
      <c r="R413" s="75"/>
      <c r="S413" s="75"/>
      <c r="T413" s="75"/>
      <c r="U413" s="75"/>
      <c r="V413" s="75"/>
    </row>
    <row r="414">
      <c r="F414" s="74"/>
      <c r="H414" s="75"/>
      <c r="I414" s="75"/>
      <c r="J414" s="75"/>
      <c r="K414" s="75"/>
      <c r="L414" s="75"/>
      <c r="M414" s="75"/>
      <c r="N414" s="75"/>
      <c r="O414" s="75"/>
      <c r="P414" s="75"/>
      <c r="Q414" s="75"/>
      <c r="R414" s="75"/>
      <c r="S414" s="75"/>
      <c r="T414" s="75"/>
      <c r="U414" s="75"/>
      <c r="V414" s="75"/>
    </row>
    <row r="415">
      <c r="F415" s="74"/>
      <c r="H415" s="75"/>
      <c r="I415" s="75"/>
      <c r="J415" s="75"/>
      <c r="K415" s="75"/>
      <c r="L415" s="75"/>
      <c r="M415" s="75"/>
      <c r="N415" s="75"/>
      <c r="O415" s="75"/>
      <c r="P415" s="75"/>
      <c r="Q415" s="75"/>
      <c r="R415" s="75"/>
      <c r="S415" s="75"/>
      <c r="T415" s="75"/>
      <c r="U415" s="75"/>
      <c r="V415" s="75"/>
    </row>
    <row r="416">
      <c r="F416" s="74"/>
      <c r="H416" s="75"/>
      <c r="I416" s="75"/>
      <c r="J416" s="75"/>
      <c r="K416" s="75"/>
      <c r="L416" s="75"/>
      <c r="M416" s="75"/>
      <c r="N416" s="75"/>
      <c r="O416" s="75"/>
      <c r="P416" s="75"/>
      <c r="Q416" s="75"/>
      <c r="R416" s="75"/>
      <c r="S416" s="75"/>
      <c r="T416" s="75"/>
      <c r="U416" s="75"/>
      <c r="V416" s="75"/>
    </row>
    <row r="417">
      <c r="F417" s="74"/>
      <c r="H417" s="75"/>
      <c r="I417" s="75"/>
      <c r="J417" s="75"/>
      <c r="K417" s="75"/>
      <c r="L417" s="75"/>
      <c r="M417" s="75"/>
      <c r="N417" s="75"/>
      <c r="O417" s="75"/>
      <c r="P417" s="75"/>
      <c r="Q417" s="75"/>
      <c r="R417" s="75"/>
      <c r="S417" s="75"/>
      <c r="T417" s="75"/>
      <c r="U417" s="75"/>
      <c r="V417" s="75"/>
    </row>
    <row r="418">
      <c r="F418" s="74"/>
      <c r="H418" s="75"/>
      <c r="I418" s="75"/>
      <c r="J418" s="75"/>
      <c r="K418" s="75"/>
      <c r="L418" s="75"/>
      <c r="M418" s="75"/>
      <c r="N418" s="75"/>
      <c r="O418" s="75"/>
      <c r="P418" s="75"/>
      <c r="Q418" s="75"/>
      <c r="R418" s="75"/>
      <c r="S418" s="75"/>
      <c r="T418" s="75"/>
      <c r="U418" s="75"/>
      <c r="V418" s="75"/>
    </row>
    <row r="419">
      <c r="F419" s="74"/>
      <c r="H419" s="75"/>
      <c r="I419" s="75"/>
      <c r="J419" s="75"/>
      <c r="K419" s="75"/>
      <c r="L419" s="75"/>
      <c r="M419" s="75"/>
      <c r="N419" s="75"/>
      <c r="O419" s="75"/>
      <c r="P419" s="75"/>
      <c r="Q419" s="75"/>
      <c r="R419" s="75"/>
      <c r="S419" s="75"/>
      <c r="T419" s="75"/>
      <c r="U419" s="75"/>
      <c r="V419" s="75"/>
    </row>
    <row r="420">
      <c r="F420" s="74"/>
      <c r="H420" s="75"/>
      <c r="I420" s="75"/>
      <c r="J420" s="75"/>
      <c r="K420" s="75"/>
      <c r="L420" s="75"/>
      <c r="M420" s="75"/>
      <c r="N420" s="75"/>
      <c r="O420" s="75"/>
      <c r="P420" s="75"/>
      <c r="Q420" s="75"/>
      <c r="R420" s="75"/>
      <c r="S420" s="75"/>
      <c r="T420" s="75"/>
      <c r="U420" s="75"/>
      <c r="V420" s="75"/>
    </row>
    <row r="421">
      <c r="F421" s="74"/>
      <c r="H421" s="75"/>
      <c r="I421" s="75"/>
      <c r="J421" s="75"/>
      <c r="K421" s="75"/>
      <c r="L421" s="75"/>
      <c r="M421" s="75"/>
      <c r="N421" s="75"/>
      <c r="O421" s="75"/>
      <c r="P421" s="75"/>
      <c r="Q421" s="75"/>
      <c r="R421" s="75"/>
      <c r="S421" s="75"/>
      <c r="T421" s="75"/>
      <c r="U421" s="75"/>
      <c r="V421" s="75"/>
    </row>
    <row r="422">
      <c r="F422" s="74"/>
      <c r="H422" s="75"/>
      <c r="I422" s="75"/>
      <c r="J422" s="75"/>
      <c r="K422" s="75"/>
      <c r="L422" s="75"/>
      <c r="M422" s="75"/>
      <c r="N422" s="75"/>
      <c r="O422" s="75"/>
      <c r="P422" s="75"/>
      <c r="Q422" s="75"/>
      <c r="R422" s="75"/>
      <c r="S422" s="75"/>
      <c r="T422" s="75"/>
      <c r="U422" s="75"/>
      <c r="V422" s="75"/>
    </row>
    <row r="423">
      <c r="F423" s="74"/>
      <c r="H423" s="75"/>
      <c r="I423" s="75"/>
      <c r="J423" s="75"/>
      <c r="K423" s="75"/>
      <c r="L423" s="75"/>
      <c r="M423" s="75"/>
      <c r="N423" s="75"/>
      <c r="O423" s="75"/>
      <c r="P423" s="75"/>
      <c r="Q423" s="75"/>
      <c r="R423" s="75"/>
      <c r="S423" s="75"/>
      <c r="T423" s="75"/>
      <c r="U423" s="75"/>
      <c r="V423" s="75"/>
    </row>
    <row r="424">
      <c r="F424" s="74"/>
      <c r="H424" s="75"/>
      <c r="I424" s="75"/>
      <c r="J424" s="75"/>
      <c r="K424" s="75"/>
      <c r="L424" s="75"/>
      <c r="M424" s="75"/>
      <c r="N424" s="75"/>
      <c r="O424" s="75"/>
      <c r="P424" s="75"/>
      <c r="Q424" s="75"/>
      <c r="R424" s="75"/>
      <c r="S424" s="75"/>
      <c r="T424" s="75"/>
      <c r="U424" s="75"/>
      <c r="V424" s="75"/>
    </row>
    <row r="425">
      <c r="F425" s="74"/>
      <c r="H425" s="75"/>
      <c r="I425" s="75"/>
      <c r="J425" s="75"/>
      <c r="K425" s="75"/>
      <c r="L425" s="75"/>
      <c r="M425" s="75"/>
      <c r="N425" s="75"/>
      <c r="O425" s="75"/>
      <c r="P425" s="75"/>
      <c r="Q425" s="75"/>
      <c r="R425" s="75"/>
      <c r="S425" s="75"/>
      <c r="T425" s="75"/>
      <c r="U425" s="75"/>
      <c r="V425" s="75"/>
    </row>
    <row r="426">
      <c r="F426" s="74"/>
      <c r="H426" s="75"/>
      <c r="I426" s="75"/>
      <c r="J426" s="75"/>
      <c r="K426" s="75"/>
      <c r="L426" s="75"/>
      <c r="M426" s="75"/>
      <c r="N426" s="75"/>
      <c r="O426" s="75"/>
      <c r="P426" s="75"/>
      <c r="Q426" s="75"/>
      <c r="R426" s="75"/>
      <c r="S426" s="75"/>
      <c r="T426" s="75"/>
      <c r="U426" s="75"/>
      <c r="V426" s="75"/>
    </row>
    <row r="427">
      <c r="F427" s="74"/>
      <c r="H427" s="75"/>
      <c r="I427" s="75"/>
      <c r="J427" s="75"/>
      <c r="K427" s="75"/>
      <c r="L427" s="75"/>
      <c r="M427" s="75"/>
      <c r="N427" s="75"/>
      <c r="O427" s="75"/>
      <c r="P427" s="75"/>
      <c r="Q427" s="75"/>
      <c r="R427" s="75"/>
      <c r="S427" s="75"/>
      <c r="T427" s="75"/>
      <c r="U427" s="75"/>
      <c r="V427" s="75"/>
    </row>
    <row r="428">
      <c r="F428" s="74"/>
      <c r="H428" s="75"/>
      <c r="I428" s="75"/>
      <c r="J428" s="75"/>
      <c r="K428" s="75"/>
      <c r="L428" s="75"/>
      <c r="M428" s="75"/>
      <c r="N428" s="75"/>
      <c r="O428" s="75"/>
      <c r="P428" s="75"/>
      <c r="Q428" s="75"/>
      <c r="R428" s="75"/>
      <c r="S428" s="75"/>
      <c r="T428" s="75"/>
      <c r="U428" s="75"/>
      <c r="V428" s="75"/>
    </row>
    <row r="429">
      <c r="F429" s="74"/>
      <c r="H429" s="75"/>
      <c r="I429" s="75"/>
      <c r="J429" s="75"/>
      <c r="K429" s="75"/>
      <c r="L429" s="75"/>
      <c r="M429" s="75"/>
      <c r="N429" s="75"/>
      <c r="O429" s="75"/>
      <c r="P429" s="75"/>
      <c r="Q429" s="75"/>
      <c r="R429" s="75"/>
      <c r="S429" s="75"/>
      <c r="T429" s="75"/>
      <c r="U429" s="75"/>
      <c r="V429" s="75"/>
    </row>
    <row r="430">
      <c r="F430" s="74"/>
      <c r="H430" s="75"/>
      <c r="I430" s="75"/>
      <c r="J430" s="75"/>
      <c r="K430" s="75"/>
      <c r="L430" s="75"/>
      <c r="M430" s="75"/>
      <c r="N430" s="75"/>
      <c r="O430" s="75"/>
      <c r="P430" s="75"/>
      <c r="Q430" s="75"/>
      <c r="R430" s="75"/>
      <c r="S430" s="75"/>
      <c r="T430" s="75"/>
      <c r="U430" s="75"/>
      <c r="V430" s="75"/>
    </row>
    <row r="431">
      <c r="F431" s="74"/>
      <c r="H431" s="75"/>
      <c r="I431" s="75"/>
      <c r="J431" s="75"/>
      <c r="K431" s="75"/>
      <c r="L431" s="75"/>
      <c r="M431" s="75"/>
      <c r="N431" s="75"/>
      <c r="O431" s="75"/>
      <c r="P431" s="75"/>
      <c r="Q431" s="75"/>
      <c r="R431" s="75"/>
      <c r="S431" s="75"/>
      <c r="T431" s="75"/>
      <c r="U431" s="75"/>
      <c r="V431" s="75"/>
    </row>
    <row r="432">
      <c r="F432" s="74"/>
      <c r="H432" s="75"/>
      <c r="I432" s="75"/>
      <c r="J432" s="75"/>
      <c r="K432" s="75"/>
      <c r="L432" s="75"/>
      <c r="M432" s="75"/>
      <c r="N432" s="75"/>
      <c r="O432" s="75"/>
      <c r="P432" s="75"/>
      <c r="Q432" s="75"/>
      <c r="R432" s="75"/>
      <c r="S432" s="75"/>
      <c r="T432" s="75"/>
      <c r="U432" s="75"/>
      <c r="V432" s="75"/>
    </row>
    <row r="433">
      <c r="F433" s="74"/>
      <c r="H433" s="75"/>
      <c r="I433" s="75"/>
      <c r="J433" s="75"/>
      <c r="K433" s="75"/>
      <c r="L433" s="75"/>
      <c r="M433" s="75"/>
      <c r="N433" s="75"/>
      <c r="O433" s="75"/>
      <c r="P433" s="75"/>
      <c r="Q433" s="75"/>
      <c r="R433" s="75"/>
      <c r="S433" s="75"/>
      <c r="T433" s="75"/>
      <c r="U433" s="75"/>
      <c r="V433" s="75"/>
    </row>
    <row r="434">
      <c r="F434" s="74"/>
      <c r="H434" s="75"/>
      <c r="I434" s="75"/>
      <c r="J434" s="75"/>
      <c r="K434" s="75"/>
      <c r="L434" s="75"/>
      <c r="M434" s="75"/>
      <c r="N434" s="75"/>
      <c r="O434" s="75"/>
      <c r="P434" s="75"/>
      <c r="Q434" s="75"/>
      <c r="R434" s="75"/>
      <c r="S434" s="75"/>
      <c r="T434" s="75"/>
      <c r="U434" s="75"/>
      <c r="V434" s="75"/>
    </row>
    <row r="435">
      <c r="F435" s="74"/>
      <c r="H435" s="75"/>
      <c r="I435" s="75"/>
      <c r="J435" s="75"/>
      <c r="K435" s="75"/>
      <c r="L435" s="75"/>
      <c r="M435" s="75"/>
      <c r="N435" s="75"/>
      <c r="O435" s="75"/>
      <c r="P435" s="75"/>
      <c r="Q435" s="75"/>
      <c r="R435" s="75"/>
      <c r="S435" s="75"/>
      <c r="T435" s="75"/>
      <c r="U435" s="75"/>
      <c r="V435" s="75"/>
    </row>
    <row r="436">
      <c r="F436" s="74"/>
      <c r="H436" s="75"/>
      <c r="I436" s="75"/>
      <c r="J436" s="75"/>
      <c r="K436" s="75"/>
      <c r="L436" s="75"/>
      <c r="M436" s="75"/>
      <c r="N436" s="75"/>
      <c r="O436" s="75"/>
      <c r="P436" s="75"/>
      <c r="Q436" s="75"/>
      <c r="R436" s="75"/>
      <c r="S436" s="75"/>
      <c r="T436" s="75"/>
      <c r="U436" s="75"/>
      <c r="V436" s="75"/>
    </row>
    <row r="437">
      <c r="F437" s="74"/>
      <c r="H437" s="75"/>
      <c r="I437" s="75"/>
      <c r="J437" s="75"/>
      <c r="K437" s="75"/>
      <c r="L437" s="75"/>
      <c r="M437" s="75"/>
      <c r="N437" s="75"/>
      <c r="O437" s="75"/>
      <c r="P437" s="75"/>
      <c r="Q437" s="75"/>
      <c r="R437" s="75"/>
      <c r="S437" s="75"/>
      <c r="T437" s="75"/>
      <c r="U437" s="75"/>
      <c r="V437" s="75"/>
    </row>
    <row r="438">
      <c r="F438" s="74"/>
      <c r="H438" s="75"/>
      <c r="I438" s="75"/>
      <c r="J438" s="75"/>
      <c r="K438" s="75"/>
      <c r="L438" s="75"/>
      <c r="M438" s="75"/>
      <c r="N438" s="75"/>
      <c r="O438" s="75"/>
      <c r="P438" s="75"/>
      <c r="Q438" s="75"/>
      <c r="R438" s="75"/>
      <c r="S438" s="75"/>
      <c r="T438" s="75"/>
      <c r="U438" s="75"/>
      <c r="V438" s="75"/>
    </row>
    <row r="439">
      <c r="F439" s="74"/>
      <c r="H439" s="75"/>
      <c r="I439" s="75"/>
      <c r="J439" s="75"/>
      <c r="K439" s="75"/>
      <c r="L439" s="75"/>
      <c r="M439" s="75"/>
      <c r="N439" s="75"/>
      <c r="O439" s="75"/>
      <c r="P439" s="75"/>
      <c r="Q439" s="75"/>
      <c r="R439" s="75"/>
      <c r="S439" s="75"/>
      <c r="T439" s="75"/>
      <c r="U439" s="75"/>
      <c r="V439" s="75"/>
    </row>
    <row r="440">
      <c r="F440" s="74"/>
      <c r="H440" s="75"/>
      <c r="I440" s="75"/>
      <c r="J440" s="75"/>
      <c r="K440" s="75"/>
      <c r="L440" s="75"/>
      <c r="M440" s="75"/>
      <c r="N440" s="75"/>
      <c r="O440" s="75"/>
      <c r="P440" s="75"/>
      <c r="Q440" s="75"/>
      <c r="R440" s="75"/>
      <c r="S440" s="75"/>
      <c r="T440" s="75"/>
      <c r="U440" s="75"/>
      <c r="V440" s="75"/>
    </row>
    <row r="441">
      <c r="F441" s="74"/>
      <c r="H441" s="75"/>
      <c r="I441" s="75"/>
      <c r="J441" s="75"/>
      <c r="K441" s="75"/>
      <c r="L441" s="75"/>
      <c r="M441" s="75"/>
      <c r="N441" s="75"/>
      <c r="O441" s="75"/>
      <c r="P441" s="75"/>
      <c r="Q441" s="75"/>
      <c r="R441" s="75"/>
      <c r="S441" s="75"/>
      <c r="T441" s="75"/>
      <c r="U441" s="75"/>
      <c r="V441" s="75"/>
    </row>
    <row r="442">
      <c r="F442" s="74"/>
      <c r="H442" s="75"/>
      <c r="I442" s="75"/>
      <c r="J442" s="75"/>
      <c r="K442" s="75"/>
      <c r="L442" s="75"/>
      <c r="M442" s="75"/>
      <c r="N442" s="75"/>
      <c r="O442" s="75"/>
      <c r="P442" s="75"/>
      <c r="Q442" s="75"/>
      <c r="R442" s="75"/>
      <c r="S442" s="75"/>
      <c r="T442" s="75"/>
      <c r="U442" s="75"/>
      <c r="V442" s="75"/>
    </row>
    <row r="443">
      <c r="F443" s="74"/>
      <c r="H443" s="75"/>
      <c r="I443" s="75"/>
      <c r="J443" s="75"/>
      <c r="K443" s="75"/>
      <c r="L443" s="75"/>
      <c r="M443" s="75"/>
      <c r="N443" s="75"/>
      <c r="O443" s="75"/>
      <c r="P443" s="75"/>
      <c r="Q443" s="75"/>
      <c r="R443" s="75"/>
      <c r="S443" s="75"/>
      <c r="T443" s="75"/>
      <c r="U443" s="75"/>
      <c r="V443" s="75"/>
    </row>
    <row r="444">
      <c r="F444" s="74"/>
      <c r="H444" s="75"/>
      <c r="I444" s="75"/>
      <c r="J444" s="75"/>
      <c r="K444" s="75"/>
      <c r="L444" s="75"/>
      <c r="M444" s="75"/>
      <c r="N444" s="75"/>
      <c r="O444" s="75"/>
      <c r="P444" s="75"/>
      <c r="Q444" s="75"/>
      <c r="R444" s="75"/>
      <c r="S444" s="75"/>
      <c r="T444" s="75"/>
      <c r="U444" s="75"/>
      <c r="V444" s="75"/>
    </row>
    <row r="445">
      <c r="F445" s="74"/>
      <c r="H445" s="75"/>
      <c r="I445" s="75"/>
      <c r="J445" s="75"/>
      <c r="K445" s="75"/>
      <c r="L445" s="75"/>
      <c r="M445" s="75"/>
      <c r="N445" s="75"/>
      <c r="O445" s="75"/>
      <c r="P445" s="75"/>
      <c r="Q445" s="75"/>
      <c r="R445" s="75"/>
      <c r="S445" s="75"/>
      <c r="T445" s="75"/>
      <c r="U445" s="75"/>
      <c r="V445" s="75"/>
    </row>
    <row r="446">
      <c r="F446" s="74"/>
      <c r="H446" s="75"/>
      <c r="I446" s="75"/>
      <c r="J446" s="75"/>
      <c r="K446" s="75"/>
      <c r="L446" s="75"/>
      <c r="M446" s="75"/>
      <c r="N446" s="75"/>
      <c r="O446" s="75"/>
      <c r="P446" s="75"/>
      <c r="Q446" s="75"/>
      <c r="R446" s="75"/>
      <c r="S446" s="75"/>
      <c r="T446" s="75"/>
      <c r="U446" s="75"/>
      <c r="V446" s="75"/>
    </row>
    <row r="447">
      <c r="F447" s="74"/>
      <c r="H447" s="75"/>
      <c r="I447" s="75"/>
      <c r="J447" s="75"/>
      <c r="K447" s="75"/>
      <c r="L447" s="75"/>
      <c r="M447" s="75"/>
      <c r="N447" s="75"/>
      <c r="O447" s="75"/>
      <c r="P447" s="75"/>
      <c r="Q447" s="75"/>
      <c r="R447" s="75"/>
      <c r="S447" s="75"/>
      <c r="T447" s="75"/>
      <c r="U447" s="75"/>
      <c r="V447" s="75"/>
    </row>
    <row r="448">
      <c r="F448" s="74"/>
      <c r="H448" s="75"/>
      <c r="I448" s="75"/>
      <c r="J448" s="75"/>
      <c r="K448" s="75"/>
      <c r="L448" s="75"/>
      <c r="M448" s="75"/>
      <c r="N448" s="75"/>
      <c r="O448" s="75"/>
      <c r="P448" s="75"/>
      <c r="Q448" s="75"/>
      <c r="R448" s="75"/>
      <c r="S448" s="75"/>
      <c r="T448" s="75"/>
      <c r="U448" s="75"/>
      <c r="V448" s="75"/>
    </row>
    <row r="449">
      <c r="F449" s="74"/>
      <c r="H449" s="75"/>
      <c r="I449" s="75"/>
      <c r="J449" s="75"/>
      <c r="K449" s="75"/>
      <c r="L449" s="75"/>
      <c r="M449" s="75"/>
      <c r="N449" s="75"/>
      <c r="O449" s="75"/>
      <c r="P449" s="75"/>
      <c r="Q449" s="75"/>
      <c r="R449" s="75"/>
      <c r="S449" s="75"/>
      <c r="T449" s="75"/>
      <c r="U449" s="75"/>
      <c r="V449" s="75"/>
    </row>
    <row r="450">
      <c r="F450" s="74"/>
      <c r="H450" s="75"/>
      <c r="I450" s="75"/>
      <c r="J450" s="75"/>
      <c r="K450" s="75"/>
      <c r="L450" s="75"/>
      <c r="M450" s="75"/>
      <c r="N450" s="75"/>
      <c r="O450" s="75"/>
      <c r="P450" s="75"/>
      <c r="Q450" s="75"/>
      <c r="R450" s="75"/>
      <c r="S450" s="75"/>
      <c r="T450" s="75"/>
      <c r="U450" s="75"/>
      <c r="V450" s="75"/>
    </row>
    <row r="451">
      <c r="F451" s="74"/>
      <c r="H451" s="75"/>
      <c r="I451" s="75"/>
      <c r="J451" s="75"/>
      <c r="K451" s="75"/>
      <c r="L451" s="75"/>
      <c r="M451" s="75"/>
      <c r="N451" s="75"/>
      <c r="O451" s="75"/>
      <c r="P451" s="75"/>
      <c r="Q451" s="75"/>
      <c r="R451" s="75"/>
      <c r="S451" s="75"/>
      <c r="T451" s="75"/>
      <c r="U451" s="75"/>
      <c r="V451" s="75"/>
    </row>
    <row r="452">
      <c r="F452" s="74"/>
      <c r="H452" s="75"/>
      <c r="I452" s="75"/>
      <c r="J452" s="75"/>
      <c r="K452" s="75"/>
      <c r="L452" s="75"/>
      <c r="M452" s="75"/>
      <c r="N452" s="75"/>
      <c r="O452" s="75"/>
      <c r="P452" s="75"/>
      <c r="Q452" s="75"/>
      <c r="R452" s="75"/>
      <c r="S452" s="75"/>
      <c r="T452" s="75"/>
      <c r="U452" s="75"/>
      <c r="V452" s="75"/>
    </row>
    <row r="453">
      <c r="F453" s="74"/>
      <c r="H453" s="75"/>
      <c r="I453" s="75"/>
      <c r="J453" s="75"/>
      <c r="K453" s="75"/>
      <c r="L453" s="75"/>
      <c r="M453" s="75"/>
      <c r="N453" s="75"/>
      <c r="O453" s="75"/>
      <c r="P453" s="75"/>
      <c r="Q453" s="75"/>
      <c r="R453" s="75"/>
      <c r="S453" s="75"/>
      <c r="T453" s="75"/>
      <c r="U453" s="75"/>
      <c r="V453" s="75"/>
    </row>
    <row r="454">
      <c r="F454" s="74"/>
      <c r="H454" s="75"/>
      <c r="I454" s="75"/>
      <c r="J454" s="75"/>
      <c r="K454" s="75"/>
      <c r="L454" s="75"/>
      <c r="M454" s="75"/>
      <c r="N454" s="75"/>
      <c r="O454" s="75"/>
      <c r="P454" s="75"/>
      <c r="Q454" s="75"/>
      <c r="R454" s="75"/>
      <c r="S454" s="75"/>
      <c r="T454" s="75"/>
      <c r="U454" s="75"/>
      <c r="V454" s="75"/>
    </row>
    <row r="455">
      <c r="F455" s="74"/>
      <c r="H455" s="75"/>
      <c r="I455" s="75"/>
      <c r="J455" s="75"/>
      <c r="K455" s="75"/>
      <c r="L455" s="75"/>
      <c r="M455" s="75"/>
      <c r="N455" s="75"/>
      <c r="O455" s="75"/>
      <c r="P455" s="75"/>
      <c r="Q455" s="75"/>
      <c r="R455" s="75"/>
      <c r="S455" s="75"/>
      <c r="T455" s="75"/>
      <c r="U455" s="75"/>
      <c r="V455" s="75"/>
    </row>
    <row r="456">
      <c r="F456" s="74"/>
      <c r="H456" s="75"/>
      <c r="I456" s="75"/>
      <c r="J456" s="75"/>
      <c r="K456" s="75"/>
      <c r="L456" s="75"/>
      <c r="M456" s="75"/>
      <c r="N456" s="75"/>
      <c r="O456" s="75"/>
      <c r="P456" s="75"/>
      <c r="Q456" s="75"/>
      <c r="R456" s="75"/>
      <c r="S456" s="75"/>
      <c r="T456" s="75"/>
      <c r="U456" s="75"/>
      <c r="V456" s="75"/>
    </row>
    <row r="457">
      <c r="F457" s="74"/>
      <c r="H457" s="75"/>
      <c r="I457" s="75"/>
      <c r="J457" s="75"/>
      <c r="K457" s="75"/>
      <c r="L457" s="75"/>
      <c r="M457" s="75"/>
      <c r="N457" s="75"/>
      <c r="O457" s="75"/>
      <c r="P457" s="75"/>
      <c r="Q457" s="75"/>
      <c r="R457" s="75"/>
      <c r="S457" s="75"/>
      <c r="T457" s="75"/>
      <c r="U457" s="75"/>
      <c r="V457" s="75"/>
    </row>
    <row r="458">
      <c r="F458" s="74"/>
      <c r="H458" s="75"/>
      <c r="I458" s="75"/>
      <c r="J458" s="75"/>
      <c r="K458" s="75"/>
      <c r="L458" s="75"/>
      <c r="M458" s="75"/>
      <c r="N458" s="75"/>
      <c r="O458" s="75"/>
      <c r="P458" s="75"/>
      <c r="Q458" s="75"/>
      <c r="R458" s="75"/>
      <c r="S458" s="75"/>
      <c r="T458" s="75"/>
      <c r="U458" s="75"/>
      <c r="V458" s="75"/>
    </row>
    <row r="459">
      <c r="F459" s="74"/>
      <c r="H459" s="75"/>
      <c r="I459" s="75"/>
      <c r="J459" s="75"/>
      <c r="K459" s="75"/>
      <c r="L459" s="75"/>
      <c r="M459" s="75"/>
      <c r="N459" s="75"/>
      <c r="O459" s="75"/>
      <c r="P459" s="75"/>
      <c r="Q459" s="75"/>
      <c r="R459" s="75"/>
      <c r="S459" s="75"/>
      <c r="T459" s="75"/>
      <c r="U459" s="75"/>
      <c r="V459" s="75"/>
    </row>
    <row r="460">
      <c r="F460" s="74"/>
      <c r="H460" s="75"/>
      <c r="I460" s="75"/>
      <c r="J460" s="75"/>
      <c r="K460" s="75"/>
      <c r="L460" s="75"/>
      <c r="M460" s="75"/>
      <c r="N460" s="75"/>
      <c r="O460" s="75"/>
      <c r="P460" s="75"/>
      <c r="Q460" s="75"/>
      <c r="R460" s="75"/>
      <c r="S460" s="75"/>
      <c r="T460" s="75"/>
      <c r="U460" s="75"/>
      <c r="V460" s="75"/>
    </row>
    <row r="461">
      <c r="F461" s="74"/>
      <c r="H461" s="75"/>
      <c r="I461" s="75"/>
      <c r="J461" s="75"/>
      <c r="K461" s="75"/>
      <c r="L461" s="75"/>
      <c r="M461" s="75"/>
      <c r="N461" s="75"/>
      <c r="O461" s="75"/>
      <c r="P461" s="75"/>
      <c r="Q461" s="75"/>
      <c r="R461" s="75"/>
      <c r="S461" s="75"/>
      <c r="T461" s="75"/>
      <c r="U461" s="75"/>
      <c r="V461" s="75"/>
    </row>
    <row r="462">
      <c r="F462" s="74"/>
      <c r="H462" s="75"/>
      <c r="I462" s="75"/>
      <c r="J462" s="75"/>
      <c r="K462" s="75"/>
      <c r="L462" s="75"/>
      <c r="M462" s="75"/>
      <c r="N462" s="75"/>
      <c r="O462" s="75"/>
      <c r="P462" s="75"/>
      <c r="Q462" s="75"/>
      <c r="R462" s="75"/>
      <c r="S462" s="75"/>
      <c r="T462" s="75"/>
      <c r="U462" s="75"/>
      <c r="V462" s="75"/>
    </row>
    <row r="463">
      <c r="F463" s="74"/>
      <c r="H463" s="75"/>
      <c r="I463" s="75"/>
      <c r="J463" s="75"/>
      <c r="K463" s="75"/>
      <c r="L463" s="75"/>
      <c r="M463" s="75"/>
      <c r="N463" s="75"/>
      <c r="O463" s="75"/>
      <c r="P463" s="75"/>
      <c r="Q463" s="75"/>
      <c r="R463" s="75"/>
      <c r="S463" s="75"/>
      <c r="T463" s="75"/>
      <c r="U463" s="75"/>
      <c r="V463" s="75"/>
    </row>
    <row r="464">
      <c r="F464" s="74"/>
      <c r="H464" s="75"/>
      <c r="I464" s="75"/>
      <c r="J464" s="75"/>
      <c r="K464" s="75"/>
      <c r="L464" s="75"/>
      <c r="M464" s="75"/>
      <c r="N464" s="75"/>
      <c r="O464" s="75"/>
      <c r="P464" s="75"/>
      <c r="Q464" s="75"/>
      <c r="R464" s="75"/>
      <c r="S464" s="75"/>
      <c r="T464" s="75"/>
      <c r="U464" s="75"/>
      <c r="V464" s="75"/>
    </row>
    <row r="465">
      <c r="F465" s="74"/>
      <c r="H465" s="75"/>
      <c r="I465" s="75"/>
      <c r="J465" s="75"/>
      <c r="K465" s="75"/>
      <c r="L465" s="75"/>
      <c r="M465" s="75"/>
      <c r="N465" s="75"/>
      <c r="O465" s="75"/>
      <c r="P465" s="75"/>
      <c r="Q465" s="75"/>
      <c r="R465" s="75"/>
      <c r="S465" s="75"/>
      <c r="T465" s="75"/>
      <c r="U465" s="75"/>
      <c r="V465" s="75"/>
    </row>
    <row r="466">
      <c r="F466" s="74"/>
      <c r="H466" s="75"/>
      <c r="I466" s="75"/>
      <c r="J466" s="75"/>
      <c r="K466" s="75"/>
      <c r="L466" s="75"/>
      <c r="M466" s="75"/>
      <c r="N466" s="75"/>
      <c r="O466" s="75"/>
      <c r="P466" s="75"/>
      <c r="Q466" s="75"/>
      <c r="R466" s="75"/>
      <c r="S466" s="75"/>
      <c r="T466" s="75"/>
      <c r="U466" s="75"/>
      <c r="V466" s="75"/>
    </row>
    <row r="467">
      <c r="F467" s="74"/>
      <c r="H467" s="75"/>
      <c r="I467" s="75"/>
      <c r="J467" s="75"/>
      <c r="K467" s="75"/>
      <c r="L467" s="75"/>
      <c r="M467" s="75"/>
      <c r="N467" s="75"/>
      <c r="O467" s="75"/>
      <c r="P467" s="75"/>
      <c r="Q467" s="75"/>
      <c r="R467" s="75"/>
      <c r="S467" s="75"/>
      <c r="T467" s="75"/>
      <c r="U467" s="75"/>
      <c r="V467" s="75"/>
    </row>
    <row r="468">
      <c r="F468" s="74"/>
      <c r="H468" s="75"/>
      <c r="I468" s="75"/>
      <c r="J468" s="75"/>
      <c r="K468" s="75"/>
      <c r="L468" s="75"/>
      <c r="M468" s="75"/>
      <c r="N468" s="75"/>
      <c r="O468" s="75"/>
      <c r="P468" s="75"/>
      <c r="Q468" s="75"/>
      <c r="R468" s="75"/>
      <c r="S468" s="75"/>
      <c r="T468" s="75"/>
      <c r="U468" s="75"/>
      <c r="V468" s="75"/>
    </row>
    <row r="469">
      <c r="F469" s="74"/>
      <c r="H469" s="75"/>
      <c r="I469" s="75"/>
      <c r="J469" s="75"/>
      <c r="K469" s="75"/>
      <c r="L469" s="75"/>
      <c r="M469" s="75"/>
      <c r="N469" s="75"/>
      <c r="O469" s="75"/>
      <c r="P469" s="75"/>
      <c r="Q469" s="75"/>
      <c r="R469" s="75"/>
      <c r="S469" s="75"/>
      <c r="T469" s="75"/>
      <c r="U469" s="75"/>
      <c r="V469" s="75"/>
    </row>
    <row r="470">
      <c r="F470" s="74"/>
      <c r="H470" s="75"/>
      <c r="I470" s="75"/>
      <c r="J470" s="75"/>
      <c r="K470" s="75"/>
      <c r="L470" s="75"/>
      <c r="M470" s="75"/>
      <c r="N470" s="75"/>
      <c r="O470" s="75"/>
      <c r="P470" s="75"/>
      <c r="Q470" s="75"/>
      <c r="R470" s="75"/>
      <c r="S470" s="75"/>
      <c r="T470" s="75"/>
      <c r="U470" s="75"/>
      <c r="V470" s="75"/>
    </row>
    <row r="471">
      <c r="F471" s="74"/>
      <c r="H471" s="75"/>
      <c r="I471" s="75"/>
      <c r="J471" s="75"/>
      <c r="K471" s="75"/>
      <c r="L471" s="75"/>
      <c r="M471" s="75"/>
      <c r="N471" s="75"/>
      <c r="O471" s="75"/>
      <c r="P471" s="75"/>
      <c r="Q471" s="75"/>
      <c r="R471" s="75"/>
      <c r="S471" s="75"/>
      <c r="T471" s="75"/>
      <c r="U471" s="75"/>
      <c r="V471" s="75"/>
    </row>
    <row r="472">
      <c r="F472" s="74"/>
      <c r="H472" s="75"/>
      <c r="I472" s="75"/>
      <c r="J472" s="75"/>
      <c r="K472" s="75"/>
      <c r="L472" s="75"/>
      <c r="M472" s="75"/>
      <c r="N472" s="75"/>
      <c r="O472" s="75"/>
      <c r="P472" s="75"/>
      <c r="Q472" s="75"/>
      <c r="R472" s="75"/>
      <c r="S472" s="75"/>
      <c r="T472" s="75"/>
      <c r="U472" s="75"/>
      <c r="V472" s="75"/>
    </row>
    <row r="473">
      <c r="F473" s="74"/>
      <c r="H473" s="75"/>
      <c r="I473" s="75"/>
      <c r="J473" s="75"/>
      <c r="K473" s="75"/>
      <c r="L473" s="75"/>
      <c r="M473" s="75"/>
      <c r="N473" s="75"/>
      <c r="O473" s="75"/>
      <c r="P473" s="75"/>
      <c r="Q473" s="75"/>
      <c r="R473" s="75"/>
      <c r="S473" s="75"/>
      <c r="T473" s="75"/>
      <c r="U473" s="75"/>
      <c r="V473" s="75"/>
    </row>
    <row r="474">
      <c r="F474" s="74"/>
      <c r="H474" s="75"/>
      <c r="I474" s="75"/>
      <c r="J474" s="75"/>
      <c r="K474" s="75"/>
      <c r="L474" s="75"/>
      <c r="M474" s="75"/>
      <c r="N474" s="75"/>
      <c r="O474" s="75"/>
      <c r="P474" s="75"/>
      <c r="Q474" s="75"/>
      <c r="R474" s="75"/>
      <c r="S474" s="75"/>
      <c r="T474" s="75"/>
      <c r="U474" s="75"/>
      <c r="V474" s="75"/>
    </row>
    <row r="475">
      <c r="F475" s="74"/>
      <c r="H475" s="75"/>
      <c r="I475" s="75"/>
      <c r="J475" s="75"/>
      <c r="K475" s="75"/>
      <c r="L475" s="75"/>
      <c r="M475" s="75"/>
      <c r="N475" s="75"/>
      <c r="O475" s="75"/>
      <c r="P475" s="75"/>
      <c r="Q475" s="75"/>
      <c r="R475" s="75"/>
      <c r="S475" s="75"/>
      <c r="T475" s="75"/>
      <c r="U475" s="75"/>
      <c r="V475" s="75"/>
    </row>
    <row r="476">
      <c r="F476" s="74"/>
      <c r="H476" s="75"/>
      <c r="I476" s="75"/>
      <c r="J476" s="75"/>
      <c r="K476" s="75"/>
      <c r="L476" s="75"/>
      <c r="M476" s="75"/>
      <c r="N476" s="75"/>
      <c r="O476" s="75"/>
      <c r="P476" s="75"/>
      <c r="Q476" s="75"/>
      <c r="R476" s="75"/>
      <c r="S476" s="75"/>
      <c r="T476" s="75"/>
      <c r="U476" s="75"/>
      <c r="V476" s="75"/>
    </row>
    <row r="477">
      <c r="F477" s="74"/>
      <c r="H477" s="75"/>
      <c r="I477" s="75"/>
      <c r="J477" s="75"/>
      <c r="K477" s="75"/>
      <c r="L477" s="75"/>
      <c r="M477" s="75"/>
      <c r="N477" s="75"/>
      <c r="O477" s="75"/>
      <c r="P477" s="75"/>
      <c r="Q477" s="75"/>
      <c r="R477" s="75"/>
      <c r="S477" s="75"/>
      <c r="T477" s="75"/>
      <c r="U477" s="75"/>
      <c r="V477" s="75"/>
    </row>
    <row r="478">
      <c r="F478" s="74"/>
      <c r="H478" s="75"/>
      <c r="I478" s="75"/>
      <c r="J478" s="75"/>
      <c r="K478" s="75"/>
      <c r="L478" s="75"/>
      <c r="M478" s="75"/>
      <c r="N478" s="75"/>
      <c r="O478" s="75"/>
      <c r="P478" s="75"/>
      <c r="Q478" s="75"/>
      <c r="R478" s="75"/>
      <c r="S478" s="75"/>
      <c r="T478" s="75"/>
      <c r="U478" s="75"/>
      <c r="V478" s="75"/>
    </row>
    <row r="479">
      <c r="F479" s="74"/>
      <c r="H479" s="75"/>
      <c r="I479" s="75"/>
      <c r="J479" s="75"/>
      <c r="K479" s="75"/>
      <c r="L479" s="75"/>
      <c r="M479" s="75"/>
      <c r="N479" s="75"/>
      <c r="O479" s="75"/>
      <c r="P479" s="75"/>
      <c r="Q479" s="75"/>
      <c r="R479" s="75"/>
      <c r="S479" s="75"/>
      <c r="T479" s="75"/>
      <c r="U479" s="75"/>
      <c r="V479" s="75"/>
    </row>
    <row r="480">
      <c r="F480" s="74"/>
      <c r="H480" s="75"/>
      <c r="I480" s="75"/>
      <c r="J480" s="75"/>
      <c r="K480" s="75"/>
      <c r="L480" s="75"/>
      <c r="M480" s="75"/>
      <c r="N480" s="75"/>
      <c r="O480" s="75"/>
      <c r="P480" s="75"/>
      <c r="Q480" s="75"/>
      <c r="R480" s="75"/>
      <c r="S480" s="75"/>
      <c r="T480" s="75"/>
      <c r="U480" s="75"/>
      <c r="V480" s="75"/>
    </row>
    <row r="481">
      <c r="F481" s="74"/>
      <c r="H481" s="75"/>
      <c r="I481" s="75"/>
      <c r="J481" s="75"/>
      <c r="K481" s="75"/>
      <c r="L481" s="75"/>
      <c r="M481" s="75"/>
      <c r="N481" s="75"/>
      <c r="O481" s="75"/>
      <c r="P481" s="75"/>
      <c r="Q481" s="75"/>
      <c r="R481" s="75"/>
      <c r="S481" s="75"/>
      <c r="T481" s="75"/>
      <c r="U481" s="75"/>
      <c r="V481" s="75"/>
    </row>
    <row r="482">
      <c r="F482" s="74"/>
      <c r="H482" s="75"/>
      <c r="I482" s="75"/>
      <c r="J482" s="75"/>
      <c r="K482" s="75"/>
      <c r="L482" s="75"/>
      <c r="M482" s="75"/>
      <c r="N482" s="75"/>
      <c r="O482" s="75"/>
      <c r="P482" s="75"/>
      <c r="Q482" s="75"/>
      <c r="R482" s="75"/>
      <c r="S482" s="75"/>
      <c r="T482" s="75"/>
      <c r="U482" s="75"/>
      <c r="V482" s="75"/>
    </row>
    <row r="483">
      <c r="F483" s="74"/>
      <c r="H483" s="75"/>
      <c r="I483" s="75"/>
      <c r="J483" s="75"/>
      <c r="K483" s="75"/>
      <c r="L483" s="75"/>
      <c r="M483" s="75"/>
      <c r="N483" s="75"/>
      <c r="O483" s="75"/>
      <c r="P483" s="75"/>
      <c r="Q483" s="75"/>
      <c r="R483" s="75"/>
      <c r="S483" s="75"/>
      <c r="T483" s="75"/>
      <c r="U483" s="75"/>
      <c r="V483" s="75"/>
    </row>
    <row r="484">
      <c r="F484" s="74"/>
      <c r="H484" s="75"/>
      <c r="I484" s="75"/>
      <c r="J484" s="75"/>
      <c r="K484" s="75"/>
      <c r="L484" s="75"/>
      <c r="M484" s="75"/>
      <c r="N484" s="75"/>
      <c r="O484" s="75"/>
      <c r="P484" s="75"/>
      <c r="Q484" s="75"/>
      <c r="R484" s="75"/>
      <c r="S484" s="75"/>
      <c r="T484" s="75"/>
      <c r="U484" s="75"/>
      <c r="V484" s="75"/>
    </row>
    <row r="485">
      <c r="F485" s="74"/>
      <c r="H485" s="75"/>
      <c r="I485" s="75"/>
      <c r="J485" s="75"/>
      <c r="K485" s="75"/>
      <c r="L485" s="75"/>
      <c r="M485" s="75"/>
      <c r="N485" s="75"/>
      <c r="O485" s="75"/>
      <c r="P485" s="75"/>
      <c r="Q485" s="75"/>
      <c r="R485" s="75"/>
      <c r="S485" s="75"/>
      <c r="T485" s="75"/>
      <c r="U485" s="75"/>
      <c r="V485" s="75"/>
    </row>
    <row r="486">
      <c r="F486" s="74"/>
      <c r="H486" s="75"/>
      <c r="I486" s="75"/>
      <c r="J486" s="75"/>
      <c r="K486" s="75"/>
      <c r="L486" s="75"/>
      <c r="M486" s="75"/>
      <c r="N486" s="75"/>
      <c r="O486" s="75"/>
      <c r="P486" s="75"/>
      <c r="Q486" s="75"/>
      <c r="R486" s="75"/>
      <c r="S486" s="75"/>
      <c r="T486" s="75"/>
      <c r="U486" s="75"/>
      <c r="V486" s="75"/>
    </row>
    <row r="487">
      <c r="F487" s="74"/>
      <c r="H487" s="75"/>
      <c r="I487" s="75"/>
      <c r="J487" s="75"/>
      <c r="K487" s="75"/>
      <c r="L487" s="75"/>
      <c r="M487" s="75"/>
      <c r="N487" s="75"/>
      <c r="O487" s="75"/>
      <c r="P487" s="75"/>
      <c r="Q487" s="75"/>
      <c r="R487" s="75"/>
      <c r="S487" s="75"/>
      <c r="T487" s="75"/>
      <c r="U487" s="75"/>
      <c r="V487" s="75"/>
    </row>
    <row r="488">
      <c r="F488" s="74"/>
      <c r="H488" s="75"/>
      <c r="I488" s="75"/>
      <c r="J488" s="75"/>
      <c r="K488" s="75"/>
      <c r="L488" s="75"/>
      <c r="M488" s="75"/>
      <c r="N488" s="75"/>
      <c r="O488" s="75"/>
      <c r="P488" s="75"/>
      <c r="Q488" s="75"/>
      <c r="R488" s="75"/>
      <c r="S488" s="75"/>
      <c r="T488" s="75"/>
      <c r="U488" s="75"/>
      <c r="V488" s="75"/>
    </row>
    <row r="489">
      <c r="F489" s="74"/>
      <c r="H489" s="75"/>
      <c r="I489" s="75"/>
      <c r="J489" s="75"/>
      <c r="K489" s="75"/>
      <c r="L489" s="75"/>
      <c r="M489" s="75"/>
      <c r="N489" s="75"/>
      <c r="O489" s="75"/>
      <c r="P489" s="75"/>
      <c r="Q489" s="75"/>
      <c r="R489" s="75"/>
      <c r="S489" s="75"/>
      <c r="T489" s="75"/>
      <c r="U489" s="75"/>
      <c r="V489" s="75"/>
    </row>
    <row r="490">
      <c r="F490" s="74"/>
      <c r="H490" s="75"/>
      <c r="I490" s="75"/>
      <c r="J490" s="75"/>
      <c r="K490" s="75"/>
      <c r="L490" s="75"/>
      <c r="M490" s="75"/>
      <c r="N490" s="75"/>
      <c r="O490" s="75"/>
      <c r="P490" s="75"/>
      <c r="Q490" s="75"/>
      <c r="R490" s="75"/>
      <c r="S490" s="75"/>
      <c r="T490" s="75"/>
      <c r="U490" s="75"/>
      <c r="V490" s="75"/>
    </row>
    <row r="491">
      <c r="F491" s="74"/>
      <c r="H491" s="75"/>
      <c r="I491" s="75"/>
      <c r="J491" s="75"/>
      <c r="K491" s="75"/>
      <c r="L491" s="75"/>
      <c r="M491" s="75"/>
      <c r="N491" s="75"/>
      <c r="O491" s="75"/>
      <c r="P491" s="75"/>
      <c r="Q491" s="75"/>
      <c r="R491" s="75"/>
      <c r="S491" s="75"/>
      <c r="T491" s="75"/>
      <c r="U491" s="75"/>
      <c r="V491" s="75"/>
    </row>
    <row r="492">
      <c r="F492" s="74"/>
      <c r="H492" s="75"/>
      <c r="I492" s="75"/>
      <c r="J492" s="75"/>
      <c r="K492" s="75"/>
      <c r="L492" s="75"/>
      <c r="M492" s="75"/>
      <c r="N492" s="75"/>
      <c r="O492" s="75"/>
      <c r="P492" s="75"/>
      <c r="Q492" s="75"/>
      <c r="R492" s="75"/>
      <c r="S492" s="75"/>
      <c r="T492" s="75"/>
      <c r="U492" s="75"/>
      <c r="V492" s="75"/>
    </row>
    <row r="493">
      <c r="F493" s="74"/>
      <c r="H493" s="75"/>
      <c r="I493" s="75"/>
      <c r="J493" s="75"/>
      <c r="K493" s="75"/>
      <c r="L493" s="75"/>
      <c r="M493" s="75"/>
      <c r="N493" s="75"/>
      <c r="O493" s="75"/>
      <c r="P493" s="75"/>
      <c r="Q493" s="75"/>
      <c r="R493" s="75"/>
      <c r="S493" s="75"/>
      <c r="T493" s="75"/>
      <c r="U493" s="75"/>
      <c r="V493" s="75"/>
    </row>
    <row r="494">
      <c r="F494" s="74"/>
      <c r="H494" s="75"/>
      <c r="I494" s="75"/>
      <c r="J494" s="75"/>
      <c r="K494" s="75"/>
      <c r="L494" s="75"/>
      <c r="M494" s="75"/>
      <c r="N494" s="75"/>
      <c r="O494" s="75"/>
      <c r="P494" s="75"/>
      <c r="Q494" s="75"/>
      <c r="R494" s="75"/>
      <c r="S494" s="75"/>
      <c r="T494" s="75"/>
      <c r="U494" s="75"/>
      <c r="V494" s="75"/>
    </row>
    <row r="495">
      <c r="F495" s="74"/>
      <c r="H495" s="75"/>
      <c r="I495" s="75"/>
      <c r="J495" s="75"/>
      <c r="K495" s="75"/>
      <c r="L495" s="75"/>
      <c r="M495" s="75"/>
      <c r="N495" s="75"/>
      <c r="O495" s="75"/>
      <c r="P495" s="75"/>
      <c r="Q495" s="75"/>
      <c r="R495" s="75"/>
      <c r="S495" s="75"/>
      <c r="T495" s="75"/>
      <c r="U495" s="75"/>
      <c r="V495" s="75"/>
    </row>
    <row r="496">
      <c r="F496" s="74"/>
      <c r="H496" s="75"/>
      <c r="I496" s="75"/>
      <c r="J496" s="75"/>
      <c r="K496" s="75"/>
      <c r="L496" s="75"/>
      <c r="M496" s="75"/>
      <c r="N496" s="75"/>
      <c r="O496" s="75"/>
      <c r="P496" s="75"/>
      <c r="Q496" s="75"/>
      <c r="R496" s="75"/>
      <c r="S496" s="75"/>
      <c r="T496" s="75"/>
      <c r="U496" s="75"/>
      <c r="V496" s="75"/>
    </row>
    <row r="497">
      <c r="F497" s="74"/>
      <c r="H497" s="75"/>
      <c r="I497" s="75"/>
      <c r="J497" s="75"/>
      <c r="K497" s="75"/>
      <c r="L497" s="75"/>
      <c r="M497" s="75"/>
      <c r="N497" s="75"/>
      <c r="O497" s="75"/>
      <c r="P497" s="75"/>
      <c r="Q497" s="75"/>
      <c r="R497" s="75"/>
      <c r="S497" s="75"/>
      <c r="T497" s="75"/>
      <c r="U497" s="75"/>
      <c r="V497" s="75"/>
    </row>
    <row r="498">
      <c r="F498" s="74"/>
      <c r="H498" s="75"/>
      <c r="I498" s="75"/>
      <c r="J498" s="75"/>
      <c r="K498" s="75"/>
      <c r="L498" s="75"/>
      <c r="M498" s="75"/>
      <c r="N498" s="75"/>
      <c r="O498" s="75"/>
      <c r="P498" s="75"/>
      <c r="Q498" s="75"/>
      <c r="R498" s="75"/>
      <c r="S498" s="75"/>
      <c r="T498" s="75"/>
      <c r="U498" s="75"/>
      <c r="V498" s="75"/>
    </row>
    <row r="499">
      <c r="F499" s="74"/>
      <c r="H499" s="75"/>
      <c r="I499" s="75"/>
      <c r="J499" s="75"/>
      <c r="K499" s="75"/>
      <c r="L499" s="75"/>
      <c r="M499" s="75"/>
      <c r="N499" s="75"/>
      <c r="O499" s="75"/>
      <c r="P499" s="75"/>
      <c r="Q499" s="75"/>
      <c r="R499" s="75"/>
      <c r="S499" s="75"/>
      <c r="T499" s="75"/>
      <c r="U499" s="75"/>
      <c r="V499" s="75"/>
    </row>
    <row r="500">
      <c r="F500" s="74"/>
      <c r="H500" s="75"/>
      <c r="I500" s="75"/>
      <c r="J500" s="75"/>
      <c r="K500" s="75"/>
      <c r="L500" s="75"/>
      <c r="M500" s="75"/>
      <c r="N500" s="75"/>
      <c r="O500" s="75"/>
      <c r="P500" s="75"/>
      <c r="Q500" s="75"/>
      <c r="R500" s="75"/>
      <c r="S500" s="75"/>
      <c r="T500" s="75"/>
      <c r="U500" s="75"/>
      <c r="V500" s="75"/>
    </row>
    <row r="501">
      <c r="F501" s="74"/>
      <c r="H501" s="75"/>
      <c r="I501" s="75"/>
      <c r="J501" s="75"/>
      <c r="K501" s="75"/>
      <c r="L501" s="75"/>
      <c r="M501" s="75"/>
      <c r="N501" s="75"/>
      <c r="O501" s="75"/>
      <c r="P501" s="75"/>
      <c r="Q501" s="75"/>
      <c r="R501" s="75"/>
      <c r="S501" s="75"/>
      <c r="T501" s="75"/>
      <c r="U501" s="75"/>
      <c r="V501" s="75"/>
    </row>
    <row r="502">
      <c r="F502" s="74"/>
      <c r="H502" s="75"/>
      <c r="I502" s="75"/>
      <c r="J502" s="75"/>
      <c r="K502" s="75"/>
      <c r="L502" s="75"/>
      <c r="M502" s="75"/>
      <c r="N502" s="75"/>
      <c r="O502" s="75"/>
      <c r="P502" s="75"/>
      <c r="Q502" s="75"/>
      <c r="R502" s="75"/>
      <c r="S502" s="75"/>
      <c r="T502" s="75"/>
      <c r="U502" s="75"/>
      <c r="V502" s="75"/>
    </row>
    <row r="503">
      <c r="F503" s="74"/>
      <c r="H503" s="75"/>
      <c r="I503" s="75"/>
      <c r="J503" s="75"/>
      <c r="K503" s="75"/>
      <c r="L503" s="75"/>
      <c r="M503" s="75"/>
      <c r="N503" s="75"/>
      <c r="O503" s="75"/>
      <c r="P503" s="75"/>
      <c r="Q503" s="75"/>
      <c r="R503" s="75"/>
      <c r="S503" s="75"/>
      <c r="T503" s="75"/>
      <c r="U503" s="75"/>
      <c r="V503" s="75"/>
    </row>
    <row r="504">
      <c r="F504" s="74"/>
      <c r="H504" s="75"/>
      <c r="I504" s="75"/>
      <c r="J504" s="75"/>
      <c r="K504" s="75"/>
      <c r="L504" s="75"/>
      <c r="M504" s="75"/>
      <c r="N504" s="75"/>
      <c r="O504" s="75"/>
      <c r="P504" s="75"/>
      <c r="Q504" s="75"/>
      <c r="R504" s="75"/>
      <c r="S504" s="75"/>
      <c r="T504" s="75"/>
      <c r="U504" s="75"/>
      <c r="V504" s="75"/>
    </row>
    <row r="505">
      <c r="F505" s="74"/>
      <c r="H505" s="75"/>
      <c r="I505" s="75"/>
      <c r="J505" s="75"/>
      <c r="K505" s="75"/>
      <c r="L505" s="75"/>
      <c r="M505" s="75"/>
      <c r="N505" s="75"/>
      <c r="O505" s="75"/>
      <c r="P505" s="75"/>
      <c r="Q505" s="75"/>
      <c r="R505" s="75"/>
      <c r="S505" s="75"/>
      <c r="T505" s="75"/>
      <c r="U505" s="75"/>
      <c r="V505" s="75"/>
    </row>
    <row r="506">
      <c r="F506" s="74"/>
      <c r="H506" s="75"/>
      <c r="I506" s="75"/>
      <c r="J506" s="75"/>
      <c r="K506" s="75"/>
      <c r="L506" s="75"/>
      <c r="M506" s="75"/>
      <c r="N506" s="75"/>
      <c r="O506" s="75"/>
      <c r="P506" s="75"/>
      <c r="Q506" s="75"/>
      <c r="R506" s="75"/>
      <c r="S506" s="75"/>
      <c r="T506" s="75"/>
      <c r="U506" s="75"/>
      <c r="V506" s="75"/>
    </row>
    <row r="507">
      <c r="F507" s="74"/>
      <c r="H507" s="75"/>
      <c r="I507" s="75"/>
      <c r="J507" s="75"/>
      <c r="K507" s="75"/>
      <c r="L507" s="75"/>
      <c r="M507" s="75"/>
      <c r="N507" s="75"/>
      <c r="O507" s="75"/>
      <c r="P507" s="75"/>
      <c r="Q507" s="75"/>
      <c r="R507" s="75"/>
      <c r="S507" s="75"/>
      <c r="T507" s="75"/>
      <c r="U507" s="75"/>
      <c r="V507" s="75"/>
    </row>
    <row r="508">
      <c r="F508" s="74"/>
      <c r="H508" s="75"/>
      <c r="I508" s="75"/>
      <c r="J508" s="75"/>
      <c r="K508" s="75"/>
      <c r="L508" s="75"/>
      <c r="M508" s="75"/>
      <c r="N508" s="75"/>
      <c r="O508" s="75"/>
      <c r="P508" s="75"/>
      <c r="Q508" s="75"/>
      <c r="R508" s="75"/>
      <c r="S508" s="75"/>
      <c r="T508" s="75"/>
      <c r="U508" s="75"/>
      <c r="V508" s="75"/>
    </row>
    <row r="509">
      <c r="F509" s="74"/>
      <c r="H509" s="75"/>
      <c r="I509" s="75"/>
      <c r="J509" s="75"/>
      <c r="K509" s="75"/>
      <c r="L509" s="75"/>
      <c r="M509" s="75"/>
      <c r="N509" s="75"/>
      <c r="O509" s="75"/>
      <c r="P509" s="75"/>
      <c r="Q509" s="75"/>
      <c r="R509" s="75"/>
      <c r="S509" s="75"/>
      <c r="T509" s="75"/>
      <c r="U509" s="75"/>
      <c r="V509" s="75"/>
    </row>
    <row r="510">
      <c r="F510" s="74"/>
      <c r="H510" s="75"/>
      <c r="I510" s="75"/>
      <c r="J510" s="75"/>
      <c r="K510" s="75"/>
      <c r="L510" s="75"/>
      <c r="M510" s="75"/>
      <c r="N510" s="75"/>
      <c r="O510" s="75"/>
      <c r="P510" s="75"/>
      <c r="Q510" s="75"/>
      <c r="R510" s="75"/>
      <c r="S510" s="75"/>
      <c r="T510" s="75"/>
      <c r="U510" s="75"/>
      <c r="V510" s="75"/>
    </row>
    <row r="511">
      <c r="F511" s="74"/>
      <c r="H511" s="75"/>
      <c r="I511" s="75"/>
      <c r="J511" s="75"/>
      <c r="K511" s="75"/>
      <c r="L511" s="75"/>
      <c r="M511" s="75"/>
      <c r="N511" s="75"/>
      <c r="O511" s="75"/>
      <c r="P511" s="75"/>
      <c r="Q511" s="75"/>
      <c r="R511" s="75"/>
      <c r="S511" s="75"/>
      <c r="T511" s="75"/>
      <c r="U511" s="75"/>
      <c r="V511" s="75"/>
    </row>
    <row r="512">
      <c r="F512" s="74"/>
      <c r="H512" s="75"/>
      <c r="I512" s="75"/>
      <c r="J512" s="75"/>
      <c r="K512" s="75"/>
      <c r="L512" s="75"/>
      <c r="M512" s="75"/>
      <c r="N512" s="75"/>
      <c r="O512" s="75"/>
      <c r="P512" s="75"/>
      <c r="Q512" s="75"/>
      <c r="R512" s="75"/>
      <c r="S512" s="75"/>
      <c r="T512" s="75"/>
      <c r="U512" s="75"/>
      <c r="V512" s="75"/>
    </row>
    <row r="513">
      <c r="F513" s="74"/>
      <c r="H513" s="75"/>
      <c r="I513" s="75"/>
      <c r="J513" s="75"/>
      <c r="K513" s="75"/>
      <c r="L513" s="75"/>
      <c r="M513" s="75"/>
      <c r="N513" s="75"/>
      <c r="O513" s="75"/>
      <c r="P513" s="75"/>
      <c r="Q513" s="75"/>
      <c r="R513" s="75"/>
      <c r="S513" s="75"/>
      <c r="T513" s="75"/>
      <c r="U513" s="75"/>
      <c r="V513" s="75"/>
    </row>
    <row r="514">
      <c r="F514" s="74"/>
      <c r="H514" s="75"/>
      <c r="I514" s="75"/>
      <c r="J514" s="75"/>
      <c r="K514" s="75"/>
      <c r="L514" s="75"/>
      <c r="M514" s="75"/>
      <c r="N514" s="75"/>
      <c r="O514" s="75"/>
      <c r="P514" s="75"/>
      <c r="Q514" s="75"/>
      <c r="R514" s="75"/>
      <c r="S514" s="75"/>
      <c r="T514" s="75"/>
      <c r="U514" s="75"/>
      <c r="V514" s="75"/>
    </row>
    <row r="515">
      <c r="F515" s="74"/>
      <c r="H515" s="75"/>
      <c r="I515" s="75"/>
      <c r="J515" s="75"/>
      <c r="K515" s="75"/>
      <c r="L515" s="75"/>
      <c r="M515" s="75"/>
      <c r="N515" s="75"/>
      <c r="O515" s="75"/>
      <c r="P515" s="75"/>
      <c r="Q515" s="75"/>
      <c r="R515" s="75"/>
      <c r="S515" s="75"/>
      <c r="T515" s="75"/>
      <c r="U515" s="75"/>
      <c r="V515" s="75"/>
    </row>
    <row r="516">
      <c r="F516" s="74"/>
      <c r="H516" s="75"/>
      <c r="I516" s="75"/>
      <c r="J516" s="75"/>
      <c r="K516" s="75"/>
      <c r="L516" s="75"/>
      <c r="M516" s="75"/>
      <c r="N516" s="75"/>
      <c r="O516" s="75"/>
      <c r="P516" s="75"/>
      <c r="Q516" s="75"/>
      <c r="R516" s="75"/>
      <c r="S516" s="75"/>
      <c r="T516" s="75"/>
      <c r="U516" s="75"/>
      <c r="V516" s="75"/>
    </row>
    <row r="517">
      <c r="F517" s="74"/>
      <c r="H517" s="75"/>
      <c r="I517" s="75"/>
      <c r="J517" s="75"/>
      <c r="K517" s="75"/>
      <c r="L517" s="75"/>
      <c r="M517" s="75"/>
      <c r="N517" s="75"/>
      <c r="O517" s="75"/>
      <c r="P517" s="75"/>
      <c r="Q517" s="75"/>
      <c r="R517" s="75"/>
      <c r="S517" s="75"/>
      <c r="T517" s="75"/>
      <c r="U517" s="75"/>
      <c r="V517" s="75"/>
    </row>
    <row r="518">
      <c r="F518" s="74"/>
      <c r="H518" s="75"/>
      <c r="I518" s="75"/>
      <c r="J518" s="75"/>
      <c r="K518" s="75"/>
      <c r="L518" s="75"/>
      <c r="M518" s="75"/>
      <c r="N518" s="75"/>
      <c r="O518" s="75"/>
      <c r="P518" s="75"/>
      <c r="Q518" s="75"/>
      <c r="R518" s="75"/>
      <c r="S518" s="75"/>
      <c r="T518" s="75"/>
      <c r="U518" s="75"/>
      <c r="V518" s="75"/>
    </row>
    <row r="519">
      <c r="F519" s="74"/>
      <c r="H519" s="75"/>
      <c r="I519" s="75"/>
      <c r="J519" s="75"/>
      <c r="K519" s="75"/>
      <c r="L519" s="75"/>
      <c r="M519" s="75"/>
      <c r="N519" s="75"/>
      <c r="O519" s="75"/>
      <c r="P519" s="75"/>
      <c r="Q519" s="75"/>
      <c r="R519" s="75"/>
      <c r="S519" s="75"/>
      <c r="T519" s="75"/>
      <c r="U519" s="75"/>
      <c r="V519" s="75"/>
    </row>
    <row r="520">
      <c r="F520" s="74"/>
      <c r="H520" s="75"/>
      <c r="I520" s="75"/>
      <c r="J520" s="75"/>
      <c r="K520" s="75"/>
      <c r="L520" s="75"/>
      <c r="M520" s="75"/>
      <c r="N520" s="75"/>
      <c r="O520" s="75"/>
      <c r="P520" s="75"/>
      <c r="Q520" s="75"/>
      <c r="R520" s="75"/>
      <c r="S520" s="75"/>
      <c r="T520" s="75"/>
      <c r="U520" s="75"/>
      <c r="V520" s="75"/>
    </row>
    <row r="521">
      <c r="F521" s="74"/>
      <c r="H521" s="75"/>
      <c r="I521" s="75"/>
      <c r="J521" s="75"/>
      <c r="K521" s="75"/>
      <c r="L521" s="75"/>
      <c r="M521" s="75"/>
      <c r="N521" s="75"/>
      <c r="O521" s="75"/>
      <c r="P521" s="75"/>
      <c r="Q521" s="75"/>
      <c r="R521" s="75"/>
      <c r="S521" s="75"/>
      <c r="T521" s="75"/>
      <c r="U521" s="75"/>
      <c r="V521" s="75"/>
    </row>
    <row r="522">
      <c r="F522" s="74"/>
      <c r="H522" s="75"/>
      <c r="I522" s="75"/>
      <c r="J522" s="75"/>
      <c r="K522" s="75"/>
      <c r="L522" s="75"/>
      <c r="M522" s="75"/>
      <c r="N522" s="75"/>
      <c r="O522" s="75"/>
      <c r="P522" s="75"/>
      <c r="Q522" s="75"/>
      <c r="R522" s="75"/>
      <c r="S522" s="75"/>
      <c r="T522" s="75"/>
      <c r="U522" s="75"/>
      <c r="V522" s="75"/>
    </row>
    <row r="523">
      <c r="F523" s="74"/>
      <c r="H523" s="75"/>
      <c r="I523" s="75"/>
      <c r="J523" s="75"/>
      <c r="K523" s="75"/>
      <c r="L523" s="75"/>
      <c r="M523" s="75"/>
      <c r="N523" s="75"/>
      <c r="O523" s="75"/>
      <c r="P523" s="75"/>
      <c r="Q523" s="75"/>
      <c r="R523" s="75"/>
      <c r="S523" s="75"/>
      <c r="T523" s="75"/>
      <c r="U523" s="75"/>
      <c r="V523" s="75"/>
    </row>
    <row r="524">
      <c r="F524" s="74"/>
      <c r="H524" s="75"/>
      <c r="I524" s="75"/>
      <c r="J524" s="75"/>
      <c r="K524" s="75"/>
      <c r="L524" s="75"/>
      <c r="M524" s="75"/>
      <c r="N524" s="75"/>
      <c r="O524" s="75"/>
      <c r="P524" s="75"/>
      <c r="Q524" s="75"/>
      <c r="R524" s="75"/>
      <c r="S524" s="75"/>
      <c r="T524" s="75"/>
      <c r="U524" s="75"/>
      <c r="V524" s="75"/>
    </row>
    <row r="525">
      <c r="F525" s="74"/>
      <c r="H525" s="75"/>
      <c r="I525" s="75"/>
      <c r="J525" s="75"/>
      <c r="K525" s="75"/>
      <c r="L525" s="75"/>
      <c r="M525" s="75"/>
      <c r="N525" s="75"/>
      <c r="O525" s="75"/>
      <c r="P525" s="75"/>
      <c r="Q525" s="75"/>
      <c r="R525" s="75"/>
      <c r="S525" s="75"/>
      <c r="T525" s="75"/>
      <c r="U525" s="75"/>
      <c r="V525" s="75"/>
    </row>
    <row r="526">
      <c r="F526" s="74"/>
      <c r="H526" s="75"/>
      <c r="I526" s="75"/>
      <c r="J526" s="75"/>
      <c r="K526" s="75"/>
      <c r="L526" s="75"/>
      <c r="M526" s="75"/>
      <c r="N526" s="75"/>
      <c r="O526" s="75"/>
      <c r="P526" s="75"/>
      <c r="Q526" s="75"/>
      <c r="R526" s="75"/>
      <c r="S526" s="75"/>
      <c r="T526" s="75"/>
      <c r="U526" s="75"/>
      <c r="V526" s="75"/>
    </row>
    <row r="527">
      <c r="F527" s="74"/>
      <c r="H527" s="75"/>
      <c r="I527" s="75"/>
      <c r="J527" s="75"/>
      <c r="K527" s="75"/>
      <c r="L527" s="75"/>
      <c r="M527" s="75"/>
      <c r="N527" s="75"/>
      <c r="O527" s="75"/>
      <c r="P527" s="75"/>
      <c r="Q527" s="75"/>
      <c r="R527" s="75"/>
      <c r="S527" s="75"/>
      <c r="T527" s="75"/>
      <c r="U527" s="75"/>
      <c r="V527" s="75"/>
    </row>
    <row r="528">
      <c r="F528" s="74"/>
      <c r="H528" s="75"/>
      <c r="I528" s="75"/>
      <c r="J528" s="75"/>
      <c r="K528" s="75"/>
      <c r="L528" s="75"/>
      <c r="M528" s="75"/>
      <c r="N528" s="75"/>
      <c r="O528" s="75"/>
      <c r="P528" s="75"/>
      <c r="Q528" s="75"/>
      <c r="R528" s="75"/>
      <c r="S528" s="75"/>
      <c r="T528" s="75"/>
      <c r="U528" s="75"/>
      <c r="V528" s="75"/>
    </row>
    <row r="529">
      <c r="F529" s="74"/>
      <c r="H529" s="75"/>
      <c r="I529" s="75"/>
      <c r="J529" s="75"/>
      <c r="K529" s="75"/>
      <c r="L529" s="75"/>
      <c r="M529" s="75"/>
      <c r="N529" s="75"/>
      <c r="O529" s="75"/>
      <c r="P529" s="75"/>
      <c r="Q529" s="75"/>
      <c r="R529" s="75"/>
      <c r="S529" s="75"/>
      <c r="T529" s="75"/>
      <c r="U529" s="75"/>
      <c r="V529" s="75"/>
    </row>
    <row r="530">
      <c r="F530" s="74"/>
      <c r="H530" s="75"/>
      <c r="I530" s="75"/>
      <c r="J530" s="75"/>
      <c r="K530" s="75"/>
      <c r="L530" s="75"/>
      <c r="M530" s="75"/>
      <c r="N530" s="75"/>
      <c r="O530" s="75"/>
      <c r="P530" s="75"/>
      <c r="Q530" s="75"/>
      <c r="R530" s="75"/>
      <c r="S530" s="75"/>
      <c r="T530" s="75"/>
      <c r="U530" s="75"/>
      <c r="V530" s="75"/>
    </row>
    <row r="531">
      <c r="F531" s="74"/>
      <c r="H531" s="75"/>
      <c r="I531" s="75"/>
      <c r="J531" s="75"/>
      <c r="K531" s="75"/>
      <c r="L531" s="75"/>
      <c r="M531" s="75"/>
      <c r="N531" s="75"/>
      <c r="O531" s="75"/>
      <c r="P531" s="75"/>
      <c r="Q531" s="75"/>
      <c r="R531" s="75"/>
      <c r="S531" s="75"/>
      <c r="T531" s="75"/>
      <c r="U531" s="75"/>
      <c r="V531" s="75"/>
    </row>
    <row r="532">
      <c r="F532" s="74"/>
      <c r="H532" s="75"/>
      <c r="I532" s="75"/>
      <c r="J532" s="75"/>
      <c r="K532" s="75"/>
      <c r="L532" s="75"/>
      <c r="M532" s="75"/>
      <c r="N532" s="75"/>
      <c r="O532" s="75"/>
      <c r="P532" s="75"/>
      <c r="Q532" s="75"/>
      <c r="R532" s="75"/>
      <c r="S532" s="75"/>
      <c r="T532" s="75"/>
      <c r="U532" s="75"/>
      <c r="V532" s="75"/>
    </row>
    <row r="533">
      <c r="F533" s="74"/>
      <c r="H533" s="75"/>
      <c r="I533" s="75"/>
      <c r="J533" s="75"/>
      <c r="K533" s="75"/>
      <c r="L533" s="75"/>
      <c r="M533" s="75"/>
      <c r="N533" s="75"/>
      <c r="O533" s="75"/>
      <c r="P533" s="75"/>
      <c r="Q533" s="75"/>
      <c r="R533" s="75"/>
      <c r="S533" s="75"/>
      <c r="T533" s="75"/>
      <c r="U533" s="75"/>
      <c r="V533" s="75"/>
    </row>
    <row r="534">
      <c r="F534" s="74"/>
      <c r="H534" s="75"/>
      <c r="I534" s="75"/>
      <c r="J534" s="75"/>
      <c r="K534" s="75"/>
      <c r="L534" s="75"/>
      <c r="M534" s="75"/>
      <c r="N534" s="75"/>
      <c r="O534" s="75"/>
      <c r="P534" s="75"/>
      <c r="Q534" s="75"/>
      <c r="R534" s="75"/>
      <c r="S534" s="75"/>
      <c r="T534" s="75"/>
      <c r="U534" s="75"/>
      <c r="V534" s="75"/>
    </row>
    <row r="535">
      <c r="F535" s="74"/>
      <c r="H535" s="75"/>
      <c r="I535" s="75"/>
      <c r="J535" s="75"/>
      <c r="K535" s="75"/>
      <c r="L535" s="75"/>
      <c r="M535" s="75"/>
      <c r="N535" s="75"/>
      <c r="O535" s="75"/>
      <c r="P535" s="75"/>
      <c r="Q535" s="75"/>
      <c r="R535" s="75"/>
      <c r="S535" s="75"/>
      <c r="T535" s="75"/>
      <c r="U535" s="75"/>
      <c r="V535" s="75"/>
    </row>
    <row r="536">
      <c r="F536" s="74"/>
      <c r="H536" s="75"/>
      <c r="I536" s="75"/>
      <c r="J536" s="75"/>
      <c r="K536" s="75"/>
      <c r="L536" s="75"/>
      <c r="M536" s="75"/>
      <c r="N536" s="75"/>
      <c r="O536" s="75"/>
      <c r="P536" s="75"/>
      <c r="Q536" s="75"/>
      <c r="R536" s="75"/>
      <c r="S536" s="75"/>
      <c r="T536" s="75"/>
      <c r="U536" s="75"/>
      <c r="V536" s="75"/>
    </row>
    <row r="537">
      <c r="F537" s="74"/>
      <c r="H537" s="75"/>
      <c r="I537" s="75"/>
      <c r="J537" s="75"/>
      <c r="K537" s="75"/>
      <c r="L537" s="75"/>
      <c r="M537" s="75"/>
      <c r="N537" s="75"/>
      <c r="O537" s="75"/>
      <c r="P537" s="75"/>
      <c r="Q537" s="75"/>
      <c r="R537" s="75"/>
      <c r="S537" s="75"/>
      <c r="T537" s="75"/>
      <c r="U537" s="75"/>
      <c r="V537" s="75"/>
    </row>
    <row r="538">
      <c r="F538" s="74"/>
      <c r="H538" s="75"/>
      <c r="I538" s="75"/>
      <c r="J538" s="75"/>
      <c r="K538" s="75"/>
      <c r="L538" s="75"/>
      <c r="M538" s="75"/>
      <c r="N538" s="75"/>
      <c r="O538" s="75"/>
      <c r="P538" s="75"/>
      <c r="Q538" s="75"/>
      <c r="R538" s="75"/>
      <c r="S538" s="75"/>
      <c r="T538" s="75"/>
      <c r="U538" s="75"/>
      <c r="V538" s="75"/>
    </row>
    <row r="539">
      <c r="F539" s="74"/>
      <c r="H539" s="75"/>
      <c r="I539" s="75"/>
      <c r="J539" s="75"/>
      <c r="K539" s="75"/>
      <c r="L539" s="75"/>
      <c r="M539" s="75"/>
      <c r="N539" s="75"/>
      <c r="O539" s="75"/>
      <c r="P539" s="75"/>
      <c r="Q539" s="75"/>
      <c r="R539" s="75"/>
      <c r="S539" s="75"/>
      <c r="T539" s="75"/>
      <c r="U539" s="75"/>
      <c r="V539" s="75"/>
    </row>
    <row r="540">
      <c r="F540" s="74"/>
      <c r="H540" s="75"/>
      <c r="I540" s="75"/>
      <c r="J540" s="75"/>
      <c r="K540" s="75"/>
      <c r="L540" s="75"/>
      <c r="M540" s="75"/>
      <c r="N540" s="75"/>
      <c r="O540" s="75"/>
      <c r="P540" s="75"/>
      <c r="Q540" s="75"/>
      <c r="R540" s="75"/>
      <c r="S540" s="75"/>
      <c r="T540" s="75"/>
      <c r="U540" s="75"/>
      <c r="V540" s="75"/>
    </row>
    <row r="541">
      <c r="F541" s="74"/>
      <c r="H541" s="75"/>
      <c r="I541" s="75"/>
      <c r="J541" s="75"/>
      <c r="K541" s="75"/>
      <c r="L541" s="75"/>
      <c r="M541" s="75"/>
      <c r="N541" s="75"/>
      <c r="O541" s="75"/>
      <c r="P541" s="75"/>
      <c r="Q541" s="75"/>
      <c r="R541" s="75"/>
      <c r="S541" s="75"/>
      <c r="T541" s="75"/>
      <c r="U541" s="75"/>
      <c r="V541" s="75"/>
    </row>
    <row r="542">
      <c r="F542" s="74"/>
      <c r="H542" s="75"/>
      <c r="I542" s="75"/>
      <c r="J542" s="75"/>
      <c r="K542" s="75"/>
      <c r="L542" s="75"/>
      <c r="M542" s="75"/>
      <c r="N542" s="75"/>
      <c r="O542" s="75"/>
      <c r="P542" s="75"/>
      <c r="Q542" s="75"/>
      <c r="R542" s="75"/>
      <c r="S542" s="75"/>
      <c r="T542" s="75"/>
      <c r="U542" s="75"/>
      <c r="V542" s="75"/>
    </row>
    <row r="543">
      <c r="F543" s="74"/>
      <c r="H543" s="75"/>
      <c r="I543" s="75"/>
      <c r="J543" s="75"/>
      <c r="K543" s="75"/>
      <c r="L543" s="75"/>
      <c r="M543" s="75"/>
      <c r="N543" s="75"/>
      <c r="O543" s="75"/>
      <c r="P543" s="75"/>
      <c r="Q543" s="75"/>
      <c r="R543" s="75"/>
      <c r="S543" s="75"/>
      <c r="T543" s="75"/>
      <c r="U543" s="75"/>
      <c r="V543" s="75"/>
    </row>
    <row r="544">
      <c r="F544" s="74"/>
      <c r="H544" s="75"/>
      <c r="I544" s="75"/>
      <c r="J544" s="75"/>
      <c r="K544" s="75"/>
      <c r="L544" s="75"/>
      <c r="M544" s="75"/>
      <c r="N544" s="75"/>
      <c r="O544" s="75"/>
      <c r="P544" s="75"/>
      <c r="Q544" s="75"/>
      <c r="R544" s="75"/>
      <c r="S544" s="75"/>
      <c r="T544" s="75"/>
      <c r="U544" s="75"/>
      <c r="V544" s="75"/>
    </row>
    <row r="545">
      <c r="F545" s="74"/>
      <c r="H545" s="75"/>
      <c r="I545" s="75"/>
      <c r="J545" s="75"/>
      <c r="K545" s="75"/>
      <c r="L545" s="75"/>
      <c r="M545" s="75"/>
      <c r="N545" s="75"/>
      <c r="O545" s="75"/>
      <c r="P545" s="75"/>
      <c r="Q545" s="75"/>
      <c r="R545" s="75"/>
      <c r="S545" s="75"/>
      <c r="T545" s="75"/>
      <c r="U545" s="75"/>
      <c r="V545" s="75"/>
    </row>
    <row r="546">
      <c r="F546" s="74"/>
      <c r="H546" s="75"/>
      <c r="I546" s="75"/>
      <c r="J546" s="75"/>
      <c r="K546" s="75"/>
      <c r="L546" s="75"/>
      <c r="M546" s="75"/>
      <c r="N546" s="75"/>
      <c r="O546" s="75"/>
      <c r="P546" s="75"/>
      <c r="Q546" s="75"/>
      <c r="R546" s="75"/>
      <c r="S546" s="75"/>
      <c r="T546" s="75"/>
      <c r="U546" s="75"/>
      <c r="V546" s="75"/>
    </row>
    <row r="547">
      <c r="F547" s="74"/>
      <c r="H547" s="75"/>
      <c r="I547" s="75"/>
      <c r="J547" s="75"/>
      <c r="K547" s="75"/>
      <c r="L547" s="75"/>
      <c r="M547" s="75"/>
      <c r="N547" s="75"/>
      <c r="O547" s="75"/>
      <c r="P547" s="75"/>
      <c r="Q547" s="75"/>
      <c r="R547" s="75"/>
      <c r="S547" s="75"/>
      <c r="T547" s="75"/>
      <c r="U547" s="75"/>
      <c r="V547" s="75"/>
    </row>
    <row r="548">
      <c r="F548" s="74"/>
      <c r="H548" s="75"/>
      <c r="I548" s="75"/>
      <c r="J548" s="75"/>
      <c r="K548" s="75"/>
      <c r="L548" s="75"/>
      <c r="M548" s="75"/>
      <c r="N548" s="75"/>
      <c r="O548" s="75"/>
      <c r="P548" s="75"/>
      <c r="Q548" s="75"/>
      <c r="R548" s="75"/>
      <c r="S548" s="75"/>
      <c r="T548" s="75"/>
      <c r="U548" s="75"/>
      <c r="V548" s="75"/>
    </row>
    <row r="549">
      <c r="F549" s="74"/>
      <c r="H549" s="75"/>
      <c r="I549" s="75"/>
      <c r="J549" s="75"/>
      <c r="K549" s="75"/>
      <c r="L549" s="75"/>
      <c r="M549" s="75"/>
      <c r="N549" s="75"/>
      <c r="O549" s="75"/>
      <c r="P549" s="75"/>
      <c r="Q549" s="75"/>
      <c r="R549" s="75"/>
      <c r="S549" s="75"/>
      <c r="T549" s="75"/>
      <c r="U549" s="75"/>
      <c r="V549" s="75"/>
    </row>
    <row r="550">
      <c r="F550" s="74"/>
      <c r="H550" s="75"/>
      <c r="I550" s="75"/>
      <c r="J550" s="75"/>
      <c r="K550" s="75"/>
      <c r="L550" s="75"/>
      <c r="M550" s="75"/>
      <c r="N550" s="75"/>
      <c r="O550" s="75"/>
      <c r="P550" s="75"/>
      <c r="Q550" s="75"/>
      <c r="R550" s="75"/>
      <c r="S550" s="75"/>
      <c r="T550" s="75"/>
      <c r="U550" s="75"/>
      <c r="V550" s="75"/>
    </row>
    <row r="551">
      <c r="F551" s="74"/>
      <c r="H551" s="75"/>
      <c r="I551" s="75"/>
      <c r="J551" s="75"/>
      <c r="K551" s="75"/>
      <c r="L551" s="75"/>
      <c r="M551" s="75"/>
      <c r="N551" s="75"/>
      <c r="O551" s="75"/>
      <c r="P551" s="75"/>
      <c r="Q551" s="75"/>
      <c r="R551" s="75"/>
      <c r="S551" s="75"/>
      <c r="T551" s="75"/>
      <c r="U551" s="75"/>
      <c r="V551" s="75"/>
    </row>
    <row r="552">
      <c r="F552" s="74"/>
      <c r="H552" s="75"/>
      <c r="I552" s="75"/>
      <c r="J552" s="75"/>
      <c r="K552" s="75"/>
      <c r="L552" s="75"/>
      <c r="M552" s="75"/>
      <c r="N552" s="75"/>
      <c r="O552" s="75"/>
      <c r="P552" s="75"/>
      <c r="Q552" s="75"/>
      <c r="R552" s="75"/>
      <c r="S552" s="75"/>
      <c r="T552" s="75"/>
      <c r="U552" s="75"/>
      <c r="V552" s="75"/>
    </row>
    <row r="553">
      <c r="F553" s="74"/>
      <c r="H553" s="75"/>
      <c r="I553" s="75"/>
      <c r="J553" s="75"/>
      <c r="K553" s="75"/>
      <c r="L553" s="75"/>
      <c r="M553" s="75"/>
      <c r="N553" s="75"/>
      <c r="O553" s="75"/>
      <c r="P553" s="75"/>
      <c r="Q553" s="75"/>
      <c r="R553" s="75"/>
      <c r="S553" s="75"/>
      <c r="T553" s="75"/>
      <c r="U553" s="75"/>
      <c r="V553" s="75"/>
    </row>
    <row r="554">
      <c r="F554" s="74"/>
      <c r="H554" s="75"/>
      <c r="I554" s="75"/>
      <c r="J554" s="75"/>
      <c r="K554" s="75"/>
      <c r="L554" s="75"/>
      <c r="M554" s="75"/>
      <c r="N554" s="75"/>
      <c r="O554" s="75"/>
      <c r="P554" s="75"/>
      <c r="Q554" s="75"/>
      <c r="R554" s="75"/>
      <c r="S554" s="75"/>
      <c r="T554" s="75"/>
      <c r="U554" s="75"/>
      <c r="V554" s="75"/>
    </row>
    <row r="555">
      <c r="F555" s="74"/>
      <c r="H555" s="75"/>
      <c r="I555" s="75"/>
      <c r="J555" s="75"/>
      <c r="K555" s="75"/>
      <c r="L555" s="75"/>
      <c r="M555" s="75"/>
      <c r="N555" s="75"/>
      <c r="O555" s="75"/>
      <c r="P555" s="75"/>
      <c r="Q555" s="75"/>
      <c r="R555" s="75"/>
      <c r="S555" s="75"/>
      <c r="T555" s="75"/>
      <c r="U555" s="75"/>
      <c r="V555" s="75"/>
    </row>
    <row r="556">
      <c r="F556" s="74"/>
      <c r="H556" s="75"/>
      <c r="I556" s="75"/>
      <c r="J556" s="75"/>
      <c r="K556" s="75"/>
      <c r="L556" s="75"/>
      <c r="M556" s="75"/>
      <c r="N556" s="75"/>
      <c r="O556" s="75"/>
      <c r="P556" s="75"/>
      <c r="Q556" s="75"/>
      <c r="R556" s="75"/>
      <c r="S556" s="75"/>
      <c r="T556" s="75"/>
      <c r="U556" s="75"/>
      <c r="V556" s="75"/>
    </row>
    <row r="557">
      <c r="F557" s="74"/>
      <c r="H557" s="75"/>
      <c r="I557" s="75"/>
      <c r="J557" s="75"/>
      <c r="K557" s="75"/>
      <c r="L557" s="75"/>
      <c r="M557" s="75"/>
      <c r="N557" s="75"/>
      <c r="O557" s="75"/>
      <c r="P557" s="75"/>
      <c r="Q557" s="75"/>
      <c r="R557" s="75"/>
      <c r="S557" s="75"/>
      <c r="T557" s="75"/>
      <c r="U557" s="75"/>
      <c r="V557" s="75"/>
    </row>
    <row r="558">
      <c r="F558" s="74"/>
      <c r="H558" s="75"/>
      <c r="I558" s="75"/>
      <c r="J558" s="75"/>
      <c r="K558" s="75"/>
      <c r="L558" s="75"/>
      <c r="M558" s="75"/>
      <c r="N558" s="75"/>
      <c r="O558" s="75"/>
      <c r="P558" s="75"/>
      <c r="Q558" s="75"/>
      <c r="R558" s="75"/>
      <c r="S558" s="75"/>
      <c r="T558" s="75"/>
      <c r="U558" s="75"/>
      <c r="V558" s="75"/>
    </row>
    <row r="559">
      <c r="F559" s="74"/>
      <c r="H559" s="75"/>
      <c r="I559" s="75"/>
      <c r="J559" s="75"/>
      <c r="K559" s="75"/>
      <c r="L559" s="75"/>
      <c r="M559" s="75"/>
      <c r="N559" s="75"/>
      <c r="O559" s="75"/>
      <c r="P559" s="75"/>
      <c r="Q559" s="75"/>
      <c r="R559" s="75"/>
      <c r="S559" s="75"/>
      <c r="T559" s="75"/>
      <c r="U559" s="75"/>
      <c r="V559" s="75"/>
    </row>
    <row r="560">
      <c r="F560" s="74"/>
      <c r="H560" s="75"/>
      <c r="I560" s="75"/>
      <c r="J560" s="75"/>
      <c r="K560" s="75"/>
      <c r="L560" s="75"/>
      <c r="M560" s="75"/>
      <c r="N560" s="75"/>
      <c r="O560" s="75"/>
      <c r="P560" s="75"/>
      <c r="Q560" s="75"/>
      <c r="R560" s="75"/>
      <c r="S560" s="75"/>
      <c r="T560" s="75"/>
      <c r="U560" s="75"/>
      <c r="V560" s="75"/>
    </row>
    <row r="561">
      <c r="F561" s="74"/>
      <c r="H561" s="75"/>
      <c r="I561" s="75"/>
      <c r="J561" s="75"/>
      <c r="K561" s="75"/>
      <c r="L561" s="75"/>
      <c r="M561" s="75"/>
      <c r="N561" s="75"/>
      <c r="O561" s="75"/>
      <c r="P561" s="75"/>
      <c r="Q561" s="75"/>
      <c r="R561" s="75"/>
      <c r="S561" s="75"/>
      <c r="T561" s="75"/>
      <c r="U561" s="75"/>
      <c r="V561" s="75"/>
    </row>
    <row r="562">
      <c r="F562" s="74"/>
      <c r="H562" s="75"/>
      <c r="I562" s="75"/>
      <c r="J562" s="75"/>
      <c r="K562" s="75"/>
      <c r="L562" s="75"/>
      <c r="M562" s="75"/>
      <c r="N562" s="75"/>
      <c r="O562" s="75"/>
      <c r="P562" s="75"/>
      <c r="Q562" s="75"/>
      <c r="R562" s="75"/>
      <c r="S562" s="75"/>
      <c r="T562" s="75"/>
      <c r="U562" s="75"/>
      <c r="V562" s="75"/>
    </row>
    <row r="563">
      <c r="F563" s="74"/>
      <c r="H563" s="75"/>
      <c r="I563" s="75"/>
      <c r="J563" s="75"/>
      <c r="K563" s="75"/>
      <c r="L563" s="75"/>
      <c r="M563" s="75"/>
      <c r="N563" s="75"/>
      <c r="O563" s="75"/>
      <c r="P563" s="75"/>
      <c r="Q563" s="75"/>
      <c r="R563" s="75"/>
      <c r="S563" s="75"/>
      <c r="T563" s="75"/>
      <c r="U563" s="75"/>
      <c r="V563" s="75"/>
    </row>
    <row r="564">
      <c r="F564" s="74"/>
      <c r="H564" s="75"/>
      <c r="I564" s="75"/>
      <c r="J564" s="75"/>
      <c r="K564" s="75"/>
      <c r="L564" s="75"/>
      <c r="M564" s="75"/>
      <c r="N564" s="75"/>
      <c r="O564" s="75"/>
      <c r="P564" s="75"/>
      <c r="Q564" s="75"/>
      <c r="R564" s="75"/>
      <c r="S564" s="75"/>
      <c r="T564" s="75"/>
      <c r="U564" s="75"/>
      <c r="V564" s="75"/>
    </row>
    <row r="565">
      <c r="F565" s="74"/>
      <c r="H565" s="75"/>
      <c r="I565" s="75"/>
      <c r="J565" s="75"/>
      <c r="K565" s="75"/>
      <c r="L565" s="75"/>
      <c r="M565" s="75"/>
      <c r="N565" s="75"/>
      <c r="O565" s="75"/>
      <c r="P565" s="75"/>
      <c r="Q565" s="75"/>
      <c r="R565" s="75"/>
      <c r="S565" s="75"/>
      <c r="T565" s="75"/>
      <c r="U565" s="75"/>
      <c r="V565" s="75"/>
    </row>
    <row r="566">
      <c r="F566" s="74"/>
      <c r="H566" s="75"/>
      <c r="I566" s="75"/>
      <c r="J566" s="75"/>
      <c r="K566" s="75"/>
      <c r="L566" s="75"/>
      <c r="M566" s="75"/>
      <c r="N566" s="75"/>
      <c r="O566" s="75"/>
      <c r="P566" s="75"/>
      <c r="Q566" s="75"/>
      <c r="R566" s="75"/>
      <c r="S566" s="75"/>
      <c r="T566" s="75"/>
      <c r="U566" s="75"/>
      <c r="V566" s="75"/>
    </row>
    <row r="567">
      <c r="F567" s="74"/>
      <c r="H567" s="75"/>
      <c r="I567" s="75"/>
      <c r="J567" s="75"/>
      <c r="K567" s="75"/>
      <c r="L567" s="75"/>
      <c r="M567" s="75"/>
      <c r="N567" s="75"/>
      <c r="O567" s="75"/>
      <c r="P567" s="75"/>
      <c r="Q567" s="75"/>
      <c r="R567" s="75"/>
      <c r="S567" s="75"/>
      <c r="T567" s="75"/>
      <c r="U567" s="75"/>
      <c r="V567" s="75"/>
    </row>
    <row r="568">
      <c r="F568" s="74"/>
      <c r="H568" s="75"/>
      <c r="I568" s="75"/>
      <c r="J568" s="75"/>
      <c r="K568" s="75"/>
      <c r="L568" s="75"/>
      <c r="M568" s="75"/>
      <c r="N568" s="75"/>
      <c r="O568" s="75"/>
      <c r="P568" s="75"/>
      <c r="Q568" s="75"/>
      <c r="R568" s="75"/>
      <c r="S568" s="75"/>
      <c r="T568" s="75"/>
      <c r="U568" s="75"/>
      <c r="V568" s="75"/>
    </row>
    <row r="569">
      <c r="F569" s="74"/>
      <c r="H569" s="75"/>
      <c r="I569" s="75"/>
      <c r="J569" s="75"/>
      <c r="K569" s="75"/>
      <c r="L569" s="75"/>
      <c r="M569" s="75"/>
      <c r="N569" s="75"/>
      <c r="O569" s="75"/>
      <c r="P569" s="75"/>
      <c r="Q569" s="75"/>
      <c r="R569" s="75"/>
      <c r="S569" s="75"/>
      <c r="T569" s="75"/>
      <c r="U569" s="75"/>
      <c r="V569" s="75"/>
    </row>
    <row r="570">
      <c r="F570" s="74"/>
      <c r="H570" s="75"/>
      <c r="I570" s="75"/>
      <c r="J570" s="75"/>
      <c r="K570" s="75"/>
      <c r="L570" s="75"/>
      <c r="M570" s="75"/>
      <c r="N570" s="75"/>
      <c r="O570" s="75"/>
      <c r="P570" s="75"/>
      <c r="Q570" s="75"/>
      <c r="R570" s="75"/>
      <c r="S570" s="75"/>
      <c r="T570" s="75"/>
      <c r="U570" s="75"/>
      <c r="V570" s="75"/>
    </row>
    <row r="571">
      <c r="F571" s="74"/>
      <c r="H571" s="75"/>
      <c r="I571" s="75"/>
      <c r="J571" s="75"/>
      <c r="K571" s="75"/>
      <c r="L571" s="75"/>
      <c r="M571" s="75"/>
      <c r="N571" s="75"/>
      <c r="O571" s="75"/>
      <c r="P571" s="75"/>
      <c r="Q571" s="75"/>
      <c r="R571" s="75"/>
      <c r="S571" s="75"/>
      <c r="T571" s="75"/>
      <c r="U571" s="75"/>
      <c r="V571" s="75"/>
    </row>
    <row r="572">
      <c r="F572" s="74"/>
      <c r="H572" s="75"/>
      <c r="I572" s="75"/>
      <c r="J572" s="75"/>
      <c r="K572" s="75"/>
      <c r="L572" s="75"/>
      <c r="M572" s="75"/>
      <c r="N572" s="75"/>
      <c r="O572" s="75"/>
      <c r="P572" s="75"/>
      <c r="Q572" s="75"/>
      <c r="R572" s="75"/>
      <c r="S572" s="75"/>
      <c r="T572" s="75"/>
      <c r="U572" s="75"/>
      <c r="V572" s="75"/>
    </row>
    <row r="573">
      <c r="F573" s="74"/>
      <c r="H573" s="75"/>
      <c r="I573" s="75"/>
      <c r="J573" s="75"/>
      <c r="K573" s="75"/>
      <c r="L573" s="75"/>
      <c r="M573" s="75"/>
      <c r="N573" s="75"/>
      <c r="O573" s="75"/>
      <c r="P573" s="75"/>
      <c r="Q573" s="75"/>
      <c r="R573" s="75"/>
      <c r="S573" s="75"/>
      <c r="T573" s="75"/>
      <c r="U573" s="75"/>
      <c r="V573" s="75"/>
    </row>
    <row r="574">
      <c r="F574" s="74"/>
      <c r="H574" s="75"/>
      <c r="I574" s="75"/>
      <c r="J574" s="75"/>
      <c r="K574" s="75"/>
      <c r="L574" s="75"/>
      <c r="M574" s="75"/>
      <c r="N574" s="75"/>
      <c r="O574" s="75"/>
      <c r="P574" s="75"/>
      <c r="Q574" s="75"/>
      <c r="R574" s="75"/>
      <c r="S574" s="75"/>
      <c r="T574" s="75"/>
      <c r="U574" s="75"/>
      <c r="V574" s="75"/>
    </row>
    <row r="575">
      <c r="F575" s="74"/>
      <c r="H575" s="75"/>
      <c r="I575" s="75"/>
      <c r="J575" s="75"/>
      <c r="K575" s="75"/>
      <c r="L575" s="75"/>
      <c r="M575" s="75"/>
      <c r="N575" s="75"/>
      <c r="O575" s="75"/>
      <c r="P575" s="75"/>
      <c r="Q575" s="75"/>
      <c r="R575" s="75"/>
      <c r="S575" s="75"/>
      <c r="T575" s="75"/>
      <c r="U575" s="75"/>
      <c r="V575" s="75"/>
    </row>
    <row r="576">
      <c r="F576" s="74"/>
      <c r="H576" s="75"/>
      <c r="I576" s="75"/>
      <c r="J576" s="75"/>
      <c r="K576" s="75"/>
      <c r="L576" s="75"/>
      <c r="M576" s="75"/>
      <c r="N576" s="75"/>
      <c r="O576" s="75"/>
      <c r="P576" s="75"/>
      <c r="Q576" s="75"/>
      <c r="R576" s="75"/>
      <c r="S576" s="75"/>
      <c r="T576" s="75"/>
      <c r="U576" s="75"/>
      <c r="V576" s="75"/>
    </row>
    <row r="577">
      <c r="F577" s="74"/>
      <c r="H577" s="75"/>
      <c r="I577" s="75"/>
      <c r="J577" s="75"/>
      <c r="K577" s="75"/>
      <c r="L577" s="75"/>
      <c r="M577" s="75"/>
      <c r="N577" s="75"/>
      <c r="O577" s="75"/>
      <c r="P577" s="75"/>
      <c r="Q577" s="75"/>
      <c r="R577" s="75"/>
      <c r="S577" s="75"/>
      <c r="T577" s="75"/>
      <c r="U577" s="75"/>
      <c r="V577" s="75"/>
    </row>
    <row r="578">
      <c r="F578" s="74"/>
      <c r="H578" s="75"/>
      <c r="I578" s="75"/>
      <c r="J578" s="75"/>
      <c r="K578" s="75"/>
      <c r="L578" s="75"/>
      <c r="M578" s="75"/>
      <c r="N578" s="75"/>
      <c r="O578" s="75"/>
      <c r="P578" s="75"/>
      <c r="Q578" s="75"/>
      <c r="R578" s="75"/>
      <c r="S578" s="75"/>
      <c r="T578" s="75"/>
      <c r="U578" s="75"/>
      <c r="V578" s="75"/>
    </row>
    <row r="579">
      <c r="F579" s="74"/>
      <c r="H579" s="75"/>
      <c r="I579" s="75"/>
      <c r="J579" s="75"/>
      <c r="K579" s="75"/>
      <c r="L579" s="75"/>
      <c r="M579" s="75"/>
      <c r="N579" s="75"/>
      <c r="O579" s="75"/>
      <c r="P579" s="75"/>
      <c r="Q579" s="75"/>
      <c r="R579" s="75"/>
      <c r="S579" s="75"/>
      <c r="T579" s="75"/>
      <c r="U579" s="75"/>
      <c r="V579" s="75"/>
    </row>
    <row r="580">
      <c r="F580" s="74"/>
      <c r="H580" s="75"/>
      <c r="I580" s="75"/>
      <c r="J580" s="75"/>
      <c r="K580" s="75"/>
      <c r="L580" s="75"/>
      <c r="M580" s="75"/>
      <c r="N580" s="75"/>
      <c r="O580" s="75"/>
      <c r="P580" s="75"/>
      <c r="Q580" s="75"/>
      <c r="R580" s="75"/>
      <c r="S580" s="75"/>
      <c r="T580" s="75"/>
      <c r="U580" s="75"/>
      <c r="V580" s="75"/>
    </row>
    <row r="581">
      <c r="F581" s="74"/>
      <c r="H581" s="75"/>
      <c r="I581" s="75"/>
      <c r="J581" s="75"/>
      <c r="K581" s="75"/>
      <c r="L581" s="75"/>
      <c r="M581" s="75"/>
      <c r="N581" s="75"/>
      <c r="O581" s="75"/>
      <c r="P581" s="75"/>
      <c r="Q581" s="75"/>
      <c r="R581" s="75"/>
      <c r="S581" s="75"/>
      <c r="T581" s="75"/>
      <c r="U581" s="75"/>
      <c r="V581" s="75"/>
    </row>
    <row r="582">
      <c r="F582" s="74"/>
      <c r="H582" s="75"/>
      <c r="I582" s="75"/>
      <c r="J582" s="75"/>
      <c r="K582" s="75"/>
      <c r="L582" s="75"/>
      <c r="M582" s="75"/>
      <c r="N582" s="75"/>
      <c r="O582" s="75"/>
      <c r="P582" s="75"/>
      <c r="Q582" s="75"/>
      <c r="R582" s="75"/>
      <c r="S582" s="75"/>
      <c r="T582" s="75"/>
      <c r="U582" s="75"/>
      <c r="V582" s="75"/>
    </row>
    <row r="583">
      <c r="F583" s="74"/>
      <c r="H583" s="75"/>
      <c r="I583" s="75"/>
      <c r="J583" s="75"/>
      <c r="K583" s="75"/>
      <c r="L583" s="75"/>
      <c r="M583" s="75"/>
      <c r="N583" s="75"/>
      <c r="O583" s="75"/>
      <c r="P583" s="75"/>
      <c r="Q583" s="75"/>
      <c r="R583" s="75"/>
      <c r="S583" s="75"/>
      <c r="T583" s="75"/>
      <c r="U583" s="75"/>
      <c r="V583" s="75"/>
    </row>
    <row r="584">
      <c r="F584" s="74"/>
      <c r="H584" s="75"/>
      <c r="I584" s="75"/>
      <c r="J584" s="75"/>
      <c r="K584" s="75"/>
      <c r="L584" s="75"/>
      <c r="M584" s="75"/>
      <c r="N584" s="75"/>
      <c r="O584" s="75"/>
      <c r="P584" s="75"/>
      <c r="Q584" s="75"/>
      <c r="R584" s="75"/>
      <c r="S584" s="75"/>
      <c r="T584" s="75"/>
      <c r="U584" s="75"/>
      <c r="V584" s="75"/>
    </row>
    <row r="585">
      <c r="F585" s="74"/>
      <c r="H585" s="75"/>
      <c r="I585" s="75"/>
      <c r="J585" s="75"/>
      <c r="K585" s="75"/>
      <c r="L585" s="75"/>
      <c r="M585" s="75"/>
      <c r="N585" s="75"/>
      <c r="O585" s="75"/>
      <c r="P585" s="75"/>
      <c r="Q585" s="75"/>
      <c r="R585" s="75"/>
      <c r="S585" s="75"/>
      <c r="T585" s="75"/>
      <c r="U585" s="75"/>
      <c r="V585" s="75"/>
    </row>
    <row r="586">
      <c r="F586" s="74"/>
      <c r="H586" s="75"/>
      <c r="I586" s="75"/>
      <c r="J586" s="75"/>
      <c r="K586" s="75"/>
      <c r="L586" s="75"/>
      <c r="M586" s="75"/>
      <c r="N586" s="75"/>
      <c r="O586" s="75"/>
      <c r="P586" s="75"/>
      <c r="Q586" s="75"/>
      <c r="R586" s="75"/>
      <c r="S586" s="75"/>
      <c r="T586" s="75"/>
      <c r="U586" s="75"/>
      <c r="V586" s="75"/>
    </row>
    <row r="587">
      <c r="F587" s="74"/>
      <c r="H587" s="75"/>
      <c r="I587" s="75"/>
      <c r="J587" s="75"/>
      <c r="K587" s="75"/>
      <c r="L587" s="75"/>
      <c r="M587" s="75"/>
      <c r="N587" s="75"/>
      <c r="O587" s="75"/>
      <c r="P587" s="75"/>
      <c r="Q587" s="75"/>
      <c r="R587" s="75"/>
      <c r="S587" s="75"/>
      <c r="T587" s="75"/>
      <c r="U587" s="75"/>
      <c r="V587" s="75"/>
    </row>
    <row r="588">
      <c r="F588" s="74"/>
      <c r="H588" s="75"/>
      <c r="I588" s="75"/>
      <c r="J588" s="75"/>
      <c r="K588" s="75"/>
      <c r="L588" s="75"/>
      <c r="M588" s="75"/>
      <c r="N588" s="75"/>
      <c r="O588" s="75"/>
      <c r="P588" s="75"/>
      <c r="Q588" s="75"/>
      <c r="R588" s="75"/>
      <c r="S588" s="75"/>
      <c r="T588" s="75"/>
      <c r="U588" s="75"/>
      <c r="V588" s="75"/>
    </row>
    <row r="589">
      <c r="F589" s="74"/>
      <c r="H589" s="75"/>
      <c r="I589" s="75"/>
      <c r="J589" s="75"/>
      <c r="K589" s="75"/>
      <c r="L589" s="75"/>
      <c r="M589" s="75"/>
      <c r="N589" s="75"/>
      <c r="O589" s="75"/>
      <c r="P589" s="75"/>
      <c r="Q589" s="75"/>
      <c r="R589" s="75"/>
      <c r="S589" s="75"/>
      <c r="T589" s="75"/>
      <c r="U589" s="75"/>
      <c r="V589" s="75"/>
    </row>
    <row r="590">
      <c r="F590" s="74"/>
      <c r="H590" s="75"/>
      <c r="I590" s="75"/>
      <c r="J590" s="75"/>
      <c r="K590" s="75"/>
      <c r="L590" s="75"/>
      <c r="M590" s="75"/>
      <c r="N590" s="75"/>
      <c r="O590" s="75"/>
      <c r="P590" s="75"/>
      <c r="Q590" s="75"/>
      <c r="R590" s="75"/>
      <c r="S590" s="75"/>
      <c r="T590" s="75"/>
      <c r="U590" s="75"/>
      <c r="V590" s="75"/>
    </row>
    <row r="591">
      <c r="F591" s="74"/>
      <c r="H591" s="75"/>
      <c r="I591" s="75"/>
      <c r="J591" s="75"/>
      <c r="K591" s="75"/>
      <c r="L591" s="75"/>
      <c r="M591" s="75"/>
      <c r="N591" s="75"/>
      <c r="O591" s="75"/>
      <c r="P591" s="75"/>
      <c r="Q591" s="75"/>
      <c r="R591" s="75"/>
      <c r="S591" s="75"/>
      <c r="T591" s="75"/>
      <c r="U591" s="75"/>
      <c r="V591" s="75"/>
    </row>
    <row r="592">
      <c r="F592" s="74"/>
      <c r="H592" s="75"/>
      <c r="I592" s="75"/>
      <c r="J592" s="75"/>
      <c r="K592" s="75"/>
      <c r="L592" s="75"/>
      <c r="M592" s="75"/>
      <c r="N592" s="75"/>
      <c r="O592" s="75"/>
      <c r="P592" s="75"/>
      <c r="Q592" s="75"/>
      <c r="R592" s="75"/>
      <c r="S592" s="75"/>
      <c r="T592" s="75"/>
      <c r="U592" s="75"/>
      <c r="V592" s="75"/>
    </row>
    <row r="593">
      <c r="F593" s="74"/>
      <c r="H593" s="75"/>
      <c r="I593" s="75"/>
      <c r="J593" s="75"/>
      <c r="K593" s="75"/>
      <c r="L593" s="75"/>
      <c r="M593" s="75"/>
      <c r="N593" s="75"/>
      <c r="O593" s="75"/>
      <c r="P593" s="75"/>
      <c r="Q593" s="75"/>
      <c r="R593" s="75"/>
      <c r="S593" s="75"/>
      <c r="T593" s="75"/>
      <c r="U593" s="75"/>
      <c r="V593" s="75"/>
    </row>
    <row r="594">
      <c r="F594" s="74"/>
      <c r="H594" s="75"/>
      <c r="I594" s="75"/>
      <c r="J594" s="75"/>
      <c r="K594" s="75"/>
      <c r="L594" s="75"/>
      <c r="M594" s="75"/>
      <c r="N594" s="75"/>
      <c r="O594" s="75"/>
      <c r="P594" s="75"/>
      <c r="Q594" s="75"/>
      <c r="R594" s="75"/>
      <c r="S594" s="75"/>
      <c r="T594" s="75"/>
      <c r="U594" s="75"/>
      <c r="V594" s="75"/>
    </row>
    <row r="595">
      <c r="F595" s="74"/>
      <c r="H595" s="75"/>
      <c r="I595" s="75"/>
      <c r="J595" s="75"/>
      <c r="K595" s="75"/>
      <c r="L595" s="75"/>
      <c r="M595" s="75"/>
      <c r="N595" s="75"/>
      <c r="O595" s="75"/>
      <c r="P595" s="75"/>
      <c r="Q595" s="75"/>
      <c r="R595" s="75"/>
      <c r="S595" s="75"/>
      <c r="T595" s="75"/>
      <c r="U595" s="75"/>
      <c r="V595" s="75"/>
    </row>
    <row r="596">
      <c r="F596" s="74"/>
      <c r="H596" s="75"/>
      <c r="I596" s="75"/>
      <c r="J596" s="75"/>
      <c r="K596" s="75"/>
      <c r="L596" s="75"/>
      <c r="M596" s="75"/>
      <c r="N596" s="75"/>
      <c r="O596" s="75"/>
      <c r="P596" s="75"/>
      <c r="Q596" s="75"/>
      <c r="R596" s="75"/>
      <c r="S596" s="75"/>
      <c r="T596" s="75"/>
      <c r="U596" s="75"/>
      <c r="V596" s="75"/>
    </row>
    <row r="597">
      <c r="F597" s="74"/>
      <c r="H597" s="75"/>
      <c r="I597" s="75"/>
      <c r="J597" s="75"/>
      <c r="K597" s="75"/>
      <c r="L597" s="75"/>
      <c r="M597" s="75"/>
      <c r="N597" s="75"/>
      <c r="O597" s="75"/>
      <c r="P597" s="75"/>
      <c r="Q597" s="75"/>
      <c r="R597" s="75"/>
      <c r="S597" s="75"/>
      <c r="T597" s="75"/>
      <c r="U597" s="75"/>
      <c r="V597" s="75"/>
    </row>
    <row r="598">
      <c r="F598" s="74"/>
      <c r="H598" s="75"/>
      <c r="I598" s="75"/>
      <c r="J598" s="75"/>
      <c r="K598" s="75"/>
      <c r="L598" s="75"/>
      <c r="M598" s="75"/>
      <c r="N598" s="75"/>
      <c r="O598" s="75"/>
      <c r="P598" s="75"/>
      <c r="Q598" s="75"/>
      <c r="R598" s="75"/>
      <c r="S598" s="75"/>
      <c r="T598" s="75"/>
      <c r="U598" s="75"/>
      <c r="V598" s="75"/>
    </row>
    <row r="599">
      <c r="F599" s="74"/>
      <c r="H599" s="75"/>
      <c r="I599" s="75"/>
      <c r="J599" s="75"/>
      <c r="K599" s="75"/>
      <c r="L599" s="75"/>
      <c r="M599" s="75"/>
      <c r="N599" s="75"/>
      <c r="O599" s="75"/>
      <c r="P599" s="75"/>
      <c r="Q599" s="75"/>
      <c r="R599" s="75"/>
      <c r="S599" s="75"/>
      <c r="T599" s="75"/>
      <c r="U599" s="75"/>
      <c r="V599" s="75"/>
    </row>
    <row r="600">
      <c r="F600" s="74"/>
      <c r="H600" s="75"/>
      <c r="I600" s="75"/>
      <c r="J600" s="75"/>
      <c r="K600" s="75"/>
      <c r="L600" s="75"/>
      <c r="M600" s="75"/>
      <c r="N600" s="75"/>
      <c r="O600" s="75"/>
      <c r="P600" s="75"/>
      <c r="Q600" s="75"/>
      <c r="R600" s="75"/>
      <c r="S600" s="75"/>
      <c r="T600" s="75"/>
      <c r="U600" s="75"/>
      <c r="V600" s="75"/>
    </row>
    <row r="601">
      <c r="F601" s="74"/>
      <c r="H601" s="75"/>
      <c r="I601" s="75"/>
      <c r="J601" s="75"/>
      <c r="K601" s="75"/>
      <c r="L601" s="75"/>
      <c r="M601" s="75"/>
      <c r="N601" s="75"/>
      <c r="O601" s="75"/>
      <c r="P601" s="75"/>
      <c r="Q601" s="75"/>
      <c r="R601" s="75"/>
      <c r="S601" s="75"/>
      <c r="T601" s="75"/>
      <c r="U601" s="75"/>
      <c r="V601" s="75"/>
    </row>
    <row r="602">
      <c r="F602" s="74"/>
      <c r="H602" s="75"/>
      <c r="I602" s="75"/>
      <c r="J602" s="75"/>
      <c r="K602" s="75"/>
      <c r="L602" s="75"/>
      <c r="M602" s="75"/>
      <c r="N602" s="75"/>
      <c r="O602" s="75"/>
      <c r="P602" s="75"/>
      <c r="Q602" s="75"/>
      <c r="R602" s="75"/>
      <c r="S602" s="75"/>
      <c r="T602" s="75"/>
      <c r="U602" s="75"/>
      <c r="V602" s="75"/>
    </row>
    <row r="603">
      <c r="F603" s="74"/>
      <c r="H603" s="75"/>
      <c r="I603" s="75"/>
      <c r="J603" s="75"/>
      <c r="K603" s="75"/>
      <c r="L603" s="75"/>
      <c r="M603" s="75"/>
      <c r="N603" s="75"/>
      <c r="O603" s="75"/>
      <c r="P603" s="75"/>
      <c r="Q603" s="75"/>
      <c r="R603" s="75"/>
      <c r="S603" s="75"/>
      <c r="T603" s="75"/>
      <c r="U603" s="75"/>
      <c r="V603" s="75"/>
    </row>
    <row r="604">
      <c r="F604" s="74"/>
      <c r="H604" s="75"/>
      <c r="I604" s="75"/>
      <c r="J604" s="75"/>
      <c r="K604" s="75"/>
      <c r="L604" s="75"/>
      <c r="M604" s="75"/>
      <c r="N604" s="75"/>
      <c r="O604" s="75"/>
      <c r="P604" s="75"/>
      <c r="Q604" s="75"/>
      <c r="R604" s="75"/>
      <c r="S604" s="75"/>
      <c r="T604" s="75"/>
      <c r="U604" s="75"/>
      <c r="V604" s="75"/>
    </row>
    <row r="605">
      <c r="F605" s="74"/>
      <c r="H605" s="75"/>
      <c r="I605" s="75"/>
      <c r="J605" s="75"/>
      <c r="K605" s="75"/>
      <c r="L605" s="75"/>
      <c r="M605" s="75"/>
      <c r="N605" s="75"/>
      <c r="O605" s="75"/>
      <c r="P605" s="75"/>
      <c r="Q605" s="75"/>
      <c r="R605" s="75"/>
      <c r="S605" s="75"/>
      <c r="T605" s="75"/>
      <c r="U605" s="75"/>
      <c r="V605" s="75"/>
    </row>
    <row r="606">
      <c r="F606" s="74"/>
      <c r="H606" s="75"/>
      <c r="I606" s="75"/>
      <c r="J606" s="75"/>
      <c r="K606" s="75"/>
      <c r="L606" s="75"/>
      <c r="M606" s="75"/>
      <c r="N606" s="75"/>
      <c r="O606" s="75"/>
      <c r="P606" s="75"/>
      <c r="Q606" s="75"/>
      <c r="R606" s="75"/>
      <c r="S606" s="75"/>
      <c r="T606" s="75"/>
      <c r="U606" s="75"/>
      <c r="V606" s="75"/>
    </row>
    <row r="607">
      <c r="F607" s="74"/>
      <c r="H607" s="75"/>
      <c r="I607" s="75"/>
      <c r="J607" s="75"/>
      <c r="K607" s="75"/>
      <c r="L607" s="75"/>
      <c r="M607" s="75"/>
      <c r="N607" s="75"/>
      <c r="O607" s="75"/>
      <c r="P607" s="75"/>
      <c r="Q607" s="75"/>
      <c r="R607" s="75"/>
      <c r="S607" s="75"/>
      <c r="T607" s="75"/>
      <c r="U607" s="75"/>
      <c r="V607" s="75"/>
    </row>
    <row r="608">
      <c r="F608" s="74"/>
      <c r="H608" s="75"/>
      <c r="I608" s="75"/>
      <c r="J608" s="75"/>
      <c r="K608" s="75"/>
      <c r="L608" s="75"/>
      <c r="M608" s="75"/>
      <c r="N608" s="75"/>
      <c r="O608" s="75"/>
      <c r="P608" s="75"/>
      <c r="Q608" s="75"/>
      <c r="R608" s="75"/>
      <c r="S608" s="75"/>
      <c r="T608" s="75"/>
      <c r="U608" s="75"/>
      <c r="V608" s="75"/>
    </row>
    <row r="609">
      <c r="F609" s="74"/>
      <c r="H609" s="75"/>
      <c r="I609" s="75"/>
      <c r="J609" s="75"/>
      <c r="K609" s="75"/>
      <c r="L609" s="75"/>
      <c r="M609" s="75"/>
      <c r="N609" s="75"/>
      <c r="O609" s="75"/>
      <c r="P609" s="75"/>
      <c r="Q609" s="75"/>
      <c r="R609" s="75"/>
      <c r="S609" s="75"/>
      <c r="T609" s="75"/>
      <c r="U609" s="75"/>
      <c r="V609" s="75"/>
    </row>
    <row r="610">
      <c r="F610" s="74"/>
      <c r="H610" s="75"/>
      <c r="I610" s="75"/>
      <c r="J610" s="75"/>
      <c r="K610" s="75"/>
      <c r="L610" s="75"/>
      <c r="M610" s="75"/>
      <c r="N610" s="75"/>
      <c r="O610" s="75"/>
      <c r="P610" s="75"/>
      <c r="Q610" s="75"/>
      <c r="R610" s="75"/>
      <c r="S610" s="75"/>
      <c r="T610" s="75"/>
      <c r="U610" s="75"/>
      <c r="V610" s="75"/>
    </row>
    <row r="611">
      <c r="F611" s="74"/>
      <c r="H611" s="75"/>
      <c r="I611" s="75"/>
      <c r="J611" s="75"/>
      <c r="K611" s="75"/>
      <c r="L611" s="75"/>
      <c r="M611" s="75"/>
      <c r="N611" s="75"/>
      <c r="O611" s="75"/>
      <c r="P611" s="75"/>
      <c r="Q611" s="75"/>
      <c r="R611" s="75"/>
      <c r="S611" s="75"/>
      <c r="T611" s="75"/>
      <c r="U611" s="75"/>
      <c r="V611" s="75"/>
    </row>
    <row r="612">
      <c r="F612" s="74"/>
      <c r="H612" s="75"/>
      <c r="I612" s="75"/>
      <c r="J612" s="75"/>
      <c r="K612" s="75"/>
      <c r="L612" s="75"/>
      <c r="M612" s="75"/>
      <c r="N612" s="75"/>
      <c r="O612" s="75"/>
      <c r="P612" s="75"/>
      <c r="Q612" s="75"/>
      <c r="R612" s="75"/>
      <c r="S612" s="75"/>
      <c r="T612" s="75"/>
      <c r="U612" s="75"/>
      <c r="V612" s="75"/>
    </row>
    <row r="613">
      <c r="F613" s="74"/>
      <c r="H613" s="75"/>
      <c r="I613" s="75"/>
      <c r="J613" s="75"/>
      <c r="K613" s="75"/>
      <c r="L613" s="75"/>
      <c r="M613" s="75"/>
      <c r="N613" s="75"/>
      <c r="O613" s="75"/>
      <c r="P613" s="75"/>
      <c r="Q613" s="75"/>
      <c r="R613" s="75"/>
      <c r="S613" s="75"/>
      <c r="T613" s="75"/>
      <c r="U613" s="75"/>
      <c r="V613" s="75"/>
    </row>
    <row r="614">
      <c r="F614" s="74"/>
      <c r="H614" s="75"/>
      <c r="I614" s="75"/>
      <c r="J614" s="75"/>
      <c r="K614" s="75"/>
      <c r="L614" s="75"/>
      <c r="M614" s="75"/>
      <c r="N614" s="75"/>
      <c r="O614" s="75"/>
      <c r="P614" s="75"/>
      <c r="Q614" s="75"/>
      <c r="R614" s="75"/>
      <c r="S614" s="75"/>
      <c r="T614" s="75"/>
      <c r="U614" s="75"/>
      <c r="V614" s="75"/>
    </row>
    <row r="615">
      <c r="F615" s="74"/>
      <c r="H615" s="75"/>
      <c r="I615" s="75"/>
      <c r="J615" s="75"/>
      <c r="K615" s="75"/>
      <c r="L615" s="75"/>
      <c r="M615" s="75"/>
      <c r="N615" s="75"/>
      <c r="O615" s="75"/>
      <c r="P615" s="75"/>
      <c r="Q615" s="75"/>
      <c r="R615" s="75"/>
      <c r="S615" s="75"/>
      <c r="T615" s="75"/>
      <c r="U615" s="75"/>
      <c r="V615" s="75"/>
    </row>
    <row r="616">
      <c r="F616" s="74"/>
      <c r="H616" s="75"/>
      <c r="I616" s="75"/>
      <c r="J616" s="75"/>
      <c r="K616" s="75"/>
      <c r="L616" s="75"/>
      <c r="M616" s="75"/>
      <c r="N616" s="75"/>
      <c r="O616" s="75"/>
      <c r="P616" s="75"/>
      <c r="Q616" s="75"/>
      <c r="R616" s="75"/>
      <c r="S616" s="75"/>
      <c r="T616" s="75"/>
      <c r="U616" s="75"/>
      <c r="V616" s="75"/>
    </row>
    <row r="617">
      <c r="F617" s="74"/>
      <c r="H617" s="75"/>
      <c r="I617" s="75"/>
      <c r="J617" s="75"/>
      <c r="K617" s="75"/>
      <c r="L617" s="75"/>
      <c r="M617" s="75"/>
      <c r="N617" s="75"/>
      <c r="O617" s="75"/>
      <c r="P617" s="75"/>
      <c r="Q617" s="75"/>
      <c r="R617" s="75"/>
      <c r="S617" s="75"/>
      <c r="T617" s="75"/>
      <c r="U617" s="75"/>
      <c r="V617" s="75"/>
    </row>
    <row r="618">
      <c r="F618" s="74"/>
      <c r="H618" s="75"/>
      <c r="I618" s="75"/>
      <c r="J618" s="75"/>
      <c r="K618" s="75"/>
      <c r="L618" s="75"/>
      <c r="M618" s="75"/>
      <c r="N618" s="75"/>
      <c r="O618" s="75"/>
      <c r="P618" s="75"/>
      <c r="Q618" s="75"/>
      <c r="R618" s="75"/>
      <c r="S618" s="75"/>
      <c r="T618" s="75"/>
      <c r="U618" s="75"/>
      <c r="V618" s="75"/>
    </row>
    <row r="619">
      <c r="F619" s="74"/>
      <c r="H619" s="75"/>
      <c r="I619" s="75"/>
      <c r="J619" s="75"/>
      <c r="K619" s="75"/>
      <c r="L619" s="75"/>
      <c r="M619" s="75"/>
      <c r="N619" s="75"/>
      <c r="O619" s="75"/>
      <c r="P619" s="75"/>
      <c r="Q619" s="75"/>
      <c r="R619" s="75"/>
      <c r="S619" s="75"/>
      <c r="T619" s="75"/>
      <c r="U619" s="75"/>
      <c r="V619" s="75"/>
    </row>
    <row r="620">
      <c r="F620" s="74"/>
      <c r="H620" s="75"/>
      <c r="I620" s="75"/>
      <c r="J620" s="75"/>
      <c r="K620" s="75"/>
      <c r="L620" s="75"/>
      <c r="M620" s="75"/>
      <c r="N620" s="75"/>
      <c r="O620" s="75"/>
      <c r="P620" s="75"/>
      <c r="Q620" s="75"/>
      <c r="R620" s="75"/>
      <c r="S620" s="75"/>
      <c r="T620" s="75"/>
      <c r="U620" s="75"/>
      <c r="V620" s="75"/>
    </row>
    <row r="621">
      <c r="F621" s="74"/>
      <c r="H621" s="75"/>
      <c r="I621" s="75"/>
      <c r="J621" s="75"/>
      <c r="K621" s="75"/>
      <c r="L621" s="75"/>
      <c r="M621" s="75"/>
      <c r="N621" s="75"/>
      <c r="O621" s="75"/>
      <c r="P621" s="75"/>
      <c r="Q621" s="75"/>
      <c r="R621" s="75"/>
      <c r="S621" s="75"/>
      <c r="T621" s="75"/>
      <c r="U621" s="75"/>
      <c r="V621" s="75"/>
    </row>
    <row r="622">
      <c r="F622" s="74"/>
      <c r="H622" s="75"/>
      <c r="I622" s="75"/>
      <c r="J622" s="75"/>
      <c r="K622" s="75"/>
      <c r="L622" s="75"/>
      <c r="M622" s="75"/>
      <c r="N622" s="75"/>
      <c r="O622" s="75"/>
      <c r="P622" s="75"/>
      <c r="Q622" s="75"/>
      <c r="R622" s="75"/>
      <c r="S622" s="75"/>
      <c r="T622" s="75"/>
      <c r="U622" s="75"/>
      <c r="V622" s="75"/>
    </row>
    <row r="623">
      <c r="F623" s="74"/>
      <c r="H623" s="75"/>
      <c r="I623" s="75"/>
      <c r="J623" s="75"/>
      <c r="K623" s="75"/>
      <c r="L623" s="75"/>
      <c r="M623" s="75"/>
      <c r="N623" s="75"/>
      <c r="O623" s="75"/>
      <c r="P623" s="75"/>
      <c r="Q623" s="75"/>
      <c r="R623" s="75"/>
      <c r="S623" s="75"/>
      <c r="T623" s="75"/>
      <c r="U623" s="75"/>
      <c r="V623" s="75"/>
    </row>
    <row r="624">
      <c r="F624" s="74"/>
      <c r="H624" s="75"/>
      <c r="I624" s="75"/>
      <c r="J624" s="75"/>
      <c r="K624" s="75"/>
      <c r="L624" s="75"/>
      <c r="M624" s="75"/>
      <c r="N624" s="75"/>
      <c r="O624" s="75"/>
      <c r="P624" s="75"/>
      <c r="Q624" s="75"/>
      <c r="R624" s="75"/>
      <c r="S624" s="75"/>
      <c r="T624" s="75"/>
      <c r="U624" s="75"/>
      <c r="V624" s="75"/>
    </row>
    <row r="625">
      <c r="F625" s="74"/>
      <c r="H625" s="75"/>
      <c r="I625" s="75"/>
      <c r="J625" s="75"/>
      <c r="K625" s="75"/>
      <c r="L625" s="75"/>
      <c r="M625" s="75"/>
      <c r="N625" s="75"/>
      <c r="O625" s="75"/>
      <c r="P625" s="75"/>
      <c r="Q625" s="75"/>
      <c r="R625" s="75"/>
      <c r="S625" s="75"/>
      <c r="T625" s="75"/>
      <c r="U625" s="75"/>
      <c r="V625" s="75"/>
    </row>
    <row r="626">
      <c r="F626" s="74"/>
      <c r="H626" s="75"/>
      <c r="I626" s="75"/>
      <c r="J626" s="75"/>
      <c r="K626" s="75"/>
      <c r="L626" s="75"/>
      <c r="M626" s="75"/>
      <c r="N626" s="75"/>
      <c r="O626" s="75"/>
      <c r="P626" s="75"/>
      <c r="Q626" s="75"/>
      <c r="R626" s="75"/>
      <c r="S626" s="75"/>
      <c r="T626" s="75"/>
      <c r="U626" s="75"/>
      <c r="V626" s="75"/>
    </row>
    <row r="627">
      <c r="F627" s="74"/>
      <c r="H627" s="75"/>
      <c r="I627" s="75"/>
      <c r="J627" s="75"/>
      <c r="K627" s="75"/>
      <c r="L627" s="75"/>
      <c r="M627" s="75"/>
      <c r="N627" s="75"/>
      <c r="O627" s="75"/>
      <c r="P627" s="75"/>
      <c r="Q627" s="75"/>
      <c r="R627" s="75"/>
      <c r="S627" s="75"/>
      <c r="T627" s="75"/>
      <c r="U627" s="75"/>
      <c r="V627" s="75"/>
    </row>
    <row r="628">
      <c r="F628" s="74"/>
      <c r="H628" s="75"/>
      <c r="I628" s="75"/>
      <c r="J628" s="75"/>
      <c r="K628" s="75"/>
      <c r="L628" s="75"/>
      <c r="M628" s="75"/>
      <c r="N628" s="75"/>
      <c r="O628" s="75"/>
      <c r="P628" s="75"/>
      <c r="Q628" s="75"/>
      <c r="R628" s="75"/>
      <c r="S628" s="75"/>
      <c r="T628" s="75"/>
      <c r="U628" s="75"/>
      <c r="V628" s="75"/>
    </row>
    <row r="629">
      <c r="F629" s="74"/>
      <c r="H629" s="75"/>
      <c r="I629" s="75"/>
      <c r="J629" s="75"/>
      <c r="K629" s="75"/>
      <c r="L629" s="75"/>
      <c r="M629" s="75"/>
      <c r="N629" s="75"/>
      <c r="O629" s="75"/>
      <c r="P629" s="75"/>
      <c r="Q629" s="75"/>
      <c r="R629" s="75"/>
      <c r="S629" s="75"/>
      <c r="T629" s="75"/>
      <c r="U629" s="75"/>
      <c r="V629" s="75"/>
    </row>
    <row r="630">
      <c r="F630" s="74"/>
      <c r="H630" s="75"/>
      <c r="I630" s="75"/>
      <c r="J630" s="75"/>
      <c r="K630" s="75"/>
      <c r="L630" s="75"/>
      <c r="M630" s="75"/>
      <c r="N630" s="75"/>
      <c r="O630" s="75"/>
      <c r="P630" s="75"/>
      <c r="Q630" s="75"/>
      <c r="R630" s="75"/>
      <c r="S630" s="75"/>
      <c r="T630" s="75"/>
      <c r="U630" s="75"/>
      <c r="V630" s="75"/>
    </row>
    <row r="631">
      <c r="F631" s="74"/>
      <c r="H631" s="75"/>
      <c r="I631" s="75"/>
      <c r="J631" s="75"/>
      <c r="K631" s="75"/>
      <c r="L631" s="75"/>
      <c r="M631" s="75"/>
      <c r="N631" s="75"/>
      <c r="O631" s="75"/>
      <c r="P631" s="75"/>
      <c r="Q631" s="75"/>
      <c r="R631" s="75"/>
      <c r="S631" s="75"/>
      <c r="T631" s="75"/>
      <c r="U631" s="75"/>
      <c r="V631" s="75"/>
    </row>
    <row r="632">
      <c r="F632" s="74"/>
      <c r="H632" s="75"/>
      <c r="I632" s="75"/>
      <c r="J632" s="75"/>
      <c r="K632" s="75"/>
      <c r="L632" s="75"/>
      <c r="M632" s="75"/>
      <c r="N632" s="75"/>
      <c r="O632" s="75"/>
      <c r="P632" s="75"/>
      <c r="Q632" s="75"/>
      <c r="R632" s="75"/>
      <c r="S632" s="75"/>
      <c r="T632" s="75"/>
      <c r="U632" s="75"/>
      <c r="V632" s="75"/>
    </row>
    <row r="633">
      <c r="F633" s="74"/>
      <c r="H633" s="75"/>
      <c r="I633" s="75"/>
      <c r="J633" s="75"/>
      <c r="K633" s="75"/>
      <c r="L633" s="75"/>
      <c r="M633" s="75"/>
      <c r="N633" s="75"/>
      <c r="O633" s="75"/>
      <c r="P633" s="75"/>
      <c r="Q633" s="75"/>
      <c r="R633" s="75"/>
      <c r="S633" s="75"/>
      <c r="T633" s="75"/>
      <c r="U633" s="75"/>
      <c r="V633" s="75"/>
    </row>
    <row r="634">
      <c r="F634" s="74"/>
      <c r="H634" s="75"/>
      <c r="I634" s="75"/>
      <c r="J634" s="75"/>
      <c r="K634" s="75"/>
      <c r="L634" s="75"/>
      <c r="M634" s="75"/>
      <c r="N634" s="75"/>
      <c r="O634" s="75"/>
      <c r="P634" s="75"/>
      <c r="Q634" s="75"/>
      <c r="R634" s="75"/>
      <c r="S634" s="75"/>
      <c r="T634" s="75"/>
      <c r="U634" s="75"/>
      <c r="V634" s="75"/>
    </row>
    <row r="635">
      <c r="F635" s="74"/>
      <c r="H635" s="75"/>
      <c r="I635" s="75"/>
      <c r="J635" s="75"/>
      <c r="K635" s="75"/>
      <c r="L635" s="75"/>
      <c r="M635" s="75"/>
      <c r="N635" s="75"/>
      <c r="O635" s="75"/>
      <c r="P635" s="75"/>
      <c r="Q635" s="75"/>
      <c r="R635" s="75"/>
      <c r="S635" s="75"/>
      <c r="T635" s="75"/>
      <c r="U635" s="75"/>
      <c r="V635" s="75"/>
    </row>
    <row r="636">
      <c r="F636" s="74"/>
      <c r="H636" s="75"/>
      <c r="I636" s="75"/>
      <c r="J636" s="75"/>
      <c r="K636" s="75"/>
      <c r="L636" s="75"/>
      <c r="M636" s="75"/>
      <c r="N636" s="75"/>
      <c r="O636" s="75"/>
      <c r="P636" s="75"/>
      <c r="Q636" s="75"/>
      <c r="R636" s="75"/>
      <c r="S636" s="75"/>
      <c r="T636" s="75"/>
      <c r="U636" s="75"/>
      <c r="V636" s="75"/>
    </row>
    <row r="637">
      <c r="F637" s="74"/>
      <c r="H637" s="75"/>
      <c r="I637" s="75"/>
      <c r="J637" s="75"/>
      <c r="K637" s="75"/>
      <c r="L637" s="75"/>
      <c r="M637" s="75"/>
      <c r="N637" s="75"/>
      <c r="O637" s="75"/>
      <c r="P637" s="75"/>
      <c r="Q637" s="75"/>
      <c r="R637" s="75"/>
      <c r="S637" s="75"/>
      <c r="T637" s="75"/>
      <c r="U637" s="75"/>
      <c r="V637" s="75"/>
    </row>
    <row r="638">
      <c r="F638" s="74"/>
      <c r="H638" s="75"/>
      <c r="I638" s="75"/>
      <c r="J638" s="75"/>
      <c r="K638" s="75"/>
      <c r="L638" s="75"/>
      <c r="M638" s="75"/>
      <c r="N638" s="75"/>
      <c r="O638" s="75"/>
      <c r="P638" s="75"/>
      <c r="Q638" s="75"/>
      <c r="R638" s="75"/>
      <c r="S638" s="75"/>
      <c r="T638" s="75"/>
      <c r="U638" s="75"/>
      <c r="V638" s="75"/>
    </row>
    <row r="639">
      <c r="F639" s="74"/>
      <c r="H639" s="75"/>
      <c r="I639" s="75"/>
      <c r="J639" s="75"/>
      <c r="K639" s="75"/>
      <c r="L639" s="75"/>
      <c r="M639" s="75"/>
      <c r="N639" s="75"/>
      <c r="O639" s="75"/>
      <c r="P639" s="75"/>
      <c r="Q639" s="75"/>
      <c r="R639" s="75"/>
      <c r="S639" s="75"/>
      <c r="T639" s="75"/>
      <c r="U639" s="75"/>
      <c r="V639" s="75"/>
    </row>
    <row r="640">
      <c r="F640" s="74"/>
      <c r="H640" s="75"/>
      <c r="I640" s="75"/>
      <c r="J640" s="75"/>
      <c r="K640" s="75"/>
      <c r="L640" s="75"/>
      <c r="M640" s="75"/>
      <c r="N640" s="75"/>
      <c r="O640" s="75"/>
      <c r="P640" s="75"/>
      <c r="Q640" s="75"/>
      <c r="R640" s="75"/>
      <c r="S640" s="75"/>
      <c r="T640" s="75"/>
      <c r="U640" s="75"/>
      <c r="V640" s="75"/>
    </row>
    <row r="641">
      <c r="F641" s="74"/>
      <c r="H641" s="75"/>
      <c r="I641" s="75"/>
      <c r="J641" s="75"/>
      <c r="K641" s="75"/>
      <c r="L641" s="75"/>
      <c r="M641" s="75"/>
      <c r="N641" s="75"/>
      <c r="O641" s="75"/>
      <c r="P641" s="75"/>
      <c r="Q641" s="75"/>
      <c r="R641" s="75"/>
      <c r="S641" s="75"/>
      <c r="T641" s="75"/>
      <c r="U641" s="75"/>
      <c r="V641" s="75"/>
    </row>
    <row r="642">
      <c r="F642" s="74"/>
      <c r="H642" s="75"/>
      <c r="I642" s="75"/>
      <c r="J642" s="75"/>
      <c r="K642" s="75"/>
      <c r="L642" s="75"/>
      <c r="M642" s="75"/>
      <c r="N642" s="75"/>
      <c r="O642" s="75"/>
      <c r="P642" s="75"/>
      <c r="Q642" s="75"/>
      <c r="R642" s="75"/>
      <c r="S642" s="75"/>
      <c r="T642" s="75"/>
      <c r="U642" s="75"/>
      <c r="V642" s="75"/>
    </row>
    <row r="643">
      <c r="F643" s="74"/>
      <c r="H643" s="75"/>
      <c r="I643" s="75"/>
      <c r="J643" s="75"/>
      <c r="K643" s="75"/>
      <c r="L643" s="75"/>
      <c r="M643" s="75"/>
      <c r="N643" s="75"/>
      <c r="O643" s="75"/>
      <c r="P643" s="75"/>
      <c r="Q643" s="75"/>
      <c r="R643" s="75"/>
      <c r="S643" s="75"/>
      <c r="T643" s="75"/>
      <c r="U643" s="75"/>
      <c r="V643" s="75"/>
    </row>
    <row r="644">
      <c r="F644" s="74"/>
      <c r="H644" s="75"/>
      <c r="I644" s="75"/>
      <c r="J644" s="75"/>
      <c r="K644" s="75"/>
      <c r="L644" s="75"/>
      <c r="M644" s="75"/>
      <c r="N644" s="75"/>
      <c r="O644" s="75"/>
      <c r="P644" s="75"/>
      <c r="Q644" s="75"/>
      <c r="R644" s="75"/>
      <c r="S644" s="75"/>
      <c r="T644" s="75"/>
      <c r="U644" s="75"/>
      <c r="V644" s="75"/>
    </row>
    <row r="645">
      <c r="F645" s="74"/>
      <c r="H645" s="75"/>
      <c r="I645" s="75"/>
      <c r="J645" s="75"/>
      <c r="K645" s="75"/>
      <c r="L645" s="75"/>
      <c r="M645" s="75"/>
      <c r="N645" s="75"/>
      <c r="O645" s="75"/>
      <c r="P645" s="75"/>
      <c r="Q645" s="75"/>
      <c r="R645" s="75"/>
      <c r="S645" s="75"/>
      <c r="T645" s="75"/>
      <c r="U645" s="75"/>
      <c r="V645" s="75"/>
    </row>
    <row r="646">
      <c r="F646" s="74"/>
      <c r="H646" s="75"/>
      <c r="I646" s="75"/>
      <c r="J646" s="75"/>
      <c r="K646" s="75"/>
      <c r="L646" s="75"/>
      <c r="M646" s="75"/>
      <c r="N646" s="75"/>
      <c r="O646" s="75"/>
      <c r="P646" s="75"/>
      <c r="Q646" s="75"/>
      <c r="R646" s="75"/>
      <c r="S646" s="75"/>
      <c r="T646" s="75"/>
      <c r="U646" s="75"/>
      <c r="V646" s="75"/>
    </row>
    <row r="647">
      <c r="F647" s="74"/>
      <c r="H647" s="75"/>
      <c r="I647" s="75"/>
      <c r="J647" s="75"/>
      <c r="K647" s="75"/>
      <c r="L647" s="75"/>
      <c r="M647" s="75"/>
      <c r="N647" s="75"/>
      <c r="O647" s="75"/>
      <c r="P647" s="75"/>
      <c r="Q647" s="75"/>
      <c r="R647" s="75"/>
      <c r="S647" s="75"/>
      <c r="T647" s="75"/>
      <c r="U647" s="75"/>
      <c r="V647" s="75"/>
    </row>
    <row r="648">
      <c r="F648" s="74"/>
      <c r="H648" s="75"/>
      <c r="I648" s="75"/>
      <c r="J648" s="75"/>
      <c r="K648" s="75"/>
      <c r="L648" s="75"/>
      <c r="M648" s="75"/>
      <c r="N648" s="75"/>
      <c r="O648" s="75"/>
      <c r="P648" s="75"/>
      <c r="Q648" s="75"/>
      <c r="R648" s="75"/>
      <c r="S648" s="75"/>
      <c r="T648" s="75"/>
      <c r="U648" s="75"/>
      <c r="V648" s="75"/>
    </row>
    <row r="649">
      <c r="F649" s="74"/>
      <c r="H649" s="75"/>
      <c r="I649" s="75"/>
      <c r="J649" s="75"/>
      <c r="K649" s="75"/>
      <c r="L649" s="75"/>
      <c r="M649" s="75"/>
      <c r="N649" s="75"/>
      <c r="O649" s="75"/>
      <c r="P649" s="75"/>
      <c r="Q649" s="75"/>
      <c r="R649" s="75"/>
      <c r="S649" s="75"/>
      <c r="T649" s="75"/>
      <c r="U649" s="75"/>
      <c r="V649" s="75"/>
    </row>
    <row r="650">
      <c r="F650" s="74"/>
      <c r="H650" s="75"/>
      <c r="I650" s="75"/>
      <c r="J650" s="75"/>
      <c r="K650" s="75"/>
      <c r="L650" s="75"/>
      <c r="M650" s="75"/>
      <c r="N650" s="75"/>
      <c r="O650" s="75"/>
      <c r="P650" s="75"/>
      <c r="Q650" s="75"/>
      <c r="R650" s="75"/>
      <c r="S650" s="75"/>
      <c r="T650" s="75"/>
      <c r="U650" s="75"/>
      <c r="V650" s="75"/>
    </row>
    <row r="651">
      <c r="F651" s="74"/>
      <c r="H651" s="75"/>
      <c r="I651" s="75"/>
      <c r="J651" s="75"/>
      <c r="K651" s="75"/>
      <c r="L651" s="75"/>
      <c r="M651" s="75"/>
      <c r="N651" s="75"/>
      <c r="O651" s="75"/>
      <c r="P651" s="75"/>
      <c r="Q651" s="75"/>
      <c r="R651" s="75"/>
      <c r="S651" s="75"/>
      <c r="T651" s="75"/>
      <c r="U651" s="75"/>
      <c r="V651" s="75"/>
    </row>
    <row r="652">
      <c r="F652" s="74"/>
      <c r="H652" s="75"/>
      <c r="I652" s="75"/>
      <c r="J652" s="75"/>
      <c r="K652" s="75"/>
      <c r="L652" s="75"/>
      <c r="M652" s="75"/>
      <c r="N652" s="75"/>
      <c r="O652" s="75"/>
      <c r="P652" s="75"/>
      <c r="Q652" s="75"/>
      <c r="R652" s="75"/>
      <c r="S652" s="75"/>
      <c r="T652" s="75"/>
      <c r="U652" s="75"/>
      <c r="V652" s="75"/>
    </row>
    <row r="653">
      <c r="F653" s="74"/>
      <c r="H653" s="75"/>
      <c r="I653" s="75"/>
      <c r="J653" s="75"/>
      <c r="K653" s="75"/>
      <c r="L653" s="75"/>
      <c r="M653" s="75"/>
      <c r="N653" s="75"/>
      <c r="O653" s="75"/>
      <c r="P653" s="75"/>
      <c r="Q653" s="75"/>
      <c r="R653" s="75"/>
      <c r="S653" s="75"/>
      <c r="T653" s="75"/>
      <c r="U653" s="75"/>
      <c r="V653" s="75"/>
    </row>
    <row r="654">
      <c r="F654" s="74"/>
      <c r="H654" s="75"/>
      <c r="I654" s="75"/>
      <c r="J654" s="75"/>
      <c r="K654" s="75"/>
      <c r="L654" s="75"/>
      <c r="M654" s="75"/>
      <c r="N654" s="75"/>
      <c r="O654" s="75"/>
      <c r="P654" s="75"/>
      <c r="Q654" s="75"/>
      <c r="R654" s="75"/>
      <c r="S654" s="75"/>
      <c r="T654" s="75"/>
      <c r="U654" s="75"/>
      <c r="V654" s="75"/>
    </row>
    <row r="655">
      <c r="F655" s="74"/>
      <c r="H655" s="75"/>
      <c r="I655" s="75"/>
      <c r="J655" s="75"/>
      <c r="K655" s="75"/>
      <c r="L655" s="75"/>
      <c r="M655" s="75"/>
      <c r="N655" s="75"/>
      <c r="O655" s="75"/>
      <c r="P655" s="75"/>
      <c r="Q655" s="75"/>
      <c r="R655" s="75"/>
      <c r="S655" s="75"/>
      <c r="T655" s="75"/>
      <c r="U655" s="75"/>
      <c r="V655" s="75"/>
    </row>
    <row r="656">
      <c r="F656" s="74"/>
      <c r="H656" s="75"/>
      <c r="I656" s="75"/>
      <c r="J656" s="75"/>
      <c r="K656" s="75"/>
      <c r="L656" s="75"/>
      <c r="M656" s="75"/>
      <c r="N656" s="75"/>
      <c r="O656" s="75"/>
      <c r="P656" s="75"/>
      <c r="Q656" s="75"/>
      <c r="R656" s="75"/>
      <c r="S656" s="75"/>
      <c r="T656" s="75"/>
      <c r="U656" s="75"/>
      <c r="V656" s="75"/>
    </row>
    <row r="657">
      <c r="F657" s="74"/>
      <c r="H657" s="75"/>
      <c r="I657" s="75"/>
      <c r="J657" s="75"/>
      <c r="K657" s="75"/>
      <c r="L657" s="75"/>
      <c r="M657" s="75"/>
      <c r="N657" s="75"/>
      <c r="O657" s="75"/>
      <c r="P657" s="75"/>
      <c r="Q657" s="75"/>
      <c r="R657" s="75"/>
      <c r="S657" s="75"/>
      <c r="T657" s="75"/>
      <c r="U657" s="75"/>
      <c r="V657" s="75"/>
    </row>
    <row r="658">
      <c r="F658" s="74"/>
      <c r="H658" s="75"/>
      <c r="I658" s="75"/>
      <c r="J658" s="75"/>
      <c r="K658" s="75"/>
      <c r="L658" s="75"/>
      <c r="M658" s="75"/>
      <c r="N658" s="75"/>
      <c r="O658" s="75"/>
      <c r="P658" s="75"/>
      <c r="Q658" s="75"/>
      <c r="R658" s="75"/>
      <c r="S658" s="75"/>
      <c r="T658" s="75"/>
      <c r="U658" s="75"/>
      <c r="V658" s="75"/>
    </row>
    <row r="659">
      <c r="F659" s="74"/>
      <c r="H659" s="75"/>
      <c r="I659" s="75"/>
      <c r="J659" s="75"/>
      <c r="K659" s="75"/>
      <c r="L659" s="75"/>
      <c r="M659" s="75"/>
      <c r="N659" s="75"/>
      <c r="O659" s="75"/>
      <c r="P659" s="75"/>
      <c r="Q659" s="75"/>
      <c r="R659" s="75"/>
      <c r="S659" s="75"/>
      <c r="T659" s="75"/>
      <c r="U659" s="75"/>
      <c r="V659" s="75"/>
    </row>
    <row r="660">
      <c r="F660" s="74"/>
      <c r="H660" s="75"/>
      <c r="I660" s="75"/>
      <c r="J660" s="75"/>
      <c r="K660" s="75"/>
      <c r="L660" s="75"/>
      <c r="M660" s="75"/>
      <c r="N660" s="75"/>
      <c r="O660" s="75"/>
      <c r="P660" s="75"/>
      <c r="Q660" s="75"/>
      <c r="R660" s="75"/>
      <c r="S660" s="75"/>
      <c r="T660" s="75"/>
      <c r="U660" s="75"/>
      <c r="V660" s="75"/>
    </row>
    <row r="661">
      <c r="F661" s="74"/>
      <c r="H661" s="75"/>
      <c r="I661" s="75"/>
      <c r="J661" s="75"/>
      <c r="K661" s="75"/>
      <c r="L661" s="75"/>
      <c r="M661" s="75"/>
      <c r="N661" s="75"/>
      <c r="O661" s="75"/>
      <c r="P661" s="75"/>
      <c r="Q661" s="75"/>
      <c r="R661" s="75"/>
      <c r="S661" s="75"/>
      <c r="T661" s="75"/>
      <c r="U661" s="75"/>
      <c r="V661" s="75"/>
    </row>
    <row r="662">
      <c r="F662" s="74"/>
      <c r="H662" s="75"/>
      <c r="I662" s="75"/>
      <c r="J662" s="75"/>
      <c r="K662" s="75"/>
      <c r="L662" s="75"/>
      <c r="M662" s="75"/>
      <c r="N662" s="75"/>
      <c r="O662" s="75"/>
      <c r="P662" s="75"/>
      <c r="Q662" s="75"/>
      <c r="R662" s="75"/>
      <c r="S662" s="75"/>
      <c r="T662" s="75"/>
      <c r="U662" s="75"/>
      <c r="V662" s="75"/>
    </row>
    <row r="663">
      <c r="F663" s="74"/>
      <c r="H663" s="75"/>
      <c r="I663" s="75"/>
      <c r="J663" s="75"/>
      <c r="K663" s="75"/>
      <c r="L663" s="75"/>
      <c r="M663" s="75"/>
      <c r="N663" s="75"/>
      <c r="O663" s="75"/>
      <c r="P663" s="75"/>
      <c r="Q663" s="75"/>
      <c r="R663" s="75"/>
      <c r="S663" s="75"/>
      <c r="T663" s="75"/>
      <c r="U663" s="75"/>
      <c r="V663" s="75"/>
    </row>
    <row r="664">
      <c r="F664" s="74"/>
      <c r="H664" s="75"/>
      <c r="I664" s="75"/>
      <c r="J664" s="75"/>
      <c r="K664" s="75"/>
      <c r="L664" s="75"/>
      <c r="M664" s="75"/>
      <c r="N664" s="75"/>
      <c r="O664" s="75"/>
      <c r="P664" s="75"/>
      <c r="Q664" s="75"/>
      <c r="R664" s="75"/>
      <c r="S664" s="75"/>
      <c r="T664" s="75"/>
      <c r="U664" s="75"/>
      <c r="V664" s="75"/>
    </row>
    <row r="665">
      <c r="F665" s="74"/>
      <c r="H665" s="75"/>
      <c r="I665" s="75"/>
      <c r="J665" s="75"/>
      <c r="K665" s="75"/>
      <c r="L665" s="75"/>
      <c r="M665" s="75"/>
      <c r="N665" s="75"/>
      <c r="O665" s="75"/>
      <c r="P665" s="75"/>
      <c r="Q665" s="75"/>
      <c r="R665" s="75"/>
      <c r="S665" s="75"/>
      <c r="T665" s="75"/>
      <c r="U665" s="75"/>
      <c r="V665" s="75"/>
    </row>
    <row r="666">
      <c r="F666" s="74"/>
      <c r="H666" s="75"/>
      <c r="I666" s="75"/>
      <c r="J666" s="75"/>
      <c r="K666" s="75"/>
      <c r="L666" s="75"/>
      <c r="M666" s="75"/>
      <c r="N666" s="75"/>
      <c r="O666" s="75"/>
      <c r="P666" s="75"/>
      <c r="Q666" s="75"/>
      <c r="R666" s="75"/>
      <c r="S666" s="75"/>
      <c r="T666" s="75"/>
      <c r="U666" s="75"/>
      <c r="V666" s="75"/>
    </row>
    <row r="667">
      <c r="F667" s="74"/>
      <c r="H667" s="75"/>
      <c r="I667" s="75"/>
      <c r="J667" s="75"/>
      <c r="K667" s="75"/>
      <c r="L667" s="75"/>
      <c r="M667" s="75"/>
      <c r="N667" s="75"/>
      <c r="O667" s="75"/>
      <c r="P667" s="75"/>
      <c r="Q667" s="75"/>
      <c r="R667" s="75"/>
      <c r="S667" s="75"/>
      <c r="T667" s="75"/>
      <c r="U667" s="75"/>
      <c r="V667" s="75"/>
    </row>
    <row r="668">
      <c r="F668" s="74"/>
      <c r="H668" s="75"/>
      <c r="I668" s="75"/>
      <c r="J668" s="75"/>
      <c r="K668" s="75"/>
      <c r="L668" s="75"/>
      <c r="M668" s="75"/>
      <c r="N668" s="75"/>
      <c r="O668" s="75"/>
      <c r="P668" s="75"/>
      <c r="Q668" s="75"/>
      <c r="R668" s="75"/>
      <c r="S668" s="75"/>
      <c r="T668" s="75"/>
      <c r="U668" s="75"/>
      <c r="V668" s="75"/>
    </row>
    <row r="669">
      <c r="F669" s="74"/>
      <c r="H669" s="75"/>
      <c r="I669" s="75"/>
      <c r="J669" s="75"/>
      <c r="K669" s="75"/>
      <c r="L669" s="75"/>
      <c r="M669" s="75"/>
      <c r="N669" s="75"/>
      <c r="O669" s="75"/>
      <c r="P669" s="75"/>
      <c r="Q669" s="75"/>
      <c r="R669" s="75"/>
      <c r="S669" s="75"/>
      <c r="T669" s="75"/>
      <c r="U669" s="75"/>
      <c r="V669" s="75"/>
    </row>
    <row r="670">
      <c r="F670" s="74"/>
      <c r="H670" s="75"/>
      <c r="I670" s="75"/>
      <c r="J670" s="75"/>
      <c r="K670" s="75"/>
      <c r="L670" s="75"/>
      <c r="M670" s="75"/>
      <c r="N670" s="75"/>
      <c r="O670" s="75"/>
      <c r="P670" s="75"/>
      <c r="Q670" s="75"/>
      <c r="R670" s="75"/>
      <c r="S670" s="75"/>
      <c r="T670" s="75"/>
      <c r="U670" s="75"/>
      <c r="V670" s="75"/>
    </row>
    <row r="671">
      <c r="F671" s="74"/>
      <c r="H671" s="75"/>
      <c r="I671" s="75"/>
      <c r="J671" s="75"/>
      <c r="K671" s="75"/>
      <c r="L671" s="75"/>
      <c r="M671" s="75"/>
      <c r="N671" s="75"/>
      <c r="O671" s="75"/>
      <c r="P671" s="75"/>
      <c r="Q671" s="75"/>
      <c r="R671" s="75"/>
      <c r="S671" s="75"/>
      <c r="T671" s="75"/>
      <c r="U671" s="75"/>
      <c r="V671" s="75"/>
    </row>
    <row r="672">
      <c r="F672" s="74"/>
      <c r="H672" s="75"/>
      <c r="I672" s="75"/>
      <c r="J672" s="75"/>
      <c r="K672" s="75"/>
      <c r="L672" s="75"/>
      <c r="M672" s="75"/>
      <c r="N672" s="75"/>
      <c r="O672" s="75"/>
      <c r="P672" s="75"/>
      <c r="Q672" s="75"/>
      <c r="R672" s="75"/>
      <c r="S672" s="75"/>
      <c r="T672" s="75"/>
      <c r="U672" s="75"/>
      <c r="V672" s="75"/>
    </row>
    <row r="673">
      <c r="F673" s="74"/>
      <c r="H673" s="75"/>
      <c r="I673" s="75"/>
      <c r="J673" s="75"/>
      <c r="K673" s="75"/>
      <c r="L673" s="75"/>
      <c r="M673" s="75"/>
      <c r="N673" s="75"/>
      <c r="O673" s="75"/>
      <c r="P673" s="75"/>
      <c r="Q673" s="75"/>
      <c r="R673" s="75"/>
      <c r="S673" s="75"/>
      <c r="T673" s="75"/>
      <c r="U673" s="75"/>
      <c r="V673" s="75"/>
    </row>
    <row r="674">
      <c r="F674" s="74"/>
      <c r="H674" s="75"/>
      <c r="I674" s="75"/>
      <c r="J674" s="75"/>
      <c r="K674" s="75"/>
      <c r="L674" s="75"/>
      <c r="M674" s="75"/>
      <c r="N674" s="75"/>
      <c r="O674" s="75"/>
      <c r="P674" s="75"/>
      <c r="Q674" s="75"/>
      <c r="R674" s="75"/>
      <c r="S674" s="75"/>
      <c r="T674" s="75"/>
      <c r="U674" s="75"/>
      <c r="V674" s="75"/>
    </row>
    <row r="675">
      <c r="F675" s="74"/>
      <c r="H675" s="75"/>
      <c r="I675" s="75"/>
      <c r="J675" s="75"/>
      <c r="K675" s="75"/>
      <c r="L675" s="75"/>
      <c r="M675" s="75"/>
      <c r="N675" s="75"/>
      <c r="O675" s="75"/>
      <c r="P675" s="75"/>
      <c r="Q675" s="75"/>
      <c r="R675" s="75"/>
      <c r="S675" s="75"/>
      <c r="T675" s="75"/>
      <c r="U675" s="75"/>
      <c r="V675" s="75"/>
    </row>
    <row r="676">
      <c r="F676" s="74"/>
      <c r="H676" s="75"/>
      <c r="I676" s="75"/>
      <c r="J676" s="75"/>
      <c r="K676" s="75"/>
      <c r="L676" s="75"/>
      <c r="M676" s="75"/>
      <c r="N676" s="75"/>
      <c r="O676" s="75"/>
      <c r="P676" s="75"/>
      <c r="Q676" s="75"/>
      <c r="R676" s="75"/>
      <c r="S676" s="75"/>
      <c r="T676" s="75"/>
      <c r="U676" s="75"/>
      <c r="V676" s="75"/>
    </row>
    <row r="677">
      <c r="F677" s="74"/>
      <c r="H677" s="75"/>
      <c r="I677" s="75"/>
      <c r="J677" s="75"/>
      <c r="K677" s="75"/>
      <c r="L677" s="75"/>
      <c r="M677" s="75"/>
      <c r="N677" s="75"/>
      <c r="O677" s="75"/>
      <c r="P677" s="75"/>
      <c r="Q677" s="75"/>
      <c r="R677" s="75"/>
      <c r="S677" s="75"/>
      <c r="T677" s="75"/>
      <c r="U677" s="75"/>
      <c r="V677" s="75"/>
    </row>
    <row r="678">
      <c r="F678" s="74"/>
      <c r="H678" s="75"/>
      <c r="I678" s="75"/>
      <c r="J678" s="75"/>
      <c r="K678" s="75"/>
      <c r="L678" s="75"/>
      <c r="M678" s="75"/>
      <c r="N678" s="75"/>
      <c r="O678" s="75"/>
      <c r="P678" s="75"/>
      <c r="Q678" s="75"/>
      <c r="R678" s="75"/>
      <c r="S678" s="75"/>
      <c r="T678" s="75"/>
      <c r="U678" s="75"/>
      <c r="V678" s="75"/>
    </row>
    <row r="679">
      <c r="F679" s="74"/>
      <c r="H679" s="75"/>
      <c r="I679" s="75"/>
      <c r="J679" s="75"/>
      <c r="K679" s="75"/>
      <c r="L679" s="75"/>
      <c r="M679" s="75"/>
      <c r="N679" s="75"/>
      <c r="O679" s="75"/>
      <c r="P679" s="75"/>
      <c r="Q679" s="75"/>
      <c r="R679" s="75"/>
      <c r="S679" s="75"/>
      <c r="T679" s="75"/>
      <c r="U679" s="75"/>
      <c r="V679" s="75"/>
    </row>
    <row r="680">
      <c r="F680" s="74"/>
      <c r="H680" s="75"/>
      <c r="I680" s="75"/>
      <c r="J680" s="75"/>
      <c r="K680" s="75"/>
      <c r="L680" s="75"/>
      <c r="M680" s="75"/>
      <c r="N680" s="75"/>
      <c r="O680" s="75"/>
      <c r="P680" s="75"/>
      <c r="Q680" s="75"/>
      <c r="R680" s="75"/>
      <c r="S680" s="75"/>
      <c r="T680" s="75"/>
      <c r="U680" s="75"/>
      <c r="V680" s="75"/>
    </row>
    <row r="681">
      <c r="F681" s="74"/>
      <c r="H681" s="75"/>
      <c r="I681" s="75"/>
      <c r="J681" s="75"/>
      <c r="K681" s="75"/>
      <c r="L681" s="75"/>
      <c r="M681" s="75"/>
      <c r="N681" s="75"/>
      <c r="O681" s="75"/>
      <c r="P681" s="75"/>
      <c r="Q681" s="75"/>
      <c r="R681" s="75"/>
      <c r="S681" s="75"/>
      <c r="T681" s="75"/>
      <c r="U681" s="75"/>
      <c r="V681" s="75"/>
    </row>
    <row r="682">
      <c r="F682" s="74"/>
      <c r="H682" s="75"/>
      <c r="I682" s="75"/>
      <c r="J682" s="75"/>
      <c r="K682" s="75"/>
      <c r="L682" s="75"/>
      <c r="M682" s="75"/>
      <c r="N682" s="75"/>
      <c r="O682" s="75"/>
      <c r="P682" s="75"/>
      <c r="Q682" s="75"/>
      <c r="R682" s="75"/>
      <c r="S682" s="75"/>
      <c r="T682" s="75"/>
      <c r="U682" s="75"/>
      <c r="V682" s="75"/>
    </row>
    <row r="683">
      <c r="F683" s="74"/>
      <c r="H683" s="75"/>
      <c r="I683" s="75"/>
      <c r="J683" s="75"/>
      <c r="K683" s="75"/>
      <c r="L683" s="75"/>
      <c r="M683" s="75"/>
      <c r="N683" s="75"/>
      <c r="O683" s="75"/>
      <c r="P683" s="75"/>
      <c r="Q683" s="75"/>
      <c r="R683" s="75"/>
      <c r="S683" s="75"/>
      <c r="T683" s="75"/>
      <c r="U683" s="75"/>
      <c r="V683" s="75"/>
    </row>
    <row r="684">
      <c r="F684" s="74"/>
      <c r="H684" s="75"/>
      <c r="I684" s="75"/>
      <c r="J684" s="75"/>
      <c r="K684" s="75"/>
      <c r="L684" s="75"/>
      <c r="M684" s="75"/>
      <c r="N684" s="75"/>
      <c r="O684" s="75"/>
      <c r="P684" s="75"/>
      <c r="Q684" s="75"/>
      <c r="R684" s="75"/>
      <c r="S684" s="75"/>
      <c r="T684" s="75"/>
      <c r="U684" s="75"/>
      <c r="V684" s="75"/>
    </row>
    <row r="685">
      <c r="F685" s="74"/>
      <c r="H685" s="75"/>
      <c r="I685" s="75"/>
      <c r="J685" s="75"/>
      <c r="K685" s="75"/>
      <c r="L685" s="75"/>
      <c r="M685" s="75"/>
      <c r="N685" s="75"/>
      <c r="O685" s="75"/>
      <c r="P685" s="75"/>
      <c r="Q685" s="75"/>
      <c r="R685" s="75"/>
      <c r="S685" s="75"/>
      <c r="T685" s="75"/>
      <c r="U685" s="75"/>
      <c r="V685" s="75"/>
    </row>
    <row r="686">
      <c r="F686" s="74"/>
      <c r="H686" s="75"/>
      <c r="I686" s="75"/>
      <c r="J686" s="75"/>
      <c r="K686" s="75"/>
      <c r="L686" s="75"/>
      <c r="M686" s="75"/>
      <c r="N686" s="75"/>
      <c r="O686" s="75"/>
      <c r="P686" s="75"/>
      <c r="Q686" s="75"/>
      <c r="R686" s="75"/>
      <c r="S686" s="75"/>
      <c r="T686" s="75"/>
      <c r="U686" s="75"/>
      <c r="V686" s="75"/>
    </row>
    <row r="687">
      <c r="F687" s="74"/>
      <c r="H687" s="75"/>
      <c r="I687" s="75"/>
      <c r="J687" s="75"/>
      <c r="K687" s="75"/>
      <c r="L687" s="75"/>
      <c r="M687" s="75"/>
      <c r="N687" s="75"/>
      <c r="O687" s="75"/>
      <c r="P687" s="75"/>
      <c r="Q687" s="75"/>
      <c r="R687" s="75"/>
      <c r="S687" s="75"/>
      <c r="T687" s="75"/>
      <c r="U687" s="75"/>
      <c r="V687" s="75"/>
    </row>
    <row r="688">
      <c r="F688" s="74"/>
      <c r="H688" s="75"/>
      <c r="I688" s="75"/>
      <c r="J688" s="75"/>
      <c r="K688" s="75"/>
      <c r="L688" s="75"/>
      <c r="M688" s="75"/>
      <c r="N688" s="75"/>
      <c r="O688" s="75"/>
      <c r="P688" s="75"/>
      <c r="Q688" s="75"/>
      <c r="R688" s="75"/>
      <c r="S688" s="75"/>
      <c r="T688" s="75"/>
      <c r="U688" s="75"/>
      <c r="V688" s="75"/>
    </row>
    <row r="689">
      <c r="F689" s="74"/>
      <c r="H689" s="75"/>
      <c r="I689" s="75"/>
      <c r="J689" s="75"/>
      <c r="K689" s="75"/>
      <c r="L689" s="75"/>
      <c r="M689" s="75"/>
      <c r="N689" s="75"/>
      <c r="O689" s="75"/>
      <c r="P689" s="75"/>
      <c r="Q689" s="75"/>
      <c r="R689" s="75"/>
      <c r="S689" s="75"/>
      <c r="T689" s="75"/>
      <c r="U689" s="75"/>
      <c r="V689" s="75"/>
    </row>
    <row r="690">
      <c r="F690" s="74"/>
      <c r="H690" s="75"/>
      <c r="I690" s="75"/>
      <c r="J690" s="75"/>
      <c r="K690" s="75"/>
      <c r="L690" s="75"/>
      <c r="M690" s="75"/>
      <c r="N690" s="75"/>
      <c r="O690" s="75"/>
      <c r="P690" s="75"/>
      <c r="Q690" s="75"/>
      <c r="R690" s="75"/>
      <c r="S690" s="75"/>
      <c r="T690" s="75"/>
      <c r="U690" s="75"/>
      <c r="V690" s="75"/>
    </row>
    <row r="691">
      <c r="F691" s="74"/>
      <c r="H691" s="75"/>
      <c r="I691" s="75"/>
      <c r="J691" s="75"/>
      <c r="K691" s="75"/>
      <c r="L691" s="75"/>
      <c r="M691" s="75"/>
      <c r="N691" s="75"/>
      <c r="O691" s="75"/>
      <c r="P691" s="75"/>
      <c r="Q691" s="75"/>
      <c r="R691" s="75"/>
      <c r="S691" s="75"/>
      <c r="T691" s="75"/>
      <c r="U691" s="75"/>
      <c r="V691" s="75"/>
    </row>
    <row r="692">
      <c r="F692" s="74"/>
      <c r="H692" s="75"/>
      <c r="I692" s="75"/>
      <c r="J692" s="75"/>
      <c r="K692" s="75"/>
      <c r="L692" s="75"/>
      <c r="M692" s="75"/>
      <c r="N692" s="75"/>
      <c r="O692" s="75"/>
      <c r="P692" s="75"/>
      <c r="Q692" s="75"/>
      <c r="R692" s="75"/>
      <c r="S692" s="75"/>
      <c r="T692" s="75"/>
      <c r="U692" s="75"/>
      <c r="V692" s="75"/>
    </row>
    <row r="693">
      <c r="F693" s="74"/>
      <c r="H693" s="75"/>
      <c r="I693" s="75"/>
      <c r="J693" s="75"/>
      <c r="K693" s="75"/>
      <c r="L693" s="75"/>
      <c r="M693" s="75"/>
      <c r="N693" s="75"/>
      <c r="O693" s="75"/>
      <c r="P693" s="75"/>
      <c r="Q693" s="75"/>
      <c r="R693" s="75"/>
      <c r="S693" s="75"/>
      <c r="T693" s="75"/>
      <c r="U693" s="75"/>
      <c r="V693" s="75"/>
    </row>
    <row r="694">
      <c r="F694" s="74"/>
      <c r="H694" s="75"/>
      <c r="I694" s="75"/>
      <c r="J694" s="75"/>
      <c r="K694" s="75"/>
      <c r="L694" s="75"/>
      <c r="M694" s="75"/>
      <c r="N694" s="75"/>
      <c r="O694" s="75"/>
      <c r="P694" s="75"/>
      <c r="Q694" s="75"/>
      <c r="R694" s="75"/>
      <c r="S694" s="75"/>
      <c r="T694" s="75"/>
      <c r="U694" s="75"/>
      <c r="V694" s="75"/>
    </row>
    <row r="695">
      <c r="F695" s="74"/>
      <c r="H695" s="75"/>
      <c r="I695" s="75"/>
      <c r="J695" s="75"/>
      <c r="K695" s="75"/>
      <c r="L695" s="75"/>
      <c r="M695" s="75"/>
      <c r="N695" s="75"/>
      <c r="O695" s="75"/>
      <c r="P695" s="75"/>
      <c r="Q695" s="75"/>
      <c r="R695" s="75"/>
      <c r="S695" s="75"/>
      <c r="T695" s="75"/>
      <c r="U695" s="75"/>
      <c r="V695" s="75"/>
    </row>
    <row r="696">
      <c r="F696" s="74"/>
      <c r="H696" s="75"/>
      <c r="I696" s="75"/>
      <c r="J696" s="75"/>
      <c r="K696" s="75"/>
      <c r="L696" s="75"/>
      <c r="M696" s="75"/>
      <c r="N696" s="75"/>
      <c r="O696" s="75"/>
      <c r="P696" s="75"/>
      <c r="Q696" s="75"/>
      <c r="R696" s="75"/>
      <c r="S696" s="75"/>
      <c r="T696" s="75"/>
      <c r="U696" s="75"/>
      <c r="V696" s="75"/>
    </row>
    <row r="697">
      <c r="F697" s="74"/>
      <c r="H697" s="75"/>
      <c r="I697" s="75"/>
      <c r="J697" s="75"/>
      <c r="K697" s="75"/>
      <c r="L697" s="75"/>
      <c r="M697" s="75"/>
      <c r="N697" s="75"/>
      <c r="O697" s="75"/>
      <c r="P697" s="75"/>
      <c r="Q697" s="75"/>
      <c r="R697" s="75"/>
      <c r="S697" s="75"/>
      <c r="T697" s="75"/>
      <c r="U697" s="75"/>
      <c r="V697" s="75"/>
    </row>
    <row r="698">
      <c r="F698" s="74"/>
      <c r="H698" s="75"/>
      <c r="I698" s="75"/>
      <c r="J698" s="75"/>
      <c r="K698" s="75"/>
      <c r="L698" s="75"/>
      <c r="M698" s="75"/>
      <c r="N698" s="75"/>
      <c r="O698" s="75"/>
      <c r="P698" s="75"/>
      <c r="Q698" s="75"/>
      <c r="R698" s="75"/>
      <c r="S698" s="75"/>
      <c r="T698" s="75"/>
      <c r="U698" s="75"/>
      <c r="V698" s="75"/>
    </row>
    <row r="699">
      <c r="F699" s="74"/>
      <c r="H699" s="75"/>
      <c r="I699" s="75"/>
      <c r="J699" s="75"/>
      <c r="K699" s="75"/>
      <c r="L699" s="75"/>
      <c r="M699" s="75"/>
      <c r="N699" s="75"/>
      <c r="O699" s="75"/>
      <c r="P699" s="75"/>
      <c r="Q699" s="75"/>
      <c r="R699" s="75"/>
      <c r="S699" s="75"/>
      <c r="T699" s="75"/>
      <c r="U699" s="75"/>
      <c r="V699" s="75"/>
    </row>
    <row r="700">
      <c r="F700" s="74"/>
      <c r="H700" s="75"/>
      <c r="I700" s="75"/>
      <c r="J700" s="75"/>
      <c r="K700" s="75"/>
      <c r="L700" s="75"/>
      <c r="M700" s="75"/>
      <c r="N700" s="75"/>
      <c r="O700" s="75"/>
      <c r="P700" s="75"/>
      <c r="Q700" s="75"/>
      <c r="R700" s="75"/>
      <c r="S700" s="75"/>
      <c r="T700" s="75"/>
      <c r="U700" s="75"/>
      <c r="V700" s="75"/>
    </row>
    <row r="701">
      <c r="F701" s="74"/>
      <c r="H701" s="75"/>
      <c r="I701" s="75"/>
      <c r="J701" s="75"/>
      <c r="K701" s="75"/>
      <c r="L701" s="75"/>
      <c r="M701" s="75"/>
      <c r="N701" s="75"/>
      <c r="O701" s="75"/>
      <c r="P701" s="75"/>
      <c r="Q701" s="75"/>
      <c r="R701" s="75"/>
      <c r="S701" s="75"/>
      <c r="T701" s="75"/>
      <c r="U701" s="75"/>
      <c r="V701" s="75"/>
    </row>
    <row r="702">
      <c r="F702" s="74"/>
      <c r="H702" s="75"/>
      <c r="I702" s="75"/>
      <c r="J702" s="75"/>
      <c r="K702" s="75"/>
      <c r="L702" s="75"/>
      <c r="M702" s="75"/>
      <c r="N702" s="75"/>
      <c r="O702" s="75"/>
      <c r="P702" s="75"/>
      <c r="Q702" s="75"/>
      <c r="R702" s="75"/>
      <c r="S702" s="75"/>
      <c r="T702" s="75"/>
      <c r="U702" s="75"/>
      <c r="V702" s="75"/>
    </row>
    <row r="703">
      <c r="F703" s="74"/>
      <c r="H703" s="75"/>
      <c r="I703" s="75"/>
      <c r="J703" s="75"/>
      <c r="K703" s="75"/>
      <c r="L703" s="75"/>
      <c r="M703" s="75"/>
      <c r="N703" s="75"/>
      <c r="O703" s="75"/>
      <c r="P703" s="75"/>
      <c r="Q703" s="75"/>
      <c r="R703" s="75"/>
      <c r="S703" s="75"/>
      <c r="T703" s="75"/>
      <c r="U703" s="75"/>
      <c r="V703" s="75"/>
    </row>
    <row r="704">
      <c r="F704" s="74"/>
      <c r="H704" s="75"/>
      <c r="I704" s="75"/>
      <c r="J704" s="75"/>
      <c r="K704" s="75"/>
      <c r="L704" s="75"/>
      <c r="M704" s="75"/>
      <c r="N704" s="75"/>
      <c r="O704" s="75"/>
      <c r="P704" s="75"/>
      <c r="Q704" s="75"/>
      <c r="R704" s="75"/>
      <c r="S704" s="75"/>
      <c r="T704" s="75"/>
      <c r="U704" s="75"/>
      <c r="V704" s="75"/>
    </row>
    <row r="705">
      <c r="F705" s="74"/>
      <c r="H705" s="75"/>
      <c r="I705" s="75"/>
      <c r="J705" s="75"/>
      <c r="K705" s="75"/>
      <c r="L705" s="75"/>
      <c r="M705" s="75"/>
      <c r="N705" s="75"/>
      <c r="O705" s="75"/>
      <c r="P705" s="75"/>
      <c r="Q705" s="75"/>
      <c r="R705" s="75"/>
      <c r="S705" s="75"/>
      <c r="T705" s="75"/>
      <c r="U705" s="75"/>
      <c r="V705" s="75"/>
    </row>
    <row r="706">
      <c r="F706" s="74"/>
      <c r="H706" s="75"/>
      <c r="I706" s="75"/>
      <c r="J706" s="75"/>
      <c r="K706" s="75"/>
      <c r="L706" s="75"/>
      <c r="M706" s="75"/>
      <c r="N706" s="75"/>
      <c r="O706" s="75"/>
      <c r="P706" s="75"/>
      <c r="Q706" s="75"/>
      <c r="R706" s="75"/>
      <c r="S706" s="75"/>
      <c r="T706" s="75"/>
      <c r="U706" s="75"/>
      <c r="V706" s="75"/>
    </row>
    <row r="707">
      <c r="F707" s="74"/>
      <c r="H707" s="75"/>
      <c r="I707" s="75"/>
      <c r="J707" s="75"/>
      <c r="K707" s="75"/>
      <c r="L707" s="75"/>
      <c r="M707" s="75"/>
      <c r="N707" s="75"/>
      <c r="O707" s="75"/>
      <c r="P707" s="75"/>
      <c r="Q707" s="75"/>
      <c r="R707" s="75"/>
      <c r="S707" s="75"/>
      <c r="T707" s="75"/>
      <c r="U707" s="75"/>
      <c r="V707" s="75"/>
    </row>
    <row r="708">
      <c r="F708" s="74"/>
      <c r="H708" s="75"/>
      <c r="I708" s="75"/>
      <c r="J708" s="75"/>
      <c r="K708" s="75"/>
      <c r="L708" s="75"/>
      <c r="M708" s="75"/>
      <c r="N708" s="75"/>
      <c r="O708" s="75"/>
      <c r="P708" s="75"/>
      <c r="Q708" s="75"/>
      <c r="R708" s="75"/>
      <c r="S708" s="75"/>
      <c r="T708" s="75"/>
      <c r="U708" s="75"/>
      <c r="V708" s="75"/>
    </row>
    <row r="709">
      <c r="F709" s="74"/>
      <c r="H709" s="75"/>
      <c r="I709" s="75"/>
      <c r="J709" s="75"/>
      <c r="K709" s="75"/>
      <c r="L709" s="75"/>
      <c r="M709" s="75"/>
      <c r="N709" s="75"/>
      <c r="O709" s="75"/>
      <c r="P709" s="75"/>
      <c r="Q709" s="75"/>
      <c r="R709" s="75"/>
      <c r="S709" s="75"/>
      <c r="T709" s="75"/>
      <c r="U709" s="75"/>
      <c r="V709" s="75"/>
    </row>
    <row r="710">
      <c r="F710" s="74"/>
      <c r="H710" s="75"/>
      <c r="I710" s="75"/>
      <c r="J710" s="75"/>
      <c r="K710" s="75"/>
      <c r="L710" s="75"/>
      <c r="M710" s="75"/>
      <c r="N710" s="75"/>
      <c r="O710" s="75"/>
      <c r="P710" s="75"/>
      <c r="Q710" s="75"/>
      <c r="R710" s="75"/>
      <c r="S710" s="75"/>
      <c r="T710" s="75"/>
      <c r="U710" s="75"/>
      <c r="V710" s="75"/>
    </row>
    <row r="711">
      <c r="F711" s="74"/>
      <c r="H711" s="75"/>
      <c r="I711" s="75"/>
      <c r="J711" s="75"/>
      <c r="K711" s="75"/>
      <c r="L711" s="75"/>
      <c r="M711" s="75"/>
      <c r="N711" s="75"/>
      <c r="O711" s="75"/>
      <c r="P711" s="75"/>
      <c r="Q711" s="75"/>
      <c r="R711" s="75"/>
      <c r="S711" s="75"/>
      <c r="T711" s="75"/>
      <c r="U711" s="75"/>
      <c r="V711" s="75"/>
    </row>
    <row r="712">
      <c r="F712" s="74"/>
      <c r="H712" s="75"/>
      <c r="I712" s="75"/>
      <c r="J712" s="75"/>
      <c r="K712" s="75"/>
      <c r="L712" s="75"/>
      <c r="M712" s="75"/>
      <c r="N712" s="75"/>
      <c r="O712" s="75"/>
      <c r="P712" s="75"/>
      <c r="Q712" s="75"/>
      <c r="R712" s="75"/>
      <c r="S712" s="75"/>
      <c r="T712" s="75"/>
      <c r="U712" s="75"/>
      <c r="V712" s="75"/>
    </row>
    <row r="713">
      <c r="F713" s="74"/>
      <c r="H713" s="75"/>
      <c r="I713" s="75"/>
      <c r="J713" s="75"/>
      <c r="K713" s="75"/>
      <c r="L713" s="75"/>
      <c r="M713" s="75"/>
      <c r="N713" s="75"/>
      <c r="O713" s="75"/>
      <c r="P713" s="75"/>
      <c r="Q713" s="75"/>
      <c r="R713" s="75"/>
      <c r="S713" s="75"/>
      <c r="T713" s="75"/>
      <c r="U713" s="75"/>
      <c r="V713" s="75"/>
    </row>
    <row r="714">
      <c r="F714" s="74"/>
      <c r="H714" s="75"/>
      <c r="I714" s="75"/>
      <c r="J714" s="75"/>
      <c r="K714" s="75"/>
      <c r="L714" s="75"/>
      <c r="M714" s="75"/>
      <c r="N714" s="75"/>
      <c r="O714" s="75"/>
      <c r="P714" s="75"/>
      <c r="Q714" s="75"/>
      <c r="R714" s="75"/>
      <c r="S714" s="75"/>
      <c r="T714" s="75"/>
      <c r="U714" s="75"/>
      <c r="V714" s="75"/>
    </row>
    <row r="715">
      <c r="F715" s="74"/>
      <c r="H715" s="75"/>
      <c r="I715" s="75"/>
      <c r="J715" s="75"/>
      <c r="K715" s="75"/>
      <c r="L715" s="75"/>
      <c r="M715" s="75"/>
      <c r="N715" s="75"/>
      <c r="O715" s="75"/>
      <c r="P715" s="75"/>
      <c r="Q715" s="75"/>
      <c r="R715" s="75"/>
      <c r="S715" s="75"/>
      <c r="T715" s="75"/>
      <c r="U715" s="75"/>
      <c r="V715" s="75"/>
    </row>
    <row r="716">
      <c r="F716" s="74"/>
      <c r="H716" s="75"/>
      <c r="I716" s="75"/>
      <c r="J716" s="75"/>
      <c r="K716" s="75"/>
      <c r="L716" s="75"/>
      <c r="M716" s="75"/>
      <c r="N716" s="75"/>
      <c r="O716" s="75"/>
      <c r="P716" s="75"/>
      <c r="Q716" s="75"/>
      <c r="R716" s="75"/>
      <c r="S716" s="75"/>
      <c r="T716" s="75"/>
      <c r="U716" s="75"/>
      <c r="V716" s="75"/>
    </row>
    <row r="717">
      <c r="F717" s="74"/>
      <c r="H717" s="75"/>
      <c r="I717" s="75"/>
      <c r="J717" s="75"/>
      <c r="K717" s="75"/>
      <c r="L717" s="75"/>
      <c r="M717" s="75"/>
      <c r="N717" s="75"/>
      <c r="O717" s="75"/>
      <c r="P717" s="75"/>
      <c r="Q717" s="75"/>
      <c r="R717" s="75"/>
      <c r="S717" s="75"/>
      <c r="T717" s="75"/>
      <c r="U717" s="75"/>
      <c r="V717" s="75"/>
    </row>
    <row r="718">
      <c r="F718" s="74"/>
      <c r="H718" s="75"/>
      <c r="I718" s="75"/>
      <c r="J718" s="75"/>
      <c r="K718" s="75"/>
      <c r="L718" s="75"/>
      <c r="M718" s="75"/>
      <c r="N718" s="75"/>
      <c r="O718" s="75"/>
      <c r="P718" s="75"/>
      <c r="Q718" s="75"/>
      <c r="R718" s="75"/>
      <c r="S718" s="75"/>
      <c r="T718" s="75"/>
      <c r="U718" s="75"/>
      <c r="V718" s="75"/>
    </row>
    <row r="719">
      <c r="F719" s="74"/>
      <c r="H719" s="75"/>
      <c r="I719" s="75"/>
      <c r="J719" s="75"/>
      <c r="K719" s="75"/>
      <c r="L719" s="75"/>
      <c r="M719" s="75"/>
      <c r="N719" s="75"/>
      <c r="O719" s="75"/>
      <c r="P719" s="75"/>
      <c r="Q719" s="75"/>
      <c r="R719" s="75"/>
      <c r="S719" s="75"/>
      <c r="T719" s="75"/>
      <c r="U719" s="75"/>
      <c r="V719" s="75"/>
    </row>
    <row r="720">
      <c r="F720" s="74"/>
      <c r="H720" s="75"/>
      <c r="I720" s="75"/>
      <c r="J720" s="75"/>
      <c r="K720" s="75"/>
      <c r="L720" s="75"/>
      <c r="M720" s="75"/>
      <c r="N720" s="75"/>
      <c r="O720" s="75"/>
      <c r="P720" s="75"/>
      <c r="Q720" s="75"/>
      <c r="R720" s="75"/>
      <c r="S720" s="75"/>
      <c r="T720" s="75"/>
      <c r="U720" s="75"/>
      <c r="V720" s="75"/>
    </row>
    <row r="721">
      <c r="F721" s="74"/>
      <c r="H721" s="75"/>
      <c r="I721" s="75"/>
      <c r="J721" s="75"/>
      <c r="K721" s="75"/>
      <c r="L721" s="75"/>
      <c r="M721" s="75"/>
      <c r="N721" s="75"/>
      <c r="O721" s="75"/>
      <c r="P721" s="75"/>
      <c r="Q721" s="75"/>
      <c r="R721" s="75"/>
      <c r="S721" s="75"/>
      <c r="T721" s="75"/>
      <c r="U721" s="75"/>
      <c r="V721" s="75"/>
    </row>
    <row r="722">
      <c r="F722" s="74"/>
      <c r="H722" s="75"/>
      <c r="I722" s="75"/>
      <c r="J722" s="75"/>
      <c r="K722" s="75"/>
      <c r="L722" s="75"/>
      <c r="M722" s="75"/>
      <c r="N722" s="75"/>
      <c r="O722" s="75"/>
      <c r="P722" s="75"/>
      <c r="Q722" s="75"/>
      <c r="R722" s="75"/>
      <c r="S722" s="75"/>
      <c r="T722" s="75"/>
      <c r="U722" s="75"/>
      <c r="V722" s="75"/>
    </row>
    <row r="723">
      <c r="F723" s="74"/>
      <c r="H723" s="75"/>
      <c r="I723" s="75"/>
      <c r="J723" s="75"/>
      <c r="K723" s="75"/>
      <c r="L723" s="75"/>
      <c r="M723" s="75"/>
      <c r="N723" s="75"/>
      <c r="O723" s="75"/>
      <c r="P723" s="75"/>
      <c r="Q723" s="75"/>
      <c r="R723" s="75"/>
      <c r="S723" s="75"/>
      <c r="T723" s="75"/>
      <c r="U723" s="75"/>
      <c r="V723" s="75"/>
    </row>
    <row r="724">
      <c r="F724" s="74"/>
      <c r="H724" s="75"/>
      <c r="I724" s="75"/>
      <c r="J724" s="75"/>
      <c r="K724" s="75"/>
      <c r="L724" s="75"/>
      <c r="M724" s="75"/>
      <c r="N724" s="75"/>
      <c r="O724" s="75"/>
      <c r="P724" s="75"/>
      <c r="Q724" s="75"/>
      <c r="R724" s="75"/>
      <c r="S724" s="75"/>
      <c r="T724" s="75"/>
      <c r="U724" s="75"/>
      <c r="V724" s="75"/>
    </row>
    <row r="725">
      <c r="F725" s="74"/>
      <c r="H725" s="75"/>
      <c r="I725" s="75"/>
      <c r="J725" s="75"/>
      <c r="K725" s="75"/>
      <c r="L725" s="75"/>
      <c r="M725" s="75"/>
      <c r="N725" s="75"/>
      <c r="O725" s="75"/>
      <c r="P725" s="75"/>
      <c r="Q725" s="75"/>
      <c r="R725" s="75"/>
      <c r="S725" s="75"/>
      <c r="T725" s="75"/>
      <c r="U725" s="75"/>
      <c r="V725" s="75"/>
    </row>
    <row r="726">
      <c r="F726" s="74"/>
      <c r="H726" s="75"/>
      <c r="I726" s="75"/>
      <c r="J726" s="75"/>
      <c r="K726" s="75"/>
      <c r="L726" s="75"/>
      <c r="M726" s="75"/>
      <c r="N726" s="75"/>
      <c r="O726" s="75"/>
      <c r="P726" s="75"/>
      <c r="Q726" s="75"/>
      <c r="R726" s="75"/>
      <c r="S726" s="75"/>
      <c r="T726" s="75"/>
      <c r="U726" s="75"/>
      <c r="V726" s="75"/>
    </row>
    <row r="727">
      <c r="F727" s="74"/>
      <c r="H727" s="75"/>
      <c r="I727" s="75"/>
      <c r="J727" s="75"/>
      <c r="K727" s="75"/>
      <c r="L727" s="75"/>
      <c r="M727" s="75"/>
      <c r="N727" s="75"/>
      <c r="O727" s="75"/>
      <c r="P727" s="75"/>
      <c r="Q727" s="75"/>
      <c r="R727" s="75"/>
      <c r="S727" s="75"/>
      <c r="T727" s="75"/>
      <c r="U727" s="75"/>
      <c r="V727" s="75"/>
    </row>
    <row r="728">
      <c r="F728" s="74"/>
      <c r="H728" s="75"/>
      <c r="I728" s="75"/>
      <c r="J728" s="75"/>
      <c r="K728" s="75"/>
      <c r="L728" s="75"/>
      <c r="M728" s="75"/>
      <c r="N728" s="75"/>
      <c r="O728" s="75"/>
      <c r="P728" s="75"/>
      <c r="Q728" s="75"/>
      <c r="R728" s="75"/>
      <c r="S728" s="75"/>
      <c r="T728" s="75"/>
      <c r="U728" s="75"/>
      <c r="V728" s="75"/>
    </row>
    <row r="729">
      <c r="F729" s="74"/>
      <c r="H729" s="75"/>
      <c r="I729" s="75"/>
      <c r="J729" s="75"/>
      <c r="K729" s="75"/>
      <c r="L729" s="75"/>
      <c r="M729" s="75"/>
      <c r="N729" s="75"/>
      <c r="O729" s="75"/>
      <c r="P729" s="75"/>
      <c r="Q729" s="75"/>
      <c r="R729" s="75"/>
      <c r="S729" s="75"/>
      <c r="T729" s="75"/>
      <c r="U729" s="75"/>
      <c r="V729" s="75"/>
    </row>
    <row r="730">
      <c r="F730" s="74"/>
      <c r="H730" s="75"/>
      <c r="I730" s="75"/>
      <c r="J730" s="75"/>
      <c r="K730" s="75"/>
      <c r="L730" s="75"/>
      <c r="M730" s="75"/>
      <c r="N730" s="75"/>
      <c r="O730" s="75"/>
      <c r="P730" s="75"/>
      <c r="Q730" s="75"/>
      <c r="R730" s="75"/>
      <c r="S730" s="75"/>
      <c r="T730" s="75"/>
      <c r="U730" s="75"/>
      <c r="V730" s="75"/>
    </row>
    <row r="731">
      <c r="F731" s="74"/>
      <c r="H731" s="75"/>
      <c r="I731" s="75"/>
      <c r="J731" s="75"/>
      <c r="K731" s="75"/>
      <c r="L731" s="75"/>
      <c r="M731" s="75"/>
      <c r="N731" s="75"/>
      <c r="O731" s="75"/>
      <c r="P731" s="75"/>
      <c r="Q731" s="75"/>
      <c r="R731" s="75"/>
      <c r="S731" s="75"/>
      <c r="T731" s="75"/>
      <c r="U731" s="75"/>
      <c r="V731" s="75"/>
    </row>
    <row r="732">
      <c r="F732" s="74"/>
      <c r="H732" s="75"/>
      <c r="I732" s="75"/>
      <c r="J732" s="75"/>
      <c r="K732" s="75"/>
      <c r="L732" s="75"/>
      <c r="M732" s="75"/>
      <c r="N732" s="75"/>
      <c r="O732" s="75"/>
      <c r="P732" s="75"/>
      <c r="Q732" s="75"/>
      <c r="R732" s="75"/>
      <c r="S732" s="75"/>
      <c r="T732" s="75"/>
      <c r="U732" s="75"/>
      <c r="V732" s="75"/>
    </row>
    <row r="733">
      <c r="F733" s="74"/>
      <c r="H733" s="75"/>
      <c r="I733" s="75"/>
      <c r="J733" s="75"/>
      <c r="K733" s="75"/>
      <c r="L733" s="75"/>
      <c r="M733" s="75"/>
      <c r="N733" s="75"/>
      <c r="O733" s="75"/>
      <c r="P733" s="75"/>
      <c r="Q733" s="75"/>
      <c r="R733" s="75"/>
      <c r="S733" s="75"/>
      <c r="T733" s="75"/>
      <c r="U733" s="75"/>
      <c r="V733" s="75"/>
    </row>
    <row r="734">
      <c r="F734" s="74"/>
      <c r="H734" s="75"/>
      <c r="I734" s="75"/>
      <c r="J734" s="75"/>
      <c r="K734" s="75"/>
      <c r="L734" s="75"/>
      <c r="M734" s="75"/>
      <c r="N734" s="75"/>
      <c r="O734" s="75"/>
      <c r="P734" s="75"/>
      <c r="Q734" s="75"/>
      <c r="R734" s="75"/>
      <c r="S734" s="75"/>
      <c r="T734" s="75"/>
      <c r="U734" s="75"/>
      <c r="V734" s="75"/>
    </row>
    <row r="735">
      <c r="F735" s="74"/>
      <c r="H735" s="75"/>
      <c r="I735" s="75"/>
      <c r="J735" s="75"/>
      <c r="K735" s="75"/>
      <c r="L735" s="75"/>
      <c r="M735" s="75"/>
      <c r="N735" s="75"/>
      <c r="O735" s="75"/>
      <c r="P735" s="75"/>
      <c r="Q735" s="75"/>
      <c r="R735" s="75"/>
      <c r="S735" s="75"/>
      <c r="T735" s="75"/>
      <c r="U735" s="75"/>
      <c r="V735" s="75"/>
    </row>
    <row r="736">
      <c r="F736" s="74"/>
      <c r="H736" s="75"/>
      <c r="I736" s="75"/>
      <c r="J736" s="75"/>
      <c r="K736" s="75"/>
      <c r="L736" s="75"/>
      <c r="M736" s="75"/>
      <c r="N736" s="75"/>
      <c r="O736" s="75"/>
      <c r="P736" s="75"/>
      <c r="Q736" s="75"/>
      <c r="R736" s="75"/>
      <c r="S736" s="75"/>
      <c r="T736" s="75"/>
      <c r="U736" s="75"/>
      <c r="V736" s="75"/>
    </row>
    <row r="737">
      <c r="F737" s="74"/>
      <c r="H737" s="75"/>
      <c r="I737" s="75"/>
      <c r="J737" s="75"/>
      <c r="K737" s="75"/>
      <c r="L737" s="75"/>
      <c r="M737" s="75"/>
      <c r="N737" s="75"/>
      <c r="O737" s="75"/>
      <c r="P737" s="75"/>
      <c r="Q737" s="75"/>
      <c r="R737" s="75"/>
      <c r="S737" s="75"/>
      <c r="T737" s="75"/>
      <c r="U737" s="75"/>
      <c r="V737" s="75"/>
    </row>
    <row r="738">
      <c r="F738" s="74"/>
      <c r="H738" s="75"/>
      <c r="I738" s="75"/>
      <c r="J738" s="75"/>
      <c r="K738" s="75"/>
      <c r="L738" s="75"/>
      <c r="M738" s="75"/>
      <c r="N738" s="75"/>
      <c r="O738" s="75"/>
      <c r="P738" s="75"/>
      <c r="Q738" s="75"/>
      <c r="R738" s="75"/>
      <c r="S738" s="75"/>
      <c r="T738" s="75"/>
      <c r="U738" s="75"/>
      <c r="V738" s="75"/>
    </row>
    <row r="739">
      <c r="F739" s="74"/>
      <c r="H739" s="75"/>
      <c r="I739" s="75"/>
      <c r="J739" s="75"/>
      <c r="K739" s="75"/>
      <c r="L739" s="75"/>
      <c r="M739" s="75"/>
      <c r="N739" s="75"/>
      <c r="O739" s="75"/>
      <c r="P739" s="75"/>
      <c r="Q739" s="75"/>
      <c r="R739" s="75"/>
      <c r="S739" s="75"/>
      <c r="T739" s="75"/>
      <c r="U739" s="75"/>
      <c r="V739" s="75"/>
    </row>
    <row r="740">
      <c r="F740" s="74"/>
      <c r="H740" s="75"/>
      <c r="I740" s="75"/>
      <c r="J740" s="75"/>
      <c r="K740" s="75"/>
      <c r="L740" s="75"/>
      <c r="M740" s="75"/>
      <c r="N740" s="75"/>
      <c r="O740" s="75"/>
      <c r="P740" s="75"/>
      <c r="Q740" s="75"/>
      <c r="R740" s="75"/>
      <c r="S740" s="75"/>
      <c r="T740" s="75"/>
      <c r="U740" s="75"/>
      <c r="V740" s="75"/>
    </row>
    <row r="741">
      <c r="F741" s="74"/>
      <c r="H741" s="75"/>
      <c r="I741" s="75"/>
      <c r="J741" s="75"/>
      <c r="K741" s="75"/>
      <c r="L741" s="75"/>
      <c r="M741" s="75"/>
      <c r="N741" s="75"/>
      <c r="O741" s="75"/>
      <c r="P741" s="75"/>
      <c r="Q741" s="75"/>
      <c r="R741" s="75"/>
      <c r="S741" s="75"/>
      <c r="T741" s="75"/>
      <c r="U741" s="75"/>
      <c r="V741" s="75"/>
    </row>
    <row r="742">
      <c r="F742" s="74"/>
      <c r="H742" s="75"/>
      <c r="I742" s="75"/>
      <c r="J742" s="75"/>
      <c r="K742" s="75"/>
      <c r="L742" s="75"/>
      <c r="M742" s="75"/>
      <c r="N742" s="75"/>
      <c r="O742" s="75"/>
      <c r="P742" s="75"/>
      <c r="Q742" s="75"/>
      <c r="R742" s="75"/>
      <c r="S742" s="75"/>
      <c r="T742" s="75"/>
      <c r="U742" s="75"/>
      <c r="V742" s="75"/>
    </row>
    <row r="743">
      <c r="F743" s="74"/>
      <c r="H743" s="75"/>
      <c r="I743" s="75"/>
      <c r="J743" s="75"/>
      <c r="K743" s="75"/>
      <c r="L743" s="75"/>
      <c r="M743" s="75"/>
      <c r="N743" s="75"/>
      <c r="O743" s="75"/>
      <c r="P743" s="75"/>
      <c r="Q743" s="75"/>
      <c r="R743" s="75"/>
      <c r="S743" s="75"/>
      <c r="T743" s="75"/>
      <c r="U743" s="75"/>
      <c r="V743" s="75"/>
    </row>
    <row r="744">
      <c r="F744" s="74"/>
      <c r="H744" s="75"/>
      <c r="I744" s="75"/>
      <c r="J744" s="75"/>
      <c r="K744" s="75"/>
      <c r="L744" s="75"/>
      <c r="M744" s="75"/>
      <c r="N744" s="75"/>
      <c r="O744" s="75"/>
      <c r="P744" s="75"/>
      <c r="Q744" s="75"/>
      <c r="R744" s="75"/>
      <c r="S744" s="75"/>
      <c r="T744" s="75"/>
      <c r="U744" s="75"/>
      <c r="V744" s="75"/>
    </row>
    <row r="745">
      <c r="F745" s="74"/>
      <c r="H745" s="75"/>
      <c r="I745" s="75"/>
      <c r="J745" s="75"/>
      <c r="K745" s="75"/>
      <c r="L745" s="75"/>
      <c r="M745" s="75"/>
      <c r="N745" s="75"/>
      <c r="O745" s="75"/>
      <c r="P745" s="75"/>
      <c r="Q745" s="75"/>
      <c r="R745" s="75"/>
      <c r="S745" s="75"/>
      <c r="T745" s="75"/>
      <c r="U745" s="75"/>
      <c r="V745" s="75"/>
    </row>
    <row r="746">
      <c r="F746" s="74"/>
      <c r="H746" s="75"/>
      <c r="I746" s="75"/>
      <c r="J746" s="75"/>
      <c r="K746" s="75"/>
      <c r="L746" s="75"/>
      <c r="M746" s="75"/>
      <c r="N746" s="75"/>
      <c r="O746" s="75"/>
      <c r="P746" s="75"/>
      <c r="Q746" s="75"/>
      <c r="R746" s="75"/>
      <c r="S746" s="75"/>
      <c r="T746" s="75"/>
      <c r="U746" s="75"/>
      <c r="V746" s="75"/>
    </row>
    <row r="747">
      <c r="F747" s="74"/>
      <c r="H747" s="75"/>
      <c r="I747" s="75"/>
      <c r="J747" s="75"/>
      <c r="K747" s="75"/>
      <c r="L747" s="75"/>
      <c r="M747" s="75"/>
      <c r="N747" s="75"/>
      <c r="O747" s="75"/>
      <c r="P747" s="75"/>
      <c r="Q747" s="75"/>
      <c r="R747" s="75"/>
      <c r="S747" s="75"/>
      <c r="T747" s="75"/>
      <c r="U747" s="75"/>
      <c r="V747" s="75"/>
    </row>
    <row r="748">
      <c r="F748" s="74"/>
      <c r="H748" s="75"/>
      <c r="I748" s="75"/>
      <c r="J748" s="75"/>
      <c r="K748" s="75"/>
      <c r="L748" s="75"/>
      <c r="M748" s="75"/>
      <c r="N748" s="75"/>
      <c r="O748" s="75"/>
      <c r="P748" s="75"/>
      <c r="Q748" s="75"/>
      <c r="R748" s="75"/>
      <c r="S748" s="75"/>
      <c r="T748" s="75"/>
      <c r="U748" s="75"/>
      <c r="V748" s="75"/>
    </row>
    <row r="749">
      <c r="F749" s="74"/>
      <c r="H749" s="75"/>
      <c r="I749" s="75"/>
      <c r="J749" s="75"/>
      <c r="K749" s="75"/>
      <c r="L749" s="75"/>
      <c r="M749" s="75"/>
      <c r="N749" s="75"/>
      <c r="O749" s="75"/>
      <c r="P749" s="75"/>
      <c r="Q749" s="75"/>
      <c r="R749" s="75"/>
      <c r="S749" s="75"/>
      <c r="T749" s="75"/>
      <c r="U749" s="75"/>
      <c r="V749" s="75"/>
    </row>
    <row r="750">
      <c r="F750" s="74"/>
      <c r="H750" s="75"/>
      <c r="I750" s="75"/>
      <c r="J750" s="75"/>
      <c r="K750" s="75"/>
      <c r="L750" s="75"/>
      <c r="M750" s="75"/>
      <c r="N750" s="75"/>
      <c r="O750" s="75"/>
      <c r="P750" s="75"/>
      <c r="Q750" s="75"/>
      <c r="R750" s="75"/>
      <c r="S750" s="75"/>
      <c r="T750" s="75"/>
      <c r="U750" s="75"/>
      <c r="V750" s="75"/>
    </row>
    <row r="751">
      <c r="F751" s="74"/>
      <c r="H751" s="75"/>
      <c r="I751" s="75"/>
      <c r="J751" s="75"/>
      <c r="K751" s="75"/>
      <c r="L751" s="75"/>
      <c r="M751" s="75"/>
      <c r="N751" s="75"/>
      <c r="O751" s="75"/>
      <c r="P751" s="75"/>
      <c r="Q751" s="75"/>
      <c r="R751" s="75"/>
      <c r="S751" s="75"/>
      <c r="T751" s="75"/>
      <c r="U751" s="75"/>
      <c r="V751" s="75"/>
    </row>
    <row r="752">
      <c r="F752" s="74"/>
      <c r="H752" s="75"/>
      <c r="I752" s="75"/>
      <c r="J752" s="75"/>
      <c r="K752" s="75"/>
      <c r="L752" s="75"/>
      <c r="M752" s="75"/>
      <c r="N752" s="75"/>
      <c r="O752" s="75"/>
      <c r="P752" s="75"/>
      <c r="Q752" s="75"/>
      <c r="R752" s="75"/>
      <c r="S752" s="75"/>
      <c r="T752" s="75"/>
      <c r="U752" s="75"/>
      <c r="V752" s="75"/>
    </row>
    <row r="753">
      <c r="F753" s="74"/>
      <c r="H753" s="75"/>
      <c r="I753" s="75"/>
      <c r="J753" s="75"/>
      <c r="K753" s="75"/>
      <c r="L753" s="75"/>
      <c r="M753" s="75"/>
      <c r="N753" s="75"/>
      <c r="O753" s="75"/>
      <c r="P753" s="75"/>
      <c r="Q753" s="75"/>
      <c r="R753" s="75"/>
      <c r="S753" s="75"/>
      <c r="T753" s="75"/>
      <c r="U753" s="75"/>
      <c r="V753" s="75"/>
    </row>
    <row r="754">
      <c r="F754" s="74"/>
      <c r="H754" s="75"/>
      <c r="I754" s="75"/>
      <c r="J754" s="75"/>
      <c r="K754" s="75"/>
      <c r="L754" s="75"/>
      <c r="M754" s="75"/>
      <c r="N754" s="75"/>
      <c r="O754" s="75"/>
      <c r="P754" s="75"/>
      <c r="Q754" s="75"/>
      <c r="R754" s="75"/>
      <c r="S754" s="75"/>
      <c r="T754" s="75"/>
      <c r="U754" s="75"/>
      <c r="V754" s="75"/>
    </row>
    <row r="755">
      <c r="F755" s="74"/>
      <c r="H755" s="75"/>
      <c r="I755" s="75"/>
      <c r="J755" s="75"/>
      <c r="K755" s="75"/>
      <c r="L755" s="75"/>
      <c r="M755" s="75"/>
      <c r="N755" s="75"/>
      <c r="O755" s="75"/>
      <c r="P755" s="75"/>
      <c r="Q755" s="75"/>
      <c r="R755" s="75"/>
      <c r="S755" s="75"/>
      <c r="T755" s="75"/>
      <c r="U755" s="75"/>
      <c r="V755" s="75"/>
    </row>
    <row r="756">
      <c r="F756" s="74"/>
      <c r="H756" s="75"/>
      <c r="I756" s="75"/>
      <c r="J756" s="75"/>
      <c r="K756" s="75"/>
      <c r="L756" s="75"/>
      <c r="M756" s="75"/>
      <c r="N756" s="75"/>
      <c r="O756" s="75"/>
      <c r="P756" s="75"/>
      <c r="Q756" s="75"/>
      <c r="R756" s="75"/>
      <c r="S756" s="75"/>
      <c r="T756" s="75"/>
      <c r="U756" s="75"/>
      <c r="V756" s="75"/>
    </row>
    <row r="757">
      <c r="F757" s="74"/>
      <c r="H757" s="75"/>
      <c r="I757" s="75"/>
      <c r="J757" s="75"/>
      <c r="K757" s="75"/>
      <c r="L757" s="75"/>
      <c r="M757" s="75"/>
      <c r="N757" s="75"/>
      <c r="O757" s="75"/>
      <c r="P757" s="75"/>
      <c r="Q757" s="75"/>
      <c r="R757" s="75"/>
      <c r="S757" s="75"/>
      <c r="T757" s="75"/>
      <c r="U757" s="75"/>
      <c r="V757" s="75"/>
    </row>
    <row r="758">
      <c r="F758" s="74"/>
      <c r="H758" s="75"/>
      <c r="I758" s="75"/>
      <c r="J758" s="75"/>
      <c r="K758" s="75"/>
      <c r="L758" s="75"/>
      <c r="M758" s="75"/>
      <c r="N758" s="75"/>
      <c r="O758" s="75"/>
      <c r="P758" s="75"/>
      <c r="Q758" s="75"/>
      <c r="R758" s="75"/>
      <c r="S758" s="75"/>
      <c r="T758" s="75"/>
      <c r="U758" s="75"/>
      <c r="V758" s="75"/>
    </row>
    <row r="759">
      <c r="F759" s="74"/>
      <c r="H759" s="75"/>
      <c r="I759" s="75"/>
      <c r="J759" s="75"/>
      <c r="K759" s="75"/>
      <c r="L759" s="75"/>
      <c r="M759" s="75"/>
      <c r="N759" s="75"/>
      <c r="O759" s="75"/>
      <c r="P759" s="75"/>
      <c r="Q759" s="75"/>
      <c r="R759" s="75"/>
      <c r="S759" s="75"/>
      <c r="T759" s="75"/>
      <c r="U759" s="75"/>
      <c r="V759" s="75"/>
    </row>
    <row r="760">
      <c r="F760" s="74"/>
      <c r="H760" s="75"/>
      <c r="I760" s="75"/>
      <c r="J760" s="75"/>
      <c r="K760" s="75"/>
      <c r="L760" s="75"/>
      <c r="M760" s="75"/>
      <c r="N760" s="75"/>
      <c r="O760" s="75"/>
      <c r="P760" s="75"/>
      <c r="Q760" s="75"/>
      <c r="R760" s="75"/>
      <c r="S760" s="75"/>
      <c r="T760" s="75"/>
      <c r="U760" s="75"/>
      <c r="V760" s="75"/>
    </row>
    <row r="761">
      <c r="F761" s="74"/>
      <c r="H761" s="75"/>
      <c r="I761" s="75"/>
      <c r="J761" s="75"/>
      <c r="K761" s="75"/>
      <c r="L761" s="75"/>
      <c r="M761" s="75"/>
      <c r="N761" s="75"/>
      <c r="O761" s="75"/>
      <c r="P761" s="75"/>
      <c r="Q761" s="75"/>
      <c r="R761" s="75"/>
      <c r="S761" s="75"/>
      <c r="T761" s="75"/>
      <c r="U761" s="75"/>
      <c r="V761" s="75"/>
    </row>
    <row r="762">
      <c r="F762" s="74"/>
      <c r="H762" s="75"/>
      <c r="I762" s="75"/>
      <c r="J762" s="75"/>
      <c r="K762" s="75"/>
      <c r="L762" s="75"/>
      <c r="M762" s="75"/>
      <c r="N762" s="75"/>
      <c r="O762" s="75"/>
      <c r="P762" s="75"/>
      <c r="Q762" s="75"/>
      <c r="R762" s="75"/>
      <c r="S762" s="75"/>
      <c r="T762" s="75"/>
      <c r="U762" s="75"/>
      <c r="V762" s="75"/>
    </row>
    <row r="763">
      <c r="F763" s="74"/>
      <c r="H763" s="75"/>
      <c r="I763" s="75"/>
      <c r="J763" s="75"/>
      <c r="K763" s="75"/>
      <c r="L763" s="75"/>
      <c r="M763" s="75"/>
      <c r="N763" s="75"/>
      <c r="O763" s="75"/>
      <c r="P763" s="75"/>
      <c r="Q763" s="75"/>
      <c r="R763" s="75"/>
      <c r="S763" s="75"/>
      <c r="T763" s="75"/>
      <c r="U763" s="75"/>
      <c r="V763" s="75"/>
    </row>
    <row r="764">
      <c r="F764" s="74"/>
      <c r="H764" s="75"/>
      <c r="I764" s="75"/>
      <c r="J764" s="75"/>
      <c r="K764" s="75"/>
      <c r="L764" s="75"/>
      <c r="M764" s="75"/>
      <c r="N764" s="75"/>
      <c r="O764" s="75"/>
      <c r="P764" s="75"/>
      <c r="Q764" s="75"/>
      <c r="R764" s="75"/>
      <c r="S764" s="75"/>
      <c r="T764" s="75"/>
      <c r="U764" s="75"/>
      <c r="V764" s="75"/>
    </row>
    <row r="765">
      <c r="F765" s="74"/>
      <c r="H765" s="75"/>
      <c r="I765" s="75"/>
      <c r="J765" s="75"/>
      <c r="K765" s="75"/>
      <c r="L765" s="75"/>
      <c r="M765" s="75"/>
      <c r="N765" s="75"/>
      <c r="O765" s="75"/>
      <c r="P765" s="75"/>
      <c r="Q765" s="75"/>
      <c r="R765" s="75"/>
      <c r="S765" s="75"/>
      <c r="T765" s="75"/>
      <c r="U765" s="75"/>
      <c r="V765" s="75"/>
    </row>
    <row r="766">
      <c r="F766" s="74"/>
      <c r="H766" s="75"/>
      <c r="I766" s="75"/>
      <c r="J766" s="75"/>
      <c r="K766" s="75"/>
      <c r="L766" s="75"/>
      <c r="M766" s="75"/>
      <c r="N766" s="75"/>
      <c r="O766" s="75"/>
      <c r="P766" s="75"/>
      <c r="Q766" s="75"/>
      <c r="R766" s="75"/>
      <c r="S766" s="75"/>
      <c r="T766" s="75"/>
      <c r="U766" s="75"/>
      <c r="V766" s="75"/>
    </row>
    <row r="767">
      <c r="F767" s="74"/>
      <c r="H767" s="75"/>
      <c r="I767" s="75"/>
      <c r="J767" s="75"/>
      <c r="K767" s="75"/>
      <c r="L767" s="75"/>
      <c r="M767" s="75"/>
      <c r="N767" s="75"/>
      <c r="O767" s="75"/>
      <c r="P767" s="75"/>
      <c r="Q767" s="75"/>
      <c r="R767" s="75"/>
      <c r="S767" s="75"/>
      <c r="T767" s="75"/>
      <c r="U767" s="75"/>
      <c r="V767" s="75"/>
    </row>
    <row r="768">
      <c r="F768" s="74"/>
      <c r="H768" s="75"/>
      <c r="I768" s="75"/>
      <c r="J768" s="75"/>
      <c r="K768" s="75"/>
      <c r="L768" s="75"/>
      <c r="M768" s="75"/>
      <c r="N768" s="75"/>
      <c r="O768" s="75"/>
      <c r="P768" s="75"/>
      <c r="Q768" s="75"/>
      <c r="R768" s="75"/>
      <c r="S768" s="75"/>
      <c r="T768" s="75"/>
      <c r="U768" s="75"/>
      <c r="V768" s="75"/>
    </row>
    <row r="769">
      <c r="F769" s="74"/>
      <c r="H769" s="75"/>
      <c r="I769" s="75"/>
      <c r="J769" s="75"/>
      <c r="K769" s="75"/>
      <c r="L769" s="75"/>
      <c r="M769" s="75"/>
      <c r="N769" s="75"/>
      <c r="O769" s="75"/>
      <c r="P769" s="75"/>
      <c r="Q769" s="75"/>
      <c r="R769" s="75"/>
      <c r="S769" s="75"/>
      <c r="T769" s="75"/>
      <c r="U769" s="75"/>
      <c r="V769" s="75"/>
    </row>
    <row r="770">
      <c r="F770" s="74"/>
      <c r="H770" s="75"/>
      <c r="I770" s="75"/>
      <c r="J770" s="75"/>
      <c r="K770" s="75"/>
      <c r="L770" s="75"/>
      <c r="M770" s="75"/>
      <c r="N770" s="75"/>
      <c r="O770" s="75"/>
      <c r="P770" s="75"/>
      <c r="Q770" s="75"/>
      <c r="R770" s="75"/>
      <c r="S770" s="75"/>
      <c r="T770" s="75"/>
      <c r="U770" s="75"/>
      <c r="V770" s="75"/>
    </row>
    <row r="771">
      <c r="F771" s="74"/>
      <c r="H771" s="75"/>
      <c r="I771" s="75"/>
      <c r="J771" s="75"/>
      <c r="K771" s="75"/>
      <c r="L771" s="75"/>
      <c r="M771" s="75"/>
      <c r="N771" s="75"/>
      <c r="O771" s="75"/>
      <c r="P771" s="75"/>
      <c r="Q771" s="75"/>
      <c r="R771" s="75"/>
      <c r="S771" s="75"/>
      <c r="T771" s="75"/>
      <c r="U771" s="75"/>
      <c r="V771" s="75"/>
    </row>
    <row r="772">
      <c r="F772" s="74"/>
      <c r="H772" s="75"/>
      <c r="I772" s="75"/>
      <c r="J772" s="75"/>
      <c r="K772" s="75"/>
      <c r="L772" s="75"/>
      <c r="M772" s="75"/>
      <c r="N772" s="75"/>
      <c r="O772" s="75"/>
      <c r="P772" s="75"/>
      <c r="Q772" s="75"/>
      <c r="R772" s="75"/>
      <c r="S772" s="75"/>
      <c r="T772" s="75"/>
      <c r="U772" s="75"/>
      <c r="V772" s="75"/>
    </row>
    <row r="773">
      <c r="F773" s="74"/>
      <c r="H773" s="75"/>
      <c r="I773" s="75"/>
      <c r="J773" s="75"/>
      <c r="K773" s="75"/>
      <c r="L773" s="75"/>
      <c r="M773" s="75"/>
      <c r="N773" s="75"/>
      <c r="O773" s="75"/>
      <c r="P773" s="75"/>
      <c r="Q773" s="75"/>
      <c r="R773" s="75"/>
      <c r="S773" s="75"/>
      <c r="T773" s="75"/>
      <c r="U773" s="75"/>
      <c r="V773" s="75"/>
    </row>
    <row r="774">
      <c r="F774" s="74"/>
      <c r="H774" s="75"/>
      <c r="I774" s="75"/>
      <c r="J774" s="75"/>
      <c r="K774" s="75"/>
      <c r="L774" s="75"/>
      <c r="M774" s="75"/>
      <c r="N774" s="75"/>
      <c r="O774" s="75"/>
      <c r="P774" s="75"/>
      <c r="Q774" s="75"/>
      <c r="R774" s="75"/>
      <c r="S774" s="75"/>
      <c r="T774" s="75"/>
      <c r="U774" s="75"/>
      <c r="V774" s="75"/>
    </row>
    <row r="775">
      <c r="F775" s="74"/>
      <c r="H775" s="75"/>
      <c r="I775" s="75"/>
      <c r="J775" s="75"/>
      <c r="K775" s="75"/>
      <c r="L775" s="75"/>
      <c r="M775" s="75"/>
      <c r="N775" s="75"/>
      <c r="O775" s="75"/>
      <c r="P775" s="75"/>
      <c r="Q775" s="75"/>
      <c r="R775" s="75"/>
      <c r="S775" s="75"/>
      <c r="T775" s="75"/>
      <c r="U775" s="75"/>
      <c r="V775" s="75"/>
    </row>
    <row r="776">
      <c r="F776" s="74"/>
      <c r="H776" s="75"/>
      <c r="I776" s="75"/>
      <c r="J776" s="75"/>
      <c r="K776" s="75"/>
      <c r="L776" s="75"/>
      <c r="M776" s="75"/>
      <c r="N776" s="75"/>
      <c r="O776" s="75"/>
      <c r="P776" s="75"/>
      <c r="Q776" s="75"/>
      <c r="R776" s="75"/>
      <c r="S776" s="75"/>
      <c r="T776" s="75"/>
      <c r="U776" s="75"/>
      <c r="V776" s="75"/>
    </row>
    <row r="777">
      <c r="F777" s="74"/>
      <c r="H777" s="75"/>
      <c r="I777" s="75"/>
      <c r="J777" s="75"/>
      <c r="K777" s="75"/>
      <c r="L777" s="75"/>
      <c r="M777" s="75"/>
      <c r="N777" s="75"/>
      <c r="O777" s="75"/>
      <c r="P777" s="75"/>
      <c r="Q777" s="75"/>
      <c r="R777" s="75"/>
      <c r="S777" s="75"/>
      <c r="T777" s="75"/>
      <c r="U777" s="75"/>
      <c r="V777" s="75"/>
    </row>
    <row r="778">
      <c r="F778" s="74"/>
      <c r="H778" s="75"/>
      <c r="I778" s="75"/>
      <c r="J778" s="75"/>
      <c r="K778" s="75"/>
      <c r="L778" s="75"/>
      <c r="M778" s="75"/>
      <c r="N778" s="75"/>
      <c r="O778" s="75"/>
      <c r="P778" s="75"/>
      <c r="Q778" s="75"/>
      <c r="R778" s="75"/>
      <c r="S778" s="75"/>
      <c r="T778" s="75"/>
      <c r="U778" s="75"/>
      <c r="V778" s="75"/>
    </row>
    <row r="779">
      <c r="F779" s="74"/>
      <c r="H779" s="75"/>
      <c r="I779" s="75"/>
      <c r="J779" s="75"/>
      <c r="K779" s="75"/>
      <c r="L779" s="75"/>
      <c r="M779" s="75"/>
      <c r="N779" s="75"/>
      <c r="O779" s="75"/>
      <c r="P779" s="75"/>
      <c r="Q779" s="75"/>
      <c r="R779" s="75"/>
      <c r="S779" s="75"/>
      <c r="T779" s="75"/>
      <c r="U779" s="75"/>
      <c r="V779" s="75"/>
    </row>
    <row r="780">
      <c r="F780" s="74"/>
      <c r="H780" s="75"/>
      <c r="I780" s="75"/>
      <c r="J780" s="75"/>
      <c r="K780" s="75"/>
      <c r="L780" s="75"/>
      <c r="M780" s="75"/>
      <c r="N780" s="75"/>
      <c r="O780" s="75"/>
      <c r="P780" s="75"/>
      <c r="Q780" s="75"/>
      <c r="R780" s="75"/>
      <c r="S780" s="75"/>
      <c r="T780" s="75"/>
      <c r="U780" s="75"/>
      <c r="V780" s="75"/>
    </row>
    <row r="781">
      <c r="F781" s="74"/>
      <c r="H781" s="75"/>
      <c r="I781" s="75"/>
      <c r="J781" s="75"/>
      <c r="K781" s="75"/>
      <c r="L781" s="75"/>
      <c r="M781" s="75"/>
      <c r="N781" s="75"/>
      <c r="O781" s="75"/>
      <c r="P781" s="75"/>
      <c r="Q781" s="75"/>
      <c r="R781" s="75"/>
      <c r="S781" s="75"/>
      <c r="T781" s="75"/>
      <c r="U781" s="75"/>
      <c r="V781" s="75"/>
    </row>
    <row r="782">
      <c r="F782" s="74"/>
      <c r="H782" s="75"/>
      <c r="I782" s="75"/>
      <c r="J782" s="75"/>
      <c r="K782" s="75"/>
      <c r="L782" s="75"/>
      <c r="M782" s="75"/>
      <c r="N782" s="75"/>
      <c r="O782" s="75"/>
      <c r="P782" s="75"/>
      <c r="Q782" s="75"/>
      <c r="R782" s="75"/>
      <c r="S782" s="75"/>
      <c r="T782" s="75"/>
      <c r="U782" s="75"/>
      <c r="V782" s="75"/>
    </row>
    <row r="783">
      <c r="F783" s="74"/>
      <c r="H783" s="75"/>
      <c r="I783" s="75"/>
      <c r="J783" s="75"/>
      <c r="K783" s="75"/>
      <c r="L783" s="75"/>
      <c r="M783" s="75"/>
      <c r="N783" s="75"/>
      <c r="O783" s="75"/>
      <c r="P783" s="75"/>
      <c r="Q783" s="75"/>
      <c r="R783" s="75"/>
      <c r="S783" s="75"/>
      <c r="T783" s="75"/>
      <c r="U783" s="75"/>
      <c r="V783" s="75"/>
    </row>
    <row r="784">
      <c r="F784" s="74"/>
      <c r="H784" s="75"/>
      <c r="I784" s="75"/>
      <c r="J784" s="75"/>
      <c r="K784" s="75"/>
      <c r="L784" s="75"/>
      <c r="M784" s="75"/>
      <c r="N784" s="75"/>
      <c r="O784" s="75"/>
      <c r="P784" s="75"/>
      <c r="Q784" s="75"/>
      <c r="R784" s="75"/>
      <c r="S784" s="75"/>
      <c r="T784" s="75"/>
      <c r="U784" s="75"/>
      <c r="V784" s="75"/>
    </row>
    <row r="785">
      <c r="F785" s="74"/>
      <c r="H785" s="75"/>
      <c r="I785" s="75"/>
      <c r="J785" s="75"/>
      <c r="K785" s="75"/>
      <c r="L785" s="75"/>
      <c r="M785" s="75"/>
      <c r="N785" s="75"/>
      <c r="O785" s="75"/>
      <c r="P785" s="75"/>
      <c r="Q785" s="75"/>
      <c r="R785" s="75"/>
      <c r="S785" s="75"/>
      <c r="T785" s="75"/>
      <c r="U785" s="75"/>
      <c r="V785" s="75"/>
    </row>
    <row r="786">
      <c r="F786" s="74"/>
      <c r="H786" s="75"/>
      <c r="I786" s="75"/>
      <c r="J786" s="75"/>
      <c r="K786" s="75"/>
      <c r="L786" s="75"/>
      <c r="M786" s="75"/>
      <c r="N786" s="75"/>
      <c r="O786" s="75"/>
      <c r="P786" s="75"/>
      <c r="Q786" s="75"/>
      <c r="R786" s="75"/>
      <c r="S786" s="75"/>
      <c r="T786" s="75"/>
      <c r="U786" s="75"/>
      <c r="V786" s="75"/>
    </row>
    <row r="787">
      <c r="F787" s="74"/>
      <c r="H787" s="75"/>
      <c r="I787" s="75"/>
      <c r="J787" s="75"/>
      <c r="K787" s="75"/>
      <c r="L787" s="75"/>
      <c r="M787" s="75"/>
      <c r="N787" s="75"/>
      <c r="O787" s="75"/>
      <c r="P787" s="75"/>
      <c r="Q787" s="75"/>
      <c r="R787" s="75"/>
      <c r="S787" s="75"/>
      <c r="T787" s="75"/>
      <c r="U787" s="75"/>
      <c r="V787" s="75"/>
    </row>
    <row r="788">
      <c r="F788" s="74"/>
      <c r="H788" s="75"/>
      <c r="I788" s="75"/>
      <c r="J788" s="75"/>
      <c r="K788" s="75"/>
      <c r="L788" s="75"/>
      <c r="M788" s="75"/>
      <c r="N788" s="75"/>
      <c r="O788" s="75"/>
      <c r="P788" s="75"/>
      <c r="Q788" s="75"/>
      <c r="R788" s="75"/>
      <c r="S788" s="75"/>
      <c r="T788" s="75"/>
      <c r="U788" s="75"/>
      <c r="V788" s="75"/>
    </row>
    <row r="789">
      <c r="F789" s="74"/>
      <c r="H789" s="75"/>
      <c r="I789" s="75"/>
      <c r="J789" s="75"/>
      <c r="K789" s="75"/>
      <c r="L789" s="75"/>
      <c r="M789" s="75"/>
      <c r="N789" s="75"/>
      <c r="O789" s="75"/>
      <c r="P789" s="75"/>
      <c r="Q789" s="75"/>
      <c r="R789" s="75"/>
      <c r="S789" s="75"/>
      <c r="T789" s="75"/>
      <c r="U789" s="75"/>
      <c r="V789" s="75"/>
    </row>
    <row r="790">
      <c r="F790" s="74"/>
      <c r="H790" s="75"/>
      <c r="I790" s="75"/>
      <c r="J790" s="75"/>
      <c r="K790" s="75"/>
      <c r="L790" s="75"/>
      <c r="M790" s="75"/>
      <c r="N790" s="75"/>
      <c r="O790" s="75"/>
      <c r="P790" s="75"/>
      <c r="Q790" s="75"/>
      <c r="R790" s="75"/>
      <c r="S790" s="75"/>
      <c r="T790" s="75"/>
      <c r="U790" s="75"/>
      <c r="V790" s="75"/>
    </row>
    <row r="791">
      <c r="F791" s="74"/>
      <c r="H791" s="75"/>
      <c r="I791" s="75"/>
      <c r="J791" s="75"/>
      <c r="K791" s="75"/>
      <c r="L791" s="75"/>
      <c r="M791" s="75"/>
      <c r="N791" s="75"/>
      <c r="O791" s="75"/>
      <c r="P791" s="75"/>
      <c r="Q791" s="75"/>
      <c r="R791" s="75"/>
      <c r="S791" s="75"/>
      <c r="T791" s="75"/>
      <c r="U791" s="75"/>
      <c r="V791" s="75"/>
    </row>
    <row r="792">
      <c r="F792" s="74"/>
      <c r="H792" s="75"/>
      <c r="I792" s="75"/>
      <c r="J792" s="75"/>
      <c r="K792" s="75"/>
      <c r="L792" s="75"/>
      <c r="M792" s="75"/>
      <c r="N792" s="75"/>
      <c r="O792" s="75"/>
      <c r="P792" s="75"/>
      <c r="Q792" s="75"/>
      <c r="R792" s="75"/>
      <c r="S792" s="75"/>
      <c r="T792" s="75"/>
      <c r="U792" s="75"/>
      <c r="V792" s="75"/>
    </row>
    <row r="793">
      <c r="F793" s="74"/>
      <c r="H793" s="75"/>
      <c r="I793" s="75"/>
      <c r="J793" s="75"/>
      <c r="K793" s="75"/>
      <c r="L793" s="75"/>
      <c r="M793" s="75"/>
      <c r="N793" s="75"/>
      <c r="O793" s="75"/>
      <c r="P793" s="75"/>
      <c r="Q793" s="75"/>
      <c r="R793" s="75"/>
      <c r="S793" s="75"/>
      <c r="T793" s="75"/>
      <c r="U793" s="75"/>
      <c r="V793" s="75"/>
    </row>
    <row r="794">
      <c r="F794" s="74"/>
      <c r="H794" s="75"/>
      <c r="I794" s="75"/>
      <c r="J794" s="75"/>
      <c r="K794" s="75"/>
      <c r="L794" s="75"/>
      <c r="M794" s="75"/>
      <c r="N794" s="75"/>
      <c r="O794" s="75"/>
      <c r="P794" s="75"/>
      <c r="Q794" s="75"/>
      <c r="R794" s="75"/>
      <c r="S794" s="75"/>
      <c r="T794" s="75"/>
      <c r="U794" s="75"/>
      <c r="V794" s="75"/>
    </row>
    <row r="795">
      <c r="F795" s="74"/>
      <c r="H795" s="75"/>
      <c r="I795" s="75"/>
      <c r="J795" s="75"/>
      <c r="K795" s="75"/>
      <c r="L795" s="75"/>
      <c r="M795" s="75"/>
      <c r="N795" s="75"/>
      <c r="O795" s="75"/>
      <c r="P795" s="75"/>
      <c r="Q795" s="75"/>
      <c r="R795" s="75"/>
      <c r="S795" s="75"/>
      <c r="T795" s="75"/>
      <c r="U795" s="75"/>
      <c r="V795" s="75"/>
    </row>
    <row r="796">
      <c r="F796" s="74"/>
      <c r="H796" s="75"/>
      <c r="I796" s="75"/>
      <c r="J796" s="75"/>
      <c r="K796" s="75"/>
      <c r="L796" s="75"/>
      <c r="M796" s="75"/>
      <c r="N796" s="75"/>
      <c r="O796" s="75"/>
      <c r="P796" s="75"/>
      <c r="Q796" s="75"/>
      <c r="R796" s="75"/>
      <c r="S796" s="75"/>
      <c r="T796" s="75"/>
      <c r="U796" s="75"/>
      <c r="V796" s="75"/>
    </row>
    <row r="797">
      <c r="F797" s="74"/>
      <c r="H797" s="75"/>
      <c r="I797" s="75"/>
      <c r="J797" s="75"/>
      <c r="K797" s="75"/>
      <c r="L797" s="75"/>
      <c r="M797" s="75"/>
      <c r="N797" s="75"/>
      <c r="O797" s="75"/>
      <c r="P797" s="75"/>
      <c r="Q797" s="75"/>
      <c r="R797" s="75"/>
      <c r="S797" s="75"/>
      <c r="T797" s="75"/>
      <c r="U797" s="75"/>
      <c r="V797" s="75"/>
    </row>
    <row r="798">
      <c r="F798" s="74"/>
      <c r="H798" s="75"/>
      <c r="I798" s="75"/>
      <c r="J798" s="75"/>
      <c r="K798" s="75"/>
      <c r="L798" s="75"/>
      <c r="M798" s="75"/>
      <c r="N798" s="75"/>
      <c r="O798" s="75"/>
      <c r="P798" s="75"/>
      <c r="Q798" s="75"/>
      <c r="R798" s="75"/>
      <c r="S798" s="75"/>
      <c r="T798" s="75"/>
      <c r="U798" s="75"/>
      <c r="V798" s="75"/>
    </row>
    <row r="799">
      <c r="F799" s="74"/>
      <c r="H799" s="75"/>
      <c r="I799" s="75"/>
      <c r="J799" s="75"/>
      <c r="K799" s="75"/>
      <c r="L799" s="75"/>
      <c r="M799" s="75"/>
      <c r="N799" s="75"/>
      <c r="O799" s="75"/>
      <c r="P799" s="75"/>
      <c r="Q799" s="75"/>
      <c r="R799" s="75"/>
      <c r="S799" s="75"/>
      <c r="T799" s="75"/>
      <c r="U799" s="75"/>
      <c r="V799" s="75"/>
    </row>
    <row r="800">
      <c r="F800" s="74"/>
      <c r="H800" s="75"/>
      <c r="I800" s="75"/>
      <c r="J800" s="75"/>
      <c r="K800" s="75"/>
      <c r="L800" s="75"/>
      <c r="M800" s="75"/>
      <c r="N800" s="75"/>
      <c r="O800" s="75"/>
      <c r="P800" s="75"/>
      <c r="Q800" s="75"/>
      <c r="R800" s="75"/>
      <c r="S800" s="75"/>
      <c r="T800" s="75"/>
      <c r="U800" s="75"/>
      <c r="V800" s="75"/>
    </row>
    <row r="801">
      <c r="F801" s="74"/>
      <c r="H801" s="75"/>
      <c r="I801" s="75"/>
      <c r="J801" s="75"/>
      <c r="K801" s="75"/>
      <c r="L801" s="75"/>
      <c r="M801" s="75"/>
      <c r="N801" s="75"/>
      <c r="O801" s="75"/>
      <c r="P801" s="75"/>
      <c r="Q801" s="75"/>
      <c r="R801" s="75"/>
      <c r="S801" s="75"/>
      <c r="T801" s="75"/>
      <c r="U801" s="75"/>
      <c r="V801" s="75"/>
    </row>
    <row r="802">
      <c r="F802" s="74"/>
      <c r="H802" s="75"/>
      <c r="I802" s="75"/>
      <c r="J802" s="75"/>
      <c r="K802" s="75"/>
      <c r="L802" s="75"/>
      <c r="M802" s="75"/>
      <c r="N802" s="75"/>
      <c r="O802" s="75"/>
      <c r="P802" s="75"/>
      <c r="Q802" s="75"/>
      <c r="R802" s="75"/>
      <c r="S802" s="75"/>
      <c r="T802" s="75"/>
      <c r="U802" s="75"/>
      <c r="V802" s="75"/>
    </row>
    <row r="803">
      <c r="F803" s="74"/>
      <c r="H803" s="75"/>
      <c r="I803" s="75"/>
      <c r="J803" s="75"/>
      <c r="K803" s="75"/>
      <c r="L803" s="75"/>
      <c r="M803" s="75"/>
      <c r="N803" s="75"/>
      <c r="O803" s="75"/>
      <c r="P803" s="75"/>
      <c r="Q803" s="75"/>
      <c r="R803" s="75"/>
      <c r="S803" s="75"/>
      <c r="T803" s="75"/>
      <c r="U803" s="75"/>
      <c r="V803" s="75"/>
    </row>
    <row r="804">
      <c r="F804" s="74"/>
      <c r="H804" s="75"/>
      <c r="I804" s="75"/>
      <c r="J804" s="75"/>
      <c r="K804" s="75"/>
      <c r="L804" s="75"/>
      <c r="M804" s="75"/>
      <c r="N804" s="75"/>
      <c r="O804" s="75"/>
      <c r="P804" s="75"/>
      <c r="Q804" s="75"/>
      <c r="R804" s="75"/>
      <c r="S804" s="75"/>
      <c r="T804" s="75"/>
      <c r="U804" s="75"/>
      <c r="V804" s="75"/>
    </row>
    <row r="805">
      <c r="F805" s="74"/>
      <c r="H805" s="75"/>
      <c r="I805" s="75"/>
      <c r="J805" s="75"/>
      <c r="K805" s="75"/>
      <c r="L805" s="75"/>
      <c r="M805" s="75"/>
      <c r="N805" s="75"/>
      <c r="O805" s="75"/>
      <c r="P805" s="75"/>
      <c r="Q805" s="75"/>
      <c r="R805" s="75"/>
      <c r="S805" s="75"/>
      <c r="T805" s="75"/>
      <c r="U805" s="75"/>
      <c r="V805" s="75"/>
    </row>
    <row r="806">
      <c r="F806" s="74"/>
      <c r="H806" s="75"/>
      <c r="I806" s="75"/>
      <c r="J806" s="75"/>
      <c r="K806" s="75"/>
      <c r="L806" s="75"/>
      <c r="M806" s="75"/>
      <c r="N806" s="75"/>
      <c r="O806" s="75"/>
      <c r="P806" s="75"/>
      <c r="Q806" s="75"/>
      <c r="R806" s="75"/>
      <c r="S806" s="75"/>
      <c r="T806" s="75"/>
      <c r="U806" s="75"/>
      <c r="V806" s="75"/>
    </row>
    <row r="807">
      <c r="F807" s="74"/>
      <c r="H807" s="75"/>
      <c r="I807" s="75"/>
      <c r="J807" s="75"/>
      <c r="K807" s="75"/>
      <c r="L807" s="75"/>
      <c r="M807" s="75"/>
      <c r="N807" s="75"/>
      <c r="O807" s="75"/>
      <c r="P807" s="75"/>
      <c r="Q807" s="75"/>
      <c r="R807" s="75"/>
      <c r="S807" s="75"/>
      <c r="T807" s="75"/>
      <c r="U807" s="75"/>
      <c r="V807" s="75"/>
    </row>
    <row r="808">
      <c r="F808" s="74"/>
      <c r="H808" s="75"/>
      <c r="I808" s="75"/>
      <c r="J808" s="75"/>
      <c r="K808" s="75"/>
      <c r="L808" s="75"/>
      <c r="M808" s="75"/>
      <c r="N808" s="75"/>
      <c r="O808" s="75"/>
      <c r="P808" s="75"/>
      <c r="Q808" s="75"/>
      <c r="R808" s="75"/>
      <c r="S808" s="75"/>
      <c r="T808" s="75"/>
      <c r="U808" s="75"/>
      <c r="V808" s="75"/>
    </row>
    <row r="809">
      <c r="F809" s="74"/>
      <c r="H809" s="75"/>
      <c r="I809" s="75"/>
      <c r="J809" s="75"/>
      <c r="K809" s="75"/>
      <c r="L809" s="75"/>
      <c r="M809" s="75"/>
      <c r="N809" s="75"/>
      <c r="O809" s="75"/>
      <c r="P809" s="75"/>
      <c r="Q809" s="75"/>
      <c r="R809" s="75"/>
      <c r="S809" s="75"/>
      <c r="T809" s="75"/>
      <c r="U809" s="75"/>
      <c r="V809" s="75"/>
    </row>
    <row r="810">
      <c r="F810" s="74"/>
      <c r="H810" s="75"/>
      <c r="I810" s="75"/>
      <c r="J810" s="75"/>
      <c r="K810" s="75"/>
      <c r="L810" s="75"/>
      <c r="M810" s="75"/>
      <c r="N810" s="75"/>
      <c r="O810" s="75"/>
      <c r="P810" s="75"/>
      <c r="Q810" s="75"/>
      <c r="R810" s="75"/>
      <c r="S810" s="75"/>
      <c r="T810" s="75"/>
      <c r="U810" s="75"/>
      <c r="V810" s="75"/>
    </row>
    <row r="811">
      <c r="F811" s="74"/>
      <c r="H811" s="75"/>
      <c r="I811" s="75"/>
      <c r="J811" s="75"/>
      <c r="K811" s="75"/>
      <c r="L811" s="75"/>
      <c r="M811" s="75"/>
      <c r="N811" s="75"/>
      <c r="O811" s="75"/>
      <c r="P811" s="75"/>
      <c r="Q811" s="75"/>
      <c r="R811" s="75"/>
      <c r="S811" s="75"/>
      <c r="T811" s="75"/>
      <c r="U811" s="75"/>
      <c r="V811" s="75"/>
    </row>
    <row r="812">
      <c r="F812" s="74"/>
      <c r="H812" s="75"/>
      <c r="I812" s="75"/>
      <c r="J812" s="75"/>
      <c r="K812" s="75"/>
      <c r="L812" s="75"/>
      <c r="M812" s="75"/>
      <c r="N812" s="75"/>
      <c r="O812" s="75"/>
      <c r="P812" s="75"/>
      <c r="Q812" s="75"/>
      <c r="R812" s="75"/>
      <c r="S812" s="75"/>
      <c r="T812" s="75"/>
      <c r="U812" s="75"/>
      <c r="V812" s="75"/>
    </row>
    <row r="813">
      <c r="F813" s="74"/>
      <c r="H813" s="75"/>
      <c r="I813" s="75"/>
      <c r="J813" s="75"/>
      <c r="K813" s="75"/>
      <c r="L813" s="75"/>
      <c r="M813" s="75"/>
      <c r="N813" s="75"/>
      <c r="O813" s="75"/>
      <c r="P813" s="75"/>
      <c r="Q813" s="75"/>
      <c r="R813" s="75"/>
      <c r="S813" s="75"/>
      <c r="T813" s="75"/>
      <c r="U813" s="75"/>
      <c r="V813" s="75"/>
    </row>
    <row r="814">
      <c r="F814" s="74"/>
      <c r="H814" s="75"/>
      <c r="I814" s="75"/>
      <c r="J814" s="75"/>
      <c r="K814" s="75"/>
      <c r="L814" s="75"/>
      <c r="M814" s="75"/>
      <c r="N814" s="75"/>
      <c r="O814" s="75"/>
      <c r="P814" s="75"/>
      <c r="Q814" s="75"/>
      <c r="R814" s="75"/>
      <c r="S814" s="75"/>
      <c r="T814" s="75"/>
      <c r="U814" s="75"/>
      <c r="V814" s="75"/>
    </row>
    <row r="815">
      <c r="F815" s="74"/>
      <c r="H815" s="75"/>
      <c r="I815" s="75"/>
      <c r="J815" s="75"/>
      <c r="K815" s="75"/>
      <c r="L815" s="75"/>
      <c r="M815" s="75"/>
      <c r="N815" s="75"/>
      <c r="O815" s="75"/>
      <c r="P815" s="75"/>
      <c r="Q815" s="75"/>
      <c r="R815" s="75"/>
      <c r="S815" s="75"/>
      <c r="T815" s="75"/>
      <c r="U815" s="75"/>
      <c r="V815" s="75"/>
    </row>
    <row r="816">
      <c r="F816" s="74"/>
      <c r="H816" s="75"/>
      <c r="I816" s="75"/>
      <c r="J816" s="75"/>
      <c r="K816" s="75"/>
      <c r="L816" s="75"/>
      <c r="M816" s="75"/>
      <c r="N816" s="75"/>
      <c r="O816" s="75"/>
      <c r="P816" s="75"/>
      <c r="Q816" s="75"/>
      <c r="R816" s="75"/>
      <c r="S816" s="75"/>
      <c r="T816" s="75"/>
      <c r="U816" s="75"/>
      <c r="V816" s="75"/>
    </row>
    <row r="817">
      <c r="F817" s="74"/>
      <c r="H817" s="75"/>
      <c r="I817" s="75"/>
      <c r="J817" s="75"/>
      <c r="K817" s="75"/>
      <c r="L817" s="75"/>
      <c r="M817" s="75"/>
      <c r="N817" s="75"/>
      <c r="O817" s="75"/>
      <c r="P817" s="75"/>
      <c r="Q817" s="75"/>
      <c r="R817" s="75"/>
      <c r="S817" s="75"/>
      <c r="T817" s="75"/>
      <c r="U817" s="75"/>
      <c r="V817" s="75"/>
    </row>
    <row r="818">
      <c r="F818" s="74"/>
      <c r="H818" s="75"/>
      <c r="I818" s="75"/>
      <c r="J818" s="75"/>
      <c r="K818" s="75"/>
      <c r="L818" s="75"/>
      <c r="M818" s="75"/>
      <c r="N818" s="75"/>
      <c r="O818" s="75"/>
      <c r="P818" s="75"/>
      <c r="Q818" s="75"/>
      <c r="R818" s="75"/>
      <c r="S818" s="75"/>
      <c r="T818" s="75"/>
      <c r="U818" s="75"/>
      <c r="V818" s="75"/>
    </row>
    <row r="819">
      <c r="F819" s="74"/>
      <c r="H819" s="75"/>
      <c r="I819" s="75"/>
      <c r="J819" s="75"/>
      <c r="K819" s="75"/>
      <c r="L819" s="75"/>
      <c r="M819" s="75"/>
      <c r="N819" s="75"/>
      <c r="O819" s="75"/>
      <c r="P819" s="75"/>
      <c r="Q819" s="75"/>
      <c r="R819" s="75"/>
      <c r="S819" s="75"/>
      <c r="T819" s="75"/>
      <c r="U819" s="75"/>
      <c r="V819" s="75"/>
    </row>
    <row r="820">
      <c r="F820" s="74"/>
      <c r="H820" s="75"/>
      <c r="I820" s="75"/>
      <c r="J820" s="75"/>
      <c r="K820" s="75"/>
      <c r="L820" s="75"/>
      <c r="M820" s="75"/>
      <c r="N820" s="75"/>
      <c r="O820" s="75"/>
      <c r="P820" s="75"/>
      <c r="Q820" s="75"/>
      <c r="R820" s="75"/>
      <c r="S820" s="75"/>
      <c r="T820" s="75"/>
      <c r="U820" s="75"/>
      <c r="V820" s="75"/>
    </row>
    <row r="821">
      <c r="F821" s="74"/>
      <c r="H821" s="75"/>
      <c r="I821" s="75"/>
      <c r="J821" s="75"/>
      <c r="K821" s="75"/>
      <c r="L821" s="75"/>
      <c r="M821" s="75"/>
      <c r="N821" s="75"/>
      <c r="O821" s="75"/>
      <c r="P821" s="75"/>
      <c r="Q821" s="75"/>
      <c r="R821" s="75"/>
      <c r="S821" s="75"/>
      <c r="T821" s="75"/>
      <c r="U821" s="75"/>
      <c r="V821" s="75"/>
    </row>
    <row r="822">
      <c r="F822" s="74"/>
      <c r="H822" s="75"/>
      <c r="I822" s="75"/>
      <c r="J822" s="75"/>
      <c r="K822" s="75"/>
      <c r="L822" s="75"/>
      <c r="M822" s="75"/>
      <c r="N822" s="75"/>
      <c r="O822" s="75"/>
      <c r="P822" s="75"/>
      <c r="Q822" s="75"/>
      <c r="R822" s="75"/>
      <c r="S822" s="75"/>
      <c r="T822" s="75"/>
      <c r="U822" s="75"/>
      <c r="V822" s="75"/>
    </row>
    <row r="823">
      <c r="F823" s="74"/>
      <c r="H823" s="75"/>
      <c r="I823" s="75"/>
      <c r="J823" s="75"/>
      <c r="K823" s="75"/>
      <c r="L823" s="75"/>
      <c r="M823" s="75"/>
      <c r="N823" s="75"/>
      <c r="O823" s="75"/>
      <c r="P823" s="75"/>
      <c r="Q823" s="75"/>
      <c r="R823" s="75"/>
      <c r="S823" s="75"/>
      <c r="T823" s="75"/>
      <c r="U823" s="75"/>
      <c r="V823" s="75"/>
    </row>
    <row r="824">
      <c r="F824" s="74"/>
      <c r="H824" s="75"/>
      <c r="I824" s="75"/>
      <c r="J824" s="75"/>
      <c r="K824" s="75"/>
      <c r="L824" s="75"/>
      <c r="M824" s="75"/>
      <c r="N824" s="75"/>
      <c r="O824" s="75"/>
      <c r="P824" s="75"/>
      <c r="Q824" s="75"/>
      <c r="R824" s="75"/>
      <c r="S824" s="75"/>
      <c r="T824" s="75"/>
      <c r="U824" s="75"/>
      <c r="V824" s="75"/>
    </row>
    <row r="825">
      <c r="F825" s="74"/>
      <c r="H825" s="75"/>
      <c r="I825" s="75"/>
      <c r="J825" s="75"/>
      <c r="K825" s="75"/>
      <c r="L825" s="75"/>
      <c r="M825" s="75"/>
      <c r="N825" s="75"/>
      <c r="O825" s="75"/>
      <c r="P825" s="75"/>
      <c r="Q825" s="75"/>
      <c r="R825" s="75"/>
      <c r="S825" s="75"/>
      <c r="T825" s="75"/>
      <c r="U825" s="75"/>
      <c r="V825" s="75"/>
    </row>
    <row r="826">
      <c r="F826" s="74"/>
      <c r="H826" s="75"/>
      <c r="I826" s="75"/>
      <c r="J826" s="75"/>
      <c r="K826" s="75"/>
      <c r="L826" s="75"/>
      <c r="M826" s="75"/>
      <c r="N826" s="75"/>
      <c r="O826" s="75"/>
      <c r="P826" s="75"/>
      <c r="Q826" s="75"/>
      <c r="R826" s="75"/>
      <c r="S826" s="75"/>
      <c r="T826" s="75"/>
      <c r="U826" s="75"/>
      <c r="V826" s="75"/>
    </row>
    <row r="827">
      <c r="F827" s="74"/>
      <c r="H827" s="75"/>
      <c r="I827" s="75"/>
      <c r="J827" s="75"/>
      <c r="K827" s="75"/>
      <c r="L827" s="75"/>
      <c r="M827" s="75"/>
      <c r="N827" s="75"/>
      <c r="O827" s="75"/>
      <c r="P827" s="75"/>
      <c r="Q827" s="75"/>
      <c r="R827" s="75"/>
      <c r="S827" s="75"/>
      <c r="T827" s="75"/>
      <c r="U827" s="75"/>
      <c r="V827" s="75"/>
    </row>
    <row r="828">
      <c r="F828" s="74"/>
      <c r="H828" s="75"/>
      <c r="I828" s="75"/>
      <c r="J828" s="75"/>
      <c r="K828" s="75"/>
      <c r="L828" s="75"/>
      <c r="M828" s="75"/>
      <c r="N828" s="75"/>
      <c r="O828" s="75"/>
      <c r="P828" s="75"/>
      <c r="Q828" s="75"/>
      <c r="R828" s="75"/>
      <c r="S828" s="75"/>
      <c r="T828" s="75"/>
      <c r="U828" s="75"/>
      <c r="V828" s="75"/>
    </row>
    <row r="829">
      <c r="F829" s="74"/>
      <c r="H829" s="75"/>
      <c r="I829" s="75"/>
      <c r="J829" s="75"/>
      <c r="K829" s="75"/>
      <c r="L829" s="75"/>
      <c r="M829" s="75"/>
      <c r="N829" s="75"/>
      <c r="O829" s="75"/>
      <c r="P829" s="75"/>
      <c r="Q829" s="75"/>
      <c r="R829" s="75"/>
      <c r="S829" s="75"/>
      <c r="T829" s="75"/>
      <c r="U829" s="75"/>
      <c r="V829" s="75"/>
    </row>
    <row r="830">
      <c r="F830" s="74"/>
      <c r="H830" s="75"/>
      <c r="I830" s="75"/>
      <c r="J830" s="75"/>
      <c r="K830" s="75"/>
      <c r="L830" s="75"/>
      <c r="M830" s="75"/>
      <c r="N830" s="75"/>
      <c r="O830" s="75"/>
      <c r="P830" s="75"/>
      <c r="Q830" s="75"/>
      <c r="R830" s="75"/>
      <c r="S830" s="75"/>
      <c r="T830" s="75"/>
      <c r="U830" s="75"/>
      <c r="V830" s="75"/>
    </row>
    <row r="831">
      <c r="F831" s="74"/>
      <c r="H831" s="75"/>
      <c r="I831" s="75"/>
      <c r="J831" s="75"/>
      <c r="K831" s="75"/>
      <c r="L831" s="75"/>
      <c r="M831" s="75"/>
      <c r="N831" s="75"/>
      <c r="O831" s="75"/>
      <c r="P831" s="75"/>
      <c r="Q831" s="75"/>
      <c r="R831" s="75"/>
      <c r="S831" s="75"/>
      <c r="T831" s="75"/>
      <c r="U831" s="75"/>
      <c r="V831" s="75"/>
    </row>
    <row r="832">
      <c r="F832" s="74"/>
      <c r="H832" s="75"/>
      <c r="I832" s="75"/>
      <c r="J832" s="75"/>
      <c r="K832" s="75"/>
      <c r="L832" s="75"/>
      <c r="M832" s="75"/>
      <c r="N832" s="75"/>
      <c r="O832" s="75"/>
      <c r="P832" s="75"/>
      <c r="Q832" s="75"/>
      <c r="R832" s="75"/>
      <c r="S832" s="75"/>
      <c r="T832" s="75"/>
      <c r="U832" s="75"/>
      <c r="V832" s="75"/>
    </row>
    <row r="833">
      <c r="F833" s="74"/>
      <c r="H833" s="75"/>
      <c r="I833" s="75"/>
      <c r="J833" s="75"/>
      <c r="K833" s="75"/>
      <c r="L833" s="75"/>
      <c r="M833" s="75"/>
      <c r="N833" s="75"/>
      <c r="O833" s="75"/>
      <c r="P833" s="75"/>
      <c r="Q833" s="75"/>
      <c r="R833" s="75"/>
      <c r="S833" s="75"/>
      <c r="T833" s="75"/>
      <c r="U833" s="75"/>
      <c r="V833" s="75"/>
    </row>
    <row r="834">
      <c r="F834" s="74"/>
      <c r="H834" s="75"/>
      <c r="I834" s="75"/>
      <c r="J834" s="75"/>
      <c r="K834" s="75"/>
      <c r="L834" s="75"/>
      <c r="M834" s="75"/>
      <c r="N834" s="75"/>
      <c r="O834" s="75"/>
      <c r="P834" s="75"/>
      <c r="Q834" s="75"/>
      <c r="R834" s="75"/>
      <c r="S834" s="75"/>
      <c r="T834" s="75"/>
      <c r="U834" s="75"/>
      <c r="V834" s="75"/>
    </row>
    <row r="835">
      <c r="F835" s="74"/>
      <c r="H835" s="75"/>
      <c r="I835" s="75"/>
      <c r="J835" s="75"/>
      <c r="K835" s="75"/>
      <c r="L835" s="75"/>
      <c r="M835" s="75"/>
      <c r="N835" s="75"/>
      <c r="O835" s="75"/>
      <c r="P835" s="75"/>
      <c r="Q835" s="75"/>
      <c r="R835" s="75"/>
      <c r="S835" s="75"/>
      <c r="T835" s="75"/>
      <c r="U835" s="75"/>
      <c r="V835" s="75"/>
    </row>
    <row r="836">
      <c r="F836" s="74"/>
      <c r="H836" s="75"/>
      <c r="I836" s="75"/>
      <c r="J836" s="75"/>
      <c r="K836" s="75"/>
      <c r="L836" s="75"/>
      <c r="M836" s="75"/>
      <c r="N836" s="75"/>
      <c r="O836" s="75"/>
      <c r="P836" s="75"/>
      <c r="Q836" s="75"/>
      <c r="R836" s="75"/>
      <c r="S836" s="75"/>
      <c r="T836" s="75"/>
      <c r="U836" s="75"/>
      <c r="V836" s="75"/>
    </row>
    <row r="837">
      <c r="F837" s="74"/>
      <c r="H837" s="75"/>
      <c r="I837" s="75"/>
      <c r="J837" s="75"/>
      <c r="K837" s="75"/>
      <c r="L837" s="75"/>
      <c r="M837" s="75"/>
      <c r="N837" s="75"/>
      <c r="O837" s="75"/>
      <c r="P837" s="75"/>
      <c r="Q837" s="75"/>
      <c r="R837" s="75"/>
      <c r="S837" s="75"/>
      <c r="T837" s="75"/>
      <c r="U837" s="75"/>
      <c r="V837" s="75"/>
    </row>
    <row r="838">
      <c r="F838" s="74"/>
      <c r="H838" s="75"/>
      <c r="I838" s="75"/>
      <c r="J838" s="75"/>
      <c r="K838" s="75"/>
      <c r="L838" s="75"/>
      <c r="M838" s="75"/>
      <c r="N838" s="75"/>
      <c r="O838" s="75"/>
      <c r="P838" s="75"/>
      <c r="Q838" s="75"/>
      <c r="R838" s="75"/>
      <c r="S838" s="75"/>
      <c r="T838" s="75"/>
      <c r="U838" s="75"/>
      <c r="V838" s="75"/>
    </row>
    <row r="839">
      <c r="F839" s="74"/>
      <c r="H839" s="75"/>
      <c r="I839" s="75"/>
      <c r="J839" s="75"/>
      <c r="K839" s="75"/>
      <c r="L839" s="75"/>
      <c r="M839" s="75"/>
      <c r="N839" s="75"/>
      <c r="O839" s="75"/>
      <c r="P839" s="75"/>
      <c r="Q839" s="75"/>
      <c r="R839" s="75"/>
      <c r="S839" s="75"/>
      <c r="T839" s="75"/>
      <c r="U839" s="75"/>
      <c r="V839" s="75"/>
    </row>
    <row r="840">
      <c r="F840" s="74"/>
      <c r="H840" s="75"/>
      <c r="I840" s="75"/>
      <c r="J840" s="75"/>
      <c r="K840" s="75"/>
      <c r="L840" s="75"/>
      <c r="M840" s="75"/>
      <c r="N840" s="75"/>
      <c r="O840" s="75"/>
      <c r="P840" s="75"/>
      <c r="Q840" s="75"/>
      <c r="R840" s="75"/>
      <c r="S840" s="75"/>
      <c r="T840" s="75"/>
      <c r="U840" s="75"/>
      <c r="V840" s="75"/>
    </row>
    <row r="841">
      <c r="F841" s="74"/>
      <c r="H841" s="75"/>
      <c r="I841" s="75"/>
      <c r="J841" s="75"/>
      <c r="K841" s="75"/>
      <c r="L841" s="75"/>
      <c r="M841" s="75"/>
      <c r="N841" s="75"/>
      <c r="O841" s="75"/>
      <c r="P841" s="75"/>
      <c r="Q841" s="75"/>
      <c r="R841" s="75"/>
      <c r="S841" s="75"/>
      <c r="T841" s="75"/>
      <c r="U841" s="75"/>
      <c r="V841" s="75"/>
    </row>
    <row r="842">
      <c r="F842" s="74"/>
      <c r="H842" s="75"/>
      <c r="I842" s="75"/>
      <c r="J842" s="75"/>
      <c r="K842" s="75"/>
      <c r="L842" s="75"/>
      <c r="M842" s="75"/>
      <c r="N842" s="75"/>
      <c r="O842" s="75"/>
      <c r="P842" s="75"/>
      <c r="Q842" s="75"/>
      <c r="R842" s="75"/>
      <c r="S842" s="75"/>
      <c r="T842" s="75"/>
      <c r="U842" s="75"/>
      <c r="V842" s="75"/>
    </row>
    <row r="843">
      <c r="F843" s="74"/>
      <c r="H843" s="75"/>
      <c r="I843" s="75"/>
      <c r="J843" s="75"/>
      <c r="K843" s="75"/>
      <c r="L843" s="75"/>
      <c r="M843" s="75"/>
      <c r="N843" s="75"/>
      <c r="O843" s="75"/>
      <c r="P843" s="75"/>
      <c r="Q843" s="75"/>
      <c r="R843" s="75"/>
      <c r="S843" s="75"/>
      <c r="T843" s="75"/>
      <c r="U843" s="75"/>
      <c r="V843" s="75"/>
    </row>
    <row r="844">
      <c r="F844" s="74"/>
      <c r="H844" s="75"/>
      <c r="I844" s="75"/>
      <c r="J844" s="75"/>
      <c r="K844" s="75"/>
      <c r="L844" s="75"/>
      <c r="M844" s="75"/>
      <c r="N844" s="75"/>
      <c r="O844" s="75"/>
      <c r="P844" s="75"/>
      <c r="Q844" s="75"/>
      <c r="R844" s="75"/>
      <c r="S844" s="75"/>
      <c r="T844" s="75"/>
      <c r="U844" s="75"/>
      <c r="V844" s="75"/>
    </row>
    <row r="845">
      <c r="F845" s="74"/>
      <c r="H845" s="75"/>
      <c r="I845" s="75"/>
      <c r="J845" s="75"/>
      <c r="K845" s="75"/>
      <c r="L845" s="75"/>
      <c r="M845" s="75"/>
      <c r="N845" s="75"/>
      <c r="O845" s="75"/>
      <c r="P845" s="75"/>
      <c r="Q845" s="75"/>
      <c r="R845" s="75"/>
      <c r="S845" s="75"/>
      <c r="T845" s="75"/>
      <c r="U845" s="75"/>
      <c r="V845" s="75"/>
    </row>
    <row r="846">
      <c r="F846" s="74"/>
      <c r="H846" s="75"/>
      <c r="I846" s="75"/>
      <c r="J846" s="75"/>
      <c r="K846" s="75"/>
      <c r="L846" s="75"/>
      <c r="M846" s="75"/>
      <c r="N846" s="75"/>
      <c r="O846" s="75"/>
      <c r="P846" s="75"/>
      <c r="Q846" s="75"/>
      <c r="R846" s="75"/>
      <c r="S846" s="75"/>
      <c r="T846" s="75"/>
      <c r="U846" s="75"/>
      <c r="V846" s="75"/>
    </row>
    <row r="847">
      <c r="F847" s="74"/>
      <c r="H847" s="75"/>
      <c r="I847" s="75"/>
      <c r="J847" s="75"/>
      <c r="K847" s="75"/>
      <c r="L847" s="75"/>
      <c r="M847" s="75"/>
      <c r="N847" s="75"/>
      <c r="O847" s="75"/>
      <c r="P847" s="75"/>
      <c r="Q847" s="75"/>
      <c r="R847" s="75"/>
      <c r="S847" s="75"/>
      <c r="T847" s="75"/>
      <c r="U847" s="75"/>
      <c r="V847" s="75"/>
    </row>
    <row r="848">
      <c r="F848" s="74"/>
      <c r="H848" s="75"/>
      <c r="I848" s="75"/>
      <c r="J848" s="75"/>
      <c r="K848" s="75"/>
      <c r="L848" s="75"/>
      <c r="M848" s="75"/>
      <c r="N848" s="75"/>
      <c r="O848" s="75"/>
      <c r="P848" s="75"/>
      <c r="Q848" s="75"/>
      <c r="R848" s="75"/>
      <c r="S848" s="75"/>
      <c r="T848" s="75"/>
      <c r="U848" s="75"/>
      <c r="V848" s="75"/>
    </row>
    <row r="849">
      <c r="F849" s="74"/>
      <c r="H849" s="75"/>
      <c r="I849" s="75"/>
      <c r="J849" s="75"/>
      <c r="K849" s="75"/>
      <c r="L849" s="75"/>
      <c r="M849" s="75"/>
      <c r="N849" s="75"/>
      <c r="O849" s="75"/>
      <c r="P849" s="75"/>
      <c r="Q849" s="75"/>
      <c r="R849" s="75"/>
      <c r="S849" s="75"/>
      <c r="T849" s="75"/>
      <c r="U849" s="75"/>
      <c r="V849" s="75"/>
    </row>
    <row r="850">
      <c r="F850" s="74"/>
      <c r="H850" s="75"/>
      <c r="I850" s="75"/>
      <c r="J850" s="75"/>
      <c r="K850" s="75"/>
      <c r="L850" s="75"/>
      <c r="M850" s="75"/>
      <c r="N850" s="75"/>
      <c r="O850" s="75"/>
      <c r="P850" s="75"/>
      <c r="Q850" s="75"/>
      <c r="R850" s="75"/>
      <c r="S850" s="75"/>
      <c r="T850" s="75"/>
      <c r="U850" s="75"/>
      <c r="V850" s="75"/>
    </row>
    <row r="851">
      <c r="F851" s="74"/>
      <c r="H851" s="75"/>
      <c r="I851" s="75"/>
      <c r="J851" s="75"/>
      <c r="K851" s="75"/>
      <c r="L851" s="75"/>
      <c r="M851" s="75"/>
      <c r="N851" s="75"/>
      <c r="O851" s="75"/>
      <c r="P851" s="75"/>
      <c r="Q851" s="75"/>
      <c r="R851" s="75"/>
      <c r="S851" s="75"/>
      <c r="T851" s="75"/>
      <c r="U851" s="75"/>
      <c r="V851" s="75"/>
    </row>
    <row r="852">
      <c r="F852" s="74"/>
      <c r="H852" s="75"/>
      <c r="I852" s="75"/>
      <c r="J852" s="75"/>
      <c r="K852" s="75"/>
      <c r="L852" s="75"/>
      <c r="M852" s="75"/>
      <c r="N852" s="75"/>
      <c r="O852" s="75"/>
      <c r="P852" s="75"/>
      <c r="Q852" s="75"/>
      <c r="R852" s="75"/>
      <c r="S852" s="75"/>
      <c r="T852" s="75"/>
      <c r="U852" s="75"/>
      <c r="V852" s="75"/>
    </row>
    <row r="853">
      <c r="F853" s="74"/>
      <c r="H853" s="75"/>
      <c r="I853" s="75"/>
      <c r="J853" s="75"/>
      <c r="K853" s="75"/>
      <c r="L853" s="75"/>
      <c r="M853" s="75"/>
      <c r="N853" s="75"/>
      <c r="O853" s="75"/>
      <c r="P853" s="75"/>
      <c r="Q853" s="75"/>
      <c r="R853" s="75"/>
      <c r="S853" s="75"/>
      <c r="T853" s="75"/>
      <c r="U853" s="75"/>
      <c r="V853" s="75"/>
    </row>
    <row r="854">
      <c r="F854" s="74"/>
      <c r="H854" s="75"/>
      <c r="I854" s="75"/>
      <c r="J854" s="75"/>
      <c r="K854" s="75"/>
      <c r="L854" s="75"/>
      <c r="M854" s="75"/>
      <c r="N854" s="75"/>
      <c r="O854" s="75"/>
      <c r="P854" s="75"/>
      <c r="Q854" s="75"/>
      <c r="R854" s="75"/>
      <c r="S854" s="75"/>
      <c r="T854" s="75"/>
      <c r="U854" s="75"/>
      <c r="V854" s="75"/>
    </row>
    <row r="855">
      <c r="F855" s="74"/>
      <c r="H855" s="75"/>
      <c r="I855" s="75"/>
      <c r="J855" s="75"/>
      <c r="K855" s="75"/>
      <c r="L855" s="75"/>
      <c r="M855" s="75"/>
      <c r="N855" s="75"/>
      <c r="O855" s="75"/>
      <c r="P855" s="75"/>
      <c r="Q855" s="75"/>
      <c r="R855" s="75"/>
      <c r="S855" s="75"/>
      <c r="T855" s="75"/>
      <c r="U855" s="75"/>
      <c r="V855" s="75"/>
    </row>
    <row r="856">
      <c r="F856" s="74"/>
      <c r="H856" s="75"/>
      <c r="I856" s="75"/>
      <c r="J856" s="75"/>
      <c r="K856" s="75"/>
      <c r="L856" s="75"/>
      <c r="M856" s="75"/>
      <c r="N856" s="75"/>
      <c r="O856" s="75"/>
      <c r="P856" s="75"/>
      <c r="Q856" s="75"/>
      <c r="R856" s="75"/>
      <c r="S856" s="75"/>
      <c r="T856" s="75"/>
      <c r="U856" s="75"/>
      <c r="V856" s="75"/>
    </row>
    <row r="857">
      <c r="F857" s="74"/>
      <c r="H857" s="75"/>
      <c r="I857" s="75"/>
      <c r="J857" s="75"/>
      <c r="K857" s="75"/>
      <c r="L857" s="75"/>
      <c r="M857" s="75"/>
      <c r="N857" s="75"/>
      <c r="O857" s="75"/>
      <c r="P857" s="75"/>
      <c r="Q857" s="75"/>
      <c r="R857" s="75"/>
      <c r="S857" s="75"/>
      <c r="T857" s="75"/>
      <c r="U857" s="75"/>
      <c r="V857" s="75"/>
    </row>
    <row r="858">
      <c r="F858" s="74"/>
      <c r="H858" s="75"/>
      <c r="I858" s="75"/>
      <c r="J858" s="75"/>
      <c r="K858" s="75"/>
      <c r="L858" s="75"/>
      <c r="M858" s="75"/>
      <c r="N858" s="75"/>
      <c r="O858" s="75"/>
      <c r="P858" s="75"/>
      <c r="Q858" s="75"/>
      <c r="R858" s="75"/>
      <c r="S858" s="75"/>
      <c r="T858" s="75"/>
      <c r="U858" s="75"/>
      <c r="V858" s="75"/>
    </row>
    <row r="859">
      <c r="F859" s="74"/>
      <c r="H859" s="75"/>
      <c r="I859" s="75"/>
      <c r="J859" s="75"/>
      <c r="K859" s="75"/>
      <c r="L859" s="75"/>
      <c r="M859" s="75"/>
      <c r="N859" s="75"/>
      <c r="O859" s="75"/>
      <c r="P859" s="75"/>
      <c r="Q859" s="75"/>
      <c r="R859" s="75"/>
      <c r="S859" s="75"/>
      <c r="T859" s="75"/>
      <c r="U859" s="75"/>
      <c r="V859" s="75"/>
    </row>
    <row r="860">
      <c r="F860" s="74"/>
      <c r="H860" s="75"/>
      <c r="I860" s="75"/>
      <c r="J860" s="75"/>
      <c r="K860" s="75"/>
      <c r="L860" s="75"/>
      <c r="M860" s="75"/>
      <c r="N860" s="75"/>
      <c r="O860" s="75"/>
      <c r="P860" s="75"/>
      <c r="Q860" s="75"/>
      <c r="R860" s="75"/>
      <c r="S860" s="75"/>
      <c r="T860" s="75"/>
      <c r="U860" s="75"/>
      <c r="V860" s="75"/>
    </row>
    <row r="861">
      <c r="F861" s="74"/>
      <c r="H861" s="75"/>
      <c r="I861" s="75"/>
      <c r="J861" s="75"/>
      <c r="K861" s="75"/>
      <c r="L861" s="75"/>
      <c r="M861" s="75"/>
      <c r="N861" s="75"/>
      <c r="O861" s="75"/>
      <c r="P861" s="75"/>
      <c r="Q861" s="75"/>
      <c r="R861" s="75"/>
      <c r="S861" s="75"/>
      <c r="T861" s="75"/>
      <c r="U861" s="75"/>
      <c r="V861" s="75"/>
    </row>
    <row r="862">
      <c r="F862" s="74"/>
      <c r="H862" s="75"/>
      <c r="I862" s="75"/>
      <c r="J862" s="75"/>
      <c r="K862" s="75"/>
      <c r="L862" s="75"/>
      <c r="M862" s="75"/>
      <c r="N862" s="75"/>
      <c r="O862" s="75"/>
      <c r="P862" s="75"/>
      <c r="Q862" s="75"/>
      <c r="R862" s="75"/>
      <c r="S862" s="75"/>
      <c r="T862" s="75"/>
      <c r="U862" s="75"/>
      <c r="V862" s="75"/>
    </row>
    <row r="863">
      <c r="F863" s="74"/>
      <c r="H863" s="75"/>
      <c r="I863" s="75"/>
      <c r="J863" s="75"/>
      <c r="K863" s="75"/>
      <c r="L863" s="75"/>
      <c r="M863" s="75"/>
      <c r="N863" s="75"/>
      <c r="O863" s="75"/>
      <c r="P863" s="75"/>
      <c r="Q863" s="75"/>
      <c r="R863" s="75"/>
      <c r="S863" s="75"/>
      <c r="T863" s="75"/>
      <c r="U863" s="75"/>
      <c r="V863" s="75"/>
    </row>
    <row r="864">
      <c r="F864" s="74"/>
      <c r="H864" s="75"/>
      <c r="I864" s="75"/>
      <c r="J864" s="75"/>
      <c r="K864" s="75"/>
      <c r="L864" s="75"/>
      <c r="M864" s="75"/>
      <c r="N864" s="75"/>
      <c r="O864" s="75"/>
      <c r="P864" s="75"/>
      <c r="Q864" s="75"/>
      <c r="R864" s="75"/>
      <c r="S864" s="75"/>
      <c r="T864" s="75"/>
      <c r="U864" s="75"/>
      <c r="V864" s="75"/>
    </row>
    <row r="865">
      <c r="F865" s="74"/>
      <c r="H865" s="75"/>
      <c r="I865" s="75"/>
      <c r="J865" s="75"/>
      <c r="K865" s="75"/>
      <c r="L865" s="75"/>
      <c r="M865" s="75"/>
      <c r="N865" s="75"/>
      <c r="O865" s="75"/>
      <c r="P865" s="75"/>
      <c r="Q865" s="75"/>
      <c r="R865" s="75"/>
      <c r="S865" s="75"/>
      <c r="T865" s="75"/>
      <c r="U865" s="75"/>
      <c r="V865" s="75"/>
    </row>
    <row r="866">
      <c r="F866" s="74"/>
      <c r="H866" s="75"/>
      <c r="I866" s="75"/>
      <c r="J866" s="75"/>
      <c r="K866" s="75"/>
      <c r="L866" s="75"/>
      <c r="M866" s="75"/>
      <c r="N866" s="75"/>
      <c r="O866" s="75"/>
      <c r="P866" s="75"/>
      <c r="Q866" s="75"/>
      <c r="R866" s="75"/>
      <c r="S866" s="75"/>
      <c r="T866" s="75"/>
      <c r="U866" s="75"/>
      <c r="V866" s="75"/>
    </row>
    <row r="867">
      <c r="F867" s="74"/>
      <c r="H867" s="75"/>
      <c r="I867" s="75"/>
      <c r="J867" s="75"/>
      <c r="K867" s="75"/>
      <c r="L867" s="75"/>
      <c r="M867" s="75"/>
      <c r="N867" s="75"/>
      <c r="O867" s="75"/>
      <c r="P867" s="75"/>
      <c r="Q867" s="75"/>
      <c r="R867" s="75"/>
      <c r="S867" s="75"/>
      <c r="T867" s="75"/>
      <c r="U867" s="75"/>
      <c r="V867" s="75"/>
    </row>
    <row r="868">
      <c r="F868" s="74"/>
      <c r="H868" s="75"/>
      <c r="I868" s="75"/>
      <c r="J868" s="75"/>
      <c r="K868" s="75"/>
      <c r="L868" s="75"/>
      <c r="M868" s="75"/>
      <c r="N868" s="75"/>
      <c r="O868" s="75"/>
      <c r="P868" s="75"/>
      <c r="Q868" s="75"/>
      <c r="R868" s="75"/>
      <c r="S868" s="75"/>
      <c r="T868" s="75"/>
      <c r="U868" s="75"/>
      <c r="V868" s="75"/>
    </row>
    <row r="869">
      <c r="F869" s="74"/>
      <c r="H869" s="75"/>
      <c r="I869" s="75"/>
      <c r="J869" s="75"/>
      <c r="K869" s="75"/>
      <c r="L869" s="75"/>
      <c r="M869" s="75"/>
      <c r="N869" s="75"/>
      <c r="O869" s="75"/>
      <c r="P869" s="75"/>
      <c r="Q869" s="75"/>
      <c r="R869" s="75"/>
      <c r="S869" s="75"/>
      <c r="T869" s="75"/>
      <c r="U869" s="75"/>
      <c r="V869" s="75"/>
    </row>
    <row r="870">
      <c r="F870" s="74"/>
      <c r="H870" s="75"/>
      <c r="I870" s="75"/>
      <c r="J870" s="75"/>
      <c r="K870" s="75"/>
      <c r="L870" s="75"/>
      <c r="M870" s="75"/>
      <c r="N870" s="75"/>
      <c r="O870" s="75"/>
      <c r="P870" s="75"/>
      <c r="Q870" s="75"/>
      <c r="R870" s="75"/>
      <c r="S870" s="75"/>
      <c r="T870" s="75"/>
      <c r="U870" s="75"/>
      <c r="V870" s="75"/>
    </row>
    <row r="871">
      <c r="F871" s="74"/>
      <c r="H871" s="75"/>
      <c r="I871" s="75"/>
      <c r="J871" s="75"/>
      <c r="K871" s="75"/>
      <c r="L871" s="75"/>
      <c r="M871" s="75"/>
      <c r="N871" s="75"/>
      <c r="O871" s="75"/>
      <c r="P871" s="75"/>
      <c r="Q871" s="75"/>
      <c r="R871" s="75"/>
      <c r="S871" s="75"/>
      <c r="T871" s="75"/>
      <c r="U871" s="75"/>
      <c r="V871" s="75"/>
    </row>
    <row r="872">
      <c r="F872" s="74"/>
      <c r="H872" s="75"/>
      <c r="I872" s="75"/>
      <c r="J872" s="75"/>
      <c r="K872" s="75"/>
      <c r="L872" s="75"/>
      <c r="M872" s="75"/>
      <c r="N872" s="75"/>
      <c r="O872" s="75"/>
      <c r="P872" s="75"/>
      <c r="Q872" s="75"/>
      <c r="R872" s="75"/>
      <c r="S872" s="75"/>
      <c r="T872" s="75"/>
      <c r="U872" s="75"/>
      <c r="V872" s="75"/>
    </row>
    <row r="873">
      <c r="F873" s="74"/>
      <c r="H873" s="75"/>
      <c r="I873" s="75"/>
      <c r="J873" s="75"/>
      <c r="K873" s="75"/>
      <c r="L873" s="75"/>
      <c r="M873" s="75"/>
      <c r="N873" s="75"/>
      <c r="O873" s="75"/>
      <c r="P873" s="75"/>
      <c r="Q873" s="75"/>
      <c r="R873" s="75"/>
      <c r="S873" s="75"/>
      <c r="T873" s="75"/>
      <c r="U873" s="75"/>
      <c r="V873" s="75"/>
    </row>
    <row r="874">
      <c r="F874" s="74"/>
      <c r="H874" s="75"/>
      <c r="I874" s="75"/>
      <c r="J874" s="75"/>
      <c r="K874" s="75"/>
      <c r="L874" s="75"/>
      <c r="M874" s="75"/>
      <c r="N874" s="75"/>
      <c r="O874" s="75"/>
      <c r="P874" s="75"/>
      <c r="Q874" s="75"/>
      <c r="R874" s="75"/>
      <c r="S874" s="75"/>
      <c r="T874" s="75"/>
      <c r="U874" s="75"/>
      <c r="V874" s="75"/>
    </row>
    <row r="875">
      <c r="F875" s="74"/>
      <c r="H875" s="75"/>
      <c r="I875" s="75"/>
      <c r="J875" s="75"/>
      <c r="K875" s="75"/>
      <c r="L875" s="75"/>
      <c r="M875" s="75"/>
      <c r="N875" s="75"/>
      <c r="O875" s="75"/>
      <c r="P875" s="75"/>
      <c r="Q875" s="75"/>
      <c r="R875" s="75"/>
      <c r="S875" s="75"/>
      <c r="T875" s="75"/>
      <c r="U875" s="75"/>
      <c r="V875" s="75"/>
    </row>
    <row r="876">
      <c r="F876" s="74"/>
      <c r="H876" s="75"/>
      <c r="I876" s="75"/>
      <c r="J876" s="75"/>
      <c r="K876" s="75"/>
      <c r="L876" s="75"/>
      <c r="M876" s="75"/>
      <c r="N876" s="75"/>
      <c r="O876" s="75"/>
      <c r="P876" s="75"/>
      <c r="Q876" s="75"/>
      <c r="R876" s="75"/>
      <c r="S876" s="75"/>
      <c r="T876" s="75"/>
      <c r="U876" s="75"/>
      <c r="V876" s="75"/>
    </row>
    <row r="877">
      <c r="F877" s="74"/>
      <c r="H877" s="75"/>
      <c r="I877" s="75"/>
      <c r="J877" s="75"/>
      <c r="K877" s="75"/>
      <c r="L877" s="75"/>
      <c r="M877" s="75"/>
      <c r="N877" s="75"/>
      <c r="O877" s="75"/>
      <c r="P877" s="75"/>
      <c r="Q877" s="75"/>
      <c r="R877" s="75"/>
      <c r="S877" s="75"/>
      <c r="T877" s="75"/>
      <c r="U877" s="75"/>
      <c r="V877" s="75"/>
    </row>
    <row r="878">
      <c r="F878" s="74"/>
      <c r="H878" s="75"/>
      <c r="I878" s="75"/>
      <c r="J878" s="75"/>
      <c r="K878" s="75"/>
      <c r="L878" s="75"/>
      <c r="M878" s="75"/>
      <c r="N878" s="75"/>
      <c r="O878" s="75"/>
      <c r="P878" s="75"/>
      <c r="Q878" s="75"/>
      <c r="R878" s="75"/>
      <c r="S878" s="75"/>
      <c r="T878" s="75"/>
      <c r="U878" s="75"/>
      <c r="V878" s="75"/>
    </row>
    <row r="879">
      <c r="F879" s="74"/>
      <c r="H879" s="75"/>
      <c r="I879" s="75"/>
      <c r="J879" s="75"/>
      <c r="K879" s="75"/>
      <c r="L879" s="75"/>
      <c r="M879" s="75"/>
      <c r="N879" s="75"/>
      <c r="O879" s="75"/>
      <c r="P879" s="75"/>
      <c r="Q879" s="75"/>
      <c r="R879" s="75"/>
      <c r="S879" s="75"/>
      <c r="T879" s="75"/>
      <c r="U879" s="75"/>
      <c r="V879" s="75"/>
    </row>
    <row r="880">
      <c r="F880" s="74"/>
      <c r="H880" s="75"/>
      <c r="I880" s="75"/>
      <c r="J880" s="75"/>
      <c r="K880" s="75"/>
      <c r="L880" s="75"/>
      <c r="M880" s="75"/>
      <c r="N880" s="75"/>
      <c r="O880" s="75"/>
      <c r="P880" s="75"/>
      <c r="Q880" s="75"/>
      <c r="R880" s="75"/>
      <c r="S880" s="75"/>
      <c r="T880" s="75"/>
      <c r="U880" s="75"/>
      <c r="V880" s="75"/>
    </row>
    <row r="881">
      <c r="F881" s="74"/>
      <c r="H881" s="75"/>
      <c r="I881" s="75"/>
      <c r="J881" s="75"/>
      <c r="K881" s="75"/>
      <c r="L881" s="75"/>
      <c r="M881" s="75"/>
      <c r="N881" s="75"/>
      <c r="O881" s="75"/>
      <c r="P881" s="75"/>
      <c r="Q881" s="75"/>
      <c r="R881" s="75"/>
      <c r="S881" s="75"/>
      <c r="T881" s="75"/>
      <c r="U881" s="75"/>
      <c r="V881" s="75"/>
    </row>
    <row r="882">
      <c r="F882" s="74"/>
      <c r="H882" s="75"/>
      <c r="I882" s="75"/>
      <c r="J882" s="75"/>
      <c r="K882" s="75"/>
      <c r="L882" s="75"/>
      <c r="M882" s="75"/>
      <c r="N882" s="75"/>
      <c r="O882" s="75"/>
      <c r="P882" s="75"/>
      <c r="Q882" s="75"/>
      <c r="R882" s="75"/>
      <c r="S882" s="75"/>
      <c r="T882" s="75"/>
      <c r="U882" s="75"/>
      <c r="V882" s="75"/>
    </row>
    <row r="883">
      <c r="F883" s="74"/>
      <c r="H883" s="75"/>
      <c r="I883" s="75"/>
      <c r="J883" s="75"/>
      <c r="K883" s="75"/>
      <c r="L883" s="75"/>
      <c r="M883" s="75"/>
      <c r="N883" s="75"/>
      <c r="O883" s="75"/>
      <c r="P883" s="75"/>
      <c r="Q883" s="75"/>
      <c r="R883" s="75"/>
      <c r="S883" s="75"/>
      <c r="T883" s="75"/>
      <c r="U883" s="75"/>
      <c r="V883" s="75"/>
    </row>
    <row r="884">
      <c r="F884" s="74"/>
      <c r="H884" s="75"/>
      <c r="I884" s="75"/>
      <c r="J884" s="75"/>
      <c r="K884" s="75"/>
      <c r="L884" s="75"/>
      <c r="M884" s="75"/>
      <c r="N884" s="75"/>
      <c r="O884" s="75"/>
      <c r="P884" s="75"/>
      <c r="Q884" s="75"/>
      <c r="R884" s="75"/>
      <c r="S884" s="75"/>
      <c r="T884" s="75"/>
      <c r="U884" s="75"/>
      <c r="V884" s="75"/>
    </row>
    <row r="885">
      <c r="F885" s="74"/>
      <c r="H885" s="75"/>
      <c r="I885" s="75"/>
      <c r="J885" s="75"/>
      <c r="K885" s="75"/>
      <c r="L885" s="75"/>
      <c r="M885" s="75"/>
      <c r="N885" s="75"/>
      <c r="O885" s="75"/>
      <c r="P885" s="75"/>
      <c r="Q885" s="75"/>
      <c r="R885" s="75"/>
      <c r="S885" s="75"/>
      <c r="T885" s="75"/>
      <c r="U885" s="75"/>
      <c r="V885" s="75"/>
    </row>
    <row r="886">
      <c r="F886" s="74"/>
      <c r="H886" s="75"/>
      <c r="I886" s="75"/>
      <c r="J886" s="75"/>
      <c r="K886" s="75"/>
      <c r="L886" s="75"/>
      <c r="M886" s="75"/>
      <c r="N886" s="75"/>
      <c r="O886" s="75"/>
      <c r="P886" s="75"/>
      <c r="Q886" s="75"/>
      <c r="R886" s="75"/>
      <c r="S886" s="75"/>
      <c r="T886" s="75"/>
      <c r="U886" s="75"/>
      <c r="V886" s="75"/>
    </row>
    <row r="887">
      <c r="F887" s="74"/>
      <c r="H887" s="75"/>
      <c r="I887" s="75"/>
      <c r="J887" s="75"/>
      <c r="K887" s="75"/>
      <c r="L887" s="75"/>
      <c r="M887" s="75"/>
      <c r="N887" s="75"/>
      <c r="O887" s="75"/>
      <c r="P887" s="75"/>
      <c r="Q887" s="75"/>
      <c r="R887" s="75"/>
      <c r="S887" s="75"/>
      <c r="T887" s="75"/>
      <c r="U887" s="75"/>
      <c r="V887" s="75"/>
    </row>
    <row r="888">
      <c r="F888" s="74"/>
      <c r="H888" s="75"/>
      <c r="I888" s="75"/>
      <c r="J888" s="75"/>
      <c r="K888" s="75"/>
      <c r="L888" s="75"/>
      <c r="M888" s="75"/>
      <c r="N888" s="75"/>
      <c r="O888" s="75"/>
      <c r="P888" s="75"/>
      <c r="Q888" s="75"/>
      <c r="R888" s="75"/>
      <c r="S888" s="75"/>
      <c r="T888" s="75"/>
      <c r="U888" s="75"/>
      <c r="V888" s="75"/>
    </row>
    <row r="889">
      <c r="F889" s="74"/>
      <c r="H889" s="75"/>
      <c r="I889" s="75"/>
      <c r="J889" s="75"/>
      <c r="K889" s="75"/>
      <c r="L889" s="75"/>
      <c r="M889" s="75"/>
      <c r="N889" s="75"/>
      <c r="O889" s="75"/>
      <c r="P889" s="75"/>
      <c r="Q889" s="75"/>
      <c r="R889" s="75"/>
      <c r="S889" s="75"/>
      <c r="T889" s="75"/>
      <c r="U889" s="75"/>
      <c r="V889" s="75"/>
    </row>
    <row r="890">
      <c r="F890" s="74"/>
      <c r="H890" s="75"/>
      <c r="I890" s="75"/>
      <c r="J890" s="75"/>
      <c r="K890" s="75"/>
      <c r="L890" s="75"/>
      <c r="M890" s="75"/>
      <c r="N890" s="75"/>
      <c r="O890" s="75"/>
      <c r="P890" s="75"/>
      <c r="Q890" s="75"/>
      <c r="R890" s="75"/>
      <c r="S890" s="75"/>
      <c r="T890" s="75"/>
      <c r="U890" s="75"/>
      <c r="V890" s="75"/>
    </row>
    <row r="891">
      <c r="F891" s="74"/>
      <c r="H891" s="75"/>
      <c r="I891" s="75"/>
      <c r="J891" s="75"/>
      <c r="K891" s="75"/>
      <c r="L891" s="75"/>
      <c r="M891" s="75"/>
      <c r="N891" s="75"/>
      <c r="O891" s="75"/>
      <c r="P891" s="75"/>
      <c r="Q891" s="75"/>
      <c r="R891" s="75"/>
      <c r="S891" s="75"/>
      <c r="T891" s="75"/>
      <c r="U891" s="75"/>
      <c r="V891" s="75"/>
    </row>
    <row r="892">
      <c r="F892" s="74"/>
      <c r="H892" s="75"/>
      <c r="I892" s="75"/>
      <c r="J892" s="75"/>
      <c r="K892" s="75"/>
      <c r="L892" s="75"/>
      <c r="M892" s="75"/>
      <c r="N892" s="75"/>
      <c r="O892" s="75"/>
      <c r="P892" s="75"/>
      <c r="Q892" s="75"/>
      <c r="R892" s="75"/>
      <c r="S892" s="75"/>
      <c r="T892" s="75"/>
      <c r="U892" s="75"/>
      <c r="V892" s="75"/>
    </row>
    <row r="893">
      <c r="F893" s="74"/>
      <c r="H893" s="75"/>
      <c r="I893" s="75"/>
      <c r="J893" s="75"/>
      <c r="K893" s="75"/>
      <c r="L893" s="75"/>
      <c r="M893" s="75"/>
      <c r="N893" s="75"/>
      <c r="O893" s="75"/>
      <c r="P893" s="75"/>
      <c r="Q893" s="75"/>
      <c r="R893" s="75"/>
      <c r="S893" s="75"/>
      <c r="T893" s="75"/>
      <c r="U893" s="75"/>
      <c r="V893" s="75"/>
    </row>
    <row r="894">
      <c r="F894" s="74"/>
      <c r="H894" s="75"/>
      <c r="I894" s="75"/>
      <c r="J894" s="75"/>
      <c r="K894" s="75"/>
      <c r="L894" s="75"/>
      <c r="M894" s="75"/>
      <c r="N894" s="75"/>
      <c r="O894" s="75"/>
      <c r="P894" s="75"/>
      <c r="Q894" s="75"/>
      <c r="R894" s="75"/>
      <c r="S894" s="75"/>
      <c r="T894" s="75"/>
      <c r="U894" s="75"/>
      <c r="V894" s="75"/>
    </row>
    <row r="895">
      <c r="F895" s="74"/>
      <c r="H895" s="75"/>
      <c r="I895" s="75"/>
      <c r="J895" s="75"/>
      <c r="K895" s="75"/>
      <c r="L895" s="75"/>
      <c r="M895" s="75"/>
      <c r="N895" s="75"/>
      <c r="O895" s="75"/>
      <c r="P895" s="75"/>
      <c r="Q895" s="75"/>
      <c r="R895" s="75"/>
      <c r="S895" s="75"/>
      <c r="T895" s="75"/>
      <c r="U895" s="75"/>
      <c r="V895" s="75"/>
    </row>
    <row r="896">
      <c r="F896" s="74"/>
      <c r="H896" s="75"/>
      <c r="I896" s="75"/>
      <c r="J896" s="75"/>
      <c r="K896" s="75"/>
      <c r="L896" s="75"/>
      <c r="M896" s="75"/>
      <c r="N896" s="75"/>
      <c r="O896" s="75"/>
      <c r="P896" s="75"/>
      <c r="Q896" s="75"/>
      <c r="R896" s="75"/>
      <c r="S896" s="75"/>
      <c r="T896" s="75"/>
      <c r="U896" s="75"/>
      <c r="V896" s="75"/>
    </row>
    <row r="897">
      <c r="F897" s="74"/>
      <c r="H897" s="75"/>
      <c r="I897" s="75"/>
      <c r="J897" s="75"/>
      <c r="K897" s="75"/>
      <c r="L897" s="75"/>
      <c r="M897" s="75"/>
      <c r="N897" s="75"/>
      <c r="O897" s="75"/>
      <c r="P897" s="75"/>
      <c r="Q897" s="75"/>
      <c r="R897" s="75"/>
      <c r="S897" s="75"/>
      <c r="T897" s="75"/>
      <c r="U897" s="75"/>
      <c r="V897" s="75"/>
    </row>
    <row r="898">
      <c r="F898" s="74"/>
      <c r="H898" s="75"/>
      <c r="I898" s="75"/>
      <c r="J898" s="75"/>
      <c r="K898" s="75"/>
      <c r="L898" s="75"/>
      <c r="M898" s="75"/>
      <c r="N898" s="75"/>
      <c r="O898" s="75"/>
      <c r="P898" s="75"/>
      <c r="Q898" s="75"/>
      <c r="R898" s="75"/>
      <c r="S898" s="75"/>
      <c r="T898" s="75"/>
      <c r="U898" s="75"/>
      <c r="V898" s="75"/>
    </row>
    <row r="899">
      <c r="F899" s="74"/>
      <c r="H899" s="75"/>
      <c r="I899" s="75"/>
      <c r="J899" s="75"/>
      <c r="K899" s="75"/>
      <c r="L899" s="75"/>
      <c r="M899" s="75"/>
      <c r="N899" s="75"/>
      <c r="O899" s="75"/>
      <c r="P899" s="75"/>
      <c r="Q899" s="75"/>
      <c r="R899" s="75"/>
      <c r="S899" s="75"/>
      <c r="T899" s="75"/>
      <c r="U899" s="75"/>
      <c r="V899" s="75"/>
    </row>
    <row r="900">
      <c r="F900" s="74"/>
      <c r="H900" s="75"/>
      <c r="I900" s="75"/>
      <c r="J900" s="75"/>
      <c r="K900" s="75"/>
      <c r="L900" s="75"/>
      <c r="M900" s="75"/>
      <c r="N900" s="75"/>
      <c r="O900" s="75"/>
      <c r="P900" s="75"/>
      <c r="Q900" s="75"/>
      <c r="R900" s="75"/>
      <c r="S900" s="75"/>
      <c r="T900" s="75"/>
      <c r="U900" s="75"/>
      <c r="V900" s="75"/>
    </row>
    <row r="901">
      <c r="F901" s="74"/>
      <c r="H901" s="75"/>
      <c r="I901" s="75"/>
      <c r="J901" s="75"/>
      <c r="K901" s="75"/>
      <c r="L901" s="75"/>
      <c r="M901" s="75"/>
      <c r="N901" s="75"/>
      <c r="O901" s="75"/>
      <c r="P901" s="75"/>
      <c r="Q901" s="75"/>
      <c r="R901" s="75"/>
      <c r="S901" s="75"/>
      <c r="T901" s="75"/>
      <c r="U901" s="75"/>
      <c r="V901" s="75"/>
    </row>
    <row r="902">
      <c r="F902" s="74"/>
      <c r="H902" s="75"/>
      <c r="I902" s="75"/>
      <c r="J902" s="75"/>
      <c r="K902" s="75"/>
      <c r="L902" s="75"/>
      <c r="M902" s="75"/>
      <c r="N902" s="75"/>
      <c r="O902" s="75"/>
      <c r="P902" s="75"/>
      <c r="Q902" s="75"/>
      <c r="R902" s="75"/>
      <c r="S902" s="75"/>
      <c r="T902" s="75"/>
      <c r="U902" s="75"/>
      <c r="V902" s="75"/>
    </row>
    <row r="903">
      <c r="F903" s="74"/>
      <c r="H903" s="75"/>
      <c r="I903" s="75"/>
      <c r="J903" s="75"/>
      <c r="K903" s="75"/>
      <c r="L903" s="75"/>
      <c r="M903" s="75"/>
      <c r="N903" s="75"/>
      <c r="O903" s="75"/>
      <c r="P903" s="75"/>
      <c r="Q903" s="75"/>
      <c r="R903" s="75"/>
      <c r="S903" s="75"/>
      <c r="T903" s="75"/>
      <c r="U903" s="75"/>
      <c r="V903" s="75"/>
    </row>
    <row r="904">
      <c r="F904" s="74"/>
      <c r="H904" s="75"/>
      <c r="I904" s="75"/>
      <c r="J904" s="75"/>
      <c r="K904" s="75"/>
      <c r="L904" s="75"/>
      <c r="M904" s="75"/>
      <c r="N904" s="75"/>
      <c r="O904" s="75"/>
      <c r="P904" s="75"/>
      <c r="Q904" s="75"/>
      <c r="R904" s="75"/>
      <c r="S904" s="75"/>
      <c r="T904" s="75"/>
      <c r="U904" s="75"/>
      <c r="V904" s="75"/>
    </row>
    <row r="905">
      <c r="F905" s="74"/>
      <c r="H905" s="75"/>
      <c r="I905" s="75"/>
      <c r="J905" s="75"/>
      <c r="K905" s="75"/>
      <c r="L905" s="75"/>
      <c r="M905" s="75"/>
      <c r="N905" s="75"/>
      <c r="O905" s="75"/>
      <c r="P905" s="75"/>
      <c r="Q905" s="75"/>
      <c r="R905" s="75"/>
      <c r="S905" s="75"/>
      <c r="T905" s="75"/>
      <c r="U905" s="75"/>
      <c r="V905" s="75"/>
    </row>
    <row r="906">
      <c r="F906" s="74"/>
      <c r="H906" s="75"/>
      <c r="I906" s="75"/>
      <c r="J906" s="75"/>
      <c r="K906" s="75"/>
      <c r="L906" s="75"/>
      <c r="M906" s="75"/>
      <c r="N906" s="75"/>
      <c r="O906" s="75"/>
      <c r="P906" s="75"/>
      <c r="Q906" s="75"/>
      <c r="R906" s="75"/>
      <c r="S906" s="75"/>
      <c r="T906" s="75"/>
      <c r="U906" s="75"/>
      <c r="V906" s="75"/>
    </row>
    <row r="907">
      <c r="F907" s="74"/>
      <c r="H907" s="75"/>
      <c r="I907" s="75"/>
      <c r="J907" s="75"/>
      <c r="K907" s="75"/>
      <c r="L907" s="75"/>
      <c r="M907" s="75"/>
      <c r="N907" s="75"/>
      <c r="O907" s="75"/>
      <c r="P907" s="75"/>
      <c r="Q907" s="75"/>
      <c r="R907" s="75"/>
      <c r="S907" s="75"/>
      <c r="T907" s="75"/>
      <c r="U907" s="75"/>
      <c r="V907" s="75"/>
    </row>
    <row r="908">
      <c r="F908" s="74"/>
      <c r="H908" s="75"/>
      <c r="I908" s="75"/>
      <c r="J908" s="75"/>
      <c r="K908" s="75"/>
      <c r="L908" s="75"/>
      <c r="M908" s="75"/>
      <c r="N908" s="75"/>
      <c r="O908" s="75"/>
      <c r="P908" s="75"/>
      <c r="Q908" s="75"/>
      <c r="R908" s="75"/>
      <c r="S908" s="75"/>
      <c r="T908" s="75"/>
      <c r="U908" s="75"/>
      <c r="V908" s="75"/>
    </row>
    <row r="909">
      <c r="F909" s="74"/>
      <c r="H909" s="75"/>
      <c r="I909" s="75"/>
      <c r="J909" s="75"/>
      <c r="K909" s="75"/>
      <c r="L909" s="75"/>
      <c r="M909" s="75"/>
      <c r="N909" s="75"/>
      <c r="O909" s="75"/>
      <c r="P909" s="75"/>
      <c r="Q909" s="75"/>
      <c r="R909" s="75"/>
      <c r="S909" s="75"/>
      <c r="T909" s="75"/>
      <c r="U909" s="75"/>
      <c r="V909" s="75"/>
    </row>
    <row r="910">
      <c r="F910" s="74"/>
      <c r="H910" s="75"/>
      <c r="I910" s="75"/>
      <c r="J910" s="75"/>
      <c r="K910" s="75"/>
      <c r="L910" s="75"/>
      <c r="M910" s="75"/>
      <c r="N910" s="75"/>
      <c r="O910" s="75"/>
      <c r="P910" s="75"/>
      <c r="Q910" s="75"/>
      <c r="R910" s="75"/>
      <c r="S910" s="75"/>
      <c r="T910" s="75"/>
      <c r="U910" s="75"/>
      <c r="V910" s="75"/>
    </row>
    <row r="911">
      <c r="F911" s="74"/>
      <c r="H911" s="75"/>
      <c r="I911" s="75"/>
      <c r="J911" s="75"/>
      <c r="K911" s="75"/>
      <c r="L911" s="75"/>
      <c r="M911" s="75"/>
      <c r="N911" s="75"/>
      <c r="O911" s="75"/>
      <c r="P911" s="75"/>
      <c r="Q911" s="75"/>
      <c r="R911" s="75"/>
      <c r="S911" s="75"/>
      <c r="T911" s="75"/>
      <c r="U911" s="75"/>
      <c r="V911" s="75"/>
    </row>
    <row r="912">
      <c r="F912" s="74"/>
      <c r="H912" s="75"/>
      <c r="I912" s="75"/>
      <c r="J912" s="75"/>
      <c r="K912" s="75"/>
      <c r="L912" s="75"/>
      <c r="M912" s="75"/>
      <c r="N912" s="75"/>
      <c r="O912" s="75"/>
      <c r="P912" s="75"/>
      <c r="Q912" s="75"/>
      <c r="R912" s="75"/>
      <c r="S912" s="75"/>
      <c r="T912" s="75"/>
      <c r="U912" s="75"/>
      <c r="V912" s="75"/>
    </row>
    <row r="913">
      <c r="F913" s="74"/>
      <c r="H913" s="75"/>
      <c r="I913" s="75"/>
      <c r="J913" s="75"/>
      <c r="K913" s="75"/>
      <c r="L913" s="75"/>
      <c r="M913" s="75"/>
      <c r="N913" s="75"/>
      <c r="O913" s="75"/>
      <c r="P913" s="75"/>
      <c r="Q913" s="75"/>
      <c r="R913" s="75"/>
      <c r="S913" s="75"/>
      <c r="T913" s="75"/>
      <c r="U913" s="75"/>
      <c r="V913" s="75"/>
    </row>
    <row r="914">
      <c r="F914" s="74"/>
      <c r="H914" s="75"/>
      <c r="I914" s="75"/>
      <c r="J914" s="75"/>
      <c r="K914" s="75"/>
      <c r="L914" s="75"/>
      <c r="M914" s="75"/>
      <c r="N914" s="75"/>
      <c r="O914" s="75"/>
      <c r="P914" s="75"/>
      <c r="Q914" s="75"/>
      <c r="R914" s="75"/>
      <c r="S914" s="75"/>
      <c r="T914" s="75"/>
      <c r="U914" s="75"/>
      <c r="V914" s="75"/>
    </row>
    <row r="915">
      <c r="F915" s="74"/>
      <c r="H915" s="75"/>
      <c r="I915" s="75"/>
      <c r="J915" s="75"/>
      <c r="K915" s="75"/>
      <c r="L915" s="75"/>
      <c r="M915" s="75"/>
      <c r="N915" s="75"/>
      <c r="O915" s="75"/>
      <c r="P915" s="75"/>
      <c r="Q915" s="75"/>
      <c r="R915" s="75"/>
      <c r="S915" s="75"/>
      <c r="T915" s="75"/>
      <c r="U915" s="75"/>
      <c r="V915" s="75"/>
    </row>
    <row r="916">
      <c r="F916" s="74"/>
      <c r="H916" s="75"/>
      <c r="I916" s="75"/>
      <c r="J916" s="75"/>
      <c r="K916" s="75"/>
      <c r="L916" s="75"/>
      <c r="M916" s="75"/>
      <c r="N916" s="75"/>
      <c r="O916" s="75"/>
      <c r="P916" s="75"/>
      <c r="Q916" s="75"/>
      <c r="R916" s="75"/>
      <c r="S916" s="75"/>
      <c r="T916" s="75"/>
      <c r="U916" s="75"/>
      <c r="V916" s="75"/>
    </row>
    <row r="917">
      <c r="F917" s="74"/>
      <c r="H917" s="75"/>
      <c r="I917" s="75"/>
      <c r="J917" s="75"/>
      <c r="K917" s="75"/>
      <c r="L917" s="75"/>
      <c r="M917" s="75"/>
      <c r="N917" s="75"/>
      <c r="O917" s="75"/>
      <c r="P917" s="75"/>
      <c r="Q917" s="75"/>
      <c r="R917" s="75"/>
      <c r="S917" s="75"/>
      <c r="T917" s="75"/>
      <c r="U917" s="75"/>
      <c r="V917" s="75"/>
    </row>
    <row r="918">
      <c r="F918" s="74"/>
      <c r="H918" s="75"/>
      <c r="I918" s="75"/>
      <c r="J918" s="75"/>
      <c r="K918" s="75"/>
      <c r="L918" s="75"/>
      <c r="M918" s="75"/>
      <c r="N918" s="75"/>
      <c r="O918" s="75"/>
      <c r="P918" s="75"/>
      <c r="Q918" s="75"/>
      <c r="R918" s="75"/>
      <c r="S918" s="75"/>
      <c r="T918" s="75"/>
      <c r="U918" s="75"/>
      <c r="V918" s="75"/>
    </row>
    <row r="919">
      <c r="F919" s="74"/>
      <c r="H919" s="75"/>
      <c r="I919" s="75"/>
      <c r="J919" s="75"/>
      <c r="K919" s="75"/>
      <c r="L919" s="75"/>
      <c r="M919" s="75"/>
      <c r="N919" s="75"/>
      <c r="O919" s="75"/>
      <c r="P919" s="75"/>
      <c r="Q919" s="75"/>
      <c r="R919" s="75"/>
      <c r="S919" s="75"/>
      <c r="T919" s="75"/>
      <c r="U919" s="75"/>
      <c r="V919" s="75"/>
    </row>
    <row r="920">
      <c r="F920" s="74"/>
      <c r="H920" s="75"/>
      <c r="I920" s="75"/>
      <c r="J920" s="75"/>
      <c r="K920" s="75"/>
      <c r="L920" s="75"/>
      <c r="M920" s="75"/>
      <c r="N920" s="75"/>
      <c r="O920" s="75"/>
      <c r="P920" s="75"/>
      <c r="Q920" s="75"/>
      <c r="R920" s="75"/>
      <c r="S920" s="75"/>
      <c r="T920" s="75"/>
      <c r="U920" s="75"/>
      <c r="V920" s="75"/>
    </row>
    <row r="921">
      <c r="F921" s="74"/>
      <c r="H921" s="75"/>
      <c r="I921" s="75"/>
      <c r="J921" s="75"/>
      <c r="K921" s="75"/>
      <c r="L921" s="75"/>
      <c r="M921" s="75"/>
      <c r="N921" s="75"/>
      <c r="O921" s="75"/>
      <c r="P921" s="75"/>
      <c r="Q921" s="75"/>
      <c r="R921" s="75"/>
      <c r="S921" s="75"/>
      <c r="T921" s="75"/>
      <c r="U921" s="75"/>
      <c r="V921" s="75"/>
    </row>
    <row r="922">
      <c r="F922" s="74"/>
      <c r="H922" s="75"/>
      <c r="I922" s="75"/>
      <c r="J922" s="75"/>
      <c r="K922" s="75"/>
      <c r="L922" s="75"/>
      <c r="M922" s="75"/>
      <c r="N922" s="75"/>
      <c r="O922" s="75"/>
      <c r="P922" s="75"/>
      <c r="Q922" s="75"/>
      <c r="R922" s="75"/>
      <c r="S922" s="75"/>
      <c r="T922" s="75"/>
      <c r="U922" s="75"/>
      <c r="V922" s="75"/>
    </row>
    <row r="923">
      <c r="F923" s="74"/>
      <c r="H923" s="75"/>
      <c r="I923" s="75"/>
      <c r="J923" s="75"/>
      <c r="K923" s="75"/>
      <c r="L923" s="75"/>
      <c r="M923" s="75"/>
      <c r="N923" s="75"/>
      <c r="O923" s="75"/>
      <c r="P923" s="75"/>
      <c r="Q923" s="75"/>
      <c r="R923" s="75"/>
      <c r="S923" s="75"/>
      <c r="T923" s="75"/>
      <c r="U923" s="75"/>
      <c r="V923" s="75"/>
    </row>
    <row r="924">
      <c r="F924" s="74"/>
      <c r="H924" s="75"/>
      <c r="I924" s="75"/>
      <c r="J924" s="75"/>
      <c r="K924" s="75"/>
      <c r="L924" s="75"/>
      <c r="M924" s="75"/>
      <c r="N924" s="75"/>
      <c r="O924" s="75"/>
      <c r="P924" s="75"/>
      <c r="Q924" s="75"/>
      <c r="R924" s="75"/>
      <c r="S924" s="75"/>
      <c r="T924" s="75"/>
      <c r="U924" s="75"/>
      <c r="V924" s="75"/>
    </row>
    <row r="925">
      <c r="F925" s="74"/>
      <c r="H925" s="75"/>
      <c r="I925" s="75"/>
      <c r="J925" s="75"/>
      <c r="K925" s="75"/>
      <c r="L925" s="75"/>
      <c r="M925" s="75"/>
      <c r="N925" s="75"/>
      <c r="O925" s="75"/>
      <c r="P925" s="75"/>
      <c r="Q925" s="75"/>
      <c r="R925" s="75"/>
      <c r="S925" s="75"/>
      <c r="T925" s="75"/>
      <c r="U925" s="75"/>
      <c r="V925" s="75"/>
    </row>
    <row r="926">
      <c r="F926" s="74"/>
      <c r="H926" s="75"/>
      <c r="I926" s="75"/>
      <c r="J926" s="75"/>
      <c r="K926" s="75"/>
      <c r="L926" s="75"/>
      <c r="M926" s="75"/>
      <c r="N926" s="75"/>
      <c r="O926" s="75"/>
      <c r="P926" s="75"/>
      <c r="Q926" s="75"/>
      <c r="R926" s="75"/>
      <c r="S926" s="75"/>
      <c r="T926" s="75"/>
      <c r="U926" s="75"/>
      <c r="V926" s="75"/>
    </row>
    <row r="927">
      <c r="F927" s="74"/>
      <c r="H927" s="75"/>
      <c r="I927" s="75"/>
      <c r="J927" s="75"/>
      <c r="K927" s="75"/>
      <c r="L927" s="75"/>
      <c r="M927" s="75"/>
      <c r="N927" s="75"/>
      <c r="O927" s="75"/>
      <c r="P927" s="75"/>
      <c r="Q927" s="75"/>
      <c r="R927" s="75"/>
      <c r="S927" s="75"/>
      <c r="T927" s="75"/>
      <c r="U927" s="75"/>
      <c r="V927" s="75"/>
    </row>
    <row r="928">
      <c r="F928" s="74"/>
      <c r="H928" s="75"/>
      <c r="I928" s="75"/>
      <c r="J928" s="75"/>
      <c r="K928" s="75"/>
      <c r="L928" s="75"/>
      <c r="M928" s="75"/>
      <c r="N928" s="75"/>
      <c r="O928" s="75"/>
      <c r="P928" s="75"/>
      <c r="Q928" s="75"/>
      <c r="R928" s="75"/>
      <c r="S928" s="75"/>
      <c r="T928" s="75"/>
      <c r="U928" s="75"/>
      <c r="V928" s="75"/>
    </row>
    <row r="929">
      <c r="F929" s="74"/>
      <c r="H929" s="75"/>
      <c r="I929" s="75"/>
      <c r="J929" s="75"/>
      <c r="K929" s="75"/>
      <c r="L929" s="75"/>
      <c r="M929" s="75"/>
      <c r="N929" s="75"/>
      <c r="O929" s="75"/>
      <c r="P929" s="75"/>
      <c r="Q929" s="75"/>
      <c r="R929" s="75"/>
      <c r="S929" s="75"/>
      <c r="T929" s="75"/>
      <c r="U929" s="75"/>
      <c r="V929" s="75"/>
    </row>
    <row r="930">
      <c r="F930" s="74"/>
      <c r="H930" s="75"/>
      <c r="I930" s="75"/>
      <c r="J930" s="75"/>
      <c r="K930" s="75"/>
      <c r="L930" s="75"/>
      <c r="M930" s="75"/>
      <c r="N930" s="75"/>
      <c r="O930" s="75"/>
      <c r="P930" s="75"/>
      <c r="Q930" s="75"/>
      <c r="R930" s="75"/>
      <c r="S930" s="75"/>
      <c r="T930" s="75"/>
      <c r="U930" s="75"/>
      <c r="V930" s="75"/>
    </row>
    <row r="931">
      <c r="F931" s="74"/>
      <c r="H931" s="75"/>
      <c r="I931" s="75"/>
      <c r="J931" s="75"/>
      <c r="K931" s="75"/>
      <c r="L931" s="75"/>
      <c r="M931" s="75"/>
      <c r="N931" s="75"/>
      <c r="O931" s="75"/>
      <c r="P931" s="75"/>
      <c r="Q931" s="75"/>
      <c r="R931" s="75"/>
      <c r="S931" s="75"/>
      <c r="T931" s="75"/>
      <c r="U931" s="75"/>
      <c r="V931" s="75"/>
    </row>
    <row r="932">
      <c r="F932" s="74"/>
      <c r="H932" s="75"/>
      <c r="I932" s="75"/>
      <c r="J932" s="75"/>
      <c r="K932" s="75"/>
      <c r="L932" s="75"/>
      <c r="M932" s="75"/>
      <c r="N932" s="75"/>
      <c r="O932" s="75"/>
      <c r="P932" s="75"/>
      <c r="Q932" s="75"/>
      <c r="R932" s="75"/>
      <c r="S932" s="75"/>
      <c r="T932" s="75"/>
      <c r="U932" s="75"/>
      <c r="V932" s="75"/>
    </row>
    <row r="933">
      <c r="F933" s="74"/>
      <c r="H933" s="75"/>
      <c r="I933" s="75"/>
      <c r="J933" s="75"/>
      <c r="K933" s="75"/>
      <c r="L933" s="75"/>
      <c r="M933" s="75"/>
      <c r="N933" s="75"/>
      <c r="O933" s="75"/>
      <c r="P933" s="75"/>
      <c r="Q933" s="75"/>
      <c r="R933" s="75"/>
      <c r="S933" s="75"/>
      <c r="T933" s="75"/>
      <c r="U933" s="75"/>
      <c r="V933" s="75"/>
    </row>
    <row r="934">
      <c r="F934" s="74"/>
      <c r="H934" s="75"/>
      <c r="I934" s="75"/>
      <c r="J934" s="75"/>
      <c r="K934" s="75"/>
      <c r="L934" s="75"/>
      <c r="M934" s="75"/>
      <c r="N934" s="75"/>
      <c r="O934" s="75"/>
      <c r="P934" s="75"/>
      <c r="Q934" s="75"/>
      <c r="R934" s="75"/>
      <c r="S934" s="75"/>
      <c r="T934" s="75"/>
      <c r="U934" s="75"/>
      <c r="V934" s="75"/>
    </row>
    <row r="935">
      <c r="F935" s="74"/>
      <c r="H935" s="75"/>
      <c r="I935" s="75"/>
      <c r="J935" s="75"/>
      <c r="K935" s="75"/>
      <c r="L935" s="75"/>
      <c r="M935" s="75"/>
      <c r="N935" s="75"/>
      <c r="O935" s="75"/>
      <c r="P935" s="75"/>
      <c r="Q935" s="75"/>
      <c r="R935" s="75"/>
      <c r="S935" s="75"/>
      <c r="T935" s="75"/>
      <c r="U935" s="75"/>
      <c r="V935" s="75"/>
    </row>
    <row r="936">
      <c r="F936" s="74"/>
      <c r="H936" s="75"/>
      <c r="I936" s="75"/>
      <c r="J936" s="75"/>
      <c r="K936" s="75"/>
      <c r="L936" s="75"/>
      <c r="M936" s="75"/>
      <c r="N936" s="75"/>
      <c r="O936" s="75"/>
      <c r="P936" s="75"/>
      <c r="Q936" s="75"/>
      <c r="R936" s="75"/>
      <c r="S936" s="75"/>
      <c r="T936" s="75"/>
      <c r="U936" s="75"/>
      <c r="V936" s="75"/>
    </row>
    <row r="937">
      <c r="F937" s="74"/>
      <c r="H937" s="75"/>
      <c r="I937" s="75"/>
      <c r="J937" s="75"/>
      <c r="K937" s="75"/>
      <c r="L937" s="75"/>
      <c r="M937" s="75"/>
      <c r="N937" s="75"/>
      <c r="O937" s="75"/>
      <c r="P937" s="75"/>
      <c r="Q937" s="75"/>
      <c r="R937" s="75"/>
      <c r="S937" s="75"/>
      <c r="T937" s="75"/>
      <c r="U937" s="75"/>
      <c r="V937" s="75"/>
    </row>
    <row r="938">
      <c r="F938" s="74"/>
      <c r="H938" s="75"/>
      <c r="I938" s="75"/>
      <c r="J938" s="75"/>
      <c r="K938" s="75"/>
      <c r="L938" s="75"/>
      <c r="M938" s="75"/>
      <c r="N938" s="75"/>
      <c r="O938" s="75"/>
      <c r="P938" s="75"/>
      <c r="Q938" s="75"/>
      <c r="R938" s="75"/>
      <c r="S938" s="75"/>
      <c r="T938" s="75"/>
      <c r="U938" s="75"/>
      <c r="V938" s="75"/>
    </row>
    <row r="939">
      <c r="F939" s="74"/>
      <c r="H939" s="75"/>
      <c r="I939" s="75"/>
      <c r="J939" s="75"/>
      <c r="K939" s="75"/>
      <c r="L939" s="75"/>
      <c r="M939" s="75"/>
      <c r="N939" s="75"/>
      <c r="O939" s="75"/>
      <c r="P939" s="75"/>
      <c r="Q939" s="75"/>
      <c r="R939" s="75"/>
      <c r="S939" s="75"/>
      <c r="T939" s="75"/>
      <c r="U939" s="75"/>
      <c r="V939" s="75"/>
    </row>
    <row r="940">
      <c r="F940" s="74"/>
      <c r="H940" s="75"/>
      <c r="I940" s="75"/>
      <c r="J940" s="75"/>
      <c r="K940" s="75"/>
      <c r="L940" s="75"/>
      <c r="M940" s="75"/>
      <c r="N940" s="75"/>
      <c r="O940" s="75"/>
      <c r="P940" s="75"/>
      <c r="Q940" s="75"/>
      <c r="R940" s="75"/>
      <c r="S940" s="75"/>
      <c r="T940" s="75"/>
      <c r="U940" s="75"/>
      <c r="V940" s="75"/>
    </row>
    <row r="941">
      <c r="F941" s="74"/>
      <c r="H941" s="75"/>
      <c r="I941" s="75"/>
      <c r="J941" s="75"/>
      <c r="K941" s="75"/>
      <c r="L941" s="75"/>
      <c r="M941" s="75"/>
      <c r="N941" s="75"/>
      <c r="O941" s="75"/>
      <c r="P941" s="75"/>
      <c r="Q941" s="75"/>
      <c r="R941" s="75"/>
      <c r="S941" s="75"/>
      <c r="T941" s="75"/>
      <c r="U941" s="75"/>
      <c r="V941" s="75"/>
    </row>
    <row r="942">
      <c r="F942" s="74"/>
      <c r="H942" s="75"/>
      <c r="I942" s="75"/>
      <c r="J942" s="75"/>
      <c r="K942" s="75"/>
      <c r="L942" s="75"/>
      <c r="M942" s="75"/>
      <c r="N942" s="75"/>
      <c r="O942" s="75"/>
      <c r="P942" s="75"/>
      <c r="Q942" s="75"/>
      <c r="R942" s="75"/>
      <c r="S942" s="75"/>
      <c r="T942" s="75"/>
      <c r="U942" s="75"/>
      <c r="V942" s="75"/>
    </row>
    <row r="943">
      <c r="F943" s="74"/>
      <c r="H943" s="75"/>
      <c r="I943" s="75"/>
      <c r="J943" s="75"/>
      <c r="K943" s="75"/>
      <c r="L943" s="75"/>
      <c r="M943" s="75"/>
      <c r="N943" s="75"/>
      <c r="O943" s="75"/>
      <c r="P943" s="75"/>
      <c r="Q943" s="75"/>
      <c r="R943" s="75"/>
      <c r="S943" s="75"/>
      <c r="T943" s="75"/>
      <c r="U943" s="75"/>
      <c r="V943" s="75"/>
    </row>
    <row r="944">
      <c r="F944" s="74"/>
      <c r="H944" s="75"/>
      <c r="I944" s="75"/>
      <c r="J944" s="75"/>
      <c r="K944" s="75"/>
      <c r="L944" s="75"/>
      <c r="M944" s="75"/>
      <c r="N944" s="75"/>
      <c r="O944" s="75"/>
      <c r="P944" s="75"/>
      <c r="Q944" s="75"/>
      <c r="R944" s="75"/>
      <c r="S944" s="75"/>
      <c r="T944" s="75"/>
      <c r="U944" s="75"/>
      <c r="V944" s="75"/>
    </row>
    <row r="945">
      <c r="F945" s="74"/>
      <c r="H945" s="75"/>
      <c r="I945" s="75"/>
      <c r="J945" s="75"/>
      <c r="K945" s="75"/>
      <c r="L945" s="75"/>
      <c r="M945" s="75"/>
      <c r="N945" s="75"/>
      <c r="O945" s="75"/>
      <c r="P945" s="75"/>
      <c r="Q945" s="75"/>
      <c r="R945" s="75"/>
      <c r="S945" s="75"/>
      <c r="T945" s="75"/>
      <c r="U945" s="75"/>
      <c r="V945" s="75"/>
    </row>
    <row r="946">
      <c r="F946" s="74"/>
      <c r="H946" s="75"/>
      <c r="I946" s="75"/>
      <c r="J946" s="75"/>
      <c r="K946" s="75"/>
      <c r="L946" s="75"/>
      <c r="M946" s="75"/>
      <c r="N946" s="75"/>
      <c r="O946" s="75"/>
      <c r="P946" s="75"/>
      <c r="Q946" s="75"/>
      <c r="R946" s="75"/>
      <c r="S946" s="75"/>
      <c r="T946" s="75"/>
      <c r="U946" s="75"/>
      <c r="V946" s="75"/>
    </row>
    <row r="947">
      <c r="F947" s="74"/>
      <c r="H947" s="75"/>
      <c r="I947" s="75"/>
      <c r="J947" s="75"/>
      <c r="K947" s="75"/>
      <c r="L947" s="75"/>
      <c r="M947" s="75"/>
      <c r="N947" s="75"/>
      <c r="O947" s="75"/>
      <c r="P947" s="75"/>
      <c r="Q947" s="75"/>
      <c r="R947" s="75"/>
      <c r="S947" s="75"/>
      <c r="T947" s="75"/>
      <c r="U947" s="75"/>
      <c r="V947" s="75"/>
    </row>
    <row r="948">
      <c r="F948" s="74"/>
      <c r="H948" s="75"/>
      <c r="I948" s="75"/>
      <c r="J948" s="75"/>
      <c r="K948" s="75"/>
      <c r="L948" s="75"/>
      <c r="M948" s="75"/>
      <c r="N948" s="75"/>
      <c r="O948" s="75"/>
      <c r="P948" s="75"/>
      <c r="Q948" s="75"/>
      <c r="R948" s="75"/>
      <c r="S948" s="75"/>
      <c r="T948" s="75"/>
      <c r="U948" s="75"/>
      <c r="V948" s="75"/>
    </row>
    <row r="949">
      <c r="F949" s="74"/>
      <c r="H949" s="75"/>
      <c r="I949" s="75"/>
      <c r="J949" s="75"/>
      <c r="K949" s="75"/>
      <c r="L949" s="75"/>
      <c r="M949" s="75"/>
      <c r="N949" s="75"/>
      <c r="O949" s="75"/>
      <c r="P949" s="75"/>
      <c r="Q949" s="75"/>
      <c r="R949" s="75"/>
      <c r="S949" s="75"/>
      <c r="T949" s="75"/>
      <c r="U949" s="75"/>
      <c r="V949" s="75"/>
    </row>
    <row r="950">
      <c r="F950" s="74"/>
      <c r="H950" s="75"/>
      <c r="I950" s="75"/>
      <c r="J950" s="75"/>
      <c r="K950" s="75"/>
      <c r="L950" s="75"/>
      <c r="M950" s="75"/>
      <c r="N950" s="75"/>
      <c r="O950" s="75"/>
      <c r="P950" s="75"/>
      <c r="Q950" s="75"/>
      <c r="R950" s="75"/>
      <c r="S950" s="75"/>
      <c r="T950" s="75"/>
      <c r="U950" s="75"/>
      <c r="V950" s="75"/>
    </row>
    <row r="951">
      <c r="F951" s="74"/>
      <c r="H951" s="75"/>
      <c r="I951" s="75"/>
      <c r="J951" s="75"/>
      <c r="K951" s="75"/>
      <c r="L951" s="75"/>
      <c r="M951" s="75"/>
      <c r="N951" s="75"/>
      <c r="O951" s="75"/>
      <c r="P951" s="75"/>
      <c r="Q951" s="75"/>
      <c r="R951" s="75"/>
      <c r="S951" s="75"/>
      <c r="T951" s="75"/>
      <c r="U951" s="75"/>
      <c r="V951" s="75"/>
    </row>
    <row r="952">
      <c r="F952" s="74"/>
      <c r="H952" s="75"/>
      <c r="I952" s="75"/>
      <c r="J952" s="75"/>
      <c r="K952" s="75"/>
      <c r="L952" s="75"/>
      <c r="M952" s="75"/>
      <c r="N952" s="75"/>
      <c r="O952" s="75"/>
      <c r="P952" s="75"/>
      <c r="Q952" s="75"/>
      <c r="R952" s="75"/>
      <c r="S952" s="75"/>
      <c r="T952" s="75"/>
      <c r="U952" s="75"/>
      <c r="V952" s="75"/>
    </row>
    <row r="953">
      <c r="F953" s="74"/>
      <c r="H953" s="75"/>
      <c r="I953" s="75"/>
      <c r="J953" s="75"/>
      <c r="K953" s="75"/>
      <c r="L953" s="75"/>
      <c r="M953" s="75"/>
      <c r="N953" s="75"/>
      <c r="O953" s="75"/>
      <c r="P953" s="75"/>
      <c r="Q953" s="75"/>
      <c r="R953" s="75"/>
      <c r="S953" s="75"/>
      <c r="T953" s="75"/>
      <c r="U953" s="75"/>
      <c r="V953" s="75"/>
    </row>
    <row r="954">
      <c r="F954" s="74"/>
      <c r="H954" s="75"/>
      <c r="I954" s="75"/>
      <c r="J954" s="75"/>
      <c r="K954" s="75"/>
      <c r="L954" s="75"/>
      <c r="M954" s="75"/>
      <c r="N954" s="75"/>
      <c r="O954" s="75"/>
      <c r="P954" s="75"/>
      <c r="Q954" s="75"/>
      <c r="R954" s="75"/>
      <c r="S954" s="75"/>
      <c r="T954" s="75"/>
      <c r="U954" s="75"/>
      <c r="V954" s="75"/>
    </row>
    <row r="955">
      <c r="F955" s="74"/>
      <c r="H955" s="75"/>
      <c r="I955" s="75"/>
      <c r="J955" s="75"/>
      <c r="K955" s="75"/>
      <c r="L955" s="75"/>
      <c r="M955" s="75"/>
      <c r="N955" s="75"/>
      <c r="O955" s="75"/>
      <c r="P955" s="75"/>
      <c r="Q955" s="75"/>
      <c r="R955" s="75"/>
      <c r="S955" s="75"/>
      <c r="T955" s="75"/>
      <c r="U955" s="75"/>
      <c r="V955" s="75"/>
    </row>
    <row r="956">
      <c r="F956" s="74"/>
      <c r="H956" s="75"/>
      <c r="I956" s="75"/>
      <c r="J956" s="75"/>
      <c r="K956" s="75"/>
      <c r="L956" s="75"/>
      <c r="M956" s="75"/>
      <c r="N956" s="75"/>
      <c r="O956" s="75"/>
      <c r="P956" s="75"/>
      <c r="Q956" s="75"/>
      <c r="R956" s="75"/>
      <c r="S956" s="75"/>
      <c r="T956" s="75"/>
      <c r="U956" s="75"/>
      <c r="V956" s="75"/>
    </row>
    <row r="957">
      <c r="F957" s="74"/>
      <c r="H957" s="75"/>
      <c r="I957" s="75"/>
      <c r="J957" s="75"/>
      <c r="K957" s="75"/>
      <c r="L957" s="75"/>
      <c r="M957" s="75"/>
      <c r="N957" s="75"/>
      <c r="O957" s="75"/>
      <c r="P957" s="75"/>
      <c r="Q957" s="75"/>
      <c r="R957" s="75"/>
      <c r="S957" s="75"/>
      <c r="T957" s="75"/>
      <c r="U957" s="75"/>
      <c r="V957" s="75"/>
    </row>
    <row r="958">
      <c r="F958" s="74"/>
      <c r="H958" s="75"/>
      <c r="I958" s="75"/>
      <c r="J958" s="75"/>
      <c r="K958" s="75"/>
      <c r="L958" s="75"/>
      <c r="M958" s="75"/>
      <c r="N958" s="75"/>
      <c r="O958" s="75"/>
      <c r="P958" s="75"/>
      <c r="Q958" s="75"/>
      <c r="R958" s="75"/>
      <c r="S958" s="75"/>
      <c r="T958" s="75"/>
      <c r="U958" s="75"/>
      <c r="V958" s="75"/>
    </row>
    <row r="959">
      <c r="F959" s="74"/>
      <c r="H959" s="75"/>
      <c r="I959" s="75"/>
      <c r="J959" s="75"/>
      <c r="K959" s="75"/>
      <c r="L959" s="75"/>
      <c r="M959" s="75"/>
      <c r="N959" s="75"/>
      <c r="O959" s="75"/>
      <c r="P959" s="75"/>
      <c r="Q959" s="75"/>
      <c r="R959" s="75"/>
      <c r="S959" s="75"/>
      <c r="T959" s="75"/>
      <c r="U959" s="75"/>
      <c r="V959" s="75"/>
    </row>
    <row r="960">
      <c r="F960" s="74"/>
      <c r="H960" s="75"/>
      <c r="I960" s="75"/>
      <c r="J960" s="75"/>
      <c r="K960" s="75"/>
      <c r="L960" s="75"/>
      <c r="M960" s="75"/>
      <c r="N960" s="75"/>
      <c r="O960" s="75"/>
      <c r="P960" s="75"/>
      <c r="Q960" s="75"/>
      <c r="R960" s="75"/>
      <c r="S960" s="75"/>
      <c r="T960" s="75"/>
      <c r="U960" s="75"/>
      <c r="V960" s="75"/>
    </row>
    <row r="961">
      <c r="F961" s="74"/>
      <c r="H961" s="75"/>
      <c r="I961" s="75"/>
      <c r="J961" s="75"/>
      <c r="K961" s="75"/>
      <c r="L961" s="75"/>
      <c r="M961" s="75"/>
      <c r="N961" s="75"/>
      <c r="O961" s="75"/>
      <c r="P961" s="75"/>
      <c r="Q961" s="75"/>
      <c r="R961" s="75"/>
      <c r="S961" s="75"/>
      <c r="T961" s="75"/>
      <c r="U961" s="75"/>
      <c r="V961" s="75"/>
    </row>
    <row r="962">
      <c r="F962" s="74"/>
      <c r="H962" s="75"/>
      <c r="I962" s="75"/>
      <c r="J962" s="75"/>
      <c r="K962" s="75"/>
      <c r="L962" s="75"/>
      <c r="M962" s="75"/>
      <c r="N962" s="75"/>
      <c r="O962" s="75"/>
      <c r="P962" s="75"/>
      <c r="Q962" s="75"/>
      <c r="R962" s="75"/>
      <c r="S962" s="75"/>
      <c r="T962" s="75"/>
      <c r="U962" s="75"/>
      <c r="V962" s="75"/>
    </row>
    <row r="963">
      <c r="F963" s="74"/>
      <c r="H963" s="75"/>
      <c r="I963" s="75"/>
      <c r="J963" s="75"/>
      <c r="K963" s="75"/>
      <c r="L963" s="75"/>
      <c r="M963" s="75"/>
      <c r="N963" s="75"/>
      <c r="O963" s="75"/>
      <c r="P963" s="75"/>
      <c r="Q963" s="75"/>
      <c r="R963" s="75"/>
      <c r="S963" s="75"/>
      <c r="T963" s="75"/>
      <c r="U963" s="75"/>
      <c r="V963" s="75"/>
    </row>
    <row r="964">
      <c r="F964" s="74"/>
      <c r="H964" s="75"/>
      <c r="I964" s="75"/>
      <c r="J964" s="75"/>
      <c r="K964" s="75"/>
      <c r="L964" s="75"/>
      <c r="M964" s="75"/>
      <c r="N964" s="75"/>
      <c r="O964" s="75"/>
      <c r="P964" s="75"/>
      <c r="Q964" s="75"/>
      <c r="R964" s="75"/>
      <c r="S964" s="75"/>
      <c r="T964" s="75"/>
      <c r="U964" s="75"/>
      <c r="V964" s="75"/>
    </row>
    <row r="965">
      <c r="F965" s="74"/>
      <c r="H965" s="75"/>
      <c r="I965" s="75"/>
      <c r="J965" s="75"/>
      <c r="K965" s="75"/>
      <c r="L965" s="75"/>
      <c r="M965" s="75"/>
      <c r="N965" s="75"/>
      <c r="O965" s="75"/>
      <c r="P965" s="75"/>
      <c r="Q965" s="75"/>
      <c r="R965" s="75"/>
      <c r="S965" s="75"/>
      <c r="T965" s="75"/>
      <c r="U965" s="75"/>
      <c r="V965" s="75"/>
    </row>
    <row r="966">
      <c r="F966" s="74"/>
      <c r="H966" s="75"/>
      <c r="I966" s="75"/>
      <c r="J966" s="75"/>
      <c r="K966" s="75"/>
      <c r="L966" s="75"/>
      <c r="M966" s="75"/>
      <c r="N966" s="75"/>
      <c r="O966" s="75"/>
      <c r="P966" s="75"/>
      <c r="Q966" s="75"/>
      <c r="R966" s="75"/>
      <c r="S966" s="75"/>
      <c r="T966" s="75"/>
      <c r="U966" s="75"/>
      <c r="V966" s="75"/>
    </row>
    <row r="967">
      <c r="F967" s="74"/>
      <c r="H967" s="75"/>
      <c r="I967" s="75"/>
      <c r="J967" s="75"/>
      <c r="K967" s="75"/>
      <c r="L967" s="75"/>
      <c r="M967" s="75"/>
      <c r="N967" s="75"/>
      <c r="O967" s="75"/>
      <c r="P967" s="75"/>
      <c r="Q967" s="75"/>
      <c r="R967" s="75"/>
      <c r="S967" s="75"/>
      <c r="T967" s="75"/>
      <c r="U967" s="75"/>
      <c r="V967" s="75"/>
    </row>
    <row r="968">
      <c r="F968" s="74"/>
      <c r="H968" s="75"/>
      <c r="I968" s="75"/>
      <c r="J968" s="75"/>
      <c r="K968" s="75"/>
      <c r="L968" s="75"/>
      <c r="M968" s="75"/>
      <c r="N968" s="75"/>
      <c r="O968" s="75"/>
      <c r="P968" s="75"/>
      <c r="Q968" s="75"/>
      <c r="R968" s="75"/>
      <c r="S968" s="75"/>
      <c r="T968" s="75"/>
      <c r="U968" s="75"/>
      <c r="V968" s="75"/>
    </row>
    <row r="969">
      <c r="F969" s="74"/>
      <c r="H969" s="75"/>
      <c r="I969" s="75"/>
      <c r="J969" s="75"/>
      <c r="K969" s="75"/>
      <c r="L969" s="75"/>
      <c r="M969" s="75"/>
      <c r="N969" s="75"/>
      <c r="O969" s="75"/>
      <c r="P969" s="75"/>
      <c r="Q969" s="75"/>
      <c r="R969" s="75"/>
      <c r="S969" s="75"/>
      <c r="T969" s="75"/>
      <c r="U969" s="75"/>
      <c r="V969" s="75"/>
    </row>
    <row r="970">
      <c r="F970" s="74"/>
      <c r="H970" s="75"/>
      <c r="I970" s="75"/>
      <c r="J970" s="75"/>
      <c r="K970" s="75"/>
      <c r="L970" s="75"/>
      <c r="M970" s="75"/>
      <c r="N970" s="75"/>
      <c r="O970" s="75"/>
      <c r="P970" s="75"/>
      <c r="Q970" s="75"/>
      <c r="R970" s="75"/>
      <c r="S970" s="75"/>
      <c r="T970" s="75"/>
      <c r="U970" s="75"/>
      <c r="V970" s="75"/>
    </row>
    <row r="971">
      <c r="F971" s="74"/>
      <c r="H971" s="75"/>
      <c r="I971" s="75"/>
      <c r="J971" s="75"/>
      <c r="K971" s="75"/>
      <c r="L971" s="75"/>
      <c r="M971" s="75"/>
      <c r="N971" s="75"/>
      <c r="O971" s="75"/>
      <c r="P971" s="75"/>
      <c r="Q971" s="75"/>
      <c r="R971" s="75"/>
      <c r="S971" s="75"/>
      <c r="T971" s="75"/>
      <c r="U971" s="75"/>
      <c r="V971" s="75"/>
    </row>
    <row r="972">
      <c r="F972" s="74"/>
      <c r="H972" s="75"/>
      <c r="I972" s="75"/>
      <c r="J972" s="75"/>
      <c r="K972" s="75"/>
      <c r="L972" s="75"/>
      <c r="M972" s="75"/>
      <c r="N972" s="75"/>
      <c r="O972" s="75"/>
      <c r="P972" s="75"/>
      <c r="Q972" s="75"/>
      <c r="R972" s="75"/>
      <c r="S972" s="75"/>
      <c r="T972" s="75"/>
      <c r="U972" s="75"/>
      <c r="V972" s="75"/>
    </row>
    <row r="973">
      <c r="F973" s="74"/>
      <c r="H973" s="75"/>
      <c r="I973" s="75"/>
      <c r="J973" s="75"/>
      <c r="K973" s="75"/>
      <c r="L973" s="75"/>
      <c r="M973" s="75"/>
      <c r="N973" s="75"/>
      <c r="O973" s="75"/>
      <c r="P973" s="75"/>
      <c r="Q973" s="75"/>
      <c r="R973" s="75"/>
      <c r="S973" s="75"/>
      <c r="T973" s="75"/>
      <c r="U973" s="75"/>
      <c r="V973" s="75"/>
    </row>
    <row r="974">
      <c r="F974" s="74"/>
      <c r="H974" s="75"/>
      <c r="I974" s="75"/>
      <c r="J974" s="75"/>
      <c r="K974" s="75"/>
      <c r="L974" s="75"/>
      <c r="M974" s="75"/>
      <c r="N974" s="75"/>
      <c r="O974" s="75"/>
      <c r="P974" s="75"/>
      <c r="Q974" s="75"/>
      <c r="R974" s="75"/>
      <c r="S974" s="75"/>
      <c r="T974" s="75"/>
      <c r="U974" s="75"/>
      <c r="V974" s="75"/>
    </row>
    <row r="975">
      <c r="F975" s="74"/>
      <c r="H975" s="75"/>
      <c r="I975" s="75"/>
      <c r="J975" s="75"/>
      <c r="K975" s="75"/>
      <c r="L975" s="75"/>
      <c r="M975" s="75"/>
      <c r="N975" s="75"/>
      <c r="O975" s="75"/>
      <c r="P975" s="75"/>
      <c r="Q975" s="75"/>
      <c r="R975" s="75"/>
      <c r="S975" s="75"/>
      <c r="T975" s="75"/>
      <c r="U975" s="75"/>
      <c r="V975" s="75"/>
    </row>
    <row r="976">
      <c r="F976" s="74"/>
      <c r="H976" s="75"/>
      <c r="I976" s="75"/>
      <c r="J976" s="75"/>
      <c r="K976" s="75"/>
      <c r="L976" s="75"/>
      <c r="M976" s="75"/>
      <c r="N976" s="75"/>
      <c r="O976" s="75"/>
      <c r="P976" s="75"/>
      <c r="Q976" s="75"/>
      <c r="R976" s="75"/>
      <c r="S976" s="75"/>
      <c r="T976" s="75"/>
      <c r="U976" s="75"/>
      <c r="V976" s="75"/>
    </row>
    <row r="977">
      <c r="F977" s="74"/>
      <c r="H977" s="75"/>
      <c r="I977" s="75"/>
      <c r="J977" s="75"/>
      <c r="K977" s="75"/>
      <c r="L977" s="75"/>
      <c r="M977" s="75"/>
      <c r="N977" s="75"/>
      <c r="O977" s="75"/>
      <c r="P977" s="75"/>
      <c r="Q977" s="75"/>
      <c r="R977" s="75"/>
      <c r="S977" s="75"/>
      <c r="T977" s="75"/>
      <c r="U977" s="75"/>
      <c r="V977" s="75"/>
    </row>
    <row r="978">
      <c r="F978" s="74"/>
      <c r="H978" s="75"/>
      <c r="I978" s="75"/>
      <c r="J978" s="75"/>
      <c r="K978" s="75"/>
      <c r="L978" s="75"/>
      <c r="M978" s="75"/>
      <c r="N978" s="75"/>
      <c r="O978" s="75"/>
      <c r="P978" s="75"/>
      <c r="Q978" s="75"/>
      <c r="R978" s="75"/>
      <c r="S978" s="75"/>
      <c r="T978" s="75"/>
      <c r="U978" s="75"/>
      <c r="V978" s="75"/>
    </row>
    <row r="979">
      <c r="F979" s="74"/>
      <c r="H979" s="75"/>
      <c r="I979" s="75"/>
      <c r="J979" s="75"/>
      <c r="K979" s="75"/>
      <c r="L979" s="75"/>
      <c r="M979" s="75"/>
      <c r="N979" s="75"/>
      <c r="O979" s="75"/>
      <c r="P979" s="75"/>
      <c r="Q979" s="75"/>
      <c r="R979" s="75"/>
      <c r="S979" s="75"/>
      <c r="T979" s="75"/>
      <c r="U979" s="75"/>
      <c r="V979" s="75"/>
    </row>
    <row r="980">
      <c r="F980" s="74"/>
      <c r="H980" s="75"/>
      <c r="I980" s="75"/>
      <c r="J980" s="75"/>
      <c r="K980" s="75"/>
      <c r="L980" s="75"/>
      <c r="M980" s="75"/>
      <c r="N980" s="75"/>
      <c r="O980" s="75"/>
      <c r="P980" s="75"/>
      <c r="Q980" s="75"/>
      <c r="R980" s="75"/>
      <c r="S980" s="75"/>
      <c r="T980" s="75"/>
      <c r="U980" s="75"/>
      <c r="V980" s="75"/>
    </row>
    <row r="981">
      <c r="F981" s="74"/>
      <c r="H981" s="75"/>
      <c r="I981" s="75"/>
      <c r="J981" s="75"/>
      <c r="K981" s="75"/>
      <c r="L981" s="75"/>
      <c r="M981" s="75"/>
      <c r="N981" s="75"/>
      <c r="O981" s="75"/>
      <c r="P981" s="75"/>
      <c r="Q981" s="75"/>
      <c r="R981" s="75"/>
      <c r="S981" s="75"/>
      <c r="T981" s="75"/>
      <c r="U981" s="75"/>
      <c r="V981" s="75"/>
    </row>
    <row r="982">
      <c r="F982" s="74"/>
      <c r="H982" s="75"/>
      <c r="I982" s="75"/>
      <c r="J982" s="75"/>
      <c r="K982" s="75"/>
      <c r="L982" s="75"/>
      <c r="M982" s="75"/>
      <c r="N982" s="75"/>
      <c r="O982" s="75"/>
      <c r="P982" s="75"/>
      <c r="Q982" s="75"/>
      <c r="R982" s="75"/>
      <c r="S982" s="75"/>
      <c r="T982" s="75"/>
      <c r="U982" s="75"/>
      <c r="V982" s="75"/>
    </row>
    <row r="983">
      <c r="F983" s="74"/>
      <c r="H983" s="75"/>
      <c r="I983" s="75"/>
      <c r="J983" s="75"/>
      <c r="K983" s="75"/>
      <c r="L983" s="75"/>
      <c r="M983" s="75"/>
      <c r="N983" s="75"/>
      <c r="O983" s="75"/>
      <c r="P983" s="75"/>
      <c r="Q983" s="75"/>
      <c r="R983" s="75"/>
      <c r="S983" s="75"/>
      <c r="T983" s="75"/>
      <c r="U983" s="75"/>
      <c r="V983" s="75"/>
    </row>
    <row r="984">
      <c r="F984" s="74"/>
      <c r="H984" s="75"/>
      <c r="I984" s="75"/>
      <c r="J984" s="75"/>
      <c r="K984" s="75"/>
      <c r="L984" s="75"/>
      <c r="M984" s="75"/>
      <c r="N984" s="75"/>
      <c r="O984" s="75"/>
      <c r="P984" s="75"/>
      <c r="Q984" s="75"/>
      <c r="R984" s="75"/>
      <c r="S984" s="75"/>
      <c r="T984" s="75"/>
      <c r="U984" s="75"/>
      <c r="V984" s="75"/>
    </row>
    <row r="985">
      <c r="F985" s="74"/>
      <c r="H985" s="75"/>
      <c r="I985" s="75"/>
      <c r="J985" s="75"/>
      <c r="K985" s="75"/>
      <c r="L985" s="75"/>
      <c r="M985" s="75"/>
      <c r="N985" s="75"/>
      <c r="O985" s="75"/>
      <c r="P985" s="75"/>
      <c r="Q985" s="75"/>
      <c r="R985" s="75"/>
      <c r="S985" s="75"/>
      <c r="T985" s="75"/>
      <c r="U985" s="75"/>
      <c r="V985" s="75"/>
    </row>
    <row r="986">
      <c r="F986" s="74"/>
      <c r="H986" s="75"/>
      <c r="I986" s="75"/>
      <c r="J986" s="75"/>
      <c r="K986" s="75"/>
      <c r="L986" s="75"/>
      <c r="M986" s="75"/>
      <c r="N986" s="75"/>
      <c r="O986" s="75"/>
      <c r="P986" s="75"/>
      <c r="Q986" s="75"/>
      <c r="R986" s="75"/>
      <c r="S986" s="75"/>
      <c r="T986" s="75"/>
      <c r="U986" s="75"/>
      <c r="V986" s="75"/>
    </row>
    <row r="987">
      <c r="F987" s="74"/>
      <c r="H987" s="75"/>
      <c r="I987" s="75"/>
      <c r="J987" s="75"/>
      <c r="K987" s="75"/>
      <c r="L987" s="75"/>
      <c r="M987" s="75"/>
      <c r="N987" s="75"/>
      <c r="O987" s="75"/>
      <c r="P987" s="75"/>
      <c r="Q987" s="75"/>
      <c r="R987" s="75"/>
      <c r="S987" s="75"/>
      <c r="T987" s="75"/>
      <c r="U987" s="75"/>
      <c r="V987" s="75"/>
    </row>
    <row r="988">
      <c r="F988" s="74"/>
      <c r="H988" s="75"/>
      <c r="I988" s="75"/>
      <c r="J988" s="75"/>
      <c r="K988" s="75"/>
      <c r="L988" s="75"/>
      <c r="M988" s="75"/>
      <c r="N988" s="75"/>
      <c r="O988" s="75"/>
      <c r="P988" s="75"/>
      <c r="Q988" s="75"/>
      <c r="R988" s="75"/>
      <c r="S988" s="75"/>
      <c r="T988" s="75"/>
      <c r="U988" s="75"/>
      <c r="V988" s="75"/>
    </row>
    <row r="989">
      <c r="F989" s="74"/>
      <c r="H989" s="75"/>
      <c r="I989" s="75"/>
      <c r="J989" s="75"/>
      <c r="K989" s="75"/>
      <c r="L989" s="75"/>
      <c r="M989" s="75"/>
      <c r="N989" s="75"/>
      <c r="O989" s="75"/>
      <c r="P989" s="75"/>
      <c r="Q989" s="75"/>
      <c r="R989" s="75"/>
      <c r="S989" s="75"/>
      <c r="T989" s="75"/>
      <c r="U989" s="75"/>
      <c r="V989" s="75"/>
    </row>
    <row r="990">
      <c r="F990" s="74"/>
      <c r="H990" s="75"/>
      <c r="I990" s="75"/>
      <c r="J990" s="75"/>
      <c r="K990" s="75"/>
      <c r="L990" s="75"/>
      <c r="M990" s="75"/>
      <c r="N990" s="75"/>
      <c r="O990" s="75"/>
      <c r="P990" s="75"/>
      <c r="Q990" s="75"/>
      <c r="R990" s="75"/>
      <c r="S990" s="75"/>
      <c r="T990" s="75"/>
      <c r="U990" s="75"/>
      <c r="V990" s="75"/>
    </row>
    <row r="991">
      <c r="F991" s="74"/>
      <c r="H991" s="75"/>
      <c r="I991" s="75"/>
      <c r="J991" s="75"/>
      <c r="K991" s="75"/>
      <c r="L991" s="75"/>
      <c r="M991" s="75"/>
      <c r="N991" s="75"/>
      <c r="O991" s="75"/>
      <c r="P991" s="75"/>
      <c r="Q991" s="75"/>
      <c r="R991" s="75"/>
      <c r="S991" s="75"/>
      <c r="T991" s="75"/>
      <c r="U991" s="75"/>
      <c r="V991" s="75"/>
    </row>
    <row r="992">
      <c r="F992" s="74"/>
      <c r="H992" s="75"/>
      <c r="I992" s="75"/>
      <c r="J992" s="75"/>
      <c r="K992" s="75"/>
      <c r="L992" s="75"/>
      <c r="M992" s="75"/>
      <c r="N992" s="75"/>
      <c r="O992" s="75"/>
      <c r="P992" s="75"/>
      <c r="Q992" s="75"/>
      <c r="R992" s="75"/>
      <c r="S992" s="75"/>
      <c r="T992" s="75"/>
      <c r="U992" s="75"/>
      <c r="V992" s="75"/>
    </row>
    <row r="993">
      <c r="F993" s="74"/>
      <c r="H993" s="75"/>
      <c r="I993" s="75"/>
      <c r="J993" s="75"/>
      <c r="K993" s="75"/>
      <c r="L993" s="75"/>
      <c r="M993" s="75"/>
      <c r="N993" s="75"/>
      <c r="O993" s="75"/>
      <c r="P993" s="75"/>
      <c r="Q993" s="75"/>
      <c r="R993" s="75"/>
      <c r="S993" s="75"/>
      <c r="T993" s="75"/>
      <c r="U993" s="75"/>
      <c r="V993" s="75"/>
    </row>
    <row r="994">
      <c r="F994" s="74"/>
      <c r="H994" s="75"/>
      <c r="I994" s="75"/>
      <c r="J994" s="75"/>
      <c r="K994" s="75"/>
      <c r="L994" s="75"/>
      <c r="M994" s="75"/>
      <c r="N994" s="75"/>
      <c r="O994" s="75"/>
      <c r="P994" s="75"/>
      <c r="Q994" s="75"/>
      <c r="R994" s="75"/>
      <c r="S994" s="75"/>
      <c r="T994" s="75"/>
      <c r="U994" s="75"/>
      <c r="V994" s="75"/>
    </row>
    <row r="995">
      <c r="F995" s="74"/>
      <c r="H995" s="75"/>
      <c r="I995" s="75"/>
      <c r="J995" s="75"/>
      <c r="K995" s="75"/>
      <c r="L995" s="75"/>
      <c r="M995" s="75"/>
      <c r="N995" s="75"/>
      <c r="O995" s="75"/>
      <c r="P995" s="75"/>
      <c r="Q995" s="75"/>
      <c r="R995" s="75"/>
      <c r="S995" s="75"/>
      <c r="T995" s="75"/>
      <c r="U995" s="75"/>
      <c r="V995" s="75"/>
    </row>
    <row r="996">
      <c r="F996" s="74"/>
      <c r="H996" s="75"/>
      <c r="I996" s="75"/>
      <c r="J996" s="75"/>
      <c r="K996" s="75"/>
      <c r="L996" s="75"/>
      <c r="M996" s="75"/>
      <c r="N996" s="75"/>
      <c r="O996" s="75"/>
      <c r="P996" s="75"/>
      <c r="Q996" s="75"/>
      <c r="R996" s="75"/>
      <c r="S996" s="75"/>
      <c r="T996" s="75"/>
      <c r="U996" s="75"/>
      <c r="V996" s="75"/>
    </row>
    <row r="997">
      <c r="F997" s="74"/>
      <c r="H997" s="75"/>
      <c r="I997" s="75"/>
      <c r="J997" s="75"/>
      <c r="K997" s="75"/>
      <c r="L997" s="75"/>
      <c r="M997" s="75"/>
      <c r="N997" s="75"/>
      <c r="O997" s="75"/>
      <c r="P997" s="75"/>
      <c r="Q997" s="75"/>
      <c r="R997" s="75"/>
      <c r="S997" s="75"/>
      <c r="T997" s="75"/>
      <c r="U997" s="75"/>
      <c r="V997" s="75"/>
    </row>
    <row r="998">
      <c r="F998" s="74"/>
      <c r="H998" s="75"/>
      <c r="I998" s="75"/>
      <c r="J998" s="75"/>
      <c r="K998" s="75"/>
      <c r="L998" s="75"/>
      <c r="M998" s="75"/>
      <c r="N998" s="75"/>
      <c r="O998" s="75"/>
      <c r="P998" s="75"/>
      <c r="Q998" s="75"/>
      <c r="R998" s="75"/>
      <c r="S998" s="75"/>
      <c r="T998" s="75"/>
      <c r="U998" s="75"/>
      <c r="V998" s="75"/>
    </row>
    <row r="999">
      <c r="F999" s="74"/>
      <c r="H999" s="75"/>
      <c r="I999" s="75"/>
      <c r="J999" s="75"/>
      <c r="K999" s="75"/>
      <c r="L999" s="75"/>
      <c r="M999" s="75"/>
      <c r="N999" s="75"/>
      <c r="O999" s="75"/>
      <c r="P999" s="75"/>
      <c r="Q999" s="75"/>
      <c r="R999" s="75"/>
      <c r="S999" s="75"/>
      <c r="T999" s="75"/>
      <c r="U999" s="75"/>
      <c r="V999" s="75"/>
    </row>
    <row r="1000">
      <c r="F1000" s="74"/>
      <c r="H1000" s="75"/>
      <c r="I1000" s="75"/>
      <c r="J1000" s="75"/>
      <c r="K1000" s="75"/>
      <c r="L1000" s="75"/>
      <c r="M1000" s="75"/>
      <c r="N1000" s="75"/>
      <c r="O1000" s="75"/>
      <c r="P1000" s="75"/>
      <c r="Q1000" s="75"/>
      <c r="R1000" s="75"/>
      <c r="S1000" s="75"/>
      <c r="T1000" s="75"/>
      <c r="U1000" s="75"/>
      <c r="V1000" s="75"/>
    </row>
  </sheetData>
  <mergeCells count="10">
    <mergeCell ref="H1:L1"/>
    <mergeCell ref="M1:Q1"/>
    <mergeCell ref="R1:V1"/>
    <mergeCell ref="A1:A2"/>
    <mergeCell ref="B1:B2"/>
    <mergeCell ref="C1:C2"/>
    <mergeCell ref="D1:D2"/>
    <mergeCell ref="E1:E2"/>
    <mergeCell ref="F1:F2"/>
    <mergeCell ref="G1:G2"/>
  </mergeCells>
  <conditionalFormatting sqref="G3:G1000">
    <cfRule type="expression" dxfId="1" priority="1">
      <formula>COUNTA(H3:V3)/3 &gt; 1</formula>
    </cfRule>
  </conditionalFormatting>
  <conditionalFormatting sqref="H1:V1000">
    <cfRule type="containsBlanks" dxfId="0" priority="2">
      <formula>LEN(TRIM(H1))=0</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22.5"/>
    <col customWidth="1" min="2" max="2" width="50.13"/>
    <col customWidth="1" min="3" max="3" width="4.25"/>
    <col customWidth="1" min="4" max="4" width="7.75"/>
    <col customWidth="1" min="5" max="5" width="6.25"/>
    <col customWidth="1" min="6" max="6" width="6.63"/>
    <col customWidth="1" min="7" max="7" width="5.0"/>
    <col customWidth="1" min="8" max="8" width="5.63"/>
    <col customWidth="1" min="9" max="9" width="7.38"/>
    <col customWidth="1" min="10" max="10" width="6.25"/>
    <col customWidth="1" min="11" max="11" width="6.63"/>
    <col customWidth="1" min="12" max="12" width="5.0"/>
    <col customWidth="1" min="13" max="13" width="5.63"/>
    <col customWidth="1" min="14" max="14" width="8.25"/>
    <col customWidth="1" min="15" max="15" width="6.25"/>
    <col customWidth="1" min="16" max="16" width="6.63"/>
    <col customWidth="1" min="17" max="17" width="5.0"/>
    <col customWidth="1" min="18" max="18" width="5.63"/>
  </cols>
  <sheetData>
    <row r="1">
      <c r="A1" s="76" t="s">
        <v>435</v>
      </c>
      <c r="B1" s="77" t="s">
        <v>670</v>
      </c>
      <c r="C1" s="78" t="s">
        <v>671</v>
      </c>
      <c r="D1" s="79" t="s">
        <v>672</v>
      </c>
      <c r="E1" s="80"/>
      <c r="F1" s="80"/>
      <c r="G1" s="80"/>
      <c r="H1" s="81"/>
      <c r="I1" s="79" t="s">
        <v>673</v>
      </c>
      <c r="J1" s="80"/>
      <c r="K1" s="80"/>
      <c r="L1" s="80"/>
      <c r="M1" s="81"/>
      <c r="N1" s="82" t="s">
        <v>674</v>
      </c>
      <c r="O1" s="80"/>
      <c r="P1" s="80"/>
      <c r="Q1" s="80"/>
      <c r="R1" s="81"/>
      <c r="S1" s="83"/>
      <c r="T1" s="83"/>
      <c r="U1" s="83"/>
      <c r="V1" s="83"/>
      <c r="W1" s="83"/>
      <c r="X1" s="83"/>
      <c r="Y1" s="83"/>
      <c r="Z1" s="83"/>
    </row>
    <row r="2">
      <c r="A2" s="52"/>
      <c r="B2" s="84"/>
      <c r="C2" s="85"/>
      <c r="D2" s="86" t="s">
        <v>9</v>
      </c>
      <c r="E2" s="11" t="s">
        <v>10</v>
      </c>
      <c r="F2" s="12" t="s">
        <v>11</v>
      </c>
      <c r="G2" s="13" t="s">
        <v>12</v>
      </c>
      <c r="H2" s="87" t="s">
        <v>13</v>
      </c>
      <c r="I2" s="88" t="s">
        <v>9</v>
      </c>
      <c r="J2" s="89" t="s">
        <v>10</v>
      </c>
      <c r="K2" s="90" t="s">
        <v>11</v>
      </c>
      <c r="L2" s="91" t="s">
        <v>12</v>
      </c>
      <c r="M2" s="92" t="s">
        <v>13</v>
      </c>
      <c r="N2" s="88" t="s">
        <v>9</v>
      </c>
      <c r="O2" s="89" t="s">
        <v>10</v>
      </c>
      <c r="P2" s="90" t="s">
        <v>11</v>
      </c>
      <c r="Q2" s="91" t="s">
        <v>12</v>
      </c>
      <c r="R2" s="92" t="s">
        <v>13</v>
      </c>
      <c r="S2" s="83"/>
      <c r="T2" s="83"/>
      <c r="U2" s="83"/>
      <c r="V2" s="83"/>
      <c r="W2" s="83"/>
      <c r="X2" s="83"/>
      <c r="Y2" s="83"/>
      <c r="Z2" s="83"/>
    </row>
    <row r="3">
      <c r="A3" s="93" t="s">
        <v>675</v>
      </c>
      <c r="B3" s="93" t="s">
        <v>676</v>
      </c>
      <c r="C3" s="94">
        <f t="shared" ref="C3:C139" si="1">SUM(
IFERROR(SUM(D3:R3)/(COUNTA(D3:R3)/3),0),
)</f>
        <v>5.666666667</v>
      </c>
      <c r="D3" s="95"/>
      <c r="E3" s="96">
        <v>2.0</v>
      </c>
      <c r="F3" s="97">
        <v>2.0</v>
      </c>
      <c r="G3" s="98"/>
      <c r="H3" s="99">
        <v>2.0</v>
      </c>
      <c r="I3" s="95"/>
      <c r="J3" s="100">
        <v>0.0</v>
      </c>
      <c r="K3" s="97">
        <v>-1.0</v>
      </c>
      <c r="L3" s="98"/>
      <c r="M3" s="99">
        <v>0.0</v>
      </c>
      <c r="N3" s="95"/>
      <c r="O3" s="100">
        <v>3.0</v>
      </c>
      <c r="P3" s="97">
        <v>4.0</v>
      </c>
      <c r="Q3" s="98"/>
      <c r="R3" s="99">
        <v>5.0</v>
      </c>
      <c r="S3" s="83"/>
      <c r="T3" s="83"/>
      <c r="U3" s="83"/>
      <c r="V3" s="83"/>
      <c r="W3" s="83"/>
      <c r="X3" s="83"/>
      <c r="Y3" s="83"/>
      <c r="Z3" s="83"/>
    </row>
    <row r="4">
      <c r="A4" s="93" t="s">
        <v>677</v>
      </c>
      <c r="B4" s="101" t="s">
        <v>678</v>
      </c>
      <c r="C4" s="94">
        <f t="shared" si="1"/>
        <v>1.333333333</v>
      </c>
      <c r="D4" s="95"/>
      <c r="E4" s="96">
        <v>2.0</v>
      </c>
      <c r="F4" s="97">
        <v>2.0</v>
      </c>
      <c r="G4" s="98"/>
      <c r="H4" s="99">
        <v>2.0</v>
      </c>
      <c r="I4" s="95"/>
      <c r="J4" s="100">
        <v>-2.0</v>
      </c>
      <c r="K4" s="97">
        <v>-2.0</v>
      </c>
      <c r="L4" s="98"/>
      <c r="M4" s="99">
        <v>-2.0</v>
      </c>
      <c r="N4" s="95"/>
      <c r="O4" s="100">
        <v>1.0</v>
      </c>
      <c r="P4" s="97">
        <v>2.0</v>
      </c>
      <c r="Q4" s="98"/>
      <c r="R4" s="99">
        <v>1.0</v>
      </c>
      <c r="S4" s="83"/>
      <c r="T4" s="83"/>
      <c r="U4" s="83"/>
      <c r="V4" s="83"/>
      <c r="W4" s="83"/>
      <c r="X4" s="83"/>
      <c r="Y4" s="83"/>
      <c r="Z4" s="83"/>
    </row>
    <row r="5">
      <c r="A5" s="102" t="s">
        <v>679</v>
      </c>
      <c r="B5" s="103" t="s">
        <v>680</v>
      </c>
      <c r="C5" s="94">
        <f t="shared" si="1"/>
        <v>1.333333333</v>
      </c>
      <c r="D5" s="95"/>
      <c r="E5" s="96">
        <v>4.0</v>
      </c>
      <c r="F5" s="97">
        <v>4.0</v>
      </c>
      <c r="G5" s="98"/>
      <c r="H5" s="99">
        <v>4.0</v>
      </c>
      <c r="I5" s="95"/>
      <c r="J5" s="100">
        <v>-6.0</v>
      </c>
      <c r="K5" s="97">
        <v>-5.0</v>
      </c>
      <c r="L5" s="98"/>
      <c r="M5" s="99">
        <v>-5.0</v>
      </c>
      <c r="N5" s="95"/>
      <c r="O5" s="100">
        <v>2.0</v>
      </c>
      <c r="P5" s="97">
        <v>2.0</v>
      </c>
      <c r="Q5" s="98"/>
      <c r="R5" s="99">
        <v>4.0</v>
      </c>
      <c r="S5" s="83"/>
      <c r="T5" s="83"/>
      <c r="U5" s="83"/>
      <c r="V5" s="83"/>
      <c r="W5" s="83"/>
      <c r="X5" s="83"/>
      <c r="Y5" s="83"/>
      <c r="Z5" s="83"/>
    </row>
    <row r="6">
      <c r="A6" s="102" t="s">
        <v>681</v>
      </c>
      <c r="B6" s="101" t="s">
        <v>682</v>
      </c>
      <c r="C6" s="94">
        <f t="shared" si="1"/>
        <v>2</v>
      </c>
      <c r="D6" s="95"/>
      <c r="E6" s="96">
        <v>2.0</v>
      </c>
      <c r="F6" s="97">
        <v>2.0</v>
      </c>
      <c r="G6" s="98"/>
      <c r="H6" s="99">
        <v>2.0</v>
      </c>
      <c r="I6" s="95"/>
      <c r="J6" s="100">
        <v>-2.0</v>
      </c>
      <c r="K6" s="97">
        <v>-3.0</v>
      </c>
      <c r="L6" s="98"/>
      <c r="M6" s="99">
        <v>-3.0</v>
      </c>
      <c r="N6" s="95"/>
      <c r="O6" s="100">
        <v>4.0</v>
      </c>
      <c r="P6" s="97">
        <v>2.0</v>
      </c>
      <c r="Q6" s="98"/>
      <c r="R6" s="99">
        <v>2.0</v>
      </c>
      <c r="S6" s="83"/>
      <c r="T6" s="83"/>
      <c r="U6" s="83"/>
      <c r="V6" s="83"/>
      <c r="W6" s="83"/>
      <c r="X6" s="83"/>
      <c r="Y6" s="83"/>
      <c r="Z6" s="83"/>
    </row>
    <row r="7">
      <c r="A7" s="93" t="s">
        <v>683</v>
      </c>
      <c r="B7" s="93" t="s">
        <v>684</v>
      </c>
      <c r="C7" s="94">
        <f t="shared" si="1"/>
        <v>6.666666667</v>
      </c>
      <c r="D7" s="95"/>
      <c r="E7" s="96">
        <v>2.0</v>
      </c>
      <c r="F7" s="97">
        <v>2.0</v>
      </c>
      <c r="G7" s="98"/>
      <c r="H7" s="99">
        <v>2.0</v>
      </c>
      <c r="I7" s="95"/>
      <c r="J7" s="100">
        <v>0.0</v>
      </c>
      <c r="K7" s="97">
        <v>0.0</v>
      </c>
      <c r="L7" s="98"/>
      <c r="M7" s="99">
        <v>-1.0</v>
      </c>
      <c r="N7" s="95"/>
      <c r="O7" s="100">
        <v>5.0</v>
      </c>
      <c r="P7" s="97">
        <v>5.0</v>
      </c>
      <c r="Q7" s="98"/>
      <c r="R7" s="99">
        <v>5.0</v>
      </c>
      <c r="S7" s="83"/>
      <c r="T7" s="83"/>
      <c r="U7" s="83"/>
      <c r="V7" s="83"/>
      <c r="W7" s="83"/>
      <c r="X7" s="83"/>
      <c r="Y7" s="83"/>
      <c r="Z7" s="83"/>
    </row>
    <row r="8">
      <c r="A8" s="93" t="s">
        <v>685</v>
      </c>
      <c r="B8" s="93" t="s">
        <v>686</v>
      </c>
      <c r="C8" s="94">
        <f t="shared" si="1"/>
        <v>6.333333333</v>
      </c>
      <c r="D8" s="95"/>
      <c r="E8" s="96">
        <v>4.0</v>
      </c>
      <c r="F8" s="97">
        <v>4.0</v>
      </c>
      <c r="G8" s="98"/>
      <c r="H8" s="99">
        <v>4.0</v>
      </c>
      <c r="I8" s="95"/>
      <c r="J8" s="100">
        <v>-1.0</v>
      </c>
      <c r="K8" s="97">
        <v>-1.0</v>
      </c>
      <c r="L8" s="98"/>
      <c r="M8" s="99">
        <v>-1.0</v>
      </c>
      <c r="N8" s="95"/>
      <c r="O8" s="100">
        <v>3.0</v>
      </c>
      <c r="P8" s="97">
        <v>3.0</v>
      </c>
      <c r="Q8" s="98"/>
      <c r="R8" s="99">
        <v>4.0</v>
      </c>
      <c r="S8" s="83"/>
      <c r="T8" s="83"/>
      <c r="U8" s="83"/>
      <c r="V8" s="83"/>
      <c r="W8" s="83"/>
      <c r="X8" s="83"/>
      <c r="Y8" s="83"/>
      <c r="Z8" s="83"/>
    </row>
    <row r="9">
      <c r="A9" s="93" t="s">
        <v>687</v>
      </c>
      <c r="B9" s="93" t="s">
        <v>688</v>
      </c>
      <c r="C9" s="94">
        <f t="shared" si="1"/>
        <v>0.3333333333</v>
      </c>
      <c r="D9" s="95"/>
      <c r="E9" s="96">
        <v>3.0</v>
      </c>
      <c r="F9" s="97">
        <v>3.0</v>
      </c>
      <c r="G9" s="98"/>
      <c r="H9" s="99">
        <v>3.0</v>
      </c>
      <c r="I9" s="95"/>
      <c r="J9" s="100">
        <v>-6.0</v>
      </c>
      <c r="K9" s="97">
        <v>-5.0</v>
      </c>
      <c r="L9" s="98"/>
      <c r="M9" s="99">
        <v>-6.0</v>
      </c>
      <c r="N9" s="95"/>
      <c r="O9" s="100">
        <v>3.0</v>
      </c>
      <c r="P9" s="97">
        <v>3.0</v>
      </c>
      <c r="Q9" s="98"/>
      <c r="R9" s="99">
        <v>3.0</v>
      </c>
      <c r="S9" s="83"/>
      <c r="T9" s="83"/>
      <c r="U9" s="83"/>
      <c r="V9" s="83"/>
      <c r="W9" s="83"/>
      <c r="X9" s="83"/>
      <c r="Y9" s="83"/>
      <c r="Z9" s="83"/>
    </row>
    <row r="10">
      <c r="A10" s="93" t="s">
        <v>689</v>
      </c>
      <c r="B10" s="93" t="s">
        <v>690</v>
      </c>
      <c r="C10" s="94">
        <f t="shared" si="1"/>
        <v>0</v>
      </c>
      <c r="D10" s="95"/>
      <c r="E10" s="96">
        <v>4.0</v>
      </c>
      <c r="F10" s="97">
        <v>4.0</v>
      </c>
      <c r="G10" s="98"/>
      <c r="H10" s="99">
        <v>4.0</v>
      </c>
      <c r="I10" s="95"/>
      <c r="J10" s="100">
        <v>-7.0</v>
      </c>
      <c r="K10" s="97">
        <v>-6.0</v>
      </c>
      <c r="L10" s="98"/>
      <c r="M10" s="99">
        <v>-6.0</v>
      </c>
      <c r="N10" s="95"/>
      <c r="O10" s="100">
        <v>2.0</v>
      </c>
      <c r="P10" s="97">
        <v>2.0</v>
      </c>
      <c r="Q10" s="98"/>
      <c r="R10" s="99">
        <v>3.0</v>
      </c>
      <c r="S10" s="83"/>
      <c r="T10" s="83"/>
      <c r="U10" s="83"/>
      <c r="V10" s="83"/>
      <c r="W10" s="83"/>
      <c r="X10" s="83"/>
      <c r="Y10" s="83"/>
      <c r="Z10" s="83"/>
    </row>
    <row r="11">
      <c r="A11" s="93" t="s">
        <v>691</v>
      </c>
      <c r="B11" s="93" t="s">
        <v>692</v>
      </c>
      <c r="C11" s="94">
        <f t="shared" si="1"/>
        <v>5.5</v>
      </c>
      <c r="D11" s="95"/>
      <c r="E11" s="96">
        <v>2.0</v>
      </c>
      <c r="F11" s="97">
        <v>2.0</v>
      </c>
      <c r="G11" s="98"/>
      <c r="H11" s="104"/>
      <c r="I11" s="95"/>
      <c r="J11" s="100">
        <v>0.0</v>
      </c>
      <c r="K11" s="97">
        <v>0.0</v>
      </c>
      <c r="L11" s="98"/>
      <c r="M11" s="104"/>
      <c r="N11" s="95"/>
      <c r="O11" s="100">
        <v>3.0</v>
      </c>
      <c r="P11" s="97">
        <v>4.0</v>
      </c>
      <c r="Q11" s="98"/>
      <c r="R11" s="104"/>
      <c r="S11" s="83"/>
      <c r="T11" s="83"/>
      <c r="U11" s="83"/>
      <c r="V11" s="83"/>
      <c r="W11" s="83"/>
      <c r="X11" s="83"/>
      <c r="Y11" s="83"/>
      <c r="Z11" s="83"/>
    </row>
    <row r="12">
      <c r="A12" s="93" t="s">
        <v>693</v>
      </c>
      <c r="B12" s="93" t="s">
        <v>694</v>
      </c>
      <c r="C12" s="94">
        <f t="shared" si="1"/>
        <v>4</v>
      </c>
      <c r="D12" s="95"/>
      <c r="E12" s="96">
        <v>2.0</v>
      </c>
      <c r="F12" s="97">
        <v>2.0</v>
      </c>
      <c r="G12" s="98"/>
      <c r="H12" s="104"/>
      <c r="I12" s="95"/>
      <c r="J12" s="100">
        <v>0.0</v>
      </c>
      <c r="K12" s="97">
        <v>0.0</v>
      </c>
      <c r="L12" s="98"/>
      <c r="M12" s="104"/>
      <c r="N12" s="95"/>
      <c r="O12" s="100">
        <v>2.0</v>
      </c>
      <c r="P12" s="97">
        <v>2.0</v>
      </c>
      <c r="Q12" s="98"/>
      <c r="R12" s="104"/>
      <c r="S12" s="83"/>
      <c r="T12" s="83"/>
      <c r="U12" s="83"/>
      <c r="V12" s="83"/>
      <c r="W12" s="83"/>
      <c r="X12" s="83"/>
      <c r="Y12" s="83"/>
      <c r="Z12" s="83"/>
    </row>
    <row r="13">
      <c r="A13" s="93" t="s">
        <v>695</v>
      </c>
      <c r="B13" s="93" t="s">
        <v>696</v>
      </c>
      <c r="C13" s="94">
        <f t="shared" si="1"/>
        <v>7</v>
      </c>
      <c r="D13" s="95"/>
      <c r="E13" s="96">
        <v>5.0</v>
      </c>
      <c r="F13" s="97">
        <v>5.0</v>
      </c>
      <c r="G13" s="98"/>
      <c r="H13" s="104"/>
      <c r="I13" s="95"/>
      <c r="J13" s="100">
        <v>-1.0</v>
      </c>
      <c r="K13" s="97">
        <v>-1.0</v>
      </c>
      <c r="L13" s="98"/>
      <c r="M13" s="104"/>
      <c r="N13" s="95"/>
      <c r="O13" s="100">
        <v>2.0</v>
      </c>
      <c r="P13" s="97">
        <v>4.0</v>
      </c>
      <c r="Q13" s="98"/>
      <c r="R13" s="104"/>
      <c r="S13" s="83"/>
      <c r="T13" s="83"/>
      <c r="U13" s="83"/>
      <c r="V13" s="83"/>
      <c r="W13" s="83"/>
      <c r="X13" s="83"/>
      <c r="Y13" s="83"/>
      <c r="Z13" s="83"/>
    </row>
    <row r="14">
      <c r="A14" s="93" t="s">
        <v>697</v>
      </c>
      <c r="B14" s="105" t="s">
        <v>698</v>
      </c>
      <c r="C14" s="94">
        <f t="shared" si="1"/>
        <v>5</v>
      </c>
      <c r="D14" s="95"/>
      <c r="E14" s="96">
        <v>2.0</v>
      </c>
      <c r="F14" s="97">
        <v>2.0</v>
      </c>
      <c r="G14" s="98"/>
      <c r="H14" s="104"/>
      <c r="I14" s="95"/>
      <c r="J14" s="100">
        <v>-1.0</v>
      </c>
      <c r="K14" s="97">
        <v>-1.0</v>
      </c>
      <c r="L14" s="98"/>
      <c r="M14" s="104"/>
      <c r="N14" s="95"/>
      <c r="O14" s="100">
        <v>4.0</v>
      </c>
      <c r="P14" s="97">
        <v>4.0</v>
      </c>
      <c r="Q14" s="98"/>
      <c r="R14" s="104"/>
      <c r="S14" s="83"/>
      <c r="T14" s="83"/>
      <c r="U14" s="83"/>
      <c r="V14" s="83"/>
      <c r="W14" s="83"/>
      <c r="X14" s="83"/>
      <c r="Y14" s="83"/>
      <c r="Z14" s="83"/>
    </row>
    <row r="15">
      <c r="A15" s="93" t="s">
        <v>699</v>
      </c>
      <c r="B15" s="93" t="s">
        <v>700</v>
      </c>
      <c r="C15" s="94">
        <f t="shared" si="1"/>
        <v>2.5</v>
      </c>
      <c r="D15" s="95"/>
      <c r="E15" s="96">
        <v>2.0</v>
      </c>
      <c r="F15" s="97">
        <v>2.0</v>
      </c>
      <c r="G15" s="98"/>
      <c r="H15" s="104"/>
      <c r="I15" s="95"/>
      <c r="J15" s="100">
        <v>-2.0</v>
      </c>
      <c r="K15" s="97">
        <v>-2.0</v>
      </c>
      <c r="L15" s="98"/>
      <c r="M15" s="104"/>
      <c r="N15" s="95"/>
      <c r="O15" s="100">
        <v>2.0</v>
      </c>
      <c r="P15" s="97">
        <v>3.0</v>
      </c>
      <c r="Q15" s="98"/>
      <c r="R15" s="104"/>
      <c r="S15" s="83"/>
      <c r="T15" s="83"/>
      <c r="U15" s="83"/>
      <c r="V15" s="83"/>
      <c r="W15" s="83"/>
      <c r="X15" s="83"/>
      <c r="Y15" s="83"/>
      <c r="Z15" s="83"/>
    </row>
    <row r="16">
      <c r="A16" s="93" t="s">
        <v>701</v>
      </c>
      <c r="B16" s="93" t="s">
        <v>702</v>
      </c>
      <c r="C16" s="94">
        <f t="shared" si="1"/>
        <v>6.5</v>
      </c>
      <c r="D16" s="95"/>
      <c r="E16" s="96">
        <v>4.0</v>
      </c>
      <c r="F16" s="97">
        <v>4.0</v>
      </c>
      <c r="G16" s="98"/>
      <c r="H16" s="104"/>
      <c r="I16" s="95"/>
      <c r="J16" s="100">
        <v>-2.0</v>
      </c>
      <c r="K16" s="97">
        <v>-2.0</v>
      </c>
      <c r="L16" s="98"/>
      <c r="M16" s="104"/>
      <c r="N16" s="95"/>
      <c r="O16" s="100">
        <v>5.0</v>
      </c>
      <c r="P16" s="97">
        <v>4.0</v>
      </c>
      <c r="Q16" s="98"/>
      <c r="R16" s="104"/>
      <c r="S16" s="83"/>
      <c r="T16" s="83"/>
      <c r="U16" s="83"/>
      <c r="V16" s="83"/>
      <c r="W16" s="83"/>
      <c r="X16" s="83"/>
      <c r="Y16" s="83"/>
      <c r="Z16" s="83"/>
    </row>
    <row r="17">
      <c r="A17" s="93" t="s">
        <v>703</v>
      </c>
      <c r="B17" s="93" t="s">
        <v>704</v>
      </c>
      <c r="C17" s="94">
        <f t="shared" si="1"/>
        <v>6.5</v>
      </c>
      <c r="D17" s="95"/>
      <c r="E17" s="96">
        <v>4.0</v>
      </c>
      <c r="F17" s="97">
        <v>4.0</v>
      </c>
      <c r="G17" s="98"/>
      <c r="H17" s="104"/>
      <c r="I17" s="95"/>
      <c r="J17" s="100">
        <v>-1.0</v>
      </c>
      <c r="K17" s="97">
        <v>-1.0</v>
      </c>
      <c r="L17" s="98"/>
      <c r="M17" s="104"/>
      <c r="N17" s="95"/>
      <c r="O17" s="100">
        <v>4.0</v>
      </c>
      <c r="P17" s="97">
        <v>3.0</v>
      </c>
      <c r="Q17" s="98"/>
      <c r="R17" s="104"/>
      <c r="S17" s="83"/>
      <c r="T17" s="83"/>
      <c r="U17" s="83"/>
      <c r="V17" s="83"/>
      <c r="W17" s="83"/>
      <c r="X17" s="83"/>
      <c r="Y17" s="83"/>
      <c r="Z17" s="83"/>
    </row>
    <row r="18">
      <c r="A18" s="93" t="s">
        <v>705</v>
      </c>
      <c r="B18" s="93" t="s">
        <v>706</v>
      </c>
      <c r="C18" s="94">
        <f t="shared" si="1"/>
        <v>2</v>
      </c>
      <c r="D18" s="95"/>
      <c r="E18" s="96">
        <v>2.0</v>
      </c>
      <c r="F18" s="97">
        <v>2.0</v>
      </c>
      <c r="G18" s="98"/>
      <c r="H18" s="104"/>
      <c r="I18" s="95"/>
      <c r="J18" s="100">
        <v>-1.0</v>
      </c>
      <c r="K18" s="97">
        <v>-1.0</v>
      </c>
      <c r="L18" s="98"/>
      <c r="M18" s="104"/>
      <c r="N18" s="95"/>
      <c r="O18" s="100">
        <v>1.0</v>
      </c>
      <c r="P18" s="97">
        <v>1.0</v>
      </c>
      <c r="Q18" s="98"/>
      <c r="R18" s="104"/>
      <c r="S18" s="83"/>
      <c r="T18" s="83"/>
      <c r="U18" s="83"/>
      <c r="V18" s="83"/>
      <c r="W18" s="83"/>
      <c r="X18" s="83"/>
      <c r="Y18" s="83"/>
      <c r="Z18" s="83"/>
    </row>
    <row r="19">
      <c r="A19" s="93" t="s">
        <v>707</v>
      </c>
      <c r="B19" s="106" t="s">
        <v>708</v>
      </c>
      <c r="C19" s="94">
        <f t="shared" si="1"/>
        <v>3.5</v>
      </c>
      <c r="D19" s="95"/>
      <c r="E19" s="96">
        <v>2.0</v>
      </c>
      <c r="F19" s="97">
        <v>2.0</v>
      </c>
      <c r="G19" s="98"/>
      <c r="H19" s="104"/>
      <c r="I19" s="95"/>
      <c r="J19" s="100">
        <v>0.0</v>
      </c>
      <c r="K19" s="97">
        <v>0.0</v>
      </c>
      <c r="L19" s="98"/>
      <c r="M19" s="104"/>
      <c r="N19" s="95"/>
      <c r="O19" s="100">
        <v>2.0</v>
      </c>
      <c r="P19" s="97">
        <v>1.0</v>
      </c>
      <c r="Q19" s="98"/>
      <c r="R19" s="104"/>
      <c r="S19" s="83"/>
      <c r="T19" s="83"/>
      <c r="U19" s="83"/>
      <c r="V19" s="83"/>
      <c r="W19" s="83"/>
      <c r="X19" s="83"/>
      <c r="Y19" s="83"/>
      <c r="Z19" s="83"/>
    </row>
    <row r="20">
      <c r="A20" s="93" t="s">
        <v>709</v>
      </c>
      <c r="B20" s="106" t="s">
        <v>710</v>
      </c>
      <c r="C20" s="94">
        <f t="shared" si="1"/>
        <v>0</v>
      </c>
      <c r="D20" s="95"/>
      <c r="E20" s="96">
        <v>2.0</v>
      </c>
      <c r="F20" s="97">
        <v>2.0</v>
      </c>
      <c r="G20" s="98"/>
      <c r="H20" s="104"/>
      <c r="I20" s="95"/>
      <c r="J20" s="100">
        <v>-5.0</v>
      </c>
      <c r="K20" s="97">
        <v>-5.0</v>
      </c>
      <c r="L20" s="98"/>
      <c r="M20" s="104"/>
      <c r="N20" s="95"/>
      <c r="O20" s="100">
        <v>3.0</v>
      </c>
      <c r="P20" s="97">
        <v>3.0</v>
      </c>
      <c r="Q20" s="98"/>
      <c r="R20" s="104"/>
      <c r="S20" s="83"/>
      <c r="T20" s="83"/>
      <c r="U20" s="83"/>
      <c r="V20" s="83"/>
      <c r="W20" s="83"/>
      <c r="X20" s="83"/>
      <c r="Y20" s="83"/>
      <c r="Z20" s="83"/>
    </row>
    <row r="21">
      <c r="A21" s="93" t="s">
        <v>711</v>
      </c>
      <c r="B21" s="93" t="s">
        <v>712</v>
      </c>
      <c r="C21" s="94">
        <f t="shared" si="1"/>
        <v>0</v>
      </c>
      <c r="D21" s="95"/>
      <c r="E21" s="96">
        <v>2.0</v>
      </c>
      <c r="F21" s="97">
        <v>2.0</v>
      </c>
      <c r="G21" s="98"/>
      <c r="H21" s="104"/>
      <c r="I21" s="95"/>
      <c r="J21" s="100">
        <v>-1.0</v>
      </c>
      <c r="K21" s="97">
        <v>-1.0</v>
      </c>
      <c r="L21" s="98"/>
      <c r="M21" s="104"/>
      <c r="N21" s="95"/>
      <c r="O21" s="100">
        <v>-1.0</v>
      </c>
      <c r="P21" s="97">
        <v>-1.0</v>
      </c>
      <c r="Q21" s="98"/>
      <c r="R21" s="104"/>
      <c r="S21" s="83"/>
      <c r="T21" s="83"/>
      <c r="U21" s="83"/>
      <c r="V21" s="83"/>
      <c r="W21" s="83"/>
      <c r="X21" s="83"/>
      <c r="Y21" s="83"/>
      <c r="Z21" s="83"/>
    </row>
    <row r="22">
      <c r="A22" s="93" t="s">
        <v>713</v>
      </c>
      <c r="B22" s="93" t="s">
        <v>714</v>
      </c>
      <c r="C22" s="94">
        <f t="shared" si="1"/>
        <v>5.5</v>
      </c>
      <c r="D22" s="95"/>
      <c r="E22" s="96">
        <v>3.0</v>
      </c>
      <c r="F22" s="97">
        <v>2.0</v>
      </c>
      <c r="G22" s="98"/>
      <c r="H22" s="104"/>
      <c r="I22" s="95"/>
      <c r="J22" s="100">
        <v>0.0</v>
      </c>
      <c r="K22" s="97">
        <v>0.0</v>
      </c>
      <c r="L22" s="98"/>
      <c r="M22" s="104"/>
      <c r="N22" s="95"/>
      <c r="O22" s="100">
        <v>3.0</v>
      </c>
      <c r="P22" s="97">
        <v>3.0</v>
      </c>
      <c r="Q22" s="98"/>
      <c r="R22" s="104"/>
      <c r="S22" s="83"/>
      <c r="T22" s="83"/>
      <c r="U22" s="83"/>
      <c r="V22" s="83"/>
      <c r="W22" s="83"/>
      <c r="X22" s="83"/>
      <c r="Y22" s="83"/>
      <c r="Z22" s="83"/>
    </row>
    <row r="23">
      <c r="A23" s="93" t="s">
        <v>715</v>
      </c>
      <c r="B23" s="93" t="s">
        <v>716</v>
      </c>
      <c r="C23" s="94">
        <f t="shared" si="1"/>
        <v>3.5</v>
      </c>
      <c r="D23" s="95"/>
      <c r="E23" s="96">
        <v>2.0</v>
      </c>
      <c r="F23" s="97">
        <v>2.0</v>
      </c>
      <c r="G23" s="98"/>
      <c r="H23" s="104"/>
      <c r="I23" s="95"/>
      <c r="J23" s="100">
        <v>-1.0</v>
      </c>
      <c r="K23" s="97">
        <v>-1.0</v>
      </c>
      <c r="L23" s="98"/>
      <c r="M23" s="104"/>
      <c r="N23" s="95"/>
      <c r="O23" s="100">
        <v>2.0</v>
      </c>
      <c r="P23" s="97">
        <v>3.0</v>
      </c>
      <c r="Q23" s="98"/>
      <c r="R23" s="104"/>
      <c r="S23" s="83"/>
      <c r="T23" s="83"/>
      <c r="U23" s="83"/>
      <c r="V23" s="83"/>
      <c r="W23" s="83"/>
      <c r="X23" s="83"/>
      <c r="Y23" s="83"/>
      <c r="Z23" s="83"/>
    </row>
    <row r="24">
      <c r="A24" s="93" t="s">
        <v>717</v>
      </c>
      <c r="B24" s="93" t="s">
        <v>718</v>
      </c>
      <c r="C24" s="94">
        <f t="shared" si="1"/>
        <v>0</v>
      </c>
      <c r="D24" s="95"/>
      <c r="E24" s="96">
        <v>2.0</v>
      </c>
      <c r="F24" s="97">
        <v>2.0</v>
      </c>
      <c r="G24" s="98"/>
      <c r="H24" s="104"/>
      <c r="I24" s="95"/>
      <c r="J24" s="100">
        <v>-1.0</v>
      </c>
      <c r="K24" s="97">
        <v>-1.0</v>
      </c>
      <c r="L24" s="98"/>
      <c r="M24" s="104"/>
      <c r="N24" s="95"/>
      <c r="O24" s="100">
        <v>-1.0</v>
      </c>
      <c r="P24" s="97">
        <v>-1.0</v>
      </c>
      <c r="Q24" s="98"/>
      <c r="R24" s="104"/>
      <c r="S24" s="83"/>
      <c r="T24" s="83"/>
      <c r="U24" s="83"/>
      <c r="V24" s="83"/>
      <c r="W24" s="83"/>
      <c r="X24" s="83"/>
      <c r="Y24" s="83"/>
      <c r="Z24" s="83"/>
    </row>
    <row r="25">
      <c r="A25" s="93" t="s">
        <v>719</v>
      </c>
      <c r="B25" s="93" t="s">
        <v>720</v>
      </c>
      <c r="C25" s="94">
        <f t="shared" si="1"/>
        <v>3.5</v>
      </c>
      <c r="D25" s="95"/>
      <c r="E25" s="96">
        <v>2.0</v>
      </c>
      <c r="F25" s="97">
        <v>2.0</v>
      </c>
      <c r="G25" s="98"/>
      <c r="H25" s="104"/>
      <c r="I25" s="95"/>
      <c r="J25" s="100">
        <v>-4.0</v>
      </c>
      <c r="K25" s="97">
        <v>-3.0</v>
      </c>
      <c r="L25" s="98"/>
      <c r="M25" s="104"/>
      <c r="N25" s="95"/>
      <c r="O25" s="100">
        <v>5.0</v>
      </c>
      <c r="P25" s="97">
        <v>5.0</v>
      </c>
      <c r="Q25" s="98"/>
      <c r="R25" s="104"/>
      <c r="S25" s="83"/>
      <c r="T25" s="83"/>
      <c r="U25" s="83"/>
      <c r="V25" s="83"/>
      <c r="W25" s="83"/>
      <c r="X25" s="83"/>
      <c r="Y25" s="83"/>
      <c r="Z25" s="83"/>
    </row>
    <row r="26">
      <c r="A26" s="93" t="s">
        <v>721</v>
      </c>
      <c r="B26" s="93" t="s">
        <v>722</v>
      </c>
      <c r="C26" s="94">
        <f t="shared" si="1"/>
        <v>4.5</v>
      </c>
      <c r="D26" s="95"/>
      <c r="E26" s="96">
        <v>2.0</v>
      </c>
      <c r="F26" s="97">
        <v>2.0</v>
      </c>
      <c r="G26" s="98"/>
      <c r="H26" s="104"/>
      <c r="I26" s="95"/>
      <c r="J26" s="100">
        <v>-1.0</v>
      </c>
      <c r="K26" s="97">
        <v>0.0</v>
      </c>
      <c r="L26" s="98"/>
      <c r="M26" s="104"/>
      <c r="N26" s="95"/>
      <c r="O26" s="100">
        <v>3.0</v>
      </c>
      <c r="P26" s="97">
        <v>3.0</v>
      </c>
      <c r="Q26" s="98"/>
      <c r="R26" s="104"/>
      <c r="S26" s="83"/>
      <c r="T26" s="83"/>
      <c r="U26" s="83"/>
      <c r="V26" s="83"/>
      <c r="W26" s="83"/>
      <c r="X26" s="83"/>
      <c r="Y26" s="83"/>
      <c r="Z26" s="83"/>
    </row>
    <row r="27">
      <c r="A27" s="93" t="s">
        <v>723</v>
      </c>
      <c r="B27" s="93" t="s">
        <v>724</v>
      </c>
      <c r="C27" s="94">
        <f t="shared" si="1"/>
        <v>2</v>
      </c>
      <c r="D27" s="95"/>
      <c r="E27" s="96">
        <v>2.0</v>
      </c>
      <c r="F27" s="97">
        <v>2.0</v>
      </c>
      <c r="G27" s="98"/>
      <c r="H27" s="99"/>
      <c r="I27" s="95"/>
      <c r="J27" s="100">
        <v>-1.0</v>
      </c>
      <c r="K27" s="97">
        <v>-1.0</v>
      </c>
      <c r="L27" s="98"/>
      <c r="M27" s="104"/>
      <c r="N27" s="95"/>
      <c r="O27" s="100">
        <v>1.0</v>
      </c>
      <c r="P27" s="97">
        <v>1.0</v>
      </c>
      <c r="Q27" s="98"/>
      <c r="R27" s="104"/>
      <c r="S27" s="83"/>
      <c r="T27" s="83"/>
      <c r="U27" s="83"/>
      <c r="V27" s="83"/>
      <c r="W27" s="83"/>
      <c r="X27" s="83"/>
      <c r="Y27" s="83"/>
      <c r="Z27" s="83"/>
    </row>
    <row r="28">
      <c r="A28" s="102" t="s">
        <v>725</v>
      </c>
      <c r="B28" s="106" t="s">
        <v>726</v>
      </c>
      <c r="C28" s="94">
        <f t="shared" si="1"/>
        <v>-1.666666667</v>
      </c>
      <c r="D28" s="95"/>
      <c r="E28" s="96">
        <v>2.0</v>
      </c>
      <c r="F28" s="97">
        <v>2.0</v>
      </c>
      <c r="G28" s="98"/>
      <c r="H28" s="99">
        <v>2.0</v>
      </c>
      <c r="I28" s="95"/>
      <c r="J28" s="100">
        <v>-6.0</v>
      </c>
      <c r="K28" s="97">
        <v>-6.0</v>
      </c>
      <c r="L28" s="98"/>
      <c r="M28" s="99">
        <v>-5.0</v>
      </c>
      <c r="N28" s="95"/>
      <c r="O28" s="100">
        <v>2.0</v>
      </c>
      <c r="P28" s="97">
        <v>2.0</v>
      </c>
      <c r="Q28" s="98"/>
      <c r="R28" s="99">
        <v>2.0</v>
      </c>
      <c r="S28" s="83"/>
      <c r="T28" s="83"/>
      <c r="U28" s="83"/>
      <c r="V28" s="83"/>
      <c r="W28" s="83"/>
      <c r="X28" s="83"/>
      <c r="Y28" s="83"/>
      <c r="Z28" s="83"/>
    </row>
    <row r="29">
      <c r="A29" s="93" t="s">
        <v>727</v>
      </c>
      <c r="B29" s="93" t="s">
        <v>728</v>
      </c>
      <c r="C29" s="94">
        <f t="shared" si="1"/>
        <v>4</v>
      </c>
      <c r="D29" s="95"/>
      <c r="E29" s="96">
        <v>3.0</v>
      </c>
      <c r="F29" s="97">
        <v>3.0</v>
      </c>
      <c r="G29" s="98"/>
      <c r="H29" s="104"/>
      <c r="I29" s="95"/>
      <c r="J29" s="100">
        <v>-2.0</v>
      </c>
      <c r="K29" s="97">
        <v>-2.0</v>
      </c>
      <c r="L29" s="98"/>
      <c r="M29" s="104"/>
      <c r="N29" s="95"/>
      <c r="O29" s="100">
        <v>2.0</v>
      </c>
      <c r="P29" s="97">
        <v>4.0</v>
      </c>
      <c r="Q29" s="98"/>
      <c r="R29" s="104"/>
      <c r="S29" s="83"/>
      <c r="T29" s="83"/>
      <c r="U29" s="83"/>
      <c r="V29" s="83"/>
      <c r="W29" s="83"/>
      <c r="X29" s="83"/>
      <c r="Y29" s="83"/>
      <c r="Z29" s="83"/>
    </row>
    <row r="30">
      <c r="A30" s="93" t="s">
        <v>729</v>
      </c>
      <c r="B30" s="93" t="s">
        <v>730</v>
      </c>
      <c r="C30" s="94">
        <f t="shared" si="1"/>
        <v>0</v>
      </c>
      <c r="D30" s="95"/>
      <c r="E30" s="96">
        <v>2.0</v>
      </c>
      <c r="F30" s="97">
        <v>2.0</v>
      </c>
      <c r="G30" s="98"/>
      <c r="H30" s="104"/>
      <c r="I30" s="95"/>
      <c r="J30" s="100">
        <v>-1.0</v>
      </c>
      <c r="K30" s="97">
        <v>-1.0</v>
      </c>
      <c r="L30" s="98"/>
      <c r="M30" s="104"/>
      <c r="N30" s="95"/>
      <c r="O30" s="100">
        <v>-1.0</v>
      </c>
      <c r="P30" s="97">
        <v>-1.0</v>
      </c>
      <c r="Q30" s="98"/>
      <c r="R30" s="104"/>
      <c r="S30" s="83"/>
      <c r="T30" s="83"/>
      <c r="U30" s="83"/>
      <c r="V30" s="83"/>
      <c r="W30" s="83"/>
      <c r="X30" s="83"/>
      <c r="Y30" s="83"/>
      <c r="Z30" s="83"/>
    </row>
    <row r="31">
      <c r="A31" s="93" t="s">
        <v>731</v>
      </c>
      <c r="B31" s="93" t="s">
        <v>732</v>
      </c>
      <c r="C31" s="94">
        <f t="shared" si="1"/>
        <v>0</v>
      </c>
      <c r="D31" s="95"/>
      <c r="E31" s="96">
        <v>2.0</v>
      </c>
      <c r="F31" s="97">
        <v>2.0</v>
      </c>
      <c r="G31" s="98"/>
      <c r="H31" s="104"/>
      <c r="I31" s="95"/>
      <c r="J31" s="100">
        <v>-1.0</v>
      </c>
      <c r="K31" s="97">
        <v>-1.0</v>
      </c>
      <c r="L31" s="98"/>
      <c r="M31" s="104"/>
      <c r="N31" s="95"/>
      <c r="O31" s="100">
        <v>-1.0</v>
      </c>
      <c r="P31" s="97">
        <v>-1.0</v>
      </c>
      <c r="Q31" s="98"/>
      <c r="R31" s="104"/>
      <c r="S31" s="83"/>
      <c r="T31" s="83"/>
      <c r="U31" s="83"/>
      <c r="V31" s="83"/>
      <c r="W31" s="83"/>
      <c r="X31" s="83"/>
      <c r="Y31" s="83"/>
      <c r="Z31" s="83"/>
    </row>
    <row r="32">
      <c r="A32" s="93" t="s">
        <v>733</v>
      </c>
      <c r="B32" s="93" t="s">
        <v>734</v>
      </c>
      <c r="C32" s="94">
        <f t="shared" si="1"/>
        <v>4</v>
      </c>
      <c r="D32" s="95"/>
      <c r="E32" s="96">
        <v>2.0</v>
      </c>
      <c r="F32" s="97">
        <v>4.0</v>
      </c>
      <c r="G32" s="98"/>
      <c r="H32" s="104"/>
      <c r="I32" s="95"/>
      <c r="J32" s="100">
        <v>-1.0</v>
      </c>
      <c r="K32" s="97">
        <v>-1.0</v>
      </c>
      <c r="L32" s="98"/>
      <c r="M32" s="104"/>
      <c r="N32" s="95"/>
      <c r="O32" s="100">
        <v>2.0</v>
      </c>
      <c r="P32" s="97">
        <v>2.0</v>
      </c>
      <c r="Q32" s="98"/>
      <c r="R32" s="104"/>
      <c r="S32" s="83"/>
      <c r="T32" s="83"/>
      <c r="U32" s="83"/>
      <c r="V32" s="83"/>
      <c r="W32" s="83"/>
      <c r="X32" s="83"/>
      <c r="Y32" s="83"/>
      <c r="Z32" s="83"/>
    </row>
    <row r="33">
      <c r="A33" s="93" t="s">
        <v>735</v>
      </c>
      <c r="B33" s="93" t="s">
        <v>736</v>
      </c>
      <c r="C33" s="94">
        <f t="shared" si="1"/>
        <v>8</v>
      </c>
      <c r="D33" s="95"/>
      <c r="E33" s="96">
        <v>3.0</v>
      </c>
      <c r="F33" s="97">
        <v>3.0</v>
      </c>
      <c r="G33" s="98"/>
      <c r="H33" s="104"/>
      <c r="I33" s="95"/>
      <c r="J33" s="100">
        <v>0.0</v>
      </c>
      <c r="K33" s="97">
        <v>0.0</v>
      </c>
      <c r="L33" s="98"/>
      <c r="M33" s="104"/>
      <c r="N33" s="95"/>
      <c r="O33" s="100">
        <v>5.0</v>
      </c>
      <c r="P33" s="97">
        <v>5.0</v>
      </c>
      <c r="Q33" s="98"/>
      <c r="R33" s="104"/>
      <c r="S33" s="83"/>
      <c r="T33" s="83"/>
      <c r="U33" s="83"/>
      <c r="V33" s="83"/>
      <c r="W33" s="83"/>
      <c r="X33" s="83"/>
      <c r="Y33" s="83"/>
      <c r="Z33" s="83"/>
    </row>
    <row r="34">
      <c r="A34" s="93" t="s">
        <v>737</v>
      </c>
      <c r="B34" s="93" t="s">
        <v>738</v>
      </c>
      <c r="C34" s="94">
        <f t="shared" si="1"/>
        <v>3.5</v>
      </c>
      <c r="D34" s="95"/>
      <c r="E34" s="96">
        <v>2.0</v>
      </c>
      <c r="F34" s="97">
        <v>2.0</v>
      </c>
      <c r="G34" s="98"/>
      <c r="H34" s="104"/>
      <c r="I34" s="95"/>
      <c r="J34" s="100">
        <v>-1.0</v>
      </c>
      <c r="K34" s="97">
        <v>0.0</v>
      </c>
      <c r="L34" s="98"/>
      <c r="M34" s="104"/>
      <c r="N34" s="95"/>
      <c r="O34" s="100">
        <v>2.0</v>
      </c>
      <c r="P34" s="97">
        <v>2.0</v>
      </c>
      <c r="Q34" s="98"/>
      <c r="R34" s="104"/>
      <c r="S34" s="83"/>
      <c r="T34" s="83"/>
      <c r="U34" s="83"/>
      <c r="V34" s="83"/>
      <c r="W34" s="83"/>
      <c r="X34" s="83"/>
      <c r="Y34" s="83"/>
      <c r="Z34" s="83"/>
    </row>
    <row r="35">
      <c r="A35" s="93" t="s">
        <v>739</v>
      </c>
      <c r="B35" s="93" t="s">
        <v>740</v>
      </c>
      <c r="C35" s="94">
        <f t="shared" si="1"/>
        <v>4.5</v>
      </c>
      <c r="D35" s="95"/>
      <c r="E35" s="96">
        <v>2.0</v>
      </c>
      <c r="F35" s="97">
        <v>2.0</v>
      </c>
      <c r="G35" s="98"/>
      <c r="H35" s="104"/>
      <c r="I35" s="95"/>
      <c r="J35" s="100">
        <v>-2.0</v>
      </c>
      <c r="K35" s="97">
        <v>-2.0</v>
      </c>
      <c r="L35" s="98"/>
      <c r="M35" s="104"/>
      <c r="N35" s="95"/>
      <c r="O35" s="100">
        <v>5.0</v>
      </c>
      <c r="P35" s="97">
        <v>4.0</v>
      </c>
      <c r="Q35" s="98"/>
      <c r="R35" s="104"/>
      <c r="S35" s="83"/>
      <c r="T35" s="83"/>
      <c r="U35" s="83"/>
      <c r="V35" s="83"/>
      <c r="W35" s="83"/>
      <c r="X35" s="83"/>
      <c r="Y35" s="83"/>
      <c r="Z35" s="83"/>
    </row>
    <row r="36">
      <c r="A36" s="102" t="s">
        <v>741</v>
      </c>
      <c r="B36" s="101" t="s">
        <v>742</v>
      </c>
      <c r="C36" s="94">
        <f t="shared" si="1"/>
        <v>1.333333333</v>
      </c>
      <c r="D36" s="95"/>
      <c r="E36" s="96">
        <v>2.0</v>
      </c>
      <c r="F36" s="97">
        <v>2.0</v>
      </c>
      <c r="G36" s="98"/>
      <c r="H36" s="99">
        <v>2.0</v>
      </c>
      <c r="I36" s="95"/>
      <c r="J36" s="100">
        <v>-6.0</v>
      </c>
      <c r="K36" s="97">
        <v>-7.0</v>
      </c>
      <c r="L36" s="98"/>
      <c r="M36" s="99">
        <v>-4.0</v>
      </c>
      <c r="N36" s="95"/>
      <c r="O36" s="100">
        <v>5.0</v>
      </c>
      <c r="P36" s="97">
        <v>5.0</v>
      </c>
      <c r="Q36" s="98"/>
      <c r="R36" s="99">
        <v>5.0</v>
      </c>
      <c r="S36" s="83"/>
      <c r="T36" s="83"/>
      <c r="U36" s="83"/>
      <c r="V36" s="83"/>
      <c r="W36" s="83"/>
      <c r="X36" s="83"/>
      <c r="Y36" s="83"/>
      <c r="Z36" s="83"/>
    </row>
    <row r="37">
      <c r="A37" s="93" t="s">
        <v>743</v>
      </c>
      <c r="B37" s="106" t="s">
        <v>744</v>
      </c>
      <c r="C37" s="94">
        <f t="shared" si="1"/>
        <v>5</v>
      </c>
      <c r="D37" s="95"/>
      <c r="E37" s="96">
        <v>4.0</v>
      </c>
      <c r="F37" s="97">
        <v>4.0</v>
      </c>
      <c r="G37" s="98"/>
      <c r="H37" s="104"/>
      <c r="I37" s="95"/>
      <c r="J37" s="100">
        <v>-1.0</v>
      </c>
      <c r="K37" s="97">
        <v>-1.0</v>
      </c>
      <c r="L37" s="98"/>
      <c r="M37" s="104"/>
      <c r="N37" s="95"/>
      <c r="O37" s="100">
        <v>2.0</v>
      </c>
      <c r="P37" s="97">
        <v>2.0</v>
      </c>
      <c r="Q37" s="98"/>
      <c r="R37" s="104"/>
      <c r="S37" s="83"/>
      <c r="T37" s="83"/>
      <c r="U37" s="83"/>
      <c r="V37" s="83"/>
      <c r="W37" s="83"/>
      <c r="X37" s="83"/>
      <c r="Y37" s="83"/>
      <c r="Z37" s="83"/>
    </row>
    <row r="38">
      <c r="A38" s="93" t="s">
        <v>745</v>
      </c>
      <c r="B38" s="93" t="s">
        <v>746</v>
      </c>
      <c r="C38" s="94">
        <f t="shared" si="1"/>
        <v>7</v>
      </c>
      <c r="D38" s="95"/>
      <c r="E38" s="96">
        <v>4.0</v>
      </c>
      <c r="F38" s="97">
        <v>4.0</v>
      </c>
      <c r="G38" s="98"/>
      <c r="H38" s="104"/>
      <c r="I38" s="95"/>
      <c r="J38" s="100">
        <v>-2.0</v>
      </c>
      <c r="K38" s="97">
        <v>-2.0</v>
      </c>
      <c r="L38" s="98"/>
      <c r="M38" s="104"/>
      <c r="N38" s="95"/>
      <c r="O38" s="100">
        <v>5.0</v>
      </c>
      <c r="P38" s="97">
        <v>5.0</v>
      </c>
      <c r="Q38" s="98"/>
      <c r="R38" s="104"/>
      <c r="S38" s="83"/>
      <c r="T38" s="83"/>
      <c r="U38" s="83"/>
      <c r="V38" s="83"/>
      <c r="W38" s="83"/>
      <c r="X38" s="83"/>
      <c r="Y38" s="83"/>
      <c r="Z38" s="83"/>
    </row>
    <row r="39">
      <c r="A39" s="93" t="s">
        <v>747</v>
      </c>
      <c r="B39" s="93" t="s">
        <v>748</v>
      </c>
      <c r="C39" s="94">
        <f t="shared" si="1"/>
        <v>6.5</v>
      </c>
      <c r="D39" s="95"/>
      <c r="E39" s="96">
        <v>6.0</v>
      </c>
      <c r="F39" s="97">
        <v>6.0</v>
      </c>
      <c r="G39" s="98"/>
      <c r="H39" s="104"/>
      <c r="I39" s="95"/>
      <c r="J39" s="100">
        <v>-5.0</v>
      </c>
      <c r="K39" s="97">
        <v>-5.0</v>
      </c>
      <c r="L39" s="98"/>
      <c r="M39" s="104"/>
      <c r="N39" s="95"/>
      <c r="O39" s="100">
        <v>6.0</v>
      </c>
      <c r="P39" s="97">
        <v>5.0</v>
      </c>
      <c r="Q39" s="98"/>
      <c r="R39" s="104"/>
      <c r="S39" s="83"/>
      <c r="T39" s="83"/>
      <c r="U39" s="83"/>
      <c r="V39" s="83"/>
      <c r="W39" s="83"/>
      <c r="X39" s="83"/>
      <c r="Y39" s="83"/>
      <c r="Z39" s="83"/>
    </row>
    <row r="40">
      <c r="A40" s="93" t="s">
        <v>749</v>
      </c>
      <c r="B40" s="101" t="s">
        <v>750</v>
      </c>
      <c r="C40" s="94">
        <f t="shared" si="1"/>
        <v>5</v>
      </c>
      <c r="D40" s="95"/>
      <c r="E40" s="96">
        <v>2.0</v>
      </c>
      <c r="F40" s="97">
        <v>2.0</v>
      </c>
      <c r="G40" s="98"/>
      <c r="H40" s="104"/>
      <c r="I40" s="95"/>
      <c r="J40" s="100">
        <v>-1.0</v>
      </c>
      <c r="K40" s="97">
        <v>-1.0</v>
      </c>
      <c r="L40" s="98"/>
      <c r="M40" s="104"/>
      <c r="N40" s="95"/>
      <c r="O40" s="100">
        <v>4.0</v>
      </c>
      <c r="P40" s="97">
        <v>4.0</v>
      </c>
      <c r="Q40" s="98"/>
      <c r="R40" s="104"/>
      <c r="S40" s="83"/>
      <c r="T40" s="83"/>
      <c r="U40" s="83"/>
      <c r="V40" s="83"/>
      <c r="W40" s="83"/>
      <c r="X40" s="83"/>
      <c r="Y40" s="83"/>
      <c r="Z40" s="83"/>
    </row>
    <row r="41">
      <c r="A41" s="93" t="s">
        <v>751</v>
      </c>
      <c r="B41" s="101" t="s">
        <v>752</v>
      </c>
      <c r="C41" s="94">
        <f t="shared" si="1"/>
        <v>4.5</v>
      </c>
      <c r="D41" s="95"/>
      <c r="E41" s="96">
        <v>2.0</v>
      </c>
      <c r="F41" s="97">
        <v>2.0</v>
      </c>
      <c r="G41" s="98"/>
      <c r="H41" s="104"/>
      <c r="I41" s="95"/>
      <c r="J41" s="100">
        <v>-2.0</v>
      </c>
      <c r="K41" s="97">
        <v>-2.0</v>
      </c>
      <c r="L41" s="98"/>
      <c r="M41" s="104"/>
      <c r="N41" s="95"/>
      <c r="O41" s="100">
        <v>5.0</v>
      </c>
      <c r="P41" s="97">
        <v>4.0</v>
      </c>
      <c r="Q41" s="98"/>
      <c r="R41" s="104"/>
      <c r="S41" s="83"/>
      <c r="T41" s="83"/>
      <c r="U41" s="83"/>
      <c r="V41" s="83"/>
      <c r="W41" s="83"/>
      <c r="X41" s="83"/>
      <c r="Y41" s="83"/>
      <c r="Z41" s="83"/>
    </row>
    <row r="42">
      <c r="A42" s="93" t="s">
        <v>753</v>
      </c>
      <c r="B42" s="101" t="s">
        <v>754</v>
      </c>
      <c r="C42" s="94">
        <f t="shared" si="1"/>
        <v>4.333333333</v>
      </c>
      <c r="D42" s="95"/>
      <c r="E42" s="96">
        <v>2.0</v>
      </c>
      <c r="F42" s="97">
        <v>2.0</v>
      </c>
      <c r="G42" s="107">
        <v>2.0</v>
      </c>
      <c r="H42" s="104"/>
      <c r="I42" s="95"/>
      <c r="J42" s="100">
        <v>-2.0</v>
      </c>
      <c r="K42" s="97">
        <v>-3.0</v>
      </c>
      <c r="L42" s="107">
        <v>-2.0</v>
      </c>
      <c r="M42" s="104"/>
      <c r="N42" s="95"/>
      <c r="O42" s="100">
        <v>5.0</v>
      </c>
      <c r="P42" s="97">
        <v>5.0</v>
      </c>
      <c r="Q42" s="107">
        <v>4.0</v>
      </c>
      <c r="R42" s="104"/>
      <c r="S42" s="83"/>
      <c r="T42" s="83"/>
      <c r="U42" s="83"/>
      <c r="V42" s="83"/>
      <c r="W42" s="83"/>
      <c r="X42" s="83"/>
      <c r="Y42" s="83"/>
      <c r="Z42" s="83"/>
    </row>
    <row r="43">
      <c r="A43" s="102" t="s">
        <v>755</v>
      </c>
      <c r="B43" s="101" t="s">
        <v>756</v>
      </c>
      <c r="C43" s="94">
        <f t="shared" si="1"/>
        <v>4</v>
      </c>
      <c r="D43" s="95"/>
      <c r="E43" s="96">
        <v>2.0</v>
      </c>
      <c r="F43" s="97">
        <v>2.0</v>
      </c>
      <c r="G43" s="107">
        <v>2.0</v>
      </c>
      <c r="H43" s="104"/>
      <c r="I43" s="95"/>
      <c r="J43" s="100">
        <v>-3.0</v>
      </c>
      <c r="K43" s="97">
        <v>-3.0</v>
      </c>
      <c r="L43" s="107">
        <v>-2.0</v>
      </c>
      <c r="M43" s="104"/>
      <c r="N43" s="95"/>
      <c r="O43" s="100">
        <v>5.0</v>
      </c>
      <c r="P43" s="97">
        <v>5.0</v>
      </c>
      <c r="Q43" s="107">
        <v>4.0</v>
      </c>
      <c r="R43" s="104"/>
      <c r="S43" s="83"/>
      <c r="T43" s="83"/>
      <c r="U43" s="83"/>
      <c r="V43" s="83"/>
      <c r="W43" s="83"/>
      <c r="X43" s="83"/>
      <c r="Y43" s="83"/>
      <c r="Z43" s="83"/>
    </row>
    <row r="44">
      <c r="A44" s="93" t="s">
        <v>757</v>
      </c>
      <c r="B44" s="93" t="s">
        <v>758</v>
      </c>
      <c r="C44" s="94">
        <f t="shared" si="1"/>
        <v>6.5</v>
      </c>
      <c r="D44" s="95"/>
      <c r="E44" s="96">
        <v>4.0</v>
      </c>
      <c r="F44" s="97">
        <v>4.0</v>
      </c>
      <c r="G44" s="107">
        <v>4.0</v>
      </c>
      <c r="H44" s="99">
        <v>4.0</v>
      </c>
      <c r="I44" s="95"/>
      <c r="J44" s="100">
        <v>-1.0</v>
      </c>
      <c r="K44" s="97">
        <v>-1.0</v>
      </c>
      <c r="L44" s="107">
        <v>-1.0</v>
      </c>
      <c r="M44" s="99">
        <v>-1.0</v>
      </c>
      <c r="N44" s="95"/>
      <c r="O44" s="100">
        <v>5.0</v>
      </c>
      <c r="P44" s="97">
        <v>4.0</v>
      </c>
      <c r="Q44" s="107">
        <v>3.0</v>
      </c>
      <c r="R44" s="99">
        <v>2.0</v>
      </c>
      <c r="S44" s="83"/>
      <c r="T44" s="83"/>
      <c r="U44" s="83"/>
      <c r="V44" s="83"/>
      <c r="W44" s="83"/>
      <c r="X44" s="83"/>
      <c r="Y44" s="83"/>
      <c r="Z44" s="83"/>
    </row>
    <row r="45">
      <c r="A45" s="93" t="s">
        <v>759</v>
      </c>
      <c r="B45" s="93" t="s">
        <v>760</v>
      </c>
      <c r="C45" s="94">
        <f t="shared" si="1"/>
        <v>7.666666667</v>
      </c>
      <c r="D45" s="95"/>
      <c r="E45" s="96">
        <v>4.0</v>
      </c>
      <c r="F45" s="97">
        <v>4.0</v>
      </c>
      <c r="G45" s="107">
        <v>4.0</v>
      </c>
      <c r="H45" s="104"/>
      <c r="I45" s="95"/>
      <c r="J45" s="100">
        <v>0.0</v>
      </c>
      <c r="K45" s="97">
        <v>0.0</v>
      </c>
      <c r="L45" s="107">
        <v>0.0</v>
      </c>
      <c r="M45" s="104"/>
      <c r="N45" s="95"/>
      <c r="O45" s="100">
        <v>5.0</v>
      </c>
      <c r="P45" s="97">
        <v>2.0</v>
      </c>
      <c r="Q45" s="107">
        <v>4.0</v>
      </c>
      <c r="R45" s="104"/>
      <c r="S45" s="83"/>
      <c r="T45" s="83"/>
      <c r="U45" s="83"/>
      <c r="V45" s="83"/>
      <c r="W45" s="83"/>
      <c r="X45" s="83"/>
      <c r="Y45" s="83"/>
      <c r="Z45" s="83"/>
    </row>
    <row r="46">
      <c r="A46" s="93" t="s">
        <v>761</v>
      </c>
      <c r="B46" s="93" t="s">
        <v>762</v>
      </c>
      <c r="C46" s="94">
        <f t="shared" si="1"/>
        <v>4</v>
      </c>
      <c r="D46" s="95"/>
      <c r="E46" s="96">
        <v>2.0</v>
      </c>
      <c r="F46" s="97">
        <v>2.0</v>
      </c>
      <c r="G46" s="107">
        <v>2.0</v>
      </c>
      <c r="H46" s="104"/>
      <c r="I46" s="95"/>
      <c r="J46" s="100">
        <v>-2.0</v>
      </c>
      <c r="K46" s="97">
        <v>-1.0</v>
      </c>
      <c r="L46" s="107">
        <v>-1.0</v>
      </c>
      <c r="M46" s="104"/>
      <c r="N46" s="95"/>
      <c r="O46" s="100">
        <v>4.0</v>
      </c>
      <c r="P46" s="97">
        <v>2.0</v>
      </c>
      <c r="Q46" s="107">
        <v>4.0</v>
      </c>
      <c r="R46" s="104"/>
      <c r="S46" s="83"/>
      <c r="T46" s="83"/>
      <c r="U46" s="83"/>
      <c r="V46" s="83"/>
      <c r="W46" s="83"/>
      <c r="X46" s="83"/>
      <c r="Y46" s="83"/>
      <c r="Z46" s="83"/>
    </row>
    <row r="47">
      <c r="A47" s="93" t="s">
        <v>763</v>
      </c>
      <c r="B47" s="93" t="s">
        <v>764</v>
      </c>
      <c r="C47" s="94">
        <f t="shared" si="1"/>
        <v>6.333333333</v>
      </c>
      <c r="D47" s="95"/>
      <c r="E47" s="96">
        <v>4.0</v>
      </c>
      <c r="F47" s="97">
        <v>4.0</v>
      </c>
      <c r="G47" s="107">
        <v>4.0</v>
      </c>
      <c r="H47" s="104"/>
      <c r="I47" s="95"/>
      <c r="J47" s="100">
        <v>-1.0</v>
      </c>
      <c r="K47" s="97">
        <v>-1.0</v>
      </c>
      <c r="L47" s="107">
        <v>-1.0</v>
      </c>
      <c r="M47" s="104"/>
      <c r="N47" s="95"/>
      <c r="O47" s="100">
        <v>4.0</v>
      </c>
      <c r="P47" s="97">
        <v>3.0</v>
      </c>
      <c r="Q47" s="107">
        <v>3.0</v>
      </c>
      <c r="R47" s="104"/>
      <c r="S47" s="83"/>
      <c r="T47" s="83"/>
      <c r="U47" s="83"/>
      <c r="V47" s="83"/>
      <c r="W47" s="83"/>
      <c r="X47" s="83"/>
      <c r="Y47" s="83"/>
      <c r="Z47" s="83"/>
    </row>
    <row r="48">
      <c r="A48" s="93" t="s">
        <v>765</v>
      </c>
      <c r="B48" s="93" t="s">
        <v>766</v>
      </c>
      <c r="C48" s="94">
        <f t="shared" si="1"/>
        <v>0.3333333333</v>
      </c>
      <c r="D48" s="95"/>
      <c r="E48" s="96">
        <v>2.0</v>
      </c>
      <c r="F48" s="97">
        <v>0.0</v>
      </c>
      <c r="G48" s="107">
        <v>4.0</v>
      </c>
      <c r="H48" s="104"/>
      <c r="I48" s="95"/>
      <c r="J48" s="100">
        <v>0.0</v>
      </c>
      <c r="K48" s="97">
        <v>-4.0</v>
      </c>
      <c r="L48" s="107">
        <v>0.0</v>
      </c>
      <c r="M48" s="104"/>
      <c r="N48" s="95"/>
      <c r="O48" s="100">
        <v>-1.0</v>
      </c>
      <c r="P48" s="97">
        <v>-1.0</v>
      </c>
      <c r="Q48" s="107">
        <v>1.0</v>
      </c>
      <c r="R48" s="104"/>
      <c r="S48" s="83"/>
      <c r="T48" s="83"/>
      <c r="U48" s="83"/>
      <c r="V48" s="83"/>
      <c r="W48" s="83"/>
      <c r="X48" s="83"/>
      <c r="Y48" s="83"/>
      <c r="Z48" s="83"/>
    </row>
    <row r="49">
      <c r="A49" s="93" t="s">
        <v>767</v>
      </c>
      <c r="B49" s="93" t="s">
        <v>768</v>
      </c>
      <c r="C49" s="94">
        <f t="shared" si="1"/>
        <v>2.666666667</v>
      </c>
      <c r="D49" s="95"/>
      <c r="E49" s="96">
        <v>2.0</v>
      </c>
      <c r="F49" s="97">
        <v>2.0</v>
      </c>
      <c r="G49" s="107">
        <v>2.0</v>
      </c>
      <c r="H49" s="104"/>
      <c r="I49" s="95"/>
      <c r="J49" s="100">
        <v>-1.0</v>
      </c>
      <c r="K49" s="97">
        <v>-1.0</v>
      </c>
      <c r="L49" s="107">
        <v>-1.0</v>
      </c>
      <c r="M49" s="104"/>
      <c r="N49" s="95"/>
      <c r="O49" s="100">
        <v>1.0</v>
      </c>
      <c r="P49" s="97">
        <v>1.0</v>
      </c>
      <c r="Q49" s="107">
        <v>3.0</v>
      </c>
      <c r="R49" s="104"/>
      <c r="S49" s="83"/>
      <c r="T49" s="83"/>
      <c r="U49" s="83"/>
      <c r="V49" s="83"/>
      <c r="W49" s="83"/>
      <c r="X49" s="83"/>
      <c r="Y49" s="83"/>
      <c r="Z49" s="83"/>
    </row>
    <row r="50">
      <c r="A50" s="93" t="s">
        <v>769</v>
      </c>
      <c r="B50" s="93" t="s">
        <v>770</v>
      </c>
      <c r="C50" s="94">
        <f t="shared" si="1"/>
        <v>9</v>
      </c>
      <c r="D50" s="95"/>
      <c r="E50" s="96">
        <v>4.0</v>
      </c>
      <c r="F50" s="97">
        <v>4.0</v>
      </c>
      <c r="G50" s="107">
        <v>4.0</v>
      </c>
      <c r="H50" s="104"/>
      <c r="I50" s="95"/>
      <c r="J50" s="100">
        <v>0.0</v>
      </c>
      <c r="K50" s="97">
        <v>0.0</v>
      </c>
      <c r="L50" s="107">
        <v>0.0</v>
      </c>
      <c r="M50" s="104"/>
      <c r="N50" s="95"/>
      <c r="O50" s="100">
        <v>5.0</v>
      </c>
      <c r="P50" s="97">
        <v>5.0</v>
      </c>
      <c r="Q50" s="107">
        <v>5.0</v>
      </c>
      <c r="R50" s="104"/>
      <c r="S50" s="83"/>
      <c r="T50" s="83"/>
      <c r="U50" s="83"/>
      <c r="V50" s="83"/>
      <c r="W50" s="83"/>
      <c r="X50" s="83"/>
      <c r="Y50" s="83"/>
      <c r="Z50" s="83"/>
    </row>
    <row r="51">
      <c r="A51" s="93" t="s">
        <v>771</v>
      </c>
      <c r="B51" s="93" t="s">
        <v>772</v>
      </c>
      <c r="C51" s="94">
        <f t="shared" si="1"/>
        <v>5</v>
      </c>
      <c r="D51" s="95"/>
      <c r="E51" s="96">
        <v>2.0</v>
      </c>
      <c r="F51" s="108"/>
      <c r="G51" s="107">
        <v>2.0</v>
      </c>
      <c r="H51" s="104"/>
      <c r="I51" s="95"/>
      <c r="J51" s="100">
        <v>-2.0</v>
      </c>
      <c r="K51" s="108"/>
      <c r="L51" s="107">
        <v>-2.0</v>
      </c>
      <c r="M51" s="104"/>
      <c r="N51" s="95"/>
      <c r="O51" s="100">
        <v>5.0</v>
      </c>
      <c r="P51" s="108"/>
      <c r="Q51" s="107">
        <v>5.0</v>
      </c>
      <c r="R51" s="104"/>
      <c r="S51" s="83"/>
      <c r="T51" s="83"/>
      <c r="U51" s="83"/>
      <c r="V51" s="83"/>
      <c r="W51" s="83"/>
      <c r="X51" s="83"/>
      <c r="Y51" s="83"/>
      <c r="Z51" s="83"/>
    </row>
    <row r="52">
      <c r="A52" s="93" t="s">
        <v>773</v>
      </c>
      <c r="B52" s="93" t="s">
        <v>774</v>
      </c>
      <c r="C52" s="94">
        <f t="shared" si="1"/>
        <v>4.5</v>
      </c>
      <c r="D52" s="95"/>
      <c r="E52" s="96">
        <v>2.0</v>
      </c>
      <c r="F52" s="108"/>
      <c r="G52" s="107">
        <v>2.0</v>
      </c>
      <c r="H52" s="104"/>
      <c r="I52" s="95"/>
      <c r="J52" s="100">
        <v>-2.0</v>
      </c>
      <c r="K52" s="108"/>
      <c r="L52" s="107">
        <v>-2.0</v>
      </c>
      <c r="M52" s="104"/>
      <c r="N52" s="95"/>
      <c r="O52" s="100">
        <v>4.0</v>
      </c>
      <c r="P52" s="108"/>
      <c r="Q52" s="107">
        <v>5.0</v>
      </c>
      <c r="R52" s="104"/>
      <c r="S52" s="83"/>
      <c r="T52" s="83"/>
      <c r="U52" s="83"/>
      <c r="V52" s="83"/>
      <c r="W52" s="83"/>
      <c r="X52" s="83"/>
      <c r="Y52" s="83"/>
      <c r="Z52" s="83"/>
    </row>
    <row r="53">
      <c r="A53" s="93" t="s">
        <v>775</v>
      </c>
      <c r="B53" s="93" t="s">
        <v>776</v>
      </c>
      <c r="C53" s="94">
        <f t="shared" si="1"/>
        <v>1</v>
      </c>
      <c r="D53" s="95"/>
      <c r="E53" s="96">
        <v>2.0</v>
      </c>
      <c r="F53" s="108"/>
      <c r="G53" s="107">
        <v>2.0</v>
      </c>
      <c r="H53" s="104"/>
      <c r="I53" s="95"/>
      <c r="J53" s="100">
        <v>-3.0</v>
      </c>
      <c r="K53" s="108"/>
      <c r="L53" s="107">
        <v>-2.0</v>
      </c>
      <c r="M53" s="104"/>
      <c r="N53" s="95"/>
      <c r="O53" s="100">
        <v>1.0</v>
      </c>
      <c r="P53" s="108"/>
      <c r="Q53" s="107">
        <v>2.0</v>
      </c>
      <c r="R53" s="104"/>
      <c r="S53" s="83"/>
      <c r="T53" s="83"/>
      <c r="U53" s="83"/>
      <c r="V53" s="83"/>
      <c r="W53" s="83"/>
      <c r="X53" s="83"/>
      <c r="Y53" s="83"/>
      <c r="Z53" s="83"/>
    </row>
    <row r="54">
      <c r="A54" s="93" t="s">
        <v>777</v>
      </c>
      <c r="B54" s="105" t="s">
        <v>778</v>
      </c>
      <c r="C54" s="94">
        <f t="shared" si="1"/>
        <v>3</v>
      </c>
      <c r="D54" s="95"/>
      <c r="E54" s="96">
        <v>3.0</v>
      </c>
      <c r="F54" s="108"/>
      <c r="G54" s="107">
        <v>3.0</v>
      </c>
      <c r="H54" s="104"/>
      <c r="I54" s="95"/>
      <c r="J54" s="100">
        <v>-1.0</v>
      </c>
      <c r="K54" s="108"/>
      <c r="L54" s="107">
        <v>-1.0</v>
      </c>
      <c r="M54" s="104"/>
      <c r="N54" s="95"/>
      <c r="O54" s="100">
        <v>1.0</v>
      </c>
      <c r="P54" s="108"/>
      <c r="Q54" s="107">
        <v>1.0</v>
      </c>
      <c r="R54" s="104"/>
      <c r="S54" s="83"/>
      <c r="T54" s="83"/>
      <c r="U54" s="83"/>
      <c r="V54" s="83"/>
      <c r="W54" s="83"/>
      <c r="X54" s="83"/>
      <c r="Y54" s="83"/>
      <c r="Z54" s="83"/>
    </row>
    <row r="55">
      <c r="A55" s="93" t="s">
        <v>779</v>
      </c>
      <c r="B55" s="106" t="s">
        <v>780</v>
      </c>
      <c r="C55" s="94">
        <f t="shared" si="1"/>
        <v>4</v>
      </c>
      <c r="D55" s="95"/>
      <c r="E55" s="96">
        <v>2.0</v>
      </c>
      <c r="F55" s="108"/>
      <c r="G55" s="107">
        <v>2.0</v>
      </c>
      <c r="H55" s="104"/>
      <c r="I55" s="95"/>
      <c r="J55" s="100">
        <v>0.0</v>
      </c>
      <c r="K55" s="108"/>
      <c r="L55" s="107">
        <v>0.0</v>
      </c>
      <c r="M55" s="104"/>
      <c r="N55" s="95"/>
      <c r="O55" s="100">
        <v>2.0</v>
      </c>
      <c r="P55" s="108"/>
      <c r="Q55" s="107">
        <v>2.0</v>
      </c>
      <c r="R55" s="104"/>
      <c r="S55" s="83"/>
      <c r="T55" s="83"/>
      <c r="U55" s="83"/>
      <c r="V55" s="83"/>
      <c r="W55" s="83"/>
      <c r="X55" s="83"/>
      <c r="Y55" s="83"/>
      <c r="Z55" s="83"/>
    </row>
    <row r="56">
      <c r="A56" s="93" t="s">
        <v>781</v>
      </c>
      <c r="B56" s="93" t="s">
        <v>782</v>
      </c>
      <c r="C56" s="94">
        <f t="shared" si="1"/>
        <v>4</v>
      </c>
      <c r="D56" s="95"/>
      <c r="E56" s="96">
        <v>4.0</v>
      </c>
      <c r="F56" s="108"/>
      <c r="G56" s="107">
        <v>4.0</v>
      </c>
      <c r="H56" s="104"/>
      <c r="I56" s="95"/>
      <c r="J56" s="100">
        <v>-3.0</v>
      </c>
      <c r="K56" s="108"/>
      <c r="L56" s="107">
        <v>-3.0</v>
      </c>
      <c r="M56" s="104"/>
      <c r="N56" s="95"/>
      <c r="O56" s="100">
        <v>2.0</v>
      </c>
      <c r="P56" s="108"/>
      <c r="Q56" s="107">
        <v>4.0</v>
      </c>
      <c r="R56" s="104"/>
      <c r="S56" s="83"/>
      <c r="T56" s="83"/>
      <c r="U56" s="83"/>
      <c r="V56" s="83"/>
      <c r="W56" s="83"/>
      <c r="X56" s="83"/>
      <c r="Y56" s="83"/>
      <c r="Z56" s="83"/>
    </row>
    <row r="57">
      <c r="A57" s="93" t="s">
        <v>783</v>
      </c>
      <c r="B57" s="93" t="s">
        <v>784</v>
      </c>
      <c r="C57" s="94">
        <f t="shared" si="1"/>
        <v>3</v>
      </c>
      <c r="D57" s="95"/>
      <c r="E57" s="96">
        <v>2.0</v>
      </c>
      <c r="F57" s="108"/>
      <c r="G57" s="107">
        <v>2.0</v>
      </c>
      <c r="H57" s="104"/>
      <c r="I57" s="95"/>
      <c r="J57" s="100">
        <v>-2.0</v>
      </c>
      <c r="K57" s="108"/>
      <c r="L57" s="107">
        <v>-3.0</v>
      </c>
      <c r="M57" s="104"/>
      <c r="N57" s="95"/>
      <c r="O57" s="100">
        <v>4.0</v>
      </c>
      <c r="P57" s="108"/>
      <c r="Q57" s="107">
        <v>3.0</v>
      </c>
      <c r="R57" s="104"/>
      <c r="S57" s="83"/>
      <c r="T57" s="83"/>
      <c r="U57" s="83"/>
      <c r="V57" s="83"/>
      <c r="W57" s="83"/>
      <c r="X57" s="83"/>
      <c r="Y57" s="83"/>
      <c r="Z57" s="83"/>
    </row>
    <row r="58">
      <c r="A58" s="93" t="s">
        <v>785</v>
      </c>
      <c r="B58" s="93" t="s">
        <v>786</v>
      </c>
      <c r="C58" s="94">
        <f t="shared" si="1"/>
        <v>4.5</v>
      </c>
      <c r="D58" s="95"/>
      <c r="E58" s="96">
        <v>2.0</v>
      </c>
      <c r="F58" s="108"/>
      <c r="G58" s="107">
        <v>4.0</v>
      </c>
      <c r="H58" s="104"/>
      <c r="I58" s="95"/>
      <c r="J58" s="100">
        <v>-1.0</v>
      </c>
      <c r="K58" s="108"/>
      <c r="L58" s="107">
        <v>-1.0</v>
      </c>
      <c r="M58" s="104"/>
      <c r="N58" s="95"/>
      <c r="O58" s="100">
        <v>2.0</v>
      </c>
      <c r="P58" s="108"/>
      <c r="Q58" s="107">
        <v>3.0</v>
      </c>
      <c r="R58" s="104"/>
      <c r="S58" s="83"/>
      <c r="T58" s="83"/>
      <c r="U58" s="83"/>
      <c r="V58" s="83"/>
      <c r="W58" s="83"/>
      <c r="X58" s="83"/>
      <c r="Y58" s="83"/>
      <c r="Z58" s="83"/>
    </row>
    <row r="59">
      <c r="A59" s="105" t="s">
        <v>787</v>
      </c>
      <c r="B59" s="105" t="s">
        <v>734</v>
      </c>
      <c r="C59" s="94">
        <f t="shared" si="1"/>
        <v>4</v>
      </c>
      <c r="D59" s="95"/>
      <c r="E59" s="96">
        <v>2.0</v>
      </c>
      <c r="F59" s="108"/>
      <c r="G59" s="107">
        <v>4.0</v>
      </c>
      <c r="H59" s="104"/>
      <c r="I59" s="95"/>
      <c r="J59" s="100">
        <v>-1.0</v>
      </c>
      <c r="K59" s="108"/>
      <c r="L59" s="107">
        <v>-1.0</v>
      </c>
      <c r="M59" s="104"/>
      <c r="N59" s="95"/>
      <c r="O59" s="100">
        <v>2.0</v>
      </c>
      <c r="P59" s="108"/>
      <c r="Q59" s="107">
        <v>2.0</v>
      </c>
      <c r="R59" s="104"/>
      <c r="S59" s="83"/>
      <c r="T59" s="83"/>
      <c r="U59" s="83"/>
      <c r="V59" s="83"/>
      <c r="W59" s="83"/>
      <c r="X59" s="83"/>
      <c r="Y59" s="83"/>
      <c r="Z59" s="83"/>
    </row>
    <row r="60">
      <c r="A60" s="93" t="s">
        <v>788</v>
      </c>
      <c r="B60" s="93" t="s">
        <v>789</v>
      </c>
      <c r="C60" s="94">
        <f t="shared" si="1"/>
        <v>3</v>
      </c>
      <c r="D60" s="95"/>
      <c r="E60" s="96">
        <v>2.0</v>
      </c>
      <c r="F60" s="108"/>
      <c r="G60" s="107">
        <v>2.0</v>
      </c>
      <c r="H60" s="104"/>
      <c r="I60" s="95"/>
      <c r="J60" s="100">
        <v>-2.0</v>
      </c>
      <c r="K60" s="108"/>
      <c r="L60" s="107">
        <v>-2.0</v>
      </c>
      <c r="M60" s="104"/>
      <c r="N60" s="95"/>
      <c r="O60" s="100">
        <v>3.0</v>
      </c>
      <c r="P60" s="108"/>
      <c r="Q60" s="107">
        <v>3.0</v>
      </c>
      <c r="R60" s="104"/>
      <c r="S60" s="83"/>
      <c r="T60" s="83"/>
      <c r="U60" s="83"/>
      <c r="V60" s="83"/>
      <c r="W60" s="83"/>
      <c r="X60" s="83"/>
      <c r="Y60" s="83"/>
      <c r="Z60" s="83"/>
    </row>
    <row r="61">
      <c r="A61" s="93" t="s">
        <v>790</v>
      </c>
      <c r="B61" s="93" t="s">
        <v>791</v>
      </c>
      <c r="C61" s="94">
        <f t="shared" si="1"/>
        <v>3</v>
      </c>
      <c r="D61" s="95"/>
      <c r="E61" s="96">
        <v>2.0</v>
      </c>
      <c r="F61" s="108"/>
      <c r="G61" s="107">
        <v>2.0</v>
      </c>
      <c r="H61" s="104"/>
      <c r="I61" s="95"/>
      <c r="J61" s="100">
        <v>-1.0</v>
      </c>
      <c r="K61" s="108"/>
      <c r="L61" s="107">
        <v>-1.0</v>
      </c>
      <c r="M61" s="104"/>
      <c r="N61" s="95"/>
      <c r="O61" s="100">
        <v>2.0</v>
      </c>
      <c r="P61" s="108"/>
      <c r="Q61" s="107">
        <v>2.0</v>
      </c>
      <c r="R61" s="104"/>
      <c r="S61" s="83"/>
      <c r="T61" s="83"/>
      <c r="U61" s="83"/>
      <c r="V61" s="83"/>
      <c r="W61" s="83"/>
      <c r="X61" s="83"/>
      <c r="Y61" s="83"/>
      <c r="Z61" s="83"/>
    </row>
    <row r="62">
      <c r="A62" s="93" t="s">
        <v>792</v>
      </c>
      <c r="B62" s="93" t="s">
        <v>793</v>
      </c>
      <c r="C62" s="94">
        <f t="shared" si="1"/>
        <v>1.5</v>
      </c>
      <c r="D62" s="95"/>
      <c r="E62" s="96">
        <v>2.0</v>
      </c>
      <c r="F62" s="108"/>
      <c r="G62" s="107">
        <v>2.0</v>
      </c>
      <c r="H62" s="104"/>
      <c r="I62" s="95"/>
      <c r="J62" s="100">
        <v>-2.0</v>
      </c>
      <c r="K62" s="108"/>
      <c r="L62" s="107">
        <v>-2.0</v>
      </c>
      <c r="M62" s="104"/>
      <c r="N62" s="95"/>
      <c r="O62" s="100">
        <v>1.0</v>
      </c>
      <c r="P62" s="108"/>
      <c r="Q62" s="107">
        <v>2.0</v>
      </c>
      <c r="R62" s="104"/>
      <c r="S62" s="83"/>
      <c r="T62" s="83"/>
      <c r="U62" s="83"/>
      <c r="V62" s="83"/>
      <c r="W62" s="83"/>
      <c r="X62" s="83"/>
      <c r="Y62" s="83"/>
      <c r="Z62" s="83"/>
    </row>
    <row r="63">
      <c r="A63" s="93" t="s">
        <v>794</v>
      </c>
      <c r="B63" s="93" t="s">
        <v>795</v>
      </c>
      <c r="C63" s="94">
        <f t="shared" si="1"/>
        <v>2</v>
      </c>
      <c r="D63" s="95"/>
      <c r="E63" s="96">
        <v>2.0</v>
      </c>
      <c r="F63" s="108"/>
      <c r="G63" s="107">
        <v>2.0</v>
      </c>
      <c r="H63" s="104"/>
      <c r="I63" s="95"/>
      <c r="J63" s="100">
        <v>-2.0</v>
      </c>
      <c r="K63" s="108"/>
      <c r="L63" s="107">
        <v>-2.0</v>
      </c>
      <c r="M63" s="104"/>
      <c r="N63" s="95"/>
      <c r="O63" s="100">
        <v>2.0</v>
      </c>
      <c r="P63" s="108"/>
      <c r="Q63" s="107">
        <v>2.0</v>
      </c>
      <c r="R63" s="104"/>
      <c r="S63" s="83"/>
      <c r="T63" s="83"/>
      <c r="U63" s="83"/>
      <c r="V63" s="83"/>
      <c r="W63" s="83"/>
      <c r="X63" s="83"/>
      <c r="Y63" s="83"/>
      <c r="Z63" s="83"/>
    </row>
    <row r="64">
      <c r="A64" s="93" t="s">
        <v>796</v>
      </c>
      <c r="B64" s="93" t="s">
        <v>797</v>
      </c>
      <c r="C64" s="94">
        <f t="shared" si="1"/>
        <v>6.5</v>
      </c>
      <c r="D64" s="95"/>
      <c r="E64" s="96">
        <v>2.0</v>
      </c>
      <c r="F64" s="108"/>
      <c r="G64" s="107">
        <v>4.0</v>
      </c>
      <c r="H64" s="104"/>
      <c r="I64" s="95"/>
      <c r="J64" s="100">
        <v>-1.0</v>
      </c>
      <c r="K64" s="108"/>
      <c r="L64" s="107">
        <v>0.0</v>
      </c>
      <c r="M64" s="104"/>
      <c r="N64" s="95"/>
      <c r="O64" s="100">
        <v>4.0</v>
      </c>
      <c r="P64" s="108"/>
      <c r="Q64" s="107">
        <v>4.0</v>
      </c>
      <c r="R64" s="104"/>
      <c r="S64" s="83"/>
      <c r="T64" s="83"/>
      <c r="U64" s="83"/>
      <c r="V64" s="83"/>
      <c r="W64" s="83"/>
      <c r="X64" s="83"/>
      <c r="Y64" s="83"/>
      <c r="Z64" s="83"/>
    </row>
    <row r="65">
      <c r="A65" s="93" t="s">
        <v>798</v>
      </c>
      <c r="B65" s="93" t="s">
        <v>799</v>
      </c>
      <c r="C65" s="94">
        <f t="shared" si="1"/>
        <v>0</v>
      </c>
      <c r="D65" s="95"/>
      <c r="E65" s="96">
        <v>2.0</v>
      </c>
      <c r="F65" s="108"/>
      <c r="G65" s="107">
        <v>2.0</v>
      </c>
      <c r="H65" s="99">
        <v>2.0</v>
      </c>
      <c r="I65" s="95"/>
      <c r="J65" s="100">
        <v>-6.0</v>
      </c>
      <c r="K65" s="108"/>
      <c r="L65" s="107">
        <v>-4.0</v>
      </c>
      <c r="M65" s="99">
        <v>-4.0</v>
      </c>
      <c r="N65" s="95"/>
      <c r="O65" s="100">
        <v>2.0</v>
      </c>
      <c r="P65" s="108"/>
      <c r="Q65" s="107">
        <v>1.0</v>
      </c>
      <c r="R65" s="99">
        <v>5.0</v>
      </c>
      <c r="S65" s="83"/>
      <c r="T65" s="83"/>
      <c r="U65" s="83"/>
      <c r="V65" s="83"/>
      <c r="W65" s="83"/>
      <c r="X65" s="83"/>
      <c r="Y65" s="83"/>
      <c r="Z65" s="83"/>
    </row>
    <row r="66">
      <c r="A66" s="93" t="s">
        <v>800</v>
      </c>
      <c r="B66" s="93" t="s">
        <v>801</v>
      </c>
      <c r="C66" s="94">
        <f t="shared" si="1"/>
        <v>5</v>
      </c>
      <c r="D66" s="95"/>
      <c r="E66" s="96">
        <v>2.0</v>
      </c>
      <c r="F66" s="108"/>
      <c r="G66" s="107">
        <v>2.0</v>
      </c>
      <c r="H66" s="104"/>
      <c r="I66" s="95"/>
      <c r="J66" s="100">
        <v>-1.0</v>
      </c>
      <c r="K66" s="108"/>
      <c r="L66" s="107">
        <v>-1.0</v>
      </c>
      <c r="M66" s="104"/>
      <c r="N66" s="95"/>
      <c r="O66" s="100">
        <v>5.0</v>
      </c>
      <c r="P66" s="108"/>
      <c r="Q66" s="107">
        <v>3.0</v>
      </c>
      <c r="R66" s="104"/>
      <c r="S66" s="83"/>
      <c r="T66" s="83"/>
      <c r="U66" s="83"/>
      <c r="V66" s="83"/>
      <c r="W66" s="83"/>
      <c r="X66" s="83"/>
      <c r="Y66" s="83"/>
      <c r="Z66" s="83"/>
    </row>
    <row r="67">
      <c r="A67" s="93" t="s">
        <v>802</v>
      </c>
      <c r="B67" s="93" t="s">
        <v>803</v>
      </c>
      <c r="C67" s="94">
        <f t="shared" si="1"/>
        <v>6</v>
      </c>
      <c r="D67" s="95"/>
      <c r="E67" s="96">
        <v>2.0</v>
      </c>
      <c r="F67" s="108"/>
      <c r="G67" s="107">
        <v>4.0</v>
      </c>
      <c r="H67" s="104"/>
      <c r="I67" s="95"/>
      <c r="J67" s="100">
        <v>0.0</v>
      </c>
      <c r="K67" s="108"/>
      <c r="L67" s="107">
        <v>0.0</v>
      </c>
      <c r="M67" s="104"/>
      <c r="N67" s="95"/>
      <c r="O67" s="100">
        <v>4.0</v>
      </c>
      <c r="P67" s="108"/>
      <c r="Q67" s="107">
        <v>2.0</v>
      </c>
      <c r="R67" s="104"/>
      <c r="S67" s="83"/>
      <c r="T67" s="83"/>
      <c r="U67" s="83"/>
      <c r="V67" s="83"/>
      <c r="W67" s="83"/>
      <c r="X67" s="83"/>
      <c r="Y67" s="83"/>
      <c r="Z67" s="83"/>
    </row>
    <row r="68">
      <c r="A68" s="93" t="s">
        <v>804</v>
      </c>
      <c r="B68" s="101" t="s">
        <v>805</v>
      </c>
      <c r="C68" s="94">
        <f t="shared" si="1"/>
        <v>5</v>
      </c>
      <c r="D68" s="95"/>
      <c r="E68" s="96">
        <v>3.0</v>
      </c>
      <c r="F68" s="108"/>
      <c r="G68" s="107">
        <v>3.0</v>
      </c>
      <c r="H68" s="104"/>
      <c r="I68" s="95"/>
      <c r="J68" s="100">
        <v>-3.0</v>
      </c>
      <c r="K68" s="108"/>
      <c r="L68" s="107">
        <v>-3.0</v>
      </c>
      <c r="M68" s="104"/>
      <c r="N68" s="95"/>
      <c r="O68" s="100">
        <v>5.0</v>
      </c>
      <c r="P68" s="108"/>
      <c r="Q68" s="107">
        <v>5.0</v>
      </c>
      <c r="R68" s="104"/>
      <c r="S68" s="83"/>
      <c r="T68" s="83"/>
      <c r="U68" s="83"/>
      <c r="V68" s="83"/>
      <c r="W68" s="83"/>
      <c r="X68" s="83"/>
      <c r="Y68" s="83"/>
      <c r="Z68" s="83"/>
    </row>
    <row r="69">
      <c r="A69" s="93" t="s">
        <v>806</v>
      </c>
      <c r="B69" s="93" t="s">
        <v>807</v>
      </c>
      <c r="C69" s="94">
        <f t="shared" si="1"/>
        <v>2</v>
      </c>
      <c r="D69" s="95"/>
      <c r="E69" s="96">
        <v>2.0</v>
      </c>
      <c r="F69" s="108"/>
      <c r="G69" s="107">
        <v>2.0</v>
      </c>
      <c r="H69" s="104"/>
      <c r="I69" s="95"/>
      <c r="J69" s="100">
        <v>-2.0</v>
      </c>
      <c r="K69" s="108"/>
      <c r="L69" s="107">
        <v>-2.0</v>
      </c>
      <c r="M69" s="104"/>
      <c r="N69" s="95"/>
      <c r="O69" s="100">
        <v>2.0</v>
      </c>
      <c r="P69" s="108"/>
      <c r="Q69" s="107">
        <v>2.0</v>
      </c>
      <c r="R69" s="104"/>
      <c r="S69" s="83"/>
      <c r="T69" s="83"/>
      <c r="U69" s="83"/>
      <c r="V69" s="83"/>
      <c r="W69" s="83"/>
      <c r="X69" s="83"/>
      <c r="Y69" s="83"/>
      <c r="Z69" s="83"/>
    </row>
    <row r="70">
      <c r="A70" s="93" t="s">
        <v>808</v>
      </c>
      <c r="B70" s="93" t="s">
        <v>809</v>
      </c>
      <c r="C70" s="94">
        <f t="shared" si="1"/>
        <v>2</v>
      </c>
      <c r="D70" s="95"/>
      <c r="E70" s="96">
        <v>2.0</v>
      </c>
      <c r="F70" s="108"/>
      <c r="G70" s="107">
        <v>2.0</v>
      </c>
      <c r="H70" s="104"/>
      <c r="I70" s="95"/>
      <c r="J70" s="100">
        <v>-2.0</v>
      </c>
      <c r="K70" s="108"/>
      <c r="L70" s="107">
        <v>-3.0</v>
      </c>
      <c r="M70" s="104"/>
      <c r="N70" s="95"/>
      <c r="O70" s="100">
        <v>2.0</v>
      </c>
      <c r="P70" s="108"/>
      <c r="Q70" s="107">
        <v>3.0</v>
      </c>
      <c r="R70" s="104"/>
      <c r="S70" s="83"/>
      <c r="T70" s="83"/>
      <c r="U70" s="83"/>
      <c r="V70" s="83"/>
      <c r="W70" s="83"/>
      <c r="X70" s="83"/>
      <c r="Y70" s="83"/>
      <c r="Z70" s="83"/>
    </row>
    <row r="71">
      <c r="A71" s="93" t="s">
        <v>810</v>
      </c>
      <c r="B71" s="93" t="s">
        <v>811</v>
      </c>
      <c r="C71" s="94">
        <f t="shared" si="1"/>
        <v>4.5</v>
      </c>
      <c r="D71" s="95"/>
      <c r="E71" s="96">
        <v>2.0</v>
      </c>
      <c r="F71" s="108"/>
      <c r="G71" s="107">
        <v>4.0</v>
      </c>
      <c r="H71" s="104"/>
      <c r="I71" s="95"/>
      <c r="J71" s="100">
        <v>-2.0</v>
      </c>
      <c r="K71" s="108"/>
      <c r="L71" s="107">
        <v>-2.0</v>
      </c>
      <c r="M71" s="104"/>
      <c r="N71" s="95"/>
      <c r="O71" s="100">
        <v>4.0</v>
      </c>
      <c r="P71" s="108"/>
      <c r="Q71" s="107">
        <v>3.0</v>
      </c>
      <c r="R71" s="104"/>
      <c r="S71" s="83"/>
      <c r="T71" s="83"/>
      <c r="U71" s="83"/>
      <c r="V71" s="83"/>
      <c r="W71" s="83"/>
      <c r="X71" s="83"/>
      <c r="Y71" s="83"/>
      <c r="Z71" s="83"/>
    </row>
    <row r="72">
      <c r="A72" s="93" t="s">
        <v>812</v>
      </c>
      <c r="B72" s="93" t="s">
        <v>813</v>
      </c>
      <c r="C72" s="94">
        <f t="shared" si="1"/>
        <v>2</v>
      </c>
      <c r="D72" s="95"/>
      <c r="E72" s="96">
        <v>3.0</v>
      </c>
      <c r="F72" s="108"/>
      <c r="G72" s="107">
        <v>2.0</v>
      </c>
      <c r="H72" s="104"/>
      <c r="I72" s="95"/>
      <c r="J72" s="100">
        <v>-1.0</v>
      </c>
      <c r="K72" s="108"/>
      <c r="L72" s="107">
        <v>-4.0</v>
      </c>
      <c r="M72" s="104"/>
      <c r="N72" s="95"/>
      <c r="O72" s="100">
        <v>2.0</v>
      </c>
      <c r="P72" s="108"/>
      <c r="Q72" s="107">
        <v>2.0</v>
      </c>
      <c r="R72" s="104"/>
      <c r="S72" s="83"/>
      <c r="T72" s="83"/>
      <c r="U72" s="83"/>
      <c r="V72" s="83"/>
      <c r="W72" s="83"/>
      <c r="X72" s="83"/>
      <c r="Y72" s="83"/>
      <c r="Z72" s="83"/>
    </row>
    <row r="73">
      <c r="A73" s="93" t="s">
        <v>814</v>
      </c>
      <c r="B73" s="93" t="s">
        <v>815</v>
      </c>
      <c r="C73" s="94">
        <f t="shared" si="1"/>
        <v>5.5</v>
      </c>
      <c r="D73" s="95"/>
      <c r="E73" s="96">
        <v>2.0</v>
      </c>
      <c r="F73" s="108"/>
      <c r="G73" s="107">
        <v>2.0</v>
      </c>
      <c r="H73" s="104"/>
      <c r="I73" s="95"/>
      <c r="J73" s="100">
        <v>0.0</v>
      </c>
      <c r="K73" s="108"/>
      <c r="L73" s="107">
        <v>0.0</v>
      </c>
      <c r="M73" s="104"/>
      <c r="N73" s="95"/>
      <c r="O73" s="100">
        <v>3.0</v>
      </c>
      <c r="P73" s="108"/>
      <c r="Q73" s="107">
        <v>4.0</v>
      </c>
      <c r="R73" s="104"/>
      <c r="S73" s="83"/>
      <c r="T73" s="83"/>
      <c r="U73" s="83"/>
      <c r="V73" s="83"/>
      <c r="W73" s="83"/>
      <c r="X73" s="83"/>
      <c r="Y73" s="83"/>
      <c r="Z73" s="83"/>
    </row>
    <row r="74">
      <c r="A74" s="93" t="s">
        <v>816</v>
      </c>
      <c r="B74" s="93" t="s">
        <v>817</v>
      </c>
      <c r="C74" s="94">
        <f t="shared" si="1"/>
        <v>3</v>
      </c>
      <c r="D74" s="95"/>
      <c r="E74" s="96">
        <v>4.0</v>
      </c>
      <c r="F74" s="108"/>
      <c r="G74" s="107">
        <v>4.0</v>
      </c>
      <c r="H74" s="104"/>
      <c r="I74" s="95"/>
      <c r="J74" s="100">
        <v>-3.0</v>
      </c>
      <c r="K74" s="108"/>
      <c r="L74" s="107">
        <v>-3.0</v>
      </c>
      <c r="M74" s="104"/>
      <c r="N74" s="95"/>
      <c r="O74" s="100">
        <v>2.0</v>
      </c>
      <c r="P74" s="108"/>
      <c r="Q74" s="107">
        <v>2.0</v>
      </c>
      <c r="R74" s="104"/>
      <c r="S74" s="83"/>
      <c r="T74" s="83"/>
      <c r="U74" s="83"/>
      <c r="V74" s="83"/>
      <c r="W74" s="83"/>
      <c r="X74" s="83"/>
      <c r="Y74" s="83"/>
      <c r="Z74" s="83"/>
    </row>
    <row r="75">
      <c r="A75" s="93" t="s">
        <v>818</v>
      </c>
      <c r="B75" s="101" t="s">
        <v>819</v>
      </c>
      <c r="C75" s="94">
        <f t="shared" si="1"/>
        <v>3</v>
      </c>
      <c r="D75" s="95"/>
      <c r="E75" s="96">
        <v>2.0</v>
      </c>
      <c r="F75" s="108"/>
      <c r="G75" s="107">
        <v>2.0</v>
      </c>
      <c r="H75" s="104"/>
      <c r="I75" s="95"/>
      <c r="J75" s="100">
        <v>-6.0</v>
      </c>
      <c r="K75" s="108"/>
      <c r="L75" s="107">
        <v>-2.0</v>
      </c>
      <c r="M75" s="104"/>
      <c r="N75" s="95"/>
      <c r="O75" s="100">
        <v>5.0</v>
      </c>
      <c r="P75" s="108"/>
      <c r="Q75" s="107">
        <v>5.0</v>
      </c>
      <c r="R75" s="104"/>
      <c r="S75" s="83"/>
      <c r="T75" s="83"/>
      <c r="U75" s="83"/>
      <c r="V75" s="83"/>
      <c r="W75" s="83"/>
      <c r="X75" s="83"/>
      <c r="Y75" s="83"/>
      <c r="Z75" s="83"/>
    </row>
    <row r="76">
      <c r="A76" s="93" t="s">
        <v>820</v>
      </c>
      <c r="B76" s="93" t="s">
        <v>821</v>
      </c>
      <c r="C76" s="94">
        <f t="shared" si="1"/>
        <v>4</v>
      </c>
      <c r="D76" s="95"/>
      <c r="E76" s="96">
        <v>2.0</v>
      </c>
      <c r="F76" s="108"/>
      <c r="G76" s="107">
        <v>2.0</v>
      </c>
      <c r="H76" s="104"/>
      <c r="I76" s="95"/>
      <c r="J76" s="100">
        <v>-1.0</v>
      </c>
      <c r="K76" s="108"/>
      <c r="L76" s="107">
        <v>-1.0</v>
      </c>
      <c r="M76" s="104"/>
      <c r="N76" s="95"/>
      <c r="O76" s="100">
        <v>3.0</v>
      </c>
      <c r="P76" s="108"/>
      <c r="Q76" s="107">
        <v>3.0</v>
      </c>
      <c r="R76" s="104"/>
      <c r="S76" s="83"/>
      <c r="T76" s="83"/>
      <c r="U76" s="83"/>
      <c r="V76" s="83"/>
      <c r="W76" s="83"/>
      <c r="X76" s="83"/>
      <c r="Y76" s="83"/>
      <c r="Z76" s="83"/>
    </row>
    <row r="77">
      <c r="A77" s="93" t="s">
        <v>822</v>
      </c>
      <c r="B77" s="93" t="s">
        <v>823</v>
      </c>
      <c r="C77" s="94">
        <f t="shared" si="1"/>
        <v>2</v>
      </c>
      <c r="D77" s="95"/>
      <c r="E77" s="96">
        <v>2.0</v>
      </c>
      <c r="F77" s="108"/>
      <c r="G77" s="107">
        <v>2.0</v>
      </c>
      <c r="H77" s="104"/>
      <c r="I77" s="95"/>
      <c r="J77" s="100">
        <v>-1.0</v>
      </c>
      <c r="K77" s="108"/>
      <c r="L77" s="107">
        <v>-1.0</v>
      </c>
      <c r="M77" s="104"/>
      <c r="N77" s="95"/>
      <c r="O77" s="100">
        <v>1.0</v>
      </c>
      <c r="P77" s="108"/>
      <c r="Q77" s="107">
        <v>1.0</v>
      </c>
      <c r="R77" s="104"/>
      <c r="S77" s="83"/>
      <c r="T77" s="83"/>
      <c r="U77" s="83"/>
      <c r="V77" s="83"/>
      <c r="W77" s="83"/>
      <c r="X77" s="83"/>
      <c r="Y77" s="83"/>
      <c r="Z77" s="83"/>
    </row>
    <row r="78">
      <c r="A78" s="93" t="s">
        <v>824</v>
      </c>
      <c r="B78" s="93" t="s">
        <v>825</v>
      </c>
      <c r="C78" s="94">
        <f t="shared" si="1"/>
        <v>2</v>
      </c>
      <c r="D78" s="95"/>
      <c r="E78" s="96">
        <v>2.0</v>
      </c>
      <c r="F78" s="108"/>
      <c r="G78" s="107">
        <v>2.0</v>
      </c>
      <c r="H78" s="104"/>
      <c r="I78" s="95"/>
      <c r="J78" s="100">
        <v>-2.0</v>
      </c>
      <c r="K78" s="108"/>
      <c r="L78" s="107">
        <v>-1.0</v>
      </c>
      <c r="M78" s="104"/>
      <c r="N78" s="95"/>
      <c r="O78" s="100">
        <v>2.0</v>
      </c>
      <c r="P78" s="108"/>
      <c r="Q78" s="107">
        <v>1.0</v>
      </c>
      <c r="R78" s="104"/>
      <c r="S78" s="83"/>
      <c r="T78" s="83"/>
      <c r="U78" s="83"/>
      <c r="V78" s="83"/>
      <c r="W78" s="83"/>
      <c r="X78" s="83"/>
      <c r="Y78" s="83"/>
      <c r="Z78" s="83"/>
    </row>
    <row r="79">
      <c r="A79" s="93" t="s">
        <v>826</v>
      </c>
      <c r="B79" s="93" t="s">
        <v>827</v>
      </c>
      <c r="C79" s="94">
        <f t="shared" si="1"/>
        <v>0</v>
      </c>
      <c r="D79" s="95"/>
      <c r="E79" s="96">
        <v>0.0</v>
      </c>
      <c r="F79" s="108"/>
      <c r="G79" s="107">
        <v>0.0</v>
      </c>
      <c r="H79" s="104"/>
      <c r="I79" s="95"/>
      <c r="J79" s="100">
        <v>0.0</v>
      </c>
      <c r="K79" s="108"/>
      <c r="L79" s="107">
        <v>0.0</v>
      </c>
      <c r="M79" s="104"/>
      <c r="N79" s="95"/>
      <c r="O79" s="100">
        <v>-1.0</v>
      </c>
      <c r="P79" s="108"/>
      <c r="Q79" s="107">
        <v>1.0</v>
      </c>
      <c r="R79" s="104"/>
      <c r="S79" s="83"/>
      <c r="T79" s="83"/>
      <c r="U79" s="83"/>
      <c r="V79" s="83"/>
      <c r="W79" s="83"/>
      <c r="X79" s="83"/>
      <c r="Y79" s="83"/>
      <c r="Z79" s="83"/>
    </row>
    <row r="80">
      <c r="A80" s="93" t="s">
        <v>828</v>
      </c>
      <c r="B80" s="93" t="s">
        <v>829</v>
      </c>
      <c r="C80" s="94">
        <f t="shared" si="1"/>
        <v>4</v>
      </c>
      <c r="D80" s="95"/>
      <c r="E80" s="96">
        <v>2.0</v>
      </c>
      <c r="F80" s="108"/>
      <c r="G80" s="107">
        <v>2.0</v>
      </c>
      <c r="H80" s="104"/>
      <c r="I80" s="95"/>
      <c r="J80" s="100">
        <v>-1.0</v>
      </c>
      <c r="K80" s="108"/>
      <c r="L80" s="107">
        <v>-1.0</v>
      </c>
      <c r="M80" s="104"/>
      <c r="N80" s="95"/>
      <c r="O80" s="100">
        <v>3.0</v>
      </c>
      <c r="P80" s="108"/>
      <c r="Q80" s="107">
        <v>3.0</v>
      </c>
      <c r="R80" s="104"/>
      <c r="S80" s="83"/>
      <c r="T80" s="83"/>
      <c r="U80" s="83"/>
      <c r="V80" s="83"/>
      <c r="W80" s="83"/>
      <c r="X80" s="83"/>
      <c r="Y80" s="83"/>
      <c r="Z80" s="83"/>
    </row>
    <row r="81">
      <c r="A81" s="93" t="s">
        <v>830</v>
      </c>
      <c r="B81" s="93" t="s">
        <v>831</v>
      </c>
      <c r="C81" s="94">
        <f t="shared" si="1"/>
        <v>2.333333333</v>
      </c>
      <c r="D81" s="95"/>
      <c r="E81" s="96">
        <v>2.0</v>
      </c>
      <c r="F81" s="108"/>
      <c r="G81" s="107">
        <v>2.0</v>
      </c>
      <c r="H81" s="99">
        <v>2.0</v>
      </c>
      <c r="I81" s="95"/>
      <c r="J81" s="100">
        <v>-1.0</v>
      </c>
      <c r="K81" s="108"/>
      <c r="L81" s="107">
        <v>-1.0</v>
      </c>
      <c r="M81" s="99">
        <v>-3.0</v>
      </c>
      <c r="N81" s="95"/>
      <c r="O81" s="100">
        <v>1.0</v>
      </c>
      <c r="P81" s="108"/>
      <c r="Q81" s="107">
        <v>2.0</v>
      </c>
      <c r="R81" s="99">
        <v>3.0</v>
      </c>
      <c r="S81" s="83"/>
      <c r="T81" s="83"/>
      <c r="U81" s="83"/>
      <c r="V81" s="83"/>
      <c r="W81" s="83"/>
      <c r="X81" s="83"/>
      <c r="Y81" s="83"/>
      <c r="Z81" s="83"/>
    </row>
    <row r="82">
      <c r="A82" s="93" t="s">
        <v>832</v>
      </c>
      <c r="B82" s="93" t="s">
        <v>833</v>
      </c>
      <c r="C82" s="94">
        <f t="shared" si="1"/>
        <v>3</v>
      </c>
      <c r="D82" s="95"/>
      <c r="E82" s="96">
        <v>2.0</v>
      </c>
      <c r="F82" s="108"/>
      <c r="G82" s="107">
        <v>2.0</v>
      </c>
      <c r="H82" s="99">
        <v>2.0</v>
      </c>
      <c r="I82" s="95"/>
      <c r="J82" s="100">
        <v>-1.0</v>
      </c>
      <c r="K82" s="108"/>
      <c r="L82" s="107">
        <v>-1.0</v>
      </c>
      <c r="M82" s="99">
        <v>-3.0</v>
      </c>
      <c r="N82" s="95"/>
      <c r="O82" s="100">
        <v>3.0</v>
      </c>
      <c r="P82" s="108"/>
      <c r="Q82" s="107">
        <v>2.0</v>
      </c>
      <c r="R82" s="99">
        <v>3.0</v>
      </c>
      <c r="S82" s="83"/>
      <c r="T82" s="83"/>
      <c r="U82" s="83"/>
      <c r="V82" s="83"/>
      <c r="W82" s="83"/>
      <c r="X82" s="83"/>
      <c r="Y82" s="83"/>
      <c r="Z82" s="83"/>
    </row>
    <row r="83">
      <c r="A83" s="93" t="s">
        <v>834</v>
      </c>
      <c r="B83" s="93" t="s">
        <v>835</v>
      </c>
      <c r="C83" s="94">
        <f t="shared" si="1"/>
        <v>-0.6666666667</v>
      </c>
      <c r="D83" s="95"/>
      <c r="E83" s="96">
        <v>0.0</v>
      </c>
      <c r="F83" s="108"/>
      <c r="G83" s="107">
        <v>0.0</v>
      </c>
      <c r="H83" s="99">
        <v>2.0</v>
      </c>
      <c r="I83" s="95"/>
      <c r="J83" s="100">
        <v>0.0</v>
      </c>
      <c r="K83" s="108"/>
      <c r="L83" s="107">
        <v>0.0</v>
      </c>
      <c r="M83" s="99">
        <v>-4.0</v>
      </c>
      <c r="N83" s="95"/>
      <c r="O83" s="100">
        <v>-1.0</v>
      </c>
      <c r="P83" s="108"/>
      <c r="Q83" s="107">
        <v>1.0</v>
      </c>
      <c r="R83" s="99">
        <v>0.0</v>
      </c>
      <c r="S83" s="83"/>
      <c r="T83" s="83"/>
      <c r="U83" s="83"/>
      <c r="V83" s="83"/>
      <c r="W83" s="83"/>
      <c r="X83" s="83"/>
      <c r="Y83" s="83"/>
      <c r="Z83" s="83"/>
    </row>
    <row r="84">
      <c r="A84" s="93" t="s">
        <v>836</v>
      </c>
      <c r="B84" s="93" t="s">
        <v>837</v>
      </c>
      <c r="C84" s="94">
        <f t="shared" si="1"/>
        <v>4.666666667</v>
      </c>
      <c r="D84" s="95"/>
      <c r="E84" s="96">
        <v>2.0</v>
      </c>
      <c r="F84" s="108"/>
      <c r="G84" s="107">
        <v>4.0</v>
      </c>
      <c r="H84" s="99">
        <v>4.0</v>
      </c>
      <c r="I84" s="95"/>
      <c r="J84" s="100">
        <v>-1.0</v>
      </c>
      <c r="K84" s="108"/>
      <c r="L84" s="107">
        <v>-1.0</v>
      </c>
      <c r="M84" s="99">
        <v>-1.0</v>
      </c>
      <c r="N84" s="95"/>
      <c r="O84" s="100">
        <v>2.0</v>
      </c>
      <c r="P84" s="108"/>
      <c r="Q84" s="107">
        <v>3.0</v>
      </c>
      <c r="R84" s="99">
        <v>2.0</v>
      </c>
      <c r="S84" s="83"/>
      <c r="T84" s="83"/>
      <c r="U84" s="83"/>
      <c r="V84" s="83"/>
      <c r="W84" s="83"/>
      <c r="X84" s="83"/>
      <c r="Y84" s="83"/>
      <c r="Z84" s="83"/>
    </row>
    <row r="85">
      <c r="A85" s="93" t="s">
        <v>838</v>
      </c>
      <c r="B85" s="93" t="s">
        <v>839</v>
      </c>
      <c r="C85" s="94">
        <f t="shared" si="1"/>
        <v>8</v>
      </c>
      <c r="D85" s="95"/>
      <c r="E85" s="96">
        <v>4.0</v>
      </c>
      <c r="F85" s="108"/>
      <c r="G85" s="107">
        <v>4.0</v>
      </c>
      <c r="H85" s="99">
        <v>4.0</v>
      </c>
      <c r="I85" s="95"/>
      <c r="J85" s="100">
        <v>0.0</v>
      </c>
      <c r="K85" s="108"/>
      <c r="L85" s="107">
        <v>0.0</v>
      </c>
      <c r="M85" s="99">
        <v>0.0</v>
      </c>
      <c r="N85" s="95"/>
      <c r="O85" s="100">
        <v>5.0</v>
      </c>
      <c r="P85" s="108"/>
      <c r="Q85" s="107">
        <v>4.0</v>
      </c>
      <c r="R85" s="99">
        <v>3.0</v>
      </c>
      <c r="S85" s="83"/>
      <c r="T85" s="83"/>
      <c r="U85" s="83"/>
      <c r="V85" s="83"/>
      <c r="W85" s="83"/>
      <c r="X85" s="83"/>
      <c r="Y85" s="83"/>
      <c r="Z85" s="83"/>
    </row>
    <row r="86">
      <c r="A86" s="93" t="s">
        <v>840</v>
      </c>
      <c r="B86" s="101" t="s">
        <v>841</v>
      </c>
      <c r="C86" s="94">
        <f t="shared" si="1"/>
        <v>4.333333333</v>
      </c>
      <c r="D86" s="95"/>
      <c r="E86" s="96">
        <v>2.0</v>
      </c>
      <c r="F86" s="108"/>
      <c r="G86" s="107">
        <v>2.0</v>
      </c>
      <c r="H86" s="99">
        <v>2.0</v>
      </c>
      <c r="I86" s="95"/>
      <c r="J86" s="100">
        <v>-1.0</v>
      </c>
      <c r="K86" s="108"/>
      <c r="L86" s="107">
        <v>-1.0</v>
      </c>
      <c r="M86" s="99">
        <v>-1.0</v>
      </c>
      <c r="N86" s="95"/>
      <c r="O86" s="100">
        <v>3.0</v>
      </c>
      <c r="P86" s="108"/>
      <c r="Q86" s="107">
        <v>3.0</v>
      </c>
      <c r="R86" s="99">
        <v>4.0</v>
      </c>
      <c r="S86" s="83"/>
      <c r="T86" s="83"/>
      <c r="U86" s="83"/>
      <c r="V86" s="83"/>
      <c r="W86" s="83"/>
      <c r="X86" s="83"/>
      <c r="Y86" s="83"/>
      <c r="Z86" s="83"/>
    </row>
    <row r="87">
      <c r="A87" s="93" t="s">
        <v>842</v>
      </c>
      <c r="B87" s="105" t="s">
        <v>843</v>
      </c>
      <c r="C87" s="94">
        <f t="shared" si="1"/>
        <v>5</v>
      </c>
      <c r="D87" s="95"/>
      <c r="E87" s="96">
        <v>2.0</v>
      </c>
      <c r="F87" s="108"/>
      <c r="G87" s="107">
        <v>2.0</v>
      </c>
      <c r="H87" s="99">
        <v>2.0</v>
      </c>
      <c r="I87" s="95"/>
      <c r="J87" s="100">
        <v>-1.0</v>
      </c>
      <c r="K87" s="108"/>
      <c r="L87" s="107">
        <v>-1.0</v>
      </c>
      <c r="M87" s="99">
        <v>-1.0</v>
      </c>
      <c r="N87" s="95"/>
      <c r="O87" s="100">
        <v>5.0</v>
      </c>
      <c r="P87" s="108"/>
      <c r="Q87" s="107">
        <v>3.0</v>
      </c>
      <c r="R87" s="99">
        <v>4.0</v>
      </c>
      <c r="S87" s="83"/>
      <c r="T87" s="83"/>
      <c r="U87" s="83"/>
      <c r="V87" s="83"/>
      <c r="W87" s="83"/>
      <c r="X87" s="83"/>
      <c r="Y87" s="83"/>
      <c r="Z87" s="83"/>
    </row>
    <row r="88">
      <c r="A88" s="93" t="s">
        <v>844</v>
      </c>
      <c r="B88" s="105" t="s">
        <v>845</v>
      </c>
      <c r="C88" s="94">
        <f t="shared" si="1"/>
        <v>4.666666667</v>
      </c>
      <c r="D88" s="95"/>
      <c r="E88" s="96">
        <v>2.0</v>
      </c>
      <c r="F88" s="108"/>
      <c r="G88" s="107">
        <v>2.0</v>
      </c>
      <c r="H88" s="99">
        <v>2.0</v>
      </c>
      <c r="I88" s="95"/>
      <c r="J88" s="100">
        <v>-2.0</v>
      </c>
      <c r="K88" s="108"/>
      <c r="L88" s="107">
        <v>-1.0</v>
      </c>
      <c r="M88" s="99">
        <v>-1.0</v>
      </c>
      <c r="N88" s="95"/>
      <c r="O88" s="100">
        <v>5.0</v>
      </c>
      <c r="P88" s="108"/>
      <c r="Q88" s="107">
        <v>3.0</v>
      </c>
      <c r="R88" s="99">
        <v>4.0</v>
      </c>
      <c r="S88" s="83"/>
      <c r="T88" s="83"/>
      <c r="U88" s="83"/>
      <c r="V88" s="83"/>
      <c r="W88" s="83"/>
      <c r="X88" s="83"/>
      <c r="Y88" s="83"/>
      <c r="Z88" s="83"/>
    </row>
    <row r="89">
      <c r="A89" s="93" t="s">
        <v>846</v>
      </c>
      <c r="B89" s="93" t="s">
        <v>847</v>
      </c>
      <c r="C89" s="94">
        <f t="shared" si="1"/>
        <v>0.3333333333</v>
      </c>
      <c r="D89" s="95"/>
      <c r="E89" s="96">
        <v>2.0</v>
      </c>
      <c r="F89" s="108"/>
      <c r="G89" s="107">
        <v>2.0</v>
      </c>
      <c r="H89" s="99">
        <v>2.0</v>
      </c>
      <c r="I89" s="95"/>
      <c r="J89" s="100">
        <v>-3.0</v>
      </c>
      <c r="K89" s="108"/>
      <c r="L89" s="107">
        <v>-3.0</v>
      </c>
      <c r="M89" s="99">
        <v>-3.0</v>
      </c>
      <c r="N89" s="95"/>
      <c r="O89" s="100">
        <v>1.0</v>
      </c>
      <c r="P89" s="108"/>
      <c r="Q89" s="107">
        <v>2.0</v>
      </c>
      <c r="R89" s="99">
        <v>1.0</v>
      </c>
      <c r="S89" s="83"/>
      <c r="T89" s="83"/>
      <c r="U89" s="83"/>
      <c r="V89" s="83"/>
      <c r="W89" s="83"/>
      <c r="X89" s="83"/>
      <c r="Y89" s="83"/>
      <c r="Z89" s="83"/>
    </row>
    <row r="90">
      <c r="A90" s="93" t="s">
        <v>848</v>
      </c>
      <c r="B90" s="93" t="s">
        <v>849</v>
      </c>
      <c r="C90" s="94">
        <f t="shared" si="1"/>
        <v>4.333333333</v>
      </c>
      <c r="D90" s="95"/>
      <c r="E90" s="96">
        <v>2.0</v>
      </c>
      <c r="F90" s="108"/>
      <c r="G90" s="107">
        <v>4.0</v>
      </c>
      <c r="H90" s="99">
        <v>4.0</v>
      </c>
      <c r="I90" s="95"/>
      <c r="J90" s="100">
        <v>-2.0</v>
      </c>
      <c r="K90" s="108"/>
      <c r="L90" s="107">
        <v>-2.0</v>
      </c>
      <c r="M90" s="99">
        <v>-4.0</v>
      </c>
      <c r="N90" s="95"/>
      <c r="O90" s="100">
        <v>4.0</v>
      </c>
      <c r="P90" s="108"/>
      <c r="Q90" s="107">
        <v>4.0</v>
      </c>
      <c r="R90" s="99">
        <v>3.0</v>
      </c>
      <c r="S90" s="83"/>
      <c r="T90" s="83"/>
      <c r="U90" s="83"/>
      <c r="V90" s="83"/>
      <c r="W90" s="83"/>
      <c r="X90" s="83"/>
      <c r="Y90" s="83"/>
      <c r="Z90" s="83"/>
    </row>
    <row r="91">
      <c r="A91" s="93" t="s">
        <v>850</v>
      </c>
      <c r="B91" s="93" t="s">
        <v>851</v>
      </c>
      <c r="C91" s="94">
        <f t="shared" si="1"/>
        <v>3</v>
      </c>
      <c r="D91" s="95"/>
      <c r="E91" s="96">
        <v>2.0</v>
      </c>
      <c r="F91" s="108"/>
      <c r="G91" s="107">
        <v>2.0</v>
      </c>
      <c r="H91" s="99">
        <v>2.0</v>
      </c>
      <c r="I91" s="95"/>
      <c r="J91" s="100">
        <v>-2.0</v>
      </c>
      <c r="K91" s="108"/>
      <c r="L91" s="107">
        <v>-2.0</v>
      </c>
      <c r="M91" s="99">
        <v>-3.0</v>
      </c>
      <c r="N91" s="95"/>
      <c r="O91" s="100">
        <v>3.0</v>
      </c>
      <c r="P91" s="108"/>
      <c r="Q91" s="107">
        <v>4.0</v>
      </c>
      <c r="R91" s="99">
        <v>3.0</v>
      </c>
      <c r="S91" s="83"/>
      <c r="T91" s="83"/>
      <c r="U91" s="83"/>
      <c r="V91" s="83"/>
      <c r="W91" s="83"/>
      <c r="X91" s="83"/>
      <c r="Y91" s="83"/>
      <c r="Z91" s="83"/>
    </row>
    <row r="92">
      <c r="A92" s="93" t="s">
        <v>852</v>
      </c>
      <c r="B92" s="93" t="s">
        <v>853</v>
      </c>
      <c r="C92" s="94">
        <f t="shared" si="1"/>
        <v>2.333333333</v>
      </c>
      <c r="D92" s="95"/>
      <c r="E92" s="96">
        <v>4.0</v>
      </c>
      <c r="F92" s="108"/>
      <c r="G92" s="107">
        <v>4.0</v>
      </c>
      <c r="H92" s="99">
        <v>4.0</v>
      </c>
      <c r="I92" s="95"/>
      <c r="J92" s="100">
        <v>-4.0</v>
      </c>
      <c r="K92" s="108"/>
      <c r="L92" s="107">
        <v>-3.0</v>
      </c>
      <c r="M92" s="99">
        <v>-4.0</v>
      </c>
      <c r="N92" s="95"/>
      <c r="O92" s="100">
        <v>2.0</v>
      </c>
      <c r="P92" s="108"/>
      <c r="Q92" s="107">
        <v>2.0</v>
      </c>
      <c r="R92" s="99">
        <v>2.0</v>
      </c>
      <c r="S92" s="83"/>
      <c r="T92" s="83"/>
      <c r="U92" s="83"/>
      <c r="V92" s="83"/>
      <c r="W92" s="83"/>
      <c r="X92" s="83"/>
      <c r="Y92" s="83"/>
      <c r="Z92" s="83"/>
    </row>
    <row r="93">
      <c r="A93" s="93" t="s">
        <v>854</v>
      </c>
      <c r="B93" s="93" t="s">
        <v>855</v>
      </c>
      <c r="C93" s="94">
        <f t="shared" si="1"/>
        <v>2.333333333</v>
      </c>
      <c r="D93" s="95"/>
      <c r="E93" s="96">
        <v>2.0</v>
      </c>
      <c r="F93" s="108"/>
      <c r="G93" s="107">
        <v>2.0</v>
      </c>
      <c r="H93" s="99">
        <v>2.0</v>
      </c>
      <c r="I93" s="95"/>
      <c r="J93" s="100">
        <v>-1.0</v>
      </c>
      <c r="K93" s="108"/>
      <c r="L93" s="107">
        <v>-1.0</v>
      </c>
      <c r="M93" s="99">
        <v>-2.0</v>
      </c>
      <c r="N93" s="95"/>
      <c r="O93" s="100">
        <v>1.0</v>
      </c>
      <c r="P93" s="108"/>
      <c r="Q93" s="107">
        <v>3.0</v>
      </c>
      <c r="R93" s="99">
        <v>1.0</v>
      </c>
      <c r="S93" s="83"/>
      <c r="T93" s="83"/>
      <c r="U93" s="83"/>
      <c r="V93" s="83"/>
      <c r="W93" s="83"/>
      <c r="X93" s="83"/>
      <c r="Y93" s="83"/>
      <c r="Z93" s="83"/>
    </row>
    <row r="94">
      <c r="A94" s="102" t="s">
        <v>856</v>
      </c>
      <c r="B94" s="103" t="s">
        <v>857</v>
      </c>
      <c r="C94" s="94">
        <f t="shared" si="1"/>
        <v>1.333333333</v>
      </c>
      <c r="D94" s="95"/>
      <c r="E94" s="96">
        <v>4.0</v>
      </c>
      <c r="F94" s="108"/>
      <c r="G94" s="107">
        <v>4.0</v>
      </c>
      <c r="H94" s="99">
        <v>4.0</v>
      </c>
      <c r="I94" s="95"/>
      <c r="J94" s="100">
        <v>-8.0</v>
      </c>
      <c r="K94" s="108"/>
      <c r="L94" s="107">
        <v>-4.0</v>
      </c>
      <c r="M94" s="99">
        <v>-4.0</v>
      </c>
      <c r="N94" s="95"/>
      <c r="O94" s="100">
        <v>3.0</v>
      </c>
      <c r="P94" s="108"/>
      <c r="Q94" s="107">
        <v>3.0</v>
      </c>
      <c r="R94" s="99">
        <v>2.0</v>
      </c>
      <c r="S94" s="83"/>
      <c r="T94" s="83"/>
      <c r="U94" s="83"/>
      <c r="V94" s="83"/>
      <c r="W94" s="83"/>
      <c r="X94" s="83"/>
      <c r="Y94" s="83"/>
      <c r="Z94" s="83"/>
    </row>
    <row r="95">
      <c r="A95" s="93" t="s">
        <v>858</v>
      </c>
      <c r="B95" s="93" t="s">
        <v>859</v>
      </c>
      <c r="C95" s="94">
        <f t="shared" si="1"/>
        <v>4</v>
      </c>
      <c r="D95" s="95"/>
      <c r="E95" s="96">
        <v>4.0</v>
      </c>
      <c r="F95" s="108"/>
      <c r="G95" s="107">
        <v>4.0</v>
      </c>
      <c r="H95" s="99">
        <v>4.0</v>
      </c>
      <c r="I95" s="95"/>
      <c r="J95" s="100">
        <v>-1.0</v>
      </c>
      <c r="K95" s="108"/>
      <c r="L95" s="107">
        <v>-1.0</v>
      </c>
      <c r="M95" s="99">
        <v>-2.0</v>
      </c>
      <c r="N95" s="95"/>
      <c r="O95" s="100">
        <v>2.0</v>
      </c>
      <c r="P95" s="108"/>
      <c r="Q95" s="107">
        <v>1.0</v>
      </c>
      <c r="R95" s="99">
        <v>1.0</v>
      </c>
      <c r="S95" s="83"/>
      <c r="T95" s="83"/>
      <c r="U95" s="83"/>
      <c r="V95" s="83"/>
      <c r="W95" s="83"/>
      <c r="X95" s="83"/>
      <c r="Y95" s="83"/>
      <c r="Z95" s="83"/>
    </row>
    <row r="96">
      <c r="A96" s="93" t="s">
        <v>860</v>
      </c>
      <c r="B96" s="105" t="s">
        <v>861</v>
      </c>
      <c r="C96" s="94">
        <f t="shared" si="1"/>
        <v>2.666666667</v>
      </c>
      <c r="D96" s="95"/>
      <c r="E96" s="96">
        <v>4.0</v>
      </c>
      <c r="F96" s="108"/>
      <c r="G96" s="107">
        <v>2.0</v>
      </c>
      <c r="H96" s="99">
        <v>4.0</v>
      </c>
      <c r="I96" s="95"/>
      <c r="J96" s="100">
        <v>-2.0</v>
      </c>
      <c r="K96" s="108"/>
      <c r="L96" s="107">
        <v>-3.0</v>
      </c>
      <c r="M96" s="99">
        <v>-3.0</v>
      </c>
      <c r="N96" s="95"/>
      <c r="O96" s="100">
        <v>2.0</v>
      </c>
      <c r="P96" s="108"/>
      <c r="Q96" s="107">
        <v>2.0</v>
      </c>
      <c r="R96" s="99">
        <v>2.0</v>
      </c>
      <c r="S96" s="83"/>
      <c r="T96" s="83"/>
      <c r="U96" s="83"/>
      <c r="V96" s="83"/>
      <c r="W96" s="83"/>
      <c r="X96" s="83"/>
      <c r="Y96" s="83"/>
      <c r="Z96" s="83"/>
    </row>
    <row r="97">
      <c r="A97" s="93" t="s">
        <v>862</v>
      </c>
      <c r="B97" s="101" t="s">
        <v>863</v>
      </c>
      <c r="C97" s="94">
        <f t="shared" si="1"/>
        <v>0.6666666667</v>
      </c>
      <c r="D97" s="95"/>
      <c r="E97" s="96">
        <v>3.0</v>
      </c>
      <c r="F97" s="108"/>
      <c r="G97" s="107">
        <v>3.0</v>
      </c>
      <c r="H97" s="99">
        <v>3.0</v>
      </c>
      <c r="I97" s="95"/>
      <c r="J97" s="100">
        <v>-5.0</v>
      </c>
      <c r="K97" s="108"/>
      <c r="L97" s="107">
        <v>-5.0</v>
      </c>
      <c r="M97" s="99">
        <v>-2.0</v>
      </c>
      <c r="N97" s="95"/>
      <c r="O97" s="100">
        <v>2.0</v>
      </c>
      <c r="P97" s="108"/>
      <c r="Q97" s="107">
        <v>2.0</v>
      </c>
      <c r="R97" s="99">
        <v>1.0</v>
      </c>
      <c r="S97" s="83"/>
      <c r="T97" s="83"/>
      <c r="U97" s="83"/>
      <c r="V97" s="83"/>
      <c r="W97" s="83"/>
      <c r="X97" s="83"/>
      <c r="Y97" s="83"/>
      <c r="Z97" s="83"/>
    </row>
    <row r="98">
      <c r="A98" s="109" t="s">
        <v>864</v>
      </c>
      <c r="B98" s="101" t="s">
        <v>865</v>
      </c>
      <c r="C98" s="94">
        <f t="shared" si="1"/>
        <v>1.333333333</v>
      </c>
      <c r="D98" s="95"/>
      <c r="E98" s="96">
        <v>2.0</v>
      </c>
      <c r="F98" s="108"/>
      <c r="G98" s="107">
        <v>2.0</v>
      </c>
      <c r="H98" s="99">
        <v>2.0</v>
      </c>
      <c r="I98" s="95"/>
      <c r="J98" s="100">
        <v>-2.0</v>
      </c>
      <c r="K98" s="108"/>
      <c r="L98" s="107">
        <v>-2.0</v>
      </c>
      <c r="M98" s="99">
        <v>-4.0</v>
      </c>
      <c r="N98" s="95"/>
      <c r="O98" s="100">
        <v>2.0</v>
      </c>
      <c r="P98" s="108"/>
      <c r="Q98" s="107">
        <v>2.0</v>
      </c>
      <c r="R98" s="99">
        <v>2.0</v>
      </c>
      <c r="S98" s="83"/>
      <c r="T98" s="83"/>
      <c r="U98" s="83"/>
      <c r="V98" s="83"/>
      <c r="W98" s="83"/>
      <c r="X98" s="83"/>
      <c r="Y98" s="83"/>
      <c r="Z98" s="83"/>
    </row>
    <row r="99">
      <c r="A99" s="93" t="s">
        <v>866</v>
      </c>
      <c r="B99" s="93" t="s">
        <v>867</v>
      </c>
      <c r="C99" s="94">
        <f t="shared" si="1"/>
        <v>2.666666667</v>
      </c>
      <c r="D99" s="95"/>
      <c r="E99" s="96">
        <v>2.0</v>
      </c>
      <c r="F99" s="108"/>
      <c r="G99" s="107">
        <v>2.0</v>
      </c>
      <c r="H99" s="99">
        <v>4.0</v>
      </c>
      <c r="I99" s="95"/>
      <c r="J99" s="100">
        <v>-3.0</v>
      </c>
      <c r="K99" s="108"/>
      <c r="L99" s="107">
        <v>-3.0</v>
      </c>
      <c r="M99" s="99">
        <v>-3.0</v>
      </c>
      <c r="N99" s="95"/>
      <c r="O99" s="100">
        <v>3.0</v>
      </c>
      <c r="P99" s="108"/>
      <c r="Q99" s="107">
        <v>3.0</v>
      </c>
      <c r="R99" s="99">
        <v>3.0</v>
      </c>
      <c r="S99" s="83"/>
      <c r="T99" s="83"/>
      <c r="U99" s="83"/>
      <c r="V99" s="83"/>
      <c r="W99" s="83"/>
      <c r="X99" s="83"/>
      <c r="Y99" s="83"/>
      <c r="Z99" s="83"/>
    </row>
    <row r="100">
      <c r="A100" s="102" t="s">
        <v>868</v>
      </c>
      <c r="B100" s="101" t="s">
        <v>869</v>
      </c>
      <c r="C100" s="94">
        <f t="shared" si="1"/>
        <v>3.666666667</v>
      </c>
      <c r="D100" s="95"/>
      <c r="E100" s="96">
        <v>4.0</v>
      </c>
      <c r="F100" s="108"/>
      <c r="G100" s="107">
        <v>4.0</v>
      </c>
      <c r="H100" s="99">
        <v>4.0</v>
      </c>
      <c r="I100" s="95"/>
      <c r="J100" s="100">
        <v>-3.0</v>
      </c>
      <c r="K100" s="108"/>
      <c r="L100" s="107">
        <v>-3.0</v>
      </c>
      <c r="M100" s="99">
        <v>-3.0</v>
      </c>
      <c r="N100" s="95"/>
      <c r="O100" s="100">
        <v>3.0</v>
      </c>
      <c r="P100" s="108"/>
      <c r="Q100" s="107">
        <v>3.0</v>
      </c>
      <c r="R100" s="99">
        <v>2.0</v>
      </c>
      <c r="S100" s="83"/>
      <c r="T100" s="83"/>
      <c r="U100" s="83"/>
      <c r="V100" s="83"/>
      <c r="W100" s="83"/>
      <c r="X100" s="83"/>
      <c r="Y100" s="83"/>
      <c r="Z100" s="83"/>
    </row>
    <row r="101">
      <c r="A101" s="93" t="s">
        <v>870</v>
      </c>
      <c r="B101" s="93" t="s">
        <v>871</v>
      </c>
      <c r="C101" s="94">
        <f t="shared" si="1"/>
        <v>3.666666667</v>
      </c>
      <c r="D101" s="95"/>
      <c r="E101" s="96">
        <v>2.0</v>
      </c>
      <c r="F101" s="108"/>
      <c r="G101" s="107">
        <v>2.0</v>
      </c>
      <c r="H101" s="99">
        <v>2.0</v>
      </c>
      <c r="I101" s="95"/>
      <c r="J101" s="100">
        <v>-2.0</v>
      </c>
      <c r="K101" s="108"/>
      <c r="L101" s="107">
        <v>-3.0</v>
      </c>
      <c r="M101" s="99">
        <v>-2.0</v>
      </c>
      <c r="N101" s="95"/>
      <c r="O101" s="100">
        <v>4.0</v>
      </c>
      <c r="P101" s="108"/>
      <c r="Q101" s="107">
        <v>4.0</v>
      </c>
      <c r="R101" s="99">
        <v>4.0</v>
      </c>
      <c r="S101" s="83"/>
      <c r="T101" s="83"/>
      <c r="U101" s="83"/>
      <c r="V101" s="83"/>
      <c r="W101" s="83"/>
      <c r="X101" s="83"/>
      <c r="Y101" s="83"/>
      <c r="Z101" s="83"/>
    </row>
    <row r="102">
      <c r="A102" s="93" t="s">
        <v>872</v>
      </c>
      <c r="B102" s="101" t="s">
        <v>873</v>
      </c>
      <c r="C102" s="94">
        <f t="shared" si="1"/>
        <v>4.333333333</v>
      </c>
      <c r="D102" s="95"/>
      <c r="E102" s="96">
        <v>2.0</v>
      </c>
      <c r="F102" s="108"/>
      <c r="G102" s="107">
        <v>2.0</v>
      </c>
      <c r="H102" s="99">
        <v>2.0</v>
      </c>
      <c r="I102" s="95"/>
      <c r="J102" s="100">
        <v>-2.0</v>
      </c>
      <c r="K102" s="108"/>
      <c r="L102" s="107">
        <v>-3.0</v>
      </c>
      <c r="M102" s="99">
        <v>-3.0</v>
      </c>
      <c r="N102" s="95"/>
      <c r="O102" s="100">
        <v>5.0</v>
      </c>
      <c r="P102" s="97"/>
      <c r="Q102" s="107">
        <v>5.0</v>
      </c>
      <c r="R102" s="99">
        <v>5.0</v>
      </c>
      <c r="S102" s="83"/>
      <c r="T102" s="83"/>
      <c r="U102" s="83"/>
      <c r="V102" s="83"/>
      <c r="W102" s="83"/>
      <c r="X102" s="83"/>
      <c r="Y102" s="83"/>
      <c r="Z102" s="83"/>
    </row>
    <row r="103">
      <c r="A103" s="93" t="s">
        <v>874</v>
      </c>
      <c r="B103" s="93" t="s">
        <v>875</v>
      </c>
      <c r="C103" s="94">
        <f t="shared" si="1"/>
        <v>2</v>
      </c>
      <c r="D103" s="95"/>
      <c r="E103" s="96">
        <v>2.0</v>
      </c>
      <c r="F103" s="108"/>
      <c r="G103" s="107">
        <v>3.0</v>
      </c>
      <c r="H103" s="99">
        <v>2.0</v>
      </c>
      <c r="I103" s="95"/>
      <c r="J103" s="100">
        <v>-3.0</v>
      </c>
      <c r="K103" s="108"/>
      <c r="L103" s="107">
        <v>-2.0</v>
      </c>
      <c r="M103" s="99">
        <v>-2.0</v>
      </c>
      <c r="N103" s="95"/>
      <c r="O103" s="100">
        <v>2.0</v>
      </c>
      <c r="P103" s="108"/>
      <c r="Q103" s="107">
        <v>3.0</v>
      </c>
      <c r="R103" s="99">
        <v>1.0</v>
      </c>
      <c r="S103" s="83"/>
      <c r="T103" s="83"/>
      <c r="U103" s="83"/>
      <c r="V103" s="83"/>
      <c r="W103" s="83"/>
      <c r="X103" s="83"/>
      <c r="Y103" s="83"/>
      <c r="Z103" s="83"/>
    </row>
    <row r="104">
      <c r="A104" s="93" t="s">
        <v>876</v>
      </c>
      <c r="B104" s="93" t="s">
        <v>877</v>
      </c>
      <c r="C104" s="94">
        <f t="shared" si="1"/>
        <v>4.333333333</v>
      </c>
      <c r="D104" s="95"/>
      <c r="E104" s="96">
        <v>4.0</v>
      </c>
      <c r="F104" s="108"/>
      <c r="G104" s="107">
        <v>4.0</v>
      </c>
      <c r="H104" s="99">
        <v>4.0</v>
      </c>
      <c r="I104" s="95"/>
      <c r="J104" s="100">
        <v>-2.0</v>
      </c>
      <c r="K104" s="108"/>
      <c r="L104" s="107">
        <v>-3.0</v>
      </c>
      <c r="M104" s="99">
        <v>-3.0</v>
      </c>
      <c r="N104" s="95"/>
      <c r="O104" s="100">
        <v>3.0</v>
      </c>
      <c r="P104" s="108"/>
      <c r="Q104" s="107">
        <v>3.0</v>
      </c>
      <c r="R104" s="99">
        <v>3.0</v>
      </c>
      <c r="S104" s="83"/>
      <c r="T104" s="83"/>
      <c r="U104" s="83"/>
      <c r="V104" s="83"/>
      <c r="W104" s="83"/>
      <c r="X104" s="83"/>
      <c r="Y104" s="83"/>
      <c r="Z104" s="83"/>
    </row>
    <row r="105">
      <c r="A105" s="93" t="s">
        <v>878</v>
      </c>
      <c r="B105" s="93" t="s">
        <v>879</v>
      </c>
      <c r="C105" s="94">
        <f t="shared" si="1"/>
        <v>-1</v>
      </c>
      <c r="D105" s="95"/>
      <c r="E105" s="96">
        <v>0.0</v>
      </c>
      <c r="F105" s="108"/>
      <c r="G105" s="107">
        <v>2.0</v>
      </c>
      <c r="H105" s="99">
        <v>2.0</v>
      </c>
      <c r="I105" s="95"/>
      <c r="J105" s="100">
        <v>-1.0</v>
      </c>
      <c r="K105" s="108"/>
      <c r="L105" s="107">
        <v>-2.0</v>
      </c>
      <c r="M105" s="99">
        <v>-1.0</v>
      </c>
      <c r="N105" s="95"/>
      <c r="O105" s="100">
        <v>-1.0</v>
      </c>
      <c r="P105" s="108"/>
      <c r="Q105" s="107">
        <v>0.0</v>
      </c>
      <c r="R105" s="99">
        <v>-2.0</v>
      </c>
      <c r="S105" s="83"/>
      <c r="T105" s="83"/>
      <c r="U105" s="83"/>
      <c r="V105" s="83"/>
      <c r="W105" s="83"/>
      <c r="X105" s="83"/>
      <c r="Y105" s="83"/>
      <c r="Z105" s="83"/>
    </row>
    <row r="106">
      <c r="A106" s="102" t="s">
        <v>880</v>
      </c>
      <c r="B106" s="101" t="s">
        <v>881</v>
      </c>
      <c r="C106" s="94">
        <f t="shared" si="1"/>
        <v>5.666666667</v>
      </c>
      <c r="D106" s="95"/>
      <c r="E106" s="96">
        <v>4.0</v>
      </c>
      <c r="F106" s="108"/>
      <c r="G106" s="107">
        <v>4.0</v>
      </c>
      <c r="H106" s="99">
        <v>4.0</v>
      </c>
      <c r="I106" s="95"/>
      <c r="J106" s="100">
        <v>-3.0</v>
      </c>
      <c r="K106" s="108"/>
      <c r="L106" s="107">
        <v>-3.0</v>
      </c>
      <c r="M106" s="99">
        <v>-2.0</v>
      </c>
      <c r="N106" s="95"/>
      <c r="O106" s="100">
        <v>5.0</v>
      </c>
      <c r="P106" s="108"/>
      <c r="Q106" s="107">
        <v>5.0</v>
      </c>
      <c r="R106" s="99">
        <v>3.0</v>
      </c>
      <c r="S106" s="83"/>
      <c r="T106" s="83"/>
      <c r="U106" s="83"/>
      <c r="V106" s="83"/>
      <c r="W106" s="83"/>
      <c r="X106" s="83"/>
      <c r="Y106" s="83"/>
      <c r="Z106" s="83"/>
    </row>
    <row r="107">
      <c r="A107" s="93" t="s">
        <v>882</v>
      </c>
      <c r="B107" s="93" t="s">
        <v>883</v>
      </c>
      <c r="C107" s="94">
        <f t="shared" si="1"/>
        <v>4.666666667</v>
      </c>
      <c r="D107" s="95"/>
      <c r="E107" s="96">
        <v>2.0</v>
      </c>
      <c r="F107" s="108"/>
      <c r="G107" s="107">
        <v>3.0</v>
      </c>
      <c r="H107" s="99">
        <v>2.0</v>
      </c>
      <c r="I107" s="95"/>
      <c r="J107" s="100">
        <v>-1.0</v>
      </c>
      <c r="K107" s="108"/>
      <c r="L107" s="107">
        <v>-1.0</v>
      </c>
      <c r="M107" s="99">
        <v>-1.0</v>
      </c>
      <c r="N107" s="95"/>
      <c r="O107" s="100">
        <v>4.0</v>
      </c>
      <c r="P107" s="108"/>
      <c r="Q107" s="107">
        <v>4.0</v>
      </c>
      <c r="R107" s="99">
        <v>2.0</v>
      </c>
      <c r="S107" s="83"/>
      <c r="T107" s="83"/>
      <c r="U107" s="83"/>
      <c r="V107" s="83"/>
      <c r="W107" s="83"/>
      <c r="X107" s="83"/>
      <c r="Y107" s="83"/>
      <c r="Z107" s="83"/>
    </row>
    <row r="108">
      <c r="A108" s="93" t="s">
        <v>884</v>
      </c>
      <c r="B108" s="101" t="s">
        <v>885</v>
      </c>
      <c r="C108" s="94">
        <f t="shared" si="1"/>
        <v>4.666666667</v>
      </c>
      <c r="D108" s="95"/>
      <c r="E108" s="96">
        <v>4.0</v>
      </c>
      <c r="F108" s="108"/>
      <c r="G108" s="107">
        <v>4.0</v>
      </c>
      <c r="H108" s="99">
        <v>4.0</v>
      </c>
      <c r="I108" s="95"/>
      <c r="J108" s="100">
        <v>-5.0</v>
      </c>
      <c r="K108" s="108"/>
      <c r="L108" s="107">
        <v>-4.0</v>
      </c>
      <c r="M108" s="99">
        <v>-4.0</v>
      </c>
      <c r="N108" s="95"/>
      <c r="O108" s="100">
        <v>5.0</v>
      </c>
      <c r="P108" s="108"/>
      <c r="Q108" s="107">
        <v>5.0</v>
      </c>
      <c r="R108" s="99">
        <v>5.0</v>
      </c>
      <c r="S108" s="83"/>
      <c r="T108" s="83"/>
      <c r="U108" s="83"/>
      <c r="V108" s="83"/>
      <c r="W108" s="83"/>
      <c r="X108" s="83"/>
      <c r="Y108" s="83"/>
      <c r="Z108" s="83"/>
    </row>
    <row r="109">
      <c r="A109" s="93" t="s">
        <v>886</v>
      </c>
      <c r="B109" s="106" t="s">
        <v>887</v>
      </c>
      <c r="C109" s="94">
        <f t="shared" si="1"/>
        <v>2</v>
      </c>
      <c r="D109" s="95"/>
      <c r="E109" s="96">
        <v>2.0</v>
      </c>
      <c r="F109" s="108"/>
      <c r="G109" s="107">
        <v>3.0</v>
      </c>
      <c r="H109" s="99">
        <v>3.0</v>
      </c>
      <c r="I109" s="95"/>
      <c r="J109" s="100">
        <v>-4.0</v>
      </c>
      <c r="K109" s="108"/>
      <c r="L109" s="107">
        <v>-4.0</v>
      </c>
      <c r="M109" s="99">
        <v>-4.0</v>
      </c>
      <c r="N109" s="95"/>
      <c r="O109" s="100">
        <v>3.0</v>
      </c>
      <c r="P109" s="108"/>
      <c r="Q109" s="107">
        <v>3.0</v>
      </c>
      <c r="R109" s="99">
        <v>4.0</v>
      </c>
      <c r="S109" s="83"/>
      <c r="T109" s="83"/>
      <c r="U109" s="83"/>
      <c r="V109" s="83"/>
      <c r="W109" s="83"/>
      <c r="X109" s="83"/>
      <c r="Y109" s="83"/>
      <c r="Z109" s="83"/>
    </row>
    <row r="110">
      <c r="A110" s="102" t="s">
        <v>888</v>
      </c>
      <c r="B110" s="101" t="s">
        <v>889</v>
      </c>
      <c r="C110" s="94">
        <f t="shared" si="1"/>
        <v>2.333333333</v>
      </c>
      <c r="D110" s="95"/>
      <c r="E110" s="96">
        <v>2.0</v>
      </c>
      <c r="F110" s="108"/>
      <c r="G110" s="107">
        <v>2.0</v>
      </c>
      <c r="H110" s="99">
        <v>2.0</v>
      </c>
      <c r="I110" s="95"/>
      <c r="J110" s="100">
        <v>-2.0</v>
      </c>
      <c r="K110" s="108"/>
      <c r="L110" s="107">
        <v>-2.0</v>
      </c>
      <c r="M110" s="99">
        <v>-3.0</v>
      </c>
      <c r="N110" s="95"/>
      <c r="O110" s="100">
        <v>3.0</v>
      </c>
      <c r="P110" s="108"/>
      <c r="Q110" s="107">
        <v>3.0</v>
      </c>
      <c r="R110" s="99">
        <v>2.0</v>
      </c>
      <c r="S110" s="83"/>
      <c r="T110" s="83"/>
      <c r="U110" s="83"/>
      <c r="V110" s="83"/>
      <c r="W110" s="83"/>
      <c r="X110" s="83"/>
      <c r="Y110" s="83"/>
      <c r="Z110" s="83"/>
    </row>
    <row r="111">
      <c r="A111" s="93" t="s">
        <v>890</v>
      </c>
      <c r="B111" s="93" t="s">
        <v>891</v>
      </c>
      <c r="C111" s="94">
        <f t="shared" si="1"/>
        <v>4.666666667</v>
      </c>
      <c r="D111" s="95"/>
      <c r="E111" s="96">
        <v>2.0</v>
      </c>
      <c r="F111" s="108"/>
      <c r="G111" s="107">
        <v>4.0</v>
      </c>
      <c r="H111" s="99">
        <v>2.0</v>
      </c>
      <c r="I111" s="95"/>
      <c r="J111" s="100">
        <v>0.0</v>
      </c>
      <c r="K111" s="108"/>
      <c r="L111" s="107">
        <v>0.0</v>
      </c>
      <c r="M111" s="99">
        <v>-1.0</v>
      </c>
      <c r="N111" s="95"/>
      <c r="O111" s="100">
        <v>2.0</v>
      </c>
      <c r="P111" s="108"/>
      <c r="Q111" s="107">
        <v>3.0</v>
      </c>
      <c r="R111" s="99">
        <v>2.0</v>
      </c>
      <c r="S111" s="83"/>
      <c r="T111" s="83"/>
      <c r="U111" s="83"/>
      <c r="V111" s="83"/>
      <c r="W111" s="83"/>
      <c r="X111" s="83"/>
      <c r="Y111" s="83"/>
      <c r="Z111" s="83"/>
    </row>
    <row r="112">
      <c r="A112" s="93" t="s">
        <v>892</v>
      </c>
      <c r="B112" s="93" t="s">
        <v>893</v>
      </c>
      <c r="C112" s="94">
        <f t="shared" si="1"/>
        <v>3.666666667</v>
      </c>
      <c r="D112" s="95"/>
      <c r="E112" s="96">
        <v>2.0</v>
      </c>
      <c r="F112" s="108"/>
      <c r="G112" s="107">
        <v>4.0</v>
      </c>
      <c r="H112" s="99">
        <v>2.0</v>
      </c>
      <c r="I112" s="95"/>
      <c r="J112" s="100">
        <v>-1.0</v>
      </c>
      <c r="K112" s="108"/>
      <c r="L112" s="107">
        <v>-2.0</v>
      </c>
      <c r="M112" s="99">
        <v>0.0</v>
      </c>
      <c r="N112" s="95"/>
      <c r="O112" s="100">
        <v>2.0</v>
      </c>
      <c r="P112" s="108"/>
      <c r="Q112" s="107">
        <v>2.0</v>
      </c>
      <c r="R112" s="99">
        <v>2.0</v>
      </c>
      <c r="S112" s="83"/>
      <c r="T112" s="83"/>
      <c r="U112" s="83"/>
      <c r="V112" s="83"/>
      <c r="W112" s="83"/>
      <c r="X112" s="83"/>
      <c r="Y112" s="83"/>
      <c r="Z112" s="83"/>
    </row>
    <row r="113">
      <c r="A113" s="93" t="s">
        <v>894</v>
      </c>
      <c r="B113" s="93" t="s">
        <v>895</v>
      </c>
      <c r="C113" s="94">
        <f t="shared" si="1"/>
        <v>4.666666667</v>
      </c>
      <c r="D113" s="95"/>
      <c r="E113" s="96">
        <v>2.0</v>
      </c>
      <c r="F113" s="108"/>
      <c r="G113" s="107">
        <v>4.0</v>
      </c>
      <c r="H113" s="99">
        <v>2.0</v>
      </c>
      <c r="I113" s="95"/>
      <c r="J113" s="100">
        <v>-1.0</v>
      </c>
      <c r="K113" s="108"/>
      <c r="L113" s="107">
        <v>-1.0</v>
      </c>
      <c r="M113" s="99">
        <v>0.0</v>
      </c>
      <c r="N113" s="95"/>
      <c r="O113" s="100">
        <v>3.0</v>
      </c>
      <c r="P113" s="108"/>
      <c r="Q113" s="107">
        <v>3.0</v>
      </c>
      <c r="R113" s="99">
        <v>2.0</v>
      </c>
      <c r="S113" s="83"/>
      <c r="T113" s="83"/>
      <c r="U113" s="83"/>
      <c r="V113" s="83"/>
      <c r="W113" s="83"/>
      <c r="X113" s="83"/>
      <c r="Y113" s="83"/>
      <c r="Z113" s="83"/>
    </row>
    <row r="114">
      <c r="A114" s="93" t="s">
        <v>896</v>
      </c>
      <c r="B114" s="93" t="s">
        <v>897</v>
      </c>
      <c r="C114" s="94">
        <f t="shared" si="1"/>
        <v>-0.6666666667</v>
      </c>
      <c r="D114" s="95"/>
      <c r="E114" s="96">
        <v>2.0</v>
      </c>
      <c r="F114" s="108"/>
      <c r="G114" s="107">
        <v>2.0</v>
      </c>
      <c r="H114" s="99">
        <v>2.0</v>
      </c>
      <c r="I114" s="95"/>
      <c r="J114" s="100">
        <v>0.0</v>
      </c>
      <c r="K114" s="108"/>
      <c r="L114" s="107">
        <v>0.0</v>
      </c>
      <c r="M114" s="99">
        <v>0.0</v>
      </c>
      <c r="N114" s="95"/>
      <c r="O114" s="100">
        <v>-4.0</v>
      </c>
      <c r="P114" s="108"/>
      <c r="Q114" s="107">
        <v>0.0</v>
      </c>
      <c r="R114" s="99">
        <v>-4.0</v>
      </c>
      <c r="S114" s="83"/>
      <c r="T114" s="83"/>
      <c r="U114" s="83"/>
      <c r="V114" s="83"/>
      <c r="W114" s="83"/>
      <c r="X114" s="83"/>
      <c r="Y114" s="83"/>
      <c r="Z114" s="83"/>
    </row>
    <row r="115">
      <c r="A115" s="93" t="s">
        <v>898</v>
      </c>
      <c r="B115" s="101" t="s">
        <v>899</v>
      </c>
      <c r="C115" s="94">
        <f t="shared" si="1"/>
        <v>3.666666667</v>
      </c>
      <c r="D115" s="95"/>
      <c r="E115" s="96">
        <v>2.0</v>
      </c>
      <c r="F115" s="108"/>
      <c r="G115" s="107">
        <v>4.0</v>
      </c>
      <c r="H115" s="99">
        <v>2.0</v>
      </c>
      <c r="I115" s="95"/>
      <c r="J115" s="100">
        <v>-1.0</v>
      </c>
      <c r="K115" s="108"/>
      <c r="L115" s="107">
        <v>-1.0</v>
      </c>
      <c r="M115" s="99">
        <v>-1.0</v>
      </c>
      <c r="N115" s="95"/>
      <c r="O115" s="100">
        <v>2.0</v>
      </c>
      <c r="P115" s="108"/>
      <c r="Q115" s="107">
        <v>2.0</v>
      </c>
      <c r="R115" s="99">
        <v>2.0</v>
      </c>
      <c r="S115" s="83"/>
      <c r="T115" s="83"/>
      <c r="U115" s="83"/>
      <c r="V115" s="83"/>
      <c r="W115" s="83"/>
      <c r="X115" s="83"/>
      <c r="Y115" s="83"/>
      <c r="Z115" s="83"/>
    </row>
    <row r="116">
      <c r="A116" s="102" t="s">
        <v>900</v>
      </c>
      <c r="B116" s="106" t="s">
        <v>901</v>
      </c>
      <c r="C116" s="94">
        <f t="shared" si="1"/>
        <v>4.333333333</v>
      </c>
      <c r="D116" s="95"/>
      <c r="E116" s="96">
        <v>2.0</v>
      </c>
      <c r="F116" s="108"/>
      <c r="G116" s="107">
        <v>2.0</v>
      </c>
      <c r="H116" s="99">
        <v>2.0</v>
      </c>
      <c r="I116" s="95"/>
      <c r="J116" s="100">
        <v>0.0</v>
      </c>
      <c r="K116" s="108"/>
      <c r="L116" s="107">
        <v>0.0</v>
      </c>
      <c r="M116" s="99">
        <v>0.0</v>
      </c>
      <c r="N116" s="95"/>
      <c r="O116" s="100">
        <v>4.0</v>
      </c>
      <c r="P116" s="108"/>
      <c r="Q116" s="107">
        <v>2.0</v>
      </c>
      <c r="R116" s="99">
        <v>1.0</v>
      </c>
      <c r="S116" s="83"/>
      <c r="T116" s="83"/>
      <c r="U116" s="83"/>
      <c r="V116" s="83"/>
      <c r="W116" s="83"/>
      <c r="X116" s="83"/>
      <c r="Y116" s="83"/>
      <c r="Z116" s="83"/>
    </row>
    <row r="117">
      <c r="A117" s="93" t="s">
        <v>902</v>
      </c>
      <c r="B117" s="93" t="s">
        <v>903</v>
      </c>
      <c r="C117" s="94">
        <f t="shared" si="1"/>
        <v>0</v>
      </c>
      <c r="D117" s="95"/>
      <c r="E117" s="96">
        <v>2.0</v>
      </c>
      <c r="F117" s="108"/>
      <c r="G117" s="107">
        <v>2.0</v>
      </c>
      <c r="H117" s="99">
        <v>2.0</v>
      </c>
      <c r="I117" s="95"/>
      <c r="J117" s="100">
        <v>-3.0</v>
      </c>
      <c r="K117" s="108"/>
      <c r="L117" s="107">
        <v>-3.0</v>
      </c>
      <c r="M117" s="99">
        <v>-3.0</v>
      </c>
      <c r="N117" s="95"/>
      <c r="O117" s="100">
        <v>1.0</v>
      </c>
      <c r="P117" s="108"/>
      <c r="Q117" s="107">
        <v>1.0</v>
      </c>
      <c r="R117" s="99">
        <v>1.0</v>
      </c>
      <c r="S117" s="83"/>
      <c r="T117" s="83"/>
      <c r="U117" s="83"/>
      <c r="V117" s="83"/>
      <c r="W117" s="83"/>
      <c r="X117" s="83"/>
      <c r="Y117" s="83"/>
      <c r="Z117" s="83"/>
    </row>
    <row r="118">
      <c r="A118" s="93" t="s">
        <v>904</v>
      </c>
      <c r="B118" s="101" t="s">
        <v>905</v>
      </c>
      <c r="C118" s="94">
        <f t="shared" si="1"/>
        <v>1.666666667</v>
      </c>
      <c r="D118" s="95"/>
      <c r="E118" s="96">
        <v>2.0</v>
      </c>
      <c r="F118" s="108"/>
      <c r="G118" s="107">
        <v>2.0</v>
      </c>
      <c r="H118" s="99">
        <v>2.0</v>
      </c>
      <c r="I118" s="95"/>
      <c r="J118" s="100">
        <v>-5.0</v>
      </c>
      <c r="K118" s="108"/>
      <c r="L118" s="107">
        <v>-5.0</v>
      </c>
      <c r="M118" s="99">
        <v>-5.0</v>
      </c>
      <c r="N118" s="95"/>
      <c r="O118" s="100">
        <v>5.0</v>
      </c>
      <c r="P118" s="108"/>
      <c r="Q118" s="107">
        <v>4.0</v>
      </c>
      <c r="R118" s="99">
        <v>5.0</v>
      </c>
      <c r="S118" s="83"/>
      <c r="T118" s="83"/>
      <c r="U118" s="83"/>
      <c r="V118" s="83"/>
      <c r="W118" s="83"/>
      <c r="X118" s="83"/>
      <c r="Y118" s="83"/>
      <c r="Z118" s="83"/>
    </row>
    <row r="119">
      <c r="A119" s="109" t="s">
        <v>906</v>
      </c>
      <c r="B119" s="106" t="s">
        <v>907</v>
      </c>
      <c r="C119" s="94">
        <f t="shared" si="1"/>
        <v>3</v>
      </c>
      <c r="D119" s="95"/>
      <c r="E119" s="96">
        <v>4.0</v>
      </c>
      <c r="F119" s="108"/>
      <c r="G119" s="107">
        <v>4.0</v>
      </c>
      <c r="H119" s="99">
        <v>4.0</v>
      </c>
      <c r="I119" s="95"/>
      <c r="J119" s="100">
        <v>-4.0</v>
      </c>
      <c r="K119" s="108"/>
      <c r="L119" s="107">
        <v>-4.0</v>
      </c>
      <c r="M119" s="99">
        <v>-4.0</v>
      </c>
      <c r="N119" s="95"/>
      <c r="O119" s="100">
        <v>3.0</v>
      </c>
      <c r="P119" s="108"/>
      <c r="Q119" s="107">
        <v>3.0</v>
      </c>
      <c r="R119" s="99">
        <v>3.0</v>
      </c>
      <c r="S119" s="83"/>
      <c r="T119" s="83"/>
      <c r="U119" s="83"/>
      <c r="V119" s="83"/>
      <c r="W119" s="83"/>
      <c r="X119" s="83"/>
      <c r="Y119" s="83"/>
      <c r="Z119" s="83"/>
    </row>
    <row r="120">
      <c r="A120" s="93" t="s">
        <v>908</v>
      </c>
      <c r="B120" s="103" t="s">
        <v>909</v>
      </c>
      <c r="C120" s="94">
        <f t="shared" si="1"/>
        <v>3.333333333</v>
      </c>
      <c r="D120" s="95"/>
      <c r="E120" s="96">
        <v>4.0</v>
      </c>
      <c r="F120" s="108"/>
      <c r="G120" s="107">
        <v>2.0</v>
      </c>
      <c r="H120" s="99">
        <v>2.0</v>
      </c>
      <c r="I120" s="95"/>
      <c r="J120" s="100">
        <v>-1.0</v>
      </c>
      <c r="K120" s="108"/>
      <c r="L120" s="107">
        <v>-1.0</v>
      </c>
      <c r="M120" s="99">
        <v>-1.0</v>
      </c>
      <c r="N120" s="95"/>
      <c r="O120" s="100">
        <v>2.0</v>
      </c>
      <c r="P120" s="108"/>
      <c r="Q120" s="107">
        <v>2.0</v>
      </c>
      <c r="R120" s="99">
        <v>1.0</v>
      </c>
      <c r="S120" s="83"/>
      <c r="T120" s="83"/>
      <c r="U120" s="83"/>
      <c r="V120" s="83"/>
      <c r="W120" s="83"/>
      <c r="X120" s="83"/>
      <c r="Y120" s="83"/>
      <c r="Z120" s="83"/>
    </row>
    <row r="121">
      <c r="A121" s="93" t="s">
        <v>910</v>
      </c>
      <c r="B121" s="106" t="s">
        <v>911</v>
      </c>
      <c r="C121" s="94">
        <f t="shared" si="1"/>
        <v>6.666666667</v>
      </c>
      <c r="D121" s="95"/>
      <c r="E121" s="96">
        <v>2.0</v>
      </c>
      <c r="F121" s="108"/>
      <c r="G121" s="107">
        <v>2.0</v>
      </c>
      <c r="H121" s="99">
        <v>2.0</v>
      </c>
      <c r="I121" s="95"/>
      <c r="J121" s="100">
        <v>0.0</v>
      </c>
      <c r="K121" s="108"/>
      <c r="L121" s="107">
        <v>0.0</v>
      </c>
      <c r="M121" s="99">
        <v>0.0</v>
      </c>
      <c r="N121" s="95"/>
      <c r="O121" s="100">
        <v>5.0</v>
      </c>
      <c r="P121" s="108"/>
      <c r="Q121" s="107">
        <v>4.0</v>
      </c>
      <c r="R121" s="99">
        <v>5.0</v>
      </c>
      <c r="S121" s="83"/>
      <c r="T121" s="83"/>
      <c r="U121" s="83"/>
      <c r="V121" s="83"/>
      <c r="W121" s="83"/>
      <c r="X121" s="83"/>
      <c r="Y121" s="83"/>
      <c r="Z121" s="83"/>
    </row>
    <row r="122">
      <c r="A122" s="93" t="s">
        <v>912</v>
      </c>
      <c r="B122" s="93" t="s">
        <v>913</v>
      </c>
      <c r="C122" s="94">
        <f t="shared" si="1"/>
        <v>4.666666667</v>
      </c>
      <c r="D122" s="95"/>
      <c r="E122" s="96">
        <v>4.0</v>
      </c>
      <c r="F122" s="108"/>
      <c r="G122" s="107">
        <v>4.0</v>
      </c>
      <c r="H122" s="99">
        <v>4.0</v>
      </c>
      <c r="I122" s="95"/>
      <c r="J122" s="100">
        <v>-1.0</v>
      </c>
      <c r="K122" s="108"/>
      <c r="L122" s="107">
        <v>-1.0</v>
      </c>
      <c r="M122" s="99">
        <v>-1.0</v>
      </c>
      <c r="N122" s="95"/>
      <c r="O122" s="100">
        <v>2.0</v>
      </c>
      <c r="P122" s="108"/>
      <c r="Q122" s="107">
        <v>1.0</v>
      </c>
      <c r="R122" s="99">
        <v>2.0</v>
      </c>
      <c r="S122" s="83"/>
      <c r="T122" s="83"/>
      <c r="U122" s="83"/>
      <c r="V122" s="83"/>
      <c r="W122" s="83"/>
      <c r="X122" s="83"/>
      <c r="Y122" s="83"/>
      <c r="Z122" s="83"/>
    </row>
    <row r="123">
      <c r="A123" s="93" t="s">
        <v>914</v>
      </c>
      <c r="B123" s="93" t="s">
        <v>915</v>
      </c>
      <c r="C123" s="94">
        <f t="shared" si="1"/>
        <v>0.3333333333</v>
      </c>
      <c r="D123" s="95"/>
      <c r="E123" s="96">
        <v>2.0</v>
      </c>
      <c r="F123" s="108"/>
      <c r="G123" s="107">
        <v>2.0</v>
      </c>
      <c r="H123" s="99">
        <v>2.0</v>
      </c>
      <c r="I123" s="95"/>
      <c r="J123" s="100">
        <v>-4.0</v>
      </c>
      <c r="K123" s="108"/>
      <c r="L123" s="107">
        <v>-4.0</v>
      </c>
      <c r="M123" s="99">
        <v>-4.0</v>
      </c>
      <c r="N123" s="95"/>
      <c r="O123" s="100">
        <v>3.0</v>
      </c>
      <c r="P123" s="108"/>
      <c r="Q123" s="107">
        <v>2.0</v>
      </c>
      <c r="R123" s="99">
        <v>2.0</v>
      </c>
      <c r="S123" s="83"/>
      <c r="T123" s="83"/>
      <c r="U123" s="83"/>
      <c r="V123" s="83"/>
      <c r="W123" s="83"/>
      <c r="X123" s="83"/>
      <c r="Y123" s="83"/>
      <c r="Z123" s="83"/>
    </row>
    <row r="124">
      <c r="A124" s="102" t="s">
        <v>916</v>
      </c>
      <c r="B124" s="101" t="s">
        <v>917</v>
      </c>
      <c r="C124" s="94">
        <f t="shared" si="1"/>
        <v>1</v>
      </c>
      <c r="D124" s="95"/>
      <c r="E124" s="96">
        <v>2.0</v>
      </c>
      <c r="F124" s="108"/>
      <c r="G124" s="107">
        <v>2.0</v>
      </c>
      <c r="H124" s="99">
        <v>2.0</v>
      </c>
      <c r="I124" s="95"/>
      <c r="J124" s="100">
        <v>-3.0</v>
      </c>
      <c r="K124" s="108"/>
      <c r="L124" s="107">
        <v>-3.0</v>
      </c>
      <c r="M124" s="99">
        <v>-4.0</v>
      </c>
      <c r="N124" s="95"/>
      <c r="O124" s="100">
        <v>2.0</v>
      </c>
      <c r="P124" s="108"/>
      <c r="Q124" s="107">
        <v>3.0</v>
      </c>
      <c r="R124" s="99">
        <v>2.0</v>
      </c>
      <c r="S124" s="83"/>
      <c r="T124" s="83"/>
      <c r="U124" s="83"/>
      <c r="V124" s="83"/>
      <c r="W124" s="83"/>
      <c r="X124" s="83"/>
      <c r="Y124" s="83"/>
      <c r="Z124" s="83"/>
    </row>
    <row r="125">
      <c r="A125" s="93" t="s">
        <v>918</v>
      </c>
      <c r="B125" s="93" t="s">
        <v>919</v>
      </c>
      <c r="C125" s="94">
        <f t="shared" si="1"/>
        <v>0.3333333333</v>
      </c>
      <c r="D125" s="95"/>
      <c r="E125" s="96">
        <v>2.0</v>
      </c>
      <c r="F125" s="108"/>
      <c r="G125" s="107">
        <v>2.0</v>
      </c>
      <c r="H125" s="99">
        <v>2.0</v>
      </c>
      <c r="I125" s="95"/>
      <c r="J125" s="100">
        <v>-3.0</v>
      </c>
      <c r="K125" s="108"/>
      <c r="L125" s="107">
        <v>-3.0</v>
      </c>
      <c r="M125" s="99">
        <v>-3.0</v>
      </c>
      <c r="N125" s="95"/>
      <c r="O125" s="100">
        <v>1.0</v>
      </c>
      <c r="P125" s="108"/>
      <c r="Q125" s="107">
        <v>2.0</v>
      </c>
      <c r="R125" s="99">
        <v>1.0</v>
      </c>
      <c r="S125" s="83"/>
      <c r="T125" s="83"/>
      <c r="U125" s="83"/>
      <c r="V125" s="83"/>
      <c r="W125" s="83"/>
      <c r="X125" s="83"/>
      <c r="Y125" s="83"/>
      <c r="Z125" s="83"/>
    </row>
    <row r="126">
      <c r="A126" s="93" t="s">
        <v>920</v>
      </c>
      <c r="B126" s="106" t="s">
        <v>921</v>
      </c>
      <c r="C126" s="94">
        <f t="shared" si="1"/>
        <v>2.333333333</v>
      </c>
      <c r="D126" s="95"/>
      <c r="E126" s="96">
        <v>2.0</v>
      </c>
      <c r="F126" s="108"/>
      <c r="G126" s="107">
        <v>3.0</v>
      </c>
      <c r="H126" s="99">
        <v>2.0</v>
      </c>
      <c r="I126" s="95"/>
      <c r="J126" s="100">
        <v>-1.0</v>
      </c>
      <c r="K126" s="108"/>
      <c r="L126" s="107">
        <v>-1.0</v>
      </c>
      <c r="M126" s="99">
        <v>-2.0</v>
      </c>
      <c r="N126" s="95"/>
      <c r="O126" s="100">
        <v>1.0</v>
      </c>
      <c r="P126" s="108"/>
      <c r="Q126" s="107">
        <v>2.0</v>
      </c>
      <c r="R126" s="99">
        <v>1.0</v>
      </c>
      <c r="S126" s="83"/>
      <c r="T126" s="83"/>
      <c r="U126" s="83"/>
      <c r="V126" s="83"/>
      <c r="W126" s="83"/>
      <c r="X126" s="83"/>
      <c r="Y126" s="83"/>
      <c r="Z126" s="83"/>
    </row>
    <row r="127">
      <c r="A127" s="109" t="s">
        <v>922</v>
      </c>
      <c r="B127" s="101" t="s">
        <v>923</v>
      </c>
      <c r="C127" s="94">
        <f t="shared" si="1"/>
        <v>3.333333333</v>
      </c>
      <c r="D127" s="95"/>
      <c r="E127" s="96">
        <v>2.0</v>
      </c>
      <c r="F127" s="108"/>
      <c r="G127" s="107">
        <v>2.0</v>
      </c>
      <c r="H127" s="99">
        <v>2.0</v>
      </c>
      <c r="I127" s="95"/>
      <c r="J127" s="100">
        <v>-3.0</v>
      </c>
      <c r="K127" s="108"/>
      <c r="L127" s="107">
        <v>-3.0</v>
      </c>
      <c r="M127" s="99">
        <v>-3.0</v>
      </c>
      <c r="N127" s="95"/>
      <c r="O127" s="100">
        <v>5.0</v>
      </c>
      <c r="P127" s="108"/>
      <c r="Q127" s="107">
        <v>4.0</v>
      </c>
      <c r="R127" s="99">
        <v>4.0</v>
      </c>
      <c r="S127" s="83"/>
      <c r="T127" s="83"/>
      <c r="U127" s="83"/>
      <c r="V127" s="83"/>
      <c r="W127" s="83"/>
      <c r="X127" s="83"/>
      <c r="Y127" s="83"/>
      <c r="Z127" s="83"/>
    </row>
    <row r="128">
      <c r="A128" s="93" t="s">
        <v>924</v>
      </c>
      <c r="B128" s="93" t="s">
        <v>925</v>
      </c>
      <c r="C128" s="94">
        <f t="shared" si="1"/>
        <v>-1.333333333</v>
      </c>
      <c r="D128" s="95"/>
      <c r="E128" s="96">
        <v>2.0</v>
      </c>
      <c r="F128" s="108"/>
      <c r="G128" s="107">
        <v>2.0</v>
      </c>
      <c r="H128" s="99">
        <v>2.0</v>
      </c>
      <c r="I128" s="95"/>
      <c r="J128" s="100">
        <v>0.0</v>
      </c>
      <c r="K128" s="108"/>
      <c r="L128" s="107">
        <v>0.0</v>
      </c>
      <c r="M128" s="99">
        <v>0.0</v>
      </c>
      <c r="N128" s="95"/>
      <c r="O128" s="100">
        <v>-4.0</v>
      </c>
      <c r="P128" s="108"/>
      <c r="Q128" s="107">
        <v>-4.0</v>
      </c>
      <c r="R128" s="99">
        <v>-2.0</v>
      </c>
      <c r="S128" s="83"/>
      <c r="T128" s="83"/>
      <c r="U128" s="83"/>
      <c r="V128" s="83"/>
      <c r="W128" s="83"/>
      <c r="X128" s="83"/>
      <c r="Y128" s="83"/>
      <c r="Z128" s="83"/>
    </row>
    <row r="129">
      <c r="A129" s="93" t="s">
        <v>926</v>
      </c>
      <c r="B129" s="106" t="s">
        <v>927</v>
      </c>
      <c r="C129" s="94">
        <f t="shared" si="1"/>
        <v>6.333333333</v>
      </c>
      <c r="D129" s="95"/>
      <c r="E129" s="96">
        <v>4.0</v>
      </c>
      <c r="F129" s="108"/>
      <c r="G129" s="107">
        <v>4.0</v>
      </c>
      <c r="H129" s="99">
        <v>4.0</v>
      </c>
      <c r="I129" s="95"/>
      <c r="J129" s="100">
        <v>-1.0</v>
      </c>
      <c r="K129" s="108"/>
      <c r="L129" s="107">
        <v>-1.0</v>
      </c>
      <c r="M129" s="99">
        <v>0.0</v>
      </c>
      <c r="N129" s="95"/>
      <c r="O129" s="100">
        <v>3.0</v>
      </c>
      <c r="P129" s="108"/>
      <c r="Q129" s="107">
        <v>4.0</v>
      </c>
      <c r="R129" s="99">
        <v>2.0</v>
      </c>
      <c r="S129" s="83"/>
      <c r="T129" s="83"/>
      <c r="U129" s="83"/>
      <c r="V129" s="83"/>
      <c r="W129" s="83"/>
      <c r="X129" s="83"/>
      <c r="Y129" s="83"/>
      <c r="Z129" s="83"/>
    </row>
    <row r="130">
      <c r="A130" s="102" t="s">
        <v>928</v>
      </c>
      <c r="B130" s="103" t="s">
        <v>929</v>
      </c>
      <c r="C130" s="94">
        <f t="shared" si="1"/>
        <v>2</v>
      </c>
      <c r="D130" s="95"/>
      <c r="E130" s="96">
        <v>2.0</v>
      </c>
      <c r="F130" s="108"/>
      <c r="G130" s="107">
        <v>2.0</v>
      </c>
      <c r="H130" s="99">
        <v>2.0</v>
      </c>
      <c r="I130" s="95"/>
      <c r="J130" s="100">
        <v>-3.0</v>
      </c>
      <c r="K130" s="108"/>
      <c r="L130" s="107">
        <v>-3.0</v>
      </c>
      <c r="M130" s="99">
        <v>-2.0</v>
      </c>
      <c r="N130" s="95"/>
      <c r="O130" s="100">
        <v>3.0</v>
      </c>
      <c r="P130" s="108"/>
      <c r="Q130" s="107">
        <v>3.0</v>
      </c>
      <c r="R130" s="99">
        <v>2.0</v>
      </c>
      <c r="S130" s="83"/>
      <c r="T130" s="83"/>
      <c r="U130" s="83"/>
      <c r="V130" s="83"/>
      <c r="W130" s="83"/>
      <c r="X130" s="83"/>
      <c r="Y130" s="83"/>
      <c r="Z130" s="83"/>
    </row>
    <row r="131">
      <c r="A131" s="93" t="s">
        <v>930</v>
      </c>
      <c r="B131" s="105" t="s">
        <v>931</v>
      </c>
      <c r="C131" s="94">
        <f t="shared" si="1"/>
        <v>2</v>
      </c>
      <c r="D131" s="95"/>
      <c r="E131" s="96">
        <v>2.0</v>
      </c>
      <c r="F131" s="108"/>
      <c r="G131" s="107">
        <v>2.0</v>
      </c>
      <c r="H131" s="99">
        <v>2.0</v>
      </c>
      <c r="I131" s="95"/>
      <c r="J131" s="100">
        <v>-2.0</v>
      </c>
      <c r="K131" s="108"/>
      <c r="L131" s="107">
        <v>-3.0</v>
      </c>
      <c r="M131" s="99">
        <v>-3.0</v>
      </c>
      <c r="N131" s="95"/>
      <c r="O131" s="100">
        <v>3.0</v>
      </c>
      <c r="P131" s="108"/>
      <c r="Q131" s="107">
        <v>3.0</v>
      </c>
      <c r="R131" s="99">
        <v>2.0</v>
      </c>
      <c r="S131" s="83"/>
      <c r="T131" s="83"/>
      <c r="U131" s="83"/>
      <c r="V131" s="83"/>
      <c r="W131" s="83"/>
      <c r="X131" s="83"/>
      <c r="Y131" s="83"/>
      <c r="Z131" s="83"/>
    </row>
    <row r="132">
      <c r="A132" s="93" t="s">
        <v>932</v>
      </c>
      <c r="B132" s="101" t="s">
        <v>933</v>
      </c>
      <c r="C132" s="94">
        <f t="shared" si="1"/>
        <v>3.333333333</v>
      </c>
      <c r="D132" s="95"/>
      <c r="E132" s="96">
        <v>2.0</v>
      </c>
      <c r="F132" s="108"/>
      <c r="G132" s="107">
        <v>2.0</v>
      </c>
      <c r="H132" s="99">
        <v>2.0</v>
      </c>
      <c r="I132" s="95"/>
      <c r="J132" s="100">
        <v>-1.0</v>
      </c>
      <c r="K132" s="108"/>
      <c r="L132" s="107">
        <v>0.0</v>
      </c>
      <c r="M132" s="99">
        <v>-1.0</v>
      </c>
      <c r="N132" s="95"/>
      <c r="O132" s="100">
        <v>3.0</v>
      </c>
      <c r="P132" s="108"/>
      <c r="Q132" s="107">
        <v>2.0</v>
      </c>
      <c r="R132" s="99">
        <v>1.0</v>
      </c>
      <c r="S132" s="83"/>
      <c r="T132" s="83"/>
      <c r="U132" s="83"/>
      <c r="V132" s="83"/>
      <c r="W132" s="83"/>
      <c r="X132" s="83"/>
      <c r="Y132" s="83"/>
      <c r="Z132" s="83"/>
    </row>
    <row r="133">
      <c r="A133" s="93" t="s">
        <v>934</v>
      </c>
      <c r="B133" s="93" t="s">
        <v>935</v>
      </c>
      <c r="C133" s="94">
        <f t="shared" si="1"/>
        <v>-2</v>
      </c>
      <c r="D133" s="95"/>
      <c r="E133" s="96">
        <v>2.0</v>
      </c>
      <c r="F133" s="108"/>
      <c r="G133" s="107">
        <v>2.0</v>
      </c>
      <c r="H133" s="99">
        <v>2.0</v>
      </c>
      <c r="I133" s="95"/>
      <c r="J133" s="100">
        <v>0.0</v>
      </c>
      <c r="K133" s="108"/>
      <c r="L133" s="107">
        <v>0.0</v>
      </c>
      <c r="M133" s="99">
        <v>0.0</v>
      </c>
      <c r="N133" s="95"/>
      <c r="O133" s="100">
        <v>-4.0</v>
      </c>
      <c r="P133" s="108"/>
      <c r="Q133" s="107">
        <v>-4.0</v>
      </c>
      <c r="R133" s="99">
        <v>-4.0</v>
      </c>
      <c r="S133" s="83"/>
      <c r="T133" s="83"/>
      <c r="U133" s="83"/>
      <c r="V133" s="83"/>
      <c r="W133" s="83"/>
      <c r="X133" s="83"/>
      <c r="Y133" s="83"/>
      <c r="Z133" s="83"/>
    </row>
    <row r="134">
      <c r="A134" s="93" t="s">
        <v>936</v>
      </c>
      <c r="B134" s="93" t="s">
        <v>937</v>
      </c>
      <c r="C134" s="94">
        <f t="shared" si="1"/>
        <v>2.666666667</v>
      </c>
      <c r="D134" s="95"/>
      <c r="E134" s="96">
        <v>2.0</v>
      </c>
      <c r="F134" s="108"/>
      <c r="G134" s="107">
        <v>2.0</v>
      </c>
      <c r="H134" s="99">
        <v>2.0</v>
      </c>
      <c r="I134" s="95"/>
      <c r="J134" s="100">
        <v>-2.0</v>
      </c>
      <c r="K134" s="108"/>
      <c r="L134" s="107">
        <v>-2.0</v>
      </c>
      <c r="M134" s="99">
        <v>-2.0</v>
      </c>
      <c r="N134" s="95"/>
      <c r="O134" s="100">
        <v>3.0</v>
      </c>
      <c r="P134" s="108"/>
      <c r="Q134" s="107">
        <v>3.0</v>
      </c>
      <c r="R134" s="99">
        <v>2.0</v>
      </c>
      <c r="S134" s="83"/>
      <c r="T134" s="83"/>
      <c r="U134" s="83"/>
      <c r="V134" s="83"/>
      <c r="W134" s="83"/>
      <c r="X134" s="83"/>
      <c r="Y134" s="83"/>
      <c r="Z134" s="83"/>
    </row>
    <row r="135">
      <c r="A135" s="93" t="s">
        <v>938</v>
      </c>
      <c r="B135" s="93" t="s">
        <v>939</v>
      </c>
      <c r="C135" s="94">
        <f t="shared" si="1"/>
        <v>5</v>
      </c>
      <c r="D135" s="95"/>
      <c r="E135" s="96">
        <v>2.0</v>
      </c>
      <c r="F135" s="108"/>
      <c r="G135" s="107">
        <v>2.0</v>
      </c>
      <c r="H135" s="99">
        <v>4.0</v>
      </c>
      <c r="I135" s="95"/>
      <c r="J135" s="100">
        <v>-1.0</v>
      </c>
      <c r="K135" s="108"/>
      <c r="L135" s="107">
        <v>-1.0</v>
      </c>
      <c r="M135" s="99">
        <v>-1.0</v>
      </c>
      <c r="N135" s="95"/>
      <c r="O135" s="100">
        <v>4.0</v>
      </c>
      <c r="P135" s="108"/>
      <c r="Q135" s="107">
        <v>4.0</v>
      </c>
      <c r="R135" s="99">
        <v>2.0</v>
      </c>
      <c r="S135" s="83"/>
      <c r="T135" s="83"/>
      <c r="U135" s="83"/>
      <c r="V135" s="83"/>
      <c r="W135" s="83"/>
      <c r="X135" s="83"/>
      <c r="Y135" s="83"/>
      <c r="Z135" s="83"/>
    </row>
    <row r="136">
      <c r="A136" s="93" t="s">
        <v>940</v>
      </c>
      <c r="B136" s="93" t="s">
        <v>941</v>
      </c>
      <c r="C136" s="94">
        <f t="shared" si="1"/>
        <v>1.666666667</v>
      </c>
      <c r="D136" s="95"/>
      <c r="E136" s="96">
        <v>2.0</v>
      </c>
      <c r="F136" s="108"/>
      <c r="G136" s="107">
        <v>2.0</v>
      </c>
      <c r="H136" s="99">
        <v>2.0</v>
      </c>
      <c r="I136" s="95"/>
      <c r="J136" s="100">
        <v>-2.0</v>
      </c>
      <c r="K136" s="108"/>
      <c r="L136" s="107">
        <v>-2.0</v>
      </c>
      <c r="M136" s="99">
        <v>-2.0</v>
      </c>
      <c r="N136" s="95"/>
      <c r="O136" s="100">
        <v>2.0</v>
      </c>
      <c r="P136" s="108"/>
      <c r="Q136" s="107">
        <v>2.0</v>
      </c>
      <c r="R136" s="99">
        <v>1.0</v>
      </c>
      <c r="S136" s="83"/>
      <c r="T136" s="83"/>
      <c r="U136" s="83"/>
      <c r="V136" s="83"/>
      <c r="W136" s="83"/>
      <c r="X136" s="83"/>
      <c r="Y136" s="83"/>
      <c r="Z136" s="83"/>
    </row>
    <row r="137">
      <c r="A137" s="93" t="s">
        <v>942</v>
      </c>
      <c r="B137" s="101" t="s">
        <v>943</v>
      </c>
      <c r="C137" s="94">
        <f t="shared" si="1"/>
        <v>3.666666667</v>
      </c>
      <c r="D137" s="95"/>
      <c r="E137" s="96">
        <v>2.0</v>
      </c>
      <c r="F137" s="108"/>
      <c r="G137" s="107">
        <v>2.0</v>
      </c>
      <c r="H137" s="99">
        <v>2.0</v>
      </c>
      <c r="I137" s="95"/>
      <c r="J137" s="100">
        <v>-2.0</v>
      </c>
      <c r="K137" s="108"/>
      <c r="L137" s="107">
        <v>-1.0</v>
      </c>
      <c r="M137" s="99">
        <v>-1.0</v>
      </c>
      <c r="N137" s="95"/>
      <c r="O137" s="100">
        <v>3.0</v>
      </c>
      <c r="P137" s="108"/>
      <c r="Q137" s="107">
        <v>3.0</v>
      </c>
      <c r="R137" s="99">
        <v>3.0</v>
      </c>
      <c r="S137" s="83"/>
      <c r="T137" s="83"/>
      <c r="U137" s="83"/>
      <c r="V137" s="83"/>
      <c r="W137" s="83"/>
      <c r="X137" s="83"/>
      <c r="Y137" s="83"/>
      <c r="Z137" s="83"/>
    </row>
    <row r="138">
      <c r="A138" s="110" t="s">
        <v>944</v>
      </c>
      <c r="B138" s="93" t="s">
        <v>945</v>
      </c>
      <c r="C138" s="94">
        <f t="shared" si="1"/>
        <v>5</v>
      </c>
      <c r="D138" s="95"/>
      <c r="E138" s="96">
        <v>4.0</v>
      </c>
      <c r="F138" s="108"/>
      <c r="G138" s="107">
        <v>4.0</v>
      </c>
      <c r="H138" s="99">
        <v>4.0</v>
      </c>
      <c r="I138" s="95"/>
      <c r="J138" s="100">
        <v>-1.0</v>
      </c>
      <c r="K138" s="108"/>
      <c r="L138" s="107">
        <v>-1.0</v>
      </c>
      <c r="M138" s="99">
        <v>-1.0</v>
      </c>
      <c r="N138" s="95"/>
      <c r="O138" s="100">
        <v>2.0</v>
      </c>
      <c r="P138" s="108"/>
      <c r="Q138" s="107">
        <v>3.0</v>
      </c>
      <c r="R138" s="99">
        <v>1.0</v>
      </c>
      <c r="S138" s="83"/>
      <c r="T138" s="83"/>
      <c r="U138" s="83"/>
      <c r="V138" s="83"/>
      <c r="W138" s="83"/>
      <c r="X138" s="83"/>
      <c r="Y138" s="83"/>
      <c r="Z138" s="83"/>
    </row>
    <row r="139">
      <c r="A139" s="93" t="s">
        <v>946</v>
      </c>
      <c r="B139" s="106" t="s">
        <v>947</v>
      </c>
      <c r="C139" s="94">
        <f t="shared" si="1"/>
        <v>-2.333333333</v>
      </c>
      <c r="D139" s="111"/>
      <c r="E139" s="96">
        <v>0.0</v>
      </c>
      <c r="F139" s="108"/>
      <c r="G139" s="107">
        <v>0.0</v>
      </c>
      <c r="H139" s="112">
        <v>0.0</v>
      </c>
      <c r="I139" s="111"/>
      <c r="J139" s="100">
        <v>-1.0</v>
      </c>
      <c r="K139" s="108"/>
      <c r="L139" s="107">
        <v>-1.0</v>
      </c>
      <c r="M139" s="112">
        <v>-1.0</v>
      </c>
      <c r="N139" s="111"/>
      <c r="O139" s="100">
        <v>-3.0</v>
      </c>
      <c r="P139" s="108"/>
      <c r="Q139" s="107">
        <v>0.0</v>
      </c>
      <c r="R139" s="112">
        <v>-1.0</v>
      </c>
      <c r="S139" s="83"/>
      <c r="T139" s="83"/>
      <c r="U139" s="83"/>
      <c r="V139" s="83"/>
      <c r="W139" s="83"/>
      <c r="X139" s="83"/>
      <c r="Y139" s="83"/>
      <c r="Z139" s="83"/>
    </row>
    <row r="140">
      <c r="A140" s="113"/>
      <c r="B140" s="114"/>
      <c r="C140" s="94"/>
      <c r="D140" s="111"/>
      <c r="E140" s="115"/>
      <c r="F140" s="108"/>
      <c r="G140" s="98"/>
      <c r="H140" s="116"/>
      <c r="I140" s="111"/>
      <c r="J140" s="115"/>
      <c r="K140" s="108"/>
      <c r="L140" s="98"/>
      <c r="M140" s="116"/>
      <c r="N140" s="111"/>
      <c r="O140" s="115"/>
      <c r="P140" s="108"/>
      <c r="Q140" s="98"/>
      <c r="R140" s="116"/>
      <c r="S140" s="83"/>
      <c r="T140" s="83"/>
      <c r="U140" s="83"/>
      <c r="V140" s="83"/>
      <c r="W140" s="83"/>
      <c r="X140" s="83"/>
      <c r="Y140" s="83"/>
      <c r="Z140" s="83"/>
    </row>
    <row r="141">
      <c r="A141" s="113"/>
      <c r="B141" s="114"/>
      <c r="C141" s="94"/>
      <c r="D141" s="111"/>
      <c r="E141" s="115"/>
      <c r="F141" s="108"/>
      <c r="G141" s="98"/>
      <c r="H141" s="116"/>
      <c r="I141" s="111"/>
      <c r="J141" s="115"/>
      <c r="K141" s="108"/>
      <c r="L141" s="98"/>
      <c r="M141" s="116"/>
      <c r="N141" s="111"/>
      <c r="O141" s="115"/>
      <c r="P141" s="108"/>
      <c r="Q141" s="98"/>
      <c r="R141" s="116"/>
      <c r="S141" s="83"/>
      <c r="T141" s="83"/>
      <c r="U141" s="83"/>
      <c r="V141" s="83"/>
      <c r="W141" s="83"/>
      <c r="X141" s="83"/>
      <c r="Y141" s="83"/>
      <c r="Z141" s="83"/>
    </row>
    <row r="142">
      <c r="A142" s="113"/>
      <c r="B142" s="114"/>
      <c r="C142" s="94"/>
      <c r="D142" s="111"/>
      <c r="E142" s="115"/>
      <c r="F142" s="108"/>
      <c r="G142" s="98"/>
      <c r="H142" s="116"/>
      <c r="I142" s="111"/>
      <c r="J142" s="115"/>
      <c r="K142" s="108"/>
      <c r="L142" s="98"/>
      <c r="M142" s="116"/>
      <c r="N142" s="111"/>
      <c r="O142" s="115"/>
      <c r="P142" s="108"/>
      <c r="Q142" s="98"/>
      <c r="R142" s="116"/>
      <c r="S142" s="83"/>
      <c r="T142" s="83"/>
      <c r="U142" s="83"/>
      <c r="V142" s="83"/>
      <c r="W142" s="83"/>
      <c r="X142" s="83"/>
      <c r="Y142" s="83"/>
      <c r="Z142" s="83"/>
    </row>
    <row r="143">
      <c r="A143" s="113"/>
      <c r="B143" s="114"/>
      <c r="C143" s="94"/>
      <c r="D143" s="111"/>
      <c r="E143" s="115"/>
      <c r="F143" s="108"/>
      <c r="G143" s="98"/>
      <c r="H143" s="116"/>
      <c r="I143" s="111"/>
      <c r="J143" s="115"/>
      <c r="K143" s="108"/>
      <c r="L143" s="98"/>
      <c r="M143" s="116"/>
      <c r="N143" s="111"/>
      <c r="O143" s="115"/>
      <c r="P143" s="108"/>
      <c r="Q143" s="98"/>
      <c r="R143" s="116"/>
      <c r="S143" s="83"/>
      <c r="T143" s="83"/>
      <c r="U143" s="83"/>
      <c r="V143" s="83"/>
      <c r="W143" s="83"/>
      <c r="X143" s="83"/>
      <c r="Y143" s="83"/>
      <c r="Z143" s="83"/>
    </row>
    <row r="144">
      <c r="A144" s="113"/>
      <c r="B144" s="114"/>
      <c r="C144" s="94"/>
      <c r="D144" s="111"/>
      <c r="E144" s="115"/>
      <c r="F144" s="108"/>
      <c r="G144" s="98"/>
      <c r="H144" s="116"/>
      <c r="I144" s="111"/>
      <c r="J144" s="115"/>
      <c r="K144" s="108"/>
      <c r="L144" s="98"/>
      <c r="M144" s="116"/>
      <c r="N144" s="111"/>
      <c r="O144" s="115"/>
      <c r="P144" s="108"/>
      <c r="Q144" s="98"/>
      <c r="R144" s="116"/>
      <c r="S144" s="83"/>
      <c r="T144" s="83"/>
      <c r="U144" s="83"/>
      <c r="V144" s="83"/>
      <c r="W144" s="83"/>
      <c r="X144" s="83"/>
      <c r="Y144" s="83"/>
      <c r="Z144" s="83"/>
    </row>
    <row r="145">
      <c r="A145" s="113"/>
      <c r="B145" s="114"/>
      <c r="C145" s="94"/>
      <c r="D145" s="111"/>
      <c r="E145" s="115"/>
      <c r="F145" s="108"/>
      <c r="G145" s="98"/>
      <c r="H145" s="116"/>
      <c r="I145" s="111"/>
      <c r="J145" s="115"/>
      <c r="K145" s="108"/>
      <c r="L145" s="98"/>
      <c r="M145" s="116"/>
      <c r="N145" s="111"/>
      <c r="O145" s="115"/>
      <c r="P145" s="108"/>
      <c r="Q145" s="98"/>
      <c r="R145" s="116"/>
      <c r="S145" s="83"/>
      <c r="T145" s="83"/>
      <c r="U145" s="83"/>
      <c r="V145" s="83"/>
      <c r="W145" s="83"/>
      <c r="X145" s="83"/>
      <c r="Y145" s="83"/>
      <c r="Z145" s="83"/>
    </row>
    <row r="146">
      <c r="A146" s="113"/>
      <c r="B146" s="114"/>
      <c r="C146" s="94"/>
      <c r="D146" s="111"/>
      <c r="E146" s="115"/>
      <c r="F146" s="108"/>
      <c r="G146" s="98"/>
      <c r="H146" s="116"/>
      <c r="I146" s="111"/>
      <c r="J146" s="115"/>
      <c r="K146" s="108"/>
      <c r="L146" s="98"/>
      <c r="M146" s="116"/>
      <c r="N146" s="111"/>
      <c r="O146" s="115"/>
      <c r="P146" s="108"/>
      <c r="Q146" s="98"/>
      <c r="R146" s="116"/>
      <c r="S146" s="83"/>
      <c r="T146" s="83"/>
      <c r="U146" s="83"/>
      <c r="V146" s="83"/>
      <c r="W146" s="83"/>
      <c r="X146" s="83"/>
      <c r="Y146" s="83"/>
      <c r="Z146" s="83"/>
    </row>
    <row r="147">
      <c r="A147" s="113"/>
      <c r="B147" s="114"/>
      <c r="C147" s="94"/>
      <c r="D147" s="111"/>
      <c r="E147" s="115"/>
      <c r="F147" s="108"/>
      <c r="G147" s="98"/>
      <c r="H147" s="116"/>
      <c r="I147" s="111"/>
      <c r="J147" s="115"/>
      <c r="K147" s="108"/>
      <c r="L147" s="98"/>
      <c r="M147" s="116"/>
      <c r="N147" s="111"/>
      <c r="O147" s="115"/>
      <c r="P147" s="108"/>
      <c r="Q147" s="98"/>
      <c r="R147" s="116"/>
      <c r="S147" s="83"/>
      <c r="T147" s="83"/>
      <c r="U147" s="83"/>
      <c r="V147" s="83"/>
      <c r="W147" s="83"/>
      <c r="X147" s="83"/>
      <c r="Y147" s="83"/>
      <c r="Z147" s="83"/>
    </row>
    <row r="148">
      <c r="A148" s="113"/>
      <c r="B148" s="114"/>
      <c r="C148" s="94"/>
      <c r="D148" s="111"/>
      <c r="E148" s="115"/>
      <c r="F148" s="108"/>
      <c r="G148" s="98"/>
      <c r="H148" s="116"/>
      <c r="I148" s="111"/>
      <c r="J148" s="115"/>
      <c r="K148" s="108"/>
      <c r="L148" s="98"/>
      <c r="M148" s="116"/>
      <c r="N148" s="111"/>
      <c r="O148" s="115"/>
      <c r="P148" s="108"/>
      <c r="Q148" s="98"/>
      <c r="R148" s="116"/>
      <c r="S148" s="83"/>
      <c r="T148" s="83"/>
      <c r="U148" s="83"/>
      <c r="V148" s="83"/>
      <c r="W148" s="83"/>
      <c r="X148" s="83"/>
      <c r="Y148" s="83"/>
      <c r="Z148" s="83"/>
    </row>
    <row r="149">
      <c r="A149" s="113"/>
      <c r="B149" s="114"/>
      <c r="C149" s="94"/>
      <c r="D149" s="111"/>
      <c r="E149" s="115"/>
      <c r="F149" s="108"/>
      <c r="G149" s="98"/>
      <c r="H149" s="116"/>
      <c r="I149" s="111"/>
      <c r="J149" s="115"/>
      <c r="K149" s="108"/>
      <c r="L149" s="98"/>
      <c r="M149" s="116"/>
      <c r="N149" s="111"/>
      <c r="O149" s="115"/>
      <c r="P149" s="108"/>
      <c r="Q149" s="98"/>
      <c r="R149" s="116"/>
      <c r="S149" s="83"/>
      <c r="T149" s="83"/>
      <c r="U149" s="83"/>
      <c r="V149" s="83"/>
      <c r="W149" s="83"/>
      <c r="X149" s="83"/>
      <c r="Y149" s="83"/>
      <c r="Z149" s="83"/>
    </row>
    <row r="150">
      <c r="A150" s="113"/>
      <c r="B150" s="114"/>
      <c r="C150" s="94"/>
      <c r="D150" s="111"/>
      <c r="E150" s="115"/>
      <c r="F150" s="108"/>
      <c r="G150" s="98"/>
      <c r="H150" s="116"/>
      <c r="I150" s="111"/>
      <c r="J150" s="115"/>
      <c r="K150" s="108"/>
      <c r="L150" s="98"/>
      <c r="M150" s="116"/>
      <c r="N150" s="111"/>
      <c r="O150" s="115"/>
      <c r="P150" s="108"/>
      <c r="Q150" s="98"/>
      <c r="R150" s="116"/>
      <c r="S150" s="83"/>
      <c r="T150" s="83"/>
      <c r="U150" s="83"/>
      <c r="V150" s="83"/>
      <c r="W150" s="83"/>
      <c r="X150" s="83"/>
      <c r="Y150" s="83"/>
      <c r="Z150" s="83"/>
    </row>
    <row r="151">
      <c r="A151" s="113"/>
      <c r="B151" s="114"/>
      <c r="C151" s="94"/>
      <c r="D151" s="111"/>
      <c r="E151" s="115"/>
      <c r="F151" s="108"/>
      <c r="G151" s="98"/>
      <c r="H151" s="116"/>
      <c r="I151" s="111"/>
      <c r="J151" s="115"/>
      <c r="K151" s="108"/>
      <c r="L151" s="98"/>
      <c r="M151" s="116"/>
      <c r="N151" s="111"/>
      <c r="O151" s="115"/>
      <c r="P151" s="108"/>
      <c r="Q151" s="98"/>
      <c r="R151" s="116"/>
      <c r="S151" s="83"/>
      <c r="T151" s="83"/>
      <c r="U151" s="83"/>
      <c r="V151" s="83"/>
      <c r="W151" s="83"/>
      <c r="X151" s="83"/>
      <c r="Y151" s="83"/>
      <c r="Z151" s="83"/>
    </row>
    <row r="152">
      <c r="A152" s="113"/>
      <c r="B152" s="114"/>
      <c r="C152" s="94"/>
      <c r="D152" s="111"/>
      <c r="E152" s="115"/>
      <c r="F152" s="108"/>
      <c r="G152" s="98"/>
      <c r="H152" s="116"/>
      <c r="I152" s="111"/>
      <c r="J152" s="115"/>
      <c r="K152" s="108"/>
      <c r="L152" s="98"/>
      <c r="M152" s="116"/>
      <c r="N152" s="111"/>
      <c r="O152" s="115"/>
      <c r="P152" s="108"/>
      <c r="Q152" s="98"/>
      <c r="R152" s="116"/>
      <c r="S152" s="83"/>
      <c r="T152" s="83"/>
      <c r="U152" s="83"/>
      <c r="V152" s="83"/>
      <c r="W152" s="83"/>
      <c r="X152" s="83"/>
      <c r="Y152" s="83"/>
      <c r="Z152" s="83"/>
    </row>
    <row r="153">
      <c r="A153" s="113"/>
      <c r="B153" s="114"/>
      <c r="C153" s="94"/>
      <c r="D153" s="111"/>
      <c r="E153" s="115"/>
      <c r="F153" s="108"/>
      <c r="G153" s="98"/>
      <c r="H153" s="116"/>
      <c r="I153" s="111"/>
      <c r="J153" s="115"/>
      <c r="K153" s="108"/>
      <c r="L153" s="98"/>
      <c r="M153" s="116"/>
      <c r="N153" s="111"/>
      <c r="O153" s="115"/>
      <c r="P153" s="108"/>
      <c r="Q153" s="98"/>
      <c r="R153" s="116"/>
      <c r="S153" s="83"/>
      <c r="T153" s="83"/>
      <c r="U153" s="83"/>
      <c r="V153" s="83"/>
      <c r="W153" s="83"/>
      <c r="X153" s="83"/>
      <c r="Y153" s="83"/>
      <c r="Z153" s="83"/>
    </row>
    <row r="154">
      <c r="A154" s="113"/>
      <c r="B154" s="114"/>
      <c r="C154" s="94"/>
      <c r="D154" s="111"/>
      <c r="E154" s="115"/>
      <c r="F154" s="108"/>
      <c r="G154" s="98"/>
      <c r="H154" s="116"/>
      <c r="I154" s="111"/>
      <c r="J154" s="115"/>
      <c r="K154" s="108"/>
      <c r="L154" s="98"/>
      <c r="M154" s="116"/>
      <c r="N154" s="111"/>
      <c r="O154" s="115"/>
      <c r="P154" s="108"/>
      <c r="Q154" s="98"/>
      <c r="R154" s="116"/>
      <c r="S154" s="83"/>
      <c r="T154" s="83"/>
      <c r="U154" s="83"/>
      <c r="V154" s="83"/>
      <c r="W154" s="83"/>
      <c r="X154" s="83"/>
      <c r="Y154" s="83"/>
      <c r="Z154" s="83"/>
    </row>
    <row r="155">
      <c r="A155" s="113"/>
      <c r="B155" s="114"/>
      <c r="C155" s="94"/>
      <c r="D155" s="111"/>
      <c r="E155" s="115"/>
      <c r="F155" s="108"/>
      <c r="G155" s="98"/>
      <c r="H155" s="116"/>
      <c r="I155" s="111"/>
      <c r="J155" s="115"/>
      <c r="K155" s="108"/>
      <c r="L155" s="98"/>
      <c r="M155" s="116"/>
      <c r="N155" s="111"/>
      <c r="O155" s="115"/>
      <c r="P155" s="108"/>
      <c r="Q155" s="98"/>
      <c r="R155" s="116"/>
      <c r="S155" s="83"/>
      <c r="T155" s="83"/>
      <c r="U155" s="83"/>
      <c r="V155" s="83"/>
      <c r="W155" s="83"/>
      <c r="X155" s="83"/>
      <c r="Y155" s="83"/>
      <c r="Z155" s="83"/>
    </row>
    <row r="156">
      <c r="A156" s="113"/>
      <c r="B156" s="114"/>
      <c r="C156" s="94"/>
      <c r="D156" s="111"/>
      <c r="E156" s="115"/>
      <c r="F156" s="108"/>
      <c r="G156" s="98"/>
      <c r="H156" s="116"/>
      <c r="I156" s="111"/>
      <c r="J156" s="115"/>
      <c r="K156" s="108"/>
      <c r="L156" s="98"/>
      <c r="M156" s="116"/>
      <c r="N156" s="111"/>
      <c r="O156" s="115"/>
      <c r="P156" s="108"/>
      <c r="Q156" s="98"/>
      <c r="R156" s="116"/>
      <c r="S156" s="83"/>
      <c r="T156" s="83"/>
      <c r="U156" s="83"/>
      <c r="V156" s="83"/>
      <c r="W156" s="83"/>
      <c r="X156" s="83"/>
      <c r="Y156" s="83"/>
      <c r="Z156" s="83"/>
    </row>
    <row r="157">
      <c r="A157" s="113"/>
      <c r="B157" s="114"/>
      <c r="C157" s="94"/>
      <c r="D157" s="111"/>
      <c r="E157" s="115"/>
      <c r="F157" s="108"/>
      <c r="G157" s="98"/>
      <c r="H157" s="116"/>
      <c r="I157" s="111"/>
      <c r="J157" s="115"/>
      <c r="K157" s="108"/>
      <c r="L157" s="98"/>
      <c r="M157" s="116"/>
      <c r="N157" s="111"/>
      <c r="O157" s="115"/>
      <c r="P157" s="108"/>
      <c r="Q157" s="98"/>
      <c r="R157" s="116"/>
      <c r="S157" s="83"/>
      <c r="T157" s="83"/>
      <c r="U157" s="83"/>
      <c r="V157" s="83"/>
      <c r="W157" s="83"/>
      <c r="X157" s="83"/>
      <c r="Y157" s="83"/>
      <c r="Z157" s="83"/>
    </row>
    <row r="158">
      <c r="A158" s="113"/>
      <c r="B158" s="114"/>
      <c r="C158" s="94"/>
      <c r="D158" s="111"/>
      <c r="E158" s="115"/>
      <c r="F158" s="108"/>
      <c r="G158" s="98"/>
      <c r="H158" s="116"/>
      <c r="I158" s="111"/>
      <c r="J158" s="115"/>
      <c r="K158" s="108"/>
      <c r="L158" s="98"/>
      <c r="M158" s="116"/>
      <c r="N158" s="111"/>
      <c r="O158" s="115"/>
      <c r="P158" s="108"/>
      <c r="Q158" s="98"/>
      <c r="R158" s="116"/>
      <c r="S158" s="83"/>
      <c r="T158" s="83"/>
      <c r="U158" s="83"/>
      <c r="V158" s="83"/>
      <c r="W158" s="83"/>
      <c r="X158" s="83"/>
      <c r="Y158" s="83"/>
      <c r="Z158" s="83"/>
    </row>
    <row r="159">
      <c r="A159" s="113"/>
      <c r="B159" s="114"/>
      <c r="C159" s="94"/>
      <c r="D159" s="111"/>
      <c r="E159" s="115"/>
      <c r="F159" s="108"/>
      <c r="G159" s="98"/>
      <c r="H159" s="116"/>
      <c r="I159" s="111"/>
      <c r="J159" s="115"/>
      <c r="K159" s="108"/>
      <c r="L159" s="98"/>
      <c r="M159" s="116"/>
      <c r="N159" s="111"/>
      <c r="O159" s="115"/>
      <c r="P159" s="108"/>
      <c r="Q159" s="98"/>
      <c r="R159" s="116"/>
      <c r="S159" s="83"/>
      <c r="T159" s="83"/>
      <c r="U159" s="83"/>
      <c r="V159" s="83"/>
      <c r="W159" s="83"/>
      <c r="X159" s="83"/>
      <c r="Y159" s="83"/>
      <c r="Z159" s="83"/>
    </row>
    <row r="160">
      <c r="A160" s="113"/>
      <c r="B160" s="114"/>
      <c r="C160" s="94"/>
      <c r="D160" s="111"/>
      <c r="E160" s="115"/>
      <c r="F160" s="108"/>
      <c r="G160" s="98"/>
      <c r="H160" s="116"/>
      <c r="I160" s="111"/>
      <c r="J160" s="115"/>
      <c r="K160" s="108"/>
      <c r="L160" s="98"/>
      <c r="M160" s="116"/>
      <c r="N160" s="111"/>
      <c r="O160" s="115"/>
      <c r="P160" s="108"/>
      <c r="Q160" s="98"/>
      <c r="R160" s="116"/>
      <c r="S160" s="83"/>
      <c r="T160" s="83"/>
      <c r="U160" s="83"/>
      <c r="V160" s="83"/>
      <c r="W160" s="83"/>
      <c r="X160" s="83"/>
      <c r="Y160" s="83"/>
      <c r="Z160" s="83"/>
    </row>
    <row r="161">
      <c r="A161" s="113"/>
      <c r="B161" s="114"/>
      <c r="C161" s="94"/>
      <c r="D161" s="111"/>
      <c r="E161" s="115"/>
      <c r="F161" s="108"/>
      <c r="G161" s="98"/>
      <c r="H161" s="116"/>
      <c r="I161" s="111"/>
      <c r="J161" s="115"/>
      <c r="K161" s="108"/>
      <c r="L161" s="98"/>
      <c r="M161" s="116"/>
      <c r="N161" s="111"/>
      <c r="O161" s="115"/>
      <c r="P161" s="108"/>
      <c r="Q161" s="98"/>
      <c r="R161" s="116"/>
      <c r="S161" s="83"/>
      <c r="T161" s="83"/>
      <c r="U161" s="83"/>
      <c r="V161" s="83"/>
      <c r="W161" s="83"/>
      <c r="X161" s="83"/>
      <c r="Y161" s="83"/>
      <c r="Z161" s="83"/>
    </row>
    <row r="162">
      <c r="A162" s="113"/>
      <c r="B162" s="114"/>
      <c r="C162" s="94"/>
      <c r="D162" s="111"/>
      <c r="E162" s="115"/>
      <c r="F162" s="108"/>
      <c r="G162" s="98"/>
      <c r="H162" s="116"/>
      <c r="I162" s="111"/>
      <c r="J162" s="115"/>
      <c r="K162" s="108"/>
      <c r="L162" s="98"/>
      <c r="M162" s="116"/>
      <c r="N162" s="111"/>
      <c r="O162" s="115"/>
      <c r="P162" s="108"/>
      <c r="Q162" s="98"/>
      <c r="R162" s="116"/>
      <c r="S162" s="83"/>
      <c r="T162" s="83"/>
      <c r="U162" s="83"/>
      <c r="V162" s="83"/>
      <c r="W162" s="83"/>
      <c r="X162" s="83"/>
      <c r="Y162" s="83"/>
      <c r="Z162" s="83"/>
    </row>
    <row r="163">
      <c r="A163" s="113"/>
      <c r="B163" s="114"/>
      <c r="C163" s="94"/>
      <c r="D163" s="111"/>
      <c r="E163" s="115"/>
      <c r="F163" s="108"/>
      <c r="G163" s="98"/>
      <c r="H163" s="116"/>
      <c r="I163" s="111"/>
      <c r="J163" s="115"/>
      <c r="K163" s="108"/>
      <c r="L163" s="98"/>
      <c r="M163" s="116"/>
      <c r="N163" s="111"/>
      <c r="O163" s="115"/>
      <c r="P163" s="108"/>
      <c r="Q163" s="98"/>
      <c r="R163" s="116"/>
      <c r="S163" s="83"/>
      <c r="T163" s="83"/>
      <c r="U163" s="83"/>
      <c r="V163" s="83"/>
      <c r="W163" s="83"/>
      <c r="X163" s="83"/>
      <c r="Y163" s="83"/>
      <c r="Z163" s="83"/>
    </row>
    <row r="164">
      <c r="A164" s="113"/>
      <c r="B164" s="114"/>
      <c r="C164" s="94"/>
      <c r="D164" s="111"/>
      <c r="E164" s="115"/>
      <c r="F164" s="108"/>
      <c r="G164" s="98"/>
      <c r="H164" s="116"/>
      <c r="I164" s="111"/>
      <c r="J164" s="115"/>
      <c r="K164" s="108"/>
      <c r="L164" s="98"/>
      <c r="M164" s="116"/>
      <c r="N164" s="111"/>
      <c r="O164" s="115"/>
      <c r="P164" s="108"/>
      <c r="Q164" s="98"/>
      <c r="R164" s="116"/>
      <c r="S164" s="83"/>
      <c r="T164" s="83"/>
      <c r="U164" s="83"/>
      <c r="V164" s="83"/>
      <c r="W164" s="83"/>
      <c r="X164" s="83"/>
      <c r="Y164" s="83"/>
      <c r="Z164" s="83"/>
    </row>
    <row r="165">
      <c r="A165" s="113"/>
      <c r="B165" s="114"/>
      <c r="C165" s="94"/>
      <c r="D165" s="111"/>
      <c r="E165" s="115"/>
      <c r="F165" s="108"/>
      <c r="G165" s="98"/>
      <c r="H165" s="116"/>
      <c r="I165" s="111"/>
      <c r="J165" s="115"/>
      <c r="K165" s="108"/>
      <c r="L165" s="98"/>
      <c r="M165" s="116"/>
      <c r="N165" s="111"/>
      <c r="O165" s="115"/>
      <c r="P165" s="108"/>
      <c r="Q165" s="98"/>
      <c r="R165" s="116"/>
      <c r="S165" s="83"/>
      <c r="T165" s="83"/>
      <c r="U165" s="83"/>
      <c r="V165" s="83"/>
      <c r="W165" s="83"/>
      <c r="X165" s="83"/>
      <c r="Y165" s="83"/>
      <c r="Z165" s="83"/>
    </row>
    <row r="166">
      <c r="A166" s="113"/>
      <c r="B166" s="114"/>
      <c r="C166" s="94"/>
      <c r="D166" s="111"/>
      <c r="E166" s="115"/>
      <c r="F166" s="108"/>
      <c r="G166" s="98"/>
      <c r="H166" s="116"/>
      <c r="I166" s="111"/>
      <c r="J166" s="115"/>
      <c r="K166" s="108"/>
      <c r="L166" s="98"/>
      <c r="M166" s="116"/>
      <c r="N166" s="111"/>
      <c r="O166" s="115"/>
      <c r="P166" s="108"/>
      <c r="Q166" s="98"/>
      <c r="R166" s="116"/>
      <c r="S166" s="83"/>
      <c r="T166" s="83"/>
      <c r="U166" s="83"/>
      <c r="V166" s="83"/>
      <c r="W166" s="83"/>
      <c r="X166" s="83"/>
      <c r="Y166" s="83"/>
      <c r="Z166" s="83"/>
    </row>
    <row r="167">
      <c r="A167" s="113"/>
      <c r="B167" s="114"/>
      <c r="C167" s="94"/>
      <c r="D167" s="111"/>
      <c r="E167" s="115"/>
      <c r="F167" s="108"/>
      <c r="G167" s="98"/>
      <c r="H167" s="116"/>
      <c r="I167" s="111"/>
      <c r="J167" s="115"/>
      <c r="K167" s="108"/>
      <c r="L167" s="98"/>
      <c r="M167" s="116"/>
      <c r="N167" s="111"/>
      <c r="O167" s="115"/>
      <c r="P167" s="108"/>
      <c r="Q167" s="98"/>
      <c r="R167" s="116"/>
      <c r="S167" s="83"/>
      <c r="T167" s="83"/>
      <c r="U167" s="83"/>
      <c r="V167" s="83"/>
      <c r="W167" s="83"/>
      <c r="X167" s="83"/>
      <c r="Y167" s="83"/>
      <c r="Z167" s="83"/>
    </row>
    <row r="168">
      <c r="A168" s="113"/>
      <c r="B168" s="114"/>
      <c r="C168" s="94"/>
      <c r="D168" s="111"/>
      <c r="E168" s="115"/>
      <c r="F168" s="108"/>
      <c r="G168" s="98"/>
      <c r="H168" s="116"/>
      <c r="I168" s="111"/>
      <c r="J168" s="115"/>
      <c r="K168" s="108"/>
      <c r="L168" s="98"/>
      <c r="M168" s="116"/>
      <c r="N168" s="111"/>
      <c r="O168" s="115"/>
      <c r="P168" s="108"/>
      <c r="Q168" s="98"/>
      <c r="R168" s="116"/>
      <c r="S168" s="83"/>
      <c r="T168" s="83"/>
      <c r="U168" s="83"/>
      <c r="V168" s="83"/>
      <c r="W168" s="83"/>
      <c r="X168" s="83"/>
      <c r="Y168" s="83"/>
      <c r="Z168" s="83"/>
    </row>
    <row r="169">
      <c r="A169" s="113"/>
      <c r="B169" s="114"/>
      <c r="C169" s="94"/>
      <c r="D169" s="111"/>
      <c r="E169" s="115"/>
      <c r="F169" s="108"/>
      <c r="G169" s="98"/>
      <c r="H169" s="116"/>
      <c r="I169" s="111"/>
      <c r="J169" s="115"/>
      <c r="K169" s="108"/>
      <c r="L169" s="98"/>
      <c r="M169" s="116"/>
      <c r="N169" s="111"/>
      <c r="O169" s="115"/>
      <c r="P169" s="108"/>
      <c r="Q169" s="98"/>
      <c r="R169" s="116"/>
      <c r="S169" s="83"/>
      <c r="T169" s="83"/>
      <c r="U169" s="83"/>
      <c r="V169" s="83"/>
      <c r="W169" s="83"/>
      <c r="X169" s="83"/>
      <c r="Y169" s="83"/>
      <c r="Z169" s="83"/>
    </row>
    <row r="170">
      <c r="A170" s="113"/>
      <c r="B170" s="114"/>
      <c r="C170" s="94"/>
      <c r="D170" s="111"/>
      <c r="E170" s="115"/>
      <c r="F170" s="108"/>
      <c r="G170" s="98"/>
      <c r="H170" s="116"/>
      <c r="I170" s="111"/>
      <c r="J170" s="115"/>
      <c r="K170" s="108"/>
      <c r="L170" s="98"/>
      <c r="M170" s="116"/>
      <c r="N170" s="111"/>
      <c r="O170" s="115"/>
      <c r="P170" s="108"/>
      <c r="Q170" s="98"/>
      <c r="R170" s="116"/>
      <c r="S170" s="83"/>
      <c r="T170" s="83"/>
      <c r="U170" s="83"/>
      <c r="V170" s="83"/>
      <c r="W170" s="83"/>
      <c r="X170" s="83"/>
      <c r="Y170" s="83"/>
      <c r="Z170" s="83"/>
    </row>
    <row r="171">
      <c r="A171" s="113"/>
      <c r="B171" s="114"/>
      <c r="C171" s="94"/>
      <c r="D171" s="111"/>
      <c r="E171" s="115"/>
      <c r="F171" s="108"/>
      <c r="G171" s="98"/>
      <c r="H171" s="116"/>
      <c r="I171" s="111"/>
      <c r="J171" s="115"/>
      <c r="K171" s="108"/>
      <c r="L171" s="98"/>
      <c r="M171" s="116"/>
      <c r="N171" s="111"/>
      <c r="O171" s="115"/>
      <c r="P171" s="108"/>
      <c r="Q171" s="98"/>
      <c r="R171" s="116"/>
      <c r="S171" s="83"/>
      <c r="T171" s="83"/>
      <c r="U171" s="83"/>
      <c r="V171" s="83"/>
      <c r="W171" s="83"/>
      <c r="X171" s="83"/>
      <c r="Y171" s="83"/>
      <c r="Z171" s="83"/>
    </row>
    <row r="172">
      <c r="A172" s="113"/>
      <c r="B172" s="114"/>
      <c r="C172" s="94"/>
      <c r="D172" s="111"/>
      <c r="E172" s="115"/>
      <c r="F172" s="108"/>
      <c r="G172" s="98"/>
      <c r="H172" s="116"/>
      <c r="I172" s="111"/>
      <c r="J172" s="115"/>
      <c r="K172" s="108"/>
      <c r="L172" s="98"/>
      <c r="M172" s="116"/>
      <c r="N172" s="111"/>
      <c r="O172" s="115"/>
      <c r="P172" s="108"/>
      <c r="Q172" s="98"/>
      <c r="R172" s="116"/>
      <c r="S172" s="83"/>
      <c r="T172" s="83"/>
      <c r="U172" s="83"/>
      <c r="V172" s="83"/>
      <c r="W172" s="83"/>
      <c r="X172" s="83"/>
      <c r="Y172" s="83"/>
      <c r="Z172" s="83"/>
    </row>
    <row r="173">
      <c r="A173" s="113"/>
      <c r="B173" s="114"/>
      <c r="C173" s="94"/>
      <c r="D173" s="111"/>
      <c r="E173" s="115"/>
      <c r="F173" s="108"/>
      <c r="G173" s="98"/>
      <c r="H173" s="116"/>
      <c r="I173" s="111"/>
      <c r="J173" s="115"/>
      <c r="K173" s="108"/>
      <c r="L173" s="98"/>
      <c r="M173" s="116"/>
      <c r="N173" s="111"/>
      <c r="O173" s="115"/>
      <c r="P173" s="108"/>
      <c r="Q173" s="98"/>
      <c r="R173" s="116"/>
      <c r="S173" s="83"/>
      <c r="T173" s="83"/>
      <c r="U173" s="83"/>
      <c r="V173" s="83"/>
      <c r="W173" s="83"/>
      <c r="X173" s="83"/>
      <c r="Y173" s="83"/>
      <c r="Z173" s="83"/>
    </row>
    <row r="174">
      <c r="A174" s="113"/>
      <c r="B174" s="114"/>
      <c r="C174" s="94"/>
      <c r="D174" s="111"/>
      <c r="E174" s="115"/>
      <c r="F174" s="108"/>
      <c r="G174" s="98"/>
      <c r="H174" s="116"/>
      <c r="I174" s="111"/>
      <c r="J174" s="115"/>
      <c r="K174" s="108"/>
      <c r="L174" s="98"/>
      <c r="M174" s="116"/>
      <c r="N174" s="111"/>
      <c r="O174" s="115"/>
      <c r="P174" s="108"/>
      <c r="Q174" s="98"/>
      <c r="R174" s="116"/>
      <c r="S174" s="83"/>
      <c r="T174" s="83"/>
      <c r="U174" s="83"/>
      <c r="V174" s="83"/>
      <c r="W174" s="83"/>
      <c r="X174" s="83"/>
      <c r="Y174" s="83"/>
      <c r="Z174" s="83"/>
    </row>
    <row r="175">
      <c r="A175" s="113"/>
      <c r="B175" s="114"/>
      <c r="C175" s="94"/>
      <c r="D175" s="111"/>
      <c r="E175" s="115"/>
      <c r="F175" s="108"/>
      <c r="G175" s="98"/>
      <c r="H175" s="116"/>
      <c r="I175" s="111"/>
      <c r="J175" s="115"/>
      <c r="K175" s="108"/>
      <c r="L175" s="98"/>
      <c r="M175" s="116"/>
      <c r="N175" s="111"/>
      <c r="O175" s="115"/>
      <c r="P175" s="108"/>
      <c r="Q175" s="98"/>
      <c r="R175" s="116"/>
      <c r="S175" s="83"/>
      <c r="T175" s="83"/>
      <c r="U175" s="83"/>
      <c r="V175" s="83"/>
      <c r="W175" s="83"/>
      <c r="X175" s="83"/>
      <c r="Y175" s="83"/>
      <c r="Z175" s="83"/>
    </row>
    <row r="176">
      <c r="A176" s="113"/>
      <c r="B176" s="114"/>
      <c r="C176" s="94"/>
      <c r="D176" s="111"/>
      <c r="E176" s="115"/>
      <c r="F176" s="108"/>
      <c r="G176" s="98"/>
      <c r="H176" s="116"/>
      <c r="I176" s="111"/>
      <c r="J176" s="115"/>
      <c r="K176" s="108"/>
      <c r="L176" s="98"/>
      <c r="M176" s="116"/>
      <c r="N176" s="111"/>
      <c r="O176" s="115"/>
      <c r="P176" s="108"/>
      <c r="Q176" s="98"/>
      <c r="R176" s="116"/>
      <c r="S176" s="83"/>
      <c r="T176" s="83"/>
      <c r="U176" s="83"/>
      <c r="V176" s="83"/>
      <c r="W176" s="83"/>
      <c r="X176" s="83"/>
      <c r="Y176" s="83"/>
      <c r="Z176" s="83"/>
    </row>
    <row r="177">
      <c r="A177" s="113"/>
      <c r="B177" s="114"/>
      <c r="C177" s="94"/>
      <c r="D177" s="111"/>
      <c r="E177" s="115"/>
      <c r="F177" s="108"/>
      <c r="G177" s="98"/>
      <c r="H177" s="116"/>
      <c r="I177" s="111"/>
      <c r="J177" s="115"/>
      <c r="K177" s="108"/>
      <c r="L177" s="98"/>
      <c r="M177" s="116"/>
      <c r="N177" s="111"/>
      <c r="O177" s="115"/>
      <c r="P177" s="108"/>
      <c r="Q177" s="98"/>
      <c r="R177" s="116"/>
      <c r="S177" s="83"/>
      <c r="T177" s="83"/>
      <c r="U177" s="83"/>
      <c r="V177" s="83"/>
      <c r="W177" s="83"/>
      <c r="X177" s="83"/>
      <c r="Y177" s="83"/>
      <c r="Z177" s="83"/>
    </row>
    <row r="178">
      <c r="A178" s="113"/>
      <c r="B178" s="114"/>
      <c r="C178" s="94"/>
      <c r="D178" s="111"/>
      <c r="E178" s="115"/>
      <c r="F178" s="108"/>
      <c r="G178" s="98"/>
      <c r="H178" s="116"/>
      <c r="I178" s="111"/>
      <c r="J178" s="115"/>
      <c r="K178" s="108"/>
      <c r="L178" s="98"/>
      <c r="M178" s="116"/>
      <c r="N178" s="111"/>
      <c r="O178" s="115"/>
      <c r="P178" s="108"/>
      <c r="Q178" s="98"/>
      <c r="R178" s="116"/>
      <c r="S178" s="83"/>
      <c r="T178" s="83"/>
      <c r="U178" s="83"/>
      <c r="V178" s="83"/>
      <c r="W178" s="83"/>
      <c r="X178" s="83"/>
      <c r="Y178" s="83"/>
      <c r="Z178" s="83"/>
    </row>
    <row r="179">
      <c r="A179" s="113"/>
      <c r="B179" s="114"/>
      <c r="C179" s="94"/>
      <c r="D179" s="111"/>
      <c r="E179" s="115"/>
      <c r="F179" s="108"/>
      <c r="G179" s="98"/>
      <c r="H179" s="116"/>
      <c r="I179" s="111"/>
      <c r="J179" s="115"/>
      <c r="K179" s="108"/>
      <c r="L179" s="98"/>
      <c r="M179" s="116"/>
      <c r="N179" s="111"/>
      <c r="O179" s="115"/>
      <c r="P179" s="108"/>
      <c r="Q179" s="98"/>
      <c r="R179" s="116"/>
      <c r="S179" s="83"/>
      <c r="T179" s="83"/>
      <c r="U179" s="83"/>
      <c r="V179" s="83"/>
      <c r="W179" s="83"/>
      <c r="X179" s="83"/>
      <c r="Y179" s="83"/>
      <c r="Z179" s="83"/>
    </row>
    <row r="180">
      <c r="A180" s="113"/>
      <c r="B180" s="114"/>
      <c r="C180" s="94"/>
      <c r="D180" s="111"/>
      <c r="E180" s="115"/>
      <c r="F180" s="108"/>
      <c r="G180" s="98"/>
      <c r="H180" s="116"/>
      <c r="I180" s="111"/>
      <c r="J180" s="115"/>
      <c r="K180" s="108"/>
      <c r="L180" s="98"/>
      <c r="M180" s="116"/>
      <c r="N180" s="111"/>
      <c r="O180" s="115"/>
      <c r="P180" s="108"/>
      <c r="Q180" s="98"/>
      <c r="R180" s="116"/>
      <c r="S180" s="83"/>
      <c r="T180" s="83"/>
      <c r="U180" s="83"/>
      <c r="V180" s="83"/>
      <c r="W180" s="83"/>
      <c r="X180" s="83"/>
      <c r="Y180" s="83"/>
      <c r="Z180" s="83"/>
    </row>
    <row r="181">
      <c r="A181" s="113"/>
      <c r="B181" s="114"/>
      <c r="C181" s="94"/>
      <c r="D181" s="111"/>
      <c r="E181" s="115"/>
      <c r="F181" s="108"/>
      <c r="G181" s="98"/>
      <c r="H181" s="116"/>
      <c r="I181" s="111"/>
      <c r="J181" s="115"/>
      <c r="K181" s="108"/>
      <c r="L181" s="98"/>
      <c r="M181" s="116"/>
      <c r="N181" s="111"/>
      <c r="O181" s="115"/>
      <c r="P181" s="108"/>
      <c r="Q181" s="98"/>
      <c r="R181" s="116"/>
      <c r="S181" s="83"/>
      <c r="T181" s="83"/>
      <c r="U181" s="83"/>
      <c r="V181" s="83"/>
      <c r="W181" s="83"/>
      <c r="X181" s="83"/>
      <c r="Y181" s="83"/>
      <c r="Z181" s="83"/>
    </row>
    <row r="182">
      <c r="A182" s="113"/>
      <c r="B182" s="114"/>
      <c r="C182" s="94"/>
      <c r="D182" s="111"/>
      <c r="E182" s="115"/>
      <c r="F182" s="108"/>
      <c r="G182" s="98"/>
      <c r="H182" s="116"/>
      <c r="I182" s="111"/>
      <c r="J182" s="115"/>
      <c r="K182" s="108"/>
      <c r="L182" s="98"/>
      <c r="M182" s="116"/>
      <c r="N182" s="111"/>
      <c r="O182" s="115"/>
      <c r="P182" s="108"/>
      <c r="Q182" s="98"/>
      <c r="R182" s="116"/>
      <c r="S182" s="83"/>
      <c r="T182" s="83"/>
      <c r="U182" s="83"/>
      <c r="V182" s="83"/>
      <c r="W182" s="83"/>
      <c r="X182" s="83"/>
      <c r="Y182" s="83"/>
      <c r="Z182" s="83"/>
    </row>
    <row r="183">
      <c r="A183" s="113"/>
      <c r="B183" s="114"/>
      <c r="C183" s="94"/>
      <c r="D183" s="111"/>
      <c r="E183" s="115"/>
      <c r="F183" s="108"/>
      <c r="G183" s="98"/>
      <c r="H183" s="116"/>
      <c r="I183" s="111"/>
      <c r="J183" s="115"/>
      <c r="K183" s="108"/>
      <c r="L183" s="98"/>
      <c r="M183" s="116"/>
      <c r="N183" s="111"/>
      <c r="O183" s="115"/>
      <c r="P183" s="108"/>
      <c r="Q183" s="98"/>
      <c r="R183" s="116"/>
      <c r="S183" s="83"/>
      <c r="T183" s="83"/>
      <c r="U183" s="83"/>
      <c r="V183" s="83"/>
      <c r="W183" s="83"/>
      <c r="X183" s="83"/>
      <c r="Y183" s="83"/>
      <c r="Z183" s="83"/>
    </row>
    <row r="184">
      <c r="A184" s="113"/>
      <c r="B184" s="114"/>
      <c r="C184" s="94"/>
      <c r="D184" s="111"/>
      <c r="E184" s="115"/>
      <c r="F184" s="108"/>
      <c r="G184" s="98"/>
      <c r="H184" s="116"/>
      <c r="I184" s="111"/>
      <c r="J184" s="115"/>
      <c r="K184" s="108"/>
      <c r="L184" s="98"/>
      <c r="M184" s="116"/>
      <c r="N184" s="111"/>
      <c r="O184" s="115"/>
      <c r="P184" s="108"/>
      <c r="Q184" s="98"/>
      <c r="R184" s="116"/>
      <c r="S184" s="83"/>
      <c r="T184" s="83"/>
      <c r="U184" s="83"/>
      <c r="V184" s="83"/>
      <c r="W184" s="83"/>
      <c r="X184" s="83"/>
      <c r="Y184" s="83"/>
      <c r="Z184" s="83"/>
    </row>
    <row r="185">
      <c r="A185" s="113"/>
      <c r="B185" s="114"/>
      <c r="C185" s="94"/>
      <c r="D185" s="111"/>
      <c r="E185" s="115"/>
      <c r="F185" s="108"/>
      <c r="G185" s="98"/>
      <c r="H185" s="116"/>
      <c r="I185" s="111"/>
      <c r="J185" s="115"/>
      <c r="K185" s="108"/>
      <c r="L185" s="98"/>
      <c r="M185" s="116"/>
      <c r="N185" s="111"/>
      <c r="O185" s="115"/>
      <c r="P185" s="108"/>
      <c r="Q185" s="98"/>
      <c r="R185" s="116"/>
      <c r="S185" s="83"/>
      <c r="T185" s="83"/>
      <c r="U185" s="83"/>
      <c r="V185" s="83"/>
      <c r="W185" s="83"/>
      <c r="X185" s="83"/>
      <c r="Y185" s="83"/>
      <c r="Z185" s="83"/>
    </row>
    <row r="186">
      <c r="A186" s="113"/>
      <c r="B186" s="114"/>
      <c r="C186" s="94"/>
      <c r="D186" s="111"/>
      <c r="E186" s="115"/>
      <c r="F186" s="108"/>
      <c r="G186" s="98"/>
      <c r="H186" s="116"/>
      <c r="I186" s="111"/>
      <c r="J186" s="115"/>
      <c r="K186" s="108"/>
      <c r="L186" s="98"/>
      <c r="M186" s="116"/>
      <c r="N186" s="111"/>
      <c r="O186" s="115"/>
      <c r="P186" s="108"/>
      <c r="Q186" s="98"/>
      <c r="R186" s="116"/>
      <c r="S186" s="83"/>
      <c r="T186" s="83"/>
      <c r="U186" s="83"/>
      <c r="V186" s="83"/>
      <c r="W186" s="83"/>
      <c r="X186" s="83"/>
      <c r="Y186" s="83"/>
      <c r="Z186" s="83"/>
    </row>
    <row r="187">
      <c r="A187" s="113"/>
      <c r="B187" s="114"/>
      <c r="C187" s="94"/>
      <c r="D187" s="111"/>
      <c r="E187" s="115"/>
      <c r="F187" s="108"/>
      <c r="G187" s="98"/>
      <c r="H187" s="116"/>
      <c r="I187" s="111"/>
      <c r="J187" s="115"/>
      <c r="K187" s="108"/>
      <c r="L187" s="98"/>
      <c r="M187" s="116"/>
      <c r="N187" s="111"/>
      <c r="O187" s="115"/>
      <c r="P187" s="108"/>
      <c r="Q187" s="98"/>
      <c r="R187" s="116"/>
      <c r="S187" s="83"/>
      <c r="T187" s="83"/>
      <c r="U187" s="83"/>
      <c r="V187" s="83"/>
      <c r="W187" s="83"/>
      <c r="X187" s="83"/>
      <c r="Y187" s="83"/>
      <c r="Z187" s="83"/>
    </row>
    <row r="188">
      <c r="A188" s="113"/>
      <c r="B188" s="114"/>
      <c r="C188" s="94"/>
      <c r="D188" s="111"/>
      <c r="E188" s="115"/>
      <c r="F188" s="108"/>
      <c r="G188" s="98"/>
      <c r="H188" s="116"/>
      <c r="I188" s="111"/>
      <c r="J188" s="115"/>
      <c r="K188" s="108"/>
      <c r="L188" s="98"/>
      <c r="M188" s="116"/>
      <c r="N188" s="111"/>
      <c r="O188" s="115"/>
      <c r="P188" s="108"/>
      <c r="Q188" s="98"/>
      <c r="R188" s="116"/>
      <c r="S188" s="83"/>
      <c r="T188" s="83"/>
      <c r="U188" s="83"/>
      <c r="V188" s="83"/>
      <c r="W188" s="83"/>
      <c r="X188" s="83"/>
      <c r="Y188" s="83"/>
      <c r="Z188" s="83"/>
    </row>
    <row r="189">
      <c r="A189" s="113"/>
      <c r="B189" s="114"/>
      <c r="C189" s="94"/>
      <c r="D189" s="111"/>
      <c r="E189" s="115"/>
      <c r="F189" s="108"/>
      <c r="G189" s="98"/>
      <c r="H189" s="116"/>
      <c r="I189" s="111"/>
      <c r="J189" s="115"/>
      <c r="K189" s="108"/>
      <c r="L189" s="98"/>
      <c r="M189" s="116"/>
      <c r="N189" s="111"/>
      <c r="O189" s="115"/>
      <c r="P189" s="108"/>
      <c r="Q189" s="98"/>
      <c r="R189" s="116"/>
      <c r="S189" s="83"/>
      <c r="T189" s="83"/>
      <c r="U189" s="83"/>
      <c r="V189" s="83"/>
      <c r="W189" s="83"/>
      <c r="X189" s="83"/>
      <c r="Y189" s="83"/>
      <c r="Z189" s="83"/>
    </row>
    <row r="190">
      <c r="A190" s="113"/>
      <c r="B190" s="114"/>
      <c r="C190" s="94"/>
      <c r="D190" s="111"/>
      <c r="E190" s="115"/>
      <c r="F190" s="108"/>
      <c r="G190" s="98"/>
      <c r="H190" s="116"/>
      <c r="I190" s="111"/>
      <c r="J190" s="115"/>
      <c r="K190" s="108"/>
      <c r="L190" s="98"/>
      <c r="M190" s="116"/>
      <c r="N190" s="111"/>
      <c r="O190" s="115"/>
      <c r="P190" s="108"/>
      <c r="Q190" s="98"/>
      <c r="R190" s="116"/>
      <c r="S190" s="83"/>
      <c r="T190" s="83"/>
      <c r="U190" s="83"/>
      <c r="V190" s="83"/>
      <c r="W190" s="83"/>
      <c r="X190" s="83"/>
      <c r="Y190" s="83"/>
      <c r="Z190" s="83"/>
    </row>
    <row r="191">
      <c r="A191" s="113"/>
      <c r="B191" s="114"/>
      <c r="C191" s="94"/>
      <c r="D191" s="111"/>
      <c r="E191" s="115"/>
      <c r="F191" s="108"/>
      <c r="G191" s="98"/>
      <c r="H191" s="116"/>
      <c r="I191" s="111"/>
      <c r="J191" s="115"/>
      <c r="K191" s="108"/>
      <c r="L191" s="98"/>
      <c r="M191" s="116"/>
      <c r="N191" s="111"/>
      <c r="O191" s="115"/>
      <c r="P191" s="108"/>
      <c r="Q191" s="98"/>
      <c r="R191" s="116"/>
      <c r="S191" s="83"/>
      <c r="T191" s="83"/>
      <c r="U191" s="83"/>
      <c r="V191" s="83"/>
      <c r="W191" s="83"/>
      <c r="X191" s="83"/>
      <c r="Y191" s="83"/>
      <c r="Z191" s="83"/>
    </row>
    <row r="192">
      <c r="A192" s="113"/>
      <c r="B192" s="114"/>
      <c r="C192" s="94"/>
      <c r="D192" s="111"/>
      <c r="E192" s="115"/>
      <c r="F192" s="108"/>
      <c r="G192" s="98"/>
      <c r="H192" s="116"/>
      <c r="I192" s="111"/>
      <c r="J192" s="115"/>
      <c r="K192" s="108"/>
      <c r="L192" s="98"/>
      <c r="M192" s="116"/>
      <c r="N192" s="111"/>
      <c r="O192" s="115"/>
      <c r="P192" s="108"/>
      <c r="Q192" s="98"/>
      <c r="R192" s="116"/>
      <c r="S192" s="83"/>
      <c r="T192" s="83"/>
      <c r="U192" s="83"/>
      <c r="V192" s="83"/>
      <c r="W192" s="83"/>
      <c r="X192" s="83"/>
      <c r="Y192" s="83"/>
      <c r="Z192" s="83"/>
    </row>
    <row r="193">
      <c r="A193" s="113"/>
      <c r="B193" s="114"/>
      <c r="C193" s="94"/>
      <c r="D193" s="111"/>
      <c r="E193" s="115"/>
      <c r="F193" s="108"/>
      <c r="G193" s="98"/>
      <c r="H193" s="116"/>
      <c r="I193" s="111"/>
      <c r="J193" s="115"/>
      <c r="K193" s="108"/>
      <c r="L193" s="98"/>
      <c r="M193" s="116"/>
      <c r="N193" s="111"/>
      <c r="O193" s="115"/>
      <c r="P193" s="108"/>
      <c r="Q193" s="98"/>
      <c r="R193" s="116"/>
      <c r="S193" s="83"/>
      <c r="T193" s="83"/>
      <c r="U193" s="83"/>
      <c r="V193" s="83"/>
      <c r="W193" s="83"/>
      <c r="X193" s="83"/>
      <c r="Y193" s="83"/>
      <c r="Z193" s="83"/>
    </row>
    <row r="194">
      <c r="A194" s="113"/>
      <c r="B194" s="114"/>
      <c r="C194" s="94"/>
      <c r="D194" s="111"/>
      <c r="E194" s="115"/>
      <c r="F194" s="108"/>
      <c r="G194" s="98"/>
      <c r="H194" s="116"/>
      <c r="I194" s="111"/>
      <c r="J194" s="115"/>
      <c r="K194" s="108"/>
      <c r="L194" s="98"/>
      <c r="M194" s="116"/>
      <c r="N194" s="111"/>
      <c r="O194" s="115"/>
      <c r="P194" s="108"/>
      <c r="Q194" s="98"/>
      <c r="R194" s="116"/>
      <c r="S194" s="83"/>
      <c r="T194" s="83"/>
      <c r="U194" s="83"/>
      <c r="V194" s="83"/>
      <c r="W194" s="83"/>
      <c r="X194" s="83"/>
      <c r="Y194" s="83"/>
      <c r="Z194" s="83"/>
    </row>
    <row r="195">
      <c r="A195" s="113"/>
      <c r="B195" s="114"/>
      <c r="C195" s="94"/>
      <c r="D195" s="111"/>
      <c r="E195" s="115"/>
      <c r="F195" s="108"/>
      <c r="G195" s="98"/>
      <c r="H195" s="116"/>
      <c r="I195" s="111"/>
      <c r="J195" s="115"/>
      <c r="K195" s="108"/>
      <c r="L195" s="98"/>
      <c r="M195" s="116"/>
      <c r="N195" s="111"/>
      <c r="O195" s="115"/>
      <c r="P195" s="108"/>
      <c r="Q195" s="98"/>
      <c r="R195" s="116"/>
      <c r="S195" s="83"/>
      <c r="T195" s="83"/>
      <c r="U195" s="83"/>
      <c r="V195" s="83"/>
      <c r="W195" s="83"/>
      <c r="X195" s="83"/>
      <c r="Y195" s="83"/>
      <c r="Z195" s="83"/>
    </row>
    <row r="196">
      <c r="A196" s="113"/>
      <c r="B196" s="114"/>
      <c r="C196" s="94"/>
      <c r="D196" s="111"/>
      <c r="E196" s="115"/>
      <c r="F196" s="108"/>
      <c r="G196" s="98"/>
      <c r="H196" s="116"/>
      <c r="I196" s="111"/>
      <c r="J196" s="115"/>
      <c r="K196" s="108"/>
      <c r="L196" s="98"/>
      <c r="M196" s="116"/>
      <c r="N196" s="111"/>
      <c r="O196" s="115"/>
      <c r="P196" s="108"/>
      <c r="Q196" s="98"/>
      <c r="R196" s="116"/>
      <c r="S196" s="83"/>
      <c r="T196" s="83"/>
      <c r="U196" s="83"/>
      <c r="V196" s="83"/>
      <c r="W196" s="83"/>
      <c r="X196" s="83"/>
      <c r="Y196" s="83"/>
      <c r="Z196" s="83"/>
    </row>
    <row r="197">
      <c r="A197" s="113"/>
      <c r="B197" s="114"/>
      <c r="C197" s="94"/>
      <c r="D197" s="111"/>
      <c r="E197" s="115"/>
      <c r="F197" s="108"/>
      <c r="G197" s="98"/>
      <c r="H197" s="116"/>
      <c r="I197" s="111"/>
      <c r="J197" s="115"/>
      <c r="K197" s="108"/>
      <c r="L197" s="98"/>
      <c r="M197" s="116"/>
      <c r="N197" s="111"/>
      <c r="O197" s="115"/>
      <c r="P197" s="108"/>
      <c r="Q197" s="98"/>
      <c r="R197" s="116"/>
      <c r="S197" s="83"/>
      <c r="T197" s="83"/>
      <c r="U197" s="83"/>
      <c r="V197" s="83"/>
      <c r="W197" s="83"/>
      <c r="X197" s="83"/>
      <c r="Y197" s="83"/>
      <c r="Z197" s="83"/>
    </row>
    <row r="198">
      <c r="A198" s="113"/>
      <c r="B198" s="117"/>
      <c r="C198" s="94"/>
      <c r="D198" s="111"/>
      <c r="E198" s="115"/>
      <c r="F198" s="108"/>
      <c r="G198" s="98"/>
      <c r="H198" s="116"/>
      <c r="I198" s="111"/>
      <c r="J198" s="115"/>
      <c r="K198" s="108"/>
      <c r="L198" s="98"/>
      <c r="M198" s="116"/>
      <c r="N198" s="111"/>
      <c r="O198" s="115"/>
      <c r="P198" s="108"/>
      <c r="Q198" s="98"/>
      <c r="R198" s="116"/>
      <c r="S198" s="83"/>
      <c r="T198" s="83"/>
      <c r="U198" s="83"/>
      <c r="V198" s="83"/>
      <c r="W198" s="83"/>
      <c r="X198" s="83"/>
      <c r="Y198" s="83"/>
      <c r="Z198" s="83"/>
    </row>
    <row r="199">
      <c r="A199" s="113"/>
      <c r="B199" s="117"/>
      <c r="C199" s="94"/>
      <c r="D199" s="111"/>
      <c r="E199" s="115"/>
      <c r="F199" s="108"/>
      <c r="G199" s="98"/>
      <c r="H199" s="116"/>
      <c r="I199" s="111"/>
      <c r="J199" s="115"/>
      <c r="K199" s="108"/>
      <c r="L199" s="98"/>
      <c r="M199" s="116"/>
      <c r="N199" s="111"/>
      <c r="O199" s="115"/>
      <c r="P199" s="108"/>
      <c r="Q199" s="98"/>
      <c r="R199" s="116"/>
      <c r="S199" s="83"/>
      <c r="T199" s="83"/>
      <c r="U199" s="83"/>
      <c r="V199" s="83"/>
      <c r="W199" s="83"/>
      <c r="X199" s="83"/>
      <c r="Y199" s="83"/>
      <c r="Z199" s="83"/>
    </row>
    <row r="200">
      <c r="A200" s="113"/>
      <c r="B200" s="117"/>
      <c r="C200" s="94"/>
      <c r="D200" s="111"/>
      <c r="E200" s="115"/>
      <c r="F200" s="108"/>
      <c r="G200" s="98"/>
      <c r="H200" s="116"/>
      <c r="I200" s="111"/>
      <c r="J200" s="115"/>
      <c r="K200" s="108"/>
      <c r="L200" s="98"/>
      <c r="M200" s="116"/>
      <c r="N200" s="111"/>
      <c r="O200" s="115"/>
      <c r="P200" s="108"/>
      <c r="Q200" s="98"/>
      <c r="R200" s="116"/>
      <c r="S200" s="83"/>
      <c r="T200" s="83"/>
      <c r="U200" s="83"/>
      <c r="V200" s="83"/>
      <c r="W200" s="83"/>
      <c r="X200" s="83"/>
      <c r="Y200" s="83"/>
      <c r="Z200" s="83"/>
    </row>
    <row r="201">
      <c r="A201" s="113"/>
      <c r="B201" s="117"/>
      <c r="C201" s="94"/>
      <c r="D201" s="111"/>
      <c r="E201" s="115"/>
      <c r="F201" s="108"/>
      <c r="G201" s="98"/>
      <c r="H201" s="116"/>
      <c r="I201" s="111"/>
      <c r="J201" s="115"/>
      <c r="K201" s="108"/>
      <c r="L201" s="98"/>
      <c r="M201" s="116"/>
      <c r="N201" s="111"/>
      <c r="O201" s="115"/>
      <c r="P201" s="108"/>
      <c r="Q201" s="98"/>
      <c r="R201" s="116"/>
      <c r="S201" s="83"/>
      <c r="T201" s="83"/>
      <c r="U201" s="83"/>
      <c r="V201" s="83"/>
      <c r="W201" s="83"/>
      <c r="X201" s="83"/>
      <c r="Y201" s="83"/>
      <c r="Z201" s="83"/>
    </row>
    <row r="202">
      <c r="A202" s="113"/>
      <c r="B202" s="117"/>
      <c r="C202" s="94"/>
      <c r="D202" s="111"/>
      <c r="E202" s="115"/>
      <c r="F202" s="108"/>
      <c r="G202" s="98"/>
      <c r="H202" s="116"/>
      <c r="I202" s="111"/>
      <c r="J202" s="115"/>
      <c r="K202" s="108"/>
      <c r="L202" s="98"/>
      <c r="M202" s="116"/>
      <c r="N202" s="111"/>
      <c r="O202" s="115"/>
      <c r="P202" s="108"/>
      <c r="Q202" s="98"/>
      <c r="R202" s="116"/>
      <c r="S202" s="83"/>
      <c r="T202" s="83"/>
      <c r="U202" s="83"/>
      <c r="V202" s="83"/>
      <c r="W202" s="83"/>
      <c r="X202" s="83"/>
      <c r="Y202" s="83"/>
      <c r="Z202" s="83"/>
    </row>
    <row r="203">
      <c r="A203" s="113"/>
      <c r="B203" s="117"/>
      <c r="C203" s="94"/>
      <c r="D203" s="111"/>
      <c r="E203" s="115"/>
      <c r="F203" s="108"/>
      <c r="G203" s="98"/>
      <c r="H203" s="116"/>
      <c r="I203" s="111"/>
      <c r="J203" s="115"/>
      <c r="K203" s="108"/>
      <c r="L203" s="98"/>
      <c r="M203" s="116"/>
      <c r="N203" s="111"/>
      <c r="O203" s="115"/>
      <c r="P203" s="108"/>
      <c r="Q203" s="98"/>
      <c r="R203" s="116"/>
      <c r="S203" s="83"/>
      <c r="T203" s="83"/>
      <c r="U203" s="83"/>
      <c r="V203" s="83"/>
      <c r="W203" s="83"/>
      <c r="X203" s="83"/>
      <c r="Y203" s="83"/>
      <c r="Z203" s="83"/>
    </row>
    <row r="204">
      <c r="A204" s="113"/>
      <c r="B204" s="117"/>
      <c r="C204" s="94"/>
      <c r="D204" s="111"/>
      <c r="E204" s="115"/>
      <c r="F204" s="108"/>
      <c r="G204" s="98"/>
      <c r="H204" s="116"/>
      <c r="I204" s="111"/>
      <c r="J204" s="115"/>
      <c r="K204" s="108"/>
      <c r="L204" s="98"/>
      <c r="M204" s="116"/>
      <c r="N204" s="111"/>
      <c r="O204" s="115"/>
      <c r="P204" s="108"/>
      <c r="Q204" s="98"/>
      <c r="R204" s="116"/>
      <c r="S204" s="83"/>
      <c r="T204" s="83"/>
      <c r="U204" s="83"/>
      <c r="V204" s="83"/>
      <c r="W204" s="83"/>
      <c r="X204" s="83"/>
      <c r="Y204" s="83"/>
      <c r="Z204" s="83"/>
    </row>
    <row r="205">
      <c r="A205" s="113"/>
      <c r="B205" s="117"/>
      <c r="C205" s="94"/>
      <c r="D205" s="111"/>
      <c r="E205" s="115"/>
      <c r="F205" s="108"/>
      <c r="G205" s="98"/>
      <c r="H205" s="116"/>
      <c r="I205" s="111"/>
      <c r="J205" s="115"/>
      <c r="K205" s="108"/>
      <c r="L205" s="98"/>
      <c r="M205" s="116"/>
      <c r="N205" s="111"/>
      <c r="O205" s="115"/>
      <c r="P205" s="108"/>
      <c r="Q205" s="98"/>
      <c r="R205" s="116"/>
      <c r="S205" s="83"/>
      <c r="T205" s="83"/>
      <c r="U205" s="83"/>
      <c r="V205" s="83"/>
      <c r="W205" s="83"/>
      <c r="X205" s="83"/>
      <c r="Y205" s="83"/>
      <c r="Z205" s="83"/>
    </row>
    <row r="206">
      <c r="A206" s="113"/>
      <c r="B206" s="117"/>
      <c r="C206" s="94"/>
      <c r="D206" s="111"/>
      <c r="E206" s="115"/>
      <c r="F206" s="108"/>
      <c r="G206" s="98"/>
      <c r="H206" s="116"/>
      <c r="I206" s="111"/>
      <c r="J206" s="115"/>
      <c r="K206" s="108"/>
      <c r="L206" s="98"/>
      <c r="M206" s="116"/>
      <c r="N206" s="111"/>
      <c r="O206" s="115"/>
      <c r="P206" s="108"/>
      <c r="Q206" s="98"/>
      <c r="R206" s="116"/>
      <c r="S206" s="83"/>
      <c r="T206" s="83"/>
      <c r="U206" s="83"/>
      <c r="V206" s="83"/>
      <c r="W206" s="83"/>
      <c r="X206" s="83"/>
      <c r="Y206" s="83"/>
      <c r="Z206" s="83"/>
    </row>
    <row r="207">
      <c r="A207" s="113"/>
      <c r="B207" s="117"/>
      <c r="C207" s="94"/>
      <c r="D207" s="111"/>
      <c r="E207" s="115"/>
      <c r="F207" s="108"/>
      <c r="G207" s="98"/>
      <c r="H207" s="116"/>
      <c r="I207" s="111"/>
      <c r="J207" s="115"/>
      <c r="K207" s="108"/>
      <c r="L207" s="98"/>
      <c r="M207" s="116"/>
      <c r="N207" s="111"/>
      <c r="O207" s="115"/>
      <c r="P207" s="108"/>
      <c r="Q207" s="98"/>
      <c r="R207" s="116"/>
      <c r="S207" s="83"/>
      <c r="T207" s="83"/>
      <c r="U207" s="83"/>
      <c r="V207" s="83"/>
      <c r="W207" s="83"/>
      <c r="X207" s="83"/>
      <c r="Y207" s="83"/>
      <c r="Z207" s="83"/>
    </row>
    <row r="208">
      <c r="A208" s="113"/>
      <c r="B208" s="117"/>
      <c r="C208" s="94"/>
      <c r="D208" s="111"/>
      <c r="E208" s="115"/>
      <c r="F208" s="108"/>
      <c r="G208" s="98"/>
      <c r="H208" s="116"/>
      <c r="I208" s="111"/>
      <c r="J208" s="115"/>
      <c r="K208" s="108"/>
      <c r="L208" s="98"/>
      <c r="M208" s="116"/>
      <c r="N208" s="111"/>
      <c r="O208" s="115"/>
      <c r="P208" s="108"/>
      <c r="Q208" s="98"/>
      <c r="R208" s="116"/>
      <c r="S208" s="83"/>
      <c r="T208" s="83"/>
      <c r="U208" s="83"/>
      <c r="V208" s="83"/>
      <c r="W208" s="83"/>
      <c r="X208" s="83"/>
      <c r="Y208" s="83"/>
      <c r="Z208" s="83"/>
    </row>
    <row r="209">
      <c r="A209" s="113"/>
      <c r="B209" s="117"/>
      <c r="C209" s="94"/>
      <c r="D209" s="111"/>
      <c r="E209" s="115"/>
      <c r="F209" s="108"/>
      <c r="G209" s="98"/>
      <c r="H209" s="116"/>
      <c r="I209" s="111"/>
      <c r="J209" s="115"/>
      <c r="K209" s="108"/>
      <c r="L209" s="98"/>
      <c r="M209" s="116"/>
      <c r="N209" s="111"/>
      <c r="O209" s="115"/>
      <c r="P209" s="108"/>
      <c r="Q209" s="98"/>
      <c r="R209" s="116"/>
      <c r="S209" s="83"/>
      <c r="T209" s="83"/>
      <c r="U209" s="83"/>
      <c r="V209" s="83"/>
      <c r="W209" s="83"/>
      <c r="X209" s="83"/>
      <c r="Y209" s="83"/>
      <c r="Z209" s="83"/>
    </row>
    <row r="210">
      <c r="A210" s="113"/>
      <c r="B210" s="117"/>
      <c r="C210" s="94"/>
      <c r="D210" s="111"/>
      <c r="E210" s="115"/>
      <c r="F210" s="108"/>
      <c r="G210" s="98"/>
      <c r="H210" s="116"/>
      <c r="I210" s="111"/>
      <c r="J210" s="115"/>
      <c r="K210" s="108"/>
      <c r="L210" s="98"/>
      <c r="M210" s="116"/>
      <c r="N210" s="111"/>
      <c r="O210" s="115"/>
      <c r="P210" s="108"/>
      <c r="Q210" s="98"/>
      <c r="R210" s="116"/>
      <c r="S210" s="83"/>
      <c r="T210" s="83"/>
      <c r="U210" s="83"/>
      <c r="V210" s="83"/>
      <c r="W210" s="83"/>
      <c r="X210" s="83"/>
      <c r="Y210" s="83"/>
      <c r="Z210" s="83"/>
    </row>
    <row r="211">
      <c r="A211" s="113"/>
      <c r="B211" s="117"/>
      <c r="C211" s="94"/>
      <c r="D211" s="111"/>
      <c r="E211" s="115"/>
      <c r="F211" s="108"/>
      <c r="G211" s="98"/>
      <c r="H211" s="116"/>
      <c r="I211" s="111"/>
      <c r="J211" s="115"/>
      <c r="K211" s="108"/>
      <c r="L211" s="98"/>
      <c r="M211" s="116"/>
      <c r="N211" s="111"/>
      <c r="O211" s="115"/>
      <c r="P211" s="108"/>
      <c r="Q211" s="98"/>
      <c r="R211" s="116"/>
      <c r="S211" s="83"/>
      <c r="T211" s="83"/>
      <c r="U211" s="83"/>
      <c r="V211" s="83"/>
      <c r="W211" s="83"/>
      <c r="X211" s="83"/>
      <c r="Y211" s="83"/>
      <c r="Z211" s="83"/>
    </row>
    <row r="212">
      <c r="A212" s="113"/>
      <c r="B212" s="117"/>
      <c r="C212" s="94"/>
      <c r="D212" s="111"/>
      <c r="E212" s="115"/>
      <c r="F212" s="108"/>
      <c r="G212" s="98"/>
      <c r="H212" s="116"/>
      <c r="I212" s="111"/>
      <c r="J212" s="115"/>
      <c r="K212" s="108"/>
      <c r="L212" s="98"/>
      <c r="M212" s="116"/>
      <c r="N212" s="111"/>
      <c r="O212" s="115"/>
      <c r="P212" s="108"/>
      <c r="Q212" s="98"/>
      <c r="R212" s="116"/>
      <c r="S212" s="83"/>
      <c r="T212" s="83"/>
      <c r="U212" s="83"/>
      <c r="V212" s="83"/>
      <c r="W212" s="83"/>
      <c r="X212" s="83"/>
      <c r="Y212" s="83"/>
      <c r="Z212" s="83"/>
    </row>
    <row r="213">
      <c r="A213" s="113"/>
      <c r="B213" s="117"/>
      <c r="C213" s="94"/>
      <c r="D213" s="111"/>
      <c r="E213" s="115"/>
      <c r="F213" s="108"/>
      <c r="G213" s="98"/>
      <c r="H213" s="116"/>
      <c r="I213" s="111"/>
      <c r="J213" s="115"/>
      <c r="K213" s="108"/>
      <c r="L213" s="98"/>
      <c r="M213" s="116"/>
      <c r="N213" s="111"/>
      <c r="O213" s="115"/>
      <c r="P213" s="108"/>
      <c r="Q213" s="98"/>
      <c r="R213" s="116"/>
      <c r="S213" s="83"/>
      <c r="T213" s="83"/>
      <c r="U213" s="83"/>
      <c r="V213" s="83"/>
      <c r="W213" s="83"/>
      <c r="X213" s="83"/>
      <c r="Y213" s="83"/>
      <c r="Z213" s="83"/>
    </row>
    <row r="214">
      <c r="A214" s="113"/>
      <c r="B214" s="117"/>
      <c r="C214" s="94"/>
      <c r="D214" s="111"/>
      <c r="E214" s="115"/>
      <c r="F214" s="108"/>
      <c r="G214" s="98"/>
      <c r="H214" s="116"/>
      <c r="I214" s="111"/>
      <c r="J214" s="115"/>
      <c r="K214" s="108"/>
      <c r="L214" s="98"/>
      <c r="M214" s="116"/>
      <c r="N214" s="111"/>
      <c r="O214" s="115"/>
      <c r="P214" s="108"/>
      <c r="Q214" s="98"/>
      <c r="R214" s="116"/>
      <c r="S214" s="83"/>
      <c r="T214" s="83"/>
      <c r="U214" s="83"/>
      <c r="V214" s="83"/>
      <c r="W214" s="83"/>
      <c r="X214" s="83"/>
      <c r="Y214" s="83"/>
      <c r="Z214" s="83"/>
    </row>
    <row r="215">
      <c r="A215" s="113"/>
      <c r="B215" s="117"/>
      <c r="C215" s="94"/>
      <c r="D215" s="111"/>
      <c r="E215" s="115"/>
      <c r="F215" s="108"/>
      <c r="G215" s="98"/>
      <c r="H215" s="116"/>
      <c r="I215" s="111"/>
      <c r="J215" s="115"/>
      <c r="K215" s="108"/>
      <c r="L215" s="98"/>
      <c r="M215" s="116"/>
      <c r="N215" s="111"/>
      <c r="O215" s="115"/>
      <c r="P215" s="108"/>
      <c r="Q215" s="98"/>
      <c r="R215" s="116"/>
      <c r="S215" s="83"/>
      <c r="T215" s="83"/>
      <c r="U215" s="83"/>
      <c r="V215" s="83"/>
      <c r="W215" s="83"/>
      <c r="X215" s="83"/>
      <c r="Y215" s="83"/>
      <c r="Z215" s="83"/>
    </row>
    <row r="216">
      <c r="A216" s="113"/>
      <c r="B216" s="117"/>
      <c r="C216" s="94"/>
      <c r="D216" s="111"/>
      <c r="E216" s="115"/>
      <c r="F216" s="108"/>
      <c r="G216" s="98"/>
      <c r="H216" s="116"/>
      <c r="I216" s="111"/>
      <c r="J216" s="115"/>
      <c r="K216" s="108"/>
      <c r="L216" s="98"/>
      <c r="M216" s="116"/>
      <c r="N216" s="111"/>
      <c r="O216" s="115"/>
      <c r="P216" s="108"/>
      <c r="Q216" s="98"/>
      <c r="R216" s="116"/>
      <c r="S216" s="83"/>
      <c r="T216" s="83"/>
      <c r="U216" s="83"/>
      <c r="V216" s="83"/>
      <c r="W216" s="83"/>
      <c r="X216" s="83"/>
      <c r="Y216" s="83"/>
      <c r="Z216" s="83"/>
    </row>
    <row r="217">
      <c r="A217" s="113"/>
      <c r="B217" s="117"/>
      <c r="C217" s="94"/>
      <c r="D217" s="111"/>
      <c r="E217" s="115"/>
      <c r="F217" s="108"/>
      <c r="G217" s="98"/>
      <c r="H217" s="116"/>
      <c r="I217" s="111"/>
      <c r="J217" s="115"/>
      <c r="K217" s="108"/>
      <c r="L217" s="98"/>
      <c r="M217" s="116"/>
      <c r="N217" s="111"/>
      <c r="O217" s="115"/>
      <c r="P217" s="108"/>
      <c r="Q217" s="98"/>
      <c r="R217" s="116"/>
      <c r="S217" s="83"/>
      <c r="T217" s="83"/>
      <c r="U217" s="83"/>
      <c r="V217" s="83"/>
      <c r="W217" s="83"/>
      <c r="X217" s="83"/>
      <c r="Y217" s="83"/>
      <c r="Z217" s="83"/>
    </row>
    <row r="218">
      <c r="A218" s="113"/>
      <c r="B218" s="117"/>
      <c r="C218" s="94"/>
      <c r="D218" s="111"/>
      <c r="E218" s="115"/>
      <c r="F218" s="108"/>
      <c r="G218" s="98"/>
      <c r="H218" s="116"/>
      <c r="I218" s="111"/>
      <c r="J218" s="115"/>
      <c r="K218" s="108"/>
      <c r="L218" s="98"/>
      <c r="M218" s="116"/>
      <c r="N218" s="111"/>
      <c r="O218" s="115"/>
      <c r="P218" s="108"/>
      <c r="Q218" s="98"/>
      <c r="R218" s="116"/>
      <c r="S218" s="83"/>
      <c r="T218" s="83"/>
      <c r="U218" s="83"/>
      <c r="V218" s="83"/>
      <c r="W218" s="83"/>
      <c r="X218" s="83"/>
      <c r="Y218" s="83"/>
      <c r="Z218" s="83"/>
    </row>
    <row r="219">
      <c r="A219" s="113"/>
      <c r="B219" s="117"/>
      <c r="C219" s="94"/>
      <c r="D219" s="111"/>
      <c r="E219" s="115"/>
      <c r="F219" s="108"/>
      <c r="G219" s="98"/>
      <c r="H219" s="116"/>
      <c r="I219" s="111"/>
      <c r="J219" s="115"/>
      <c r="K219" s="108"/>
      <c r="L219" s="98"/>
      <c r="M219" s="116"/>
      <c r="N219" s="111"/>
      <c r="O219" s="115"/>
      <c r="P219" s="108"/>
      <c r="Q219" s="98"/>
      <c r="R219" s="116"/>
      <c r="S219" s="83"/>
      <c r="T219" s="83"/>
      <c r="U219" s="83"/>
      <c r="V219" s="83"/>
      <c r="W219" s="83"/>
      <c r="X219" s="83"/>
      <c r="Y219" s="83"/>
      <c r="Z219" s="83"/>
    </row>
    <row r="220">
      <c r="A220" s="113"/>
      <c r="B220" s="117"/>
      <c r="C220" s="94"/>
      <c r="D220" s="111"/>
      <c r="E220" s="115"/>
      <c r="F220" s="108"/>
      <c r="G220" s="98"/>
      <c r="H220" s="116"/>
      <c r="I220" s="111"/>
      <c r="J220" s="115"/>
      <c r="K220" s="108"/>
      <c r="L220" s="98"/>
      <c r="M220" s="116"/>
      <c r="N220" s="111"/>
      <c r="O220" s="115"/>
      <c r="P220" s="108"/>
      <c r="Q220" s="98"/>
      <c r="R220" s="116"/>
      <c r="S220" s="83"/>
      <c r="T220" s="83"/>
      <c r="U220" s="83"/>
      <c r="V220" s="83"/>
      <c r="W220" s="83"/>
      <c r="X220" s="83"/>
      <c r="Y220" s="83"/>
      <c r="Z220" s="83"/>
    </row>
    <row r="221">
      <c r="A221" s="113"/>
      <c r="B221" s="117"/>
      <c r="C221" s="94"/>
      <c r="D221" s="111"/>
      <c r="E221" s="115"/>
      <c r="F221" s="108"/>
      <c r="G221" s="98"/>
      <c r="H221" s="116"/>
      <c r="I221" s="111"/>
      <c r="J221" s="115"/>
      <c r="K221" s="108"/>
      <c r="L221" s="98"/>
      <c r="M221" s="116"/>
      <c r="N221" s="111"/>
      <c r="O221" s="115"/>
      <c r="P221" s="108"/>
      <c r="Q221" s="98"/>
      <c r="R221" s="116"/>
      <c r="S221" s="83"/>
      <c r="T221" s="83"/>
      <c r="U221" s="83"/>
      <c r="V221" s="83"/>
      <c r="W221" s="83"/>
      <c r="X221" s="83"/>
      <c r="Y221" s="83"/>
      <c r="Z221" s="83"/>
    </row>
    <row r="222">
      <c r="A222" s="113"/>
      <c r="B222" s="117"/>
      <c r="C222" s="94"/>
      <c r="D222" s="111"/>
      <c r="E222" s="115"/>
      <c r="F222" s="108"/>
      <c r="G222" s="98"/>
      <c r="H222" s="116"/>
      <c r="I222" s="111"/>
      <c r="J222" s="115"/>
      <c r="K222" s="108"/>
      <c r="L222" s="98"/>
      <c r="M222" s="116"/>
      <c r="N222" s="111"/>
      <c r="O222" s="115"/>
      <c r="P222" s="108"/>
      <c r="Q222" s="98"/>
      <c r="R222" s="116"/>
      <c r="S222" s="83"/>
      <c r="T222" s="83"/>
      <c r="U222" s="83"/>
      <c r="V222" s="83"/>
      <c r="W222" s="83"/>
      <c r="X222" s="83"/>
      <c r="Y222" s="83"/>
      <c r="Z222" s="83"/>
    </row>
    <row r="223">
      <c r="A223" s="113"/>
      <c r="B223" s="117"/>
      <c r="C223" s="94"/>
      <c r="D223" s="111"/>
      <c r="E223" s="115"/>
      <c r="F223" s="108"/>
      <c r="G223" s="98"/>
      <c r="H223" s="116"/>
      <c r="I223" s="111"/>
      <c r="J223" s="115"/>
      <c r="K223" s="108"/>
      <c r="L223" s="98"/>
      <c r="M223" s="116"/>
      <c r="N223" s="111"/>
      <c r="O223" s="115"/>
      <c r="P223" s="108"/>
      <c r="Q223" s="98"/>
      <c r="R223" s="116"/>
      <c r="S223" s="83"/>
      <c r="T223" s="83"/>
      <c r="U223" s="83"/>
      <c r="V223" s="83"/>
      <c r="W223" s="83"/>
      <c r="X223" s="83"/>
      <c r="Y223" s="83"/>
      <c r="Z223" s="83"/>
    </row>
    <row r="224">
      <c r="A224" s="113"/>
      <c r="B224" s="117"/>
      <c r="C224" s="94"/>
      <c r="D224" s="111"/>
      <c r="E224" s="115"/>
      <c r="F224" s="108"/>
      <c r="G224" s="98"/>
      <c r="H224" s="116"/>
      <c r="I224" s="111"/>
      <c r="J224" s="115"/>
      <c r="K224" s="108"/>
      <c r="L224" s="98"/>
      <c r="M224" s="116"/>
      <c r="N224" s="111"/>
      <c r="O224" s="115"/>
      <c r="P224" s="108"/>
      <c r="Q224" s="98"/>
      <c r="R224" s="116"/>
      <c r="S224" s="83"/>
      <c r="T224" s="83"/>
      <c r="U224" s="83"/>
      <c r="V224" s="83"/>
      <c r="W224" s="83"/>
      <c r="X224" s="83"/>
      <c r="Y224" s="83"/>
      <c r="Z224" s="83"/>
    </row>
    <row r="225">
      <c r="A225" s="113"/>
      <c r="B225" s="117"/>
      <c r="C225" s="94"/>
      <c r="D225" s="111"/>
      <c r="E225" s="115"/>
      <c r="F225" s="108"/>
      <c r="G225" s="98"/>
      <c r="H225" s="116"/>
      <c r="I225" s="111"/>
      <c r="J225" s="115"/>
      <c r="K225" s="108"/>
      <c r="L225" s="98"/>
      <c r="M225" s="116"/>
      <c r="N225" s="111"/>
      <c r="O225" s="115"/>
      <c r="P225" s="108"/>
      <c r="Q225" s="98"/>
      <c r="R225" s="116"/>
      <c r="S225" s="83"/>
      <c r="T225" s="83"/>
      <c r="U225" s="83"/>
      <c r="V225" s="83"/>
      <c r="W225" s="83"/>
      <c r="X225" s="83"/>
      <c r="Y225" s="83"/>
      <c r="Z225" s="83"/>
    </row>
    <row r="226">
      <c r="A226" s="113"/>
      <c r="B226" s="117"/>
      <c r="C226" s="94"/>
      <c r="D226" s="111"/>
      <c r="E226" s="115"/>
      <c r="F226" s="108"/>
      <c r="G226" s="98"/>
      <c r="H226" s="116"/>
      <c r="I226" s="111"/>
      <c r="J226" s="115"/>
      <c r="K226" s="108"/>
      <c r="L226" s="98"/>
      <c r="M226" s="116"/>
      <c r="N226" s="111"/>
      <c r="O226" s="115"/>
      <c r="P226" s="108"/>
      <c r="Q226" s="98"/>
      <c r="R226" s="116"/>
      <c r="S226" s="83"/>
      <c r="T226" s="83"/>
      <c r="U226" s="83"/>
      <c r="V226" s="83"/>
      <c r="W226" s="83"/>
      <c r="X226" s="83"/>
      <c r="Y226" s="83"/>
      <c r="Z226" s="83"/>
    </row>
    <row r="227">
      <c r="A227" s="113"/>
      <c r="B227" s="117"/>
      <c r="C227" s="94"/>
      <c r="D227" s="111"/>
      <c r="E227" s="115"/>
      <c r="F227" s="108"/>
      <c r="G227" s="98"/>
      <c r="H227" s="116"/>
      <c r="I227" s="111"/>
      <c r="J227" s="115"/>
      <c r="K227" s="108"/>
      <c r="L227" s="98"/>
      <c r="M227" s="116"/>
      <c r="N227" s="111"/>
      <c r="O227" s="115"/>
      <c r="P227" s="108"/>
      <c r="Q227" s="98"/>
      <c r="R227" s="116"/>
      <c r="S227" s="83"/>
      <c r="T227" s="83"/>
      <c r="U227" s="83"/>
      <c r="V227" s="83"/>
      <c r="W227" s="83"/>
      <c r="X227" s="83"/>
      <c r="Y227" s="83"/>
      <c r="Z227" s="83"/>
    </row>
    <row r="228">
      <c r="A228" s="113"/>
      <c r="B228" s="117"/>
      <c r="C228" s="94"/>
      <c r="D228" s="111"/>
      <c r="E228" s="115"/>
      <c r="F228" s="108"/>
      <c r="G228" s="98"/>
      <c r="H228" s="116"/>
      <c r="I228" s="111"/>
      <c r="J228" s="115"/>
      <c r="K228" s="108"/>
      <c r="L228" s="98"/>
      <c r="M228" s="116"/>
      <c r="N228" s="111"/>
      <c r="O228" s="115"/>
      <c r="P228" s="108"/>
      <c r="Q228" s="98"/>
      <c r="R228" s="116"/>
      <c r="S228" s="83"/>
      <c r="T228" s="83"/>
      <c r="U228" s="83"/>
      <c r="V228" s="83"/>
      <c r="W228" s="83"/>
      <c r="X228" s="83"/>
      <c r="Y228" s="83"/>
      <c r="Z228" s="83"/>
    </row>
    <row r="229">
      <c r="A229" s="113"/>
      <c r="B229" s="117"/>
      <c r="C229" s="94"/>
      <c r="D229" s="111"/>
      <c r="E229" s="115"/>
      <c r="F229" s="108"/>
      <c r="G229" s="98"/>
      <c r="H229" s="116"/>
      <c r="I229" s="111"/>
      <c r="J229" s="115"/>
      <c r="K229" s="108"/>
      <c r="L229" s="98"/>
      <c r="M229" s="116"/>
      <c r="N229" s="111"/>
      <c r="O229" s="115"/>
      <c r="P229" s="108"/>
      <c r="Q229" s="98"/>
      <c r="R229" s="116"/>
      <c r="S229" s="83"/>
      <c r="T229" s="83"/>
      <c r="U229" s="83"/>
      <c r="V229" s="83"/>
      <c r="W229" s="83"/>
      <c r="X229" s="83"/>
      <c r="Y229" s="83"/>
      <c r="Z229" s="83"/>
    </row>
    <row r="230">
      <c r="A230" s="113"/>
      <c r="B230" s="117"/>
      <c r="C230" s="94"/>
      <c r="D230" s="111"/>
      <c r="E230" s="115"/>
      <c r="F230" s="108"/>
      <c r="G230" s="98"/>
      <c r="H230" s="116"/>
      <c r="I230" s="111"/>
      <c r="J230" s="115"/>
      <c r="K230" s="108"/>
      <c r="L230" s="98"/>
      <c r="M230" s="116"/>
      <c r="N230" s="111"/>
      <c r="O230" s="115"/>
      <c r="P230" s="108"/>
      <c r="Q230" s="98"/>
      <c r="R230" s="116"/>
      <c r="S230" s="83"/>
      <c r="T230" s="83"/>
      <c r="U230" s="83"/>
      <c r="V230" s="83"/>
      <c r="W230" s="83"/>
      <c r="X230" s="83"/>
      <c r="Y230" s="83"/>
      <c r="Z230" s="83"/>
    </row>
    <row r="231">
      <c r="A231" s="113"/>
      <c r="B231" s="117"/>
      <c r="C231" s="94"/>
      <c r="D231" s="111"/>
      <c r="E231" s="115"/>
      <c r="F231" s="108"/>
      <c r="G231" s="98"/>
      <c r="H231" s="116"/>
      <c r="I231" s="111"/>
      <c r="J231" s="115"/>
      <c r="K231" s="108"/>
      <c r="L231" s="98"/>
      <c r="M231" s="116"/>
      <c r="N231" s="111"/>
      <c r="O231" s="115"/>
      <c r="P231" s="108"/>
      <c r="Q231" s="98"/>
      <c r="R231" s="116"/>
      <c r="S231" s="83"/>
      <c r="T231" s="83"/>
      <c r="U231" s="83"/>
      <c r="V231" s="83"/>
      <c r="W231" s="83"/>
      <c r="X231" s="83"/>
      <c r="Y231" s="83"/>
      <c r="Z231" s="83"/>
    </row>
    <row r="232">
      <c r="A232" s="113"/>
      <c r="B232" s="117"/>
      <c r="C232" s="94"/>
      <c r="D232" s="111"/>
      <c r="E232" s="115"/>
      <c r="F232" s="108"/>
      <c r="G232" s="98"/>
      <c r="H232" s="116"/>
      <c r="I232" s="111"/>
      <c r="J232" s="115"/>
      <c r="K232" s="108"/>
      <c r="L232" s="98"/>
      <c r="M232" s="116"/>
      <c r="N232" s="111"/>
      <c r="O232" s="115"/>
      <c r="P232" s="108"/>
      <c r="Q232" s="98"/>
      <c r="R232" s="116"/>
      <c r="S232" s="83"/>
      <c r="T232" s="83"/>
      <c r="U232" s="83"/>
      <c r="V232" s="83"/>
      <c r="W232" s="83"/>
      <c r="X232" s="83"/>
      <c r="Y232" s="83"/>
      <c r="Z232" s="83"/>
    </row>
    <row r="233">
      <c r="A233" s="113"/>
      <c r="B233" s="117"/>
      <c r="C233" s="94"/>
      <c r="D233" s="111"/>
      <c r="E233" s="115"/>
      <c r="F233" s="108"/>
      <c r="G233" s="98"/>
      <c r="H233" s="116"/>
      <c r="I233" s="111"/>
      <c r="J233" s="115"/>
      <c r="K233" s="108"/>
      <c r="L233" s="98"/>
      <c r="M233" s="116"/>
      <c r="N233" s="111"/>
      <c r="O233" s="115"/>
      <c r="P233" s="108"/>
      <c r="Q233" s="98"/>
      <c r="R233" s="116"/>
      <c r="S233" s="83"/>
      <c r="T233" s="83"/>
      <c r="U233" s="83"/>
      <c r="V233" s="83"/>
      <c r="W233" s="83"/>
      <c r="X233" s="83"/>
      <c r="Y233" s="83"/>
      <c r="Z233" s="83"/>
    </row>
    <row r="234">
      <c r="A234" s="113"/>
      <c r="B234" s="117"/>
      <c r="C234" s="94"/>
      <c r="D234" s="111"/>
      <c r="E234" s="115"/>
      <c r="F234" s="108"/>
      <c r="G234" s="98"/>
      <c r="H234" s="116"/>
      <c r="I234" s="111"/>
      <c r="J234" s="115"/>
      <c r="K234" s="108"/>
      <c r="L234" s="98"/>
      <c r="M234" s="116"/>
      <c r="N234" s="111"/>
      <c r="O234" s="115"/>
      <c r="P234" s="108"/>
      <c r="Q234" s="98"/>
      <c r="R234" s="116"/>
      <c r="S234" s="83"/>
      <c r="T234" s="83"/>
      <c r="U234" s="83"/>
      <c r="V234" s="83"/>
      <c r="W234" s="83"/>
      <c r="X234" s="83"/>
      <c r="Y234" s="83"/>
      <c r="Z234" s="83"/>
    </row>
    <row r="235">
      <c r="A235" s="113"/>
      <c r="B235" s="117"/>
      <c r="C235" s="94"/>
      <c r="D235" s="111"/>
      <c r="E235" s="115"/>
      <c r="F235" s="108"/>
      <c r="G235" s="98"/>
      <c r="H235" s="116"/>
      <c r="I235" s="111"/>
      <c r="J235" s="115"/>
      <c r="K235" s="108"/>
      <c r="L235" s="98"/>
      <c r="M235" s="116"/>
      <c r="N235" s="111"/>
      <c r="O235" s="115"/>
      <c r="P235" s="108"/>
      <c r="Q235" s="98"/>
      <c r="R235" s="116"/>
      <c r="S235" s="83"/>
      <c r="T235" s="83"/>
      <c r="U235" s="83"/>
      <c r="V235" s="83"/>
      <c r="W235" s="83"/>
      <c r="X235" s="83"/>
      <c r="Y235" s="83"/>
      <c r="Z235" s="83"/>
    </row>
    <row r="236">
      <c r="A236" s="113"/>
      <c r="B236" s="117"/>
      <c r="C236" s="94"/>
      <c r="D236" s="111"/>
      <c r="E236" s="115"/>
      <c r="F236" s="108"/>
      <c r="G236" s="98"/>
      <c r="H236" s="116"/>
      <c r="I236" s="111"/>
      <c r="J236" s="115"/>
      <c r="K236" s="108"/>
      <c r="L236" s="98"/>
      <c r="M236" s="116"/>
      <c r="N236" s="111"/>
      <c r="O236" s="115"/>
      <c r="P236" s="108"/>
      <c r="Q236" s="98"/>
      <c r="R236" s="116"/>
      <c r="S236" s="83"/>
      <c r="T236" s="83"/>
      <c r="U236" s="83"/>
      <c r="V236" s="83"/>
      <c r="W236" s="83"/>
      <c r="X236" s="83"/>
      <c r="Y236" s="83"/>
      <c r="Z236" s="83"/>
    </row>
    <row r="237">
      <c r="A237" s="113"/>
      <c r="B237" s="117"/>
      <c r="C237" s="94"/>
      <c r="D237" s="111"/>
      <c r="E237" s="115"/>
      <c r="F237" s="108"/>
      <c r="G237" s="98"/>
      <c r="H237" s="116"/>
      <c r="I237" s="111"/>
      <c r="J237" s="115"/>
      <c r="K237" s="108"/>
      <c r="L237" s="98"/>
      <c r="M237" s="116"/>
      <c r="N237" s="111"/>
      <c r="O237" s="115"/>
      <c r="P237" s="108"/>
      <c r="Q237" s="98"/>
      <c r="R237" s="116"/>
      <c r="S237" s="83"/>
      <c r="T237" s="83"/>
      <c r="U237" s="83"/>
      <c r="V237" s="83"/>
      <c r="W237" s="83"/>
      <c r="X237" s="83"/>
      <c r="Y237" s="83"/>
      <c r="Z237" s="83"/>
    </row>
    <row r="238">
      <c r="A238" s="113"/>
      <c r="B238" s="117"/>
      <c r="C238" s="94"/>
      <c r="D238" s="111"/>
      <c r="E238" s="115"/>
      <c r="F238" s="108"/>
      <c r="G238" s="98"/>
      <c r="H238" s="116"/>
      <c r="I238" s="111"/>
      <c r="J238" s="115"/>
      <c r="K238" s="108"/>
      <c r="L238" s="98"/>
      <c r="M238" s="116"/>
      <c r="N238" s="111"/>
      <c r="O238" s="115"/>
      <c r="P238" s="108"/>
      <c r="Q238" s="98"/>
      <c r="R238" s="116"/>
      <c r="S238" s="83"/>
      <c r="T238" s="83"/>
      <c r="U238" s="83"/>
      <c r="V238" s="83"/>
      <c r="W238" s="83"/>
      <c r="X238" s="83"/>
      <c r="Y238" s="83"/>
      <c r="Z238" s="83"/>
    </row>
    <row r="239">
      <c r="A239" s="113"/>
      <c r="B239" s="117"/>
      <c r="C239" s="94"/>
      <c r="D239" s="111"/>
      <c r="E239" s="115"/>
      <c r="F239" s="108"/>
      <c r="G239" s="98"/>
      <c r="H239" s="116"/>
      <c r="I239" s="111"/>
      <c r="J239" s="115"/>
      <c r="K239" s="108"/>
      <c r="L239" s="98"/>
      <c r="M239" s="116"/>
      <c r="N239" s="111"/>
      <c r="O239" s="115"/>
      <c r="P239" s="108"/>
      <c r="Q239" s="98"/>
      <c r="R239" s="116"/>
      <c r="S239" s="83"/>
      <c r="T239" s="83"/>
      <c r="U239" s="83"/>
      <c r="V239" s="83"/>
      <c r="W239" s="83"/>
      <c r="X239" s="83"/>
      <c r="Y239" s="83"/>
      <c r="Z239" s="83"/>
    </row>
    <row r="240">
      <c r="A240" s="113"/>
      <c r="B240" s="117"/>
      <c r="C240" s="94"/>
      <c r="D240" s="111"/>
      <c r="E240" s="115"/>
      <c r="F240" s="108"/>
      <c r="G240" s="98"/>
      <c r="H240" s="116"/>
      <c r="I240" s="111"/>
      <c r="J240" s="115"/>
      <c r="K240" s="108"/>
      <c r="L240" s="98"/>
      <c r="M240" s="116"/>
      <c r="N240" s="111"/>
      <c r="O240" s="115"/>
      <c r="P240" s="108"/>
      <c r="Q240" s="98"/>
      <c r="R240" s="116"/>
      <c r="S240" s="83"/>
      <c r="T240" s="83"/>
      <c r="U240" s="83"/>
      <c r="V240" s="83"/>
      <c r="W240" s="83"/>
      <c r="X240" s="83"/>
      <c r="Y240" s="83"/>
      <c r="Z240" s="83"/>
    </row>
    <row r="241">
      <c r="A241" s="113"/>
      <c r="B241" s="117"/>
      <c r="C241" s="94"/>
      <c r="D241" s="111"/>
      <c r="E241" s="115"/>
      <c r="F241" s="108"/>
      <c r="G241" s="98"/>
      <c r="H241" s="116"/>
      <c r="I241" s="111"/>
      <c r="J241" s="115"/>
      <c r="K241" s="108"/>
      <c r="L241" s="98"/>
      <c r="M241" s="116"/>
      <c r="N241" s="111"/>
      <c r="O241" s="115"/>
      <c r="P241" s="108"/>
      <c r="Q241" s="98"/>
      <c r="R241" s="116"/>
      <c r="S241" s="83"/>
      <c r="T241" s="83"/>
      <c r="U241" s="83"/>
      <c r="V241" s="83"/>
      <c r="W241" s="83"/>
      <c r="X241" s="83"/>
      <c r="Y241" s="83"/>
      <c r="Z241" s="83"/>
    </row>
    <row r="242">
      <c r="A242" s="113"/>
      <c r="B242" s="117"/>
      <c r="C242" s="94"/>
      <c r="D242" s="111"/>
      <c r="E242" s="115"/>
      <c r="F242" s="108"/>
      <c r="G242" s="98"/>
      <c r="H242" s="116"/>
      <c r="I242" s="111"/>
      <c r="J242" s="115"/>
      <c r="K242" s="108"/>
      <c r="L242" s="98"/>
      <c r="M242" s="116"/>
      <c r="N242" s="111"/>
      <c r="O242" s="115"/>
      <c r="P242" s="108"/>
      <c r="Q242" s="98"/>
      <c r="R242" s="116"/>
      <c r="S242" s="83"/>
      <c r="T242" s="83"/>
      <c r="U242" s="83"/>
      <c r="V242" s="83"/>
      <c r="W242" s="83"/>
      <c r="X242" s="83"/>
      <c r="Y242" s="83"/>
      <c r="Z242" s="83"/>
    </row>
    <row r="243">
      <c r="A243" s="113"/>
      <c r="B243" s="117"/>
      <c r="C243" s="94"/>
      <c r="D243" s="111"/>
      <c r="E243" s="115"/>
      <c r="F243" s="108"/>
      <c r="G243" s="98"/>
      <c r="H243" s="116"/>
      <c r="I243" s="111"/>
      <c r="J243" s="115"/>
      <c r="K243" s="108"/>
      <c r="L243" s="98"/>
      <c r="M243" s="116"/>
      <c r="N243" s="111"/>
      <c r="O243" s="115"/>
      <c r="P243" s="108"/>
      <c r="Q243" s="98"/>
      <c r="R243" s="116"/>
      <c r="S243" s="83"/>
      <c r="T243" s="83"/>
      <c r="U243" s="83"/>
      <c r="V243" s="83"/>
      <c r="W243" s="83"/>
      <c r="X243" s="83"/>
      <c r="Y243" s="83"/>
      <c r="Z243" s="83"/>
    </row>
    <row r="244">
      <c r="A244" s="113"/>
      <c r="B244" s="117"/>
      <c r="C244" s="94"/>
      <c r="D244" s="111"/>
      <c r="E244" s="115"/>
      <c r="F244" s="108"/>
      <c r="G244" s="98"/>
      <c r="H244" s="116"/>
      <c r="I244" s="111"/>
      <c r="J244" s="115"/>
      <c r="K244" s="108"/>
      <c r="L244" s="98"/>
      <c r="M244" s="116"/>
      <c r="N244" s="111"/>
      <c r="O244" s="115"/>
      <c r="P244" s="108"/>
      <c r="Q244" s="98"/>
      <c r="R244" s="116"/>
      <c r="S244" s="83"/>
      <c r="T244" s="83"/>
      <c r="U244" s="83"/>
      <c r="V244" s="83"/>
      <c r="W244" s="83"/>
      <c r="X244" s="83"/>
      <c r="Y244" s="83"/>
      <c r="Z244" s="83"/>
    </row>
    <row r="245">
      <c r="A245" s="113"/>
      <c r="B245" s="117"/>
      <c r="C245" s="94"/>
      <c r="D245" s="111"/>
      <c r="E245" s="115"/>
      <c r="F245" s="108"/>
      <c r="G245" s="98"/>
      <c r="H245" s="116"/>
      <c r="I245" s="111"/>
      <c r="J245" s="115"/>
      <c r="K245" s="108"/>
      <c r="L245" s="98"/>
      <c r="M245" s="116"/>
      <c r="N245" s="111"/>
      <c r="O245" s="115"/>
      <c r="P245" s="108"/>
      <c r="Q245" s="98"/>
      <c r="R245" s="116"/>
      <c r="S245" s="83"/>
      <c r="T245" s="83"/>
      <c r="U245" s="83"/>
      <c r="V245" s="83"/>
      <c r="W245" s="83"/>
      <c r="X245" s="83"/>
      <c r="Y245" s="83"/>
      <c r="Z245" s="83"/>
    </row>
    <row r="246">
      <c r="A246" s="113"/>
      <c r="B246" s="117"/>
      <c r="C246" s="94"/>
      <c r="D246" s="111"/>
      <c r="E246" s="115"/>
      <c r="F246" s="108"/>
      <c r="G246" s="98"/>
      <c r="H246" s="116"/>
      <c r="I246" s="111"/>
      <c r="J246" s="115"/>
      <c r="K246" s="108"/>
      <c r="L246" s="98"/>
      <c r="M246" s="116"/>
      <c r="N246" s="111"/>
      <c r="O246" s="115"/>
      <c r="P246" s="108"/>
      <c r="Q246" s="98"/>
      <c r="R246" s="116"/>
      <c r="S246" s="83"/>
      <c r="T246" s="83"/>
      <c r="U246" s="83"/>
      <c r="V246" s="83"/>
      <c r="W246" s="83"/>
      <c r="X246" s="83"/>
      <c r="Y246" s="83"/>
      <c r="Z246" s="83"/>
    </row>
    <row r="247">
      <c r="A247" s="113"/>
      <c r="B247" s="117"/>
      <c r="C247" s="94"/>
      <c r="D247" s="111"/>
      <c r="E247" s="115"/>
      <c r="F247" s="108"/>
      <c r="G247" s="98"/>
      <c r="H247" s="116"/>
      <c r="I247" s="111"/>
      <c r="J247" s="115"/>
      <c r="K247" s="108"/>
      <c r="L247" s="98"/>
      <c r="M247" s="116"/>
      <c r="N247" s="111"/>
      <c r="O247" s="115"/>
      <c r="P247" s="108"/>
      <c r="Q247" s="98"/>
      <c r="R247" s="116"/>
      <c r="S247" s="83"/>
      <c r="T247" s="83"/>
      <c r="U247" s="83"/>
      <c r="V247" s="83"/>
      <c r="W247" s="83"/>
      <c r="X247" s="83"/>
      <c r="Y247" s="83"/>
      <c r="Z247" s="83"/>
    </row>
    <row r="248">
      <c r="A248" s="113"/>
      <c r="B248" s="117"/>
      <c r="C248" s="94"/>
      <c r="D248" s="111"/>
      <c r="E248" s="115"/>
      <c r="F248" s="108"/>
      <c r="G248" s="98"/>
      <c r="H248" s="116"/>
      <c r="I248" s="111"/>
      <c r="J248" s="115"/>
      <c r="K248" s="108"/>
      <c r="L248" s="98"/>
      <c r="M248" s="116"/>
      <c r="N248" s="111"/>
      <c r="O248" s="115"/>
      <c r="P248" s="108"/>
      <c r="Q248" s="98"/>
      <c r="R248" s="116"/>
      <c r="S248" s="83"/>
      <c r="T248" s="83"/>
      <c r="U248" s="83"/>
      <c r="V248" s="83"/>
      <c r="W248" s="83"/>
      <c r="X248" s="83"/>
      <c r="Y248" s="83"/>
      <c r="Z248" s="83"/>
    </row>
    <row r="249">
      <c r="A249" s="113"/>
      <c r="B249" s="117"/>
      <c r="C249" s="94"/>
      <c r="D249" s="111"/>
      <c r="E249" s="115"/>
      <c r="F249" s="108"/>
      <c r="G249" s="98"/>
      <c r="H249" s="116"/>
      <c r="I249" s="111"/>
      <c r="J249" s="115"/>
      <c r="K249" s="108"/>
      <c r="L249" s="98"/>
      <c r="M249" s="116"/>
      <c r="N249" s="111"/>
      <c r="O249" s="115"/>
      <c r="P249" s="108"/>
      <c r="Q249" s="98"/>
      <c r="R249" s="116"/>
      <c r="S249" s="83"/>
      <c r="T249" s="83"/>
      <c r="U249" s="83"/>
      <c r="V249" s="83"/>
      <c r="W249" s="83"/>
      <c r="X249" s="83"/>
      <c r="Y249" s="83"/>
      <c r="Z249" s="83"/>
    </row>
    <row r="250">
      <c r="A250" s="113"/>
      <c r="B250" s="117"/>
      <c r="C250" s="94"/>
      <c r="D250" s="111"/>
      <c r="E250" s="115"/>
      <c r="F250" s="108"/>
      <c r="G250" s="98"/>
      <c r="H250" s="116"/>
      <c r="I250" s="111"/>
      <c r="J250" s="115"/>
      <c r="K250" s="108"/>
      <c r="L250" s="98"/>
      <c r="M250" s="116"/>
      <c r="N250" s="111"/>
      <c r="O250" s="115"/>
      <c r="P250" s="108"/>
      <c r="Q250" s="98"/>
      <c r="R250" s="116"/>
      <c r="S250" s="83"/>
      <c r="T250" s="83"/>
      <c r="U250" s="83"/>
      <c r="V250" s="83"/>
      <c r="W250" s="83"/>
      <c r="X250" s="83"/>
      <c r="Y250" s="83"/>
      <c r="Z250" s="83"/>
    </row>
    <row r="251">
      <c r="A251" s="113"/>
      <c r="B251" s="117"/>
      <c r="C251" s="94"/>
      <c r="D251" s="111"/>
      <c r="E251" s="115"/>
      <c r="F251" s="108"/>
      <c r="G251" s="98"/>
      <c r="H251" s="116"/>
      <c r="I251" s="111"/>
      <c r="J251" s="115"/>
      <c r="K251" s="108"/>
      <c r="L251" s="98"/>
      <c r="M251" s="116"/>
      <c r="N251" s="111"/>
      <c r="O251" s="115"/>
      <c r="P251" s="108"/>
      <c r="Q251" s="98"/>
      <c r="R251" s="116"/>
      <c r="S251" s="83"/>
      <c r="T251" s="83"/>
      <c r="U251" s="83"/>
      <c r="V251" s="83"/>
      <c r="W251" s="83"/>
      <c r="X251" s="83"/>
      <c r="Y251" s="83"/>
      <c r="Z251" s="83"/>
    </row>
    <row r="252">
      <c r="A252" s="113"/>
      <c r="B252" s="117"/>
      <c r="C252" s="94"/>
      <c r="D252" s="111"/>
      <c r="E252" s="115"/>
      <c r="F252" s="108"/>
      <c r="G252" s="98"/>
      <c r="H252" s="116"/>
      <c r="I252" s="111"/>
      <c r="J252" s="115"/>
      <c r="K252" s="108"/>
      <c r="L252" s="98"/>
      <c r="M252" s="116"/>
      <c r="N252" s="111"/>
      <c r="O252" s="115"/>
      <c r="P252" s="108"/>
      <c r="Q252" s="98"/>
      <c r="R252" s="116"/>
      <c r="S252" s="83"/>
      <c r="T252" s="83"/>
      <c r="U252" s="83"/>
      <c r="V252" s="83"/>
      <c r="W252" s="83"/>
      <c r="X252" s="83"/>
      <c r="Y252" s="83"/>
      <c r="Z252" s="83"/>
    </row>
    <row r="253">
      <c r="A253" s="113"/>
      <c r="B253" s="117"/>
      <c r="C253" s="94"/>
      <c r="D253" s="111"/>
      <c r="E253" s="115"/>
      <c r="F253" s="108"/>
      <c r="G253" s="98"/>
      <c r="H253" s="116"/>
      <c r="I253" s="111"/>
      <c r="J253" s="115"/>
      <c r="K253" s="108"/>
      <c r="L253" s="98"/>
      <c r="M253" s="116"/>
      <c r="N253" s="111"/>
      <c r="O253" s="115"/>
      <c r="P253" s="108"/>
      <c r="Q253" s="98"/>
      <c r="R253" s="116"/>
      <c r="S253" s="83"/>
      <c r="T253" s="83"/>
      <c r="U253" s="83"/>
      <c r="V253" s="83"/>
      <c r="W253" s="83"/>
      <c r="X253" s="83"/>
      <c r="Y253" s="83"/>
      <c r="Z253" s="83"/>
    </row>
    <row r="254">
      <c r="A254" s="113"/>
      <c r="B254" s="117"/>
      <c r="C254" s="94"/>
      <c r="D254" s="111"/>
      <c r="E254" s="115"/>
      <c r="F254" s="108"/>
      <c r="G254" s="98"/>
      <c r="H254" s="116"/>
      <c r="I254" s="111"/>
      <c r="J254" s="115"/>
      <c r="K254" s="108"/>
      <c r="L254" s="98"/>
      <c r="M254" s="116"/>
      <c r="N254" s="111"/>
      <c r="O254" s="115"/>
      <c r="P254" s="108"/>
      <c r="Q254" s="98"/>
      <c r="R254" s="116"/>
      <c r="S254" s="83"/>
      <c r="T254" s="83"/>
      <c r="U254" s="83"/>
      <c r="V254" s="83"/>
      <c r="W254" s="83"/>
      <c r="X254" s="83"/>
      <c r="Y254" s="83"/>
      <c r="Z254" s="83"/>
    </row>
    <row r="255">
      <c r="A255" s="113"/>
      <c r="B255" s="117"/>
      <c r="C255" s="94"/>
      <c r="D255" s="111"/>
      <c r="E255" s="115"/>
      <c r="F255" s="108"/>
      <c r="G255" s="98"/>
      <c r="H255" s="116"/>
      <c r="I255" s="111"/>
      <c r="J255" s="115"/>
      <c r="K255" s="108"/>
      <c r="L255" s="98"/>
      <c r="M255" s="116"/>
      <c r="N255" s="111"/>
      <c r="O255" s="115"/>
      <c r="P255" s="108"/>
      <c r="Q255" s="98"/>
      <c r="R255" s="116"/>
      <c r="S255" s="83"/>
      <c r="T255" s="83"/>
      <c r="U255" s="83"/>
      <c r="V255" s="83"/>
      <c r="W255" s="83"/>
      <c r="X255" s="83"/>
      <c r="Y255" s="83"/>
      <c r="Z255" s="83"/>
    </row>
    <row r="256">
      <c r="A256" s="113"/>
      <c r="B256" s="117"/>
      <c r="C256" s="94"/>
      <c r="D256" s="111"/>
      <c r="E256" s="115"/>
      <c r="F256" s="108"/>
      <c r="G256" s="98"/>
      <c r="H256" s="116"/>
      <c r="I256" s="111"/>
      <c r="J256" s="115"/>
      <c r="K256" s="108"/>
      <c r="L256" s="98"/>
      <c r="M256" s="116"/>
      <c r="N256" s="111"/>
      <c r="O256" s="115"/>
      <c r="P256" s="108"/>
      <c r="Q256" s="98"/>
      <c r="R256" s="116"/>
      <c r="S256" s="83"/>
      <c r="T256" s="83"/>
      <c r="U256" s="83"/>
      <c r="V256" s="83"/>
      <c r="W256" s="83"/>
      <c r="X256" s="83"/>
      <c r="Y256" s="83"/>
      <c r="Z256" s="83"/>
    </row>
    <row r="257">
      <c r="A257" s="113"/>
      <c r="B257" s="117"/>
      <c r="C257" s="94"/>
      <c r="D257" s="111"/>
      <c r="E257" s="115"/>
      <c r="F257" s="108"/>
      <c r="G257" s="98"/>
      <c r="H257" s="116"/>
      <c r="I257" s="111"/>
      <c r="J257" s="115"/>
      <c r="K257" s="108"/>
      <c r="L257" s="98"/>
      <c r="M257" s="116"/>
      <c r="N257" s="111"/>
      <c r="O257" s="115"/>
      <c r="P257" s="108"/>
      <c r="Q257" s="98"/>
      <c r="R257" s="116"/>
      <c r="S257" s="83"/>
      <c r="T257" s="83"/>
      <c r="U257" s="83"/>
      <c r="V257" s="83"/>
      <c r="W257" s="83"/>
      <c r="X257" s="83"/>
      <c r="Y257" s="83"/>
      <c r="Z257" s="83"/>
    </row>
    <row r="258">
      <c r="A258" s="113"/>
      <c r="B258" s="117"/>
      <c r="C258" s="94"/>
      <c r="D258" s="111"/>
      <c r="E258" s="115"/>
      <c r="F258" s="108"/>
      <c r="G258" s="98"/>
      <c r="H258" s="116"/>
      <c r="I258" s="111"/>
      <c r="J258" s="115"/>
      <c r="K258" s="108"/>
      <c r="L258" s="98"/>
      <c r="M258" s="116"/>
      <c r="N258" s="111"/>
      <c r="O258" s="115"/>
      <c r="P258" s="108"/>
      <c r="Q258" s="98"/>
      <c r="R258" s="116"/>
      <c r="S258" s="83"/>
      <c r="T258" s="83"/>
      <c r="U258" s="83"/>
      <c r="V258" s="83"/>
      <c r="W258" s="83"/>
      <c r="X258" s="83"/>
      <c r="Y258" s="83"/>
      <c r="Z258" s="83"/>
    </row>
    <row r="259">
      <c r="A259" s="113"/>
      <c r="B259" s="117"/>
      <c r="C259" s="94"/>
      <c r="D259" s="111"/>
      <c r="E259" s="115"/>
      <c r="F259" s="108"/>
      <c r="G259" s="98"/>
      <c r="H259" s="116"/>
      <c r="I259" s="111"/>
      <c r="J259" s="115"/>
      <c r="K259" s="108"/>
      <c r="L259" s="98"/>
      <c r="M259" s="116"/>
      <c r="N259" s="111"/>
      <c r="O259" s="115"/>
      <c r="P259" s="108"/>
      <c r="Q259" s="98"/>
      <c r="R259" s="116"/>
      <c r="S259" s="83"/>
      <c r="T259" s="83"/>
      <c r="U259" s="83"/>
      <c r="V259" s="83"/>
      <c r="W259" s="83"/>
      <c r="X259" s="83"/>
      <c r="Y259" s="83"/>
      <c r="Z259" s="83"/>
    </row>
    <row r="260">
      <c r="A260" s="113"/>
      <c r="B260" s="117"/>
      <c r="C260" s="94"/>
      <c r="D260" s="111"/>
      <c r="E260" s="115"/>
      <c r="F260" s="108"/>
      <c r="G260" s="98"/>
      <c r="H260" s="116"/>
      <c r="I260" s="111"/>
      <c r="J260" s="115"/>
      <c r="K260" s="108"/>
      <c r="L260" s="98"/>
      <c r="M260" s="116"/>
      <c r="N260" s="111"/>
      <c r="O260" s="115"/>
      <c r="P260" s="108"/>
      <c r="Q260" s="98"/>
      <c r="R260" s="116"/>
      <c r="S260" s="83"/>
      <c r="T260" s="83"/>
      <c r="U260" s="83"/>
      <c r="V260" s="83"/>
      <c r="W260" s="83"/>
      <c r="X260" s="83"/>
      <c r="Y260" s="83"/>
      <c r="Z260" s="83"/>
    </row>
    <row r="261">
      <c r="A261" s="113"/>
      <c r="B261" s="117"/>
      <c r="C261" s="94"/>
      <c r="D261" s="111"/>
      <c r="E261" s="115"/>
      <c r="F261" s="108"/>
      <c r="G261" s="98"/>
      <c r="H261" s="116"/>
      <c r="I261" s="111"/>
      <c r="J261" s="115"/>
      <c r="K261" s="108"/>
      <c r="L261" s="98"/>
      <c r="M261" s="116"/>
      <c r="N261" s="111"/>
      <c r="O261" s="115"/>
      <c r="P261" s="108"/>
      <c r="Q261" s="98"/>
      <c r="R261" s="116"/>
      <c r="S261" s="83"/>
      <c r="T261" s="83"/>
      <c r="U261" s="83"/>
      <c r="V261" s="83"/>
      <c r="W261" s="83"/>
      <c r="X261" s="83"/>
      <c r="Y261" s="83"/>
      <c r="Z261" s="83"/>
    </row>
    <row r="262">
      <c r="A262" s="113"/>
      <c r="B262" s="117"/>
      <c r="C262" s="94"/>
      <c r="D262" s="111"/>
      <c r="E262" s="115"/>
      <c r="F262" s="108"/>
      <c r="G262" s="98"/>
      <c r="H262" s="116"/>
      <c r="I262" s="111"/>
      <c r="J262" s="115"/>
      <c r="K262" s="108"/>
      <c r="L262" s="98"/>
      <c r="M262" s="116"/>
      <c r="N262" s="111"/>
      <c r="O262" s="115"/>
      <c r="P262" s="108"/>
      <c r="Q262" s="98"/>
      <c r="R262" s="116"/>
      <c r="S262" s="83"/>
      <c r="T262" s="83"/>
      <c r="U262" s="83"/>
      <c r="V262" s="83"/>
      <c r="W262" s="83"/>
      <c r="X262" s="83"/>
      <c r="Y262" s="83"/>
      <c r="Z262" s="83"/>
    </row>
    <row r="263">
      <c r="A263" s="113"/>
      <c r="B263" s="117"/>
      <c r="C263" s="94"/>
      <c r="D263" s="111"/>
      <c r="E263" s="115"/>
      <c r="F263" s="108"/>
      <c r="G263" s="98"/>
      <c r="H263" s="116"/>
      <c r="I263" s="111"/>
      <c r="J263" s="115"/>
      <c r="K263" s="108"/>
      <c r="L263" s="98"/>
      <c r="M263" s="116"/>
      <c r="N263" s="111"/>
      <c r="O263" s="115"/>
      <c r="P263" s="108"/>
      <c r="Q263" s="98"/>
      <c r="R263" s="116"/>
      <c r="S263" s="83"/>
      <c r="T263" s="83"/>
      <c r="U263" s="83"/>
      <c r="V263" s="83"/>
      <c r="W263" s="83"/>
      <c r="X263" s="83"/>
      <c r="Y263" s="83"/>
      <c r="Z263" s="83"/>
    </row>
    <row r="264">
      <c r="A264" s="113"/>
      <c r="B264" s="117"/>
      <c r="C264" s="94"/>
      <c r="D264" s="111"/>
      <c r="E264" s="115"/>
      <c r="F264" s="108"/>
      <c r="G264" s="98"/>
      <c r="H264" s="116"/>
      <c r="I264" s="111"/>
      <c r="J264" s="115"/>
      <c r="K264" s="108"/>
      <c r="L264" s="98"/>
      <c r="M264" s="116"/>
      <c r="N264" s="111"/>
      <c r="O264" s="115"/>
      <c r="P264" s="108"/>
      <c r="Q264" s="98"/>
      <c r="R264" s="116"/>
      <c r="S264" s="83"/>
      <c r="T264" s="83"/>
      <c r="U264" s="83"/>
      <c r="V264" s="83"/>
      <c r="W264" s="83"/>
      <c r="X264" s="83"/>
      <c r="Y264" s="83"/>
      <c r="Z264" s="83"/>
    </row>
    <row r="265">
      <c r="A265" s="113"/>
      <c r="B265" s="117"/>
      <c r="C265" s="94"/>
      <c r="D265" s="111"/>
      <c r="E265" s="115"/>
      <c r="F265" s="108"/>
      <c r="G265" s="98"/>
      <c r="H265" s="116"/>
      <c r="I265" s="111"/>
      <c r="J265" s="115"/>
      <c r="K265" s="108"/>
      <c r="L265" s="98"/>
      <c r="M265" s="116"/>
      <c r="N265" s="111"/>
      <c r="O265" s="115"/>
      <c r="P265" s="108"/>
      <c r="Q265" s="98"/>
      <c r="R265" s="116"/>
      <c r="S265" s="83"/>
      <c r="T265" s="83"/>
      <c r="U265" s="83"/>
      <c r="V265" s="83"/>
      <c r="W265" s="83"/>
      <c r="X265" s="83"/>
      <c r="Y265" s="83"/>
      <c r="Z265" s="83"/>
    </row>
    <row r="266">
      <c r="A266" s="113"/>
      <c r="B266" s="117"/>
      <c r="C266" s="94"/>
      <c r="D266" s="111"/>
      <c r="E266" s="115"/>
      <c r="F266" s="108"/>
      <c r="G266" s="98"/>
      <c r="H266" s="116"/>
      <c r="I266" s="111"/>
      <c r="J266" s="115"/>
      <c r="K266" s="108"/>
      <c r="L266" s="98"/>
      <c r="M266" s="116"/>
      <c r="N266" s="111"/>
      <c r="O266" s="115"/>
      <c r="P266" s="108"/>
      <c r="Q266" s="98"/>
      <c r="R266" s="116"/>
      <c r="S266" s="83"/>
      <c r="T266" s="83"/>
      <c r="U266" s="83"/>
      <c r="V266" s="83"/>
      <c r="W266" s="83"/>
      <c r="X266" s="83"/>
      <c r="Y266" s="83"/>
      <c r="Z266" s="83"/>
    </row>
    <row r="267">
      <c r="A267" s="113"/>
      <c r="B267" s="117"/>
      <c r="C267" s="94"/>
      <c r="D267" s="111"/>
      <c r="E267" s="115"/>
      <c r="F267" s="108"/>
      <c r="G267" s="98"/>
      <c r="H267" s="116"/>
      <c r="I267" s="111"/>
      <c r="J267" s="115"/>
      <c r="K267" s="108"/>
      <c r="L267" s="98"/>
      <c r="M267" s="116"/>
      <c r="N267" s="111"/>
      <c r="O267" s="115"/>
      <c r="P267" s="108"/>
      <c r="Q267" s="98"/>
      <c r="R267" s="116"/>
      <c r="S267" s="83"/>
      <c r="T267" s="83"/>
      <c r="U267" s="83"/>
      <c r="V267" s="83"/>
      <c r="W267" s="83"/>
      <c r="X267" s="83"/>
      <c r="Y267" s="83"/>
      <c r="Z267" s="83"/>
    </row>
    <row r="268">
      <c r="A268" s="113"/>
      <c r="B268" s="117"/>
      <c r="C268" s="94"/>
      <c r="D268" s="111"/>
      <c r="E268" s="115"/>
      <c r="F268" s="108"/>
      <c r="G268" s="98"/>
      <c r="H268" s="116"/>
      <c r="I268" s="111"/>
      <c r="J268" s="115"/>
      <c r="K268" s="108"/>
      <c r="L268" s="98"/>
      <c r="M268" s="116"/>
      <c r="N268" s="111"/>
      <c r="O268" s="115"/>
      <c r="P268" s="108"/>
      <c r="Q268" s="98"/>
      <c r="R268" s="116"/>
      <c r="S268" s="83"/>
      <c r="T268" s="83"/>
      <c r="U268" s="83"/>
      <c r="V268" s="83"/>
      <c r="W268" s="83"/>
      <c r="X268" s="83"/>
      <c r="Y268" s="83"/>
      <c r="Z268" s="83"/>
    </row>
    <row r="269">
      <c r="A269" s="113"/>
      <c r="B269" s="117"/>
      <c r="C269" s="94"/>
      <c r="D269" s="111"/>
      <c r="E269" s="115"/>
      <c r="F269" s="108"/>
      <c r="G269" s="98"/>
      <c r="H269" s="116"/>
      <c r="I269" s="111"/>
      <c r="J269" s="115"/>
      <c r="K269" s="108"/>
      <c r="L269" s="98"/>
      <c r="M269" s="116"/>
      <c r="N269" s="111"/>
      <c r="O269" s="115"/>
      <c r="P269" s="108"/>
      <c r="Q269" s="98"/>
      <c r="R269" s="116"/>
      <c r="S269" s="83"/>
      <c r="T269" s="83"/>
      <c r="U269" s="83"/>
      <c r="V269" s="83"/>
      <c r="W269" s="83"/>
      <c r="X269" s="83"/>
      <c r="Y269" s="83"/>
      <c r="Z269" s="83"/>
    </row>
    <row r="270">
      <c r="A270" s="113"/>
      <c r="B270" s="117"/>
      <c r="C270" s="94"/>
      <c r="D270" s="111"/>
      <c r="E270" s="115"/>
      <c r="F270" s="108"/>
      <c r="G270" s="98"/>
      <c r="H270" s="116"/>
      <c r="I270" s="111"/>
      <c r="J270" s="115"/>
      <c r="K270" s="108"/>
      <c r="L270" s="98"/>
      <c r="M270" s="116"/>
      <c r="N270" s="111"/>
      <c r="O270" s="115"/>
      <c r="P270" s="108"/>
      <c r="Q270" s="98"/>
      <c r="R270" s="116"/>
      <c r="S270" s="83"/>
      <c r="T270" s="83"/>
      <c r="U270" s="83"/>
      <c r="V270" s="83"/>
      <c r="W270" s="83"/>
      <c r="X270" s="83"/>
      <c r="Y270" s="83"/>
      <c r="Z270" s="83"/>
    </row>
    <row r="271">
      <c r="A271" s="113"/>
      <c r="B271" s="117"/>
      <c r="C271" s="94"/>
      <c r="D271" s="111"/>
      <c r="E271" s="115"/>
      <c r="F271" s="108"/>
      <c r="G271" s="98"/>
      <c r="H271" s="116"/>
      <c r="I271" s="111"/>
      <c r="J271" s="115"/>
      <c r="K271" s="108"/>
      <c r="L271" s="98"/>
      <c r="M271" s="116"/>
      <c r="N271" s="111"/>
      <c r="O271" s="115"/>
      <c r="P271" s="108"/>
      <c r="Q271" s="98"/>
      <c r="R271" s="116"/>
      <c r="S271" s="83"/>
      <c r="T271" s="83"/>
      <c r="U271" s="83"/>
      <c r="V271" s="83"/>
      <c r="W271" s="83"/>
      <c r="X271" s="83"/>
      <c r="Y271" s="83"/>
      <c r="Z271" s="83"/>
    </row>
    <row r="272">
      <c r="A272" s="113"/>
      <c r="B272" s="117"/>
      <c r="C272" s="94"/>
      <c r="D272" s="111"/>
      <c r="E272" s="115"/>
      <c r="F272" s="108"/>
      <c r="G272" s="98"/>
      <c r="H272" s="116"/>
      <c r="I272" s="111"/>
      <c r="J272" s="115"/>
      <c r="K272" s="108"/>
      <c r="L272" s="98"/>
      <c r="M272" s="116"/>
      <c r="N272" s="111"/>
      <c r="O272" s="115"/>
      <c r="P272" s="108"/>
      <c r="Q272" s="98"/>
      <c r="R272" s="116"/>
      <c r="S272" s="83"/>
      <c r="T272" s="83"/>
      <c r="U272" s="83"/>
      <c r="V272" s="83"/>
      <c r="W272" s="83"/>
      <c r="X272" s="83"/>
      <c r="Y272" s="83"/>
      <c r="Z272" s="83"/>
    </row>
    <row r="273">
      <c r="A273" s="113"/>
      <c r="B273" s="117"/>
      <c r="C273" s="94"/>
      <c r="D273" s="111"/>
      <c r="E273" s="115"/>
      <c r="F273" s="108"/>
      <c r="G273" s="98"/>
      <c r="H273" s="116"/>
      <c r="I273" s="111"/>
      <c r="J273" s="115"/>
      <c r="K273" s="108"/>
      <c r="L273" s="98"/>
      <c r="M273" s="116"/>
      <c r="N273" s="111"/>
      <c r="O273" s="115"/>
      <c r="P273" s="108"/>
      <c r="Q273" s="98"/>
      <c r="R273" s="116"/>
      <c r="S273" s="83"/>
      <c r="T273" s="83"/>
      <c r="U273" s="83"/>
      <c r="V273" s="83"/>
      <c r="W273" s="83"/>
      <c r="X273" s="83"/>
      <c r="Y273" s="83"/>
      <c r="Z273" s="83"/>
    </row>
    <row r="274">
      <c r="A274" s="113"/>
      <c r="B274" s="117"/>
      <c r="C274" s="94"/>
      <c r="D274" s="111"/>
      <c r="E274" s="115"/>
      <c r="F274" s="108"/>
      <c r="G274" s="98"/>
      <c r="H274" s="116"/>
      <c r="I274" s="111"/>
      <c r="J274" s="115"/>
      <c r="K274" s="108"/>
      <c r="L274" s="98"/>
      <c r="M274" s="116"/>
      <c r="N274" s="111"/>
      <c r="O274" s="115"/>
      <c r="P274" s="108"/>
      <c r="Q274" s="98"/>
      <c r="R274" s="116"/>
      <c r="S274" s="83"/>
      <c r="T274" s="83"/>
      <c r="U274" s="83"/>
      <c r="V274" s="83"/>
      <c r="W274" s="83"/>
      <c r="X274" s="83"/>
      <c r="Y274" s="83"/>
      <c r="Z274" s="83"/>
    </row>
    <row r="275">
      <c r="A275" s="113"/>
      <c r="B275" s="117"/>
      <c r="C275" s="94"/>
      <c r="D275" s="111"/>
      <c r="E275" s="115"/>
      <c r="F275" s="108"/>
      <c r="G275" s="98"/>
      <c r="H275" s="116"/>
      <c r="I275" s="111"/>
      <c r="J275" s="115"/>
      <c r="K275" s="108"/>
      <c r="L275" s="98"/>
      <c r="M275" s="116"/>
      <c r="N275" s="111"/>
      <c r="O275" s="115"/>
      <c r="P275" s="108"/>
      <c r="Q275" s="98"/>
      <c r="R275" s="116"/>
      <c r="S275" s="83"/>
      <c r="T275" s="83"/>
      <c r="U275" s="83"/>
      <c r="V275" s="83"/>
      <c r="W275" s="83"/>
      <c r="X275" s="83"/>
      <c r="Y275" s="83"/>
      <c r="Z275" s="83"/>
    </row>
    <row r="276">
      <c r="A276" s="113"/>
      <c r="B276" s="117"/>
      <c r="C276" s="94"/>
      <c r="D276" s="111"/>
      <c r="E276" s="115"/>
      <c r="F276" s="108"/>
      <c r="G276" s="98"/>
      <c r="H276" s="116"/>
      <c r="I276" s="111"/>
      <c r="J276" s="115"/>
      <c r="K276" s="108"/>
      <c r="L276" s="98"/>
      <c r="M276" s="116"/>
      <c r="N276" s="111"/>
      <c r="O276" s="115"/>
      <c r="P276" s="108"/>
      <c r="Q276" s="98"/>
      <c r="R276" s="116"/>
      <c r="S276" s="83"/>
      <c r="T276" s="83"/>
      <c r="U276" s="83"/>
      <c r="V276" s="83"/>
      <c r="W276" s="83"/>
      <c r="X276" s="83"/>
      <c r="Y276" s="83"/>
      <c r="Z276" s="83"/>
    </row>
    <row r="277">
      <c r="A277" s="113"/>
      <c r="B277" s="117"/>
      <c r="C277" s="94"/>
      <c r="D277" s="111"/>
      <c r="E277" s="115"/>
      <c r="F277" s="108"/>
      <c r="G277" s="98"/>
      <c r="H277" s="116"/>
      <c r="I277" s="111"/>
      <c r="J277" s="115"/>
      <c r="K277" s="108"/>
      <c r="L277" s="98"/>
      <c r="M277" s="116"/>
      <c r="N277" s="111"/>
      <c r="O277" s="115"/>
      <c r="P277" s="108"/>
      <c r="Q277" s="98"/>
      <c r="R277" s="116"/>
      <c r="S277" s="83"/>
      <c r="T277" s="83"/>
      <c r="U277" s="83"/>
      <c r="V277" s="83"/>
      <c r="W277" s="83"/>
      <c r="X277" s="83"/>
      <c r="Y277" s="83"/>
      <c r="Z277" s="83"/>
    </row>
    <row r="278">
      <c r="A278" s="113"/>
      <c r="B278" s="117"/>
      <c r="C278" s="94"/>
      <c r="D278" s="111"/>
      <c r="E278" s="115"/>
      <c r="F278" s="108"/>
      <c r="G278" s="98"/>
      <c r="H278" s="116"/>
      <c r="I278" s="111"/>
      <c r="J278" s="115"/>
      <c r="K278" s="108"/>
      <c r="L278" s="98"/>
      <c r="M278" s="116"/>
      <c r="N278" s="111"/>
      <c r="O278" s="115"/>
      <c r="P278" s="108"/>
      <c r="Q278" s="98"/>
      <c r="R278" s="116"/>
      <c r="S278" s="83"/>
      <c r="T278" s="83"/>
      <c r="U278" s="83"/>
      <c r="V278" s="83"/>
      <c r="W278" s="83"/>
      <c r="X278" s="83"/>
      <c r="Y278" s="83"/>
      <c r="Z278" s="83"/>
    </row>
    <row r="279">
      <c r="A279" s="113"/>
      <c r="B279" s="117"/>
      <c r="C279" s="94"/>
      <c r="D279" s="111"/>
      <c r="E279" s="115"/>
      <c r="F279" s="108"/>
      <c r="G279" s="98"/>
      <c r="H279" s="116"/>
      <c r="I279" s="111"/>
      <c r="J279" s="115"/>
      <c r="K279" s="108"/>
      <c r="L279" s="98"/>
      <c r="M279" s="116"/>
      <c r="N279" s="111"/>
      <c r="O279" s="115"/>
      <c r="P279" s="108"/>
      <c r="Q279" s="98"/>
      <c r="R279" s="116"/>
      <c r="S279" s="83"/>
      <c r="T279" s="83"/>
      <c r="U279" s="83"/>
      <c r="V279" s="83"/>
      <c r="W279" s="83"/>
      <c r="X279" s="83"/>
      <c r="Y279" s="83"/>
      <c r="Z279" s="83"/>
    </row>
    <row r="280">
      <c r="A280" s="113"/>
      <c r="B280" s="117"/>
      <c r="C280" s="94"/>
      <c r="D280" s="111"/>
      <c r="E280" s="115"/>
      <c r="F280" s="108"/>
      <c r="G280" s="98"/>
      <c r="H280" s="116"/>
      <c r="I280" s="111"/>
      <c r="J280" s="115"/>
      <c r="K280" s="108"/>
      <c r="L280" s="98"/>
      <c r="M280" s="116"/>
      <c r="N280" s="111"/>
      <c r="O280" s="115"/>
      <c r="P280" s="108"/>
      <c r="Q280" s="98"/>
      <c r="R280" s="116"/>
      <c r="S280" s="83"/>
      <c r="T280" s="83"/>
      <c r="U280" s="83"/>
      <c r="V280" s="83"/>
      <c r="W280" s="83"/>
      <c r="X280" s="83"/>
      <c r="Y280" s="83"/>
      <c r="Z280" s="83"/>
    </row>
    <row r="281">
      <c r="A281" s="113"/>
      <c r="B281" s="117"/>
      <c r="C281" s="94"/>
      <c r="D281" s="111"/>
      <c r="E281" s="115"/>
      <c r="F281" s="108"/>
      <c r="G281" s="98"/>
      <c r="H281" s="116"/>
      <c r="I281" s="111"/>
      <c r="J281" s="115"/>
      <c r="K281" s="108"/>
      <c r="L281" s="98"/>
      <c r="M281" s="116"/>
      <c r="N281" s="111"/>
      <c r="O281" s="115"/>
      <c r="P281" s="108"/>
      <c r="Q281" s="98"/>
      <c r="R281" s="116"/>
      <c r="S281" s="83"/>
      <c r="T281" s="83"/>
      <c r="U281" s="83"/>
      <c r="V281" s="83"/>
      <c r="W281" s="83"/>
      <c r="X281" s="83"/>
      <c r="Y281" s="83"/>
      <c r="Z281" s="83"/>
    </row>
    <row r="282">
      <c r="A282" s="113"/>
      <c r="B282" s="117"/>
      <c r="C282" s="94"/>
      <c r="D282" s="111"/>
      <c r="E282" s="115"/>
      <c r="F282" s="108"/>
      <c r="G282" s="98"/>
      <c r="H282" s="116"/>
      <c r="I282" s="111"/>
      <c r="J282" s="115"/>
      <c r="K282" s="108"/>
      <c r="L282" s="98"/>
      <c r="M282" s="116"/>
      <c r="N282" s="111"/>
      <c r="O282" s="115"/>
      <c r="P282" s="108"/>
      <c r="Q282" s="98"/>
      <c r="R282" s="116"/>
      <c r="S282" s="83"/>
      <c r="T282" s="83"/>
      <c r="U282" s="83"/>
      <c r="V282" s="83"/>
      <c r="W282" s="83"/>
      <c r="X282" s="83"/>
      <c r="Y282" s="83"/>
      <c r="Z282" s="83"/>
    </row>
    <row r="283">
      <c r="A283" s="113"/>
      <c r="B283" s="117"/>
      <c r="C283" s="94"/>
      <c r="D283" s="111"/>
      <c r="E283" s="115"/>
      <c r="F283" s="108"/>
      <c r="G283" s="98"/>
      <c r="H283" s="116"/>
      <c r="I283" s="111"/>
      <c r="J283" s="115"/>
      <c r="K283" s="108"/>
      <c r="L283" s="98"/>
      <c r="M283" s="116"/>
      <c r="N283" s="111"/>
      <c r="O283" s="115"/>
      <c r="P283" s="108"/>
      <c r="Q283" s="98"/>
      <c r="R283" s="116"/>
      <c r="S283" s="83"/>
      <c r="T283" s="83"/>
      <c r="U283" s="83"/>
      <c r="V283" s="83"/>
      <c r="W283" s="83"/>
      <c r="X283" s="83"/>
      <c r="Y283" s="83"/>
      <c r="Z283" s="83"/>
    </row>
    <row r="284">
      <c r="A284" s="113"/>
      <c r="B284" s="117"/>
      <c r="C284" s="94"/>
      <c r="D284" s="111"/>
      <c r="E284" s="115"/>
      <c r="F284" s="108"/>
      <c r="G284" s="98"/>
      <c r="H284" s="116"/>
      <c r="I284" s="111"/>
      <c r="J284" s="115"/>
      <c r="K284" s="108"/>
      <c r="L284" s="98"/>
      <c r="M284" s="116"/>
      <c r="N284" s="111"/>
      <c r="O284" s="115"/>
      <c r="P284" s="108"/>
      <c r="Q284" s="98"/>
      <c r="R284" s="116"/>
      <c r="S284" s="83"/>
      <c r="T284" s="83"/>
      <c r="U284" s="83"/>
      <c r="V284" s="83"/>
      <c r="W284" s="83"/>
      <c r="X284" s="83"/>
      <c r="Y284" s="83"/>
      <c r="Z284" s="83"/>
    </row>
    <row r="285">
      <c r="A285" s="113"/>
      <c r="B285" s="117"/>
      <c r="C285" s="94"/>
      <c r="D285" s="111"/>
      <c r="E285" s="115"/>
      <c r="F285" s="108"/>
      <c r="G285" s="98"/>
      <c r="H285" s="116"/>
      <c r="I285" s="111"/>
      <c r="J285" s="115"/>
      <c r="K285" s="108"/>
      <c r="L285" s="98"/>
      <c r="M285" s="116"/>
      <c r="N285" s="111"/>
      <c r="O285" s="115"/>
      <c r="P285" s="108"/>
      <c r="Q285" s="98"/>
      <c r="R285" s="116"/>
      <c r="S285" s="83"/>
      <c r="T285" s="83"/>
      <c r="U285" s="83"/>
      <c r="V285" s="83"/>
      <c r="W285" s="83"/>
      <c r="X285" s="83"/>
      <c r="Y285" s="83"/>
      <c r="Z285" s="83"/>
    </row>
    <row r="286">
      <c r="A286" s="113"/>
      <c r="B286" s="117"/>
      <c r="C286" s="94"/>
      <c r="D286" s="111"/>
      <c r="E286" s="115"/>
      <c r="F286" s="108"/>
      <c r="G286" s="98"/>
      <c r="H286" s="116"/>
      <c r="I286" s="111"/>
      <c r="J286" s="115"/>
      <c r="K286" s="108"/>
      <c r="L286" s="98"/>
      <c r="M286" s="116"/>
      <c r="N286" s="111"/>
      <c r="O286" s="115"/>
      <c r="P286" s="108"/>
      <c r="Q286" s="98"/>
      <c r="R286" s="116"/>
      <c r="S286" s="83"/>
      <c r="T286" s="83"/>
      <c r="U286" s="83"/>
      <c r="V286" s="83"/>
      <c r="W286" s="83"/>
      <c r="X286" s="83"/>
      <c r="Y286" s="83"/>
      <c r="Z286" s="83"/>
    </row>
    <row r="287">
      <c r="A287" s="113"/>
      <c r="B287" s="117"/>
      <c r="C287" s="94"/>
      <c r="D287" s="111"/>
      <c r="E287" s="115"/>
      <c r="F287" s="108"/>
      <c r="G287" s="98"/>
      <c r="H287" s="116"/>
      <c r="I287" s="111"/>
      <c r="J287" s="115"/>
      <c r="K287" s="108"/>
      <c r="L287" s="98"/>
      <c r="M287" s="116"/>
      <c r="N287" s="111"/>
      <c r="O287" s="115"/>
      <c r="P287" s="108"/>
      <c r="Q287" s="98"/>
      <c r="R287" s="116"/>
      <c r="S287" s="83"/>
      <c r="T287" s="83"/>
      <c r="U287" s="83"/>
      <c r="V287" s="83"/>
      <c r="W287" s="83"/>
      <c r="X287" s="83"/>
      <c r="Y287" s="83"/>
      <c r="Z287" s="83"/>
    </row>
    <row r="288">
      <c r="A288" s="113"/>
      <c r="B288" s="117"/>
      <c r="C288" s="94"/>
      <c r="D288" s="111"/>
      <c r="E288" s="115"/>
      <c r="F288" s="108"/>
      <c r="G288" s="98"/>
      <c r="H288" s="116"/>
      <c r="I288" s="111"/>
      <c r="J288" s="115"/>
      <c r="K288" s="108"/>
      <c r="L288" s="98"/>
      <c r="M288" s="116"/>
      <c r="N288" s="111"/>
      <c r="O288" s="115"/>
      <c r="P288" s="108"/>
      <c r="Q288" s="98"/>
      <c r="R288" s="116"/>
      <c r="S288" s="83"/>
      <c r="T288" s="83"/>
      <c r="U288" s="83"/>
      <c r="V288" s="83"/>
      <c r="W288" s="83"/>
      <c r="X288" s="83"/>
      <c r="Y288" s="83"/>
      <c r="Z288" s="83"/>
    </row>
    <row r="289">
      <c r="A289" s="113"/>
      <c r="B289" s="117"/>
      <c r="C289" s="94"/>
      <c r="D289" s="111"/>
      <c r="E289" s="115"/>
      <c r="F289" s="108"/>
      <c r="G289" s="98"/>
      <c r="H289" s="116"/>
      <c r="I289" s="111"/>
      <c r="J289" s="115"/>
      <c r="K289" s="108"/>
      <c r="L289" s="98"/>
      <c r="M289" s="116"/>
      <c r="N289" s="111"/>
      <c r="O289" s="115"/>
      <c r="P289" s="108"/>
      <c r="Q289" s="98"/>
      <c r="R289" s="116"/>
      <c r="S289" s="83"/>
      <c r="T289" s="83"/>
      <c r="U289" s="83"/>
      <c r="V289" s="83"/>
      <c r="W289" s="83"/>
      <c r="X289" s="83"/>
      <c r="Y289" s="83"/>
      <c r="Z289" s="83"/>
    </row>
    <row r="290">
      <c r="A290" s="113"/>
      <c r="B290" s="117"/>
      <c r="C290" s="94"/>
      <c r="D290" s="111"/>
      <c r="E290" s="115"/>
      <c r="F290" s="108"/>
      <c r="G290" s="98"/>
      <c r="H290" s="116"/>
      <c r="I290" s="111"/>
      <c r="J290" s="115"/>
      <c r="K290" s="108"/>
      <c r="L290" s="98"/>
      <c r="M290" s="116"/>
      <c r="N290" s="111"/>
      <c r="O290" s="115"/>
      <c r="P290" s="108"/>
      <c r="Q290" s="98"/>
      <c r="R290" s="116"/>
      <c r="S290" s="83"/>
      <c r="T290" s="83"/>
      <c r="U290" s="83"/>
      <c r="V290" s="83"/>
      <c r="W290" s="83"/>
      <c r="X290" s="83"/>
      <c r="Y290" s="83"/>
      <c r="Z290" s="83"/>
    </row>
    <row r="291">
      <c r="A291" s="113"/>
      <c r="B291" s="117"/>
      <c r="C291" s="94"/>
      <c r="D291" s="111"/>
      <c r="E291" s="115"/>
      <c r="F291" s="108"/>
      <c r="G291" s="98"/>
      <c r="H291" s="116"/>
      <c r="I291" s="111"/>
      <c r="J291" s="115"/>
      <c r="K291" s="108"/>
      <c r="L291" s="98"/>
      <c r="M291" s="116"/>
      <c r="N291" s="111"/>
      <c r="O291" s="115"/>
      <c r="P291" s="108"/>
      <c r="Q291" s="98"/>
      <c r="R291" s="116"/>
      <c r="S291" s="83"/>
      <c r="T291" s="83"/>
      <c r="U291" s="83"/>
      <c r="V291" s="83"/>
      <c r="W291" s="83"/>
      <c r="X291" s="83"/>
      <c r="Y291" s="83"/>
      <c r="Z291" s="83"/>
    </row>
    <row r="292">
      <c r="A292" s="113"/>
      <c r="B292" s="117"/>
      <c r="C292" s="94"/>
      <c r="D292" s="111"/>
      <c r="E292" s="115"/>
      <c r="F292" s="108"/>
      <c r="G292" s="98"/>
      <c r="H292" s="116"/>
      <c r="I292" s="111"/>
      <c r="J292" s="115"/>
      <c r="K292" s="108"/>
      <c r="L292" s="98"/>
      <c r="M292" s="116"/>
      <c r="N292" s="111"/>
      <c r="O292" s="115"/>
      <c r="P292" s="108"/>
      <c r="Q292" s="98"/>
      <c r="R292" s="116"/>
      <c r="S292" s="83"/>
      <c r="T292" s="83"/>
      <c r="U292" s="83"/>
      <c r="V292" s="83"/>
      <c r="W292" s="83"/>
      <c r="X292" s="83"/>
      <c r="Y292" s="83"/>
      <c r="Z292" s="83"/>
    </row>
    <row r="293">
      <c r="A293" s="113"/>
      <c r="B293" s="117"/>
      <c r="C293" s="94"/>
      <c r="D293" s="111"/>
      <c r="E293" s="115"/>
      <c r="F293" s="108"/>
      <c r="G293" s="98"/>
      <c r="H293" s="116"/>
      <c r="I293" s="111"/>
      <c r="J293" s="115"/>
      <c r="K293" s="108"/>
      <c r="L293" s="98"/>
      <c r="M293" s="116"/>
      <c r="N293" s="111"/>
      <c r="O293" s="115"/>
      <c r="P293" s="108"/>
      <c r="Q293" s="98"/>
      <c r="R293" s="116"/>
      <c r="S293" s="83"/>
      <c r="T293" s="83"/>
      <c r="U293" s="83"/>
      <c r="V293" s="83"/>
      <c r="W293" s="83"/>
      <c r="X293" s="83"/>
      <c r="Y293" s="83"/>
      <c r="Z293" s="83"/>
    </row>
    <row r="294">
      <c r="A294" s="113"/>
      <c r="B294" s="117"/>
      <c r="C294" s="94"/>
      <c r="D294" s="111"/>
      <c r="E294" s="115"/>
      <c r="F294" s="108"/>
      <c r="G294" s="98"/>
      <c r="H294" s="116"/>
      <c r="I294" s="111"/>
      <c r="J294" s="115"/>
      <c r="K294" s="108"/>
      <c r="L294" s="98"/>
      <c r="M294" s="116"/>
      <c r="N294" s="111"/>
      <c r="O294" s="115"/>
      <c r="P294" s="108"/>
      <c r="Q294" s="98"/>
      <c r="R294" s="116"/>
      <c r="S294" s="83"/>
      <c r="T294" s="83"/>
      <c r="U294" s="83"/>
      <c r="V294" s="83"/>
      <c r="W294" s="83"/>
      <c r="X294" s="83"/>
      <c r="Y294" s="83"/>
      <c r="Z294" s="83"/>
    </row>
    <row r="295">
      <c r="A295" s="113"/>
      <c r="B295" s="117"/>
      <c r="C295" s="94"/>
      <c r="D295" s="111"/>
      <c r="E295" s="115"/>
      <c r="F295" s="108"/>
      <c r="G295" s="98"/>
      <c r="H295" s="116"/>
      <c r="I295" s="111"/>
      <c r="J295" s="115"/>
      <c r="K295" s="108"/>
      <c r="L295" s="98"/>
      <c r="M295" s="116"/>
      <c r="N295" s="111"/>
      <c r="O295" s="115"/>
      <c r="P295" s="108"/>
      <c r="Q295" s="98"/>
      <c r="R295" s="116"/>
      <c r="S295" s="83"/>
      <c r="T295" s="83"/>
      <c r="U295" s="83"/>
      <c r="V295" s="83"/>
      <c r="W295" s="83"/>
      <c r="X295" s="83"/>
      <c r="Y295" s="83"/>
      <c r="Z295" s="83"/>
    </row>
    <row r="296">
      <c r="A296" s="113"/>
      <c r="B296" s="117"/>
      <c r="C296" s="94"/>
      <c r="D296" s="111"/>
      <c r="E296" s="115"/>
      <c r="F296" s="108"/>
      <c r="G296" s="98"/>
      <c r="H296" s="116"/>
      <c r="I296" s="111"/>
      <c r="J296" s="115"/>
      <c r="K296" s="108"/>
      <c r="L296" s="98"/>
      <c r="M296" s="116"/>
      <c r="N296" s="111"/>
      <c r="O296" s="115"/>
      <c r="P296" s="108"/>
      <c r="Q296" s="98"/>
      <c r="R296" s="116"/>
      <c r="S296" s="83"/>
      <c r="T296" s="83"/>
      <c r="U296" s="83"/>
      <c r="V296" s="83"/>
      <c r="W296" s="83"/>
      <c r="X296" s="83"/>
      <c r="Y296" s="83"/>
      <c r="Z296" s="83"/>
    </row>
    <row r="297">
      <c r="A297" s="113"/>
      <c r="B297" s="117"/>
      <c r="C297" s="94"/>
      <c r="D297" s="111"/>
      <c r="E297" s="115"/>
      <c r="F297" s="108"/>
      <c r="G297" s="98"/>
      <c r="H297" s="116"/>
      <c r="I297" s="111"/>
      <c r="J297" s="115"/>
      <c r="K297" s="108"/>
      <c r="L297" s="98"/>
      <c r="M297" s="116"/>
      <c r="N297" s="111"/>
      <c r="O297" s="115"/>
      <c r="P297" s="108"/>
      <c r="Q297" s="98"/>
      <c r="R297" s="116"/>
      <c r="S297" s="83"/>
      <c r="T297" s="83"/>
      <c r="U297" s="83"/>
      <c r="V297" s="83"/>
      <c r="W297" s="83"/>
      <c r="X297" s="83"/>
      <c r="Y297" s="83"/>
      <c r="Z297" s="83"/>
    </row>
    <row r="298">
      <c r="A298" s="113"/>
      <c r="B298" s="117"/>
      <c r="C298" s="94"/>
      <c r="D298" s="111"/>
      <c r="E298" s="115"/>
      <c r="F298" s="108"/>
      <c r="G298" s="98"/>
      <c r="H298" s="116"/>
      <c r="I298" s="111"/>
      <c r="J298" s="115"/>
      <c r="K298" s="108"/>
      <c r="L298" s="98"/>
      <c r="M298" s="116"/>
      <c r="N298" s="111"/>
      <c r="O298" s="115"/>
      <c r="P298" s="108"/>
      <c r="Q298" s="98"/>
      <c r="R298" s="116"/>
      <c r="S298" s="83"/>
      <c r="T298" s="83"/>
      <c r="U298" s="83"/>
      <c r="V298" s="83"/>
      <c r="W298" s="83"/>
      <c r="X298" s="83"/>
      <c r="Y298" s="83"/>
      <c r="Z298" s="83"/>
    </row>
    <row r="299">
      <c r="A299" s="113"/>
      <c r="B299" s="117"/>
      <c r="C299" s="94"/>
      <c r="D299" s="111"/>
      <c r="E299" s="115"/>
      <c r="F299" s="108"/>
      <c r="G299" s="98"/>
      <c r="H299" s="116"/>
      <c r="I299" s="111"/>
      <c r="J299" s="115"/>
      <c r="K299" s="108"/>
      <c r="L299" s="98"/>
      <c r="M299" s="116"/>
      <c r="N299" s="111"/>
      <c r="O299" s="115"/>
      <c r="P299" s="108"/>
      <c r="Q299" s="98"/>
      <c r="R299" s="116"/>
      <c r="S299" s="83"/>
      <c r="T299" s="83"/>
      <c r="U299" s="83"/>
      <c r="V299" s="83"/>
      <c r="W299" s="83"/>
      <c r="X299" s="83"/>
      <c r="Y299" s="83"/>
      <c r="Z299" s="83"/>
    </row>
    <row r="300">
      <c r="A300" s="113"/>
      <c r="B300" s="117"/>
      <c r="C300" s="94"/>
      <c r="D300" s="111"/>
      <c r="E300" s="115"/>
      <c r="F300" s="108"/>
      <c r="G300" s="98"/>
      <c r="H300" s="116"/>
      <c r="I300" s="111"/>
      <c r="J300" s="115"/>
      <c r="K300" s="108"/>
      <c r="L300" s="98"/>
      <c r="M300" s="116"/>
      <c r="N300" s="111"/>
      <c r="O300" s="115"/>
      <c r="P300" s="108"/>
      <c r="Q300" s="98"/>
      <c r="R300" s="116"/>
      <c r="S300" s="83"/>
      <c r="T300" s="83"/>
      <c r="U300" s="83"/>
      <c r="V300" s="83"/>
      <c r="W300" s="83"/>
      <c r="X300" s="83"/>
      <c r="Y300" s="83"/>
      <c r="Z300" s="83"/>
    </row>
    <row r="301">
      <c r="A301" s="113"/>
      <c r="B301" s="117"/>
      <c r="C301" s="94"/>
      <c r="D301" s="111"/>
      <c r="E301" s="115"/>
      <c r="F301" s="108"/>
      <c r="G301" s="98"/>
      <c r="H301" s="116"/>
      <c r="I301" s="111"/>
      <c r="J301" s="115"/>
      <c r="K301" s="108"/>
      <c r="L301" s="98"/>
      <c r="M301" s="116"/>
      <c r="N301" s="111"/>
      <c r="O301" s="115"/>
      <c r="P301" s="108"/>
      <c r="Q301" s="98"/>
      <c r="R301" s="116"/>
      <c r="S301" s="83"/>
      <c r="T301" s="83"/>
      <c r="U301" s="83"/>
      <c r="V301" s="83"/>
      <c r="W301" s="83"/>
      <c r="X301" s="83"/>
      <c r="Y301" s="83"/>
      <c r="Z301" s="83"/>
    </row>
    <row r="302">
      <c r="A302" s="113"/>
      <c r="B302" s="117"/>
      <c r="C302" s="94"/>
      <c r="D302" s="111"/>
      <c r="E302" s="115"/>
      <c r="F302" s="108"/>
      <c r="G302" s="98"/>
      <c r="H302" s="116"/>
      <c r="I302" s="111"/>
      <c r="J302" s="115"/>
      <c r="K302" s="108"/>
      <c r="L302" s="98"/>
      <c r="M302" s="116"/>
      <c r="N302" s="111"/>
      <c r="O302" s="115"/>
      <c r="P302" s="108"/>
      <c r="Q302" s="98"/>
      <c r="R302" s="116"/>
      <c r="S302" s="83"/>
      <c r="T302" s="83"/>
      <c r="U302" s="83"/>
      <c r="V302" s="83"/>
      <c r="W302" s="83"/>
      <c r="X302" s="83"/>
      <c r="Y302" s="83"/>
      <c r="Z302" s="83"/>
    </row>
    <row r="303">
      <c r="A303" s="113"/>
      <c r="B303" s="117"/>
      <c r="C303" s="94"/>
      <c r="D303" s="111"/>
      <c r="E303" s="115"/>
      <c r="F303" s="108"/>
      <c r="G303" s="98"/>
      <c r="H303" s="116"/>
      <c r="I303" s="111"/>
      <c r="J303" s="115"/>
      <c r="K303" s="108"/>
      <c r="L303" s="98"/>
      <c r="M303" s="116"/>
      <c r="N303" s="111"/>
      <c r="O303" s="115"/>
      <c r="P303" s="108"/>
      <c r="Q303" s="98"/>
      <c r="R303" s="116"/>
      <c r="S303" s="83"/>
      <c r="T303" s="83"/>
      <c r="U303" s="83"/>
      <c r="V303" s="83"/>
      <c r="W303" s="83"/>
      <c r="X303" s="83"/>
      <c r="Y303" s="83"/>
      <c r="Z303" s="83"/>
    </row>
    <row r="304">
      <c r="A304" s="113"/>
      <c r="B304" s="117"/>
      <c r="C304" s="94"/>
      <c r="D304" s="111"/>
      <c r="E304" s="115"/>
      <c r="F304" s="108"/>
      <c r="G304" s="98"/>
      <c r="H304" s="116"/>
      <c r="I304" s="111"/>
      <c r="J304" s="115"/>
      <c r="K304" s="108"/>
      <c r="L304" s="98"/>
      <c r="M304" s="116"/>
      <c r="N304" s="111"/>
      <c r="O304" s="115"/>
      <c r="P304" s="108"/>
      <c r="Q304" s="98"/>
      <c r="R304" s="116"/>
      <c r="S304" s="83"/>
      <c r="T304" s="83"/>
      <c r="U304" s="83"/>
      <c r="V304" s="83"/>
      <c r="W304" s="83"/>
      <c r="X304" s="83"/>
      <c r="Y304" s="83"/>
      <c r="Z304" s="83"/>
    </row>
    <row r="305">
      <c r="A305" s="113"/>
      <c r="B305" s="117"/>
      <c r="C305" s="94"/>
      <c r="D305" s="111"/>
      <c r="E305" s="115"/>
      <c r="F305" s="108"/>
      <c r="G305" s="98"/>
      <c r="H305" s="116"/>
      <c r="I305" s="111"/>
      <c r="J305" s="115"/>
      <c r="K305" s="108"/>
      <c r="L305" s="98"/>
      <c r="M305" s="116"/>
      <c r="N305" s="111"/>
      <c r="O305" s="115"/>
      <c r="P305" s="108"/>
      <c r="Q305" s="98"/>
      <c r="R305" s="116"/>
      <c r="S305" s="83"/>
      <c r="T305" s="83"/>
      <c r="U305" s="83"/>
      <c r="V305" s="83"/>
      <c r="W305" s="83"/>
      <c r="X305" s="83"/>
      <c r="Y305" s="83"/>
      <c r="Z305" s="83"/>
    </row>
    <row r="306">
      <c r="A306" s="113"/>
      <c r="B306" s="117"/>
      <c r="C306" s="94"/>
      <c r="D306" s="111"/>
      <c r="E306" s="115"/>
      <c r="F306" s="108"/>
      <c r="G306" s="98"/>
      <c r="H306" s="116"/>
      <c r="I306" s="111"/>
      <c r="J306" s="115"/>
      <c r="K306" s="108"/>
      <c r="L306" s="98"/>
      <c r="M306" s="116"/>
      <c r="N306" s="111"/>
      <c r="O306" s="115"/>
      <c r="P306" s="108"/>
      <c r="Q306" s="98"/>
      <c r="R306" s="116"/>
      <c r="S306" s="83"/>
      <c r="T306" s="83"/>
      <c r="U306" s="83"/>
      <c r="V306" s="83"/>
      <c r="W306" s="83"/>
      <c r="X306" s="83"/>
      <c r="Y306" s="83"/>
      <c r="Z306" s="83"/>
    </row>
    <row r="307">
      <c r="A307" s="113"/>
      <c r="B307" s="117"/>
      <c r="C307" s="94"/>
      <c r="D307" s="111"/>
      <c r="E307" s="115"/>
      <c r="F307" s="108"/>
      <c r="G307" s="98"/>
      <c r="H307" s="116"/>
      <c r="I307" s="111"/>
      <c r="J307" s="115"/>
      <c r="K307" s="108"/>
      <c r="L307" s="98"/>
      <c r="M307" s="116"/>
      <c r="N307" s="111"/>
      <c r="O307" s="115"/>
      <c r="P307" s="108"/>
      <c r="Q307" s="98"/>
      <c r="R307" s="116"/>
      <c r="S307" s="83"/>
      <c r="T307" s="83"/>
      <c r="U307" s="83"/>
      <c r="V307" s="83"/>
      <c r="W307" s="83"/>
      <c r="X307" s="83"/>
      <c r="Y307" s="83"/>
      <c r="Z307" s="83"/>
    </row>
    <row r="308">
      <c r="A308" s="113"/>
      <c r="B308" s="117"/>
      <c r="C308" s="94"/>
      <c r="D308" s="111"/>
      <c r="E308" s="115"/>
      <c r="F308" s="108"/>
      <c r="G308" s="98"/>
      <c r="H308" s="116"/>
      <c r="I308" s="111"/>
      <c r="J308" s="115"/>
      <c r="K308" s="108"/>
      <c r="L308" s="98"/>
      <c r="M308" s="116"/>
      <c r="N308" s="111"/>
      <c r="O308" s="115"/>
      <c r="P308" s="108"/>
      <c r="Q308" s="98"/>
      <c r="R308" s="116"/>
      <c r="S308" s="83"/>
      <c r="T308" s="83"/>
      <c r="U308" s="83"/>
      <c r="V308" s="83"/>
      <c r="W308" s="83"/>
      <c r="X308" s="83"/>
      <c r="Y308" s="83"/>
      <c r="Z308" s="83"/>
    </row>
    <row r="309">
      <c r="A309" s="113"/>
      <c r="B309" s="117"/>
      <c r="C309" s="94"/>
      <c r="D309" s="111"/>
      <c r="E309" s="115"/>
      <c r="F309" s="108"/>
      <c r="G309" s="98"/>
      <c r="H309" s="116"/>
      <c r="I309" s="111"/>
      <c r="J309" s="115"/>
      <c r="K309" s="108"/>
      <c r="L309" s="98"/>
      <c r="M309" s="116"/>
      <c r="N309" s="111"/>
      <c r="O309" s="115"/>
      <c r="P309" s="108"/>
      <c r="Q309" s="98"/>
      <c r="R309" s="116"/>
      <c r="S309" s="83"/>
      <c r="T309" s="83"/>
      <c r="U309" s="83"/>
      <c r="V309" s="83"/>
      <c r="W309" s="83"/>
      <c r="X309" s="83"/>
      <c r="Y309" s="83"/>
      <c r="Z309" s="83"/>
    </row>
    <row r="310">
      <c r="A310" s="113"/>
      <c r="B310" s="117"/>
      <c r="C310" s="94"/>
      <c r="D310" s="111"/>
      <c r="E310" s="115"/>
      <c r="F310" s="108"/>
      <c r="G310" s="98"/>
      <c r="H310" s="116"/>
      <c r="I310" s="111"/>
      <c r="J310" s="115"/>
      <c r="K310" s="108"/>
      <c r="L310" s="98"/>
      <c r="M310" s="116"/>
      <c r="N310" s="111"/>
      <c r="O310" s="115"/>
      <c r="P310" s="108"/>
      <c r="Q310" s="98"/>
      <c r="R310" s="116"/>
      <c r="S310" s="83"/>
      <c r="T310" s="83"/>
      <c r="U310" s="83"/>
      <c r="V310" s="83"/>
      <c r="W310" s="83"/>
      <c r="X310" s="83"/>
      <c r="Y310" s="83"/>
      <c r="Z310" s="83"/>
    </row>
    <row r="311">
      <c r="A311" s="113"/>
      <c r="B311" s="117"/>
      <c r="C311" s="94"/>
      <c r="D311" s="111"/>
      <c r="E311" s="115"/>
      <c r="F311" s="108"/>
      <c r="G311" s="98"/>
      <c r="H311" s="116"/>
      <c r="I311" s="111"/>
      <c r="J311" s="115"/>
      <c r="K311" s="108"/>
      <c r="L311" s="98"/>
      <c r="M311" s="116"/>
      <c r="N311" s="111"/>
      <c r="O311" s="115"/>
      <c r="P311" s="108"/>
      <c r="Q311" s="98"/>
      <c r="R311" s="116"/>
      <c r="S311" s="83"/>
      <c r="T311" s="83"/>
      <c r="U311" s="83"/>
      <c r="V311" s="83"/>
      <c r="W311" s="83"/>
      <c r="X311" s="83"/>
      <c r="Y311" s="83"/>
      <c r="Z311" s="83"/>
    </row>
    <row r="312">
      <c r="A312" s="113"/>
      <c r="B312" s="117"/>
      <c r="C312" s="94"/>
      <c r="D312" s="111"/>
      <c r="E312" s="115"/>
      <c r="F312" s="108"/>
      <c r="G312" s="98"/>
      <c r="H312" s="116"/>
      <c r="I312" s="111"/>
      <c r="J312" s="115"/>
      <c r="K312" s="108"/>
      <c r="L312" s="98"/>
      <c r="M312" s="116"/>
      <c r="N312" s="111"/>
      <c r="O312" s="115"/>
      <c r="P312" s="108"/>
      <c r="Q312" s="98"/>
      <c r="R312" s="116"/>
      <c r="S312" s="83"/>
      <c r="T312" s="83"/>
      <c r="U312" s="83"/>
      <c r="V312" s="83"/>
      <c r="W312" s="83"/>
      <c r="X312" s="83"/>
      <c r="Y312" s="83"/>
      <c r="Z312" s="83"/>
    </row>
    <row r="313">
      <c r="A313" s="113"/>
      <c r="B313" s="117"/>
      <c r="C313" s="94"/>
      <c r="D313" s="111"/>
      <c r="E313" s="115"/>
      <c r="F313" s="108"/>
      <c r="G313" s="98"/>
      <c r="H313" s="116"/>
      <c r="I313" s="111"/>
      <c r="J313" s="115"/>
      <c r="K313" s="108"/>
      <c r="L313" s="98"/>
      <c r="M313" s="116"/>
      <c r="N313" s="111"/>
      <c r="O313" s="115"/>
      <c r="P313" s="108"/>
      <c r="Q313" s="98"/>
      <c r="R313" s="116"/>
      <c r="S313" s="83"/>
      <c r="T313" s="83"/>
      <c r="U313" s="83"/>
      <c r="V313" s="83"/>
      <c r="W313" s="83"/>
      <c r="X313" s="83"/>
      <c r="Y313" s="83"/>
      <c r="Z313" s="83"/>
    </row>
    <row r="314">
      <c r="A314" s="113"/>
      <c r="B314" s="117"/>
      <c r="C314" s="94"/>
      <c r="D314" s="111"/>
      <c r="E314" s="115"/>
      <c r="F314" s="108"/>
      <c r="G314" s="98"/>
      <c r="H314" s="116"/>
      <c r="I314" s="111"/>
      <c r="J314" s="115"/>
      <c r="K314" s="108"/>
      <c r="L314" s="98"/>
      <c r="M314" s="116"/>
      <c r="N314" s="111"/>
      <c r="O314" s="115"/>
      <c r="P314" s="108"/>
      <c r="Q314" s="98"/>
      <c r="R314" s="116"/>
      <c r="S314" s="83"/>
      <c r="T314" s="83"/>
      <c r="U314" s="83"/>
      <c r="V314" s="83"/>
      <c r="W314" s="83"/>
      <c r="X314" s="83"/>
      <c r="Y314" s="83"/>
      <c r="Z314" s="83"/>
    </row>
    <row r="315">
      <c r="A315" s="113"/>
      <c r="B315" s="117"/>
      <c r="C315" s="94"/>
      <c r="D315" s="111"/>
      <c r="E315" s="115"/>
      <c r="F315" s="108"/>
      <c r="G315" s="98"/>
      <c r="H315" s="116"/>
      <c r="I315" s="111"/>
      <c r="J315" s="115"/>
      <c r="K315" s="108"/>
      <c r="L315" s="98"/>
      <c r="M315" s="116"/>
      <c r="N315" s="111"/>
      <c r="O315" s="115"/>
      <c r="P315" s="108"/>
      <c r="Q315" s="98"/>
      <c r="R315" s="116"/>
      <c r="S315" s="83"/>
      <c r="T315" s="83"/>
      <c r="U315" s="83"/>
      <c r="V315" s="83"/>
      <c r="W315" s="83"/>
      <c r="X315" s="83"/>
      <c r="Y315" s="83"/>
      <c r="Z315" s="83"/>
    </row>
    <row r="316">
      <c r="A316" s="113"/>
      <c r="B316" s="117"/>
      <c r="C316" s="94"/>
      <c r="D316" s="111"/>
      <c r="E316" s="115"/>
      <c r="F316" s="108"/>
      <c r="G316" s="98"/>
      <c r="H316" s="116"/>
      <c r="I316" s="111"/>
      <c r="J316" s="115"/>
      <c r="K316" s="108"/>
      <c r="L316" s="98"/>
      <c r="M316" s="116"/>
      <c r="N316" s="111"/>
      <c r="O316" s="115"/>
      <c r="P316" s="108"/>
      <c r="Q316" s="98"/>
      <c r="R316" s="116"/>
      <c r="S316" s="83"/>
      <c r="T316" s="83"/>
      <c r="U316" s="83"/>
      <c r="V316" s="83"/>
      <c r="W316" s="83"/>
      <c r="X316" s="83"/>
      <c r="Y316" s="83"/>
      <c r="Z316" s="83"/>
    </row>
    <row r="317">
      <c r="A317" s="113"/>
      <c r="B317" s="117"/>
      <c r="C317" s="94"/>
      <c r="D317" s="111"/>
      <c r="E317" s="115"/>
      <c r="F317" s="108"/>
      <c r="G317" s="98"/>
      <c r="H317" s="116"/>
      <c r="I317" s="111"/>
      <c r="J317" s="115"/>
      <c r="K317" s="108"/>
      <c r="L317" s="98"/>
      <c r="M317" s="116"/>
      <c r="N317" s="111"/>
      <c r="O317" s="115"/>
      <c r="P317" s="108"/>
      <c r="Q317" s="98"/>
      <c r="R317" s="116"/>
      <c r="S317" s="83"/>
      <c r="T317" s="83"/>
      <c r="U317" s="83"/>
      <c r="V317" s="83"/>
      <c r="W317" s="83"/>
      <c r="X317" s="83"/>
      <c r="Y317" s="83"/>
      <c r="Z317" s="83"/>
    </row>
    <row r="318">
      <c r="A318" s="113"/>
      <c r="B318" s="117"/>
      <c r="C318" s="94"/>
      <c r="D318" s="111"/>
      <c r="E318" s="115"/>
      <c r="F318" s="108"/>
      <c r="G318" s="98"/>
      <c r="H318" s="116"/>
      <c r="I318" s="111"/>
      <c r="J318" s="115"/>
      <c r="K318" s="108"/>
      <c r="L318" s="98"/>
      <c r="M318" s="116"/>
      <c r="N318" s="111"/>
      <c r="O318" s="115"/>
      <c r="P318" s="108"/>
      <c r="Q318" s="98"/>
      <c r="R318" s="116"/>
      <c r="S318" s="83"/>
      <c r="T318" s="83"/>
      <c r="U318" s="83"/>
      <c r="V318" s="83"/>
      <c r="W318" s="83"/>
      <c r="X318" s="83"/>
      <c r="Y318" s="83"/>
      <c r="Z318" s="83"/>
    </row>
    <row r="319">
      <c r="A319" s="113"/>
      <c r="B319" s="117"/>
      <c r="C319" s="94"/>
      <c r="D319" s="111"/>
      <c r="E319" s="115"/>
      <c r="F319" s="108"/>
      <c r="G319" s="98"/>
      <c r="H319" s="116"/>
      <c r="I319" s="111"/>
      <c r="J319" s="115"/>
      <c r="K319" s="108"/>
      <c r="L319" s="98"/>
      <c r="M319" s="116"/>
      <c r="N319" s="111"/>
      <c r="O319" s="115"/>
      <c r="P319" s="108"/>
      <c r="Q319" s="98"/>
      <c r="R319" s="116"/>
      <c r="S319" s="83"/>
      <c r="T319" s="83"/>
      <c r="U319" s="83"/>
      <c r="V319" s="83"/>
      <c r="W319" s="83"/>
      <c r="X319" s="83"/>
      <c r="Y319" s="83"/>
      <c r="Z319" s="83"/>
    </row>
    <row r="320">
      <c r="A320" s="113"/>
      <c r="B320" s="117"/>
      <c r="C320" s="94"/>
      <c r="D320" s="111"/>
      <c r="E320" s="115"/>
      <c r="F320" s="108"/>
      <c r="G320" s="98"/>
      <c r="H320" s="116"/>
      <c r="I320" s="111"/>
      <c r="J320" s="115"/>
      <c r="K320" s="108"/>
      <c r="L320" s="98"/>
      <c r="M320" s="116"/>
      <c r="N320" s="111"/>
      <c r="O320" s="115"/>
      <c r="P320" s="108"/>
      <c r="Q320" s="98"/>
      <c r="R320" s="116"/>
      <c r="S320" s="83"/>
      <c r="T320" s="83"/>
      <c r="U320" s="83"/>
      <c r="V320" s="83"/>
      <c r="W320" s="83"/>
      <c r="X320" s="83"/>
      <c r="Y320" s="83"/>
      <c r="Z320" s="83"/>
    </row>
    <row r="321">
      <c r="A321" s="113"/>
      <c r="B321" s="117"/>
      <c r="C321" s="94"/>
      <c r="D321" s="111"/>
      <c r="E321" s="115"/>
      <c r="F321" s="108"/>
      <c r="G321" s="98"/>
      <c r="H321" s="116"/>
      <c r="I321" s="111"/>
      <c r="J321" s="115"/>
      <c r="K321" s="108"/>
      <c r="L321" s="98"/>
      <c r="M321" s="116"/>
      <c r="N321" s="111"/>
      <c r="O321" s="115"/>
      <c r="P321" s="108"/>
      <c r="Q321" s="98"/>
      <c r="R321" s="116"/>
      <c r="S321" s="83"/>
      <c r="T321" s="83"/>
      <c r="U321" s="83"/>
      <c r="V321" s="83"/>
      <c r="W321" s="83"/>
      <c r="X321" s="83"/>
      <c r="Y321" s="83"/>
      <c r="Z321" s="83"/>
    </row>
    <row r="322">
      <c r="A322" s="113"/>
      <c r="B322" s="117"/>
      <c r="C322" s="94"/>
      <c r="D322" s="111"/>
      <c r="E322" s="115"/>
      <c r="F322" s="108"/>
      <c r="G322" s="98"/>
      <c r="H322" s="116"/>
      <c r="I322" s="111"/>
      <c r="J322" s="115"/>
      <c r="K322" s="108"/>
      <c r="L322" s="98"/>
      <c r="M322" s="116"/>
      <c r="N322" s="111"/>
      <c r="O322" s="115"/>
      <c r="P322" s="108"/>
      <c r="Q322" s="98"/>
      <c r="R322" s="116"/>
      <c r="S322" s="83"/>
      <c r="T322" s="83"/>
      <c r="U322" s="83"/>
      <c r="V322" s="83"/>
      <c r="W322" s="83"/>
      <c r="X322" s="83"/>
      <c r="Y322" s="83"/>
      <c r="Z322" s="83"/>
    </row>
    <row r="323">
      <c r="A323" s="113"/>
      <c r="B323" s="117"/>
      <c r="C323" s="94"/>
      <c r="D323" s="111"/>
      <c r="E323" s="115"/>
      <c r="F323" s="108"/>
      <c r="G323" s="98"/>
      <c r="H323" s="116"/>
      <c r="I323" s="111"/>
      <c r="J323" s="115"/>
      <c r="K323" s="108"/>
      <c r="L323" s="98"/>
      <c r="M323" s="116"/>
      <c r="N323" s="111"/>
      <c r="O323" s="115"/>
      <c r="P323" s="108"/>
      <c r="Q323" s="98"/>
      <c r="R323" s="116"/>
      <c r="S323" s="83"/>
      <c r="T323" s="83"/>
      <c r="U323" s="83"/>
      <c r="V323" s="83"/>
      <c r="W323" s="83"/>
      <c r="X323" s="83"/>
      <c r="Y323" s="83"/>
      <c r="Z323" s="83"/>
    </row>
    <row r="324">
      <c r="A324" s="113"/>
      <c r="B324" s="117"/>
      <c r="C324" s="94"/>
      <c r="D324" s="111"/>
      <c r="E324" s="115"/>
      <c r="F324" s="108"/>
      <c r="G324" s="98"/>
      <c r="H324" s="116"/>
      <c r="I324" s="111"/>
      <c r="J324" s="115"/>
      <c r="K324" s="108"/>
      <c r="L324" s="98"/>
      <c r="M324" s="116"/>
      <c r="N324" s="111"/>
      <c r="O324" s="115"/>
      <c r="P324" s="108"/>
      <c r="Q324" s="98"/>
      <c r="R324" s="116"/>
      <c r="S324" s="83"/>
      <c r="T324" s="83"/>
      <c r="U324" s="83"/>
      <c r="V324" s="83"/>
      <c r="W324" s="83"/>
      <c r="X324" s="83"/>
      <c r="Y324" s="83"/>
      <c r="Z324" s="83"/>
    </row>
    <row r="325">
      <c r="A325" s="113"/>
      <c r="B325" s="117"/>
      <c r="C325" s="94"/>
      <c r="D325" s="111"/>
      <c r="E325" s="115"/>
      <c r="F325" s="108"/>
      <c r="G325" s="98"/>
      <c r="H325" s="116"/>
      <c r="I325" s="111"/>
      <c r="J325" s="115"/>
      <c r="K325" s="108"/>
      <c r="L325" s="98"/>
      <c r="M325" s="116"/>
      <c r="N325" s="111"/>
      <c r="O325" s="115"/>
      <c r="P325" s="108"/>
      <c r="Q325" s="98"/>
      <c r="R325" s="116"/>
      <c r="S325" s="83"/>
      <c r="T325" s="83"/>
      <c r="U325" s="83"/>
      <c r="V325" s="83"/>
      <c r="W325" s="83"/>
      <c r="X325" s="83"/>
      <c r="Y325" s="83"/>
      <c r="Z325" s="83"/>
    </row>
    <row r="326">
      <c r="A326" s="113"/>
      <c r="B326" s="117"/>
      <c r="C326" s="94"/>
      <c r="D326" s="111"/>
      <c r="E326" s="115"/>
      <c r="F326" s="108"/>
      <c r="G326" s="98"/>
      <c r="H326" s="116"/>
      <c r="I326" s="111"/>
      <c r="J326" s="115"/>
      <c r="K326" s="108"/>
      <c r="L326" s="98"/>
      <c r="M326" s="116"/>
      <c r="N326" s="111"/>
      <c r="O326" s="115"/>
      <c r="P326" s="108"/>
      <c r="Q326" s="98"/>
      <c r="R326" s="116"/>
      <c r="S326" s="83"/>
      <c r="T326" s="83"/>
      <c r="U326" s="83"/>
      <c r="V326" s="83"/>
      <c r="W326" s="83"/>
      <c r="X326" s="83"/>
      <c r="Y326" s="83"/>
      <c r="Z326" s="83"/>
    </row>
    <row r="327">
      <c r="A327" s="113"/>
      <c r="B327" s="117"/>
      <c r="C327" s="94"/>
      <c r="D327" s="111"/>
      <c r="E327" s="115"/>
      <c r="F327" s="108"/>
      <c r="G327" s="98"/>
      <c r="H327" s="116"/>
      <c r="I327" s="111"/>
      <c r="J327" s="115"/>
      <c r="K327" s="108"/>
      <c r="L327" s="98"/>
      <c r="M327" s="116"/>
      <c r="N327" s="111"/>
      <c r="O327" s="115"/>
      <c r="P327" s="108"/>
      <c r="Q327" s="98"/>
      <c r="R327" s="116"/>
      <c r="S327" s="83"/>
      <c r="T327" s="83"/>
      <c r="U327" s="83"/>
      <c r="V327" s="83"/>
      <c r="W327" s="83"/>
      <c r="X327" s="83"/>
      <c r="Y327" s="83"/>
      <c r="Z327" s="83"/>
    </row>
    <row r="328">
      <c r="A328" s="113"/>
      <c r="B328" s="117"/>
      <c r="C328" s="94"/>
      <c r="D328" s="111"/>
      <c r="E328" s="115"/>
      <c r="F328" s="108"/>
      <c r="G328" s="98"/>
      <c r="H328" s="116"/>
      <c r="I328" s="111"/>
      <c r="J328" s="115"/>
      <c r="K328" s="108"/>
      <c r="L328" s="98"/>
      <c r="M328" s="116"/>
      <c r="N328" s="111"/>
      <c r="O328" s="115"/>
      <c r="P328" s="108"/>
      <c r="Q328" s="98"/>
      <c r="R328" s="116"/>
      <c r="S328" s="83"/>
      <c r="T328" s="83"/>
      <c r="U328" s="83"/>
      <c r="V328" s="83"/>
      <c r="W328" s="83"/>
      <c r="X328" s="83"/>
      <c r="Y328" s="83"/>
      <c r="Z328" s="83"/>
    </row>
    <row r="329">
      <c r="A329" s="113"/>
      <c r="B329" s="117"/>
      <c r="C329" s="94"/>
      <c r="D329" s="111"/>
      <c r="E329" s="115"/>
      <c r="F329" s="108"/>
      <c r="G329" s="98"/>
      <c r="H329" s="116"/>
      <c r="I329" s="111"/>
      <c r="J329" s="115"/>
      <c r="K329" s="108"/>
      <c r="L329" s="98"/>
      <c r="M329" s="116"/>
      <c r="N329" s="111"/>
      <c r="O329" s="115"/>
      <c r="P329" s="108"/>
      <c r="Q329" s="98"/>
      <c r="R329" s="116"/>
      <c r="S329" s="83"/>
      <c r="T329" s="83"/>
      <c r="U329" s="83"/>
      <c r="V329" s="83"/>
      <c r="W329" s="83"/>
      <c r="X329" s="83"/>
      <c r="Y329" s="83"/>
      <c r="Z329" s="83"/>
    </row>
    <row r="330">
      <c r="A330" s="113"/>
      <c r="B330" s="117"/>
      <c r="C330" s="94"/>
      <c r="D330" s="111"/>
      <c r="E330" s="115"/>
      <c r="F330" s="108"/>
      <c r="G330" s="98"/>
      <c r="H330" s="116"/>
      <c r="I330" s="111"/>
      <c r="J330" s="115"/>
      <c r="K330" s="108"/>
      <c r="L330" s="98"/>
      <c r="M330" s="116"/>
      <c r="N330" s="111"/>
      <c r="O330" s="115"/>
      <c r="P330" s="108"/>
      <c r="Q330" s="98"/>
      <c r="R330" s="116"/>
      <c r="S330" s="83"/>
      <c r="T330" s="83"/>
      <c r="U330" s="83"/>
      <c r="V330" s="83"/>
      <c r="W330" s="83"/>
      <c r="X330" s="83"/>
      <c r="Y330" s="83"/>
      <c r="Z330" s="83"/>
    </row>
    <row r="331">
      <c r="A331" s="113"/>
      <c r="B331" s="117"/>
      <c r="C331" s="94"/>
      <c r="D331" s="111"/>
      <c r="E331" s="115"/>
      <c r="F331" s="108"/>
      <c r="G331" s="98"/>
      <c r="H331" s="116"/>
      <c r="I331" s="111"/>
      <c r="J331" s="115"/>
      <c r="K331" s="108"/>
      <c r="L331" s="98"/>
      <c r="M331" s="116"/>
      <c r="N331" s="111"/>
      <c r="O331" s="115"/>
      <c r="P331" s="108"/>
      <c r="Q331" s="98"/>
      <c r="R331" s="116"/>
      <c r="S331" s="83"/>
      <c r="T331" s="83"/>
      <c r="U331" s="83"/>
      <c r="V331" s="83"/>
      <c r="W331" s="83"/>
      <c r="X331" s="83"/>
      <c r="Y331" s="83"/>
      <c r="Z331" s="83"/>
    </row>
    <row r="332">
      <c r="A332" s="113"/>
      <c r="B332" s="117"/>
      <c r="C332" s="94"/>
      <c r="D332" s="111"/>
      <c r="E332" s="115"/>
      <c r="F332" s="108"/>
      <c r="G332" s="98"/>
      <c r="H332" s="116"/>
      <c r="I332" s="111"/>
      <c r="J332" s="115"/>
      <c r="K332" s="108"/>
      <c r="L332" s="98"/>
      <c r="M332" s="116"/>
      <c r="N332" s="111"/>
      <c r="O332" s="115"/>
      <c r="P332" s="108"/>
      <c r="Q332" s="98"/>
      <c r="R332" s="116"/>
      <c r="S332" s="83"/>
      <c r="T332" s="83"/>
      <c r="U332" s="83"/>
      <c r="V332" s="83"/>
      <c r="W332" s="83"/>
      <c r="X332" s="83"/>
      <c r="Y332" s="83"/>
      <c r="Z332" s="83"/>
    </row>
    <row r="333">
      <c r="A333" s="113"/>
      <c r="B333" s="117"/>
      <c r="C333" s="94"/>
      <c r="D333" s="111"/>
      <c r="E333" s="115"/>
      <c r="F333" s="108"/>
      <c r="G333" s="98"/>
      <c r="H333" s="116"/>
      <c r="I333" s="111"/>
      <c r="J333" s="115"/>
      <c r="K333" s="108"/>
      <c r="L333" s="98"/>
      <c r="M333" s="116"/>
      <c r="N333" s="111"/>
      <c r="O333" s="115"/>
      <c r="P333" s="108"/>
      <c r="Q333" s="98"/>
      <c r="R333" s="116"/>
      <c r="S333" s="83"/>
      <c r="T333" s="83"/>
      <c r="U333" s="83"/>
      <c r="V333" s="83"/>
      <c r="W333" s="83"/>
      <c r="X333" s="83"/>
      <c r="Y333" s="83"/>
      <c r="Z333" s="83"/>
    </row>
    <row r="334">
      <c r="A334" s="113"/>
      <c r="B334" s="117"/>
      <c r="C334" s="94"/>
      <c r="D334" s="111"/>
      <c r="E334" s="115"/>
      <c r="F334" s="108"/>
      <c r="G334" s="98"/>
      <c r="H334" s="116"/>
      <c r="I334" s="111"/>
      <c r="J334" s="115"/>
      <c r="K334" s="108"/>
      <c r="L334" s="98"/>
      <c r="M334" s="116"/>
      <c r="N334" s="111"/>
      <c r="O334" s="115"/>
      <c r="P334" s="108"/>
      <c r="Q334" s="98"/>
      <c r="R334" s="116"/>
      <c r="S334" s="83"/>
      <c r="T334" s="83"/>
      <c r="U334" s="83"/>
      <c r="V334" s="83"/>
      <c r="W334" s="83"/>
      <c r="X334" s="83"/>
      <c r="Y334" s="83"/>
      <c r="Z334" s="83"/>
    </row>
    <row r="335">
      <c r="A335" s="113"/>
      <c r="B335" s="117"/>
      <c r="C335" s="94"/>
      <c r="D335" s="111"/>
      <c r="E335" s="115"/>
      <c r="F335" s="108"/>
      <c r="G335" s="98"/>
      <c r="H335" s="116"/>
      <c r="I335" s="111"/>
      <c r="J335" s="115"/>
      <c r="K335" s="108"/>
      <c r="L335" s="98"/>
      <c r="M335" s="116"/>
      <c r="N335" s="111"/>
      <c r="O335" s="115"/>
      <c r="P335" s="108"/>
      <c r="Q335" s="98"/>
      <c r="R335" s="116"/>
      <c r="S335" s="83"/>
      <c r="T335" s="83"/>
      <c r="U335" s="83"/>
      <c r="V335" s="83"/>
      <c r="W335" s="83"/>
      <c r="X335" s="83"/>
      <c r="Y335" s="83"/>
      <c r="Z335" s="83"/>
    </row>
    <row r="336">
      <c r="A336" s="113"/>
      <c r="B336" s="117"/>
      <c r="C336" s="94"/>
      <c r="D336" s="111"/>
      <c r="E336" s="115"/>
      <c r="F336" s="108"/>
      <c r="G336" s="98"/>
      <c r="H336" s="116"/>
      <c r="I336" s="111"/>
      <c r="J336" s="115"/>
      <c r="K336" s="108"/>
      <c r="L336" s="98"/>
      <c r="M336" s="116"/>
      <c r="N336" s="111"/>
      <c r="O336" s="115"/>
      <c r="P336" s="108"/>
      <c r="Q336" s="98"/>
      <c r="R336" s="116"/>
      <c r="S336" s="83"/>
      <c r="T336" s="83"/>
      <c r="U336" s="83"/>
      <c r="V336" s="83"/>
      <c r="W336" s="83"/>
      <c r="X336" s="83"/>
      <c r="Y336" s="83"/>
      <c r="Z336" s="83"/>
    </row>
    <row r="337">
      <c r="A337" s="113"/>
      <c r="B337" s="117"/>
      <c r="C337" s="94"/>
      <c r="D337" s="111"/>
      <c r="E337" s="115"/>
      <c r="F337" s="108"/>
      <c r="G337" s="98"/>
      <c r="H337" s="116"/>
      <c r="I337" s="111"/>
      <c r="J337" s="115"/>
      <c r="K337" s="108"/>
      <c r="L337" s="98"/>
      <c r="M337" s="116"/>
      <c r="N337" s="111"/>
      <c r="O337" s="115"/>
      <c r="P337" s="108"/>
      <c r="Q337" s="98"/>
      <c r="R337" s="116"/>
      <c r="S337" s="83"/>
      <c r="T337" s="83"/>
      <c r="U337" s="83"/>
      <c r="V337" s="83"/>
      <c r="W337" s="83"/>
      <c r="X337" s="83"/>
      <c r="Y337" s="83"/>
      <c r="Z337" s="83"/>
    </row>
    <row r="338">
      <c r="A338" s="113"/>
      <c r="B338" s="117"/>
      <c r="C338" s="94"/>
      <c r="D338" s="111"/>
      <c r="E338" s="115"/>
      <c r="F338" s="108"/>
      <c r="G338" s="98"/>
      <c r="H338" s="116"/>
      <c r="I338" s="111"/>
      <c r="J338" s="115"/>
      <c r="K338" s="108"/>
      <c r="L338" s="98"/>
      <c r="M338" s="116"/>
      <c r="N338" s="111"/>
      <c r="O338" s="115"/>
      <c r="P338" s="108"/>
      <c r="Q338" s="98"/>
      <c r="R338" s="116"/>
      <c r="S338" s="83"/>
      <c r="T338" s="83"/>
      <c r="U338" s="83"/>
      <c r="V338" s="83"/>
      <c r="W338" s="83"/>
      <c r="X338" s="83"/>
      <c r="Y338" s="83"/>
      <c r="Z338" s="83"/>
    </row>
    <row r="339">
      <c r="A339" s="113"/>
      <c r="B339" s="117"/>
      <c r="C339" s="94"/>
      <c r="D339" s="111"/>
      <c r="E339" s="115"/>
      <c r="F339" s="108"/>
      <c r="G339" s="98"/>
      <c r="H339" s="116"/>
      <c r="I339" s="111"/>
      <c r="J339" s="115"/>
      <c r="K339" s="108"/>
      <c r="L339" s="98"/>
      <c r="M339" s="116"/>
      <c r="N339" s="111"/>
      <c r="O339" s="115"/>
      <c r="P339" s="108"/>
      <c r="Q339" s="98"/>
      <c r="R339" s="116"/>
      <c r="S339" s="83"/>
      <c r="T339" s="83"/>
      <c r="U339" s="83"/>
      <c r="V339" s="83"/>
      <c r="W339" s="83"/>
      <c r="X339" s="83"/>
      <c r="Y339" s="83"/>
      <c r="Z339" s="83"/>
    </row>
    <row r="340">
      <c r="A340" s="113"/>
      <c r="B340" s="117"/>
      <c r="C340" s="94"/>
      <c r="D340" s="111"/>
      <c r="E340" s="115"/>
      <c r="F340" s="108"/>
      <c r="G340" s="98"/>
      <c r="H340" s="116"/>
      <c r="I340" s="111"/>
      <c r="J340" s="115"/>
      <c r="K340" s="108"/>
      <c r="L340" s="98"/>
      <c r="M340" s="116"/>
      <c r="N340" s="111"/>
      <c r="O340" s="115"/>
      <c r="P340" s="108"/>
      <c r="Q340" s="98"/>
      <c r="R340" s="116"/>
      <c r="S340" s="83"/>
      <c r="T340" s="83"/>
      <c r="U340" s="83"/>
      <c r="V340" s="83"/>
      <c r="W340" s="83"/>
      <c r="X340" s="83"/>
      <c r="Y340" s="83"/>
      <c r="Z340" s="83"/>
    </row>
    <row r="341">
      <c r="A341" s="113"/>
      <c r="B341" s="117"/>
      <c r="C341" s="94"/>
      <c r="D341" s="111"/>
      <c r="E341" s="115"/>
      <c r="F341" s="108"/>
      <c r="G341" s="98"/>
      <c r="H341" s="116"/>
      <c r="I341" s="111"/>
      <c r="J341" s="115"/>
      <c r="K341" s="108"/>
      <c r="L341" s="98"/>
      <c r="M341" s="116"/>
      <c r="N341" s="111"/>
      <c r="O341" s="115"/>
      <c r="P341" s="108"/>
      <c r="Q341" s="98"/>
      <c r="R341" s="116"/>
      <c r="S341" s="83"/>
      <c r="T341" s="83"/>
      <c r="U341" s="83"/>
      <c r="V341" s="83"/>
      <c r="W341" s="83"/>
      <c r="X341" s="83"/>
      <c r="Y341" s="83"/>
      <c r="Z341" s="83"/>
    </row>
    <row r="342">
      <c r="A342" s="113"/>
      <c r="B342" s="117"/>
      <c r="C342" s="94"/>
      <c r="D342" s="111"/>
      <c r="E342" s="115"/>
      <c r="F342" s="108"/>
      <c r="G342" s="98"/>
      <c r="H342" s="116"/>
      <c r="I342" s="111"/>
      <c r="J342" s="115"/>
      <c r="K342" s="108"/>
      <c r="L342" s="98"/>
      <c r="M342" s="116"/>
      <c r="N342" s="111"/>
      <c r="O342" s="115"/>
      <c r="P342" s="108"/>
      <c r="Q342" s="98"/>
      <c r="R342" s="116"/>
      <c r="S342" s="83"/>
      <c r="T342" s="83"/>
      <c r="U342" s="83"/>
      <c r="V342" s="83"/>
      <c r="W342" s="83"/>
      <c r="X342" s="83"/>
      <c r="Y342" s="83"/>
      <c r="Z342" s="83"/>
    </row>
    <row r="343">
      <c r="A343" s="113"/>
      <c r="B343" s="117"/>
      <c r="C343" s="94"/>
      <c r="D343" s="111"/>
      <c r="E343" s="115"/>
      <c r="F343" s="108"/>
      <c r="G343" s="98"/>
      <c r="H343" s="116"/>
      <c r="I343" s="111"/>
      <c r="J343" s="115"/>
      <c r="K343" s="108"/>
      <c r="L343" s="98"/>
      <c r="M343" s="116"/>
      <c r="N343" s="111"/>
      <c r="O343" s="115"/>
      <c r="P343" s="108"/>
      <c r="Q343" s="98"/>
      <c r="R343" s="116"/>
      <c r="S343" s="83"/>
      <c r="T343" s="83"/>
      <c r="U343" s="83"/>
      <c r="V343" s="83"/>
      <c r="W343" s="83"/>
      <c r="X343" s="83"/>
      <c r="Y343" s="83"/>
      <c r="Z343" s="83"/>
    </row>
    <row r="344">
      <c r="A344" s="113"/>
      <c r="B344" s="117"/>
      <c r="C344" s="94"/>
      <c r="D344" s="111"/>
      <c r="E344" s="115"/>
      <c r="F344" s="108"/>
      <c r="G344" s="98"/>
      <c r="H344" s="116"/>
      <c r="I344" s="111"/>
      <c r="J344" s="115"/>
      <c r="K344" s="108"/>
      <c r="L344" s="98"/>
      <c r="M344" s="116"/>
      <c r="N344" s="111"/>
      <c r="O344" s="115"/>
      <c r="P344" s="108"/>
      <c r="Q344" s="98"/>
      <c r="R344" s="116"/>
      <c r="S344" s="83"/>
      <c r="T344" s="83"/>
      <c r="U344" s="83"/>
      <c r="V344" s="83"/>
      <c r="W344" s="83"/>
      <c r="X344" s="83"/>
      <c r="Y344" s="83"/>
      <c r="Z344" s="83"/>
    </row>
    <row r="345">
      <c r="A345" s="113"/>
      <c r="B345" s="117"/>
      <c r="C345" s="94"/>
      <c r="D345" s="111"/>
      <c r="E345" s="115"/>
      <c r="F345" s="108"/>
      <c r="G345" s="98"/>
      <c r="H345" s="116"/>
      <c r="I345" s="111"/>
      <c r="J345" s="115"/>
      <c r="K345" s="108"/>
      <c r="L345" s="98"/>
      <c r="M345" s="116"/>
      <c r="N345" s="111"/>
      <c r="O345" s="115"/>
      <c r="P345" s="108"/>
      <c r="Q345" s="98"/>
      <c r="R345" s="116"/>
      <c r="S345" s="83"/>
      <c r="T345" s="83"/>
      <c r="U345" s="83"/>
      <c r="V345" s="83"/>
      <c r="W345" s="83"/>
      <c r="X345" s="83"/>
      <c r="Y345" s="83"/>
      <c r="Z345" s="83"/>
    </row>
    <row r="346">
      <c r="A346" s="113"/>
      <c r="B346" s="117"/>
      <c r="C346" s="94"/>
      <c r="D346" s="111"/>
      <c r="E346" s="115"/>
      <c r="F346" s="108"/>
      <c r="G346" s="98"/>
      <c r="H346" s="116"/>
      <c r="I346" s="111"/>
      <c r="J346" s="115"/>
      <c r="K346" s="108"/>
      <c r="L346" s="98"/>
      <c r="M346" s="116"/>
      <c r="N346" s="111"/>
      <c r="O346" s="115"/>
      <c r="P346" s="108"/>
      <c r="Q346" s="98"/>
      <c r="R346" s="116"/>
      <c r="S346" s="83"/>
      <c r="T346" s="83"/>
      <c r="U346" s="83"/>
      <c r="V346" s="83"/>
      <c r="W346" s="83"/>
      <c r="X346" s="83"/>
      <c r="Y346" s="83"/>
      <c r="Z346" s="83"/>
    </row>
    <row r="347">
      <c r="A347" s="113"/>
      <c r="B347" s="117"/>
      <c r="C347" s="94"/>
      <c r="D347" s="111"/>
      <c r="E347" s="115"/>
      <c r="F347" s="108"/>
      <c r="G347" s="98"/>
      <c r="H347" s="116"/>
      <c r="I347" s="111"/>
      <c r="J347" s="115"/>
      <c r="K347" s="108"/>
      <c r="L347" s="98"/>
      <c r="M347" s="116"/>
      <c r="N347" s="111"/>
      <c r="O347" s="115"/>
      <c r="P347" s="108"/>
      <c r="Q347" s="98"/>
      <c r="R347" s="116"/>
      <c r="S347" s="83"/>
      <c r="T347" s="83"/>
      <c r="U347" s="83"/>
      <c r="V347" s="83"/>
      <c r="W347" s="83"/>
      <c r="X347" s="83"/>
      <c r="Y347" s="83"/>
      <c r="Z347" s="83"/>
    </row>
    <row r="348">
      <c r="A348" s="113"/>
      <c r="B348" s="117"/>
      <c r="C348" s="94"/>
      <c r="D348" s="111"/>
      <c r="E348" s="115"/>
      <c r="F348" s="108"/>
      <c r="G348" s="98"/>
      <c r="H348" s="116"/>
      <c r="I348" s="111"/>
      <c r="J348" s="115"/>
      <c r="K348" s="108"/>
      <c r="L348" s="98"/>
      <c r="M348" s="116"/>
      <c r="N348" s="111"/>
      <c r="O348" s="115"/>
      <c r="P348" s="108"/>
      <c r="Q348" s="98"/>
      <c r="R348" s="116"/>
      <c r="S348" s="83"/>
      <c r="T348" s="83"/>
      <c r="U348" s="83"/>
      <c r="V348" s="83"/>
      <c r="W348" s="83"/>
      <c r="X348" s="83"/>
      <c r="Y348" s="83"/>
      <c r="Z348" s="83"/>
    </row>
    <row r="349">
      <c r="A349" s="113"/>
      <c r="B349" s="117"/>
      <c r="C349" s="94"/>
      <c r="D349" s="111"/>
      <c r="E349" s="115"/>
      <c r="F349" s="108"/>
      <c r="G349" s="98"/>
      <c r="H349" s="116"/>
      <c r="I349" s="111"/>
      <c r="J349" s="115"/>
      <c r="K349" s="108"/>
      <c r="L349" s="98"/>
      <c r="M349" s="116"/>
      <c r="N349" s="111"/>
      <c r="O349" s="115"/>
      <c r="P349" s="108"/>
      <c r="Q349" s="98"/>
      <c r="R349" s="116"/>
      <c r="S349" s="83"/>
      <c r="T349" s="83"/>
      <c r="U349" s="83"/>
      <c r="V349" s="83"/>
      <c r="W349" s="83"/>
      <c r="X349" s="83"/>
      <c r="Y349" s="83"/>
      <c r="Z349" s="83"/>
    </row>
    <row r="350">
      <c r="A350" s="113"/>
      <c r="B350" s="117"/>
      <c r="C350" s="94"/>
      <c r="D350" s="111"/>
      <c r="E350" s="115"/>
      <c r="F350" s="108"/>
      <c r="G350" s="98"/>
      <c r="H350" s="116"/>
      <c r="I350" s="111"/>
      <c r="J350" s="115"/>
      <c r="K350" s="108"/>
      <c r="L350" s="98"/>
      <c r="M350" s="116"/>
      <c r="N350" s="111"/>
      <c r="O350" s="115"/>
      <c r="P350" s="108"/>
      <c r="Q350" s="98"/>
      <c r="R350" s="116"/>
      <c r="S350" s="83"/>
      <c r="T350" s="83"/>
      <c r="U350" s="83"/>
      <c r="V350" s="83"/>
      <c r="W350" s="83"/>
      <c r="X350" s="83"/>
      <c r="Y350" s="83"/>
      <c r="Z350" s="83"/>
    </row>
    <row r="351">
      <c r="A351" s="113"/>
      <c r="B351" s="117"/>
      <c r="C351" s="94"/>
      <c r="D351" s="111"/>
      <c r="E351" s="115"/>
      <c r="F351" s="108"/>
      <c r="G351" s="98"/>
      <c r="H351" s="116"/>
      <c r="I351" s="111"/>
      <c r="J351" s="115"/>
      <c r="K351" s="108"/>
      <c r="L351" s="98"/>
      <c r="M351" s="116"/>
      <c r="N351" s="111"/>
      <c r="O351" s="115"/>
      <c r="P351" s="108"/>
      <c r="Q351" s="98"/>
      <c r="R351" s="116"/>
      <c r="S351" s="83"/>
      <c r="T351" s="83"/>
      <c r="U351" s="83"/>
      <c r="V351" s="83"/>
      <c r="W351" s="83"/>
      <c r="X351" s="83"/>
      <c r="Y351" s="83"/>
      <c r="Z351" s="83"/>
    </row>
    <row r="352">
      <c r="A352" s="113"/>
      <c r="B352" s="117"/>
      <c r="C352" s="94"/>
      <c r="D352" s="111"/>
      <c r="E352" s="115"/>
      <c r="F352" s="108"/>
      <c r="G352" s="98"/>
      <c r="H352" s="116"/>
      <c r="I352" s="111"/>
      <c r="J352" s="115"/>
      <c r="K352" s="108"/>
      <c r="L352" s="98"/>
      <c r="M352" s="116"/>
      <c r="N352" s="111"/>
      <c r="O352" s="115"/>
      <c r="P352" s="108"/>
      <c r="Q352" s="98"/>
      <c r="R352" s="116"/>
      <c r="S352" s="83"/>
      <c r="T352" s="83"/>
      <c r="U352" s="83"/>
      <c r="V352" s="83"/>
      <c r="W352" s="83"/>
      <c r="X352" s="83"/>
      <c r="Y352" s="83"/>
      <c r="Z352" s="83"/>
    </row>
    <row r="353">
      <c r="A353" s="113"/>
      <c r="B353" s="117"/>
      <c r="C353" s="94"/>
      <c r="D353" s="111"/>
      <c r="E353" s="115"/>
      <c r="F353" s="108"/>
      <c r="G353" s="98"/>
      <c r="H353" s="116"/>
      <c r="I353" s="111"/>
      <c r="J353" s="115"/>
      <c r="K353" s="108"/>
      <c r="L353" s="98"/>
      <c r="M353" s="116"/>
      <c r="N353" s="111"/>
      <c r="O353" s="115"/>
      <c r="P353" s="108"/>
      <c r="Q353" s="98"/>
      <c r="R353" s="116"/>
      <c r="S353" s="83"/>
      <c r="T353" s="83"/>
      <c r="U353" s="83"/>
      <c r="V353" s="83"/>
      <c r="W353" s="83"/>
      <c r="X353" s="83"/>
      <c r="Y353" s="83"/>
      <c r="Z353" s="83"/>
    </row>
    <row r="354">
      <c r="A354" s="113"/>
      <c r="B354" s="117"/>
      <c r="C354" s="94"/>
      <c r="D354" s="111"/>
      <c r="E354" s="115"/>
      <c r="F354" s="108"/>
      <c r="G354" s="98"/>
      <c r="H354" s="116"/>
      <c r="I354" s="111"/>
      <c r="J354" s="115"/>
      <c r="K354" s="108"/>
      <c r="L354" s="98"/>
      <c r="M354" s="116"/>
      <c r="N354" s="111"/>
      <c r="O354" s="115"/>
      <c r="P354" s="108"/>
      <c r="Q354" s="98"/>
      <c r="R354" s="116"/>
      <c r="S354" s="83"/>
      <c r="T354" s="83"/>
      <c r="U354" s="83"/>
      <c r="V354" s="83"/>
      <c r="W354" s="83"/>
      <c r="X354" s="83"/>
      <c r="Y354" s="83"/>
      <c r="Z354" s="83"/>
    </row>
    <row r="355">
      <c r="A355" s="113"/>
      <c r="B355" s="117"/>
      <c r="C355" s="94"/>
      <c r="D355" s="111"/>
      <c r="E355" s="115"/>
      <c r="F355" s="108"/>
      <c r="G355" s="98"/>
      <c r="H355" s="116"/>
      <c r="I355" s="111"/>
      <c r="J355" s="115"/>
      <c r="K355" s="108"/>
      <c r="L355" s="98"/>
      <c r="M355" s="116"/>
      <c r="N355" s="111"/>
      <c r="O355" s="115"/>
      <c r="P355" s="108"/>
      <c r="Q355" s="98"/>
      <c r="R355" s="116"/>
      <c r="S355" s="83"/>
      <c r="T355" s="83"/>
      <c r="U355" s="83"/>
      <c r="V355" s="83"/>
      <c r="W355" s="83"/>
      <c r="X355" s="83"/>
      <c r="Y355" s="83"/>
      <c r="Z355" s="83"/>
    </row>
    <row r="356">
      <c r="A356" s="113"/>
      <c r="B356" s="117"/>
      <c r="C356" s="94"/>
      <c r="D356" s="111"/>
      <c r="E356" s="115"/>
      <c r="F356" s="108"/>
      <c r="G356" s="98"/>
      <c r="H356" s="116"/>
      <c r="I356" s="111"/>
      <c r="J356" s="115"/>
      <c r="K356" s="108"/>
      <c r="L356" s="98"/>
      <c r="M356" s="116"/>
      <c r="N356" s="111"/>
      <c r="O356" s="115"/>
      <c r="P356" s="108"/>
      <c r="Q356" s="98"/>
      <c r="R356" s="116"/>
      <c r="S356" s="83"/>
      <c r="T356" s="83"/>
      <c r="U356" s="83"/>
      <c r="V356" s="83"/>
      <c r="W356" s="83"/>
      <c r="X356" s="83"/>
      <c r="Y356" s="83"/>
      <c r="Z356" s="83"/>
    </row>
    <row r="357">
      <c r="A357" s="113"/>
      <c r="B357" s="117"/>
      <c r="C357" s="94"/>
      <c r="D357" s="111"/>
      <c r="E357" s="115"/>
      <c r="F357" s="108"/>
      <c r="G357" s="98"/>
      <c r="H357" s="116"/>
      <c r="I357" s="111"/>
      <c r="J357" s="115"/>
      <c r="K357" s="108"/>
      <c r="L357" s="98"/>
      <c r="M357" s="116"/>
      <c r="N357" s="111"/>
      <c r="O357" s="115"/>
      <c r="P357" s="108"/>
      <c r="Q357" s="98"/>
      <c r="R357" s="116"/>
      <c r="S357" s="83"/>
      <c r="T357" s="83"/>
      <c r="U357" s="83"/>
      <c r="V357" s="83"/>
      <c r="W357" s="83"/>
      <c r="X357" s="83"/>
      <c r="Y357" s="83"/>
      <c r="Z357" s="83"/>
    </row>
    <row r="358">
      <c r="A358" s="113"/>
      <c r="B358" s="117"/>
      <c r="C358" s="94"/>
      <c r="D358" s="111"/>
      <c r="E358" s="115"/>
      <c r="F358" s="108"/>
      <c r="G358" s="98"/>
      <c r="H358" s="116"/>
      <c r="I358" s="111"/>
      <c r="J358" s="115"/>
      <c r="K358" s="108"/>
      <c r="L358" s="98"/>
      <c r="M358" s="116"/>
      <c r="N358" s="111"/>
      <c r="O358" s="115"/>
      <c r="P358" s="108"/>
      <c r="Q358" s="98"/>
      <c r="R358" s="116"/>
      <c r="S358" s="83"/>
      <c r="T358" s="83"/>
      <c r="U358" s="83"/>
      <c r="V358" s="83"/>
      <c r="W358" s="83"/>
      <c r="X358" s="83"/>
      <c r="Y358" s="83"/>
      <c r="Z358" s="83"/>
    </row>
    <row r="359">
      <c r="A359" s="113"/>
      <c r="B359" s="117"/>
      <c r="C359" s="94"/>
      <c r="D359" s="111"/>
      <c r="E359" s="115"/>
      <c r="F359" s="108"/>
      <c r="G359" s="98"/>
      <c r="H359" s="116"/>
      <c r="I359" s="111"/>
      <c r="J359" s="115"/>
      <c r="K359" s="108"/>
      <c r="L359" s="98"/>
      <c r="M359" s="116"/>
      <c r="N359" s="111"/>
      <c r="O359" s="115"/>
      <c r="P359" s="108"/>
      <c r="Q359" s="98"/>
      <c r="R359" s="116"/>
      <c r="S359" s="83"/>
      <c r="T359" s="83"/>
      <c r="U359" s="83"/>
      <c r="V359" s="83"/>
      <c r="W359" s="83"/>
      <c r="X359" s="83"/>
      <c r="Y359" s="83"/>
      <c r="Z359" s="83"/>
    </row>
    <row r="360">
      <c r="A360" s="113"/>
      <c r="B360" s="117"/>
      <c r="C360" s="94"/>
      <c r="D360" s="111"/>
      <c r="E360" s="115"/>
      <c r="F360" s="108"/>
      <c r="G360" s="98"/>
      <c r="H360" s="116"/>
      <c r="I360" s="111"/>
      <c r="J360" s="115"/>
      <c r="K360" s="108"/>
      <c r="L360" s="98"/>
      <c r="M360" s="116"/>
      <c r="N360" s="111"/>
      <c r="O360" s="115"/>
      <c r="P360" s="108"/>
      <c r="Q360" s="98"/>
      <c r="R360" s="116"/>
      <c r="S360" s="83"/>
      <c r="T360" s="83"/>
      <c r="U360" s="83"/>
      <c r="V360" s="83"/>
      <c r="W360" s="83"/>
      <c r="X360" s="83"/>
      <c r="Y360" s="83"/>
      <c r="Z360" s="83"/>
    </row>
    <row r="361">
      <c r="A361" s="113"/>
      <c r="B361" s="117"/>
      <c r="C361" s="94"/>
      <c r="D361" s="111"/>
      <c r="E361" s="115"/>
      <c r="F361" s="108"/>
      <c r="G361" s="98"/>
      <c r="H361" s="116"/>
      <c r="I361" s="111"/>
      <c r="J361" s="115"/>
      <c r="K361" s="108"/>
      <c r="L361" s="98"/>
      <c r="M361" s="116"/>
      <c r="N361" s="111"/>
      <c r="O361" s="115"/>
      <c r="P361" s="108"/>
      <c r="Q361" s="98"/>
      <c r="R361" s="116"/>
      <c r="S361" s="83"/>
      <c r="T361" s="83"/>
      <c r="U361" s="83"/>
      <c r="V361" s="83"/>
      <c r="W361" s="83"/>
      <c r="X361" s="83"/>
      <c r="Y361" s="83"/>
      <c r="Z361" s="83"/>
    </row>
    <row r="362">
      <c r="A362" s="113"/>
      <c r="B362" s="117"/>
      <c r="C362" s="94"/>
      <c r="D362" s="111"/>
      <c r="E362" s="115"/>
      <c r="F362" s="108"/>
      <c r="G362" s="98"/>
      <c r="H362" s="116"/>
      <c r="I362" s="111"/>
      <c r="J362" s="115"/>
      <c r="K362" s="108"/>
      <c r="L362" s="98"/>
      <c r="M362" s="116"/>
      <c r="N362" s="111"/>
      <c r="O362" s="115"/>
      <c r="P362" s="108"/>
      <c r="Q362" s="98"/>
      <c r="R362" s="116"/>
      <c r="S362" s="83"/>
      <c r="T362" s="83"/>
      <c r="U362" s="83"/>
      <c r="V362" s="83"/>
      <c r="W362" s="83"/>
      <c r="X362" s="83"/>
      <c r="Y362" s="83"/>
      <c r="Z362" s="83"/>
    </row>
    <row r="363">
      <c r="A363" s="113"/>
      <c r="B363" s="117"/>
      <c r="C363" s="94"/>
      <c r="D363" s="111"/>
      <c r="E363" s="115"/>
      <c r="F363" s="108"/>
      <c r="G363" s="98"/>
      <c r="H363" s="116"/>
      <c r="I363" s="111"/>
      <c r="J363" s="115"/>
      <c r="K363" s="108"/>
      <c r="L363" s="98"/>
      <c r="M363" s="116"/>
      <c r="N363" s="111"/>
      <c r="O363" s="115"/>
      <c r="P363" s="108"/>
      <c r="Q363" s="98"/>
      <c r="R363" s="116"/>
      <c r="S363" s="83"/>
      <c r="T363" s="83"/>
      <c r="U363" s="83"/>
      <c r="V363" s="83"/>
      <c r="W363" s="83"/>
      <c r="X363" s="83"/>
      <c r="Y363" s="83"/>
      <c r="Z363" s="83"/>
    </row>
    <row r="364">
      <c r="A364" s="113"/>
      <c r="B364" s="117"/>
      <c r="C364" s="94"/>
      <c r="D364" s="111"/>
      <c r="E364" s="115"/>
      <c r="F364" s="108"/>
      <c r="G364" s="98"/>
      <c r="H364" s="116"/>
      <c r="I364" s="111"/>
      <c r="J364" s="115"/>
      <c r="K364" s="108"/>
      <c r="L364" s="98"/>
      <c r="M364" s="116"/>
      <c r="N364" s="111"/>
      <c r="O364" s="115"/>
      <c r="P364" s="108"/>
      <c r="Q364" s="98"/>
      <c r="R364" s="116"/>
      <c r="S364" s="83"/>
      <c r="T364" s="83"/>
      <c r="U364" s="83"/>
      <c r="V364" s="83"/>
      <c r="W364" s="83"/>
      <c r="X364" s="83"/>
      <c r="Y364" s="83"/>
      <c r="Z364" s="83"/>
    </row>
    <row r="365">
      <c r="A365" s="113"/>
      <c r="B365" s="117"/>
      <c r="C365" s="94"/>
      <c r="D365" s="111"/>
      <c r="E365" s="115"/>
      <c r="F365" s="108"/>
      <c r="G365" s="98"/>
      <c r="H365" s="116"/>
      <c r="I365" s="111"/>
      <c r="J365" s="115"/>
      <c r="K365" s="108"/>
      <c r="L365" s="98"/>
      <c r="M365" s="116"/>
      <c r="N365" s="111"/>
      <c r="O365" s="115"/>
      <c r="P365" s="108"/>
      <c r="Q365" s="98"/>
      <c r="R365" s="116"/>
      <c r="S365" s="83"/>
      <c r="T365" s="83"/>
      <c r="U365" s="83"/>
      <c r="V365" s="83"/>
      <c r="W365" s="83"/>
      <c r="X365" s="83"/>
      <c r="Y365" s="83"/>
      <c r="Z365" s="83"/>
    </row>
    <row r="366">
      <c r="A366" s="113"/>
      <c r="B366" s="117"/>
      <c r="C366" s="94"/>
      <c r="D366" s="111"/>
      <c r="E366" s="115"/>
      <c r="F366" s="108"/>
      <c r="G366" s="98"/>
      <c r="H366" s="116"/>
      <c r="I366" s="111"/>
      <c r="J366" s="115"/>
      <c r="K366" s="108"/>
      <c r="L366" s="98"/>
      <c r="M366" s="116"/>
      <c r="N366" s="111"/>
      <c r="O366" s="115"/>
      <c r="P366" s="108"/>
      <c r="Q366" s="98"/>
      <c r="R366" s="116"/>
      <c r="S366" s="83"/>
      <c r="T366" s="83"/>
      <c r="U366" s="83"/>
      <c r="V366" s="83"/>
      <c r="W366" s="83"/>
      <c r="X366" s="83"/>
      <c r="Y366" s="83"/>
      <c r="Z366" s="83"/>
    </row>
    <row r="367">
      <c r="A367" s="113"/>
      <c r="B367" s="117"/>
      <c r="C367" s="94"/>
      <c r="D367" s="111"/>
      <c r="E367" s="115"/>
      <c r="F367" s="108"/>
      <c r="G367" s="98"/>
      <c r="H367" s="116"/>
      <c r="I367" s="111"/>
      <c r="J367" s="115"/>
      <c r="K367" s="108"/>
      <c r="L367" s="98"/>
      <c r="M367" s="116"/>
      <c r="N367" s="111"/>
      <c r="O367" s="115"/>
      <c r="P367" s="108"/>
      <c r="Q367" s="98"/>
      <c r="R367" s="116"/>
      <c r="S367" s="83"/>
      <c r="T367" s="83"/>
      <c r="U367" s="83"/>
      <c r="V367" s="83"/>
      <c r="W367" s="83"/>
      <c r="X367" s="83"/>
      <c r="Y367" s="83"/>
      <c r="Z367" s="83"/>
    </row>
    <row r="368">
      <c r="A368" s="113"/>
      <c r="B368" s="117"/>
      <c r="C368" s="94"/>
      <c r="D368" s="111"/>
      <c r="E368" s="115"/>
      <c r="F368" s="108"/>
      <c r="G368" s="98"/>
      <c r="H368" s="116"/>
      <c r="I368" s="111"/>
      <c r="J368" s="115"/>
      <c r="K368" s="108"/>
      <c r="L368" s="98"/>
      <c r="M368" s="116"/>
      <c r="N368" s="111"/>
      <c r="O368" s="115"/>
      <c r="P368" s="108"/>
      <c r="Q368" s="98"/>
      <c r="R368" s="116"/>
      <c r="S368" s="83"/>
      <c r="T368" s="83"/>
      <c r="U368" s="83"/>
      <c r="V368" s="83"/>
      <c r="W368" s="83"/>
      <c r="X368" s="83"/>
      <c r="Y368" s="83"/>
      <c r="Z368" s="83"/>
    </row>
    <row r="369">
      <c r="A369" s="113"/>
      <c r="B369" s="117"/>
      <c r="C369" s="94"/>
      <c r="D369" s="111"/>
      <c r="E369" s="115"/>
      <c r="F369" s="108"/>
      <c r="G369" s="98"/>
      <c r="H369" s="116"/>
      <c r="I369" s="111"/>
      <c r="J369" s="115"/>
      <c r="K369" s="108"/>
      <c r="L369" s="98"/>
      <c r="M369" s="116"/>
      <c r="N369" s="111"/>
      <c r="O369" s="115"/>
      <c r="P369" s="108"/>
      <c r="Q369" s="98"/>
      <c r="R369" s="116"/>
      <c r="S369" s="83"/>
      <c r="T369" s="83"/>
      <c r="U369" s="83"/>
      <c r="V369" s="83"/>
      <c r="W369" s="83"/>
      <c r="X369" s="83"/>
      <c r="Y369" s="83"/>
      <c r="Z369" s="83"/>
    </row>
    <row r="370">
      <c r="A370" s="113"/>
      <c r="B370" s="117"/>
      <c r="C370" s="94"/>
      <c r="D370" s="111"/>
      <c r="E370" s="115"/>
      <c r="F370" s="108"/>
      <c r="G370" s="98"/>
      <c r="H370" s="116"/>
      <c r="I370" s="111"/>
      <c r="J370" s="115"/>
      <c r="K370" s="108"/>
      <c r="L370" s="98"/>
      <c r="M370" s="116"/>
      <c r="N370" s="111"/>
      <c r="O370" s="115"/>
      <c r="P370" s="108"/>
      <c r="Q370" s="98"/>
      <c r="R370" s="116"/>
      <c r="S370" s="83"/>
      <c r="T370" s="83"/>
      <c r="U370" s="83"/>
      <c r="V370" s="83"/>
      <c r="W370" s="83"/>
      <c r="X370" s="83"/>
      <c r="Y370" s="83"/>
      <c r="Z370" s="83"/>
    </row>
    <row r="371">
      <c r="A371" s="113"/>
      <c r="B371" s="117"/>
      <c r="C371" s="94"/>
      <c r="D371" s="111"/>
      <c r="E371" s="115"/>
      <c r="F371" s="108"/>
      <c r="G371" s="98"/>
      <c r="H371" s="116"/>
      <c r="I371" s="111"/>
      <c r="J371" s="115"/>
      <c r="K371" s="108"/>
      <c r="L371" s="98"/>
      <c r="M371" s="116"/>
      <c r="N371" s="111"/>
      <c r="O371" s="115"/>
      <c r="P371" s="108"/>
      <c r="Q371" s="98"/>
      <c r="R371" s="116"/>
      <c r="S371" s="83"/>
      <c r="T371" s="83"/>
      <c r="U371" s="83"/>
      <c r="V371" s="83"/>
      <c r="W371" s="83"/>
      <c r="X371" s="83"/>
      <c r="Y371" s="83"/>
      <c r="Z371" s="83"/>
    </row>
    <row r="372">
      <c r="A372" s="113"/>
      <c r="B372" s="117"/>
      <c r="C372" s="94"/>
      <c r="D372" s="111"/>
      <c r="E372" s="115"/>
      <c r="F372" s="108"/>
      <c r="G372" s="98"/>
      <c r="H372" s="116"/>
      <c r="I372" s="111"/>
      <c r="J372" s="115"/>
      <c r="K372" s="108"/>
      <c r="L372" s="98"/>
      <c r="M372" s="116"/>
      <c r="N372" s="111"/>
      <c r="O372" s="115"/>
      <c r="P372" s="108"/>
      <c r="Q372" s="98"/>
      <c r="R372" s="116"/>
      <c r="S372" s="83"/>
      <c r="T372" s="83"/>
      <c r="U372" s="83"/>
      <c r="V372" s="83"/>
      <c r="W372" s="83"/>
      <c r="X372" s="83"/>
      <c r="Y372" s="83"/>
      <c r="Z372" s="83"/>
    </row>
    <row r="373">
      <c r="A373" s="113"/>
      <c r="B373" s="117"/>
      <c r="C373" s="94"/>
      <c r="D373" s="111"/>
      <c r="E373" s="115"/>
      <c r="F373" s="108"/>
      <c r="G373" s="98"/>
      <c r="H373" s="116"/>
      <c r="I373" s="111"/>
      <c r="J373" s="115"/>
      <c r="K373" s="108"/>
      <c r="L373" s="98"/>
      <c r="M373" s="116"/>
      <c r="N373" s="111"/>
      <c r="O373" s="115"/>
      <c r="P373" s="108"/>
      <c r="Q373" s="98"/>
      <c r="R373" s="116"/>
      <c r="S373" s="83"/>
      <c r="T373" s="83"/>
      <c r="U373" s="83"/>
      <c r="V373" s="83"/>
      <c r="W373" s="83"/>
      <c r="X373" s="83"/>
      <c r="Y373" s="83"/>
      <c r="Z373" s="83"/>
    </row>
    <row r="374">
      <c r="A374" s="113"/>
      <c r="B374" s="117"/>
      <c r="C374" s="94"/>
      <c r="D374" s="111"/>
      <c r="E374" s="115"/>
      <c r="F374" s="108"/>
      <c r="G374" s="98"/>
      <c r="H374" s="116"/>
      <c r="I374" s="111"/>
      <c r="J374" s="115"/>
      <c r="K374" s="108"/>
      <c r="L374" s="98"/>
      <c r="M374" s="116"/>
      <c r="N374" s="111"/>
      <c r="O374" s="115"/>
      <c r="P374" s="108"/>
      <c r="Q374" s="98"/>
      <c r="R374" s="116"/>
      <c r="S374" s="83"/>
      <c r="T374" s="83"/>
      <c r="U374" s="83"/>
      <c r="V374" s="83"/>
      <c r="W374" s="83"/>
      <c r="X374" s="83"/>
      <c r="Y374" s="83"/>
      <c r="Z374" s="83"/>
    </row>
    <row r="375">
      <c r="A375" s="113"/>
      <c r="B375" s="117"/>
      <c r="C375" s="94"/>
      <c r="D375" s="111"/>
      <c r="E375" s="115"/>
      <c r="F375" s="108"/>
      <c r="G375" s="98"/>
      <c r="H375" s="116"/>
      <c r="I375" s="111"/>
      <c r="J375" s="115"/>
      <c r="K375" s="108"/>
      <c r="L375" s="98"/>
      <c r="M375" s="116"/>
      <c r="N375" s="111"/>
      <c r="O375" s="115"/>
      <c r="P375" s="108"/>
      <c r="Q375" s="98"/>
      <c r="R375" s="116"/>
      <c r="S375" s="83"/>
      <c r="T375" s="83"/>
      <c r="U375" s="83"/>
      <c r="V375" s="83"/>
      <c r="W375" s="83"/>
      <c r="X375" s="83"/>
      <c r="Y375" s="83"/>
      <c r="Z375" s="83"/>
    </row>
    <row r="376">
      <c r="A376" s="113"/>
      <c r="B376" s="117"/>
      <c r="C376" s="94"/>
      <c r="D376" s="111"/>
      <c r="E376" s="115"/>
      <c r="F376" s="108"/>
      <c r="G376" s="98"/>
      <c r="H376" s="116"/>
      <c r="I376" s="111"/>
      <c r="J376" s="115"/>
      <c r="K376" s="108"/>
      <c r="L376" s="98"/>
      <c r="M376" s="116"/>
      <c r="N376" s="111"/>
      <c r="O376" s="115"/>
      <c r="P376" s="108"/>
      <c r="Q376" s="98"/>
      <c r="R376" s="116"/>
      <c r="S376" s="83"/>
      <c r="T376" s="83"/>
      <c r="U376" s="83"/>
      <c r="V376" s="83"/>
      <c r="W376" s="83"/>
      <c r="X376" s="83"/>
      <c r="Y376" s="83"/>
      <c r="Z376" s="83"/>
    </row>
    <row r="377">
      <c r="A377" s="113"/>
      <c r="B377" s="117"/>
      <c r="C377" s="94"/>
      <c r="D377" s="111"/>
      <c r="E377" s="115"/>
      <c r="F377" s="108"/>
      <c r="G377" s="98"/>
      <c r="H377" s="116"/>
      <c r="I377" s="111"/>
      <c r="J377" s="115"/>
      <c r="K377" s="108"/>
      <c r="L377" s="98"/>
      <c r="M377" s="116"/>
      <c r="N377" s="111"/>
      <c r="O377" s="115"/>
      <c r="P377" s="108"/>
      <c r="Q377" s="98"/>
      <c r="R377" s="116"/>
      <c r="S377" s="83"/>
      <c r="T377" s="83"/>
      <c r="U377" s="83"/>
      <c r="V377" s="83"/>
      <c r="W377" s="83"/>
      <c r="X377" s="83"/>
      <c r="Y377" s="83"/>
      <c r="Z377" s="83"/>
    </row>
    <row r="378">
      <c r="A378" s="113"/>
      <c r="B378" s="117"/>
      <c r="C378" s="94"/>
      <c r="D378" s="111"/>
      <c r="E378" s="115"/>
      <c r="F378" s="108"/>
      <c r="G378" s="98"/>
      <c r="H378" s="116"/>
      <c r="I378" s="111"/>
      <c r="J378" s="115"/>
      <c r="K378" s="108"/>
      <c r="L378" s="98"/>
      <c r="M378" s="116"/>
      <c r="N378" s="111"/>
      <c r="O378" s="115"/>
      <c r="P378" s="108"/>
      <c r="Q378" s="98"/>
      <c r="R378" s="116"/>
      <c r="S378" s="83"/>
      <c r="T378" s="83"/>
      <c r="U378" s="83"/>
      <c r="V378" s="83"/>
      <c r="W378" s="83"/>
      <c r="X378" s="83"/>
      <c r="Y378" s="83"/>
      <c r="Z378" s="83"/>
    </row>
    <row r="379">
      <c r="A379" s="113"/>
      <c r="B379" s="117"/>
      <c r="C379" s="94"/>
      <c r="D379" s="111"/>
      <c r="E379" s="115"/>
      <c r="F379" s="108"/>
      <c r="G379" s="98"/>
      <c r="H379" s="116"/>
      <c r="I379" s="111"/>
      <c r="J379" s="115"/>
      <c r="K379" s="108"/>
      <c r="L379" s="98"/>
      <c r="M379" s="116"/>
      <c r="N379" s="111"/>
      <c r="O379" s="115"/>
      <c r="P379" s="108"/>
      <c r="Q379" s="98"/>
      <c r="R379" s="116"/>
      <c r="S379" s="83"/>
      <c r="T379" s="83"/>
      <c r="U379" s="83"/>
      <c r="V379" s="83"/>
      <c r="W379" s="83"/>
      <c r="X379" s="83"/>
      <c r="Y379" s="83"/>
      <c r="Z379" s="83"/>
    </row>
    <row r="380">
      <c r="A380" s="113"/>
      <c r="B380" s="117"/>
      <c r="C380" s="94"/>
      <c r="D380" s="111"/>
      <c r="E380" s="115"/>
      <c r="F380" s="108"/>
      <c r="G380" s="98"/>
      <c r="H380" s="116"/>
      <c r="I380" s="111"/>
      <c r="J380" s="115"/>
      <c r="K380" s="108"/>
      <c r="L380" s="98"/>
      <c r="M380" s="116"/>
      <c r="N380" s="111"/>
      <c r="O380" s="115"/>
      <c r="P380" s="108"/>
      <c r="Q380" s="98"/>
      <c r="R380" s="116"/>
      <c r="S380" s="83"/>
      <c r="T380" s="83"/>
      <c r="U380" s="83"/>
      <c r="V380" s="83"/>
      <c r="W380" s="83"/>
      <c r="X380" s="83"/>
      <c r="Y380" s="83"/>
      <c r="Z380" s="83"/>
    </row>
    <row r="381">
      <c r="A381" s="113"/>
      <c r="B381" s="117"/>
      <c r="C381" s="94"/>
      <c r="D381" s="111"/>
      <c r="E381" s="115"/>
      <c r="F381" s="108"/>
      <c r="G381" s="98"/>
      <c r="H381" s="116"/>
      <c r="I381" s="111"/>
      <c r="J381" s="115"/>
      <c r="K381" s="108"/>
      <c r="L381" s="98"/>
      <c r="M381" s="116"/>
      <c r="N381" s="111"/>
      <c r="O381" s="115"/>
      <c r="P381" s="108"/>
      <c r="Q381" s="98"/>
      <c r="R381" s="116"/>
      <c r="S381" s="83"/>
      <c r="T381" s="83"/>
      <c r="U381" s="83"/>
      <c r="V381" s="83"/>
      <c r="W381" s="83"/>
      <c r="X381" s="83"/>
      <c r="Y381" s="83"/>
      <c r="Z381" s="83"/>
    </row>
    <row r="382">
      <c r="A382" s="113"/>
      <c r="B382" s="117"/>
      <c r="C382" s="94"/>
      <c r="D382" s="111"/>
      <c r="E382" s="115"/>
      <c r="F382" s="108"/>
      <c r="G382" s="98"/>
      <c r="H382" s="116"/>
      <c r="I382" s="111"/>
      <c r="J382" s="115"/>
      <c r="K382" s="108"/>
      <c r="L382" s="98"/>
      <c r="M382" s="116"/>
      <c r="N382" s="111"/>
      <c r="O382" s="115"/>
      <c r="P382" s="108"/>
      <c r="Q382" s="98"/>
      <c r="R382" s="116"/>
      <c r="S382" s="83"/>
      <c r="T382" s="83"/>
      <c r="U382" s="83"/>
      <c r="V382" s="83"/>
      <c r="W382" s="83"/>
      <c r="X382" s="83"/>
      <c r="Y382" s="83"/>
      <c r="Z382" s="83"/>
    </row>
    <row r="383">
      <c r="A383" s="113"/>
      <c r="B383" s="117"/>
      <c r="C383" s="94"/>
      <c r="D383" s="111"/>
      <c r="E383" s="115"/>
      <c r="F383" s="108"/>
      <c r="G383" s="98"/>
      <c r="H383" s="116"/>
      <c r="I383" s="111"/>
      <c r="J383" s="115"/>
      <c r="K383" s="108"/>
      <c r="L383" s="98"/>
      <c r="M383" s="116"/>
      <c r="N383" s="111"/>
      <c r="O383" s="115"/>
      <c r="P383" s="108"/>
      <c r="Q383" s="98"/>
      <c r="R383" s="116"/>
      <c r="S383" s="83"/>
      <c r="T383" s="83"/>
      <c r="U383" s="83"/>
      <c r="V383" s="83"/>
      <c r="W383" s="83"/>
      <c r="X383" s="83"/>
      <c r="Y383" s="83"/>
      <c r="Z383" s="83"/>
    </row>
    <row r="384">
      <c r="A384" s="113"/>
      <c r="B384" s="117"/>
      <c r="C384" s="94"/>
      <c r="D384" s="111"/>
      <c r="E384" s="115"/>
      <c r="F384" s="108"/>
      <c r="G384" s="98"/>
      <c r="H384" s="116"/>
      <c r="I384" s="111"/>
      <c r="J384" s="115"/>
      <c r="K384" s="108"/>
      <c r="L384" s="98"/>
      <c r="M384" s="116"/>
      <c r="N384" s="111"/>
      <c r="O384" s="115"/>
      <c r="P384" s="108"/>
      <c r="Q384" s="98"/>
      <c r="R384" s="116"/>
      <c r="S384" s="83"/>
      <c r="T384" s="83"/>
      <c r="U384" s="83"/>
      <c r="V384" s="83"/>
      <c r="W384" s="83"/>
      <c r="X384" s="83"/>
      <c r="Y384" s="83"/>
      <c r="Z384" s="83"/>
    </row>
    <row r="385">
      <c r="A385" s="113"/>
      <c r="B385" s="117"/>
      <c r="C385" s="94"/>
      <c r="D385" s="111"/>
      <c r="E385" s="115"/>
      <c r="F385" s="108"/>
      <c r="G385" s="98"/>
      <c r="H385" s="116"/>
      <c r="I385" s="111"/>
      <c r="J385" s="115"/>
      <c r="K385" s="108"/>
      <c r="L385" s="98"/>
      <c r="M385" s="116"/>
      <c r="N385" s="111"/>
      <c r="O385" s="115"/>
      <c r="P385" s="108"/>
      <c r="Q385" s="98"/>
      <c r="R385" s="116"/>
      <c r="S385" s="83"/>
      <c r="T385" s="83"/>
      <c r="U385" s="83"/>
      <c r="V385" s="83"/>
      <c r="W385" s="83"/>
      <c r="X385" s="83"/>
      <c r="Y385" s="83"/>
      <c r="Z385" s="83"/>
    </row>
    <row r="386">
      <c r="A386" s="113"/>
      <c r="B386" s="117"/>
      <c r="C386" s="94"/>
      <c r="D386" s="111"/>
      <c r="E386" s="115"/>
      <c r="F386" s="108"/>
      <c r="G386" s="98"/>
      <c r="H386" s="116"/>
      <c r="I386" s="111"/>
      <c r="J386" s="115"/>
      <c r="K386" s="108"/>
      <c r="L386" s="98"/>
      <c r="M386" s="116"/>
      <c r="N386" s="111"/>
      <c r="O386" s="115"/>
      <c r="P386" s="108"/>
      <c r="Q386" s="98"/>
      <c r="R386" s="116"/>
      <c r="S386" s="83"/>
      <c r="T386" s="83"/>
      <c r="U386" s="83"/>
      <c r="V386" s="83"/>
      <c r="W386" s="83"/>
      <c r="X386" s="83"/>
      <c r="Y386" s="83"/>
      <c r="Z386" s="83"/>
    </row>
    <row r="387">
      <c r="A387" s="113"/>
      <c r="B387" s="117"/>
      <c r="C387" s="94"/>
      <c r="D387" s="111"/>
      <c r="E387" s="115"/>
      <c r="F387" s="108"/>
      <c r="G387" s="98"/>
      <c r="H387" s="116"/>
      <c r="I387" s="111"/>
      <c r="J387" s="115"/>
      <c r="K387" s="108"/>
      <c r="L387" s="98"/>
      <c r="M387" s="116"/>
      <c r="N387" s="111"/>
      <c r="O387" s="115"/>
      <c r="P387" s="108"/>
      <c r="Q387" s="98"/>
      <c r="R387" s="116"/>
      <c r="S387" s="83"/>
      <c r="T387" s="83"/>
      <c r="U387" s="83"/>
      <c r="V387" s="83"/>
      <c r="W387" s="83"/>
      <c r="X387" s="83"/>
      <c r="Y387" s="83"/>
      <c r="Z387" s="83"/>
    </row>
    <row r="388">
      <c r="A388" s="113"/>
      <c r="B388" s="117"/>
      <c r="C388" s="94"/>
      <c r="D388" s="111"/>
      <c r="E388" s="115"/>
      <c r="F388" s="108"/>
      <c r="G388" s="98"/>
      <c r="H388" s="116"/>
      <c r="I388" s="111"/>
      <c r="J388" s="115"/>
      <c r="K388" s="108"/>
      <c r="L388" s="98"/>
      <c r="M388" s="116"/>
      <c r="N388" s="111"/>
      <c r="O388" s="115"/>
      <c r="P388" s="108"/>
      <c r="Q388" s="98"/>
      <c r="R388" s="116"/>
      <c r="S388" s="83"/>
      <c r="T388" s="83"/>
      <c r="U388" s="83"/>
      <c r="V388" s="83"/>
      <c r="W388" s="83"/>
      <c r="X388" s="83"/>
      <c r="Y388" s="83"/>
      <c r="Z388" s="83"/>
    </row>
    <row r="389">
      <c r="A389" s="113"/>
      <c r="B389" s="117"/>
      <c r="C389" s="94"/>
      <c r="D389" s="111"/>
      <c r="E389" s="115"/>
      <c r="F389" s="108"/>
      <c r="G389" s="98"/>
      <c r="H389" s="116"/>
      <c r="I389" s="111"/>
      <c r="J389" s="115"/>
      <c r="K389" s="108"/>
      <c r="L389" s="98"/>
      <c r="M389" s="116"/>
      <c r="N389" s="111"/>
      <c r="O389" s="115"/>
      <c r="P389" s="108"/>
      <c r="Q389" s="98"/>
      <c r="R389" s="116"/>
      <c r="S389" s="83"/>
      <c r="T389" s="83"/>
      <c r="U389" s="83"/>
      <c r="V389" s="83"/>
      <c r="W389" s="83"/>
      <c r="X389" s="83"/>
      <c r="Y389" s="83"/>
      <c r="Z389" s="83"/>
    </row>
    <row r="390">
      <c r="A390" s="113"/>
      <c r="B390" s="117"/>
      <c r="C390" s="94"/>
      <c r="D390" s="111"/>
      <c r="E390" s="115"/>
      <c r="F390" s="108"/>
      <c r="G390" s="98"/>
      <c r="H390" s="116"/>
      <c r="I390" s="111"/>
      <c r="J390" s="115"/>
      <c r="K390" s="108"/>
      <c r="L390" s="98"/>
      <c r="M390" s="116"/>
      <c r="N390" s="111"/>
      <c r="O390" s="115"/>
      <c r="P390" s="108"/>
      <c r="Q390" s="98"/>
      <c r="R390" s="116"/>
      <c r="S390" s="83"/>
      <c r="T390" s="83"/>
      <c r="U390" s="83"/>
      <c r="V390" s="83"/>
      <c r="W390" s="83"/>
      <c r="X390" s="83"/>
      <c r="Y390" s="83"/>
      <c r="Z390" s="83"/>
    </row>
    <row r="391">
      <c r="A391" s="113"/>
      <c r="B391" s="117"/>
      <c r="C391" s="94"/>
      <c r="D391" s="111"/>
      <c r="E391" s="115"/>
      <c r="F391" s="108"/>
      <c r="G391" s="98"/>
      <c r="H391" s="116"/>
      <c r="I391" s="111"/>
      <c r="J391" s="115"/>
      <c r="K391" s="108"/>
      <c r="L391" s="98"/>
      <c r="M391" s="116"/>
      <c r="N391" s="111"/>
      <c r="O391" s="115"/>
      <c r="P391" s="108"/>
      <c r="Q391" s="98"/>
      <c r="R391" s="116"/>
      <c r="S391" s="83"/>
      <c r="T391" s="83"/>
      <c r="U391" s="83"/>
      <c r="V391" s="83"/>
      <c r="W391" s="83"/>
      <c r="X391" s="83"/>
      <c r="Y391" s="83"/>
      <c r="Z391" s="83"/>
    </row>
    <row r="392">
      <c r="A392" s="113"/>
      <c r="B392" s="117"/>
      <c r="C392" s="94"/>
      <c r="D392" s="111"/>
      <c r="E392" s="115"/>
      <c r="F392" s="108"/>
      <c r="G392" s="98"/>
      <c r="H392" s="116"/>
      <c r="I392" s="111"/>
      <c r="J392" s="115"/>
      <c r="K392" s="108"/>
      <c r="L392" s="98"/>
      <c r="M392" s="116"/>
      <c r="N392" s="111"/>
      <c r="O392" s="115"/>
      <c r="P392" s="108"/>
      <c r="Q392" s="98"/>
      <c r="R392" s="116"/>
      <c r="S392" s="83"/>
      <c r="T392" s="83"/>
      <c r="U392" s="83"/>
      <c r="V392" s="83"/>
      <c r="W392" s="83"/>
      <c r="X392" s="83"/>
      <c r="Y392" s="83"/>
      <c r="Z392" s="83"/>
    </row>
    <row r="393">
      <c r="A393" s="113"/>
      <c r="B393" s="117"/>
      <c r="C393" s="94"/>
      <c r="D393" s="111"/>
      <c r="E393" s="115"/>
      <c r="F393" s="108"/>
      <c r="G393" s="98"/>
      <c r="H393" s="116"/>
      <c r="I393" s="111"/>
      <c r="J393" s="115"/>
      <c r="K393" s="108"/>
      <c r="L393" s="98"/>
      <c r="M393" s="116"/>
      <c r="N393" s="111"/>
      <c r="O393" s="115"/>
      <c r="P393" s="108"/>
      <c r="Q393" s="98"/>
      <c r="R393" s="116"/>
      <c r="S393" s="83"/>
      <c r="T393" s="83"/>
      <c r="U393" s="83"/>
      <c r="V393" s="83"/>
      <c r="W393" s="83"/>
      <c r="X393" s="83"/>
      <c r="Y393" s="83"/>
      <c r="Z393" s="83"/>
    </row>
    <row r="394">
      <c r="A394" s="113"/>
      <c r="B394" s="117"/>
      <c r="C394" s="94"/>
      <c r="D394" s="111"/>
      <c r="E394" s="115"/>
      <c r="F394" s="108"/>
      <c r="G394" s="98"/>
      <c r="H394" s="116"/>
      <c r="I394" s="111"/>
      <c r="J394" s="115"/>
      <c r="K394" s="108"/>
      <c r="L394" s="98"/>
      <c r="M394" s="116"/>
      <c r="N394" s="111"/>
      <c r="O394" s="115"/>
      <c r="P394" s="108"/>
      <c r="Q394" s="98"/>
      <c r="R394" s="116"/>
      <c r="S394" s="83"/>
      <c r="T394" s="83"/>
      <c r="U394" s="83"/>
      <c r="V394" s="83"/>
      <c r="W394" s="83"/>
      <c r="X394" s="83"/>
      <c r="Y394" s="83"/>
      <c r="Z394" s="83"/>
    </row>
    <row r="395">
      <c r="A395" s="113"/>
      <c r="B395" s="117"/>
      <c r="C395" s="94"/>
      <c r="D395" s="111"/>
      <c r="E395" s="115"/>
      <c r="F395" s="108"/>
      <c r="G395" s="98"/>
      <c r="H395" s="116"/>
      <c r="I395" s="111"/>
      <c r="J395" s="115"/>
      <c r="K395" s="108"/>
      <c r="L395" s="98"/>
      <c r="M395" s="116"/>
      <c r="N395" s="111"/>
      <c r="O395" s="115"/>
      <c r="P395" s="108"/>
      <c r="Q395" s="98"/>
      <c r="R395" s="116"/>
      <c r="S395" s="83"/>
      <c r="T395" s="83"/>
      <c r="U395" s="83"/>
      <c r="V395" s="83"/>
      <c r="W395" s="83"/>
      <c r="X395" s="83"/>
      <c r="Y395" s="83"/>
      <c r="Z395" s="83"/>
    </row>
    <row r="396">
      <c r="A396" s="113"/>
      <c r="B396" s="117"/>
      <c r="C396" s="94"/>
      <c r="D396" s="111"/>
      <c r="E396" s="115"/>
      <c r="F396" s="108"/>
      <c r="G396" s="98"/>
      <c r="H396" s="116"/>
      <c r="I396" s="111"/>
      <c r="J396" s="115"/>
      <c r="K396" s="108"/>
      <c r="L396" s="98"/>
      <c r="M396" s="116"/>
      <c r="N396" s="111"/>
      <c r="O396" s="115"/>
      <c r="P396" s="108"/>
      <c r="Q396" s="98"/>
      <c r="R396" s="116"/>
      <c r="S396" s="83"/>
      <c r="T396" s="83"/>
      <c r="U396" s="83"/>
      <c r="V396" s="83"/>
      <c r="W396" s="83"/>
      <c r="X396" s="83"/>
      <c r="Y396" s="83"/>
      <c r="Z396" s="83"/>
    </row>
    <row r="397">
      <c r="A397" s="113"/>
      <c r="B397" s="117"/>
      <c r="C397" s="94"/>
      <c r="D397" s="111"/>
      <c r="E397" s="115"/>
      <c r="F397" s="108"/>
      <c r="G397" s="98"/>
      <c r="H397" s="116"/>
      <c r="I397" s="111"/>
      <c r="J397" s="115"/>
      <c r="K397" s="108"/>
      <c r="L397" s="98"/>
      <c r="M397" s="116"/>
      <c r="N397" s="111"/>
      <c r="O397" s="115"/>
      <c r="P397" s="108"/>
      <c r="Q397" s="98"/>
      <c r="R397" s="116"/>
      <c r="S397" s="83"/>
      <c r="T397" s="83"/>
      <c r="U397" s="83"/>
      <c r="V397" s="83"/>
      <c r="W397" s="83"/>
      <c r="X397" s="83"/>
      <c r="Y397" s="83"/>
      <c r="Z397" s="83"/>
    </row>
    <row r="398">
      <c r="A398" s="113"/>
      <c r="B398" s="117"/>
      <c r="C398" s="94"/>
      <c r="D398" s="111"/>
      <c r="E398" s="115"/>
      <c r="F398" s="108"/>
      <c r="G398" s="98"/>
      <c r="H398" s="116"/>
      <c r="I398" s="111"/>
      <c r="J398" s="115"/>
      <c r="K398" s="108"/>
      <c r="L398" s="98"/>
      <c r="M398" s="116"/>
      <c r="N398" s="111"/>
      <c r="O398" s="115"/>
      <c r="P398" s="108"/>
      <c r="Q398" s="98"/>
      <c r="R398" s="116"/>
      <c r="S398" s="83"/>
      <c r="T398" s="83"/>
      <c r="U398" s="83"/>
      <c r="V398" s="83"/>
      <c r="W398" s="83"/>
      <c r="X398" s="83"/>
      <c r="Y398" s="83"/>
      <c r="Z398" s="83"/>
    </row>
    <row r="399">
      <c r="A399" s="113"/>
      <c r="B399" s="117"/>
      <c r="C399" s="94"/>
      <c r="D399" s="111"/>
      <c r="E399" s="115"/>
      <c r="F399" s="108"/>
      <c r="G399" s="98"/>
      <c r="H399" s="116"/>
      <c r="I399" s="111"/>
      <c r="J399" s="115"/>
      <c r="K399" s="108"/>
      <c r="L399" s="98"/>
      <c r="M399" s="116"/>
      <c r="N399" s="111"/>
      <c r="O399" s="115"/>
      <c r="P399" s="108"/>
      <c r="Q399" s="98"/>
      <c r="R399" s="116"/>
      <c r="S399" s="83"/>
      <c r="T399" s="83"/>
      <c r="U399" s="83"/>
      <c r="V399" s="83"/>
      <c r="W399" s="83"/>
      <c r="X399" s="83"/>
      <c r="Y399" s="83"/>
      <c r="Z399" s="83"/>
    </row>
    <row r="400">
      <c r="A400" s="113"/>
      <c r="B400" s="117"/>
      <c r="C400" s="94"/>
      <c r="D400" s="111"/>
      <c r="E400" s="115"/>
      <c r="F400" s="108"/>
      <c r="G400" s="98"/>
      <c r="H400" s="116"/>
      <c r="I400" s="111"/>
      <c r="J400" s="115"/>
      <c r="K400" s="108"/>
      <c r="L400" s="98"/>
      <c r="M400" s="116"/>
      <c r="N400" s="111"/>
      <c r="O400" s="115"/>
      <c r="P400" s="108"/>
      <c r="Q400" s="98"/>
      <c r="R400" s="116"/>
      <c r="S400" s="83"/>
      <c r="T400" s="83"/>
      <c r="U400" s="83"/>
      <c r="V400" s="83"/>
      <c r="W400" s="83"/>
      <c r="X400" s="83"/>
      <c r="Y400" s="83"/>
      <c r="Z400" s="83"/>
    </row>
    <row r="401">
      <c r="A401" s="113"/>
      <c r="B401" s="117"/>
      <c r="C401" s="94"/>
      <c r="D401" s="111"/>
      <c r="E401" s="115"/>
      <c r="F401" s="108"/>
      <c r="G401" s="98"/>
      <c r="H401" s="116"/>
      <c r="I401" s="111"/>
      <c r="J401" s="115"/>
      <c r="K401" s="108"/>
      <c r="L401" s="98"/>
      <c r="M401" s="116"/>
      <c r="N401" s="111"/>
      <c r="O401" s="115"/>
      <c r="P401" s="108"/>
      <c r="Q401" s="98"/>
      <c r="R401" s="116"/>
      <c r="S401" s="83"/>
      <c r="T401" s="83"/>
      <c r="U401" s="83"/>
      <c r="V401" s="83"/>
      <c r="W401" s="83"/>
      <c r="X401" s="83"/>
      <c r="Y401" s="83"/>
      <c r="Z401" s="83"/>
    </row>
    <row r="402">
      <c r="A402" s="113"/>
      <c r="B402" s="117"/>
      <c r="C402" s="94"/>
      <c r="D402" s="111"/>
      <c r="E402" s="115"/>
      <c r="F402" s="108"/>
      <c r="G402" s="98"/>
      <c r="H402" s="116"/>
      <c r="I402" s="111"/>
      <c r="J402" s="115"/>
      <c r="K402" s="108"/>
      <c r="L402" s="98"/>
      <c r="M402" s="116"/>
      <c r="N402" s="111"/>
      <c r="O402" s="115"/>
      <c r="P402" s="108"/>
      <c r="Q402" s="98"/>
      <c r="R402" s="116"/>
      <c r="S402" s="83"/>
      <c r="T402" s="83"/>
      <c r="U402" s="83"/>
      <c r="V402" s="83"/>
      <c r="W402" s="83"/>
      <c r="X402" s="83"/>
      <c r="Y402" s="83"/>
      <c r="Z402" s="83"/>
    </row>
    <row r="403">
      <c r="A403" s="113"/>
      <c r="B403" s="117"/>
      <c r="C403" s="94"/>
      <c r="D403" s="111"/>
      <c r="E403" s="115"/>
      <c r="F403" s="108"/>
      <c r="G403" s="98"/>
      <c r="H403" s="116"/>
      <c r="I403" s="111"/>
      <c r="J403" s="115"/>
      <c r="K403" s="108"/>
      <c r="L403" s="98"/>
      <c r="M403" s="116"/>
      <c r="N403" s="111"/>
      <c r="O403" s="115"/>
      <c r="P403" s="108"/>
      <c r="Q403" s="98"/>
      <c r="R403" s="116"/>
      <c r="S403" s="83"/>
      <c r="T403" s="83"/>
      <c r="U403" s="83"/>
      <c r="V403" s="83"/>
      <c r="W403" s="83"/>
      <c r="X403" s="83"/>
      <c r="Y403" s="83"/>
      <c r="Z403" s="83"/>
    </row>
    <row r="404">
      <c r="A404" s="113"/>
      <c r="B404" s="117"/>
      <c r="C404" s="94"/>
      <c r="D404" s="111"/>
      <c r="E404" s="115"/>
      <c r="F404" s="108"/>
      <c r="G404" s="98"/>
      <c r="H404" s="116"/>
      <c r="I404" s="111"/>
      <c r="J404" s="115"/>
      <c r="K404" s="108"/>
      <c r="L404" s="98"/>
      <c r="M404" s="116"/>
      <c r="N404" s="111"/>
      <c r="O404" s="115"/>
      <c r="P404" s="108"/>
      <c r="Q404" s="98"/>
      <c r="R404" s="116"/>
      <c r="S404" s="83"/>
      <c r="T404" s="83"/>
      <c r="U404" s="83"/>
      <c r="V404" s="83"/>
      <c r="W404" s="83"/>
      <c r="X404" s="83"/>
      <c r="Y404" s="83"/>
      <c r="Z404" s="83"/>
    </row>
    <row r="405">
      <c r="A405" s="113"/>
      <c r="B405" s="117"/>
      <c r="C405" s="94"/>
      <c r="D405" s="111"/>
      <c r="E405" s="115"/>
      <c r="F405" s="108"/>
      <c r="G405" s="98"/>
      <c r="H405" s="116"/>
      <c r="I405" s="111"/>
      <c r="J405" s="115"/>
      <c r="K405" s="108"/>
      <c r="L405" s="98"/>
      <c r="M405" s="116"/>
      <c r="N405" s="111"/>
      <c r="O405" s="115"/>
      <c r="P405" s="108"/>
      <c r="Q405" s="98"/>
      <c r="R405" s="116"/>
      <c r="S405" s="83"/>
      <c r="T405" s="83"/>
      <c r="U405" s="83"/>
      <c r="V405" s="83"/>
      <c r="W405" s="83"/>
      <c r="X405" s="83"/>
      <c r="Y405" s="83"/>
      <c r="Z405" s="83"/>
    </row>
    <row r="406">
      <c r="A406" s="113"/>
      <c r="B406" s="117"/>
      <c r="C406" s="94"/>
      <c r="D406" s="111"/>
      <c r="E406" s="115"/>
      <c r="F406" s="108"/>
      <c r="G406" s="98"/>
      <c r="H406" s="116"/>
      <c r="I406" s="111"/>
      <c r="J406" s="115"/>
      <c r="K406" s="108"/>
      <c r="L406" s="98"/>
      <c r="M406" s="116"/>
      <c r="N406" s="111"/>
      <c r="O406" s="115"/>
      <c r="P406" s="108"/>
      <c r="Q406" s="98"/>
      <c r="R406" s="116"/>
      <c r="S406" s="83"/>
      <c r="T406" s="83"/>
      <c r="U406" s="83"/>
      <c r="V406" s="83"/>
      <c r="W406" s="83"/>
      <c r="X406" s="83"/>
      <c r="Y406" s="83"/>
      <c r="Z406" s="83"/>
    </row>
    <row r="407">
      <c r="A407" s="113"/>
      <c r="B407" s="117"/>
      <c r="C407" s="94"/>
      <c r="D407" s="111"/>
      <c r="E407" s="115"/>
      <c r="F407" s="108"/>
      <c r="G407" s="98"/>
      <c r="H407" s="116"/>
      <c r="I407" s="111"/>
      <c r="J407" s="115"/>
      <c r="K407" s="108"/>
      <c r="L407" s="98"/>
      <c r="M407" s="116"/>
      <c r="N407" s="111"/>
      <c r="O407" s="115"/>
      <c r="P407" s="108"/>
      <c r="Q407" s="98"/>
      <c r="R407" s="116"/>
      <c r="S407" s="83"/>
      <c r="T407" s="83"/>
      <c r="U407" s="83"/>
      <c r="V407" s="83"/>
      <c r="W407" s="83"/>
      <c r="X407" s="83"/>
      <c r="Y407" s="83"/>
      <c r="Z407" s="83"/>
    </row>
    <row r="408">
      <c r="A408" s="113"/>
      <c r="B408" s="117"/>
      <c r="C408" s="94"/>
      <c r="D408" s="111"/>
      <c r="E408" s="115"/>
      <c r="F408" s="108"/>
      <c r="G408" s="98"/>
      <c r="H408" s="116"/>
      <c r="I408" s="111"/>
      <c r="J408" s="115"/>
      <c r="K408" s="108"/>
      <c r="L408" s="98"/>
      <c r="M408" s="116"/>
      <c r="N408" s="111"/>
      <c r="O408" s="115"/>
      <c r="P408" s="108"/>
      <c r="Q408" s="98"/>
      <c r="R408" s="116"/>
      <c r="S408" s="83"/>
      <c r="T408" s="83"/>
      <c r="U408" s="83"/>
      <c r="V408" s="83"/>
      <c r="W408" s="83"/>
      <c r="X408" s="83"/>
      <c r="Y408" s="83"/>
      <c r="Z408" s="83"/>
    </row>
    <row r="409">
      <c r="A409" s="113"/>
      <c r="B409" s="117"/>
      <c r="C409" s="94"/>
      <c r="D409" s="111"/>
      <c r="E409" s="115"/>
      <c r="F409" s="108"/>
      <c r="G409" s="98"/>
      <c r="H409" s="116"/>
      <c r="I409" s="111"/>
      <c r="J409" s="115"/>
      <c r="K409" s="108"/>
      <c r="L409" s="98"/>
      <c r="M409" s="116"/>
      <c r="N409" s="111"/>
      <c r="O409" s="115"/>
      <c r="P409" s="108"/>
      <c r="Q409" s="98"/>
      <c r="R409" s="116"/>
      <c r="S409" s="83"/>
      <c r="T409" s="83"/>
      <c r="U409" s="83"/>
      <c r="V409" s="83"/>
      <c r="W409" s="83"/>
      <c r="X409" s="83"/>
      <c r="Y409" s="83"/>
      <c r="Z409" s="83"/>
    </row>
    <row r="410">
      <c r="A410" s="113"/>
      <c r="B410" s="117"/>
      <c r="C410" s="94"/>
      <c r="D410" s="111"/>
      <c r="E410" s="115"/>
      <c r="F410" s="108"/>
      <c r="G410" s="98"/>
      <c r="H410" s="116"/>
      <c r="I410" s="111"/>
      <c r="J410" s="115"/>
      <c r="K410" s="108"/>
      <c r="L410" s="98"/>
      <c r="M410" s="116"/>
      <c r="N410" s="111"/>
      <c r="O410" s="115"/>
      <c r="P410" s="108"/>
      <c r="Q410" s="98"/>
      <c r="R410" s="116"/>
      <c r="S410" s="83"/>
      <c r="T410" s="83"/>
      <c r="U410" s="83"/>
      <c r="V410" s="83"/>
      <c r="W410" s="83"/>
      <c r="X410" s="83"/>
      <c r="Y410" s="83"/>
      <c r="Z410" s="83"/>
    </row>
    <row r="411">
      <c r="A411" s="113"/>
      <c r="B411" s="117"/>
      <c r="C411" s="94"/>
      <c r="D411" s="111"/>
      <c r="E411" s="115"/>
      <c r="F411" s="108"/>
      <c r="G411" s="98"/>
      <c r="H411" s="116"/>
      <c r="I411" s="111"/>
      <c r="J411" s="115"/>
      <c r="K411" s="108"/>
      <c r="L411" s="98"/>
      <c r="M411" s="116"/>
      <c r="N411" s="111"/>
      <c r="O411" s="115"/>
      <c r="P411" s="108"/>
      <c r="Q411" s="98"/>
      <c r="R411" s="116"/>
      <c r="S411" s="83"/>
      <c r="T411" s="83"/>
      <c r="U411" s="83"/>
      <c r="V411" s="83"/>
      <c r="W411" s="83"/>
      <c r="X411" s="83"/>
      <c r="Y411" s="83"/>
      <c r="Z411" s="83"/>
    </row>
    <row r="412">
      <c r="A412" s="113"/>
      <c r="B412" s="117"/>
      <c r="C412" s="94"/>
      <c r="D412" s="111"/>
      <c r="E412" s="115"/>
      <c r="F412" s="108"/>
      <c r="G412" s="98"/>
      <c r="H412" s="116"/>
      <c r="I412" s="111"/>
      <c r="J412" s="115"/>
      <c r="K412" s="108"/>
      <c r="L412" s="98"/>
      <c r="M412" s="116"/>
      <c r="N412" s="111"/>
      <c r="O412" s="115"/>
      <c r="P412" s="108"/>
      <c r="Q412" s="98"/>
      <c r="R412" s="116"/>
      <c r="S412" s="83"/>
      <c r="T412" s="83"/>
      <c r="U412" s="83"/>
      <c r="V412" s="83"/>
      <c r="W412" s="83"/>
      <c r="X412" s="83"/>
      <c r="Y412" s="83"/>
      <c r="Z412" s="83"/>
    </row>
    <row r="413">
      <c r="A413" s="113"/>
      <c r="B413" s="117"/>
      <c r="C413" s="94"/>
      <c r="D413" s="111"/>
      <c r="E413" s="115"/>
      <c r="F413" s="108"/>
      <c r="G413" s="98"/>
      <c r="H413" s="116"/>
      <c r="I413" s="111"/>
      <c r="J413" s="115"/>
      <c r="K413" s="108"/>
      <c r="L413" s="98"/>
      <c r="M413" s="116"/>
      <c r="N413" s="111"/>
      <c r="O413" s="115"/>
      <c r="P413" s="108"/>
      <c r="Q413" s="98"/>
      <c r="R413" s="116"/>
      <c r="S413" s="83"/>
      <c r="T413" s="83"/>
      <c r="U413" s="83"/>
      <c r="V413" s="83"/>
      <c r="W413" s="83"/>
      <c r="X413" s="83"/>
      <c r="Y413" s="83"/>
      <c r="Z413" s="83"/>
    </row>
    <row r="414">
      <c r="A414" s="113"/>
      <c r="B414" s="117"/>
      <c r="C414" s="94"/>
      <c r="D414" s="111"/>
      <c r="E414" s="115"/>
      <c r="F414" s="108"/>
      <c r="G414" s="98"/>
      <c r="H414" s="116"/>
      <c r="I414" s="111"/>
      <c r="J414" s="115"/>
      <c r="K414" s="108"/>
      <c r="L414" s="98"/>
      <c r="M414" s="116"/>
      <c r="N414" s="111"/>
      <c r="O414" s="115"/>
      <c r="P414" s="108"/>
      <c r="Q414" s="98"/>
      <c r="R414" s="116"/>
      <c r="S414" s="83"/>
      <c r="T414" s="83"/>
      <c r="U414" s="83"/>
      <c r="V414" s="83"/>
      <c r="W414" s="83"/>
      <c r="X414" s="83"/>
      <c r="Y414" s="83"/>
      <c r="Z414" s="83"/>
    </row>
    <row r="415">
      <c r="A415" s="113"/>
      <c r="B415" s="117"/>
      <c r="C415" s="94"/>
      <c r="D415" s="111"/>
      <c r="E415" s="115"/>
      <c r="F415" s="108"/>
      <c r="G415" s="98"/>
      <c r="H415" s="116"/>
      <c r="I415" s="111"/>
      <c r="J415" s="115"/>
      <c r="K415" s="108"/>
      <c r="L415" s="98"/>
      <c r="M415" s="116"/>
      <c r="N415" s="111"/>
      <c r="O415" s="115"/>
      <c r="P415" s="108"/>
      <c r="Q415" s="98"/>
      <c r="R415" s="116"/>
      <c r="S415" s="83"/>
      <c r="T415" s="83"/>
      <c r="U415" s="83"/>
      <c r="V415" s="83"/>
      <c r="W415" s="83"/>
      <c r="X415" s="83"/>
      <c r="Y415" s="83"/>
      <c r="Z415" s="83"/>
    </row>
    <row r="416">
      <c r="A416" s="113"/>
      <c r="B416" s="117"/>
      <c r="C416" s="94"/>
      <c r="D416" s="111"/>
      <c r="E416" s="115"/>
      <c r="F416" s="108"/>
      <c r="G416" s="98"/>
      <c r="H416" s="116"/>
      <c r="I416" s="111"/>
      <c r="J416" s="115"/>
      <c r="K416" s="108"/>
      <c r="L416" s="98"/>
      <c r="M416" s="116"/>
      <c r="N416" s="111"/>
      <c r="O416" s="115"/>
      <c r="P416" s="108"/>
      <c r="Q416" s="98"/>
      <c r="R416" s="116"/>
      <c r="S416" s="83"/>
      <c r="T416" s="83"/>
      <c r="U416" s="83"/>
      <c r="V416" s="83"/>
      <c r="W416" s="83"/>
      <c r="X416" s="83"/>
      <c r="Y416" s="83"/>
      <c r="Z416" s="83"/>
    </row>
    <row r="417">
      <c r="A417" s="113"/>
      <c r="B417" s="117"/>
      <c r="C417" s="94"/>
      <c r="D417" s="111"/>
      <c r="E417" s="115"/>
      <c r="F417" s="108"/>
      <c r="G417" s="98"/>
      <c r="H417" s="116"/>
      <c r="I417" s="111"/>
      <c r="J417" s="115"/>
      <c r="K417" s="108"/>
      <c r="L417" s="98"/>
      <c r="M417" s="116"/>
      <c r="N417" s="111"/>
      <c r="O417" s="115"/>
      <c r="P417" s="108"/>
      <c r="Q417" s="98"/>
      <c r="R417" s="116"/>
      <c r="S417" s="83"/>
      <c r="T417" s="83"/>
      <c r="U417" s="83"/>
      <c r="V417" s="83"/>
      <c r="W417" s="83"/>
      <c r="X417" s="83"/>
      <c r="Y417" s="83"/>
      <c r="Z417" s="83"/>
    </row>
    <row r="418">
      <c r="A418" s="113"/>
      <c r="B418" s="117"/>
      <c r="C418" s="94"/>
      <c r="D418" s="111"/>
      <c r="E418" s="115"/>
      <c r="F418" s="108"/>
      <c r="G418" s="98"/>
      <c r="H418" s="116"/>
      <c r="I418" s="111"/>
      <c r="J418" s="115"/>
      <c r="K418" s="108"/>
      <c r="L418" s="98"/>
      <c r="M418" s="116"/>
      <c r="N418" s="111"/>
      <c r="O418" s="115"/>
      <c r="P418" s="108"/>
      <c r="Q418" s="98"/>
      <c r="R418" s="116"/>
      <c r="S418" s="83"/>
      <c r="T418" s="83"/>
      <c r="U418" s="83"/>
      <c r="V418" s="83"/>
      <c r="W418" s="83"/>
      <c r="X418" s="83"/>
      <c r="Y418" s="83"/>
      <c r="Z418" s="83"/>
    </row>
    <row r="419">
      <c r="A419" s="113"/>
      <c r="B419" s="117"/>
      <c r="C419" s="94"/>
      <c r="D419" s="111"/>
      <c r="E419" s="115"/>
      <c r="F419" s="108"/>
      <c r="G419" s="98"/>
      <c r="H419" s="116"/>
      <c r="I419" s="111"/>
      <c r="J419" s="115"/>
      <c r="K419" s="108"/>
      <c r="L419" s="98"/>
      <c r="M419" s="116"/>
      <c r="N419" s="111"/>
      <c r="O419" s="115"/>
      <c r="P419" s="108"/>
      <c r="Q419" s="98"/>
      <c r="R419" s="116"/>
      <c r="S419" s="83"/>
      <c r="T419" s="83"/>
      <c r="U419" s="83"/>
      <c r="V419" s="83"/>
      <c r="W419" s="83"/>
      <c r="X419" s="83"/>
      <c r="Y419" s="83"/>
      <c r="Z419" s="83"/>
    </row>
    <row r="420">
      <c r="A420" s="113"/>
      <c r="B420" s="117"/>
      <c r="C420" s="94"/>
      <c r="D420" s="111"/>
      <c r="E420" s="115"/>
      <c r="F420" s="108"/>
      <c r="G420" s="98"/>
      <c r="H420" s="116"/>
      <c r="I420" s="111"/>
      <c r="J420" s="115"/>
      <c r="K420" s="108"/>
      <c r="L420" s="98"/>
      <c r="M420" s="116"/>
      <c r="N420" s="111"/>
      <c r="O420" s="115"/>
      <c r="P420" s="108"/>
      <c r="Q420" s="98"/>
      <c r="R420" s="116"/>
      <c r="S420" s="83"/>
      <c r="T420" s="83"/>
      <c r="U420" s="83"/>
      <c r="V420" s="83"/>
      <c r="W420" s="83"/>
      <c r="X420" s="83"/>
      <c r="Y420" s="83"/>
      <c r="Z420" s="83"/>
    </row>
    <row r="421">
      <c r="A421" s="113"/>
      <c r="B421" s="117"/>
      <c r="C421" s="94"/>
      <c r="D421" s="111"/>
      <c r="E421" s="115"/>
      <c r="F421" s="108"/>
      <c r="G421" s="98"/>
      <c r="H421" s="116"/>
      <c r="I421" s="111"/>
      <c r="J421" s="115"/>
      <c r="K421" s="108"/>
      <c r="L421" s="98"/>
      <c r="M421" s="116"/>
      <c r="N421" s="111"/>
      <c r="O421" s="115"/>
      <c r="P421" s="108"/>
      <c r="Q421" s="98"/>
      <c r="R421" s="116"/>
      <c r="S421" s="83"/>
      <c r="T421" s="83"/>
      <c r="U421" s="83"/>
      <c r="V421" s="83"/>
      <c r="W421" s="83"/>
      <c r="X421" s="83"/>
      <c r="Y421" s="83"/>
      <c r="Z421" s="83"/>
    </row>
    <row r="422">
      <c r="A422" s="113"/>
      <c r="B422" s="117"/>
      <c r="C422" s="94"/>
      <c r="D422" s="111"/>
      <c r="E422" s="115"/>
      <c r="F422" s="108"/>
      <c r="G422" s="98"/>
      <c r="H422" s="116"/>
      <c r="I422" s="111"/>
      <c r="J422" s="115"/>
      <c r="K422" s="108"/>
      <c r="L422" s="98"/>
      <c r="M422" s="116"/>
      <c r="N422" s="111"/>
      <c r="O422" s="115"/>
      <c r="P422" s="108"/>
      <c r="Q422" s="98"/>
      <c r="R422" s="116"/>
      <c r="S422" s="83"/>
      <c r="T422" s="83"/>
      <c r="U422" s="83"/>
      <c r="V422" s="83"/>
      <c r="W422" s="83"/>
      <c r="X422" s="83"/>
      <c r="Y422" s="83"/>
      <c r="Z422" s="83"/>
    </row>
    <row r="423">
      <c r="A423" s="113"/>
      <c r="B423" s="117"/>
      <c r="C423" s="94"/>
      <c r="D423" s="111"/>
      <c r="E423" s="115"/>
      <c r="F423" s="108"/>
      <c r="G423" s="98"/>
      <c r="H423" s="116"/>
      <c r="I423" s="111"/>
      <c r="J423" s="115"/>
      <c r="K423" s="108"/>
      <c r="L423" s="98"/>
      <c r="M423" s="116"/>
      <c r="N423" s="111"/>
      <c r="O423" s="115"/>
      <c r="P423" s="108"/>
      <c r="Q423" s="98"/>
      <c r="R423" s="116"/>
      <c r="S423" s="83"/>
      <c r="T423" s="83"/>
      <c r="U423" s="83"/>
      <c r="V423" s="83"/>
      <c r="W423" s="83"/>
      <c r="X423" s="83"/>
      <c r="Y423" s="83"/>
      <c r="Z423" s="83"/>
    </row>
    <row r="424">
      <c r="A424" s="113"/>
      <c r="B424" s="117"/>
      <c r="C424" s="94"/>
      <c r="D424" s="111"/>
      <c r="E424" s="115"/>
      <c r="F424" s="108"/>
      <c r="G424" s="98"/>
      <c r="H424" s="116"/>
      <c r="I424" s="111"/>
      <c r="J424" s="115"/>
      <c r="K424" s="108"/>
      <c r="L424" s="98"/>
      <c r="M424" s="116"/>
      <c r="N424" s="111"/>
      <c r="O424" s="115"/>
      <c r="P424" s="108"/>
      <c r="Q424" s="98"/>
      <c r="R424" s="116"/>
      <c r="S424" s="83"/>
      <c r="T424" s="83"/>
      <c r="U424" s="83"/>
      <c r="V424" s="83"/>
      <c r="W424" s="83"/>
      <c r="X424" s="83"/>
      <c r="Y424" s="83"/>
      <c r="Z424" s="83"/>
    </row>
    <row r="425">
      <c r="A425" s="113"/>
      <c r="B425" s="117"/>
      <c r="C425" s="94"/>
      <c r="D425" s="111"/>
      <c r="E425" s="115"/>
      <c r="F425" s="108"/>
      <c r="G425" s="98"/>
      <c r="H425" s="116"/>
      <c r="I425" s="111"/>
      <c r="J425" s="115"/>
      <c r="K425" s="108"/>
      <c r="L425" s="98"/>
      <c r="M425" s="116"/>
      <c r="N425" s="111"/>
      <c r="O425" s="115"/>
      <c r="P425" s="108"/>
      <c r="Q425" s="98"/>
      <c r="R425" s="116"/>
      <c r="S425" s="83"/>
      <c r="T425" s="83"/>
      <c r="U425" s="83"/>
      <c r="V425" s="83"/>
      <c r="W425" s="83"/>
      <c r="X425" s="83"/>
      <c r="Y425" s="83"/>
      <c r="Z425" s="83"/>
    </row>
    <row r="426">
      <c r="A426" s="113"/>
      <c r="B426" s="117"/>
      <c r="C426" s="94"/>
      <c r="D426" s="111"/>
      <c r="E426" s="115"/>
      <c r="F426" s="108"/>
      <c r="G426" s="98"/>
      <c r="H426" s="116"/>
      <c r="I426" s="111"/>
      <c r="J426" s="115"/>
      <c r="K426" s="108"/>
      <c r="L426" s="98"/>
      <c r="M426" s="116"/>
      <c r="N426" s="111"/>
      <c r="O426" s="115"/>
      <c r="P426" s="108"/>
      <c r="Q426" s="98"/>
      <c r="R426" s="116"/>
      <c r="S426" s="83"/>
      <c r="T426" s="83"/>
      <c r="U426" s="83"/>
      <c r="V426" s="83"/>
      <c r="W426" s="83"/>
      <c r="X426" s="83"/>
      <c r="Y426" s="83"/>
      <c r="Z426" s="83"/>
    </row>
    <row r="427">
      <c r="A427" s="113"/>
      <c r="B427" s="117"/>
      <c r="C427" s="94"/>
      <c r="D427" s="111"/>
      <c r="E427" s="115"/>
      <c r="F427" s="108"/>
      <c r="G427" s="98"/>
      <c r="H427" s="116"/>
      <c r="I427" s="111"/>
      <c r="J427" s="115"/>
      <c r="K427" s="108"/>
      <c r="L427" s="98"/>
      <c r="M427" s="116"/>
      <c r="N427" s="111"/>
      <c r="O427" s="115"/>
      <c r="P427" s="108"/>
      <c r="Q427" s="98"/>
      <c r="R427" s="116"/>
      <c r="S427" s="83"/>
      <c r="T427" s="83"/>
      <c r="U427" s="83"/>
      <c r="V427" s="83"/>
      <c r="W427" s="83"/>
      <c r="X427" s="83"/>
      <c r="Y427" s="83"/>
      <c r="Z427" s="83"/>
    </row>
    <row r="428">
      <c r="A428" s="113"/>
      <c r="B428" s="117"/>
      <c r="C428" s="94"/>
      <c r="D428" s="111"/>
      <c r="E428" s="115"/>
      <c r="F428" s="108"/>
      <c r="G428" s="98"/>
      <c r="H428" s="116"/>
      <c r="I428" s="111"/>
      <c r="J428" s="115"/>
      <c r="K428" s="108"/>
      <c r="L428" s="98"/>
      <c r="M428" s="116"/>
      <c r="N428" s="111"/>
      <c r="O428" s="115"/>
      <c r="P428" s="108"/>
      <c r="Q428" s="98"/>
      <c r="R428" s="116"/>
      <c r="S428" s="83"/>
      <c r="T428" s="83"/>
      <c r="U428" s="83"/>
      <c r="V428" s="83"/>
      <c r="W428" s="83"/>
      <c r="X428" s="83"/>
      <c r="Y428" s="83"/>
      <c r="Z428" s="83"/>
    </row>
    <row r="429">
      <c r="A429" s="113"/>
      <c r="B429" s="117"/>
      <c r="C429" s="94"/>
      <c r="D429" s="111"/>
      <c r="E429" s="115"/>
      <c r="F429" s="108"/>
      <c r="G429" s="98"/>
      <c r="H429" s="116"/>
      <c r="I429" s="111"/>
      <c r="J429" s="115"/>
      <c r="K429" s="108"/>
      <c r="L429" s="98"/>
      <c r="M429" s="116"/>
      <c r="N429" s="111"/>
      <c r="O429" s="115"/>
      <c r="P429" s="108"/>
      <c r="Q429" s="98"/>
      <c r="R429" s="116"/>
      <c r="S429" s="83"/>
      <c r="T429" s="83"/>
      <c r="U429" s="83"/>
      <c r="V429" s="83"/>
      <c r="W429" s="83"/>
      <c r="X429" s="83"/>
      <c r="Y429" s="83"/>
      <c r="Z429" s="83"/>
    </row>
    <row r="430">
      <c r="A430" s="113"/>
      <c r="B430" s="117"/>
      <c r="C430" s="94"/>
      <c r="D430" s="111"/>
      <c r="E430" s="115"/>
      <c r="F430" s="108"/>
      <c r="G430" s="98"/>
      <c r="H430" s="116"/>
      <c r="I430" s="111"/>
      <c r="J430" s="115"/>
      <c r="K430" s="108"/>
      <c r="L430" s="98"/>
      <c r="M430" s="116"/>
      <c r="N430" s="111"/>
      <c r="O430" s="115"/>
      <c r="P430" s="108"/>
      <c r="Q430" s="98"/>
      <c r="R430" s="116"/>
      <c r="S430" s="83"/>
      <c r="T430" s="83"/>
      <c r="U430" s="83"/>
      <c r="V430" s="83"/>
      <c r="W430" s="83"/>
      <c r="X430" s="83"/>
      <c r="Y430" s="83"/>
      <c r="Z430" s="83"/>
    </row>
    <row r="431">
      <c r="A431" s="113"/>
      <c r="B431" s="117"/>
      <c r="C431" s="94"/>
      <c r="D431" s="111"/>
      <c r="E431" s="115"/>
      <c r="F431" s="108"/>
      <c r="G431" s="98"/>
      <c r="H431" s="116"/>
      <c r="I431" s="111"/>
      <c r="J431" s="115"/>
      <c r="K431" s="108"/>
      <c r="L431" s="98"/>
      <c r="M431" s="116"/>
      <c r="N431" s="111"/>
      <c r="O431" s="115"/>
      <c r="P431" s="108"/>
      <c r="Q431" s="98"/>
      <c r="R431" s="116"/>
      <c r="S431" s="83"/>
      <c r="T431" s="83"/>
      <c r="U431" s="83"/>
      <c r="V431" s="83"/>
      <c r="W431" s="83"/>
      <c r="X431" s="83"/>
      <c r="Y431" s="83"/>
      <c r="Z431" s="83"/>
    </row>
    <row r="432">
      <c r="A432" s="113"/>
      <c r="B432" s="117"/>
      <c r="C432" s="94"/>
      <c r="D432" s="111"/>
      <c r="E432" s="115"/>
      <c r="F432" s="108"/>
      <c r="G432" s="98"/>
      <c r="H432" s="116"/>
      <c r="I432" s="111"/>
      <c r="J432" s="115"/>
      <c r="K432" s="108"/>
      <c r="L432" s="98"/>
      <c r="M432" s="116"/>
      <c r="N432" s="111"/>
      <c r="O432" s="115"/>
      <c r="P432" s="108"/>
      <c r="Q432" s="98"/>
      <c r="R432" s="116"/>
      <c r="S432" s="83"/>
      <c r="T432" s="83"/>
      <c r="U432" s="83"/>
      <c r="V432" s="83"/>
      <c r="W432" s="83"/>
      <c r="X432" s="83"/>
      <c r="Y432" s="83"/>
      <c r="Z432" s="83"/>
    </row>
    <row r="433">
      <c r="A433" s="113"/>
      <c r="B433" s="117"/>
      <c r="C433" s="94"/>
      <c r="D433" s="111"/>
      <c r="E433" s="115"/>
      <c r="F433" s="108"/>
      <c r="G433" s="98"/>
      <c r="H433" s="116"/>
      <c r="I433" s="111"/>
      <c r="J433" s="115"/>
      <c r="K433" s="108"/>
      <c r="L433" s="98"/>
      <c r="M433" s="116"/>
      <c r="N433" s="111"/>
      <c r="O433" s="115"/>
      <c r="P433" s="108"/>
      <c r="Q433" s="98"/>
      <c r="R433" s="116"/>
      <c r="S433" s="83"/>
      <c r="T433" s="83"/>
      <c r="U433" s="83"/>
      <c r="V433" s="83"/>
      <c r="W433" s="83"/>
      <c r="X433" s="83"/>
      <c r="Y433" s="83"/>
      <c r="Z433" s="83"/>
    </row>
    <row r="434">
      <c r="A434" s="113"/>
      <c r="B434" s="117"/>
      <c r="C434" s="94"/>
      <c r="D434" s="111"/>
      <c r="E434" s="115"/>
      <c r="F434" s="108"/>
      <c r="G434" s="98"/>
      <c r="H434" s="116"/>
      <c r="I434" s="111"/>
      <c r="J434" s="115"/>
      <c r="K434" s="108"/>
      <c r="L434" s="98"/>
      <c r="M434" s="116"/>
      <c r="N434" s="111"/>
      <c r="O434" s="115"/>
      <c r="P434" s="108"/>
      <c r="Q434" s="98"/>
      <c r="R434" s="116"/>
      <c r="S434" s="83"/>
      <c r="T434" s="83"/>
      <c r="U434" s="83"/>
      <c r="V434" s="83"/>
      <c r="W434" s="83"/>
      <c r="X434" s="83"/>
      <c r="Y434" s="83"/>
      <c r="Z434" s="83"/>
    </row>
    <row r="435">
      <c r="A435" s="113"/>
      <c r="B435" s="117"/>
      <c r="C435" s="94"/>
      <c r="D435" s="111"/>
      <c r="E435" s="115"/>
      <c r="F435" s="108"/>
      <c r="G435" s="98"/>
      <c r="H435" s="116"/>
      <c r="I435" s="111"/>
      <c r="J435" s="115"/>
      <c r="K435" s="108"/>
      <c r="L435" s="98"/>
      <c r="M435" s="116"/>
      <c r="N435" s="111"/>
      <c r="O435" s="115"/>
      <c r="P435" s="108"/>
      <c r="Q435" s="98"/>
      <c r="R435" s="116"/>
      <c r="S435" s="83"/>
      <c r="T435" s="83"/>
      <c r="U435" s="83"/>
      <c r="V435" s="83"/>
      <c r="W435" s="83"/>
      <c r="X435" s="83"/>
      <c r="Y435" s="83"/>
      <c r="Z435" s="83"/>
    </row>
    <row r="436">
      <c r="A436" s="113"/>
      <c r="B436" s="117"/>
      <c r="C436" s="94"/>
      <c r="D436" s="111"/>
      <c r="E436" s="115"/>
      <c r="F436" s="108"/>
      <c r="G436" s="98"/>
      <c r="H436" s="116"/>
      <c r="I436" s="111"/>
      <c r="J436" s="115"/>
      <c r="K436" s="108"/>
      <c r="L436" s="98"/>
      <c r="M436" s="116"/>
      <c r="N436" s="111"/>
      <c r="O436" s="115"/>
      <c r="P436" s="108"/>
      <c r="Q436" s="98"/>
      <c r="R436" s="116"/>
      <c r="S436" s="83"/>
      <c r="T436" s="83"/>
      <c r="U436" s="83"/>
      <c r="V436" s="83"/>
      <c r="W436" s="83"/>
      <c r="X436" s="83"/>
      <c r="Y436" s="83"/>
      <c r="Z436" s="83"/>
    </row>
    <row r="437">
      <c r="A437" s="113"/>
      <c r="B437" s="117"/>
      <c r="C437" s="94"/>
      <c r="D437" s="111"/>
      <c r="E437" s="115"/>
      <c r="F437" s="108"/>
      <c r="G437" s="98"/>
      <c r="H437" s="116"/>
      <c r="I437" s="111"/>
      <c r="J437" s="115"/>
      <c r="K437" s="108"/>
      <c r="L437" s="98"/>
      <c r="M437" s="116"/>
      <c r="N437" s="111"/>
      <c r="O437" s="115"/>
      <c r="P437" s="108"/>
      <c r="Q437" s="98"/>
      <c r="R437" s="116"/>
      <c r="S437" s="83"/>
      <c r="T437" s="83"/>
      <c r="U437" s="83"/>
      <c r="V437" s="83"/>
      <c r="W437" s="83"/>
      <c r="X437" s="83"/>
      <c r="Y437" s="83"/>
      <c r="Z437" s="83"/>
    </row>
    <row r="438">
      <c r="A438" s="113"/>
      <c r="B438" s="117"/>
      <c r="C438" s="94"/>
      <c r="D438" s="111"/>
      <c r="E438" s="115"/>
      <c r="F438" s="108"/>
      <c r="G438" s="98"/>
      <c r="H438" s="116"/>
      <c r="I438" s="111"/>
      <c r="J438" s="115"/>
      <c r="K438" s="108"/>
      <c r="L438" s="98"/>
      <c r="M438" s="116"/>
      <c r="N438" s="111"/>
      <c r="O438" s="115"/>
      <c r="P438" s="108"/>
      <c r="Q438" s="98"/>
      <c r="R438" s="116"/>
      <c r="S438" s="83"/>
      <c r="T438" s="83"/>
      <c r="U438" s="83"/>
      <c r="V438" s="83"/>
      <c r="W438" s="83"/>
      <c r="X438" s="83"/>
      <c r="Y438" s="83"/>
      <c r="Z438" s="83"/>
    </row>
    <row r="439">
      <c r="A439" s="113"/>
      <c r="B439" s="117"/>
      <c r="C439" s="94"/>
      <c r="D439" s="111"/>
      <c r="E439" s="115"/>
      <c r="F439" s="108"/>
      <c r="G439" s="98"/>
      <c r="H439" s="116"/>
      <c r="I439" s="111"/>
      <c r="J439" s="115"/>
      <c r="K439" s="108"/>
      <c r="L439" s="98"/>
      <c r="M439" s="116"/>
      <c r="N439" s="111"/>
      <c r="O439" s="115"/>
      <c r="P439" s="108"/>
      <c r="Q439" s="98"/>
      <c r="R439" s="116"/>
      <c r="S439" s="83"/>
      <c r="T439" s="83"/>
      <c r="U439" s="83"/>
      <c r="V439" s="83"/>
      <c r="W439" s="83"/>
      <c r="X439" s="83"/>
      <c r="Y439" s="83"/>
      <c r="Z439" s="83"/>
    </row>
    <row r="440">
      <c r="A440" s="113"/>
      <c r="B440" s="117"/>
      <c r="C440" s="94"/>
      <c r="D440" s="111"/>
      <c r="E440" s="115"/>
      <c r="F440" s="108"/>
      <c r="G440" s="98"/>
      <c r="H440" s="116"/>
      <c r="I440" s="111"/>
      <c r="J440" s="115"/>
      <c r="K440" s="108"/>
      <c r="L440" s="98"/>
      <c r="M440" s="116"/>
      <c r="N440" s="111"/>
      <c r="O440" s="115"/>
      <c r="P440" s="108"/>
      <c r="Q440" s="98"/>
      <c r="R440" s="116"/>
      <c r="S440" s="83"/>
      <c r="T440" s="83"/>
      <c r="U440" s="83"/>
      <c r="V440" s="83"/>
      <c r="W440" s="83"/>
      <c r="X440" s="83"/>
      <c r="Y440" s="83"/>
      <c r="Z440" s="83"/>
    </row>
    <row r="441">
      <c r="A441" s="113"/>
      <c r="B441" s="117"/>
      <c r="C441" s="94"/>
      <c r="D441" s="111"/>
      <c r="E441" s="115"/>
      <c r="F441" s="108"/>
      <c r="G441" s="98"/>
      <c r="H441" s="116"/>
      <c r="I441" s="111"/>
      <c r="J441" s="115"/>
      <c r="K441" s="108"/>
      <c r="L441" s="98"/>
      <c r="M441" s="116"/>
      <c r="N441" s="111"/>
      <c r="O441" s="115"/>
      <c r="P441" s="108"/>
      <c r="Q441" s="98"/>
      <c r="R441" s="116"/>
      <c r="S441" s="83"/>
      <c r="T441" s="83"/>
      <c r="U441" s="83"/>
      <c r="V441" s="83"/>
      <c r="W441" s="83"/>
      <c r="X441" s="83"/>
      <c r="Y441" s="83"/>
      <c r="Z441" s="83"/>
    </row>
    <row r="442">
      <c r="A442" s="113"/>
      <c r="B442" s="117"/>
      <c r="C442" s="94"/>
      <c r="D442" s="111"/>
      <c r="E442" s="115"/>
      <c r="F442" s="108"/>
      <c r="G442" s="98"/>
      <c r="H442" s="116"/>
      <c r="I442" s="111"/>
      <c r="J442" s="115"/>
      <c r="K442" s="108"/>
      <c r="L442" s="98"/>
      <c r="M442" s="116"/>
      <c r="N442" s="111"/>
      <c r="O442" s="115"/>
      <c r="P442" s="108"/>
      <c r="Q442" s="98"/>
      <c r="R442" s="116"/>
      <c r="S442" s="83"/>
      <c r="T442" s="83"/>
      <c r="U442" s="83"/>
      <c r="V442" s="83"/>
      <c r="W442" s="83"/>
      <c r="X442" s="83"/>
      <c r="Y442" s="83"/>
      <c r="Z442" s="83"/>
    </row>
    <row r="443">
      <c r="A443" s="113"/>
      <c r="B443" s="117"/>
      <c r="C443" s="94"/>
      <c r="D443" s="111"/>
      <c r="E443" s="115"/>
      <c r="F443" s="108"/>
      <c r="G443" s="98"/>
      <c r="H443" s="116"/>
      <c r="I443" s="111"/>
      <c r="J443" s="115"/>
      <c r="K443" s="108"/>
      <c r="L443" s="98"/>
      <c r="M443" s="116"/>
      <c r="N443" s="111"/>
      <c r="O443" s="115"/>
      <c r="P443" s="108"/>
      <c r="Q443" s="98"/>
      <c r="R443" s="116"/>
      <c r="S443" s="83"/>
      <c r="T443" s="83"/>
      <c r="U443" s="83"/>
      <c r="V443" s="83"/>
      <c r="W443" s="83"/>
      <c r="X443" s="83"/>
      <c r="Y443" s="83"/>
      <c r="Z443" s="83"/>
    </row>
    <row r="444">
      <c r="A444" s="113"/>
      <c r="B444" s="117"/>
      <c r="C444" s="94"/>
      <c r="D444" s="111"/>
      <c r="E444" s="115"/>
      <c r="F444" s="108"/>
      <c r="G444" s="98"/>
      <c r="H444" s="116"/>
      <c r="I444" s="111"/>
      <c r="J444" s="115"/>
      <c r="K444" s="108"/>
      <c r="L444" s="98"/>
      <c r="M444" s="116"/>
      <c r="N444" s="111"/>
      <c r="O444" s="115"/>
      <c r="P444" s="108"/>
      <c r="Q444" s="98"/>
      <c r="R444" s="116"/>
      <c r="S444" s="83"/>
      <c r="T444" s="83"/>
      <c r="U444" s="83"/>
      <c r="V444" s="83"/>
      <c r="W444" s="83"/>
      <c r="X444" s="83"/>
      <c r="Y444" s="83"/>
      <c r="Z444" s="83"/>
    </row>
    <row r="445">
      <c r="A445" s="113"/>
      <c r="B445" s="117"/>
      <c r="C445" s="94"/>
      <c r="D445" s="111"/>
      <c r="E445" s="115"/>
      <c r="F445" s="108"/>
      <c r="G445" s="98"/>
      <c r="H445" s="116"/>
      <c r="I445" s="111"/>
      <c r="J445" s="115"/>
      <c r="K445" s="108"/>
      <c r="L445" s="98"/>
      <c r="M445" s="116"/>
      <c r="N445" s="111"/>
      <c r="O445" s="115"/>
      <c r="P445" s="108"/>
      <c r="Q445" s="98"/>
      <c r="R445" s="116"/>
      <c r="S445" s="83"/>
      <c r="T445" s="83"/>
      <c r="U445" s="83"/>
      <c r="V445" s="83"/>
      <c r="W445" s="83"/>
      <c r="X445" s="83"/>
      <c r="Y445" s="83"/>
      <c r="Z445" s="83"/>
    </row>
    <row r="446">
      <c r="A446" s="113"/>
      <c r="B446" s="117"/>
      <c r="C446" s="94"/>
      <c r="D446" s="111"/>
      <c r="E446" s="115"/>
      <c r="F446" s="108"/>
      <c r="G446" s="98"/>
      <c r="H446" s="116"/>
      <c r="I446" s="111"/>
      <c r="J446" s="115"/>
      <c r="K446" s="108"/>
      <c r="L446" s="98"/>
      <c r="M446" s="116"/>
      <c r="N446" s="111"/>
      <c r="O446" s="115"/>
      <c r="P446" s="108"/>
      <c r="Q446" s="98"/>
      <c r="R446" s="116"/>
      <c r="S446" s="83"/>
      <c r="T446" s="83"/>
      <c r="U446" s="83"/>
      <c r="V446" s="83"/>
      <c r="W446" s="83"/>
      <c r="X446" s="83"/>
      <c r="Y446" s="83"/>
      <c r="Z446" s="83"/>
    </row>
    <row r="447">
      <c r="A447" s="113"/>
      <c r="B447" s="117"/>
      <c r="C447" s="94"/>
      <c r="D447" s="111"/>
      <c r="E447" s="115"/>
      <c r="F447" s="108"/>
      <c r="G447" s="98"/>
      <c r="H447" s="116"/>
      <c r="I447" s="111"/>
      <c r="J447" s="115"/>
      <c r="K447" s="108"/>
      <c r="L447" s="98"/>
      <c r="M447" s="116"/>
      <c r="N447" s="111"/>
      <c r="O447" s="115"/>
      <c r="P447" s="108"/>
      <c r="Q447" s="98"/>
      <c r="R447" s="116"/>
      <c r="S447" s="83"/>
      <c r="T447" s="83"/>
      <c r="U447" s="83"/>
      <c r="V447" s="83"/>
      <c r="W447" s="83"/>
      <c r="X447" s="83"/>
      <c r="Y447" s="83"/>
      <c r="Z447" s="83"/>
    </row>
    <row r="448">
      <c r="A448" s="113"/>
      <c r="B448" s="117"/>
      <c r="C448" s="94"/>
      <c r="D448" s="111"/>
      <c r="E448" s="115"/>
      <c r="F448" s="108"/>
      <c r="G448" s="98"/>
      <c r="H448" s="116"/>
      <c r="I448" s="111"/>
      <c r="J448" s="115"/>
      <c r="K448" s="108"/>
      <c r="L448" s="98"/>
      <c r="M448" s="116"/>
      <c r="N448" s="111"/>
      <c r="O448" s="115"/>
      <c r="P448" s="108"/>
      <c r="Q448" s="98"/>
      <c r="R448" s="116"/>
      <c r="S448" s="83"/>
      <c r="T448" s="83"/>
      <c r="U448" s="83"/>
      <c r="V448" s="83"/>
      <c r="W448" s="83"/>
      <c r="X448" s="83"/>
      <c r="Y448" s="83"/>
      <c r="Z448" s="83"/>
    </row>
    <row r="449">
      <c r="A449" s="113"/>
      <c r="B449" s="117"/>
      <c r="C449" s="94"/>
      <c r="D449" s="111"/>
      <c r="E449" s="115"/>
      <c r="F449" s="108"/>
      <c r="G449" s="98"/>
      <c r="H449" s="116"/>
      <c r="I449" s="111"/>
      <c r="J449" s="115"/>
      <c r="K449" s="108"/>
      <c r="L449" s="98"/>
      <c r="M449" s="116"/>
      <c r="N449" s="111"/>
      <c r="O449" s="115"/>
      <c r="P449" s="108"/>
      <c r="Q449" s="98"/>
      <c r="R449" s="116"/>
      <c r="S449" s="83"/>
      <c r="T449" s="83"/>
      <c r="U449" s="83"/>
      <c r="V449" s="83"/>
      <c r="W449" s="83"/>
      <c r="X449" s="83"/>
      <c r="Y449" s="83"/>
      <c r="Z449" s="83"/>
    </row>
    <row r="450">
      <c r="A450" s="113"/>
      <c r="B450" s="117"/>
      <c r="C450" s="94"/>
      <c r="D450" s="111"/>
      <c r="E450" s="115"/>
      <c r="F450" s="108"/>
      <c r="G450" s="98"/>
      <c r="H450" s="116"/>
      <c r="I450" s="111"/>
      <c r="J450" s="115"/>
      <c r="K450" s="108"/>
      <c r="L450" s="98"/>
      <c r="M450" s="116"/>
      <c r="N450" s="111"/>
      <c r="O450" s="115"/>
      <c r="P450" s="108"/>
      <c r="Q450" s="98"/>
      <c r="R450" s="116"/>
      <c r="S450" s="83"/>
      <c r="T450" s="83"/>
      <c r="U450" s="83"/>
      <c r="V450" s="83"/>
      <c r="W450" s="83"/>
      <c r="X450" s="83"/>
      <c r="Y450" s="83"/>
      <c r="Z450" s="83"/>
    </row>
    <row r="451">
      <c r="A451" s="113"/>
      <c r="B451" s="117"/>
      <c r="C451" s="94"/>
      <c r="D451" s="111"/>
      <c r="E451" s="115"/>
      <c r="F451" s="108"/>
      <c r="G451" s="98"/>
      <c r="H451" s="116"/>
      <c r="I451" s="111"/>
      <c r="J451" s="115"/>
      <c r="K451" s="108"/>
      <c r="L451" s="98"/>
      <c r="M451" s="116"/>
      <c r="N451" s="111"/>
      <c r="O451" s="115"/>
      <c r="P451" s="108"/>
      <c r="Q451" s="98"/>
      <c r="R451" s="116"/>
      <c r="S451" s="83"/>
      <c r="T451" s="83"/>
      <c r="U451" s="83"/>
      <c r="V451" s="83"/>
      <c r="W451" s="83"/>
      <c r="X451" s="83"/>
      <c r="Y451" s="83"/>
      <c r="Z451" s="83"/>
    </row>
    <row r="452">
      <c r="A452" s="113"/>
      <c r="B452" s="117"/>
      <c r="C452" s="94"/>
      <c r="D452" s="111"/>
      <c r="E452" s="115"/>
      <c r="F452" s="108"/>
      <c r="G452" s="98"/>
      <c r="H452" s="116"/>
      <c r="I452" s="111"/>
      <c r="J452" s="115"/>
      <c r="K452" s="108"/>
      <c r="L452" s="98"/>
      <c r="M452" s="116"/>
      <c r="N452" s="111"/>
      <c r="O452" s="115"/>
      <c r="P452" s="108"/>
      <c r="Q452" s="98"/>
      <c r="R452" s="116"/>
      <c r="S452" s="83"/>
      <c r="T452" s="83"/>
      <c r="U452" s="83"/>
      <c r="V452" s="83"/>
      <c r="W452" s="83"/>
      <c r="X452" s="83"/>
      <c r="Y452" s="83"/>
      <c r="Z452" s="83"/>
    </row>
    <row r="453">
      <c r="A453" s="113"/>
      <c r="B453" s="117"/>
      <c r="C453" s="94"/>
      <c r="D453" s="111"/>
      <c r="E453" s="115"/>
      <c r="F453" s="108"/>
      <c r="G453" s="98"/>
      <c r="H453" s="116"/>
      <c r="I453" s="111"/>
      <c r="J453" s="115"/>
      <c r="K453" s="108"/>
      <c r="L453" s="98"/>
      <c r="M453" s="116"/>
      <c r="N453" s="111"/>
      <c r="O453" s="115"/>
      <c r="P453" s="108"/>
      <c r="Q453" s="98"/>
      <c r="R453" s="116"/>
      <c r="S453" s="83"/>
      <c r="T453" s="83"/>
      <c r="U453" s="83"/>
      <c r="V453" s="83"/>
      <c r="W453" s="83"/>
      <c r="X453" s="83"/>
      <c r="Y453" s="83"/>
      <c r="Z453" s="83"/>
    </row>
    <row r="454">
      <c r="A454" s="113"/>
      <c r="B454" s="117"/>
      <c r="C454" s="94"/>
      <c r="D454" s="111"/>
      <c r="E454" s="115"/>
      <c r="F454" s="108"/>
      <c r="G454" s="98"/>
      <c r="H454" s="116"/>
      <c r="I454" s="111"/>
      <c r="J454" s="115"/>
      <c r="K454" s="108"/>
      <c r="L454" s="98"/>
      <c r="M454" s="116"/>
      <c r="N454" s="111"/>
      <c r="O454" s="115"/>
      <c r="P454" s="108"/>
      <c r="Q454" s="98"/>
      <c r="R454" s="116"/>
      <c r="S454" s="83"/>
      <c r="T454" s="83"/>
      <c r="U454" s="83"/>
      <c r="V454" s="83"/>
      <c r="W454" s="83"/>
      <c r="X454" s="83"/>
      <c r="Y454" s="83"/>
      <c r="Z454" s="83"/>
    </row>
    <row r="455">
      <c r="A455" s="113"/>
      <c r="B455" s="117"/>
      <c r="C455" s="94"/>
      <c r="D455" s="111"/>
      <c r="E455" s="115"/>
      <c r="F455" s="108"/>
      <c r="G455" s="98"/>
      <c r="H455" s="116"/>
      <c r="I455" s="111"/>
      <c r="J455" s="115"/>
      <c r="K455" s="108"/>
      <c r="L455" s="98"/>
      <c r="M455" s="116"/>
      <c r="N455" s="111"/>
      <c r="O455" s="115"/>
      <c r="P455" s="108"/>
      <c r="Q455" s="98"/>
      <c r="R455" s="116"/>
      <c r="S455" s="83"/>
      <c r="T455" s="83"/>
      <c r="U455" s="83"/>
      <c r="V455" s="83"/>
      <c r="W455" s="83"/>
      <c r="X455" s="83"/>
      <c r="Y455" s="83"/>
      <c r="Z455" s="83"/>
    </row>
    <row r="456">
      <c r="A456" s="113"/>
      <c r="B456" s="117"/>
      <c r="C456" s="94"/>
      <c r="D456" s="111"/>
      <c r="E456" s="115"/>
      <c r="F456" s="108"/>
      <c r="G456" s="98"/>
      <c r="H456" s="116"/>
      <c r="I456" s="111"/>
      <c r="J456" s="115"/>
      <c r="K456" s="108"/>
      <c r="L456" s="98"/>
      <c r="M456" s="116"/>
      <c r="N456" s="111"/>
      <c r="O456" s="115"/>
      <c r="P456" s="108"/>
      <c r="Q456" s="98"/>
      <c r="R456" s="116"/>
      <c r="S456" s="83"/>
      <c r="T456" s="83"/>
      <c r="U456" s="83"/>
      <c r="V456" s="83"/>
      <c r="W456" s="83"/>
      <c r="X456" s="83"/>
      <c r="Y456" s="83"/>
      <c r="Z456" s="83"/>
    </row>
    <row r="457">
      <c r="A457" s="113"/>
      <c r="B457" s="117"/>
      <c r="C457" s="94"/>
      <c r="D457" s="111"/>
      <c r="E457" s="115"/>
      <c r="F457" s="108"/>
      <c r="G457" s="98"/>
      <c r="H457" s="116"/>
      <c r="I457" s="111"/>
      <c r="J457" s="115"/>
      <c r="K457" s="108"/>
      <c r="L457" s="98"/>
      <c r="M457" s="116"/>
      <c r="N457" s="111"/>
      <c r="O457" s="115"/>
      <c r="P457" s="108"/>
      <c r="Q457" s="98"/>
      <c r="R457" s="116"/>
      <c r="S457" s="83"/>
      <c r="T457" s="83"/>
      <c r="U457" s="83"/>
      <c r="V457" s="83"/>
      <c r="W457" s="83"/>
      <c r="X457" s="83"/>
      <c r="Y457" s="83"/>
      <c r="Z457" s="83"/>
    </row>
    <row r="458">
      <c r="A458" s="113"/>
      <c r="B458" s="117"/>
      <c r="C458" s="94"/>
      <c r="D458" s="111"/>
      <c r="E458" s="115"/>
      <c r="F458" s="108"/>
      <c r="G458" s="98"/>
      <c r="H458" s="116"/>
      <c r="I458" s="111"/>
      <c r="J458" s="115"/>
      <c r="K458" s="108"/>
      <c r="L458" s="98"/>
      <c r="M458" s="116"/>
      <c r="N458" s="111"/>
      <c r="O458" s="115"/>
      <c r="P458" s="108"/>
      <c r="Q458" s="98"/>
      <c r="R458" s="116"/>
      <c r="S458" s="83"/>
      <c r="T458" s="83"/>
      <c r="U458" s="83"/>
      <c r="V458" s="83"/>
      <c r="W458" s="83"/>
      <c r="X458" s="83"/>
      <c r="Y458" s="83"/>
      <c r="Z458" s="83"/>
    </row>
    <row r="459">
      <c r="A459" s="113"/>
      <c r="B459" s="117"/>
      <c r="C459" s="94"/>
      <c r="D459" s="111"/>
      <c r="E459" s="115"/>
      <c r="F459" s="108"/>
      <c r="G459" s="98"/>
      <c r="H459" s="116"/>
      <c r="I459" s="111"/>
      <c r="J459" s="115"/>
      <c r="K459" s="108"/>
      <c r="L459" s="98"/>
      <c r="M459" s="116"/>
      <c r="N459" s="111"/>
      <c r="O459" s="115"/>
      <c r="P459" s="108"/>
      <c r="Q459" s="98"/>
      <c r="R459" s="116"/>
      <c r="S459" s="83"/>
      <c r="T459" s="83"/>
      <c r="U459" s="83"/>
      <c r="V459" s="83"/>
      <c r="W459" s="83"/>
      <c r="X459" s="83"/>
      <c r="Y459" s="83"/>
      <c r="Z459" s="83"/>
    </row>
    <row r="460">
      <c r="A460" s="113"/>
      <c r="B460" s="117"/>
      <c r="C460" s="94"/>
      <c r="D460" s="111"/>
      <c r="E460" s="115"/>
      <c r="F460" s="108"/>
      <c r="G460" s="98"/>
      <c r="H460" s="116"/>
      <c r="I460" s="111"/>
      <c r="J460" s="115"/>
      <c r="K460" s="108"/>
      <c r="L460" s="98"/>
      <c r="M460" s="116"/>
      <c r="N460" s="111"/>
      <c r="O460" s="115"/>
      <c r="P460" s="108"/>
      <c r="Q460" s="98"/>
      <c r="R460" s="116"/>
      <c r="S460" s="83"/>
      <c r="T460" s="83"/>
      <c r="U460" s="83"/>
      <c r="V460" s="83"/>
      <c r="W460" s="83"/>
      <c r="X460" s="83"/>
      <c r="Y460" s="83"/>
      <c r="Z460" s="83"/>
    </row>
    <row r="461">
      <c r="A461" s="113"/>
      <c r="B461" s="117"/>
      <c r="C461" s="94"/>
      <c r="D461" s="111"/>
      <c r="E461" s="115"/>
      <c r="F461" s="108"/>
      <c r="G461" s="98"/>
      <c r="H461" s="116"/>
      <c r="I461" s="111"/>
      <c r="J461" s="115"/>
      <c r="K461" s="108"/>
      <c r="L461" s="98"/>
      <c r="M461" s="116"/>
      <c r="N461" s="111"/>
      <c r="O461" s="115"/>
      <c r="P461" s="108"/>
      <c r="Q461" s="98"/>
      <c r="R461" s="116"/>
      <c r="S461" s="83"/>
      <c r="T461" s="83"/>
      <c r="U461" s="83"/>
      <c r="V461" s="83"/>
      <c r="W461" s="83"/>
      <c r="X461" s="83"/>
      <c r="Y461" s="83"/>
      <c r="Z461" s="83"/>
    </row>
    <row r="462">
      <c r="A462" s="113"/>
      <c r="B462" s="117"/>
      <c r="C462" s="94"/>
      <c r="D462" s="111"/>
      <c r="E462" s="115"/>
      <c r="F462" s="108"/>
      <c r="G462" s="98"/>
      <c r="H462" s="116"/>
      <c r="I462" s="111"/>
      <c r="J462" s="115"/>
      <c r="K462" s="108"/>
      <c r="L462" s="98"/>
      <c r="M462" s="116"/>
      <c r="N462" s="111"/>
      <c r="O462" s="115"/>
      <c r="P462" s="108"/>
      <c r="Q462" s="98"/>
      <c r="R462" s="116"/>
      <c r="S462" s="83"/>
      <c r="T462" s="83"/>
      <c r="U462" s="83"/>
      <c r="V462" s="83"/>
      <c r="W462" s="83"/>
      <c r="X462" s="83"/>
      <c r="Y462" s="83"/>
      <c r="Z462" s="83"/>
    </row>
    <row r="463">
      <c r="A463" s="113"/>
      <c r="B463" s="117"/>
      <c r="C463" s="94"/>
      <c r="D463" s="111"/>
      <c r="E463" s="115"/>
      <c r="F463" s="108"/>
      <c r="G463" s="98"/>
      <c r="H463" s="116"/>
      <c r="I463" s="111"/>
      <c r="J463" s="115"/>
      <c r="K463" s="108"/>
      <c r="L463" s="98"/>
      <c r="M463" s="116"/>
      <c r="N463" s="111"/>
      <c r="O463" s="115"/>
      <c r="P463" s="108"/>
      <c r="Q463" s="98"/>
      <c r="R463" s="116"/>
      <c r="S463" s="83"/>
      <c r="T463" s="83"/>
      <c r="U463" s="83"/>
      <c r="V463" s="83"/>
      <c r="W463" s="83"/>
      <c r="X463" s="83"/>
      <c r="Y463" s="83"/>
      <c r="Z463" s="83"/>
    </row>
    <row r="464">
      <c r="A464" s="113"/>
      <c r="B464" s="117"/>
      <c r="C464" s="94"/>
      <c r="D464" s="111"/>
      <c r="E464" s="115"/>
      <c r="F464" s="108"/>
      <c r="G464" s="98"/>
      <c r="H464" s="116"/>
      <c r="I464" s="111"/>
      <c r="J464" s="115"/>
      <c r="K464" s="108"/>
      <c r="L464" s="98"/>
      <c r="M464" s="116"/>
      <c r="N464" s="111"/>
      <c r="O464" s="115"/>
      <c r="P464" s="108"/>
      <c r="Q464" s="98"/>
      <c r="R464" s="116"/>
      <c r="S464" s="83"/>
      <c r="T464" s="83"/>
      <c r="U464" s="83"/>
      <c r="V464" s="83"/>
      <c r="W464" s="83"/>
      <c r="X464" s="83"/>
      <c r="Y464" s="83"/>
      <c r="Z464" s="83"/>
    </row>
    <row r="465">
      <c r="A465" s="113"/>
      <c r="B465" s="117"/>
      <c r="C465" s="94"/>
      <c r="D465" s="111"/>
      <c r="E465" s="115"/>
      <c r="F465" s="108"/>
      <c r="G465" s="98"/>
      <c r="H465" s="116"/>
      <c r="I465" s="111"/>
      <c r="J465" s="115"/>
      <c r="K465" s="108"/>
      <c r="L465" s="98"/>
      <c r="M465" s="116"/>
      <c r="N465" s="111"/>
      <c r="O465" s="115"/>
      <c r="P465" s="108"/>
      <c r="Q465" s="98"/>
      <c r="R465" s="116"/>
      <c r="S465" s="83"/>
      <c r="T465" s="83"/>
      <c r="U465" s="83"/>
      <c r="V465" s="83"/>
      <c r="W465" s="83"/>
      <c r="X465" s="83"/>
      <c r="Y465" s="83"/>
      <c r="Z465" s="83"/>
    </row>
    <row r="466">
      <c r="A466" s="113"/>
      <c r="B466" s="117"/>
      <c r="C466" s="94"/>
      <c r="D466" s="111"/>
      <c r="E466" s="115"/>
      <c r="F466" s="108"/>
      <c r="G466" s="98"/>
      <c r="H466" s="116"/>
      <c r="I466" s="111"/>
      <c r="J466" s="115"/>
      <c r="K466" s="108"/>
      <c r="L466" s="98"/>
      <c r="M466" s="116"/>
      <c r="N466" s="111"/>
      <c r="O466" s="115"/>
      <c r="P466" s="108"/>
      <c r="Q466" s="98"/>
      <c r="R466" s="116"/>
      <c r="S466" s="83"/>
      <c r="T466" s="83"/>
      <c r="U466" s="83"/>
      <c r="V466" s="83"/>
      <c r="W466" s="83"/>
      <c r="X466" s="83"/>
      <c r="Y466" s="83"/>
      <c r="Z466" s="83"/>
    </row>
    <row r="467">
      <c r="A467" s="113"/>
      <c r="B467" s="117"/>
      <c r="C467" s="94"/>
      <c r="D467" s="111"/>
      <c r="E467" s="115"/>
      <c r="F467" s="108"/>
      <c r="G467" s="98"/>
      <c r="H467" s="116"/>
      <c r="I467" s="111"/>
      <c r="J467" s="115"/>
      <c r="K467" s="108"/>
      <c r="L467" s="98"/>
      <c r="M467" s="116"/>
      <c r="N467" s="111"/>
      <c r="O467" s="115"/>
      <c r="P467" s="108"/>
      <c r="Q467" s="98"/>
      <c r="R467" s="116"/>
      <c r="S467" s="83"/>
      <c r="T467" s="83"/>
      <c r="U467" s="83"/>
      <c r="V467" s="83"/>
      <c r="W467" s="83"/>
      <c r="X467" s="83"/>
      <c r="Y467" s="83"/>
      <c r="Z467" s="83"/>
    </row>
    <row r="468">
      <c r="A468" s="113"/>
      <c r="B468" s="117"/>
      <c r="C468" s="94"/>
      <c r="D468" s="111"/>
      <c r="E468" s="115"/>
      <c r="F468" s="108"/>
      <c r="G468" s="98"/>
      <c r="H468" s="116"/>
      <c r="I468" s="111"/>
      <c r="J468" s="115"/>
      <c r="K468" s="108"/>
      <c r="L468" s="98"/>
      <c r="M468" s="116"/>
      <c r="N468" s="111"/>
      <c r="O468" s="115"/>
      <c r="P468" s="108"/>
      <c r="Q468" s="98"/>
      <c r="R468" s="116"/>
      <c r="S468" s="83"/>
      <c r="T468" s="83"/>
      <c r="U468" s="83"/>
      <c r="V468" s="83"/>
      <c r="W468" s="83"/>
      <c r="X468" s="83"/>
      <c r="Y468" s="83"/>
      <c r="Z468" s="83"/>
    </row>
    <row r="469">
      <c r="A469" s="113"/>
      <c r="B469" s="117"/>
      <c r="C469" s="94"/>
      <c r="D469" s="111"/>
      <c r="E469" s="115"/>
      <c r="F469" s="108"/>
      <c r="G469" s="98"/>
      <c r="H469" s="116"/>
      <c r="I469" s="111"/>
      <c r="J469" s="115"/>
      <c r="K469" s="108"/>
      <c r="L469" s="98"/>
      <c r="M469" s="116"/>
      <c r="N469" s="111"/>
      <c r="O469" s="115"/>
      <c r="P469" s="108"/>
      <c r="Q469" s="98"/>
      <c r="R469" s="116"/>
      <c r="S469" s="83"/>
      <c r="T469" s="83"/>
      <c r="U469" s="83"/>
      <c r="V469" s="83"/>
      <c r="W469" s="83"/>
      <c r="X469" s="83"/>
      <c r="Y469" s="83"/>
      <c r="Z469" s="83"/>
    </row>
    <row r="470">
      <c r="A470" s="113"/>
      <c r="B470" s="117"/>
      <c r="C470" s="94"/>
      <c r="D470" s="111"/>
      <c r="E470" s="115"/>
      <c r="F470" s="108"/>
      <c r="G470" s="98"/>
      <c r="H470" s="116"/>
      <c r="I470" s="111"/>
      <c r="J470" s="115"/>
      <c r="K470" s="108"/>
      <c r="L470" s="98"/>
      <c r="M470" s="116"/>
      <c r="N470" s="111"/>
      <c r="O470" s="115"/>
      <c r="P470" s="108"/>
      <c r="Q470" s="98"/>
      <c r="R470" s="116"/>
      <c r="S470" s="83"/>
      <c r="T470" s="83"/>
      <c r="U470" s="83"/>
      <c r="V470" s="83"/>
      <c r="W470" s="83"/>
      <c r="X470" s="83"/>
      <c r="Y470" s="83"/>
      <c r="Z470" s="83"/>
    </row>
    <row r="471">
      <c r="A471" s="113"/>
      <c r="B471" s="117"/>
      <c r="C471" s="94"/>
      <c r="D471" s="111"/>
      <c r="E471" s="115"/>
      <c r="F471" s="108"/>
      <c r="G471" s="98"/>
      <c r="H471" s="116"/>
      <c r="I471" s="111"/>
      <c r="J471" s="115"/>
      <c r="K471" s="108"/>
      <c r="L471" s="98"/>
      <c r="M471" s="116"/>
      <c r="N471" s="111"/>
      <c r="O471" s="115"/>
      <c r="P471" s="108"/>
      <c r="Q471" s="98"/>
      <c r="R471" s="116"/>
      <c r="S471" s="83"/>
      <c r="T471" s="83"/>
      <c r="U471" s="83"/>
      <c r="V471" s="83"/>
      <c r="W471" s="83"/>
      <c r="X471" s="83"/>
      <c r="Y471" s="83"/>
      <c r="Z471" s="83"/>
    </row>
    <row r="472">
      <c r="A472" s="113"/>
      <c r="B472" s="117"/>
      <c r="C472" s="94"/>
      <c r="D472" s="111"/>
      <c r="E472" s="115"/>
      <c r="F472" s="108"/>
      <c r="G472" s="98"/>
      <c r="H472" s="116"/>
      <c r="I472" s="111"/>
      <c r="J472" s="115"/>
      <c r="K472" s="108"/>
      <c r="L472" s="98"/>
      <c r="M472" s="116"/>
      <c r="N472" s="111"/>
      <c r="O472" s="115"/>
      <c r="P472" s="108"/>
      <c r="Q472" s="98"/>
      <c r="R472" s="116"/>
      <c r="S472" s="83"/>
      <c r="T472" s="83"/>
      <c r="U472" s="83"/>
      <c r="V472" s="83"/>
      <c r="W472" s="83"/>
      <c r="X472" s="83"/>
      <c r="Y472" s="83"/>
      <c r="Z472" s="83"/>
    </row>
    <row r="473">
      <c r="A473" s="113"/>
      <c r="B473" s="117"/>
      <c r="C473" s="94"/>
      <c r="D473" s="111"/>
      <c r="E473" s="115"/>
      <c r="F473" s="108"/>
      <c r="G473" s="98"/>
      <c r="H473" s="116"/>
      <c r="I473" s="111"/>
      <c r="J473" s="115"/>
      <c r="K473" s="108"/>
      <c r="L473" s="98"/>
      <c r="M473" s="116"/>
      <c r="N473" s="111"/>
      <c r="O473" s="115"/>
      <c r="P473" s="108"/>
      <c r="Q473" s="98"/>
      <c r="R473" s="116"/>
      <c r="S473" s="83"/>
      <c r="T473" s="83"/>
      <c r="U473" s="83"/>
      <c r="V473" s="83"/>
      <c r="W473" s="83"/>
      <c r="X473" s="83"/>
      <c r="Y473" s="83"/>
      <c r="Z473" s="83"/>
    </row>
    <row r="474">
      <c r="A474" s="113"/>
      <c r="B474" s="117"/>
      <c r="C474" s="94"/>
      <c r="D474" s="111"/>
      <c r="E474" s="115"/>
      <c r="F474" s="108"/>
      <c r="G474" s="98"/>
      <c r="H474" s="116"/>
      <c r="I474" s="111"/>
      <c r="J474" s="115"/>
      <c r="K474" s="108"/>
      <c r="L474" s="98"/>
      <c r="M474" s="116"/>
      <c r="N474" s="111"/>
      <c r="O474" s="115"/>
      <c r="P474" s="108"/>
      <c r="Q474" s="98"/>
      <c r="R474" s="116"/>
      <c r="S474" s="83"/>
      <c r="T474" s="83"/>
      <c r="U474" s="83"/>
      <c r="V474" s="83"/>
      <c r="W474" s="83"/>
      <c r="X474" s="83"/>
      <c r="Y474" s="83"/>
      <c r="Z474" s="83"/>
    </row>
    <row r="475">
      <c r="A475" s="113"/>
      <c r="B475" s="117"/>
      <c r="C475" s="94"/>
      <c r="D475" s="111"/>
      <c r="E475" s="115"/>
      <c r="F475" s="108"/>
      <c r="G475" s="98"/>
      <c r="H475" s="116"/>
      <c r="I475" s="111"/>
      <c r="J475" s="115"/>
      <c r="K475" s="108"/>
      <c r="L475" s="98"/>
      <c r="M475" s="116"/>
      <c r="N475" s="111"/>
      <c r="O475" s="115"/>
      <c r="P475" s="108"/>
      <c r="Q475" s="98"/>
      <c r="R475" s="116"/>
      <c r="S475" s="83"/>
      <c r="T475" s="83"/>
      <c r="U475" s="83"/>
      <c r="V475" s="83"/>
      <c r="W475" s="83"/>
      <c r="X475" s="83"/>
      <c r="Y475" s="83"/>
      <c r="Z475" s="83"/>
    </row>
    <row r="476">
      <c r="A476" s="113"/>
      <c r="B476" s="117"/>
      <c r="C476" s="94"/>
      <c r="D476" s="111"/>
      <c r="E476" s="115"/>
      <c r="F476" s="108"/>
      <c r="G476" s="98"/>
      <c r="H476" s="116"/>
      <c r="I476" s="111"/>
      <c r="J476" s="115"/>
      <c r="K476" s="108"/>
      <c r="L476" s="98"/>
      <c r="M476" s="116"/>
      <c r="N476" s="111"/>
      <c r="O476" s="115"/>
      <c r="P476" s="108"/>
      <c r="Q476" s="98"/>
      <c r="R476" s="116"/>
      <c r="S476" s="83"/>
      <c r="T476" s="83"/>
      <c r="U476" s="83"/>
      <c r="V476" s="83"/>
      <c r="W476" s="83"/>
      <c r="X476" s="83"/>
      <c r="Y476" s="83"/>
      <c r="Z476" s="83"/>
    </row>
    <row r="477">
      <c r="A477" s="113"/>
      <c r="B477" s="117"/>
      <c r="C477" s="94"/>
      <c r="D477" s="111"/>
      <c r="E477" s="115"/>
      <c r="F477" s="108"/>
      <c r="G477" s="98"/>
      <c r="H477" s="116"/>
      <c r="I477" s="111"/>
      <c r="J477" s="115"/>
      <c r="K477" s="108"/>
      <c r="L477" s="98"/>
      <c r="M477" s="116"/>
      <c r="N477" s="111"/>
      <c r="O477" s="115"/>
      <c r="P477" s="108"/>
      <c r="Q477" s="98"/>
      <c r="R477" s="116"/>
      <c r="S477" s="83"/>
      <c r="T477" s="83"/>
      <c r="U477" s="83"/>
      <c r="V477" s="83"/>
      <c r="W477" s="83"/>
      <c r="X477" s="83"/>
      <c r="Y477" s="83"/>
      <c r="Z477" s="83"/>
    </row>
    <row r="478">
      <c r="A478" s="113"/>
      <c r="B478" s="117"/>
      <c r="C478" s="94"/>
      <c r="D478" s="111"/>
      <c r="E478" s="115"/>
      <c r="F478" s="108"/>
      <c r="G478" s="98"/>
      <c r="H478" s="116"/>
      <c r="I478" s="111"/>
      <c r="J478" s="115"/>
      <c r="K478" s="108"/>
      <c r="L478" s="98"/>
      <c r="M478" s="116"/>
      <c r="N478" s="111"/>
      <c r="O478" s="115"/>
      <c r="P478" s="108"/>
      <c r="Q478" s="98"/>
      <c r="R478" s="116"/>
      <c r="S478" s="83"/>
      <c r="T478" s="83"/>
      <c r="U478" s="83"/>
      <c r="V478" s="83"/>
      <c r="W478" s="83"/>
      <c r="X478" s="83"/>
      <c r="Y478" s="83"/>
      <c r="Z478" s="83"/>
    </row>
    <row r="479">
      <c r="A479" s="113"/>
      <c r="B479" s="117"/>
      <c r="C479" s="94"/>
      <c r="D479" s="111"/>
      <c r="E479" s="115"/>
      <c r="F479" s="108"/>
      <c r="G479" s="98"/>
      <c r="H479" s="116"/>
      <c r="I479" s="111"/>
      <c r="J479" s="115"/>
      <c r="K479" s="108"/>
      <c r="L479" s="98"/>
      <c r="M479" s="116"/>
      <c r="N479" s="111"/>
      <c r="O479" s="115"/>
      <c r="P479" s="108"/>
      <c r="Q479" s="98"/>
      <c r="R479" s="116"/>
      <c r="S479" s="83"/>
      <c r="T479" s="83"/>
      <c r="U479" s="83"/>
      <c r="V479" s="83"/>
      <c r="W479" s="83"/>
      <c r="X479" s="83"/>
      <c r="Y479" s="83"/>
      <c r="Z479" s="83"/>
    </row>
    <row r="480">
      <c r="A480" s="113"/>
      <c r="B480" s="117"/>
      <c r="C480" s="94"/>
      <c r="D480" s="111"/>
      <c r="E480" s="115"/>
      <c r="F480" s="108"/>
      <c r="G480" s="98"/>
      <c r="H480" s="116"/>
      <c r="I480" s="111"/>
      <c r="J480" s="115"/>
      <c r="K480" s="108"/>
      <c r="L480" s="98"/>
      <c r="M480" s="116"/>
      <c r="N480" s="111"/>
      <c r="O480" s="115"/>
      <c r="P480" s="108"/>
      <c r="Q480" s="98"/>
      <c r="R480" s="116"/>
      <c r="S480" s="83"/>
      <c r="T480" s="83"/>
      <c r="U480" s="83"/>
      <c r="V480" s="83"/>
      <c r="W480" s="83"/>
      <c r="X480" s="83"/>
      <c r="Y480" s="83"/>
      <c r="Z480" s="83"/>
    </row>
    <row r="481">
      <c r="A481" s="113"/>
      <c r="B481" s="117"/>
      <c r="C481" s="94"/>
      <c r="D481" s="111"/>
      <c r="E481" s="115"/>
      <c r="F481" s="108"/>
      <c r="G481" s="98"/>
      <c r="H481" s="116"/>
      <c r="I481" s="111"/>
      <c r="J481" s="115"/>
      <c r="K481" s="108"/>
      <c r="L481" s="98"/>
      <c r="M481" s="116"/>
      <c r="N481" s="111"/>
      <c r="O481" s="115"/>
      <c r="P481" s="108"/>
      <c r="Q481" s="98"/>
      <c r="R481" s="116"/>
      <c r="S481" s="83"/>
      <c r="T481" s="83"/>
      <c r="U481" s="83"/>
      <c r="V481" s="83"/>
      <c r="W481" s="83"/>
      <c r="X481" s="83"/>
      <c r="Y481" s="83"/>
      <c r="Z481" s="83"/>
    </row>
    <row r="482">
      <c r="A482" s="113"/>
      <c r="B482" s="117"/>
      <c r="C482" s="94"/>
      <c r="D482" s="111"/>
      <c r="E482" s="115"/>
      <c r="F482" s="108"/>
      <c r="G482" s="98"/>
      <c r="H482" s="116"/>
      <c r="I482" s="111"/>
      <c r="J482" s="115"/>
      <c r="K482" s="108"/>
      <c r="L482" s="98"/>
      <c r="M482" s="116"/>
      <c r="N482" s="111"/>
      <c r="O482" s="115"/>
      <c r="P482" s="108"/>
      <c r="Q482" s="98"/>
      <c r="R482" s="116"/>
      <c r="S482" s="83"/>
      <c r="T482" s="83"/>
      <c r="U482" s="83"/>
      <c r="V482" s="83"/>
      <c r="W482" s="83"/>
      <c r="X482" s="83"/>
      <c r="Y482" s="83"/>
      <c r="Z482" s="83"/>
    </row>
    <row r="483">
      <c r="A483" s="113"/>
      <c r="B483" s="117"/>
      <c r="C483" s="94"/>
      <c r="D483" s="111"/>
      <c r="E483" s="115"/>
      <c r="F483" s="108"/>
      <c r="G483" s="98"/>
      <c r="H483" s="116"/>
      <c r="I483" s="111"/>
      <c r="J483" s="115"/>
      <c r="K483" s="108"/>
      <c r="L483" s="98"/>
      <c r="M483" s="116"/>
      <c r="N483" s="111"/>
      <c r="O483" s="115"/>
      <c r="P483" s="108"/>
      <c r="Q483" s="98"/>
      <c r="R483" s="116"/>
      <c r="S483" s="83"/>
      <c r="T483" s="83"/>
      <c r="U483" s="83"/>
      <c r="V483" s="83"/>
      <c r="W483" s="83"/>
      <c r="X483" s="83"/>
      <c r="Y483" s="83"/>
      <c r="Z483" s="83"/>
    </row>
    <row r="484">
      <c r="A484" s="113"/>
      <c r="B484" s="117"/>
      <c r="C484" s="94"/>
      <c r="D484" s="111"/>
      <c r="E484" s="115"/>
      <c r="F484" s="108"/>
      <c r="G484" s="98"/>
      <c r="H484" s="116"/>
      <c r="I484" s="111"/>
      <c r="J484" s="115"/>
      <c r="K484" s="108"/>
      <c r="L484" s="98"/>
      <c r="M484" s="116"/>
      <c r="N484" s="111"/>
      <c r="O484" s="115"/>
      <c r="P484" s="108"/>
      <c r="Q484" s="98"/>
      <c r="R484" s="116"/>
      <c r="S484" s="83"/>
      <c r="T484" s="83"/>
      <c r="U484" s="83"/>
      <c r="V484" s="83"/>
      <c r="W484" s="83"/>
      <c r="X484" s="83"/>
      <c r="Y484" s="83"/>
      <c r="Z484" s="83"/>
    </row>
    <row r="485">
      <c r="A485" s="113"/>
      <c r="B485" s="117"/>
      <c r="C485" s="94"/>
      <c r="D485" s="111"/>
      <c r="E485" s="115"/>
      <c r="F485" s="108"/>
      <c r="G485" s="98"/>
      <c r="H485" s="116"/>
      <c r="I485" s="111"/>
      <c r="J485" s="115"/>
      <c r="K485" s="108"/>
      <c r="L485" s="98"/>
      <c r="M485" s="116"/>
      <c r="N485" s="111"/>
      <c r="O485" s="115"/>
      <c r="P485" s="108"/>
      <c r="Q485" s="98"/>
      <c r="R485" s="116"/>
      <c r="S485" s="83"/>
      <c r="T485" s="83"/>
      <c r="U485" s="83"/>
      <c r="V485" s="83"/>
      <c r="W485" s="83"/>
      <c r="X485" s="83"/>
      <c r="Y485" s="83"/>
      <c r="Z485" s="83"/>
    </row>
    <row r="486">
      <c r="A486" s="113"/>
      <c r="B486" s="117"/>
      <c r="C486" s="94"/>
      <c r="D486" s="111"/>
      <c r="E486" s="115"/>
      <c r="F486" s="108"/>
      <c r="G486" s="98"/>
      <c r="H486" s="116"/>
      <c r="I486" s="111"/>
      <c r="J486" s="115"/>
      <c r="K486" s="108"/>
      <c r="L486" s="98"/>
      <c r="M486" s="116"/>
      <c r="N486" s="111"/>
      <c r="O486" s="115"/>
      <c r="P486" s="108"/>
      <c r="Q486" s="98"/>
      <c r="R486" s="116"/>
      <c r="S486" s="83"/>
      <c r="T486" s="83"/>
      <c r="U486" s="83"/>
      <c r="V486" s="83"/>
      <c r="W486" s="83"/>
      <c r="X486" s="83"/>
      <c r="Y486" s="83"/>
      <c r="Z486" s="83"/>
    </row>
    <row r="487">
      <c r="A487" s="113"/>
      <c r="B487" s="117"/>
      <c r="C487" s="94"/>
      <c r="D487" s="111"/>
      <c r="E487" s="115"/>
      <c r="F487" s="108"/>
      <c r="G487" s="98"/>
      <c r="H487" s="116"/>
      <c r="I487" s="111"/>
      <c r="J487" s="115"/>
      <c r="K487" s="108"/>
      <c r="L487" s="98"/>
      <c r="M487" s="116"/>
      <c r="N487" s="111"/>
      <c r="O487" s="115"/>
      <c r="P487" s="108"/>
      <c r="Q487" s="98"/>
      <c r="R487" s="116"/>
      <c r="S487" s="83"/>
      <c r="T487" s="83"/>
      <c r="U487" s="83"/>
      <c r="V487" s="83"/>
      <c r="W487" s="83"/>
      <c r="X487" s="83"/>
      <c r="Y487" s="83"/>
      <c r="Z487" s="83"/>
    </row>
    <row r="488">
      <c r="A488" s="113"/>
      <c r="B488" s="117"/>
      <c r="C488" s="94"/>
      <c r="D488" s="111"/>
      <c r="E488" s="115"/>
      <c r="F488" s="108"/>
      <c r="G488" s="98"/>
      <c r="H488" s="116"/>
      <c r="I488" s="111"/>
      <c r="J488" s="115"/>
      <c r="K488" s="108"/>
      <c r="L488" s="98"/>
      <c r="M488" s="116"/>
      <c r="N488" s="111"/>
      <c r="O488" s="115"/>
      <c r="P488" s="108"/>
      <c r="Q488" s="98"/>
      <c r="R488" s="116"/>
      <c r="S488" s="83"/>
      <c r="T488" s="83"/>
      <c r="U488" s="83"/>
      <c r="V488" s="83"/>
      <c r="W488" s="83"/>
      <c r="X488" s="83"/>
      <c r="Y488" s="83"/>
      <c r="Z488" s="83"/>
    </row>
    <row r="489">
      <c r="A489" s="113"/>
      <c r="B489" s="117"/>
      <c r="C489" s="94"/>
      <c r="D489" s="111"/>
      <c r="E489" s="115"/>
      <c r="F489" s="108"/>
      <c r="G489" s="98"/>
      <c r="H489" s="116"/>
      <c r="I489" s="111"/>
      <c r="J489" s="115"/>
      <c r="K489" s="108"/>
      <c r="L489" s="98"/>
      <c r="M489" s="116"/>
      <c r="N489" s="111"/>
      <c r="O489" s="115"/>
      <c r="P489" s="108"/>
      <c r="Q489" s="98"/>
      <c r="R489" s="116"/>
      <c r="S489" s="83"/>
      <c r="T489" s="83"/>
      <c r="U489" s="83"/>
      <c r="V489" s="83"/>
      <c r="W489" s="83"/>
      <c r="X489" s="83"/>
      <c r="Y489" s="83"/>
      <c r="Z489" s="83"/>
    </row>
    <row r="490">
      <c r="A490" s="113"/>
      <c r="B490" s="117"/>
      <c r="C490" s="94"/>
      <c r="D490" s="111"/>
      <c r="E490" s="115"/>
      <c r="F490" s="108"/>
      <c r="G490" s="98"/>
      <c r="H490" s="116"/>
      <c r="I490" s="111"/>
      <c r="J490" s="115"/>
      <c r="K490" s="108"/>
      <c r="L490" s="98"/>
      <c r="M490" s="116"/>
      <c r="N490" s="111"/>
      <c r="O490" s="115"/>
      <c r="P490" s="108"/>
      <c r="Q490" s="98"/>
      <c r="R490" s="116"/>
      <c r="S490" s="83"/>
      <c r="T490" s="83"/>
      <c r="U490" s="83"/>
      <c r="V490" s="83"/>
      <c r="W490" s="83"/>
      <c r="X490" s="83"/>
      <c r="Y490" s="83"/>
      <c r="Z490" s="83"/>
    </row>
    <row r="491">
      <c r="A491" s="113"/>
      <c r="B491" s="117"/>
      <c r="C491" s="94"/>
      <c r="D491" s="111"/>
      <c r="E491" s="115"/>
      <c r="F491" s="108"/>
      <c r="G491" s="98"/>
      <c r="H491" s="116"/>
      <c r="I491" s="111"/>
      <c r="J491" s="115"/>
      <c r="K491" s="108"/>
      <c r="L491" s="98"/>
      <c r="M491" s="116"/>
      <c r="N491" s="111"/>
      <c r="O491" s="115"/>
      <c r="P491" s="108"/>
      <c r="Q491" s="98"/>
      <c r="R491" s="116"/>
      <c r="S491" s="83"/>
      <c r="T491" s="83"/>
      <c r="U491" s="83"/>
      <c r="V491" s="83"/>
      <c r="W491" s="83"/>
      <c r="X491" s="83"/>
      <c r="Y491" s="83"/>
      <c r="Z491" s="83"/>
    </row>
    <row r="492">
      <c r="A492" s="113"/>
      <c r="B492" s="117"/>
      <c r="C492" s="94"/>
      <c r="D492" s="111"/>
      <c r="E492" s="115"/>
      <c r="F492" s="108"/>
      <c r="G492" s="98"/>
      <c r="H492" s="116"/>
      <c r="I492" s="111"/>
      <c r="J492" s="115"/>
      <c r="K492" s="108"/>
      <c r="L492" s="98"/>
      <c r="M492" s="116"/>
      <c r="N492" s="111"/>
      <c r="O492" s="115"/>
      <c r="P492" s="108"/>
      <c r="Q492" s="98"/>
      <c r="R492" s="116"/>
      <c r="S492" s="83"/>
      <c r="T492" s="83"/>
      <c r="U492" s="83"/>
      <c r="V492" s="83"/>
      <c r="W492" s="83"/>
      <c r="X492" s="83"/>
      <c r="Y492" s="83"/>
      <c r="Z492" s="83"/>
    </row>
    <row r="493">
      <c r="A493" s="113"/>
      <c r="B493" s="117"/>
      <c r="C493" s="94"/>
      <c r="D493" s="111"/>
      <c r="E493" s="115"/>
      <c r="F493" s="108"/>
      <c r="G493" s="98"/>
      <c r="H493" s="116"/>
      <c r="I493" s="111"/>
      <c r="J493" s="115"/>
      <c r="K493" s="108"/>
      <c r="L493" s="98"/>
      <c r="M493" s="116"/>
      <c r="N493" s="111"/>
      <c r="O493" s="115"/>
      <c r="P493" s="108"/>
      <c r="Q493" s="98"/>
      <c r="R493" s="116"/>
      <c r="S493" s="83"/>
      <c r="T493" s="83"/>
      <c r="U493" s="83"/>
      <c r="V493" s="83"/>
      <c r="W493" s="83"/>
      <c r="X493" s="83"/>
      <c r="Y493" s="83"/>
      <c r="Z493" s="83"/>
    </row>
    <row r="494">
      <c r="A494" s="113"/>
      <c r="B494" s="117"/>
      <c r="C494" s="94"/>
      <c r="D494" s="111"/>
      <c r="E494" s="115"/>
      <c r="F494" s="108"/>
      <c r="G494" s="98"/>
      <c r="H494" s="116"/>
      <c r="I494" s="111"/>
      <c r="J494" s="115"/>
      <c r="K494" s="108"/>
      <c r="L494" s="98"/>
      <c r="M494" s="116"/>
      <c r="N494" s="111"/>
      <c r="O494" s="115"/>
      <c r="P494" s="108"/>
      <c r="Q494" s="98"/>
      <c r="R494" s="116"/>
      <c r="S494" s="83"/>
      <c r="T494" s="83"/>
      <c r="U494" s="83"/>
      <c r="V494" s="83"/>
      <c r="W494" s="83"/>
      <c r="X494" s="83"/>
      <c r="Y494" s="83"/>
      <c r="Z494" s="83"/>
    </row>
    <row r="495">
      <c r="A495" s="113"/>
      <c r="B495" s="117"/>
      <c r="C495" s="94"/>
      <c r="D495" s="111"/>
      <c r="E495" s="115"/>
      <c r="F495" s="108"/>
      <c r="G495" s="98"/>
      <c r="H495" s="116"/>
      <c r="I495" s="111"/>
      <c r="J495" s="115"/>
      <c r="K495" s="108"/>
      <c r="L495" s="98"/>
      <c r="M495" s="116"/>
      <c r="N495" s="111"/>
      <c r="O495" s="115"/>
      <c r="P495" s="108"/>
      <c r="Q495" s="98"/>
      <c r="R495" s="116"/>
      <c r="S495" s="83"/>
      <c r="T495" s="83"/>
      <c r="U495" s="83"/>
      <c r="V495" s="83"/>
      <c r="W495" s="83"/>
      <c r="X495" s="83"/>
      <c r="Y495" s="83"/>
      <c r="Z495" s="83"/>
    </row>
    <row r="496">
      <c r="A496" s="113"/>
      <c r="B496" s="117"/>
      <c r="C496" s="94"/>
      <c r="D496" s="111"/>
      <c r="E496" s="115"/>
      <c r="F496" s="108"/>
      <c r="G496" s="98"/>
      <c r="H496" s="116"/>
      <c r="I496" s="111"/>
      <c r="J496" s="115"/>
      <c r="K496" s="108"/>
      <c r="L496" s="98"/>
      <c r="M496" s="116"/>
      <c r="N496" s="111"/>
      <c r="O496" s="115"/>
      <c r="P496" s="108"/>
      <c r="Q496" s="98"/>
      <c r="R496" s="116"/>
      <c r="S496" s="83"/>
      <c r="T496" s="83"/>
      <c r="U496" s="83"/>
      <c r="V496" s="83"/>
      <c r="W496" s="83"/>
      <c r="X496" s="83"/>
      <c r="Y496" s="83"/>
      <c r="Z496" s="83"/>
    </row>
    <row r="497">
      <c r="A497" s="113"/>
      <c r="B497" s="117"/>
      <c r="C497" s="94"/>
      <c r="D497" s="111"/>
      <c r="E497" s="115"/>
      <c r="F497" s="108"/>
      <c r="G497" s="98"/>
      <c r="H497" s="116"/>
      <c r="I497" s="111"/>
      <c r="J497" s="115"/>
      <c r="K497" s="108"/>
      <c r="L497" s="98"/>
      <c r="M497" s="116"/>
      <c r="N497" s="111"/>
      <c r="O497" s="115"/>
      <c r="P497" s="108"/>
      <c r="Q497" s="98"/>
      <c r="R497" s="116"/>
      <c r="S497" s="83"/>
      <c r="T497" s="83"/>
      <c r="U497" s="83"/>
      <c r="V497" s="83"/>
      <c r="W497" s="83"/>
      <c r="X497" s="83"/>
      <c r="Y497" s="83"/>
      <c r="Z497" s="83"/>
    </row>
    <row r="498">
      <c r="A498" s="113"/>
      <c r="B498" s="117"/>
      <c r="C498" s="94"/>
      <c r="D498" s="111"/>
      <c r="E498" s="115"/>
      <c r="F498" s="108"/>
      <c r="G498" s="98"/>
      <c r="H498" s="116"/>
      <c r="I498" s="111"/>
      <c r="J498" s="115"/>
      <c r="K498" s="108"/>
      <c r="L498" s="98"/>
      <c r="M498" s="116"/>
      <c r="N498" s="111"/>
      <c r="O498" s="115"/>
      <c r="P498" s="108"/>
      <c r="Q498" s="98"/>
      <c r="R498" s="116"/>
      <c r="S498" s="83"/>
      <c r="T498" s="83"/>
      <c r="U498" s="83"/>
      <c r="V498" s="83"/>
      <c r="W498" s="83"/>
      <c r="X498" s="83"/>
      <c r="Y498" s="83"/>
      <c r="Z498" s="83"/>
    </row>
    <row r="499">
      <c r="A499" s="113"/>
      <c r="B499" s="117"/>
      <c r="C499" s="94"/>
      <c r="D499" s="111"/>
      <c r="E499" s="115"/>
      <c r="F499" s="108"/>
      <c r="G499" s="98"/>
      <c r="H499" s="116"/>
      <c r="I499" s="111"/>
      <c r="J499" s="115"/>
      <c r="K499" s="108"/>
      <c r="L499" s="98"/>
      <c r="M499" s="116"/>
      <c r="N499" s="111"/>
      <c r="O499" s="115"/>
      <c r="P499" s="108"/>
      <c r="Q499" s="98"/>
      <c r="R499" s="116"/>
      <c r="S499" s="83"/>
      <c r="T499" s="83"/>
      <c r="U499" s="83"/>
      <c r="V499" s="83"/>
      <c r="W499" s="83"/>
      <c r="X499" s="83"/>
      <c r="Y499" s="83"/>
      <c r="Z499" s="83"/>
    </row>
    <row r="500">
      <c r="A500" s="113"/>
      <c r="B500" s="117"/>
      <c r="C500" s="94"/>
      <c r="D500" s="111"/>
      <c r="E500" s="115"/>
      <c r="F500" s="108"/>
      <c r="G500" s="98"/>
      <c r="H500" s="116"/>
      <c r="I500" s="111"/>
      <c r="J500" s="115"/>
      <c r="K500" s="108"/>
      <c r="L500" s="98"/>
      <c r="M500" s="116"/>
      <c r="N500" s="111"/>
      <c r="O500" s="115"/>
      <c r="P500" s="108"/>
      <c r="Q500" s="98"/>
      <c r="R500" s="116"/>
      <c r="S500" s="83"/>
      <c r="T500" s="83"/>
      <c r="U500" s="83"/>
      <c r="V500" s="83"/>
      <c r="W500" s="83"/>
      <c r="X500" s="83"/>
      <c r="Y500" s="83"/>
      <c r="Z500" s="83"/>
    </row>
    <row r="501">
      <c r="A501" s="113"/>
      <c r="B501" s="117"/>
      <c r="C501" s="94"/>
      <c r="D501" s="111"/>
      <c r="E501" s="115"/>
      <c r="F501" s="108"/>
      <c r="G501" s="98"/>
      <c r="H501" s="116"/>
      <c r="I501" s="111"/>
      <c r="J501" s="115"/>
      <c r="K501" s="108"/>
      <c r="L501" s="98"/>
      <c r="M501" s="116"/>
      <c r="N501" s="111"/>
      <c r="O501" s="115"/>
      <c r="P501" s="108"/>
      <c r="Q501" s="98"/>
      <c r="R501" s="116"/>
      <c r="S501" s="83"/>
      <c r="T501" s="83"/>
      <c r="U501" s="83"/>
      <c r="V501" s="83"/>
      <c r="W501" s="83"/>
      <c r="X501" s="83"/>
      <c r="Y501" s="83"/>
      <c r="Z501" s="83"/>
    </row>
    <row r="502">
      <c r="A502" s="113"/>
      <c r="B502" s="117"/>
      <c r="C502" s="94"/>
      <c r="D502" s="111"/>
      <c r="E502" s="115"/>
      <c r="F502" s="108"/>
      <c r="G502" s="98"/>
      <c r="H502" s="116"/>
      <c r="I502" s="111"/>
      <c r="J502" s="115"/>
      <c r="K502" s="108"/>
      <c r="L502" s="98"/>
      <c r="M502" s="116"/>
      <c r="N502" s="111"/>
      <c r="O502" s="115"/>
      <c r="P502" s="108"/>
      <c r="Q502" s="98"/>
      <c r="R502" s="116"/>
      <c r="S502" s="83"/>
      <c r="T502" s="83"/>
      <c r="U502" s="83"/>
      <c r="V502" s="83"/>
      <c r="W502" s="83"/>
      <c r="X502" s="83"/>
      <c r="Y502" s="83"/>
      <c r="Z502" s="83"/>
    </row>
    <row r="503">
      <c r="A503" s="113"/>
      <c r="B503" s="117"/>
      <c r="C503" s="94"/>
      <c r="D503" s="111"/>
      <c r="E503" s="115"/>
      <c r="F503" s="108"/>
      <c r="G503" s="98"/>
      <c r="H503" s="116"/>
      <c r="I503" s="111"/>
      <c r="J503" s="115"/>
      <c r="K503" s="108"/>
      <c r="L503" s="98"/>
      <c r="M503" s="116"/>
      <c r="N503" s="111"/>
      <c r="O503" s="115"/>
      <c r="P503" s="108"/>
      <c r="Q503" s="98"/>
      <c r="R503" s="116"/>
      <c r="S503" s="83"/>
      <c r="T503" s="83"/>
      <c r="U503" s="83"/>
      <c r="V503" s="83"/>
      <c r="W503" s="83"/>
      <c r="X503" s="83"/>
      <c r="Y503" s="83"/>
      <c r="Z503" s="83"/>
    </row>
    <row r="504">
      <c r="A504" s="113"/>
      <c r="B504" s="117"/>
      <c r="C504" s="94"/>
      <c r="D504" s="111"/>
      <c r="E504" s="115"/>
      <c r="F504" s="108"/>
      <c r="G504" s="98"/>
      <c r="H504" s="116"/>
      <c r="I504" s="111"/>
      <c r="J504" s="115"/>
      <c r="K504" s="108"/>
      <c r="L504" s="98"/>
      <c r="M504" s="116"/>
      <c r="N504" s="111"/>
      <c r="O504" s="115"/>
      <c r="P504" s="108"/>
      <c r="Q504" s="98"/>
      <c r="R504" s="116"/>
      <c r="S504" s="83"/>
      <c r="T504" s="83"/>
      <c r="U504" s="83"/>
      <c r="V504" s="83"/>
      <c r="W504" s="83"/>
      <c r="X504" s="83"/>
      <c r="Y504" s="83"/>
      <c r="Z504" s="83"/>
    </row>
    <row r="505">
      <c r="A505" s="113"/>
      <c r="B505" s="117"/>
      <c r="C505" s="94"/>
      <c r="D505" s="111"/>
      <c r="E505" s="115"/>
      <c r="F505" s="108"/>
      <c r="G505" s="98"/>
      <c r="H505" s="116"/>
      <c r="I505" s="111"/>
      <c r="J505" s="115"/>
      <c r="K505" s="108"/>
      <c r="L505" s="98"/>
      <c r="M505" s="116"/>
      <c r="N505" s="111"/>
      <c r="O505" s="115"/>
      <c r="P505" s="108"/>
      <c r="Q505" s="98"/>
      <c r="R505" s="116"/>
      <c r="S505" s="83"/>
      <c r="T505" s="83"/>
      <c r="U505" s="83"/>
      <c r="V505" s="83"/>
      <c r="W505" s="83"/>
      <c r="X505" s="83"/>
      <c r="Y505" s="83"/>
      <c r="Z505" s="83"/>
    </row>
    <row r="506">
      <c r="A506" s="113"/>
      <c r="B506" s="117"/>
      <c r="C506" s="94"/>
      <c r="D506" s="111"/>
      <c r="E506" s="115"/>
      <c r="F506" s="108"/>
      <c r="G506" s="98"/>
      <c r="H506" s="116"/>
      <c r="I506" s="111"/>
      <c r="J506" s="115"/>
      <c r="K506" s="108"/>
      <c r="L506" s="98"/>
      <c r="M506" s="116"/>
      <c r="N506" s="111"/>
      <c r="O506" s="115"/>
      <c r="P506" s="108"/>
      <c r="Q506" s="98"/>
      <c r="R506" s="116"/>
      <c r="S506" s="83"/>
      <c r="T506" s="83"/>
      <c r="U506" s="83"/>
      <c r="V506" s="83"/>
      <c r="W506" s="83"/>
      <c r="X506" s="83"/>
      <c r="Y506" s="83"/>
      <c r="Z506" s="83"/>
    </row>
    <row r="507">
      <c r="A507" s="113"/>
      <c r="B507" s="117"/>
      <c r="C507" s="94"/>
      <c r="D507" s="111"/>
      <c r="E507" s="115"/>
      <c r="F507" s="108"/>
      <c r="G507" s="98"/>
      <c r="H507" s="116"/>
      <c r="I507" s="111"/>
      <c r="J507" s="115"/>
      <c r="K507" s="108"/>
      <c r="L507" s="98"/>
      <c r="M507" s="116"/>
      <c r="N507" s="111"/>
      <c r="O507" s="115"/>
      <c r="P507" s="108"/>
      <c r="Q507" s="98"/>
      <c r="R507" s="116"/>
      <c r="S507" s="83"/>
      <c r="T507" s="83"/>
      <c r="U507" s="83"/>
      <c r="V507" s="83"/>
      <c r="W507" s="83"/>
      <c r="X507" s="83"/>
      <c r="Y507" s="83"/>
      <c r="Z507" s="83"/>
    </row>
    <row r="508">
      <c r="A508" s="113"/>
      <c r="B508" s="117"/>
      <c r="C508" s="94"/>
      <c r="D508" s="111"/>
      <c r="E508" s="115"/>
      <c r="F508" s="108"/>
      <c r="G508" s="98"/>
      <c r="H508" s="116"/>
      <c r="I508" s="111"/>
      <c r="J508" s="115"/>
      <c r="K508" s="108"/>
      <c r="L508" s="98"/>
      <c r="M508" s="116"/>
      <c r="N508" s="111"/>
      <c r="O508" s="115"/>
      <c r="P508" s="108"/>
      <c r="Q508" s="98"/>
      <c r="R508" s="116"/>
      <c r="S508" s="83"/>
      <c r="T508" s="83"/>
      <c r="U508" s="83"/>
      <c r="V508" s="83"/>
      <c r="W508" s="83"/>
      <c r="X508" s="83"/>
      <c r="Y508" s="83"/>
      <c r="Z508" s="83"/>
    </row>
    <row r="509">
      <c r="A509" s="113"/>
      <c r="B509" s="117"/>
      <c r="C509" s="94"/>
      <c r="D509" s="111"/>
      <c r="E509" s="115"/>
      <c r="F509" s="108"/>
      <c r="G509" s="98"/>
      <c r="H509" s="116"/>
      <c r="I509" s="111"/>
      <c r="J509" s="115"/>
      <c r="K509" s="108"/>
      <c r="L509" s="98"/>
      <c r="M509" s="116"/>
      <c r="N509" s="111"/>
      <c r="O509" s="115"/>
      <c r="P509" s="108"/>
      <c r="Q509" s="98"/>
      <c r="R509" s="116"/>
      <c r="S509" s="83"/>
      <c r="T509" s="83"/>
      <c r="U509" s="83"/>
      <c r="V509" s="83"/>
      <c r="W509" s="83"/>
      <c r="X509" s="83"/>
      <c r="Y509" s="83"/>
      <c r="Z509" s="83"/>
    </row>
    <row r="510">
      <c r="A510" s="113"/>
      <c r="B510" s="117"/>
      <c r="C510" s="94"/>
      <c r="D510" s="111"/>
      <c r="E510" s="115"/>
      <c r="F510" s="108"/>
      <c r="G510" s="98"/>
      <c r="H510" s="116"/>
      <c r="I510" s="111"/>
      <c r="J510" s="115"/>
      <c r="K510" s="108"/>
      <c r="L510" s="98"/>
      <c r="M510" s="116"/>
      <c r="N510" s="111"/>
      <c r="O510" s="115"/>
      <c r="P510" s="108"/>
      <c r="Q510" s="98"/>
      <c r="R510" s="116"/>
      <c r="S510" s="83"/>
      <c r="T510" s="83"/>
      <c r="U510" s="83"/>
      <c r="V510" s="83"/>
      <c r="W510" s="83"/>
      <c r="X510" s="83"/>
      <c r="Y510" s="83"/>
      <c r="Z510" s="83"/>
    </row>
    <row r="511">
      <c r="A511" s="113"/>
      <c r="B511" s="117"/>
      <c r="C511" s="94"/>
      <c r="D511" s="111"/>
      <c r="E511" s="115"/>
      <c r="F511" s="108"/>
      <c r="G511" s="98"/>
      <c r="H511" s="116"/>
      <c r="I511" s="111"/>
      <c r="J511" s="115"/>
      <c r="K511" s="108"/>
      <c r="L511" s="98"/>
      <c r="M511" s="116"/>
      <c r="N511" s="111"/>
      <c r="O511" s="115"/>
      <c r="P511" s="108"/>
      <c r="Q511" s="98"/>
      <c r="R511" s="116"/>
      <c r="S511" s="83"/>
      <c r="T511" s="83"/>
      <c r="U511" s="83"/>
      <c r="V511" s="83"/>
      <c r="W511" s="83"/>
      <c r="X511" s="83"/>
      <c r="Y511" s="83"/>
      <c r="Z511" s="83"/>
    </row>
    <row r="512">
      <c r="A512" s="113"/>
      <c r="B512" s="117"/>
      <c r="C512" s="94"/>
      <c r="D512" s="111"/>
      <c r="E512" s="115"/>
      <c r="F512" s="108"/>
      <c r="G512" s="98"/>
      <c r="H512" s="116"/>
      <c r="I512" s="111"/>
      <c r="J512" s="115"/>
      <c r="K512" s="108"/>
      <c r="L512" s="98"/>
      <c r="M512" s="116"/>
      <c r="N512" s="111"/>
      <c r="O512" s="115"/>
      <c r="P512" s="108"/>
      <c r="Q512" s="98"/>
      <c r="R512" s="116"/>
      <c r="S512" s="83"/>
      <c r="T512" s="83"/>
      <c r="U512" s="83"/>
      <c r="V512" s="83"/>
      <c r="W512" s="83"/>
      <c r="X512" s="83"/>
      <c r="Y512" s="83"/>
      <c r="Z512" s="83"/>
    </row>
    <row r="513">
      <c r="A513" s="113"/>
      <c r="B513" s="117"/>
      <c r="C513" s="94"/>
      <c r="D513" s="111"/>
      <c r="E513" s="115"/>
      <c r="F513" s="108"/>
      <c r="G513" s="98"/>
      <c r="H513" s="116"/>
      <c r="I513" s="111"/>
      <c r="J513" s="115"/>
      <c r="K513" s="108"/>
      <c r="L513" s="98"/>
      <c r="M513" s="116"/>
      <c r="N513" s="111"/>
      <c r="O513" s="115"/>
      <c r="P513" s="108"/>
      <c r="Q513" s="98"/>
      <c r="R513" s="116"/>
      <c r="S513" s="83"/>
      <c r="T513" s="83"/>
      <c r="U513" s="83"/>
      <c r="V513" s="83"/>
      <c r="W513" s="83"/>
      <c r="X513" s="83"/>
      <c r="Y513" s="83"/>
      <c r="Z513" s="83"/>
    </row>
    <row r="514">
      <c r="A514" s="113"/>
      <c r="B514" s="117"/>
      <c r="C514" s="94"/>
      <c r="D514" s="111"/>
      <c r="E514" s="115"/>
      <c r="F514" s="108"/>
      <c r="G514" s="98"/>
      <c r="H514" s="116"/>
      <c r="I514" s="111"/>
      <c r="J514" s="115"/>
      <c r="K514" s="108"/>
      <c r="L514" s="98"/>
      <c r="M514" s="116"/>
      <c r="N514" s="111"/>
      <c r="O514" s="115"/>
      <c r="P514" s="108"/>
      <c r="Q514" s="98"/>
      <c r="R514" s="116"/>
      <c r="S514" s="83"/>
      <c r="T514" s="83"/>
      <c r="U514" s="83"/>
      <c r="V514" s="83"/>
      <c r="W514" s="83"/>
      <c r="X514" s="83"/>
      <c r="Y514" s="83"/>
      <c r="Z514" s="83"/>
    </row>
    <row r="515">
      <c r="A515" s="113"/>
      <c r="B515" s="117"/>
      <c r="C515" s="94"/>
      <c r="D515" s="111"/>
      <c r="E515" s="115"/>
      <c r="F515" s="108"/>
      <c r="G515" s="98"/>
      <c r="H515" s="116"/>
      <c r="I515" s="111"/>
      <c r="J515" s="115"/>
      <c r="K515" s="108"/>
      <c r="L515" s="98"/>
      <c r="M515" s="116"/>
      <c r="N515" s="111"/>
      <c r="O515" s="115"/>
      <c r="P515" s="108"/>
      <c r="Q515" s="98"/>
      <c r="R515" s="116"/>
      <c r="S515" s="83"/>
      <c r="T515" s="83"/>
      <c r="U515" s="83"/>
      <c r="V515" s="83"/>
      <c r="W515" s="83"/>
      <c r="X515" s="83"/>
      <c r="Y515" s="83"/>
      <c r="Z515" s="83"/>
    </row>
    <row r="516">
      <c r="A516" s="113"/>
      <c r="B516" s="117"/>
      <c r="C516" s="94"/>
      <c r="D516" s="111"/>
      <c r="E516" s="115"/>
      <c r="F516" s="108"/>
      <c r="G516" s="98"/>
      <c r="H516" s="116"/>
      <c r="I516" s="111"/>
      <c r="J516" s="115"/>
      <c r="K516" s="108"/>
      <c r="L516" s="98"/>
      <c r="M516" s="116"/>
      <c r="N516" s="111"/>
      <c r="O516" s="115"/>
      <c r="P516" s="108"/>
      <c r="Q516" s="98"/>
      <c r="R516" s="116"/>
      <c r="S516" s="83"/>
      <c r="T516" s="83"/>
      <c r="U516" s="83"/>
      <c r="V516" s="83"/>
      <c r="W516" s="83"/>
      <c r="X516" s="83"/>
      <c r="Y516" s="83"/>
      <c r="Z516" s="83"/>
    </row>
    <row r="517">
      <c r="A517" s="113"/>
      <c r="B517" s="117"/>
      <c r="C517" s="94"/>
      <c r="D517" s="111"/>
      <c r="E517" s="115"/>
      <c r="F517" s="108"/>
      <c r="G517" s="98"/>
      <c r="H517" s="116"/>
      <c r="I517" s="111"/>
      <c r="J517" s="115"/>
      <c r="K517" s="108"/>
      <c r="L517" s="98"/>
      <c r="M517" s="116"/>
      <c r="N517" s="111"/>
      <c r="O517" s="115"/>
      <c r="P517" s="108"/>
      <c r="Q517" s="98"/>
      <c r="R517" s="116"/>
      <c r="S517" s="83"/>
      <c r="T517" s="83"/>
      <c r="U517" s="83"/>
      <c r="V517" s="83"/>
      <c r="W517" s="83"/>
      <c r="X517" s="83"/>
      <c r="Y517" s="83"/>
      <c r="Z517" s="83"/>
    </row>
    <row r="518">
      <c r="A518" s="113"/>
      <c r="B518" s="117"/>
      <c r="C518" s="94"/>
      <c r="D518" s="111"/>
      <c r="E518" s="115"/>
      <c r="F518" s="108"/>
      <c r="G518" s="98"/>
      <c r="H518" s="116"/>
      <c r="I518" s="111"/>
      <c r="J518" s="115"/>
      <c r="K518" s="108"/>
      <c r="L518" s="98"/>
      <c r="M518" s="116"/>
      <c r="N518" s="111"/>
      <c r="O518" s="115"/>
      <c r="P518" s="108"/>
      <c r="Q518" s="98"/>
      <c r="R518" s="116"/>
      <c r="S518" s="83"/>
      <c r="T518" s="83"/>
      <c r="U518" s="83"/>
      <c r="V518" s="83"/>
      <c r="W518" s="83"/>
      <c r="X518" s="83"/>
      <c r="Y518" s="83"/>
      <c r="Z518" s="83"/>
    </row>
    <row r="519">
      <c r="A519" s="113"/>
      <c r="B519" s="117"/>
      <c r="C519" s="94"/>
      <c r="D519" s="111"/>
      <c r="E519" s="115"/>
      <c r="F519" s="108"/>
      <c r="G519" s="98"/>
      <c r="H519" s="116"/>
      <c r="I519" s="111"/>
      <c r="J519" s="115"/>
      <c r="K519" s="108"/>
      <c r="L519" s="98"/>
      <c r="M519" s="116"/>
      <c r="N519" s="111"/>
      <c r="O519" s="115"/>
      <c r="P519" s="108"/>
      <c r="Q519" s="98"/>
      <c r="R519" s="116"/>
      <c r="S519" s="83"/>
      <c r="T519" s="83"/>
      <c r="U519" s="83"/>
      <c r="V519" s="83"/>
      <c r="W519" s="83"/>
      <c r="X519" s="83"/>
      <c r="Y519" s="83"/>
      <c r="Z519" s="83"/>
    </row>
    <row r="520">
      <c r="A520" s="113"/>
      <c r="B520" s="117"/>
      <c r="C520" s="94"/>
      <c r="D520" s="111"/>
      <c r="E520" s="115"/>
      <c r="F520" s="108"/>
      <c r="G520" s="98"/>
      <c r="H520" s="116"/>
      <c r="I520" s="111"/>
      <c r="J520" s="115"/>
      <c r="K520" s="108"/>
      <c r="L520" s="98"/>
      <c r="M520" s="116"/>
      <c r="N520" s="111"/>
      <c r="O520" s="115"/>
      <c r="P520" s="108"/>
      <c r="Q520" s="98"/>
      <c r="R520" s="116"/>
      <c r="S520" s="83"/>
      <c r="T520" s="83"/>
      <c r="U520" s="83"/>
      <c r="V520" s="83"/>
      <c r="W520" s="83"/>
      <c r="X520" s="83"/>
      <c r="Y520" s="83"/>
      <c r="Z520" s="83"/>
    </row>
    <row r="521">
      <c r="A521" s="113"/>
      <c r="B521" s="117"/>
      <c r="C521" s="94"/>
      <c r="D521" s="111"/>
      <c r="E521" s="115"/>
      <c r="F521" s="108"/>
      <c r="G521" s="98"/>
      <c r="H521" s="116"/>
      <c r="I521" s="111"/>
      <c r="J521" s="115"/>
      <c r="K521" s="108"/>
      <c r="L521" s="98"/>
      <c r="M521" s="116"/>
      <c r="N521" s="111"/>
      <c r="O521" s="115"/>
      <c r="P521" s="108"/>
      <c r="Q521" s="98"/>
      <c r="R521" s="116"/>
      <c r="S521" s="83"/>
      <c r="T521" s="83"/>
      <c r="U521" s="83"/>
      <c r="V521" s="83"/>
      <c r="W521" s="83"/>
      <c r="X521" s="83"/>
      <c r="Y521" s="83"/>
      <c r="Z521" s="83"/>
    </row>
    <row r="522">
      <c r="A522" s="113"/>
      <c r="B522" s="117"/>
      <c r="C522" s="94"/>
      <c r="D522" s="111"/>
      <c r="E522" s="115"/>
      <c r="F522" s="108"/>
      <c r="G522" s="98"/>
      <c r="H522" s="116"/>
      <c r="I522" s="111"/>
      <c r="J522" s="115"/>
      <c r="K522" s="108"/>
      <c r="L522" s="98"/>
      <c r="M522" s="116"/>
      <c r="N522" s="111"/>
      <c r="O522" s="115"/>
      <c r="P522" s="108"/>
      <c r="Q522" s="98"/>
      <c r="R522" s="116"/>
      <c r="S522" s="83"/>
      <c r="T522" s="83"/>
      <c r="U522" s="83"/>
      <c r="V522" s="83"/>
      <c r="W522" s="83"/>
      <c r="X522" s="83"/>
      <c r="Y522" s="83"/>
      <c r="Z522" s="83"/>
    </row>
    <row r="523">
      <c r="A523" s="113"/>
      <c r="B523" s="117"/>
      <c r="C523" s="94"/>
      <c r="D523" s="111"/>
      <c r="E523" s="115"/>
      <c r="F523" s="108"/>
      <c r="G523" s="98"/>
      <c r="H523" s="116"/>
      <c r="I523" s="111"/>
      <c r="J523" s="115"/>
      <c r="K523" s="108"/>
      <c r="L523" s="98"/>
      <c r="M523" s="116"/>
      <c r="N523" s="111"/>
      <c r="O523" s="115"/>
      <c r="P523" s="108"/>
      <c r="Q523" s="98"/>
      <c r="R523" s="116"/>
      <c r="S523" s="83"/>
      <c r="T523" s="83"/>
      <c r="U523" s="83"/>
      <c r="V523" s="83"/>
      <c r="W523" s="83"/>
      <c r="X523" s="83"/>
      <c r="Y523" s="83"/>
      <c r="Z523" s="83"/>
    </row>
    <row r="524">
      <c r="A524" s="113"/>
      <c r="B524" s="117"/>
      <c r="C524" s="94"/>
      <c r="D524" s="111"/>
      <c r="E524" s="115"/>
      <c r="F524" s="108"/>
      <c r="G524" s="98"/>
      <c r="H524" s="116"/>
      <c r="I524" s="111"/>
      <c r="J524" s="115"/>
      <c r="K524" s="108"/>
      <c r="L524" s="98"/>
      <c r="M524" s="116"/>
      <c r="N524" s="111"/>
      <c r="O524" s="115"/>
      <c r="P524" s="108"/>
      <c r="Q524" s="98"/>
      <c r="R524" s="116"/>
      <c r="S524" s="83"/>
      <c r="T524" s="83"/>
      <c r="U524" s="83"/>
      <c r="V524" s="83"/>
      <c r="W524" s="83"/>
      <c r="X524" s="83"/>
      <c r="Y524" s="83"/>
      <c r="Z524" s="83"/>
    </row>
    <row r="525">
      <c r="A525" s="113"/>
      <c r="B525" s="117"/>
      <c r="C525" s="94"/>
      <c r="D525" s="111"/>
      <c r="E525" s="115"/>
      <c r="F525" s="108"/>
      <c r="G525" s="98"/>
      <c r="H525" s="116"/>
      <c r="I525" s="111"/>
      <c r="J525" s="115"/>
      <c r="K525" s="108"/>
      <c r="L525" s="98"/>
      <c r="M525" s="116"/>
      <c r="N525" s="111"/>
      <c r="O525" s="115"/>
      <c r="P525" s="108"/>
      <c r="Q525" s="98"/>
      <c r="R525" s="116"/>
      <c r="S525" s="83"/>
      <c r="T525" s="83"/>
      <c r="U525" s="83"/>
      <c r="V525" s="83"/>
      <c r="W525" s="83"/>
      <c r="X525" s="83"/>
      <c r="Y525" s="83"/>
      <c r="Z525" s="83"/>
    </row>
    <row r="526">
      <c r="A526" s="113"/>
      <c r="B526" s="117"/>
      <c r="C526" s="94"/>
      <c r="D526" s="111"/>
      <c r="E526" s="115"/>
      <c r="F526" s="108"/>
      <c r="G526" s="98"/>
      <c r="H526" s="116"/>
      <c r="I526" s="111"/>
      <c r="J526" s="115"/>
      <c r="K526" s="108"/>
      <c r="L526" s="98"/>
      <c r="M526" s="116"/>
      <c r="N526" s="111"/>
      <c r="O526" s="115"/>
      <c r="P526" s="108"/>
      <c r="Q526" s="98"/>
      <c r="R526" s="116"/>
      <c r="S526" s="83"/>
      <c r="T526" s="83"/>
      <c r="U526" s="83"/>
      <c r="V526" s="83"/>
      <c r="W526" s="83"/>
      <c r="X526" s="83"/>
      <c r="Y526" s="83"/>
      <c r="Z526" s="83"/>
    </row>
    <row r="527">
      <c r="A527" s="113"/>
      <c r="B527" s="117"/>
      <c r="C527" s="94"/>
      <c r="D527" s="111"/>
      <c r="E527" s="115"/>
      <c r="F527" s="108"/>
      <c r="G527" s="98"/>
      <c r="H527" s="116"/>
      <c r="I527" s="111"/>
      <c r="J527" s="115"/>
      <c r="K527" s="108"/>
      <c r="L527" s="98"/>
      <c r="M527" s="116"/>
      <c r="N527" s="111"/>
      <c r="O527" s="115"/>
      <c r="P527" s="108"/>
      <c r="Q527" s="98"/>
      <c r="R527" s="116"/>
      <c r="S527" s="83"/>
      <c r="T527" s="83"/>
      <c r="U527" s="83"/>
      <c r="V527" s="83"/>
      <c r="W527" s="83"/>
      <c r="X527" s="83"/>
      <c r="Y527" s="83"/>
      <c r="Z527" s="83"/>
    </row>
    <row r="528">
      <c r="A528" s="113"/>
      <c r="B528" s="117"/>
      <c r="C528" s="94"/>
      <c r="D528" s="111"/>
      <c r="E528" s="115"/>
      <c r="F528" s="108"/>
      <c r="G528" s="98"/>
      <c r="H528" s="116"/>
      <c r="I528" s="111"/>
      <c r="J528" s="115"/>
      <c r="K528" s="108"/>
      <c r="L528" s="98"/>
      <c r="M528" s="116"/>
      <c r="N528" s="111"/>
      <c r="O528" s="115"/>
      <c r="P528" s="108"/>
      <c r="Q528" s="98"/>
      <c r="R528" s="116"/>
      <c r="S528" s="83"/>
      <c r="T528" s="83"/>
      <c r="U528" s="83"/>
      <c r="V528" s="83"/>
      <c r="W528" s="83"/>
      <c r="X528" s="83"/>
      <c r="Y528" s="83"/>
      <c r="Z528" s="83"/>
    </row>
    <row r="529">
      <c r="A529" s="113"/>
      <c r="B529" s="117"/>
      <c r="C529" s="94"/>
      <c r="D529" s="111"/>
      <c r="E529" s="115"/>
      <c r="F529" s="108"/>
      <c r="G529" s="98"/>
      <c r="H529" s="116"/>
      <c r="I529" s="111"/>
      <c r="J529" s="115"/>
      <c r="K529" s="108"/>
      <c r="L529" s="98"/>
      <c r="M529" s="116"/>
      <c r="N529" s="111"/>
      <c r="O529" s="115"/>
      <c r="P529" s="108"/>
      <c r="Q529" s="98"/>
      <c r="R529" s="116"/>
      <c r="S529" s="83"/>
      <c r="T529" s="83"/>
      <c r="U529" s="83"/>
      <c r="V529" s="83"/>
      <c r="W529" s="83"/>
      <c r="X529" s="83"/>
      <c r="Y529" s="83"/>
      <c r="Z529" s="83"/>
    </row>
    <row r="530">
      <c r="A530" s="113"/>
      <c r="B530" s="117"/>
      <c r="C530" s="94"/>
      <c r="D530" s="111"/>
      <c r="E530" s="115"/>
      <c r="F530" s="108"/>
      <c r="G530" s="98"/>
      <c r="H530" s="116"/>
      <c r="I530" s="111"/>
      <c r="J530" s="115"/>
      <c r="K530" s="108"/>
      <c r="L530" s="98"/>
      <c r="M530" s="116"/>
      <c r="N530" s="111"/>
      <c r="O530" s="115"/>
      <c r="P530" s="108"/>
      <c r="Q530" s="98"/>
      <c r="R530" s="116"/>
      <c r="S530" s="83"/>
      <c r="T530" s="83"/>
      <c r="U530" s="83"/>
      <c r="V530" s="83"/>
      <c r="W530" s="83"/>
      <c r="X530" s="83"/>
      <c r="Y530" s="83"/>
      <c r="Z530" s="83"/>
    </row>
    <row r="531">
      <c r="A531" s="113"/>
      <c r="B531" s="117"/>
      <c r="C531" s="94"/>
      <c r="D531" s="111"/>
      <c r="E531" s="115"/>
      <c r="F531" s="108"/>
      <c r="G531" s="98"/>
      <c r="H531" s="116"/>
      <c r="I531" s="111"/>
      <c r="J531" s="115"/>
      <c r="K531" s="108"/>
      <c r="L531" s="98"/>
      <c r="M531" s="116"/>
      <c r="N531" s="111"/>
      <c r="O531" s="115"/>
      <c r="P531" s="108"/>
      <c r="Q531" s="98"/>
      <c r="R531" s="116"/>
      <c r="S531" s="83"/>
      <c r="T531" s="83"/>
      <c r="U531" s="83"/>
      <c r="V531" s="83"/>
      <c r="W531" s="83"/>
      <c r="X531" s="83"/>
      <c r="Y531" s="83"/>
      <c r="Z531" s="83"/>
    </row>
    <row r="532">
      <c r="A532" s="113"/>
      <c r="B532" s="117"/>
      <c r="C532" s="94"/>
      <c r="D532" s="111"/>
      <c r="E532" s="115"/>
      <c r="F532" s="108"/>
      <c r="G532" s="98"/>
      <c r="H532" s="116"/>
      <c r="I532" s="111"/>
      <c r="J532" s="115"/>
      <c r="K532" s="108"/>
      <c r="L532" s="98"/>
      <c r="M532" s="116"/>
      <c r="N532" s="111"/>
      <c r="O532" s="115"/>
      <c r="P532" s="108"/>
      <c r="Q532" s="98"/>
      <c r="R532" s="116"/>
      <c r="S532" s="83"/>
      <c r="T532" s="83"/>
      <c r="U532" s="83"/>
      <c r="V532" s="83"/>
      <c r="W532" s="83"/>
      <c r="X532" s="83"/>
      <c r="Y532" s="83"/>
      <c r="Z532" s="83"/>
    </row>
    <row r="533">
      <c r="A533" s="113"/>
      <c r="B533" s="117"/>
      <c r="C533" s="94"/>
      <c r="D533" s="111"/>
      <c r="E533" s="115"/>
      <c r="F533" s="108"/>
      <c r="G533" s="98"/>
      <c r="H533" s="116"/>
      <c r="I533" s="111"/>
      <c r="J533" s="115"/>
      <c r="K533" s="108"/>
      <c r="L533" s="98"/>
      <c r="M533" s="116"/>
      <c r="N533" s="111"/>
      <c r="O533" s="115"/>
      <c r="P533" s="108"/>
      <c r="Q533" s="98"/>
      <c r="R533" s="116"/>
      <c r="S533" s="83"/>
      <c r="T533" s="83"/>
      <c r="U533" s="83"/>
      <c r="V533" s="83"/>
      <c r="W533" s="83"/>
      <c r="X533" s="83"/>
      <c r="Y533" s="83"/>
      <c r="Z533" s="83"/>
    </row>
    <row r="534">
      <c r="A534" s="113"/>
      <c r="B534" s="117"/>
      <c r="C534" s="94"/>
      <c r="D534" s="111"/>
      <c r="E534" s="115"/>
      <c r="F534" s="108"/>
      <c r="G534" s="98"/>
      <c r="H534" s="116"/>
      <c r="I534" s="111"/>
      <c r="J534" s="115"/>
      <c r="K534" s="108"/>
      <c r="L534" s="98"/>
      <c r="M534" s="116"/>
      <c r="N534" s="111"/>
      <c r="O534" s="115"/>
      <c r="P534" s="108"/>
      <c r="Q534" s="98"/>
      <c r="R534" s="116"/>
      <c r="S534" s="83"/>
      <c r="T534" s="83"/>
      <c r="U534" s="83"/>
      <c r="V534" s="83"/>
      <c r="W534" s="83"/>
      <c r="X534" s="83"/>
      <c r="Y534" s="83"/>
      <c r="Z534" s="83"/>
    </row>
    <row r="535">
      <c r="A535" s="113"/>
      <c r="B535" s="117"/>
      <c r="C535" s="94"/>
      <c r="D535" s="111"/>
      <c r="E535" s="115"/>
      <c r="F535" s="108"/>
      <c r="G535" s="98"/>
      <c r="H535" s="116"/>
      <c r="I535" s="111"/>
      <c r="J535" s="115"/>
      <c r="K535" s="108"/>
      <c r="L535" s="98"/>
      <c r="M535" s="116"/>
      <c r="N535" s="111"/>
      <c r="O535" s="115"/>
      <c r="P535" s="108"/>
      <c r="Q535" s="98"/>
      <c r="R535" s="116"/>
      <c r="S535" s="83"/>
      <c r="T535" s="83"/>
      <c r="U535" s="83"/>
      <c r="V535" s="83"/>
      <c r="W535" s="83"/>
      <c r="X535" s="83"/>
      <c r="Y535" s="83"/>
      <c r="Z535" s="83"/>
    </row>
    <row r="536">
      <c r="A536" s="113"/>
      <c r="B536" s="117"/>
      <c r="C536" s="94"/>
      <c r="D536" s="111"/>
      <c r="E536" s="115"/>
      <c r="F536" s="108"/>
      <c r="G536" s="98"/>
      <c r="H536" s="116"/>
      <c r="I536" s="111"/>
      <c r="J536" s="115"/>
      <c r="K536" s="108"/>
      <c r="L536" s="98"/>
      <c r="M536" s="116"/>
      <c r="N536" s="111"/>
      <c r="O536" s="115"/>
      <c r="P536" s="108"/>
      <c r="Q536" s="98"/>
      <c r="R536" s="116"/>
      <c r="S536" s="83"/>
      <c r="T536" s="83"/>
      <c r="U536" s="83"/>
      <c r="V536" s="83"/>
      <c r="W536" s="83"/>
      <c r="X536" s="83"/>
      <c r="Y536" s="83"/>
      <c r="Z536" s="83"/>
    </row>
    <row r="537">
      <c r="A537" s="113"/>
      <c r="B537" s="117"/>
      <c r="C537" s="94"/>
      <c r="D537" s="111"/>
      <c r="E537" s="115"/>
      <c r="F537" s="108"/>
      <c r="G537" s="98"/>
      <c r="H537" s="116"/>
      <c r="I537" s="111"/>
      <c r="J537" s="115"/>
      <c r="K537" s="108"/>
      <c r="L537" s="98"/>
      <c r="M537" s="116"/>
      <c r="N537" s="111"/>
      <c r="O537" s="115"/>
      <c r="P537" s="108"/>
      <c r="Q537" s="98"/>
      <c r="R537" s="116"/>
      <c r="S537" s="83"/>
      <c r="T537" s="83"/>
      <c r="U537" s="83"/>
      <c r="V537" s="83"/>
      <c r="W537" s="83"/>
      <c r="X537" s="83"/>
      <c r="Y537" s="83"/>
      <c r="Z537" s="83"/>
    </row>
    <row r="538">
      <c r="A538" s="113"/>
      <c r="B538" s="117"/>
      <c r="C538" s="94"/>
      <c r="D538" s="111"/>
      <c r="E538" s="115"/>
      <c r="F538" s="108"/>
      <c r="G538" s="98"/>
      <c r="H538" s="116"/>
      <c r="I538" s="111"/>
      <c r="J538" s="115"/>
      <c r="K538" s="108"/>
      <c r="L538" s="98"/>
      <c r="M538" s="116"/>
      <c r="N538" s="111"/>
      <c r="O538" s="115"/>
      <c r="P538" s="108"/>
      <c r="Q538" s="98"/>
      <c r="R538" s="116"/>
      <c r="S538" s="83"/>
      <c r="T538" s="83"/>
      <c r="U538" s="83"/>
      <c r="V538" s="83"/>
      <c r="W538" s="83"/>
      <c r="X538" s="83"/>
      <c r="Y538" s="83"/>
      <c r="Z538" s="83"/>
    </row>
    <row r="539">
      <c r="A539" s="113"/>
      <c r="B539" s="117"/>
      <c r="C539" s="94"/>
      <c r="D539" s="111"/>
      <c r="E539" s="115"/>
      <c r="F539" s="108"/>
      <c r="G539" s="98"/>
      <c r="H539" s="116"/>
      <c r="I539" s="111"/>
      <c r="J539" s="115"/>
      <c r="K539" s="108"/>
      <c r="L539" s="98"/>
      <c r="M539" s="116"/>
      <c r="N539" s="111"/>
      <c r="O539" s="115"/>
      <c r="P539" s="108"/>
      <c r="Q539" s="98"/>
      <c r="R539" s="116"/>
      <c r="S539" s="83"/>
      <c r="T539" s="83"/>
      <c r="U539" s="83"/>
      <c r="V539" s="83"/>
      <c r="W539" s="83"/>
      <c r="X539" s="83"/>
      <c r="Y539" s="83"/>
      <c r="Z539" s="83"/>
    </row>
    <row r="540">
      <c r="A540" s="113"/>
      <c r="B540" s="117"/>
      <c r="C540" s="94"/>
      <c r="D540" s="111"/>
      <c r="E540" s="115"/>
      <c r="F540" s="108"/>
      <c r="G540" s="98"/>
      <c r="H540" s="116"/>
      <c r="I540" s="111"/>
      <c r="J540" s="115"/>
      <c r="K540" s="108"/>
      <c r="L540" s="98"/>
      <c r="M540" s="116"/>
      <c r="N540" s="111"/>
      <c r="O540" s="115"/>
      <c r="P540" s="108"/>
      <c r="Q540" s="98"/>
      <c r="R540" s="116"/>
      <c r="S540" s="83"/>
      <c r="T540" s="83"/>
      <c r="U540" s="83"/>
      <c r="V540" s="83"/>
      <c r="W540" s="83"/>
      <c r="X540" s="83"/>
      <c r="Y540" s="83"/>
      <c r="Z540" s="83"/>
    </row>
    <row r="541">
      <c r="A541" s="113"/>
      <c r="B541" s="117"/>
      <c r="C541" s="94"/>
      <c r="D541" s="111"/>
      <c r="E541" s="115"/>
      <c r="F541" s="108"/>
      <c r="G541" s="98"/>
      <c r="H541" s="116"/>
      <c r="I541" s="111"/>
      <c r="J541" s="115"/>
      <c r="K541" s="108"/>
      <c r="L541" s="98"/>
      <c r="M541" s="116"/>
      <c r="N541" s="111"/>
      <c r="O541" s="115"/>
      <c r="P541" s="108"/>
      <c r="Q541" s="98"/>
      <c r="R541" s="116"/>
      <c r="S541" s="83"/>
      <c r="T541" s="83"/>
      <c r="U541" s="83"/>
      <c r="V541" s="83"/>
      <c r="W541" s="83"/>
      <c r="X541" s="83"/>
      <c r="Y541" s="83"/>
      <c r="Z541" s="83"/>
    </row>
    <row r="542">
      <c r="A542" s="113"/>
      <c r="B542" s="117"/>
      <c r="C542" s="94"/>
      <c r="D542" s="111"/>
      <c r="E542" s="115"/>
      <c r="F542" s="108"/>
      <c r="G542" s="98"/>
      <c r="H542" s="116"/>
      <c r="I542" s="111"/>
      <c r="J542" s="115"/>
      <c r="K542" s="108"/>
      <c r="L542" s="98"/>
      <c r="M542" s="116"/>
      <c r="N542" s="111"/>
      <c r="O542" s="115"/>
      <c r="P542" s="108"/>
      <c r="Q542" s="98"/>
      <c r="R542" s="116"/>
      <c r="S542" s="83"/>
      <c r="T542" s="83"/>
      <c r="U542" s="83"/>
      <c r="V542" s="83"/>
      <c r="W542" s="83"/>
      <c r="X542" s="83"/>
      <c r="Y542" s="83"/>
      <c r="Z542" s="83"/>
    </row>
    <row r="543">
      <c r="A543" s="113"/>
      <c r="B543" s="117"/>
      <c r="C543" s="94"/>
      <c r="D543" s="111"/>
      <c r="E543" s="115"/>
      <c r="F543" s="108"/>
      <c r="G543" s="98"/>
      <c r="H543" s="116"/>
      <c r="I543" s="111"/>
      <c r="J543" s="115"/>
      <c r="K543" s="108"/>
      <c r="L543" s="98"/>
      <c r="M543" s="116"/>
      <c r="N543" s="111"/>
      <c r="O543" s="115"/>
      <c r="P543" s="108"/>
      <c r="Q543" s="98"/>
      <c r="R543" s="116"/>
      <c r="S543" s="83"/>
      <c r="T543" s="83"/>
      <c r="U543" s="83"/>
      <c r="V543" s="83"/>
      <c r="W543" s="83"/>
      <c r="X543" s="83"/>
      <c r="Y543" s="83"/>
      <c r="Z543" s="83"/>
    </row>
    <row r="544">
      <c r="A544" s="113"/>
      <c r="B544" s="117"/>
      <c r="C544" s="94"/>
      <c r="D544" s="111"/>
      <c r="E544" s="115"/>
      <c r="F544" s="108"/>
      <c r="G544" s="98"/>
      <c r="H544" s="116"/>
      <c r="I544" s="111"/>
      <c r="J544" s="115"/>
      <c r="K544" s="108"/>
      <c r="L544" s="98"/>
      <c r="M544" s="116"/>
      <c r="N544" s="111"/>
      <c r="O544" s="115"/>
      <c r="P544" s="108"/>
      <c r="Q544" s="98"/>
      <c r="R544" s="116"/>
      <c r="S544" s="83"/>
      <c r="T544" s="83"/>
      <c r="U544" s="83"/>
      <c r="V544" s="83"/>
      <c r="W544" s="83"/>
      <c r="X544" s="83"/>
      <c r="Y544" s="83"/>
      <c r="Z544" s="83"/>
    </row>
    <row r="545">
      <c r="A545" s="113"/>
      <c r="B545" s="117"/>
      <c r="C545" s="94"/>
      <c r="D545" s="111"/>
      <c r="E545" s="115"/>
      <c r="F545" s="108"/>
      <c r="G545" s="98"/>
      <c r="H545" s="116"/>
      <c r="I545" s="111"/>
      <c r="J545" s="115"/>
      <c r="K545" s="108"/>
      <c r="L545" s="98"/>
      <c r="M545" s="116"/>
      <c r="N545" s="111"/>
      <c r="O545" s="115"/>
      <c r="P545" s="108"/>
      <c r="Q545" s="98"/>
      <c r="R545" s="116"/>
      <c r="S545" s="83"/>
      <c r="T545" s="83"/>
      <c r="U545" s="83"/>
      <c r="V545" s="83"/>
      <c r="W545" s="83"/>
      <c r="X545" s="83"/>
      <c r="Y545" s="83"/>
      <c r="Z545" s="83"/>
    </row>
    <row r="546">
      <c r="A546" s="113"/>
      <c r="B546" s="117"/>
      <c r="C546" s="94"/>
      <c r="D546" s="111"/>
      <c r="E546" s="115"/>
      <c r="F546" s="108"/>
      <c r="G546" s="98"/>
      <c r="H546" s="116"/>
      <c r="I546" s="111"/>
      <c r="J546" s="115"/>
      <c r="K546" s="108"/>
      <c r="L546" s="98"/>
      <c r="M546" s="116"/>
      <c r="N546" s="111"/>
      <c r="O546" s="115"/>
      <c r="P546" s="108"/>
      <c r="Q546" s="98"/>
      <c r="R546" s="116"/>
      <c r="S546" s="83"/>
      <c r="T546" s="83"/>
      <c r="U546" s="83"/>
      <c r="V546" s="83"/>
      <c r="W546" s="83"/>
      <c r="X546" s="83"/>
      <c r="Y546" s="83"/>
      <c r="Z546" s="83"/>
    </row>
    <row r="547">
      <c r="A547" s="113"/>
      <c r="B547" s="117"/>
      <c r="C547" s="94"/>
      <c r="D547" s="111"/>
      <c r="E547" s="115"/>
      <c r="F547" s="108"/>
      <c r="G547" s="98"/>
      <c r="H547" s="116"/>
      <c r="I547" s="111"/>
      <c r="J547" s="115"/>
      <c r="K547" s="108"/>
      <c r="L547" s="98"/>
      <c r="M547" s="116"/>
      <c r="N547" s="111"/>
      <c r="O547" s="115"/>
      <c r="P547" s="108"/>
      <c r="Q547" s="98"/>
      <c r="R547" s="116"/>
      <c r="S547" s="83"/>
      <c r="T547" s="83"/>
      <c r="U547" s="83"/>
      <c r="V547" s="83"/>
      <c r="W547" s="83"/>
      <c r="X547" s="83"/>
      <c r="Y547" s="83"/>
      <c r="Z547" s="83"/>
    </row>
    <row r="548">
      <c r="A548" s="113"/>
      <c r="B548" s="117"/>
      <c r="C548" s="94"/>
      <c r="D548" s="111"/>
      <c r="E548" s="115"/>
      <c r="F548" s="108"/>
      <c r="G548" s="98"/>
      <c r="H548" s="116"/>
      <c r="I548" s="111"/>
      <c r="J548" s="115"/>
      <c r="K548" s="108"/>
      <c r="L548" s="98"/>
      <c r="M548" s="116"/>
      <c r="N548" s="111"/>
      <c r="O548" s="115"/>
      <c r="P548" s="108"/>
      <c r="Q548" s="98"/>
      <c r="R548" s="116"/>
      <c r="S548" s="83"/>
      <c r="T548" s="83"/>
      <c r="U548" s="83"/>
      <c r="V548" s="83"/>
      <c r="W548" s="83"/>
      <c r="X548" s="83"/>
      <c r="Y548" s="83"/>
      <c r="Z548" s="83"/>
    </row>
    <row r="549">
      <c r="A549" s="113"/>
      <c r="B549" s="117"/>
      <c r="C549" s="94"/>
      <c r="D549" s="111"/>
      <c r="E549" s="115"/>
      <c r="F549" s="108"/>
      <c r="G549" s="98"/>
      <c r="H549" s="116"/>
      <c r="I549" s="111"/>
      <c r="J549" s="115"/>
      <c r="K549" s="108"/>
      <c r="L549" s="98"/>
      <c r="M549" s="116"/>
      <c r="N549" s="111"/>
      <c r="O549" s="115"/>
      <c r="P549" s="108"/>
      <c r="Q549" s="98"/>
      <c r="R549" s="116"/>
      <c r="S549" s="83"/>
      <c r="T549" s="83"/>
      <c r="U549" s="83"/>
      <c r="V549" s="83"/>
      <c r="W549" s="83"/>
      <c r="X549" s="83"/>
      <c r="Y549" s="83"/>
      <c r="Z549" s="83"/>
    </row>
    <row r="550">
      <c r="A550" s="113"/>
      <c r="B550" s="117"/>
      <c r="C550" s="94"/>
      <c r="D550" s="111"/>
      <c r="E550" s="115"/>
      <c r="F550" s="108"/>
      <c r="G550" s="98"/>
      <c r="H550" s="116"/>
      <c r="I550" s="111"/>
      <c r="J550" s="115"/>
      <c r="K550" s="108"/>
      <c r="L550" s="98"/>
      <c r="M550" s="116"/>
      <c r="N550" s="111"/>
      <c r="O550" s="115"/>
      <c r="P550" s="108"/>
      <c r="Q550" s="98"/>
      <c r="R550" s="116"/>
      <c r="S550" s="83"/>
      <c r="T550" s="83"/>
      <c r="U550" s="83"/>
      <c r="V550" s="83"/>
      <c r="W550" s="83"/>
      <c r="X550" s="83"/>
      <c r="Y550" s="83"/>
      <c r="Z550" s="83"/>
    </row>
    <row r="551">
      <c r="A551" s="113"/>
      <c r="B551" s="117"/>
      <c r="C551" s="94"/>
      <c r="D551" s="111"/>
      <c r="E551" s="115"/>
      <c r="F551" s="108"/>
      <c r="G551" s="98"/>
      <c r="H551" s="116"/>
      <c r="I551" s="111"/>
      <c r="J551" s="115"/>
      <c r="K551" s="108"/>
      <c r="L551" s="98"/>
      <c r="M551" s="116"/>
      <c r="N551" s="111"/>
      <c r="O551" s="115"/>
      <c r="P551" s="108"/>
      <c r="Q551" s="98"/>
      <c r="R551" s="116"/>
      <c r="S551" s="83"/>
      <c r="T551" s="83"/>
      <c r="U551" s="83"/>
      <c r="V551" s="83"/>
      <c r="W551" s="83"/>
      <c r="X551" s="83"/>
      <c r="Y551" s="83"/>
      <c r="Z551" s="83"/>
    </row>
    <row r="552">
      <c r="A552" s="113"/>
      <c r="B552" s="117"/>
      <c r="C552" s="94"/>
      <c r="D552" s="111"/>
      <c r="E552" s="115"/>
      <c r="F552" s="108"/>
      <c r="G552" s="98"/>
      <c r="H552" s="116"/>
      <c r="I552" s="111"/>
      <c r="J552" s="115"/>
      <c r="K552" s="108"/>
      <c r="L552" s="98"/>
      <c r="M552" s="116"/>
      <c r="N552" s="111"/>
      <c r="O552" s="115"/>
      <c r="P552" s="108"/>
      <c r="Q552" s="98"/>
      <c r="R552" s="116"/>
      <c r="S552" s="83"/>
      <c r="T552" s="83"/>
      <c r="U552" s="83"/>
      <c r="V552" s="83"/>
      <c r="W552" s="83"/>
      <c r="X552" s="83"/>
      <c r="Y552" s="83"/>
      <c r="Z552" s="83"/>
    </row>
    <row r="553">
      <c r="A553" s="113"/>
      <c r="B553" s="117"/>
      <c r="C553" s="94"/>
      <c r="D553" s="111"/>
      <c r="E553" s="115"/>
      <c r="F553" s="108"/>
      <c r="G553" s="98"/>
      <c r="H553" s="116"/>
      <c r="I553" s="111"/>
      <c r="J553" s="115"/>
      <c r="K553" s="108"/>
      <c r="L553" s="98"/>
      <c r="M553" s="116"/>
      <c r="N553" s="111"/>
      <c r="O553" s="115"/>
      <c r="P553" s="108"/>
      <c r="Q553" s="98"/>
      <c r="R553" s="116"/>
      <c r="S553" s="83"/>
      <c r="T553" s="83"/>
      <c r="U553" s="83"/>
      <c r="V553" s="83"/>
      <c r="W553" s="83"/>
      <c r="X553" s="83"/>
      <c r="Y553" s="83"/>
      <c r="Z553" s="83"/>
    </row>
    <row r="554">
      <c r="A554" s="113"/>
      <c r="B554" s="117"/>
      <c r="C554" s="94"/>
      <c r="D554" s="111"/>
      <c r="E554" s="115"/>
      <c r="F554" s="108"/>
      <c r="G554" s="98"/>
      <c r="H554" s="116"/>
      <c r="I554" s="111"/>
      <c r="J554" s="115"/>
      <c r="K554" s="108"/>
      <c r="L554" s="98"/>
      <c r="M554" s="116"/>
      <c r="N554" s="111"/>
      <c r="O554" s="115"/>
      <c r="P554" s="108"/>
      <c r="Q554" s="98"/>
      <c r="R554" s="116"/>
      <c r="S554" s="83"/>
      <c r="T554" s="83"/>
      <c r="U554" s="83"/>
      <c r="V554" s="83"/>
      <c r="W554" s="83"/>
      <c r="X554" s="83"/>
      <c r="Y554" s="83"/>
      <c r="Z554" s="83"/>
    </row>
    <row r="555">
      <c r="A555" s="113"/>
      <c r="B555" s="117"/>
      <c r="C555" s="94"/>
      <c r="D555" s="111"/>
      <c r="E555" s="115"/>
      <c r="F555" s="108"/>
      <c r="G555" s="98"/>
      <c r="H555" s="116"/>
      <c r="I555" s="111"/>
      <c r="J555" s="115"/>
      <c r="K555" s="108"/>
      <c r="L555" s="98"/>
      <c r="M555" s="116"/>
      <c r="N555" s="111"/>
      <c r="O555" s="115"/>
      <c r="P555" s="108"/>
      <c r="Q555" s="98"/>
      <c r="R555" s="116"/>
      <c r="S555" s="83"/>
      <c r="T555" s="83"/>
      <c r="U555" s="83"/>
      <c r="V555" s="83"/>
      <c r="W555" s="83"/>
      <c r="X555" s="83"/>
      <c r="Y555" s="83"/>
      <c r="Z555" s="83"/>
    </row>
    <row r="556">
      <c r="A556" s="113"/>
      <c r="B556" s="117"/>
      <c r="C556" s="94"/>
      <c r="D556" s="111"/>
      <c r="E556" s="115"/>
      <c r="F556" s="108"/>
      <c r="G556" s="98"/>
      <c r="H556" s="116"/>
      <c r="I556" s="111"/>
      <c r="J556" s="115"/>
      <c r="K556" s="108"/>
      <c r="L556" s="98"/>
      <c r="M556" s="116"/>
      <c r="N556" s="111"/>
      <c r="O556" s="115"/>
      <c r="P556" s="108"/>
      <c r="Q556" s="98"/>
      <c r="R556" s="116"/>
      <c r="S556" s="83"/>
      <c r="T556" s="83"/>
      <c r="U556" s="83"/>
      <c r="V556" s="83"/>
      <c r="W556" s="83"/>
      <c r="X556" s="83"/>
      <c r="Y556" s="83"/>
      <c r="Z556" s="83"/>
    </row>
    <row r="557">
      <c r="A557" s="113"/>
      <c r="B557" s="117"/>
      <c r="C557" s="94"/>
      <c r="D557" s="111"/>
      <c r="E557" s="115"/>
      <c r="F557" s="108"/>
      <c r="G557" s="98"/>
      <c r="H557" s="116"/>
      <c r="I557" s="111"/>
      <c r="J557" s="115"/>
      <c r="K557" s="108"/>
      <c r="L557" s="98"/>
      <c r="M557" s="116"/>
      <c r="N557" s="111"/>
      <c r="O557" s="115"/>
      <c r="P557" s="108"/>
      <c r="Q557" s="98"/>
      <c r="R557" s="116"/>
      <c r="S557" s="83"/>
      <c r="T557" s="83"/>
      <c r="U557" s="83"/>
      <c r="V557" s="83"/>
      <c r="W557" s="83"/>
      <c r="X557" s="83"/>
      <c r="Y557" s="83"/>
      <c r="Z557" s="83"/>
    </row>
    <row r="558">
      <c r="A558" s="113"/>
      <c r="B558" s="117"/>
      <c r="C558" s="94"/>
      <c r="D558" s="111"/>
      <c r="E558" s="115"/>
      <c r="F558" s="108"/>
      <c r="G558" s="98"/>
      <c r="H558" s="116"/>
      <c r="I558" s="111"/>
      <c r="J558" s="115"/>
      <c r="K558" s="108"/>
      <c r="L558" s="98"/>
      <c r="M558" s="116"/>
      <c r="N558" s="111"/>
      <c r="O558" s="115"/>
      <c r="P558" s="108"/>
      <c r="Q558" s="98"/>
      <c r="R558" s="116"/>
      <c r="S558" s="83"/>
      <c r="T558" s="83"/>
      <c r="U558" s="83"/>
      <c r="V558" s="83"/>
      <c r="W558" s="83"/>
      <c r="X558" s="83"/>
      <c r="Y558" s="83"/>
      <c r="Z558" s="83"/>
    </row>
    <row r="559">
      <c r="A559" s="113"/>
      <c r="B559" s="117"/>
      <c r="C559" s="94"/>
      <c r="D559" s="111"/>
      <c r="E559" s="115"/>
      <c r="F559" s="108"/>
      <c r="G559" s="98"/>
      <c r="H559" s="116"/>
      <c r="I559" s="111"/>
      <c r="J559" s="115"/>
      <c r="K559" s="108"/>
      <c r="L559" s="98"/>
      <c r="M559" s="116"/>
      <c r="N559" s="111"/>
      <c r="O559" s="115"/>
      <c r="P559" s="108"/>
      <c r="Q559" s="98"/>
      <c r="R559" s="116"/>
      <c r="S559" s="83"/>
      <c r="T559" s="83"/>
      <c r="U559" s="83"/>
      <c r="V559" s="83"/>
      <c r="W559" s="83"/>
      <c r="X559" s="83"/>
      <c r="Y559" s="83"/>
      <c r="Z559" s="83"/>
    </row>
    <row r="560">
      <c r="A560" s="113"/>
      <c r="B560" s="117"/>
      <c r="C560" s="94"/>
      <c r="D560" s="111"/>
      <c r="E560" s="115"/>
      <c r="F560" s="108"/>
      <c r="G560" s="98"/>
      <c r="H560" s="116"/>
      <c r="I560" s="111"/>
      <c r="J560" s="115"/>
      <c r="K560" s="108"/>
      <c r="L560" s="98"/>
      <c r="M560" s="116"/>
      <c r="N560" s="111"/>
      <c r="O560" s="115"/>
      <c r="P560" s="108"/>
      <c r="Q560" s="98"/>
      <c r="R560" s="116"/>
      <c r="S560" s="83"/>
      <c r="T560" s="83"/>
      <c r="U560" s="83"/>
      <c r="V560" s="83"/>
      <c r="W560" s="83"/>
      <c r="X560" s="83"/>
      <c r="Y560" s="83"/>
      <c r="Z560" s="83"/>
    </row>
    <row r="561">
      <c r="A561" s="113"/>
      <c r="B561" s="117"/>
      <c r="C561" s="94"/>
      <c r="D561" s="111"/>
      <c r="E561" s="115"/>
      <c r="F561" s="108"/>
      <c r="G561" s="98"/>
      <c r="H561" s="116"/>
      <c r="I561" s="111"/>
      <c r="J561" s="115"/>
      <c r="K561" s="108"/>
      <c r="L561" s="98"/>
      <c r="M561" s="116"/>
      <c r="N561" s="111"/>
      <c r="O561" s="115"/>
      <c r="P561" s="108"/>
      <c r="Q561" s="98"/>
      <c r="R561" s="116"/>
      <c r="S561" s="83"/>
      <c r="T561" s="83"/>
      <c r="U561" s="83"/>
      <c r="V561" s="83"/>
      <c r="W561" s="83"/>
      <c r="X561" s="83"/>
      <c r="Y561" s="83"/>
      <c r="Z561" s="83"/>
    </row>
    <row r="562">
      <c r="A562" s="113"/>
      <c r="B562" s="117"/>
      <c r="C562" s="94"/>
      <c r="D562" s="111"/>
      <c r="E562" s="115"/>
      <c r="F562" s="108"/>
      <c r="G562" s="98"/>
      <c r="H562" s="116"/>
      <c r="I562" s="111"/>
      <c r="J562" s="115"/>
      <c r="K562" s="108"/>
      <c r="L562" s="98"/>
      <c r="M562" s="116"/>
      <c r="N562" s="111"/>
      <c r="O562" s="115"/>
      <c r="P562" s="108"/>
      <c r="Q562" s="98"/>
      <c r="R562" s="116"/>
      <c r="S562" s="83"/>
      <c r="T562" s="83"/>
      <c r="U562" s="83"/>
      <c r="V562" s="83"/>
      <c r="W562" s="83"/>
      <c r="X562" s="83"/>
      <c r="Y562" s="83"/>
      <c r="Z562" s="83"/>
    </row>
    <row r="563">
      <c r="A563" s="113"/>
      <c r="B563" s="117"/>
      <c r="C563" s="94"/>
      <c r="D563" s="111"/>
      <c r="E563" s="115"/>
      <c r="F563" s="108"/>
      <c r="G563" s="98"/>
      <c r="H563" s="116"/>
      <c r="I563" s="111"/>
      <c r="J563" s="115"/>
      <c r="K563" s="108"/>
      <c r="L563" s="98"/>
      <c r="M563" s="116"/>
      <c r="N563" s="111"/>
      <c r="O563" s="115"/>
      <c r="P563" s="108"/>
      <c r="Q563" s="98"/>
      <c r="R563" s="116"/>
      <c r="S563" s="83"/>
      <c r="T563" s="83"/>
      <c r="U563" s="83"/>
      <c r="V563" s="83"/>
      <c r="W563" s="83"/>
      <c r="X563" s="83"/>
      <c r="Y563" s="83"/>
      <c r="Z563" s="83"/>
    </row>
    <row r="564">
      <c r="A564" s="113"/>
      <c r="B564" s="117"/>
      <c r="C564" s="94"/>
      <c r="D564" s="111"/>
      <c r="E564" s="115"/>
      <c r="F564" s="108"/>
      <c r="G564" s="98"/>
      <c r="H564" s="116"/>
      <c r="I564" s="111"/>
      <c r="J564" s="115"/>
      <c r="K564" s="108"/>
      <c r="L564" s="98"/>
      <c r="M564" s="116"/>
      <c r="N564" s="111"/>
      <c r="O564" s="115"/>
      <c r="P564" s="108"/>
      <c r="Q564" s="98"/>
      <c r="R564" s="116"/>
      <c r="S564" s="83"/>
      <c r="T564" s="83"/>
      <c r="U564" s="83"/>
      <c r="V564" s="83"/>
      <c r="W564" s="83"/>
      <c r="X564" s="83"/>
      <c r="Y564" s="83"/>
      <c r="Z564" s="83"/>
    </row>
    <row r="565">
      <c r="A565" s="113"/>
      <c r="B565" s="117"/>
      <c r="C565" s="94"/>
      <c r="D565" s="111"/>
      <c r="E565" s="115"/>
      <c r="F565" s="108"/>
      <c r="G565" s="98"/>
      <c r="H565" s="116"/>
      <c r="I565" s="111"/>
      <c r="J565" s="115"/>
      <c r="K565" s="108"/>
      <c r="L565" s="98"/>
      <c r="M565" s="116"/>
      <c r="N565" s="111"/>
      <c r="O565" s="115"/>
      <c r="P565" s="108"/>
      <c r="Q565" s="98"/>
      <c r="R565" s="116"/>
      <c r="S565" s="83"/>
      <c r="T565" s="83"/>
      <c r="U565" s="83"/>
      <c r="V565" s="83"/>
      <c r="W565" s="83"/>
      <c r="X565" s="83"/>
      <c r="Y565" s="83"/>
      <c r="Z565" s="83"/>
    </row>
    <row r="566">
      <c r="A566" s="113"/>
      <c r="B566" s="117"/>
      <c r="C566" s="94"/>
      <c r="D566" s="111"/>
      <c r="E566" s="115"/>
      <c r="F566" s="108"/>
      <c r="G566" s="98"/>
      <c r="H566" s="116"/>
      <c r="I566" s="111"/>
      <c r="J566" s="115"/>
      <c r="K566" s="108"/>
      <c r="L566" s="98"/>
      <c r="M566" s="116"/>
      <c r="N566" s="111"/>
      <c r="O566" s="115"/>
      <c r="P566" s="108"/>
      <c r="Q566" s="98"/>
      <c r="R566" s="116"/>
      <c r="S566" s="83"/>
      <c r="T566" s="83"/>
      <c r="U566" s="83"/>
      <c r="V566" s="83"/>
      <c r="W566" s="83"/>
      <c r="X566" s="83"/>
      <c r="Y566" s="83"/>
      <c r="Z566" s="83"/>
    </row>
    <row r="567">
      <c r="A567" s="113"/>
      <c r="B567" s="117"/>
      <c r="C567" s="94"/>
      <c r="D567" s="111"/>
      <c r="E567" s="115"/>
      <c r="F567" s="108"/>
      <c r="G567" s="98"/>
      <c r="H567" s="116"/>
      <c r="I567" s="111"/>
      <c r="J567" s="115"/>
      <c r="K567" s="108"/>
      <c r="L567" s="98"/>
      <c r="M567" s="116"/>
      <c r="N567" s="111"/>
      <c r="O567" s="115"/>
      <c r="P567" s="108"/>
      <c r="Q567" s="98"/>
      <c r="R567" s="116"/>
      <c r="S567" s="83"/>
      <c r="T567" s="83"/>
      <c r="U567" s="83"/>
      <c r="V567" s="83"/>
      <c r="W567" s="83"/>
      <c r="X567" s="83"/>
      <c r="Y567" s="83"/>
      <c r="Z567" s="83"/>
    </row>
    <row r="568">
      <c r="A568" s="113"/>
      <c r="B568" s="117"/>
      <c r="C568" s="94"/>
      <c r="D568" s="111"/>
      <c r="E568" s="115"/>
      <c r="F568" s="108"/>
      <c r="G568" s="98"/>
      <c r="H568" s="116"/>
      <c r="I568" s="111"/>
      <c r="J568" s="115"/>
      <c r="K568" s="108"/>
      <c r="L568" s="98"/>
      <c r="M568" s="116"/>
      <c r="N568" s="111"/>
      <c r="O568" s="115"/>
      <c r="P568" s="108"/>
      <c r="Q568" s="98"/>
      <c r="R568" s="116"/>
      <c r="S568" s="83"/>
      <c r="T568" s="83"/>
      <c r="U568" s="83"/>
      <c r="V568" s="83"/>
      <c r="W568" s="83"/>
      <c r="X568" s="83"/>
      <c r="Y568" s="83"/>
      <c r="Z568" s="83"/>
    </row>
    <row r="569">
      <c r="A569" s="113"/>
      <c r="B569" s="117"/>
      <c r="C569" s="94"/>
      <c r="D569" s="111"/>
      <c r="E569" s="115"/>
      <c r="F569" s="108"/>
      <c r="G569" s="98"/>
      <c r="H569" s="116"/>
      <c r="I569" s="111"/>
      <c r="J569" s="115"/>
      <c r="K569" s="108"/>
      <c r="L569" s="98"/>
      <c r="M569" s="116"/>
      <c r="N569" s="111"/>
      <c r="O569" s="115"/>
      <c r="P569" s="108"/>
      <c r="Q569" s="98"/>
      <c r="R569" s="116"/>
      <c r="S569" s="83"/>
      <c r="T569" s="83"/>
      <c r="U569" s="83"/>
      <c r="V569" s="83"/>
      <c r="W569" s="83"/>
      <c r="X569" s="83"/>
      <c r="Y569" s="83"/>
      <c r="Z569" s="83"/>
    </row>
    <row r="570">
      <c r="A570" s="113"/>
      <c r="B570" s="117"/>
      <c r="C570" s="94"/>
      <c r="D570" s="111"/>
      <c r="E570" s="115"/>
      <c r="F570" s="108"/>
      <c r="G570" s="98"/>
      <c r="H570" s="116"/>
      <c r="I570" s="111"/>
      <c r="J570" s="115"/>
      <c r="K570" s="108"/>
      <c r="L570" s="98"/>
      <c r="M570" s="116"/>
      <c r="N570" s="111"/>
      <c r="O570" s="115"/>
      <c r="P570" s="108"/>
      <c r="Q570" s="98"/>
      <c r="R570" s="116"/>
      <c r="S570" s="83"/>
      <c r="T570" s="83"/>
      <c r="U570" s="83"/>
      <c r="V570" s="83"/>
      <c r="W570" s="83"/>
      <c r="X570" s="83"/>
      <c r="Y570" s="83"/>
      <c r="Z570" s="83"/>
    </row>
    <row r="571">
      <c r="A571" s="113"/>
      <c r="B571" s="117"/>
      <c r="C571" s="94"/>
      <c r="D571" s="111"/>
      <c r="E571" s="115"/>
      <c r="F571" s="108"/>
      <c r="G571" s="98"/>
      <c r="H571" s="116"/>
      <c r="I571" s="111"/>
      <c r="J571" s="115"/>
      <c r="K571" s="108"/>
      <c r="L571" s="98"/>
      <c r="M571" s="116"/>
      <c r="N571" s="111"/>
      <c r="O571" s="115"/>
      <c r="P571" s="108"/>
      <c r="Q571" s="98"/>
      <c r="R571" s="116"/>
      <c r="S571" s="83"/>
      <c r="T571" s="83"/>
      <c r="U571" s="83"/>
      <c r="V571" s="83"/>
      <c r="W571" s="83"/>
      <c r="X571" s="83"/>
      <c r="Y571" s="83"/>
      <c r="Z571" s="83"/>
    </row>
    <row r="572">
      <c r="A572" s="113"/>
      <c r="B572" s="117"/>
      <c r="C572" s="94"/>
      <c r="D572" s="111"/>
      <c r="E572" s="115"/>
      <c r="F572" s="108"/>
      <c r="G572" s="98"/>
      <c r="H572" s="116"/>
      <c r="I572" s="111"/>
      <c r="J572" s="115"/>
      <c r="K572" s="108"/>
      <c r="L572" s="98"/>
      <c r="M572" s="116"/>
      <c r="N572" s="111"/>
      <c r="O572" s="115"/>
      <c r="P572" s="108"/>
      <c r="Q572" s="98"/>
      <c r="R572" s="116"/>
      <c r="S572" s="83"/>
      <c r="T572" s="83"/>
      <c r="U572" s="83"/>
      <c r="V572" s="83"/>
      <c r="W572" s="83"/>
      <c r="X572" s="83"/>
      <c r="Y572" s="83"/>
      <c r="Z572" s="83"/>
    </row>
    <row r="573">
      <c r="A573" s="113"/>
      <c r="B573" s="117"/>
      <c r="C573" s="94"/>
      <c r="D573" s="111"/>
      <c r="E573" s="115"/>
      <c r="F573" s="108"/>
      <c r="G573" s="98"/>
      <c r="H573" s="116"/>
      <c r="I573" s="111"/>
      <c r="J573" s="115"/>
      <c r="K573" s="108"/>
      <c r="L573" s="98"/>
      <c r="M573" s="116"/>
      <c r="N573" s="111"/>
      <c r="O573" s="115"/>
      <c r="P573" s="108"/>
      <c r="Q573" s="98"/>
      <c r="R573" s="116"/>
      <c r="S573" s="83"/>
      <c r="T573" s="83"/>
      <c r="U573" s="83"/>
      <c r="V573" s="83"/>
      <c r="W573" s="83"/>
      <c r="X573" s="83"/>
      <c r="Y573" s="83"/>
      <c r="Z573" s="83"/>
    </row>
    <row r="574">
      <c r="A574" s="113"/>
      <c r="B574" s="117"/>
      <c r="C574" s="94"/>
      <c r="D574" s="111"/>
      <c r="E574" s="115"/>
      <c r="F574" s="108"/>
      <c r="G574" s="98"/>
      <c r="H574" s="116"/>
      <c r="I574" s="111"/>
      <c r="J574" s="115"/>
      <c r="K574" s="108"/>
      <c r="L574" s="98"/>
      <c r="M574" s="116"/>
      <c r="N574" s="111"/>
      <c r="O574" s="115"/>
      <c r="P574" s="108"/>
      <c r="Q574" s="98"/>
      <c r="R574" s="116"/>
      <c r="S574" s="83"/>
      <c r="T574" s="83"/>
      <c r="U574" s="83"/>
      <c r="V574" s="83"/>
      <c r="W574" s="83"/>
      <c r="X574" s="83"/>
      <c r="Y574" s="83"/>
      <c r="Z574" s="83"/>
    </row>
    <row r="575">
      <c r="A575" s="113"/>
      <c r="B575" s="117"/>
      <c r="C575" s="94"/>
      <c r="D575" s="111"/>
      <c r="E575" s="115"/>
      <c r="F575" s="108"/>
      <c r="G575" s="98"/>
      <c r="H575" s="116"/>
      <c r="I575" s="111"/>
      <c r="J575" s="115"/>
      <c r="K575" s="108"/>
      <c r="L575" s="98"/>
      <c r="M575" s="116"/>
      <c r="N575" s="111"/>
      <c r="O575" s="115"/>
      <c r="P575" s="108"/>
      <c r="Q575" s="98"/>
      <c r="R575" s="116"/>
      <c r="S575" s="83"/>
      <c r="T575" s="83"/>
      <c r="U575" s="83"/>
      <c r="V575" s="83"/>
      <c r="W575" s="83"/>
      <c r="X575" s="83"/>
      <c r="Y575" s="83"/>
      <c r="Z575" s="83"/>
    </row>
    <row r="576">
      <c r="A576" s="113"/>
      <c r="B576" s="117"/>
      <c r="C576" s="94"/>
      <c r="D576" s="111"/>
      <c r="E576" s="115"/>
      <c r="F576" s="108"/>
      <c r="G576" s="98"/>
      <c r="H576" s="116"/>
      <c r="I576" s="111"/>
      <c r="J576" s="115"/>
      <c r="K576" s="108"/>
      <c r="L576" s="98"/>
      <c r="M576" s="116"/>
      <c r="N576" s="111"/>
      <c r="O576" s="115"/>
      <c r="P576" s="108"/>
      <c r="Q576" s="98"/>
      <c r="R576" s="116"/>
      <c r="S576" s="83"/>
      <c r="T576" s="83"/>
      <c r="U576" s="83"/>
      <c r="V576" s="83"/>
      <c r="W576" s="83"/>
      <c r="X576" s="83"/>
      <c r="Y576" s="83"/>
      <c r="Z576" s="83"/>
    </row>
    <row r="577">
      <c r="A577" s="113"/>
      <c r="B577" s="117"/>
      <c r="C577" s="94"/>
      <c r="D577" s="111"/>
      <c r="E577" s="115"/>
      <c r="F577" s="108"/>
      <c r="G577" s="98"/>
      <c r="H577" s="116"/>
      <c r="I577" s="111"/>
      <c r="J577" s="115"/>
      <c r="K577" s="108"/>
      <c r="L577" s="98"/>
      <c r="M577" s="116"/>
      <c r="N577" s="111"/>
      <c r="O577" s="115"/>
      <c r="P577" s="108"/>
      <c r="Q577" s="98"/>
      <c r="R577" s="116"/>
      <c r="S577" s="83"/>
      <c r="T577" s="83"/>
      <c r="U577" s="83"/>
      <c r="V577" s="83"/>
      <c r="W577" s="83"/>
      <c r="X577" s="83"/>
      <c r="Y577" s="83"/>
      <c r="Z577" s="83"/>
    </row>
    <row r="578">
      <c r="A578" s="113"/>
      <c r="B578" s="117"/>
      <c r="C578" s="94"/>
      <c r="D578" s="111"/>
      <c r="E578" s="115"/>
      <c r="F578" s="108"/>
      <c r="G578" s="98"/>
      <c r="H578" s="116"/>
      <c r="I578" s="111"/>
      <c r="J578" s="115"/>
      <c r="K578" s="108"/>
      <c r="L578" s="98"/>
      <c r="M578" s="116"/>
      <c r="N578" s="111"/>
      <c r="O578" s="115"/>
      <c r="P578" s="108"/>
      <c r="Q578" s="98"/>
      <c r="R578" s="116"/>
      <c r="S578" s="83"/>
      <c r="T578" s="83"/>
      <c r="U578" s="83"/>
      <c r="V578" s="83"/>
      <c r="W578" s="83"/>
      <c r="X578" s="83"/>
      <c r="Y578" s="83"/>
      <c r="Z578" s="83"/>
    </row>
    <row r="579">
      <c r="A579" s="113"/>
      <c r="B579" s="117"/>
      <c r="C579" s="94"/>
      <c r="D579" s="111"/>
      <c r="E579" s="115"/>
      <c r="F579" s="108"/>
      <c r="G579" s="98"/>
      <c r="H579" s="116"/>
      <c r="I579" s="111"/>
      <c r="J579" s="115"/>
      <c r="K579" s="108"/>
      <c r="L579" s="98"/>
      <c r="M579" s="116"/>
      <c r="N579" s="111"/>
      <c r="O579" s="115"/>
      <c r="P579" s="108"/>
      <c r="Q579" s="98"/>
      <c r="R579" s="116"/>
      <c r="S579" s="83"/>
      <c r="T579" s="83"/>
      <c r="U579" s="83"/>
      <c r="V579" s="83"/>
      <c r="W579" s="83"/>
      <c r="X579" s="83"/>
      <c r="Y579" s="83"/>
      <c r="Z579" s="83"/>
    </row>
    <row r="580">
      <c r="A580" s="113"/>
      <c r="B580" s="117"/>
      <c r="C580" s="94"/>
      <c r="D580" s="111"/>
      <c r="E580" s="115"/>
      <c r="F580" s="108"/>
      <c r="G580" s="98"/>
      <c r="H580" s="116"/>
      <c r="I580" s="111"/>
      <c r="J580" s="115"/>
      <c r="K580" s="108"/>
      <c r="L580" s="98"/>
      <c r="M580" s="116"/>
      <c r="N580" s="111"/>
      <c r="O580" s="115"/>
      <c r="P580" s="108"/>
      <c r="Q580" s="98"/>
      <c r="R580" s="116"/>
      <c r="S580" s="83"/>
      <c r="T580" s="83"/>
      <c r="U580" s="83"/>
      <c r="V580" s="83"/>
      <c r="W580" s="83"/>
      <c r="X580" s="83"/>
      <c r="Y580" s="83"/>
      <c r="Z580" s="83"/>
    </row>
    <row r="581">
      <c r="A581" s="113"/>
      <c r="B581" s="117"/>
      <c r="C581" s="94"/>
      <c r="D581" s="111"/>
      <c r="E581" s="115"/>
      <c r="F581" s="108"/>
      <c r="G581" s="98"/>
      <c r="H581" s="116"/>
      <c r="I581" s="111"/>
      <c r="J581" s="115"/>
      <c r="K581" s="108"/>
      <c r="L581" s="98"/>
      <c r="M581" s="116"/>
      <c r="N581" s="111"/>
      <c r="O581" s="115"/>
      <c r="P581" s="108"/>
      <c r="Q581" s="98"/>
      <c r="R581" s="116"/>
      <c r="S581" s="83"/>
      <c r="T581" s="83"/>
      <c r="U581" s="83"/>
      <c r="V581" s="83"/>
      <c r="W581" s="83"/>
      <c r="X581" s="83"/>
      <c r="Y581" s="83"/>
      <c r="Z581" s="83"/>
    </row>
    <row r="582">
      <c r="A582" s="113"/>
      <c r="B582" s="117"/>
      <c r="C582" s="94"/>
      <c r="D582" s="111"/>
      <c r="E582" s="115"/>
      <c r="F582" s="108"/>
      <c r="G582" s="98"/>
      <c r="H582" s="116"/>
      <c r="I582" s="111"/>
      <c r="J582" s="115"/>
      <c r="K582" s="108"/>
      <c r="L582" s="98"/>
      <c r="M582" s="116"/>
      <c r="N582" s="111"/>
      <c r="O582" s="115"/>
      <c r="P582" s="108"/>
      <c r="Q582" s="98"/>
      <c r="R582" s="116"/>
      <c r="S582" s="83"/>
      <c r="T582" s="83"/>
      <c r="U582" s="83"/>
      <c r="V582" s="83"/>
      <c r="W582" s="83"/>
      <c r="X582" s="83"/>
      <c r="Y582" s="83"/>
      <c r="Z582" s="83"/>
    </row>
    <row r="583">
      <c r="A583" s="113"/>
      <c r="B583" s="117"/>
      <c r="C583" s="94"/>
      <c r="D583" s="111"/>
      <c r="E583" s="115"/>
      <c r="F583" s="108"/>
      <c r="G583" s="98"/>
      <c r="H583" s="116"/>
      <c r="I583" s="111"/>
      <c r="J583" s="115"/>
      <c r="K583" s="108"/>
      <c r="L583" s="98"/>
      <c r="M583" s="116"/>
      <c r="N583" s="111"/>
      <c r="O583" s="115"/>
      <c r="P583" s="108"/>
      <c r="Q583" s="98"/>
      <c r="R583" s="116"/>
      <c r="S583" s="83"/>
      <c r="T583" s="83"/>
      <c r="U583" s="83"/>
      <c r="V583" s="83"/>
      <c r="W583" s="83"/>
      <c r="X583" s="83"/>
      <c r="Y583" s="83"/>
      <c r="Z583" s="83"/>
    </row>
    <row r="584">
      <c r="A584" s="113"/>
      <c r="B584" s="117"/>
      <c r="C584" s="94"/>
      <c r="D584" s="111"/>
      <c r="E584" s="115"/>
      <c r="F584" s="108"/>
      <c r="G584" s="98"/>
      <c r="H584" s="116"/>
      <c r="I584" s="111"/>
      <c r="J584" s="115"/>
      <c r="K584" s="108"/>
      <c r="L584" s="98"/>
      <c r="M584" s="116"/>
      <c r="N584" s="111"/>
      <c r="O584" s="115"/>
      <c r="P584" s="108"/>
      <c r="Q584" s="98"/>
      <c r="R584" s="116"/>
      <c r="S584" s="83"/>
      <c r="T584" s="83"/>
      <c r="U584" s="83"/>
      <c r="V584" s="83"/>
      <c r="W584" s="83"/>
      <c r="X584" s="83"/>
      <c r="Y584" s="83"/>
      <c r="Z584" s="83"/>
    </row>
    <row r="585">
      <c r="A585" s="113"/>
      <c r="B585" s="117"/>
      <c r="C585" s="94"/>
      <c r="D585" s="111"/>
      <c r="E585" s="115"/>
      <c r="F585" s="108"/>
      <c r="G585" s="98"/>
      <c r="H585" s="116"/>
      <c r="I585" s="111"/>
      <c r="J585" s="115"/>
      <c r="K585" s="108"/>
      <c r="L585" s="98"/>
      <c r="M585" s="116"/>
      <c r="N585" s="111"/>
      <c r="O585" s="115"/>
      <c r="P585" s="108"/>
      <c r="Q585" s="98"/>
      <c r="R585" s="116"/>
      <c r="S585" s="83"/>
      <c r="T585" s="83"/>
      <c r="U585" s="83"/>
      <c r="V585" s="83"/>
      <c r="W585" s="83"/>
      <c r="X585" s="83"/>
      <c r="Y585" s="83"/>
      <c r="Z585" s="83"/>
    </row>
    <row r="586">
      <c r="A586" s="113"/>
      <c r="B586" s="117"/>
      <c r="C586" s="94"/>
      <c r="D586" s="111"/>
      <c r="E586" s="115"/>
      <c r="F586" s="108"/>
      <c r="G586" s="98"/>
      <c r="H586" s="116"/>
      <c r="I586" s="111"/>
      <c r="J586" s="115"/>
      <c r="K586" s="108"/>
      <c r="L586" s="98"/>
      <c r="M586" s="116"/>
      <c r="N586" s="111"/>
      <c r="O586" s="115"/>
      <c r="P586" s="108"/>
      <c r="Q586" s="98"/>
      <c r="R586" s="116"/>
      <c r="S586" s="83"/>
      <c r="T586" s="83"/>
      <c r="U586" s="83"/>
      <c r="V586" s="83"/>
      <c r="W586" s="83"/>
      <c r="X586" s="83"/>
      <c r="Y586" s="83"/>
      <c r="Z586" s="83"/>
    </row>
    <row r="587">
      <c r="A587" s="113"/>
      <c r="B587" s="117"/>
      <c r="C587" s="94"/>
      <c r="D587" s="111"/>
      <c r="E587" s="115"/>
      <c r="F587" s="108"/>
      <c r="G587" s="98"/>
      <c r="H587" s="116"/>
      <c r="I587" s="111"/>
      <c r="J587" s="115"/>
      <c r="K587" s="108"/>
      <c r="L587" s="98"/>
      <c r="M587" s="116"/>
      <c r="N587" s="111"/>
      <c r="O587" s="115"/>
      <c r="P587" s="108"/>
      <c r="Q587" s="98"/>
      <c r="R587" s="116"/>
      <c r="S587" s="83"/>
      <c r="T587" s="83"/>
      <c r="U587" s="83"/>
      <c r="V587" s="83"/>
      <c r="W587" s="83"/>
      <c r="X587" s="83"/>
      <c r="Y587" s="83"/>
      <c r="Z587" s="83"/>
    </row>
    <row r="588">
      <c r="A588" s="113"/>
      <c r="B588" s="117"/>
      <c r="C588" s="94"/>
      <c r="D588" s="111"/>
      <c r="E588" s="115"/>
      <c r="F588" s="108"/>
      <c r="G588" s="98"/>
      <c r="H588" s="116"/>
      <c r="I588" s="111"/>
      <c r="J588" s="115"/>
      <c r="K588" s="108"/>
      <c r="L588" s="98"/>
      <c r="M588" s="116"/>
      <c r="N588" s="111"/>
      <c r="O588" s="115"/>
      <c r="P588" s="108"/>
      <c r="Q588" s="98"/>
      <c r="R588" s="116"/>
      <c r="S588" s="83"/>
      <c r="T588" s="83"/>
      <c r="U588" s="83"/>
      <c r="V588" s="83"/>
      <c r="W588" s="83"/>
      <c r="X588" s="83"/>
      <c r="Y588" s="83"/>
      <c r="Z588" s="83"/>
    </row>
    <row r="589">
      <c r="A589" s="113"/>
      <c r="B589" s="117"/>
      <c r="C589" s="94"/>
      <c r="D589" s="111"/>
      <c r="E589" s="115"/>
      <c r="F589" s="108"/>
      <c r="G589" s="98"/>
      <c r="H589" s="116"/>
      <c r="I589" s="111"/>
      <c r="J589" s="115"/>
      <c r="K589" s="108"/>
      <c r="L589" s="98"/>
      <c r="M589" s="116"/>
      <c r="N589" s="111"/>
      <c r="O589" s="115"/>
      <c r="P589" s="108"/>
      <c r="Q589" s="98"/>
      <c r="R589" s="116"/>
      <c r="S589" s="83"/>
      <c r="T589" s="83"/>
      <c r="U589" s="83"/>
      <c r="V589" s="83"/>
      <c r="W589" s="83"/>
      <c r="X589" s="83"/>
      <c r="Y589" s="83"/>
      <c r="Z589" s="83"/>
    </row>
    <row r="590">
      <c r="A590" s="113"/>
      <c r="B590" s="117"/>
      <c r="C590" s="94"/>
      <c r="D590" s="111"/>
      <c r="E590" s="115"/>
      <c r="F590" s="108"/>
      <c r="G590" s="98"/>
      <c r="H590" s="116"/>
      <c r="I590" s="111"/>
      <c r="J590" s="115"/>
      <c r="K590" s="108"/>
      <c r="L590" s="98"/>
      <c r="M590" s="116"/>
      <c r="N590" s="111"/>
      <c r="O590" s="115"/>
      <c r="P590" s="108"/>
      <c r="Q590" s="98"/>
      <c r="R590" s="116"/>
      <c r="S590" s="83"/>
      <c r="T590" s="83"/>
      <c r="U590" s="83"/>
      <c r="V590" s="83"/>
      <c r="W590" s="83"/>
      <c r="X590" s="83"/>
      <c r="Y590" s="83"/>
      <c r="Z590" s="83"/>
    </row>
    <row r="591">
      <c r="A591" s="113"/>
      <c r="B591" s="117"/>
      <c r="C591" s="94"/>
      <c r="D591" s="111"/>
      <c r="E591" s="115"/>
      <c r="F591" s="108"/>
      <c r="G591" s="98"/>
      <c r="H591" s="116"/>
      <c r="I591" s="111"/>
      <c r="J591" s="115"/>
      <c r="K591" s="108"/>
      <c r="L591" s="98"/>
      <c r="M591" s="116"/>
      <c r="N591" s="111"/>
      <c r="O591" s="115"/>
      <c r="P591" s="108"/>
      <c r="Q591" s="98"/>
      <c r="R591" s="116"/>
      <c r="S591" s="83"/>
      <c r="T591" s="83"/>
      <c r="U591" s="83"/>
      <c r="V591" s="83"/>
      <c r="W591" s="83"/>
      <c r="X591" s="83"/>
      <c r="Y591" s="83"/>
      <c r="Z591" s="83"/>
    </row>
    <row r="592">
      <c r="A592" s="113"/>
      <c r="B592" s="117"/>
      <c r="C592" s="94"/>
      <c r="D592" s="111"/>
      <c r="E592" s="115"/>
      <c r="F592" s="108"/>
      <c r="G592" s="98"/>
      <c r="H592" s="116"/>
      <c r="I592" s="111"/>
      <c r="J592" s="115"/>
      <c r="K592" s="108"/>
      <c r="L592" s="98"/>
      <c r="M592" s="116"/>
      <c r="N592" s="111"/>
      <c r="O592" s="115"/>
      <c r="P592" s="108"/>
      <c r="Q592" s="98"/>
      <c r="R592" s="116"/>
      <c r="S592" s="83"/>
      <c r="T592" s="83"/>
      <c r="U592" s="83"/>
      <c r="V592" s="83"/>
      <c r="W592" s="83"/>
      <c r="X592" s="83"/>
      <c r="Y592" s="83"/>
      <c r="Z592" s="83"/>
    </row>
    <row r="593">
      <c r="A593" s="113"/>
      <c r="B593" s="117"/>
      <c r="C593" s="94"/>
      <c r="D593" s="111"/>
      <c r="E593" s="115"/>
      <c r="F593" s="108"/>
      <c r="G593" s="98"/>
      <c r="H593" s="116"/>
      <c r="I593" s="111"/>
      <c r="J593" s="115"/>
      <c r="K593" s="108"/>
      <c r="L593" s="98"/>
      <c r="M593" s="116"/>
      <c r="N593" s="111"/>
      <c r="O593" s="115"/>
      <c r="P593" s="108"/>
      <c r="Q593" s="98"/>
      <c r="R593" s="116"/>
      <c r="S593" s="83"/>
      <c r="T593" s="83"/>
      <c r="U593" s="83"/>
      <c r="V593" s="83"/>
      <c r="W593" s="83"/>
      <c r="X593" s="83"/>
      <c r="Y593" s="83"/>
      <c r="Z593" s="83"/>
    </row>
    <row r="594">
      <c r="A594" s="113"/>
      <c r="B594" s="117"/>
      <c r="C594" s="94"/>
      <c r="D594" s="111"/>
      <c r="E594" s="115"/>
      <c r="F594" s="108"/>
      <c r="G594" s="98"/>
      <c r="H594" s="116"/>
      <c r="I594" s="111"/>
      <c r="J594" s="115"/>
      <c r="K594" s="108"/>
      <c r="L594" s="98"/>
      <c r="M594" s="116"/>
      <c r="N594" s="111"/>
      <c r="O594" s="115"/>
      <c r="P594" s="108"/>
      <c r="Q594" s="98"/>
      <c r="R594" s="116"/>
      <c r="S594" s="83"/>
      <c r="T594" s="83"/>
      <c r="U594" s="83"/>
      <c r="V594" s="83"/>
      <c r="W594" s="83"/>
      <c r="X594" s="83"/>
      <c r="Y594" s="83"/>
      <c r="Z594" s="83"/>
    </row>
    <row r="595">
      <c r="A595" s="113"/>
      <c r="B595" s="117"/>
      <c r="C595" s="94"/>
      <c r="D595" s="111"/>
      <c r="E595" s="115"/>
      <c r="F595" s="108"/>
      <c r="G595" s="98"/>
      <c r="H595" s="116"/>
      <c r="I595" s="111"/>
      <c r="J595" s="115"/>
      <c r="K595" s="108"/>
      <c r="L595" s="98"/>
      <c r="M595" s="116"/>
      <c r="N595" s="111"/>
      <c r="O595" s="115"/>
      <c r="P595" s="108"/>
      <c r="Q595" s="98"/>
      <c r="R595" s="116"/>
      <c r="S595" s="83"/>
      <c r="T595" s="83"/>
      <c r="U595" s="83"/>
      <c r="V595" s="83"/>
      <c r="W595" s="83"/>
      <c r="X595" s="83"/>
      <c r="Y595" s="83"/>
      <c r="Z595" s="83"/>
    </row>
    <row r="596">
      <c r="A596" s="113"/>
      <c r="B596" s="117"/>
      <c r="C596" s="94"/>
      <c r="D596" s="111"/>
      <c r="E596" s="115"/>
      <c r="F596" s="108"/>
      <c r="G596" s="98"/>
      <c r="H596" s="116"/>
      <c r="I596" s="111"/>
      <c r="J596" s="115"/>
      <c r="K596" s="108"/>
      <c r="L596" s="98"/>
      <c r="M596" s="116"/>
      <c r="N596" s="111"/>
      <c r="O596" s="115"/>
      <c r="P596" s="108"/>
      <c r="Q596" s="98"/>
      <c r="R596" s="116"/>
      <c r="S596" s="83"/>
      <c r="T596" s="83"/>
      <c r="U596" s="83"/>
      <c r="V596" s="83"/>
      <c r="W596" s="83"/>
      <c r="X596" s="83"/>
      <c r="Y596" s="83"/>
      <c r="Z596" s="83"/>
    </row>
    <row r="597">
      <c r="A597" s="113"/>
      <c r="B597" s="117"/>
      <c r="C597" s="94"/>
      <c r="D597" s="111"/>
      <c r="E597" s="115"/>
      <c r="F597" s="108"/>
      <c r="G597" s="98"/>
      <c r="H597" s="116"/>
      <c r="I597" s="111"/>
      <c r="J597" s="115"/>
      <c r="K597" s="108"/>
      <c r="L597" s="98"/>
      <c r="M597" s="116"/>
      <c r="N597" s="111"/>
      <c r="O597" s="115"/>
      <c r="P597" s="108"/>
      <c r="Q597" s="98"/>
      <c r="R597" s="116"/>
      <c r="S597" s="83"/>
      <c r="T597" s="83"/>
      <c r="U597" s="83"/>
      <c r="V597" s="83"/>
      <c r="W597" s="83"/>
      <c r="X597" s="83"/>
      <c r="Y597" s="83"/>
      <c r="Z597" s="83"/>
    </row>
    <row r="598">
      <c r="A598" s="113"/>
      <c r="B598" s="117"/>
      <c r="C598" s="94"/>
      <c r="D598" s="111"/>
      <c r="E598" s="115"/>
      <c r="F598" s="108"/>
      <c r="G598" s="98"/>
      <c r="H598" s="116"/>
      <c r="I598" s="111"/>
      <c r="J598" s="115"/>
      <c r="K598" s="108"/>
      <c r="L598" s="98"/>
      <c r="M598" s="116"/>
      <c r="N598" s="111"/>
      <c r="O598" s="115"/>
      <c r="P598" s="108"/>
      <c r="Q598" s="98"/>
      <c r="R598" s="116"/>
      <c r="S598" s="83"/>
      <c r="T598" s="83"/>
      <c r="U598" s="83"/>
      <c r="V598" s="83"/>
      <c r="W598" s="83"/>
      <c r="X598" s="83"/>
      <c r="Y598" s="83"/>
      <c r="Z598" s="83"/>
    </row>
    <row r="599">
      <c r="A599" s="113"/>
      <c r="B599" s="117"/>
      <c r="C599" s="94"/>
      <c r="D599" s="111"/>
      <c r="E599" s="115"/>
      <c r="F599" s="108"/>
      <c r="G599" s="98"/>
      <c r="H599" s="116"/>
      <c r="I599" s="111"/>
      <c r="J599" s="115"/>
      <c r="K599" s="108"/>
      <c r="L599" s="98"/>
      <c r="M599" s="116"/>
      <c r="N599" s="111"/>
      <c r="O599" s="115"/>
      <c r="P599" s="108"/>
      <c r="Q599" s="98"/>
      <c r="R599" s="116"/>
      <c r="S599" s="83"/>
      <c r="T599" s="83"/>
      <c r="U599" s="83"/>
      <c r="V599" s="83"/>
      <c r="W599" s="83"/>
      <c r="X599" s="83"/>
      <c r="Y599" s="83"/>
      <c r="Z599" s="83"/>
    </row>
    <row r="600">
      <c r="A600" s="113"/>
      <c r="B600" s="117"/>
      <c r="C600" s="94"/>
      <c r="D600" s="111"/>
      <c r="E600" s="115"/>
      <c r="F600" s="108"/>
      <c r="G600" s="98"/>
      <c r="H600" s="116"/>
      <c r="I600" s="111"/>
      <c r="J600" s="115"/>
      <c r="K600" s="108"/>
      <c r="L600" s="98"/>
      <c r="M600" s="116"/>
      <c r="N600" s="111"/>
      <c r="O600" s="115"/>
      <c r="P600" s="108"/>
      <c r="Q600" s="98"/>
      <c r="R600" s="116"/>
      <c r="S600" s="83"/>
      <c r="T600" s="83"/>
      <c r="U600" s="83"/>
      <c r="V600" s="83"/>
      <c r="W600" s="83"/>
      <c r="X600" s="83"/>
      <c r="Y600" s="83"/>
      <c r="Z600" s="83"/>
    </row>
    <row r="601">
      <c r="A601" s="113"/>
      <c r="B601" s="117"/>
      <c r="C601" s="94"/>
      <c r="D601" s="111"/>
      <c r="E601" s="115"/>
      <c r="F601" s="108"/>
      <c r="G601" s="98"/>
      <c r="H601" s="116"/>
      <c r="I601" s="111"/>
      <c r="J601" s="115"/>
      <c r="K601" s="108"/>
      <c r="L601" s="98"/>
      <c r="M601" s="116"/>
      <c r="N601" s="111"/>
      <c r="O601" s="115"/>
      <c r="P601" s="108"/>
      <c r="Q601" s="98"/>
      <c r="R601" s="116"/>
      <c r="S601" s="83"/>
      <c r="T601" s="83"/>
      <c r="U601" s="83"/>
      <c r="V601" s="83"/>
      <c r="W601" s="83"/>
      <c r="X601" s="83"/>
      <c r="Y601" s="83"/>
      <c r="Z601" s="83"/>
    </row>
    <row r="602">
      <c r="A602" s="113"/>
      <c r="B602" s="117"/>
      <c r="C602" s="94"/>
      <c r="D602" s="111"/>
      <c r="E602" s="115"/>
      <c r="F602" s="108"/>
      <c r="G602" s="98"/>
      <c r="H602" s="116"/>
      <c r="I602" s="111"/>
      <c r="J602" s="115"/>
      <c r="K602" s="108"/>
      <c r="L602" s="98"/>
      <c r="M602" s="116"/>
      <c r="N602" s="111"/>
      <c r="O602" s="115"/>
      <c r="P602" s="108"/>
      <c r="Q602" s="98"/>
      <c r="R602" s="116"/>
      <c r="S602" s="83"/>
      <c r="T602" s="83"/>
      <c r="U602" s="83"/>
      <c r="V602" s="83"/>
      <c r="W602" s="83"/>
      <c r="X602" s="83"/>
      <c r="Y602" s="83"/>
      <c r="Z602" s="83"/>
    </row>
    <row r="603">
      <c r="A603" s="113"/>
      <c r="B603" s="117"/>
      <c r="C603" s="94"/>
      <c r="D603" s="111"/>
      <c r="E603" s="115"/>
      <c r="F603" s="108"/>
      <c r="G603" s="98"/>
      <c r="H603" s="116"/>
      <c r="I603" s="111"/>
      <c r="J603" s="115"/>
      <c r="K603" s="108"/>
      <c r="L603" s="98"/>
      <c r="M603" s="116"/>
      <c r="N603" s="111"/>
      <c r="O603" s="115"/>
      <c r="P603" s="108"/>
      <c r="Q603" s="98"/>
      <c r="R603" s="116"/>
      <c r="S603" s="83"/>
      <c r="T603" s="83"/>
      <c r="U603" s="83"/>
      <c r="V603" s="83"/>
      <c r="W603" s="83"/>
      <c r="X603" s="83"/>
      <c r="Y603" s="83"/>
      <c r="Z603" s="83"/>
    </row>
    <row r="604">
      <c r="A604" s="113"/>
      <c r="B604" s="117"/>
      <c r="C604" s="94"/>
      <c r="D604" s="111"/>
      <c r="E604" s="115"/>
      <c r="F604" s="108"/>
      <c r="G604" s="98"/>
      <c r="H604" s="116"/>
      <c r="I604" s="111"/>
      <c r="J604" s="115"/>
      <c r="K604" s="108"/>
      <c r="L604" s="98"/>
      <c r="M604" s="116"/>
      <c r="N604" s="111"/>
      <c r="O604" s="115"/>
      <c r="P604" s="108"/>
      <c r="Q604" s="98"/>
      <c r="R604" s="116"/>
      <c r="S604" s="83"/>
      <c r="T604" s="83"/>
      <c r="U604" s="83"/>
      <c r="V604" s="83"/>
      <c r="W604" s="83"/>
      <c r="X604" s="83"/>
      <c r="Y604" s="83"/>
      <c r="Z604" s="83"/>
    </row>
    <row r="605">
      <c r="A605" s="113"/>
      <c r="B605" s="117"/>
      <c r="C605" s="94"/>
      <c r="D605" s="111"/>
      <c r="E605" s="115"/>
      <c r="F605" s="108"/>
      <c r="G605" s="98"/>
      <c r="H605" s="116"/>
      <c r="I605" s="111"/>
      <c r="J605" s="115"/>
      <c r="K605" s="108"/>
      <c r="L605" s="98"/>
      <c r="M605" s="116"/>
      <c r="N605" s="111"/>
      <c r="O605" s="115"/>
      <c r="P605" s="108"/>
      <c r="Q605" s="98"/>
      <c r="R605" s="116"/>
      <c r="S605" s="83"/>
      <c r="T605" s="83"/>
      <c r="U605" s="83"/>
      <c r="V605" s="83"/>
      <c r="W605" s="83"/>
      <c r="X605" s="83"/>
      <c r="Y605" s="83"/>
      <c r="Z605" s="83"/>
    </row>
    <row r="606">
      <c r="A606" s="113"/>
      <c r="B606" s="117"/>
      <c r="C606" s="94"/>
      <c r="D606" s="111"/>
      <c r="E606" s="115"/>
      <c r="F606" s="108"/>
      <c r="G606" s="98"/>
      <c r="H606" s="116"/>
      <c r="I606" s="111"/>
      <c r="J606" s="115"/>
      <c r="K606" s="108"/>
      <c r="L606" s="98"/>
      <c r="M606" s="116"/>
      <c r="N606" s="111"/>
      <c r="O606" s="115"/>
      <c r="P606" s="108"/>
      <c r="Q606" s="98"/>
      <c r="R606" s="116"/>
      <c r="S606" s="83"/>
      <c r="T606" s="83"/>
      <c r="U606" s="83"/>
      <c r="V606" s="83"/>
      <c r="W606" s="83"/>
      <c r="X606" s="83"/>
      <c r="Y606" s="83"/>
      <c r="Z606" s="83"/>
    </row>
    <row r="607">
      <c r="A607" s="113"/>
      <c r="B607" s="117"/>
      <c r="C607" s="94"/>
      <c r="D607" s="111"/>
      <c r="E607" s="115"/>
      <c r="F607" s="108"/>
      <c r="G607" s="98"/>
      <c r="H607" s="116"/>
      <c r="I607" s="111"/>
      <c r="J607" s="115"/>
      <c r="K607" s="108"/>
      <c r="L607" s="98"/>
      <c r="M607" s="116"/>
      <c r="N607" s="111"/>
      <c r="O607" s="115"/>
      <c r="P607" s="108"/>
      <c r="Q607" s="98"/>
      <c r="R607" s="116"/>
      <c r="S607" s="83"/>
      <c r="T607" s="83"/>
      <c r="U607" s="83"/>
      <c r="V607" s="83"/>
      <c r="W607" s="83"/>
      <c r="X607" s="83"/>
      <c r="Y607" s="83"/>
      <c r="Z607" s="83"/>
    </row>
    <row r="608">
      <c r="A608" s="113"/>
      <c r="B608" s="117"/>
      <c r="C608" s="94"/>
      <c r="D608" s="111"/>
      <c r="E608" s="115"/>
      <c r="F608" s="108"/>
      <c r="G608" s="98"/>
      <c r="H608" s="116"/>
      <c r="I608" s="111"/>
      <c r="J608" s="115"/>
      <c r="K608" s="108"/>
      <c r="L608" s="98"/>
      <c r="M608" s="116"/>
      <c r="N608" s="111"/>
      <c r="O608" s="115"/>
      <c r="P608" s="108"/>
      <c r="Q608" s="98"/>
      <c r="R608" s="116"/>
      <c r="S608" s="83"/>
      <c r="T608" s="83"/>
      <c r="U608" s="83"/>
      <c r="V608" s="83"/>
      <c r="W608" s="83"/>
      <c r="X608" s="83"/>
      <c r="Y608" s="83"/>
      <c r="Z608" s="83"/>
    </row>
    <row r="609">
      <c r="A609" s="113"/>
      <c r="B609" s="117"/>
      <c r="C609" s="94"/>
      <c r="D609" s="111"/>
      <c r="E609" s="115"/>
      <c r="F609" s="108"/>
      <c r="G609" s="98"/>
      <c r="H609" s="116"/>
      <c r="I609" s="111"/>
      <c r="J609" s="115"/>
      <c r="K609" s="108"/>
      <c r="L609" s="98"/>
      <c r="M609" s="116"/>
      <c r="N609" s="111"/>
      <c r="O609" s="115"/>
      <c r="P609" s="108"/>
      <c r="Q609" s="98"/>
      <c r="R609" s="116"/>
      <c r="S609" s="83"/>
      <c r="T609" s="83"/>
      <c r="U609" s="83"/>
      <c r="V609" s="83"/>
      <c r="W609" s="83"/>
      <c r="X609" s="83"/>
      <c r="Y609" s="83"/>
      <c r="Z609" s="83"/>
    </row>
    <row r="610">
      <c r="A610" s="113"/>
      <c r="B610" s="117"/>
      <c r="C610" s="94"/>
      <c r="D610" s="111"/>
      <c r="E610" s="115"/>
      <c r="F610" s="108"/>
      <c r="G610" s="98"/>
      <c r="H610" s="116"/>
      <c r="I610" s="111"/>
      <c r="J610" s="115"/>
      <c r="K610" s="108"/>
      <c r="L610" s="98"/>
      <c r="M610" s="116"/>
      <c r="N610" s="111"/>
      <c r="O610" s="115"/>
      <c r="P610" s="108"/>
      <c r="Q610" s="98"/>
      <c r="R610" s="116"/>
      <c r="S610" s="83"/>
      <c r="T610" s="83"/>
      <c r="U610" s="83"/>
      <c r="V610" s="83"/>
      <c r="W610" s="83"/>
      <c r="X610" s="83"/>
      <c r="Y610" s="83"/>
      <c r="Z610" s="83"/>
    </row>
    <row r="611">
      <c r="A611" s="113"/>
      <c r="B611" s="117"/>
      <c r="C611" s="94"/>
      <c r="D611" s="111"/>
      <c r="E611" s="115"/>
      <c r="F611" s="108"/>
      <c r="G611" s="98"/>
      <c r="H611" s="116"/>
      <c r="I611" s="111"/>
      <c r="J611" s="115"/>
      <c r="K611" s="108"/>
      <c r="L611" s="98"/>
      <c r="M611" s="116"/>
      <c r="N611" s="111"/>
      <c r="O611" s="115"/>
      <c r="P611" s="108"/>
      <c r="Q611" s="98"/>
      <c r="R611" s="116"/>
      <c r="S611" s="83"/>
      <c r="T611" s="83"/>
      <c r="U611" s="83"/>
      <c r="V611" s="83"/>
      <c r="W611" s="83"/>
      <c r="X611" s="83"/>
      <c r="Y611" s="83"/>
      <c r="Z611" s="83"/>
    </row>
    <row r="612">
      <c r="A612" s="113"/>
      <c r="B612" s="117"/>
      <c r="C612" s="94"/>
      <c r="D612" s="111"/>
      <c r="E612" s="115"/>
      <c r="F612" s="108"/>
      <c r="G612" s="98"/>
      <c r="H612" s="116"/>
      <c r="I612" s="111"/>
      <c r="J612" s="115"/>
      <c r="K612" s="108"/>
      <c r="L612" s="98"/>
      <c r="M612" s="116"/>
      <c r="N612" s="111"/>
      <c r="O612" s="115"/>
      <c r="P612" s="108"/>
      <c r="Q612" s="98"/>
      <c r="R612" s="116"/>
      <c r="S612" s="83"/>
      <c r="T612" s="83"/>
      <c r="U612" s="83"/>
      <c r="V612" s="83"/>
      <c r="W612" s="83"/>
      <c r="X612" s="83"/>
      <c r="Y612" s="83"/>
      <c r="Z612" s="83"/>
    </row>
    <row r="613">
      <c r="A613" s="113"/>
      <c r="B613" s="117"/>
      <c r="C613" s="94"/>
      <c r="D613" s="111"/>
      <c r="E613" s="115"/>
      <c r="F613" s="108"/>
      <c r="G613" s="98"/>
      <c r="H613" s="116"/>
      <c r="I613" s="111"/>
      <c r="J613" s="115"/>
      <c r="K613" s="108"/>
      <c r="L613" s="98"/>
      <c r="M613" s="116"/>
      <c r="N613" s="111"/>
      <c r="O613" s="115"/>
      <c r="P613" s="108"/>
      <c r="Q613" s="98"/>
      <c r="R613" s="116"/>
      <c r="S613" s="83"/>
      <c r="T613" s="83"/>
      <c r="U613" s="83"/>
      <c r="V613" s="83"/>
      <c r="W613" s="83"/>
      <c r="X613" s="83"/>
      <c r="Y613" s="83"/>
      <c r="Z613" s="83"/>
    </row>
    <row r="614">
      <c r="A614" s="113"/>
      <c r="B614" s="117"/>
      <c r="C614" s="94"/>
      <c r="D614" s="111"/>
      <c r="E614" s="115"/>
      <c r="F614" s="108"/>
      <c r="G614" s="98"/>
      <c r="H614" s="116"/>
      <c r="I614" s="111"/>
      <c r="J614" s="115"/>
      <c r="K614" s="108"/>
      <c r="L614" s="98"/>
      <c r="M614" s="116"/>
      <c r="N614" s="111"/>
      <c r="O614" s="115"/>
      <c r="P614" s="108"/>
      <c r="Q614" s="98"/>
      <c r="R614" s="116"/>
      <c r="S614" s="83"/>
      <c r="T614" s="83"/>
      <c r="U614" s="83"/>
      <c r="V614" s="83"/>
      <c r="W614" s="83"/>
      <c r="X614" s="83"/>
      <c r="Y614" s="83"/>
      <c r="Z614" s="83"/>
    </row>
    <row r="615">
      <c r="A615" s="113"/>
      <c r="B615" s="117"/>
      <c r="C615" s="94"/>
      <c r="D615" s="111"/>
      <c r="E615" s="115"/>
      <c r="F615" s="108"/>
      <c r="G615" s="98"/>
      <c r="H615" s="116"/>
      <c r="I615" s="111"/>
      <c r="J615" s="115"/>
      <c r="K615" s="108"/>
      <c r="L615" s="98"/>
      <c r="M615" s="116"/>
      <c r="N615" s="111"/>
      <c r="O615" s="115"/>
      <c r="P615" s="108"/>
      <c r="Q615" s="98"/>
      <c r="R615" s="116"/>
      <c r="S615" s="83"/>
      <c r="T615" s="83"/>
      <c r="U615" s="83"/>
      <c r="V615" s="83"/>
      <c r="W615" s="83"/>
      <c r="X615" s="83"/>
      <c r="Y615" s="83"/>
      <c r="Z615" s="83"/>
    </row>
    <row r="616">
      <c r="A616" s="113"/>
      <c r="B616" s="117"/>
      <c r="C616" s="94"/>
      <c r="D616" s="111"/>
      <c r="E616" s="115"/>
      <c r="F616" s="108"/>
      <c r="G616" s="98"/>
      <c r="H616" s="116"/>
      <c r="I616" s="111"/>
      <c r="J616" s="115"/>
      <c r="K616" s="108"/>
      <c r="L616" s="98"/>
      <c r="M616" s="116"/>
      <c r="N616" s="111"/>
      <c r="O616" s="115"/>
      <c r="P616" s="108"/>
      <c r="Q616" s="98"/>
      <c r="R616" s="116"/>
      <c r="S616" s="83"/>
      <c r="T616" s="83"/>
      <c r="U616" s="83"/>
      <c r="V616" s="83"/>
      <c r="W616" s="83"/>
      <c r="X616" s="83"/>
      <c r="Y616" s="83"/>
      <c r="Z616" s="83"/>
    </row>
    <row r="617">
      <c r="A617" s="113"/>
      <c r="B617" s="117"/>
      <c r="C617" s="94"/>
      <c r="D617" s="111"/>
      <c r="E617" s="115"/>
      <c r="F617" s="108"/>
      <c r="G617" s="98"/>
      <c r="H617" s="116"/>
      <c r="I617" s="111"/>
      <c r="J617" s="115"/>
      <c r="K617" s="108"/>
      <c r="L617" s="98"/>
      <c r="M617" s="116"/>
      <c r="N617" s="111"/>
      <c r="O617" s="115"/>
      <c r="P617" s="108"/>
      <c r="Q617" s="98"/>
      <c r="R617" s="116"/>
      <c r="S617" s="83"/>
      <c r="T617" s="83"/>
      <c r="U617" s="83"/>
      <c r="V617" s="83"/>
      <c r="W617" s="83"/>
      <c r="X617" s="83"/>
      <c r="Y617" s="83"/>
      <c r="Z617" s="83"/>
    </row>
    <row r="618">
      <c r="A618" s="113"/>
      <c r="B618" s="117"/>
      <c r="C618" s="94"/>
      <c r="D618" s="111"/>
      <c r="E618" s="115"/>
      <c r="F618" s="108"/>
      <c r="G618" s="98"/>
      <c r="H618" s="116"/>
      <c r="I618" s="111"/>
      <c r="J618" s="115"/>
      <c r="K618" s="108"/>
      <c r="L618" s="98"/>
      <c r="M618" s="116"/>
      <c r="N618" s="111"/>
      <c r="O618" s="115"/>
      <c r="P618" s="108"/>
      <c r="Q618" s="98"/>
      <c r="R618" s="116"/>
      <c r="S618" s="83"/>
      <c r="T618" s="83"/>
      <c r="U618" s="83"/>
      <c r="V618" s="83"/>
      <c r="W618" s="83"/>
      <c r="X618" s="83"/>
      <c r="Y618" s="83"/>
      <c r="Z618" s="83"/>
    </row>
    <row r="619">
      <c r="A619" s="113"/>
      <c r="B619" s="117"/>
      <c r="C619" s="94"/>
      <c r="D619" s="111"/>
      <c r="E619" s="115"/>
      <c r="F619" s="108"/>
      <c r="G619" s="98"/>
      <c r="H619" s="116"/>
      <c r="I619" s="111"/>
      <c r="J619" s="115"/>
      <c r="K619" s="108"/>
      <c r="L619" s="98"/>
      <c r="M619" s="116"/>
      <c r="N619" s="111"/>
      <c r="O619" s="115"/>
      <c r="P619" s="108"/>
      <c r="Q619" s="98"/>
      <c r="R619" s="116"/>
      <c r="S619" s="83"/>
      <c r="T619" s="83"/>
      <c r="U619" s="83"/>
      <c r="V619" s="83"/>
      <c r="W619" s="83"/>
      <c r="X619" s="83"/>
      <c r="Y619" s="83"/>
      <c r="Z619" s="83"/>
    </row>
    <row r="620">
      <c r="A620" s="113"/>
      <c r="B620" s="117"/>
      <c r="C620" s="94"/>
      <c r="D620" s="111"/>
      <c r="E620" s="115"/>
      <c r="F620" s="108"/>
      <c r="G620" s="98"/>
      <c r="H620" s="116"/>
      <c r="I620" s="111"/>
      <c r="J620" s="115"/>
      <c r="K620" s="108"/>
      <c r="L620" s="98"/>
      <c r="M620" s="116"/>
      <c r="N620" s="111"/>
      <c r="O620" s="115"/>
      <c r="P620" s="108"/>
      <c r="Q620" s="98"/>
      <c r="R620" s="116"/>
      <c r="S620" s="83"/>
      <c r="T620" s="83"/>
      <c r="U620" s="83"/>
      <c r="V620" s="83"/>
      <c r="W620" s="83"/>
      <c r="X620" s="83"/>
      <c r="Y620" s="83"/>
      <c r="Z620" s="83"/>
    </row>
    <row r="621">
      <c r="A621" s="113"/>
      <c r="B621" s="117"/>
      <c r="C621" s="94"/>
      <c r="D621" s="111"/>
      <c r="E621" s="115"/>
      <c r="F621" s="108"/>
      <c r="G621" s="98"/>
      <c r="H621" s="116"/>
      <c r="I621" s="111"/>
      <c r="J621" s="115"/>
      <c r="K621" s="108"/>
      <c r="L621" s="98"/>
      <c r="M621" s="116"/>
      <c r="N621" s="111"/>
      <c r="O621" s="115"/>
      <c r="P621" s="108"/>
      <c r="Q621" s="98"/>
      <c r="R621" s="116"/>
      <c r="S621" s="83"/>
      <c r="T621" s="83"/>
      <c r="U621" s="83"/>
      <c r="V621" s="83"/>
      <c r="W621" s="83"/>
      <c r="X621" s="83"/>
      <c r="Y621" s="83"/>
      <c r="Z621" s="83"/>
    </row>
    <row r="622">
      <c r="A622" s="113"/>
      <c r="B622" s="117"/>
      <c r="C622" s="94"/>
      <c r="D622" s="111"/>
      <c r="E622" s="115"/>
      <c r="F622" s="108"/>
      <c r="G622" s="98"/>
      <c r="H622" s="116"/>
      <c r="I622" s="111"/>
      <c r="J622" s="115"/>
      <c r="K622" s="108"/>
      <c r="L622" s="98"/>
      <c r="M622" s="116"/>
      <c r="N622" s="111"/>
      <c r="O622" s="115"/>
      <c r="P622" s="108"/>
      <c r="Q622" s="98"/>
      <c r="R622" s="116"/>
      <c r="S622" s="83"/>
      <c r="T622" s="83"/>
      <c r="U622" s="83"/>
      <c r="V622" s="83"/>
      <c r="W622" s="83"/>
      <c r="X622" s="83"/>
      <c r="Y622" s="83"/>
      <c r="Z622" s="83"/>
    </row>
    <row r="623">
      <c r="A623" s="113"/>
      <c r="B623" s="117"/>
      <c r="C623" s="94"/>
      <c r="D623" s="111"/>
      <c r="E623" s="115"/>
      <c r="F623" s="108"/>
      <c r="G623" s="98"/>
      <c r="H623" s="116"/>
      <c r="I623" s="111"/>
      <c r="J623" s="115"/>
      <c r="K623" s="108"/>
      <c r="L623" s="98"/>
      <c r="M623" s="116"/>
      <c r="N623" s="111"/>
      <c r="O623" s="115"/>
      <c r="P623" s="108"/>
      <c r="Q623" s="98"/>
      <c r="R623" s="116"/>
      <c r="S623" s="83"/>
      <c r="T623" s="83"/>
      <c r="U623" s="83"/>
      <c r="V623" s="83"/>
      <c r="W623" s="83"/>
      <c r="X623" s="83"/>
      <c r="Y623" s="83"/>
      <c r="Z623" s="83"/>
    </row>
    <row r="624">
      <c r="A624" s="113"/>
      <c r="B624" s="117"/>
      <c r="C624" s="94"/>
      <c r="D624" s="111"/>
      <c r="E624" s="115"/>
      <c r="F624" s="108"/>
      <c r="G624" s="98"/>
      <c r="H624" s="116"/>
      <c r="I624" s="111"/>
      <c r="J624" s="115"/>
      <c r="K624" s="108"/>
      <c r="L624" s="98"/>
      <c r="M624" s="116"/>
      <c r="N624" s="111"/>
      <c r="O624" s="115"/>
      <c r="P624" s="108"/>
      <c r="Q624" s="98"/>
      <c r="R624" s="116"/>
      <c r="S624" s="83"/>
      <c r="T624" s="83"/>
      <c r="U624" s="83"/>
      <c r="V624" s="83"/>
      <c r="W624" s="83"/>
      <c r="X624" s="83"/>
      <c r="Y624" s="83"/>
      <c r="Z624" s="83"/>
    </row>
    <row r="625">
      <c r="A625" s="113"/>
      <c r="B625" s="117"/>
      <c r="C625" s="94"/>
      <c r="D625" s="111"/>
      <c r="E625" s="115"/>
      <c r="F625" s="108"/>
      <c r="G625" s="98"/>
      <c r="H625" s="116"/>
      <c r="I625" s="111"/>
      <c r="J625" s="115"/>
      <c r="K625" s="108"/>
      <c r="L625" s="98"/>
      <c r="M625" s="116"/>
      <c r="N625" s="111"/>
      <c r="O625" s="115"/>
      <c r="P625" s="108"/>
      <c r="Q625" s="98"/>
      <c r="R625" s="116"/>
      <c r="S625" s="83"/>
      <c r="T625" s="83"/>
      <c r="U625" s="83"/>
      <c r="V625" s="83"/>
      <c r="W625" s="83"/>
      <c r="X625" s="83"/>
      <c r="Y625" s="83"/>
      <c r="Z625" s="83"/>
    </row>
    <row r="626">
      <c r="A626" s="113"/>
      <c r="B626" s="117"/>
      <c r="C626" s="94"/>
      <c r="D626" s="111"/>
      <c r="E626" s="115"/>
      <c r="F626" s="108"/>
      <c r="G626" s="98"/>
      <c r="H626" s="116"/>
      <c r="I626" s="111"/>
      <c r="J626" s="115"/>
      <c r="K626" s="108"/>
      <c r="L626" s="98"/>
      <c r="M626" s="116"/>
      <c r="N626" s="111"/>
      <c r="O626" s="115"/>
      <c r="P626" s="108"/>
      <c r="Q626" s="98"/>
      <c r="R626" s="116"/>
      <c r="S626" s="83"/>
      <c r="T626" s="83"/>
      <c r="U626" s="83"/>
      <c r="V626" s="83"/>
      <c r="W626" s="83"/>
      <c r="X626" s="83"/>
      <c r="Y626" s="83"/>
      <c r="Z626" s="83"/>
    </row>
    <row r="627">
      <c r="A627" s="113"/>
      <c r="B627" s="117"/>
      <c r="C627" s="94"/>
      <c r="D627" s="111"/>
      <c r="E627" s="115"/>
      <c r="F627" s="108"/>
      <c r="G627" s="98"/>
      <c r="H627" s="116"/>
      <c r="I627" s="111"/>
      <c r="J627" s="115"/>
      <c r="K627" s="108"/>
      <c r="L627" s="98"/>
      <c r="M627" s="116"/>
      <c r="N627" s="111"/>
      <c r="O627" s="115"/>
      <c r="P627" s="108"/>
      <c r="Q627" s="98"/>
      <c r="R627" s="116"/>
      <c r="S627" s="83"/>
      <c r="T627" s="83"/>
      <c r="U627" s="83"/>
      <c r="V627" s="83"/>
      <c r="W627" s="83"/>
      <c r="X627" s="83"/>
      <c r="Y627" s="83"/>
      <c r="Z627" s="83"/>
    </row>
    <row r="628">
      <c r="A628" s="113"/>
      <c r="B628" s="117"/>
      <c r="C628" s="94"/>
      <c r="D628" s="111"/>
      <c r="E628" s="115"/>
      <c r="F628" s="108"/>
      <c r="G628" s="98"/>
      <c r="H628" s="116"/>
      <c r="I628" s="111"/>
      <c r="J628" s="115"/>
      <c r="K628" s="108"/>
      <c r="L628" s="98"/>
      <c r="M628" s="116"/>
      <c r="N628" s="111"/>
      <c r="O628" s="115"/>
      <c r="P628" s="108"/>
      <c r="Q628" s="98"/>
      <c r="R628" s="116"/>
      <c r="S628" s="83"/>
      <c r="T628" s="83"/>
      <c r="U628" s="83"/>
      <c r="V628" s="83"/>
      <c r="W628" s="83"/>
      <c r="X628" s="83"/>
      <c r="Y628" s="83"/>
      <c r="Z628" s="83"/>
    </row>
    <row r="629">
      <c r="A629" s="113"/>
      <c r="B629" s="117"/>
      <c r="C629" s="94"/>
      <c r="D629" s="111"/>
      <c r="E629" s="115"/>
      <c r="F629" s="108"/>
      <c r="G629" s="98"/>
      <c r="H629" s="116"/>
      <c r="I629" s="111"/>
      <c r="J629" s="115"/>
      <c r="K629" s="108"/>
      <c r="L629" s="98"/>
      <c r="M629" s="116"/>
      <c r="N629" s="111"/>
      <c r="O629" s="115"/>
      <c r="P629" s="108"/>
      <c r="Q629" s="98"/>
      <c r="R629" s="116"/>
      <c r="S629" s="83"/>
      <c r="T629" s="83"/>
      <c r="U629" s="83"/>
      <c r="V629" s="83"/>
      <c r="W629" s="83"/>
      <c r="X629" s="83"/>
      <c r="Y629" s="83"/>
      <c r="Z629" s="83"/>
    </row>
    <row r="630">
      <c r="A630" s="113"/>
      <c r="B630" s="117"/>
      <c r="C630" s="94"/>
      <c r="D630" s="111"/>
      <c r="E630" s="115"/>
      <c r="F630" s="108"/>
      <c r="G630" s="98"/>
      <c r="H630" s="116"/>
      <c r="I630" s="111"/>
      <c r="J630" s="115"/>
      <c r="K630" s="108"/>
      <c r="L630" s="98"/>
      <c r="M630" s="116"/>
      <c r="N630" s="111"/>
      <c r="O630" s="115"/>
      <c r="P630" s="108"/>
      <c r="Q630" s="98"/>
      <c r="R630" s="116"/>
      <c r="S630" s="83"/>
      <c r="T630" s="83"/>
      <c r="U630" s="83"/>
      <c r="V630" s="83"/>
      <c r="W630" s="83"/>
      <c r="X630" s="83"/>
      <c r="Y630" s="83"/>
      <c r="Z630" s="83"/>
    </row>
    <row r="631">
      <c r="A631" s="113"/>
      <c r="B631" s="117"/>
      <c r="C631" s="94"/>
      <c r="D631" s="111"/>
      <c r="E631" s="115"/>
      <c r="F631" s="108"/>
      <c r="G631" s="98"/>
      <c r="H631" s="116"/>
      <c r="I631" s="111"/>
      <c r="J631" s="115"/>
      <c r="K631" s="108"/>
      <c r="L631" s="98"/>
      <c r="M631" s="116"/>
      <c r="N631" s="111"/>
      <c r="O631" s="115"/>
      <c r="P631" s="108"/>
      <c r="Q631" s="98"/>
      <c r="R631" s="116"/>
      <c r="S631" s="83"/>
      <c r="T631" s="83"/>
      <c r="U631" s="83"/>
      <c r="V631" s="83"/>
      <c r="W631" s="83"/>
      <c r="X631" s="83"/>
      <c r="Y631" s="83"/>
      <c r="Z631" s="83"/>
    </row>
    <row r="632">
      <c r="A632" s="113"/>
      <c r="B632" s="117"/>
      <c r="C632" s="94"/>
      <c r="D632" s="111"/>
      <c r="E632" s="115"/>
      <c r="F632" s="108"/>
      <c r="G632" s="98"/>
      <c r="H632" s="116"/>
      <c r="I632" s="111"/>
      <c r="J632" s="115"/>
      <c r="K632" s="108"/>
      <c r="L632" s="98"/>
      <c r="M632" s="116"/>
      <c r="N632" s="111"/>
      <c r="O632" s="115"/>
      <c r="P632" s="108"/>
      <c r="Q632" s="98"/>
      <c r="R632" s="116"/>
      <c r="S632" s="83"/>
      <c r="T632" s="83"/>
      <c r="U632" s="83"/>
      <c r="V632" s="83"/>
      <c r="W632" s="83"/>
      <c r="X632" s="83"/>
      <c r="Y632" s="83"/>
      <c r="Z632" s="83"/>
    </row>
    <row r="633">
      <c r="A633" s="113"/>
      <c r="B633" s="117"/>
      <c r="C633" s="94"/>
      <c r="D633" s="111"/>
      <c r="E633" s="115"/>
      <c r="F633" s="108"/>
      <c r="G633" s="98"/>
      <c r="H633" s="116"/>
      <c r="I633" s="111"/>
      <c r="J633" s="115"/>
      <c r="K633" s="108"/>
      <c r="L633" s="98"/>
      <c r="M633" s="116"/>
      <c r="N633" s="111"/>
      <c r="O633" s="115"/>
      <c r="P633" s="108"/>
      <c r="Q633" s="98"/>
      <c r="R633" s="116"/>
      <c r="S633" s="83"/>
      <c r="T633" s="83"/>
      <c r="U633" s="83"/>
      <c r="V633" s="83"/>
      <c r="W633" s="83"/>
      <c r="X633" s="83"/>
      <c r="Y633" s="83"/>
      <c r="Z633" s="83"/>
    </row>
    <row r="634">
      <c r="A634" s="113"/>
      <c r="B634" s="117"/>
      <c r="C634" s="94"/>
      <c r="D634" s="111"/>
      <c r="E634" s="115"/>
      <c r="F634" s="108"/>
      <c r="G634" s="98"/>
      <c r="H634" s="116"/>
      <c r="I634" s="111"/>
      <c r="J634" s="115"/>
      <c r="K634" s="108"/>
      <c r="L634" s="98"/>
      <c r="M634" s="116"/>
      <c r="N634" s="111"/>
      <c r="O634" s="115"/>
      <c r="P634" s="108"/>
      <c r="Q634" s="98"/>
      <c r="R634" s="116"/>
      <c r="S634" s="83"/>
      <c r="T634" s="83"/>
      <c r="U634" s="83"/>
      <c r="V634" s="83"/>
      <c r="W634" s="83"/>
      <c r="X634" s="83"/>
      <c r="Y634" s="83"/>
      <c r="Z634" s="83"/>
    </row>
    <row r="635">
      <c r="A635" s="113"/>
      <c r="B635" s="117"/>
      <c r="C635" s="94"/>
      <c r="D635" s="111"/>
      <c r="E635" s="115"/>
      <c r="F635" s="108"/>
      <c r="G635" s="98"/>
      <c r="H635" s="116"/>
      <c r="I635" s="111"/>
      <c r="J635" s="115"/>
      <c r="K635" s="108"/>
      <c r="L635" s="98"/>
      <c r="M635" s="116"/>
      <c r="N635" s="111"/>
      <c r="O635" s="115"/>
      <c r="P635" s="108"/>
      <c r="Q635" s="98"/>
      <c r="R635" s="116"/>
      <c r="S635" s="83"/>
      <c r="T635" s="83"/>
      <c r="U635" s="83"/>
      <c r="V635" s="83"/>
      <c r="W635" s="83"/>
      <c r="X635" s="83"/>
      <c r="Y635" s="83"/>
      <c r="Z635" s="83"/>
    </row>
    <row r="636">
      <c r="A636" s="113"/>
      <c r="B636" s="117"/>
      <c r="C636" s="94"/>
      <c r="D636" s="111"/>
      <c r="E636" s="115"/>
      <c r="F636" s="108"/>
      <c r="G636" s="98"/>
      <c r="H636" s="116"/>
      <c r="I636" s="111"/>
      <c r="J636" s="115"/>
      <c r="K636" s="108"/>
      <c r="L636" s="98"/>
      <c r="M636" s="116"/>
      <c r="N636" s="111"/>
      <c r="O636" s="115"/>
      <c r="P636" s="108"/>
      <c r="Q636" s="98"/>
      <c r="R636" s="116"/>
      <c r="S636" s="83"/>
      <c r="T636" s="83"/>
      <c r="U636" s="83"/>
      <c r="V636" s="83"/>
      <c r="W636" s="83"/>
      <c r="X636" s="83"/>
      <c r="Y636" s="83"/>
      <c r="Z636" s="83"/>
    </row>
    <row r="637">
      <c r="A637" s="113"/>
      <c r="B637" s="117"/>
      <c r="C637" s="94"/>
      <c r="D637" s="111"/>
      <c r="E637" s="115"/>
      <c r="F637" s="108"/>
      <c r="G637" s="98"/>
      <c r="H637" s="116"/>
      <c r="I637" s="111"/>
      <c r="J637" s="115"/>
      <c r="K637" s="108"/>
      <c r="L637" s="98"/>
      <c r="M637" s="116"/>
      <c r="N637" s="111"/>
      <c r="O637" s="115"/>
      <c r="P637" s="108"/>
      <c r="Q637" s="98"/>
      <c r="R637" s="116"/>
      <c r="S637" s="83"/>
      <c r="T637" s="83"/>
      <c r="U637" s="83"/>
      <c r="V637" s="83"/>
      <c r="W637" s="83"/>
      <c r="X637" s="83"/>
      <c r="Y637" s="83"/>
      <c r="Z637" s="83"/>
    </row>
    <row r="638">
      <c r="A638" s="113"/>
      <c r="B638" s="117"/>
      <c r="C638" s="94"/>
      <c r="D638" s="111"/>
      <c r="E638" s="115"/>
      <c r="F638" s="108"/>
      <c r="G638" s="98"/>
      <c r="H638" s="116"/>
      <c r="I638" s="111"/>
      <c r="J638" s="115"/>
      <c r="K638" s="108"/>
      <c r="L638" s="98"/>
      <c r="M638" s="116"/>
      <c r="N638" s="111"/>
      <c r="O638" s="115"/>
      <c r="P638" s="108"/>
      <c r="Q638" s="98"/>
      <c r="R638" s="116"/>
      <c r="S638" s="83"/>
      <c r="T638" s="83"/>
      <c r="U638" s="83"/>
      <c r="V638" s="83"/>
      <c r="W638" s="83"/>
      <c r="X638" s="83"/>
      <c r="Y638" s="83"/>
      <c r="Z638" s="83"/>
    </row>
    <row r="639">
      <c r="A639" s="113"/>
      <c r="B639" s="117"/>
      <c r="C639" s="94"/>
      <c r="D639" s="111"/>
      <c r="E639" s="115"/>
      <c r="F639" s="108"/>
      <c r="G639" s="98"/>
      <c r="H639" s="116"/>
      <c r="I639" s="111"/>
      <c r="J639" s="115"/>
      <c r="K639" s="108"/>
      <c r="L639" s="98"/>
      <c r="M639" s="116"/>
      <c r="N639" s="111"/>
      <c r="O639" s="115"/>
      <c r="P639" s="108"/>
      <c r="Q639" s="98"/>
      <c r="R639" s="116"/>
      <c r="S639" s="83"/>
      <c r="T639" s="83"/>
      <c r="U639" s="83"/>
      <c r="V639" s="83"/>
      <c r="W639" s="83"/>
      <c r="X639" s="83"/>
      <c r="Y639" s="83"/>
      <c r="Z639" s="83"/>
    </row>
    <row r="640">
      <c r="A640" s="113"/>
      <c r="B640" s="117"/>
      <c r="C640" s="94"/>
      <c r="D640" s="111"/>
      <c r="E640" s="115"/>
      <c r="F640" s="108"/>
      <c r="G640" s="98"/>
      <c r="H640" s="116"/>
      <c r="I640" s="111"/>
      <c r="J640" s="115"/>
      <c r="K640" s="108"/>
      <c r="L640" s="98"/>
      <c r="M640" s="116"/>
      <c r="N640" s="111"/>
      <c r="O640" s="115"/>
      <c r="P640" s="108"/>
      <c r="Q640" s="98"/>
      <c r="R640" s="116"/>
      <c r="S640" s="83"/>
      <c r="T640" s="83"/>
      <c r="U640" s="83"/>
      <c r="V640" s="83"/>
      <c r="W640" s="83"/>
      <c r="X640" s="83"/>
      <c r="Y640" s="83"/>
      <c r="Z640" s="83"/>
    </row>
    <row r="641">
      <c r="A641" s="113"/>
      <c r="B641" s="117"/>
      <c r="C641" s="94"/>
      <c r="D641" s="111"/>
      <c r="E641" s="115"/>
      <c r="F641" s="108"/>
      <c r="G641" s="98"/>
      <c r="H641" s="116"/>
      <c r="I641" s="111"/>
      <c r="J641" s="115"/>
      <c r="K641" s="108"/>
      <c r="L641" s="98"/>
      <c r="M641" s="116"/>
      <c r="N641" s="111"/>
      <c r="O641" s="115"/>
      <c r="P641" s="108"/>
      <c r="Q641" s="98"/>
      <c r="R641" s="116"/>
      <c r="S641" s="83"/>
      <c r="T641" s="83"/>
      <c r="U641" s="83"/>
      <c r="V641" s="83"/>
      <c r="W641" s="83"/>
      <c r="X641" s="83"/>
      <c r="Y641" s="83"/>
      <c r="Z641" s="83"/>
    </row>
    <row r="642">
      <c r="A642" s="113"/>
      <c r="B642" s="117"/>
      <c r="C642" s="94"/>
      <c r="D642" s="111"/>
      <c r="E642" s="115"/>
      <c r="F642" s="108"/>
      <c r="G642" s="98"/>
      <c r="H642" s="116"/>
      <c r="I642" s="111"/>
      <c r="J642" s="115"/>
      <c r="K642" s="108"/>
      <c r="L642" s="98"/>
      <c r="M642" s="116"/>
      <c r="N642" s="111"/>
      <c r="O642" s="115"/>
      <c r="P642" s="108"/>
      <c r="Q642" s="98"/>
      <c r="R642" s="116"/>
      <c r="S642" s="83"/>
      <c r="T642" s="83"/>
      <c r="U642" s="83"/>
      <c r="V642" s="83"/>
      <c r="W642" s="83"/>
      <c r="X642" s="83"/>
      <c r="Y642" s="83"/>
      <c r="Z642" s="83"/>
    </row>
    <row r="643">
      <c r="A643" s="113"/>
      <c r="B643" s="117"/>
      <c r="C643" s="94"/>
      <c r="D643" s="111"/>
      <c r="E643" s="115"/>
      <c r="F643" s="108"/>
      <c r="G643" s="98"/>
      <c r="H643" s="116"/>
      <c r="I643" s="111"/>
      <c r="J643" s="115"/>
      <c r="K643" s="108"/>
      <c r="L643" s="98"/>
      <c r="M643" s="116"/>
      <c r="N643" s="111"/>
      <c r="O643" s="115"/>
      <c r="P643" s="108"/>
      <c r="Q643" s="98"/>
      <c r="R643" s="116"/>
      <c r="S643" s="83"/>
      <c r="T643" s="83"/>
      <c r="U643" s="83"/>
      <c r="V643" s="83"/>
      <c r="W643" s="83"/>
      <c r="X643" s="83"/>
      <c r="Y643" s="83"/>
      <c r="Z643" s="83"/>
    </row>
    <row r="644">
      <c r="A644" s="113"/>
      <c r="B644" s="117"/>
      <c r="C644" s="94"/>
      <c r="D644" s="111"/>
      <c r="E644" s="115"/>
      <c r="F644" s="108"/>
      <c r="G644" s="98"/>
      <c r="H644" s="116"/>
      <c r="I644" s="111"/>
      <c r="J644" s="115"/>
      <c r="K644" s="108"/>
      <c r="L644" s="98"/>
      <c r="M644" s="116"/>
      <c r="N644" s="111"/>
      <c r="O644" s="115"/>
      <c r="P644" s="108"/>
      <c r="Q644" s="98"/>
      <c r="R644" s="116"/>
      <c r="S644" s="83"/>
      <c r="T644" s="83"/>
      <c r="U644" s="83"/>
      <c r="V644" s="83"/>
      <c r="W644" s="83"/>
      <c r="X644" s="83"/>
      <c r="Y644" s="83"/>
      <c r="Z644" s="83"/>
    </row>
    <row r="645">
      <c r="A645" s="113"/>
      <c r="B645" s="117"/>
      <c r="C645" s="94"/>
      <c r="D645" s="111"/>
      <c r="E645" s="115"/>
      <c r="F645" s="108"/>
      <c r="G645" s="98"/>
      <c r="H645" s="116"/>
      <c r="I645" s="111"/>
      <c r="J645" s="115"/>
      <c r="K645" s="108"/>
      <c r="L645" s="98"/>
      <c r="M645" s="116"/>
      <c r="N645" s="111"/>
      <c r="O645" s="115"/>
      <c r="P645" s="108"/>
      <c r="Q645" s="98"/>
      <c r="R645" s="116"/>
      <c r="S645" s="83"/>
      <c r="T645" s="83"/>
      <c r="U645" s="83"/>
      <c r="V645" s="83"/>
      <c r="W645" s="83"/>
      <c r="X645" s="83"/>
      <c r="Y645" s="83"/>
      <c r="Z645" s="83"/>
    </row>
    <row r="646">
      <c r="A646" s="113"/>
      <c r="B646" s="117"/>
      <c r="C646" s="94"/>
      <c r="D646" s="111"/>
      <c r="E646" s="115"/>
      <c r="F646" s="108"/>
      <c r="G646" s="98"/>
      <c r="H646" s="116"/>
      <c r="I646" s="111"/>
      <c r="J646" s="115"/>
      <c r="K646" s="108"/>
      <c r="L646" s="98"/>
      <c r="M646" s="116"/>
      <c r="N646" s="111"/>
      <c r="O646" s="115"/>
      <c r="P646" s="108"/>
      <c r="Q646" s="98"/>
      <c r="R646" s="116"/>
      <c r="S646" s="83"/>
      <c r="T646" s="83"/>
      <c r="U646" s="83"/>
      <c r="V646" s="83"/>
      <c r="W646" s="83"/>
      <c r="X646" s="83"/>
      <c r="Y646" s="83"/>
      <c r="Z646" s="83"/>
    </row>
    <row r="647">
      <c r="A647" s="113"/>
      <c r="B647" s="117"/>
      <c r="C647" s="94"/>
      <c r="D647" s="111"/>
      <c r="E647" s="115"/>
      <c r="F647" s="108"/>
      <c r="G647" s="98"/>
      <c r="H647" s="116"/>
      <c r="I647" s="111"/>
      <c r="J647" s="115"/>
      <c r="K647" s="108"/>
      <c r="L647" s="98"/>
      <c r="M647" s="116"/>
      <c r="N647" s="111"/>
      <c r="O647" s="115"/>
      <c r="P647" s="108"/>
      <c r="Q647" s="98"/>
      <c r="R647" s="116"/>
      <c r="S647" s="83"/>
      <c r="T647" s="83"/>
      <c r="U647" s="83"/>
      <c r="V647" s="83"/>
      <c r="W647" s="83"/>
      <c r="X647" s="83"/>
      <c r="Y647" s="83"/>
      <c r="Z647" s="83"/>
    </row>
    <row r="648">
      <c r="A648" s="113"/>
      <c r="B648" s="117"/>
      <c r="C648" s="94"/>
      <c r="D648" s="111"/>
      <c r="E648" s="115"/>
      <c r="F648" s="108"/>
      <c r="G648" s="98"/>
      <c r="H648" s="116"/>
      <c r="I648" s="111"/>
      <c r="J648" s="115"/>
      <c r="K648" s="108"/>
      <c r="L648" s="98"/>
      <c r="M648" s="116"/>
      <c r="N648" s="111"/>
      <c r="O648" s="115"/>
      <c r="P648" s="108"/>
      <c r="Q648" s="98"/>
      <c r="R648" s="116"/>
      <c r="S648" s="83"/>
      <c r="T648" s="83"/>
      <c r="U648" s="83"/>
      <c r="V648" s="83"/>
      <c r="W648" s="83"/>
      <c r="X648" s="83"/>
      <c r="Y648" s="83"/>
      <c r="Z648" s="83"/>
    </row>
    <row r="649">
      <c r="A649" s="113"/>
      <c r="B649" s="117"/>
      <c r="C649" s="94"/>
      <c r="D649" s="111"/>
      <c r="E649" s="115"/>
      <c r="F649" s="108"/>
      <c r="G649" s="98"/>
      <c r="H649" s="116"/>
      <c r="I649" s="111"/>
      <c r="J649" s="115"/>
      <c r="K649" s="108"/>
      <c r="L649" s="98"/>
      <c r="M649" s="116"/>
      <c r="N649" s="111"/>
      <c r="O649" s="115"/>
      <c r="P649" s="108"/>
      <c r="Q649" s="98"/>
      <c r="R649" s="116"/>
      <c r="S649" s="83"/>
      <c r="T649" s="83"/>
      <c r="U649" s="83"/>
      <c r="V649" s="83"/>
      <c r="W649" s="83"/>
      <c r="X649" s="83"/>
      <c r="Y649" s="83"/>
      <c r="Z649" s="83"/>
    </row>
    <row r="650">
      <c r="A650" s="113"/>
      <c r="B650" s="117"/>
      <c r="C650" s="94"/>
      <c r="D650" s="111"/>
      <c r="E650" s="115"/>
      <c r="F650" s="108"/>
      <c r="G650" s="98"/>
      <c r="H650" s="116"/>
      <c r="I650" s="111"/>
      <c r="J650" s="115"/>
      <c r="K650" s="108"/>
      <c r="L650" s="98"/>
      <c r="M650" s="116"/>
      <c r="N650" s="111"/>
      <c r="O650" s="115"/>
      <c r="P650" s="108"/>
      <c r="Q650" s="98"/>
      <c r="R650" s="116"/>
      <c r="S650" s="83"/>
      <c r="T650" s="83"/>
      <c r="U650" s="83"/>
      <c r="V650" s="83"/>
      <c r="W650" s="83"/>
      <c r="X650" s="83"/>
      <c r="Y650" s="83"/>
      <c r="Z650" s="83"/>
    </row>
    <row r="651">
      <c r="A651" s="113"/>
      <c r="B651" s="117"/>
      <c r="C651" s="94"/>
      <c r="D651" s="111"/>
      <c r="E651" s="115"/>
      <c r="F651" s="108"/>
      <c r="G651" s="98"/>
      <c r="H651" s="116"/>
      <c r="I651" s="111"/>
      <c r="J651" s="115"/>
      <c r="K651" s="108"/>
      <c r="L651" s="98"/>
      <c r="M651" s="116"/>
      <c r="N651" s="111"/>
      <c r="O651" s="115"/>
      <c r="P651" s="108"/>
      <c r="Q651" s="98"/>
      <c r="R651" s="116"/>
      <c r="S651" s="83"/>
      <c r="T651" s="83"/>
      <c r="U651" s="83"/>
      <c r="V651" s="83"/>
      <c r="W651" s="83"/>
      <c r="X651" s="83"/>
      <c r="Y651" s="83"/>
      <c r="Z651" s="83"/>
    </row>
    <row r="652">
      <c r="A652" s="113"/>
      <c r="B652" s="117"/>
      <c r="C652" s="94"/>
      <c r="D652" s="111"/>
      <c r="E652" s="115"/>
      <c r="F652" s="108"/>
      <c r="G652" s="98"/>
      <c r="H652" s="116"/>
      <c r="I652" s="111"/>
      <c r="J652" s="115"/>
      <c r="K652" s="108"/>
      <c r="L652" s="98"/>
      <c r="M652" s="116"/>
      <c r="N652" s="111"/>
      <c r="O652" s="115"/>
      <c r="P652" s="108"/>
      <c r="Q652" s="98"/>
      <c r="R652" s="116"/>
      <c r="S652" s="83"/>
      <c r="T652" s="83"/>
      <c r="U652" s="83"/>
      <c r="V652" s="83"/>
      <c r="W652" s="83"/>
      <c r="X652" s="83"/>
      <c r="Y652" s="83"/>
      <c r="Z652" s="83"/>
    </row>
    <row r="653">
      <c r="A653" s="113"/>
      <c r="B653" s="117"/>
      <c r="C653" s="94"/>
      <c r="D653" s="111"/>
      <c r="E653" s="115"/>
      <c r="F653" s="108"/>
      <c r="G653" s="98"/>
      <c r="H653" s="116"/>
      <c r="I653" s="111"/>
      <c r="J653" s="115"/>
      <c r="K653" s="108"/>
      <c r="L653" s="98"/>
      <c r="M653" s="116"/>
      <c r="N653" s="111"/>
      <c r="O653" s="115"/>
      <c r="P653" s="108"/>
      <c r="Q653" s="98"/>
      <c r="R653" s="116"/>
      <c r="S653" s="83"/>
      <c r="T653" s="83"/>
      <c r="U653" s="83"/>
      <c r="V653" s="83"/>
      <c r="W653" s="83"/>
      <c r="X653" s="83"/>
      <c r="Y653" s="83"/>
      <c r="Z653" s="83"/>
    </row>
    <row r="654">
      <c r="A654" s="113"/>
      <c r="B654" s="117"/>
      <c r="C654" s="94"/>
      <c r="D654" s="111"/>
      <c r="E654" s="115"/>
      <c r="F654" s="108"/>
      <c r="G654" s="98"/>
      <c r="H654" s="116"/>
      <c r="I654" s="111"/>
      <c r="J654" s="115"/>
      <c r="K654" s="108"/>
      <c r="L654" s="98"/>
      <c r="M654" s="116"/>
      <c r="N654" s="111"/>
      <c r="O654" s="115"/>
      <c r="P654" s="108"/>
      <c r="Q654" s="98"/>
      <c r="R654" s="116"/>
      <c r="S654" s="83"/>
      <c r="T654" s="83"/>
      <c r="U654" s="83"/>
      <c r="V654" s="83"/>
      <c r="W654" s="83"/>
      <c r="X654" s="83"/>
      <c r="Y654" s="83"/>
      <c r="Z654" s="83"/>
    </row>
    <row r="655">
      <c r="A655" s="113"/>
      <c r="B655" s="117"/>
      <c r="C655" s="94"/>
      <c r="D655" s="111"/>
      <c r="E655" s="115"/>
      <c r="F655" s="108"/>
      <c r="G655" s="98"/>
      <c r="H655" s="116"/>
      <c r="I655" s="111"/>
      <c r="J655" s="115"/>
      <c r="K655" s="108"/>
      <c r="L655" s="98"/>
      <c r="M655" s="116"/>
      <c r="N655" s="111"/>
      <c r="O655" s="115"/>
      <c r="P655" s="108"/>
      <c r="Q655" s="98"/>
      <c r="R655" s="116"/>
      <c r="S655" s="83"/>
      <c r="T655" s="83"/>
      <c r="U655" s="83"/>
      <c r="V655" s="83"/>
      <c r="W655" s="83"/>
      <c r="X655" s="83"/>
      <c r="Y655" s="83"/>
      <c r="Z655" s="83"/>
    </row>
    <row r="656">
      <c r="A656" s="113"/>
      <c r="B656" s="117"/>
      <c r="C656" s="94"/>
      <c r="D656" s="111"/>
      <c r="E656" s="115"/>
      <c r="F656" s="108"/>
      <c r="G656" s="98"/>
      <c r="H656" s="116"/>
      <c r="I656" s="111"/>
      <c r="J656" s="115"/>
      <c r="K656" s="108"/>
      <c r="L656" s="98"/>
      <c r="M656" s="116"/>
      <c r="N656" s="111"/>
      <c r="O656" s="115"/>
      <c r="P656" s="108"/>
      <c r="Q656" s="98"/>
      <c r="R656" s="116"/>
      <c r="S656" s="83"/>
      <c r="T656" s="83"/>
      <c r="U656" s="83"/>
      <c r="V656" s="83"/>
      <c r="W656" s="83"/>
      <c r="X656" s="83"/>
      <c r="Y656" s="83"/>
      <c r="Z656" s="83"/>
    </row>
    <row r="657">
      <c r="A657" s="113"/>
      <c r="B657" s="117"/>
      <c r="C657" s="94"/>
      <c r="D657" s="111"/>
      <c r="E657" s="115"/>
      <c r="F657" s="108"/>
      <c r="G657" s="98"/>
      <c r="H657" s="116"/>
      <c r="I657" s="111"/>
      <c r="J657" s="115"/>
      <c r="K657" s="108"/>
      <c r="L657" s="98"/>
      <c r="M657" s="116"/>
      <c r="N657" s="111"/>
      <c r="O657" s="115"/>
      <c r="P657" s="108"/>
      <c r="Q657" s="98"/>
      <c r="R657" s="116"/>
      <c r="S657" s="83"/>
      <c r="T657" s="83"/>
      <c r="U657" s="83"/>
      <c r="V657" s="83"/>
      <c r="W657" s="83"/>
      <c r="X657" s="83"/>
      <c r="Y657" s="83"/>
      <c r="Z657" s="83"/>
    </row>
    <row r="658">
      <c r="A658" s="113"/>
      <c r="B658" s="117"/>
      <c r="C658" s="94"/>
      <c r="D658" s="111"/>
      <c r="E658" s="115"/>
      <c r="F658" s="108"/>
      <c r="G658" s="98"/>
      <c r="H658" s="116"/>
      <c r="I658" s="111"/>
      <c r="J658" s="115"/>
      <c r="K658" s="108"/>
      <c r="L658" s="98"/>
      <c r="M658" s="116"/>
      <c r="N658" s="111"/>
      <c r="O658" s="115"/>
      <c r="P658" s="108"/>
      <c r="Q658" s="98"/>
      <c r="R658" s="116"/>
      <c r="S658" s="83"/>
      <c r="T658" s="83"/>
      <c r="U658" s="83"/>
      <c r="V658" s="83"/>
      <c r="W658" s="83"/>
      <c r="X658" s="83"/>
      <c r="Y658" s="83"/>
      <c r="Z658" s="83"/>
    </row>
    <row r="659">
      <c r="A659" s="113"/>
      <c r="B659" s="117"/>
      <c r="C659" s="94"/>
      <c r="D659" s="111"/>
      <c r="E659" s="115"/>
      <c r="F659" s="108"/>
      <c r="G659" s="98"/>
      <c r="H659" s="116"/>
      <c r="I659" s="111"/>
      <c r="J659" s="115"/>
      <c r="K659" s="108"/>
      <c r="L659" s="98"/>
      <c r="M659" s="116"/>
      <c r="N659" s="111"/>
      <c r="O659" s="115"/>
      <c r="P659" s="108"/>
      <c r="Q659" s="98"/>
      <c r="R659" s="116"/>
      <c r="S659" s="83"/>
      <c r="T659" s="83"/>
      <c r="U659" s="83"/>
      <c r="V659" s="83"/>
      <c r="W659" s="83"/>
      <c r="X659" s="83"/>
      <c r="Y659" s="83"/>
      <c r="Z659" s="83"/>
    </row>
    <row r="660">
      <c r="A660" s="113"/>
      <c r="B660" s="117"/>
      <c r="C660" s="94"/>
      <c r="D660" s="111"/>
      <c r="E660" s="115"/>
      <c r="F660" s="108"/>
      <c r="G660" s="98"/>
      <c r="H660" s="116"/>
      <c r="I660" s="111"/>
      <c r="J660" s="115"/>
      <c r="K660" s="108"/>
      <c r="L660" s="98"/>
      <c r="M660" s="116"/>
      <c r="N660" s="111"/>
      <c r="O660" s="115"/>
      <c r="P660" s="108"/>
      <c r="Q660" s="98"/>
      <c r="R660" s="116"/>
      <c r="S660" s="83"/>
      <c r="T660" s="83"/>
      <c r="U660" s="83"/>
      <c r="V660" s="83"/>
      <c r="W660" s="83"/>
      <c r="X660" s="83"/>
      <c r="Y660" s="83"/>
      <c r="Z660" s="83"/>
    </row>
    <row r="661">
      <c r="A661" s="113"/>
      <c r="B661" s="117"/>
      <c r="C661" s="94"/>
      <c r="D661" s="111"/>
      <c r="E661" s="115"/>
      <c r="F661" s="108"/>
      <c r="G661" s="98"/>
      <c r="H661" s="116"/>
      <c r="I661" s="111"/>
      <c r="J661" s="115"/>
      <c r="K661" s="108"/>
      <c r="L661" s="98"/>
      <c r="M661" s="116"/>
      <c r="N661" s="111"/>
      <c r="O661" s="115"/>
      <c r="P661" s="108"/>
      <c r="Q661" s="98"/>
      <c r="R661" s="116"/>
      <c r="S661" s="83"/>
      <c r="T661" s="83"/>
      <c r="U661" s="83"/>
      <c r="V661" s="83"/>
      <c r="W661" s="83"/>
      <c r="X661" s="83"/>
      <c r="Y661" s="83"/>
      <c r="Z661" s="83"/>
    </row>
    <row r="662">
      <c r="A662" s="113"/>
      <c r="B662" s="117"/>
      <c r="C662" s="94"/>
      <c r="D662" s="111"/>
      <c r="E662" s="115"/>
      <c r="F662" s="108"/>
      <c r="G662" s="98"/>
      <c r="H662" s="116"/>
      <c r="I662" s="111"/>
      <c r="J662" s="115"/>
      <c r="K662" s="108"/>
      <c r="L662" s="98"/>
      <c r="M662" s="116"/>
      <c r="N662" s="111"/>
      <c r="O662" s="115"/>
      <c r="P662" s="108"/>
      <c r="Q662" s="98"/>
      <c r="R662" s="116"/>
      <c r="S662" s="83"/>
      <c r="T662" s="83"/>
      <c r="U662" s="83"/>
      <c r="V662" s="83"/>
      <c r="W662" s="83"/>
      <c r="X662" s="83"/>
      <c r="Y662" s="83"/>
      <c r="Z662" s="83"/>
    </row>
    <row r="663">
      <c r="A663" s="113"/>
      <c r="B663" s="117"/>
      <c r="C663" s="94"/>
      <c r="D663" s="111"/>
      <c r="E663" s="115"/>
      <c r="F663" s="108"/>
      <c r="G663" s="98"/>
      <c r="H663" s="116"/>
      <c r="I663" s="111"/>
      <c r="J663" s="115"/>
      <c r="K663" s="108"/>
      <c r="L663" s="98"/>
      <c r="M663" s="116"/>
      <c r="N663" s="111"/>
      <c r="O663" s="115"/>
      <c r="P663" s="108"/>
      <c r="Q663" s="98"/>
      <c r="R663" s="116"/>
      <c r="S663" s="83"/>
      <c r="T663" s="83"/>
      <c r="U663" s="83"/>
      <c r="V663" s="83"/>
      <c r="W663" s="83"/>
      <c r="X663" s="83"/>
      <c r="Y663" s="83"/>
      <c r="Z663" s="83"/>
    </row>
    <row r="664">
      <c r="A664" s="113"/>
      <c r="B664" s="117"/>
      <c r="C664" s="94"/>
      <c r="D664" s="111"/>
      <c r="E664" s="115"/>
      <c r="F664" s="108"/>
      <c r="G664" s="98"/>
      <c r="H664" s="116"/>
      <c r="I664" s="111"/>
      <c r="J664" s="115"/>
      <c r="K664" s="108"/>
      <c r="L664" s="98"/>
      <c r="M664" s="116"/>
      <c r="N664" s="111"/>
      <c r="O664" s="115"/>
      <c r="P664" s="108"/>
      <c r="Q664" s="98"/>
      <c r="R664" s="116"/>
      <c r="S664" s="83"/>
      <c r="T664" s="83"/>
      <c r="U664" s="83"/>
      <c r="V664" s="83"/>
      <c r="W664" s="83"/>
      <c r="X664" s="83"/>
      <c r="Y664" s="83"/>
      <c r="Z664" s="83"/>
    </row>
    <row r="665">
      <c r="A665" s="113"/>
      <c r="B665" s="117"/>
      <c r="C665" s="94"/>
      <c r="D665" s="111"/>
      <c r="E665" s="115"/>
      <c r="F665" s="108"/>
      <c r="G665" s="98"/>
      <c r="H665" s="116"/>
      <c r="I665" s="111"/>
      <c r="J665" s="115"/>
      <c r="K665" s="108"/>
      <c r="L665" s="98"/>
      <c r="M665" s="116"/>
      <c r="N665" s="111"/>
      <c r="O665" s="115"/>
      <c r="P665" s="108"/>
      <c r="Q665" s="98"/>
      <c r="R665" s="116"/>
      <c r="S665" s="83"/>
      <c r="T665" s="83"/>
      <c r="U665" s="83"/>
      <c r="V665" s="83"/>
      <c r="W665" s="83"/>
      <c r="X665" s="83"/>
      <c r="Y665" s="83"/>
      <c r="Z665" s="83"/>
    </row>
    <row r="666">
      <c r="A666" s="113"/>
      <c r="B666" s="117"/>
      <c r="C666" s="94"/>
      <c r="D666" s="111"/>
      <c r="E666" s="115"/>
      <c r="F666" s="108"/>
      <c r="G666" s="98"/>
      <c r="H666" s="116"/>
      <c r="I666" s="111"/>
      <c r="J666" s="115"/>
      <c r="K666" s="108"/>
      <c r="L666" s="98"/>
      <c r="M666" s="116"/>
      <c r="N666" s="111"/>
      <c r="O666" s="115"/>
      <c r="P666" s="108"/>
      <c r="Q666" s="98"/>
      <c r="R666" s="116"/>
      <c r="S666" s="83"/>
      <c r="T666" s="83"/>
      <c r="U666" s="83"/>
      <c r="V666" s="83"/>
      <c r="W666" s="83"/>
      <c r="X666" s="83"/>
      <c r="Y666" s="83"/>
      <c r="Z666" s="83"/>
    </row>
    <row r="667">
      <c r="A667" s="113"/>
      <c r="B667" s="117"/>
      <c r="C667" s="94"/>
      <c r="D667" s="111"/>
      <c r="E667" s="115"/>
      <c r="F667" s="108"/>
      <c r="G667" s="98"/>
      <c r="H667" s="116"/>
      <c r="I667" s="111"/>
      <c r="J667" s="115"/>
      <c r="K667" s="108"/>
      <c r="L667" s="98"/>
      <c r="M667" s="116"/>
      <c r="N667" s="111"/>
      <c r="O667" s="115"/>
      <c r="P667" s="108"/>
      <c r="Q667" s="98"/>
      <c r="R667" s="116"/>
      <c r="S667" s="83"/>
      <c r="T667" s="83"/>
      <c r="U667" s="83"/>
      <c r="V667" s="83"/>
      <c r="W667" s="83"/>
      <c r="X667" s="83"/>
      <c r="Y667" s="83"/>
      <c r="Z667" s="83"/>
    </row>
    <row r="668">
      <c r="A668" s="113"/>
      <c r="B668" s="117"/>
      <c r="C668" s="94"/>
      <c r="D668" s="111"/>
      <c r="E668" s="115"/>
      <c r="F668" s="108"/>
      <c r="G668" s="98"/>
      <c r="H668" s="116"/>
      <c r="I668" s="111"/>
      <c r="J668" s="115"/>
      <c r="K668" s="108"/>
      <c r="L668" s="98"/>
      <c r="M668" s="116"/>
      <c r="N668" s="111"/>
      <c r="O668" s="115"/>
      <c r="P668" s="108"/>
      <c r="Q668" s="98"/>
      <c r="R668" s="116"/>
      <c r="S668" s="83"/>
      <c r="T668" s="83"/>
      <c r="U668" s="83"/>
      <c r="V668" s="83"/>
      <c r="W668" s="83"/>
      <c r="X668" s="83"/>
      <c r="Y668" s="83"/>
      <c r="Z668" s="83"/>
    </row>
    <row r="669">
      <c r="A669" s="113"/>
      <c r="B669" s="117"/>
      <c r="C669" s="94"/>
      <c r="D669" s="111"/>
      <c r="E669" s="115"/>
      <c r="F669" s="108"/>
      <c r="G669" s="98"/>
      <c r="H669" s="116"/>
      <c r="I669" s="111"/>
      <c r="J669" s="115"/>
      <c r="K669" s="108"/>
      <c r="L669" s="98"/>
      <c r="M669" s="116"/>
      <c r="N669" s="111"/>
      <c r="O669" s="115"/>
      <c r="P669" s="108"/>
      <c r="Q669" s="98"/>
      <c r="R669" s="116"/>
      <c r="S669" s="83"/>
      <c r="T669" s="83"/>
      <c r="U669" s="83"/>
      <c r="V669" s="83"/>
      <c r="W669" s="83"/>
      <c r="X669" s="83"/>
      <c r="Y669" s="83"/>
      <c r="Z669" s="83"/>
    </row>
    <row r="670">
      <c r="A670" s="113"/>
      <c r="B670" s="117"/>
      <c r="C670" s="94"/>
      <c r="D670" s="111"/>
      <c r="E670" s="115"/>
      <c r="F670" s="108"/>
      <c r="G670" s="98"/>
      <c r="H670" s="116"/>
      <c r="I670" s="111"/>
      <c r="J670" s="115"/>
      <c r="K670" s="108"/>
      <c r="L670" s="98"/>
      <c r="M670" s="116"/>
      <c r="N670" s="111"/>
      <c r="O670" s="115"/>
      <c r="P670" s="108"/>
      <c r="Q670" s="98"/>
      <c r="R670" s="116"/>
      <c r="S670" s="83"/>
      <c r="T670" s="83"/>
      <c r="U670" s="83"/>
      <c r="V670" s="83"/>
      <c r="W670" s="83"/>
      <c r="X670" s="83"/>
      <c r="Y670" s="83"/>
      <c r="Z670" s="83"/>
    </row>
    <row r="671">
      <c r="A671" s="113"/>
      <c r="B671" s="117"/>
      <c r="C671" s="94"/>
      <c r="D671" s="111"/>
      <c r="E671" s="115"/>
      <c r="F671" s="108"/>
      <c r="G671" s="98"/>
      <c r="H671" s="116"/>
      <c r="I671" s="111"/>
      <c r="J671" s="115"/>
      <c r="K671" s="108"/>
      <c r="L671" s="98"/>
      <c r="M671" s="116"/>
      <c r="N671" s="111"/>
      <c r="O671" s="115"/>
      <c r="P671" s="108"/>
      <c r="Q671" s="98"/>
      <c r="R671" s="116"/>
      <c r="S671" s="83"/>
      <c r="T671" s="83"/>
      <c r="U671" s="83"/>
      <c r="V671" s="83"/>
      <c r="W671" s="83"/>
      <c r="X671" s="83"/>
      <c r="Y671" s="83"/>
      <c r="Z671" s="83"/>
    </row>
    <row r="672">
      <c r="A672" s="113"/>
      <c r="B672" s="117"/>
      <c r="C672" s="94"/>
      <c r="D672" s="111"/>
      <c r="E672" s="115"/>
      <c r="F672" s="108"/>
      <c r="G672" s="98"/>
      <c r="H672" s="116"/>
      <c r="I672" s="111"/>
      <c r="J672" s="115"/>
      <c r="K672" s="108"/>
      <c r="L672" s="98"/>
      <c r="M672" s="116"/>
      <c r="N672" s="111"/>
      <c r="O672" s="115"/>
      <c r="P672" s="108"/>
      <c r="Q672" s="98"/>
      <c r="R672" s="116"/>
      <c r="S672" s="83"/>
      <c r="T672" s="83"/>
      <c r="U672" s="83"/>
      <c r="V672" s="83"/>
      <c r="W672" s="83"/>
      <c r="X672" s="83"/>
      <c r="Y672" s="83"/>
      <c r="Z672" s="83"/>
    </row>
    <row r="673">
      <c r="A673" s="113"/>
      <c r="B673" s="117"/>
      <c r="C673" s="94"/>
      <c r="D673" s="111"/>
      <c r="E673" s="115"/>
      <c r="F673" s="108"/>
      <c r="G673" s="98"/>
      <c r="H673" s="116"/>
      <c r="I673" s="111"/>
      <c r="J673" s="115"/>
      <c r="K673" s="108"/>
      <c r="L673" s="98"/>
      <c r="M673" s="116"/>
      <c r="N673" s="111"/>
      <c r="O673" s="115"/>
      <c r="P673" s="108"/>
      <c r="Q673" s="98"/>
      <c r="R673" s="116"/>
      <c r="S673" s="83"/>
      <c r="T673" s="83"/>
      <c r="U673" s="83"/>
      <c r="V673" s="83"/>
      <c r="W673" s="83"/>
      <c r="X673" s="83"/>
      <c r="Y673" s="83"/>
      <c r="Z673" s="83"/>
    </row>
    <row r="674">
      <c r="A674" s="113"/>
      <c r="B674" s="117"/>
      <c r="C674" s="94"/>
      <c r="D674" s="111"/>
      <c r="E674" s="115"/>
      <c r="F674" s="108"/>
      <c r="G674" s="98"/>
      <c r="H674" s="116"/>
      <c r="I674" s="111"/>
      <c r="J674" s="115"/>
      <c r="K674" s="108"/>
      <c r="L674" s="98"/>
      <c r="M674" s="116"/>
      <c r="N674" s="111"/>
      <c r="O674" s="115"/>
      <c r="P674" s="108"/>
      <c r="Q674" s="98"/>
      <c r="R674" s="116"/>
      <c r="S674" s="83"/>
      <c r="T674" s="83"/>
      <c r="U674" s="83"/>
      <c r="V674" s="83"/>
      <c r="W674" s="83"/>
      <c r="X674" s="83"/>
      <c r="Y674" s="83"/>
      <c r="Z674" s="83"/>
    </row>
    <row r="675">
      <c r="A675" s="113"/>
      <c r="B675" s="117"/>
      <c r="C675" s="94"/>
      <c r="D675" s="111"/>
      <c r="E675" s="115"/>
      <c r="F675" s="108"/>
      <c r="G675" s="98"/>
      <c r="H675" s="116"/>
      <c r="I675" s="111"/>
      <c r="J675" s="115"/>
      <c r="K675" s="108"/>
      <c r="L675" s="98"/>
      <c r="M675" s="116"/>
      <c r="N675" s="111"/>
      <c r="O675" s="115"/>
      <c r="P675" s="108"/>
      <c r="Q675" s="98"/>
      <c r="R675" s="116"/>
      <c r="S675" s="83"/>
      <c r="T675" s="83"/>
      <c r="U675" s="83"/>
      <c r="V675" s="83"/>
      <c r="W675" s="83"/>
      <c r="X675" s="83"/>
      <c r="Y675" s="83"/>
      <c r="Z675" s="83"/>
    </row>
    <row r="676">
      <c r="A676" s="113"/>
      <c r="B676" s="117"/>
      <c r="C676" s="94"/>
      <c r="D676" s="111"/>
      <c r="E676" s="115"/>
      <c r="F676" s="108"/>
      <c r="G676" s="98"/>
      <c r="H676" s="116"/>
      <c r="I676" s="111"/>
      <c r="J676" s="115"/>
      <c r="K676" s="108"/>
      <c r="L676" s="98"/>
      <c r="M676" s="116"/>
      <c r="N676" s="111"/>
      <c r="O676" s="115"/>
      <c r="P676" s="108"/>
      <c r="Q676" s="98"/>
      <c r="R676" s="116"/>
      <c r="S676" s="83"/>
      <c r="T676" s="83"/>
      <c r="U676" s="83"/>
      <c r="V676" s="83"/>
      <c r="W676" s="83"/>
      <c r="X676" s="83"/>
      <c r="Y676" s="83"/>
      <c r="Z676" s="83"/>
    </row>
    <row r="677">
      <c r="A677" s="113"/>
      <c r="B677" s="117"/>
      <c r="C677" s="94"/>
      <c r="D677" s="111"/>
      <c r="E677" s="115"/>
      <c r="F677" s="108"/>
      <c r="G677" s="98"/>
      <c r="H677" s="116"/>
      <c r="I677" s="111"/>
      <c r="J677" s="115"/>
      <c r="K677" s="108"/>
      <c r="L677" s="98"/>
      <c r="M677" s="116"/>
      <c r="N677" s="111"/>
      <c r="O677" s="115"/>
      <c r="P677" s="108"/>
      <c r="Q677" s="98"/>
      <c r="R677" s="116"/>
      <c r="S677" s="83"/>
      <c r="T677" s="83"/>
      <c r="U677" s="83"/>
      <c r="V677" s="83"/>
      <c r="W677" s="83"/>
      <c r="X677" s="83"/>
      <c r="Y677" s="83"/>
      <c r="Z677" s="83"/>
    </row>
    <row r="678">
      <c r="A678" s="113"/>
      <c r="B678" s="117"/>
      <c r="C678" s="94"/>
      <c r="D678" s="111"/>
      <c r="E678" s="115"/>
      <c r="F678" s="108"/>
      <c r="G678" s="98"/>
      <c r="H678" s="116"/>
      <c r="I678" s="111"/>
      <c r="J678" s="115"/>
      <c r="K678" s="108"/>
      <c r="L678" s="98"/>
      <c r="M678" s="116"/>
      <c r="N678" s="111"/>
      <c r="O678" s="115"/>
      <c r="P678" s="108"/>
      <c r="Q678" s="98"/>
      <c r="R678" s="116"/>
      <c r="S678" s="83"/>
      <c r="T678" s="83"/>
      <c r="U678" s="83"/>
      <c r="V678" s="83"/>
      <c r="W678" s="83"/>
      <c r="X678" s="83"/>
      <c r="Y678" s="83"/>
      <c r="Z678" s="83"/>
    </row>
    <row r="679">
      <c r="A679" s="113"/>
      <c r="B679" s="117"/>
      <c r="C679" s="94"/>
      <c r="D679" s="111"/>
      <c r="E679" s="115"/>
      <c r="F679" s="108"/>
      <c r="G679" s="98"/>
      <c r="H679" s="116"/>
      <c r="I679" s="111"/>
      <c r="J679" s="115"/>
      <c r="K679" s="108"/>
      <c r="L679" s="98"/>
      <c r="M679" s="116"/>
      <c r="N679" s="111"/>
      <c r="O679" s="115"/>
      <c r="P679" s="108"/>
      <c r="Q679" s="98"/>
      <c r="R679" s="116"/>
      <c r="S679" s="83"/>
      <c r="T679" s="83"/>
      <c r="U679" s="83"/>
      <c r="V679" s="83"/>
      <c r="W679" s="83"/>
      <c r="X679" s="83"/>
      <c r="Y679" s="83"/>
      <c r="Z679" s="83"/>
    </row>
    <row r="680">
      <c r="A680" s="113"/>
      <c r="B680" s="117"/>
      <c r="C680" s="94"/>
      <c r="D680" s="111"/>
      <c r="E680" s="115"/>
      <c r="F680" s="108"/>
      <c r="G680" s="98"/>
      <c r="H680" s="116"/>
      <c r="I680" s="111"/>
      <c r="J680" s="115"/>
      <c r="K680" s="108"/>
      <c r="L680" s="98"/>
      <c r="M680" s="116"/>
      <c r="N680" s="111"/>
      <c r="O680" s="115"/>
      <c r="P680" s="108"/>
      <c r="Q680" s="98"/>
      <c r="R680" s="116"/>
      <c r="S680" s="83"/>
      <c r="T680" s="83"/>
      <c r="U680" s="83"/>
      <c r="V680" s="83"/>
      <c r="W680" s="83"/>
      <c r="X680" s="83"/>
      <c r="Y680" s="83"/>
      <c r="Z680" s="83"/>
    </row>
    <row r="681">
      <c r="A681" s="113"/>
      <c r="B681" s="117"/>
      <c r="C681" s="94"/>
      <c r="D681" s="111"/>
      <c r="E681" s="115"/>
      <c r="F681" s="108"/>
      <c r="G681" s="98"/>
      <c r="H681" s="116"/>
      <c r="I681" s="111"/>
      <c r="J681" s="115"/>
      <c r="K681" s="108"/>
      <c r="L681" s="98"/>
      <c r="M681" s="116"/>
      <c r="N681" s="111"/>
      <c r="O681" s="115"/>
      <c r="P681" s="108"/>
      <c r="Q681" s="98"/>
      <c r="R681" s="116"/>
      <c r="S681" s="83"/>
      <c r="T681" s="83"/>
      <c r="U681" s="83"/>
      <c r="V681" s="83"/>
      <c r="W681" s="83"/>
      <c r="X681" s="83"/>
      <c r="Y681" s="83"/>
      <c r="Z681" s="83"/>
    </row>
    <row r="682">
      <c r="A682" s="113"/>
      <c r="B682" s="117"/>
      <c r="C682" s="94"/>
      <c r="D682" s="111"/>
      <c r="E682" s="115"/>
      <c r="F682" s="108"/>
      <c r="G682" s="98"/>
      <c r="H682" s="116"/>
      <c r="I682" s="111"/>
      <c r="J682" s="115"/>
      <c r="K682" s="108"/>
      <c r="L682" s="98"/>
      <c r="M682" s="116"/>
      <c r="N682" s="111"/>
      <c r="O682" s="115"/>
      <c r="P682" s="108"/>
      <c r="Q682" s="98"/>
      <c r="R682" s="116"/>
      <c r="S682" s="83"/>
      <c r="T682" s="83"/>
      <c r="U682" s="83"/>
      <c r="V682" s="83"/>
      <c r="W682" s="83"/>
      <c r="X682" s="83"/>
      <c r="Y682" s="83"/>
      <c r="Z682" s="83"/>
    </row>
    <row r="683">
      <c r="A683" s="113"/>
      <c r="B683" s="117"/>
      <c r="C683" s="94"/>
      <c r="D683" s="111"/>
      <c r="E683" s="115"/>
      <c r="F683" s="108"/>
      <c r="G683" s="98"/>
      <c r="H683" s="116"/>
      <c r="I683" s="111"/>
      <c r="J683" s="115"/>
      <c r="K683" s="108"/>
      <c r="L683" s="98"/>
      <c r="M683" s="116"/>
      <c r="N683" s="111"/>
      <c r="O683" s="115"/>
      <c r="P683" s="108"/>
      <c r="Q683" s="98"/>
      <c r="R683" s="116"/>
      <c r="S683" s="83"/>
      <c r="T683" s="83"/>
      <c r="U683" s="83"/>
      <c r="V683" s="83"/>
      <c r="W683" s="83"/>
      <c r="X683" s="83"/>
      <c r="Y683" s="83"/>
      <c r="Z683" s="83"/>
    </row>
    <row r="684">
      <c r="A684" s="113"/>
      <c r="B684" s="117"/>
      <c r="C684" s="94"/>
      <c r="D684" s="111"/>
      <c r="E684" s="115"/>
      <c r="F684" s="108"/>
      <c r="G684" s="98"/>
      <c r="H684" s="116"/>
      <c r="I684" s="111"/>
      <c r="J684" s="115"/>
      <c r="K684" s="108"/>
      <c r="L684" s="98"/>
      <c r="M684" s="116"/>
      <c r="N684" s="111"/>
      <c r="O684" s="115"/>
      <c r="P684" s="108"/>
      <c r="Q684" s="98"/>
      <c r="R684" s="116"/>
      <c r="S684" s="83"/>
      <c r="T684" s="83"/>
      <c r="U684" s="83"/>
      <c r="V684" s="83"/>
      <c r="W684" s="83"/>
      <c r="X684" s="83"/>
      <c r="Y684" s="83"/>
      <c r="Z684" s="83"/>
    </row>
    <row r="685">
      <c r="A685" s="113"/>
      <c r="B685" s="117"/>
      <c r="C685" s="94"/>
      <c r="D685" s="111"/>
      <c r="E685" s="115"/>
      <c r="F685" s="108"/>
      <c r="G685" s="98"/>
      <c r="H685" s="116"/>
      <c r="I685" s="111"/>
      <c r="J685" s="115"/>
      <c r="K685" s="108"/>
      <c r="L685" s="98"/>
      <c r="M685" s="116"/>
      <c r="N685" s="111"/>
      <c r="O685" s="115"/>
      <c r="P685" s="108"/>
      <c r="Q685" s="98"/>
      <c r="R685" s="116"/>
      <c r="S685" s="83"/>
      <c r="T685" s="83"/>
      <c r="U685" s="83"/>
      <c r="V685" s="83"/>
      <c r="W685" s="83"/>
      <c r="X685" s="83"/>
      <c r="Y685" s="83"/>
      <c r="Z685" s="83"/>
    </row>
    <row r="686">
      <c r="A686" s="113"/>
      <c r="B686" s="117"/>
      <c r="C686" s="94"/>
      <c r="D686" s="111"/>
      <c r="E686" s="115"/>
      <c r="F686" s="108"/>
      <c r="G686" s="98"/>
      <c r="H686" s="116"/>
      <c r="I686" s="111"/>
      <c r="J686" s="115"/>
      <c r="K686" s="108"/>
      <c r="L686" s="98"/>
      <c r="M686" s="116"/>
      <c r="N686" s="111"/>
      <c r="O686" s="115"/>
      <c r="P686" s="108"/>
      <c r="Q686" s="98"/>
      <c r="R686" s="116"/>
      <c r="S686" s="83"/>
      <c r="T686" s="83"/>
      <c r="U686" s="83"/>
      <c r="V686" s="83"/>
      <c r="W686" s="83"/>
      <c r="X686" s="83"/>
      <c r="Y686" s="83"/>
      <c r="Z686" s="83"/>
    </row>
    <row r="687">
      <c r="A687" s="113"/>
      <c r="B687" s="117"/>
      <c r="C687" s="94"/>
      <c r="D687" s="111"/>
      <c r="E687" s="115"/>
      <c r="F687" s="108"/>
      <c r="G687" s="98"/>
      <c r="H687" s="116"/>
      <c r="I687" s="111"/>
      <c r="J687" s="115"/>
      <c r="K687" s="108"/>
      <c r="L687" s="98"/>
      <c r="M687" s="116"/>
      <c r="N687" s="111"/>
      <c r="O687" s="115"/>
      <c r="P687" s="108"/>
      <c r="Q687" s="98"/>
      <c r="R687" s="116"/>
      <c r="S687" s="83"/>
      <c r="T687" s="83"/>
      <c r="U687" s="83"/>
      <c r="V687" s="83"/>
      <c r="W687" s="83"/>
      <c r="X687" s="83"/>
      <c r="Y687" s="83"/>
      <c r="Z687" s="83"/>
    </row>
    <row r="688">
      <c r="A688" s="113"/>
      <c r="B688" s="117"/>
      <c r="C688" s="94"/>
      <c r="D688" s="111"/>
      <c r="E688" s="115"/>
      <c r="F688" s="108"/>
      <c r="G688" s="98"/>
      <c r="H688" s="116"/>
      <c r="I688" s="111"/>
      <c r="J688" s="115"/>
      <c r="K688" s="108"/>
      <c r="L688" s="98"/>
      <c r="M688" s="116"/>
      <c r="N688" s="111"/>
      <c r="O688" s="115"/>
      <c r="P688" s="108"/>
      <c r="Q688" s="98"/>
      <c r="R688" s="116"/>
      <c r="S688" s="83"/>
      <c r="T688" s="83"/>
      <c r="U688" s="83"/>
      <c r="V688" s="83"/>
      <c r="W688" s="83"/>
      <c r="X688" s="83"/>
      <c r="Y688" s="83"/>
      <c r="Z688" s="83"/>
    </row>
    <row r="689">
      <c r="A689" s="113"/>
      <c r="B689" s="117"/>
      <c r="C689" s="94"/>
      <c r="D689" s="111"/>
      <c r="E689" s="115"/>
      <c r="F689" s="108"/>
      <c r="G689" s="98"/>
      <c r="H689" s="116"/>
      <c r="I689" s="111"/>
      <c r="J689" s="115"/>
      <c r="K689" s="108"/>
      <c r="L689" s="98"/>
      <c r="M689" s="116"/>
      <c r="N689" s="111"/>
      <c r="O689" s="115"/>
      <c r="P689" s="108"/>
      <c r="Q689" s="98"/>
      <c r="R689" s="116"/>
      <c r="S689" s="83"/>
      <c r="T689" s="83"/>
      <c r="U689" s="83"/>
      <c r="V689" s="83"/>
      <c r="W689" s="83"/>
      <c r="X689" s="83"/>
      <c r="Y689" s="83"/>
      <c r="Z689" s="83"/>
    </row>
    <row r="690">
      <c r="A690" s="113"/>
      <c r="B690" s="117"/>
      <c r="C690" s="94"/>
      <c r="D690" s="111"/>
      <c r="E690" s="115"/>
      <c r="F690" s="108"/>
      <c r="G690" s="98"/>
      <c r="H690" s="116"/>
      <c r="I690" s="111"/>
      <c r="J690" s="115"/>
      <c r="K690" s="108"/>
      <c r="L690" s="98"/>
      <c r="M690" s="116"/>
      <c r="N690" s="111"/>
      <c r="O690" s="115"/>
      <c r="P690" s="108"/>
      <c r="Q690" s="98"/>
      <c r="R690" s="116"/>
      <c r="S690" s="83"/>
      <c r="T690" s="83"/>
      <c r="U690" s="83"/>
      <c r="V690" s="83"/>
      <c r="W690" s="83"/>
      <c r="X690" s="83"/>
      <c r="Y690" s="83"/>
      <c r="Z690" s="83"/>
    </row>
    <row r="691">
      <c r="A691" s="113"/>
      <c r="B691" s="117"/>
      <c r="C691" s="94"/>
      <c r="D691" s="111"/>
      <c r="E691" s="115"/>
      <c r="F691" s="108"/>
      <c r="G691" s="98"/>
      <c r="H691" s="116"/>
      <c r="I691" s="111"/>
      <c r="J691" s="115"/>
      <c r="K691" s="108"/>
      <c r="L691" s="98"/>
      <c r="M691" s="116"/>
      <c r="N691" s="111"/>
      <c r="O691" s="115"/>
      <c r="P691" s="108"/>
      <c r="Q691" s="98"/>
      <c r="R691" s="116"/>
      <c r="S691" s="83"/>
      <c r="T691" s="83"/>
      <c r="U691" s="83"/>
      <c r="V691" s="83"/>
      <c r="W691" s="83"/>
      <c r="X691" s="83"/>
      <c r="Y691" s="83"/>
      <c r="Z691" s="83"/>
    </row>
    <row r="692">
      <c r="A692" s="113"/>
      <c r="B692" s="117"/>
      <c r="C692" s="94"/>
      <c r="D692" s="111"/>
      <c r="E692" s="115"/>
      <c r="F692" s="108"/>
      <c r="G692" s="98"/>
      <c r="H692" s="116"/>
      <c r="I692" s="111"/>
      <c r="J692" s="115"/>
      <c r="K692" s="108"/>
      <c r="L692" s="98"/>
      <c r="M692" s="116"/>
      <c r="N692" s="111"/>
      <c r="O692" s="115"/>
      <c r="P692" s="108"/>
      <c r="Q692" s="98"/>
      <c r="R692" s="116"/>
      <c r="S692" s="83"/>
      <c r="T692" s="83"/>
      <c r="U692" s="83"/>
      <c r="V692" s="83"/>
      <c r="W692" s="83"/>
      <c r="X692" s="83"/>
      <c r="Y692" s="83"/>
      <c r="Z692" s="83"/>
    </row>
    <row r="693">
      <c r="A693" s="113"/>
      <c r="B693" s="117"/>
      <c r="C693" s="94"/>
      <c r="D693" s="111"/>
      <c r="E693" s="115"/>
      <c r="F693" s="108"/>
      <c r="G693" s="98"/>
      <c r="H693" s="116"/>
      <c r="I693" s="111"/>
      <c r="J693" s="115"/>
      <c r="K693" s="108"/>
      <c r="L693" s="98"/>
      <c r="M693" s="116"/>
      <c r="N693" s="111"/>
      <c r="O693" s="115"/>
      <c r="P693" s="108"/>
      <c r="Q693" s="98"/>
      <c r="R693" s="116"/>
      <c r="S693" s="83"/>
      <c r="T693" s="83"/>
      <c r="U693" s="83"/>
      <c r="V693" s="83"/>
      <c r="W693" s="83"/>
      <c r="X693" s="83"/>
      <c r="Y693" s="83"/>
      <c r="Z693" s="83"/>
    </row>
    <row r="694">
      <c r="A694" s="113"/>
      <c r="B694" s="117"/>
      <c r="C694" s="94"/>
      <c r="D694" s="111"/>
      <c r="E694" s="115"/>
      <c r="F694" s="108"/>
      <c r="G694" s="98"/>
      <c r="H694" s="116"/>
      <c r="I694" s="111"/>
      <c r="J694" s="115"/>
      <c r="K694" s="108"/>
      <c r="L694" s="98"/>
      <c r="M694" s="116"/>
      <c r="N694" s="111"/>
      <c r="O694" s="115"/>
      <c r="P694" s="108"/>
      <c r="Q694" s="98"/>
      <c r="R694" s="116"/>
      <c r="S694" s="83"/>
      <c r="T694" s="83"/>
      <c r="U694" s="83"/>
      <c r="V694" s="83"/>
      <c r="W694" s="83"/>
      <c r="X694" s="83"/>
      <c r="Y694" s="83"/>
      <c r="Z694" s="83"/>
    </row>
    <row r="695">
      <c r="A695" s="113"/>
      <c r="B695" s="117"/>
      <c r="C695" s="94"/>
      <c r="D695" s="111"/>
      <c r="E695" s="115"/>
      <c r="F695" s="108"/>
      <c r="G695" s="98"/>
      <c r="H695" s="116"/>
      <c r="I695" s="111"/>
      <c r="J695" s="115"/>
      <c r="K695" s="108"/>
      <c r="L695" s="98"/>
      <c r="M695" s="116"/>
      <c r="N695" s="111"/>
      <c r="O695" s="115"/>
      <c r="P695" s="108"/>
      <c r="Q695" s="98"/>
      <c r="R695" s="116"/>
      <c r="S695" s="83"/>
      <c r="T695" s="83"/>
      <c r="U695" s="83"/>
      <c r="V695" s="83"/>
      <c r="W695" s="83"/>
      <c r="X695" s="83"/>
      <c r="Y695" s="83"/>
      <c r="Z695" s="83"/>
    </row>
    <row r="696">
      <c r="A696" s="113"/>
      <c r="B696" s="117"/>
      <c r="C696" s="94"/>
      <c r="D696" s="111"/>
      <c r="E696" s="115"/>
      <c r="F696" s="108"/>
      <c r="G696" s="98"/>
      <c r="H696" s="116"/>
      <c r="I696" s="111"/>
      <c r="J696" s="115"/>
      <c r="K696" s="108"/>
      <c r="L696" s="98"/>
      <c r="M696" s="116"/>
      <c r="N696" s="111"/>
      <c r="O696" s="115"/>
      <c r="P696" s="108"/>
      <c r="Q696" s="98"/>
      <c r="R696" s="116"/>
      <c r="S696" s="83"/>
      <c r="T696" s="83"/>
      <c r="U696" s="83"/>
      <c r="V696" s="83"/>
      <c r="W696" s="83"/>
      <c r="X696" s="83"/>
      <c r="Y696" s="83"/>
      <c r="Z696" s="83"/>
    </row>
    <row r="697">
      <c r="A697" s="113"/>
      <c r="B697" s="117"/>
      <c r="C697" s="94"/>
      <c r="D697" s="111"/>
      <c r="E697" s="115"/>
      <c r="F697" s="108"/>
      <c r="G697" s="98"/>
      <c r="H697" s="116"/>
      <c r="I697" s="111"/>
      <c r="J697" s="115"/>
      <c r="K697" s="108"/>
      <c r="L697" s="98"/>
      <c r="M697" s="116"/>
      <c r="N697" s="111"/>
      <c r="O697" s="115"/>
      <c r="P697" s="108"/>
      <c r="Q697" s="98"/>
      <c r="R697" s="116"/>
      <c r="S697" s="83"/>
      <c r="T697" s="83"/>
      <c r="U697" s="83"/>
      <c r="V697" s="83"/>
      <c r="W697" s="83"/>
      <c r="X697" s="83"/>
      <c r="Y697" s="83"/>
      <c r="Z697" s="83"/>
    </row>
    <row r="698">
      <c r="A698" s="113"/>
      <c r="B698" s="117"/>
      <c r="C698" s="94"/>
      <c r="D698" s="111"/>
      <c r="E698" s="115"/>
      <c r="F698" s="108"/>
      <c r="G698" s="98"/>
      <c r="H698" s="116"/>
      <c r="I698" s="111"/>
      <c r="J698" s="115"/>
      <c r="K698" s="108"/>
      <c r="L698" s="98"/>
      <c r="M698" s="116"/>
      <c r="N698" s="111"/>
      <c r="O698" s="115"/>
      <c r="P698" s="108"/>
      <c r="Q698" s="98"/>
      <c r="R698" s="116"/>
      <c r="S698" s="83"/>
      <c r="T698" s="83"/>
      <c r="U698" s="83"/>
      <c r="V698" s="83"/>
      <c r="W698" s="83"/>
      <c r="X698" s="83"/>
      <c r="Y698" s="83"/>
      <c r="Z698" s="83"/>
    </row>
    <row r="699">
      <c r="A699" s="113"/>
      <c r="B699" s="117"/>
      <c r="C699" s="94"/>
      <c r="D699" s="111"/>
      <c r="E699" s="115"/>
      <c r="F699" s="108"/>
      <c r="G699" s="98"/>
      <c r="H699" s="116"/>
      <c r="I699" s="111"/>
      <c r="J699" s="115"/>
      <c r="K699" s="108"/>
      <c r="L699" s="98"/>
      <c r="M699" s="116"/>
      <c r="N699" s="111"/>
      <c r="O699" s="115"/>
      <c r="P699" s="108"/>
      <c r="Q699" s="98"/>
      <c r="R699" s="116"/>
      <c r="S699" s="83"/>
      <c r="T699" s="83"/>
      <c r="U699" s="83"/>
      <c r="V699" s="83"/>
      <c r="W699" s="83"/>
      <c r="X699" s="83"/>
      <c r="Y699" s="83"/>
      <c r="Z699" s="83"/>
    </row>
    <row r="700">
      <c r="A700" s="113"/>
      <c r="B700" s="117"/>
      <c r="C700" s="94"/>
      <c r="D700" s="111"/>
      <c r="E700" s="115"/>
      <c r="F700" s="108"/>
      <c r="G700" s="98"/>
      <c r="H700" s="116"/>
      <c r="I700" s="111"/>
      <c r="J700" s="115"/>
      <c r="K700" s="108"/>
      <c r="L700" s="98"/>
      <c r="M700" s="116"/>
      <c r="N700" s="111"/>
      <c r="O700" s="115"/>
      <c r="P700" s="108"/>
      <c r="Q700" s="98"/>
      <c r="R700" s="116"/>
      <c r="S700" s="83"/>
      <c r="T700" s="83"/>
      <c r="U700" s="83"/>
      <c r="V700" s="83"/>
      <c r="W700" s="83"/>
      <c r="X700" s="83"/>
      <c r="Y700" s="83"/>
      <c r="Z700" s="83"/>
    </row>
    <row r="701">
      <c r="A701" s="113"/>
      <c r="B701" s="117"/>
      <c r="C701" s="94"/>
      <c r="D701" s="111"/>
      <c r="E701" s="115"/>
      <c r="F701" s="108"/>
      <c r="G701" s="98"/>
      <c r="H701" s="116"/>
      <c r="I701" s="111"/>
      <c r="J701" s="115"/>
      <c r="K701" s="108"/>
      <c r="L701" s="98"/>
      <c r="M701" s="116"/>
      <c r="N701" s="111"/>
      <c r="O701" s="115"/>
      <c r="P701" s="108"/>
      <c r="Q701" s="98"/>
      <c r="R701" s="116"/>
      <c r="S701" s="83"/>
      <c r="T701" s="83"/>
      <c r="U701" s="83"/>
      <c r="V701" s="83"/>
      <c r="W701" s="83"/>
      <c r="X701" s="83"/>
      <c r="Y701" s="83"/>
      <c r="Z701" s="83"/>
    </row>
    <row r="702">
      <c r="A702" s="113"/>
      <c r="B702" s="117"/>
      <c r="C702" s="94"/>
      <c r="D702" s="111"/>
      <c r="E702" s="115"/>
      <c r="F702" s="108"/>
      <c r="G702" s="98"/>
      <c r="H702" s="116"/>
      <c r="I702" s="111"/>
      <c r="J702" s="115"/>
      <c r="K702" s="108"/>
      <c r="L702" s="98"/>
      <c r="M702" s="116"/>
      <c r="N702" s="111"/>
      <c r="O702" s="115"/>
      <c r="P702" s="108"/>
      <c r="Q702" s="98"/>
      <c r="R702" s="116"/>
      <c r="S702" s="83"/>
      <c r="T702" s="83"/>
      <c r="U702" s="83"/>
      <c r="V702" s="83"/>
      <c r="W702" s="83"/>
      <c r="X702" s="83"/>
      <c r="Y702" s="83"/>
      <c r="Z702" s="83"/>
    </row>
    <row r="703">
      <c r="A703" s="113"/>
      <c r="B703" s="117"/>
      <c r="C703" s="94"/>
      <c r="D703" s="111"/>
      <c r="E703" s="115"/>
      <c r="F703" s="108"/>
      <c r="G703" s="98"/>
      <c r="H703" s="116"/>
      <c r="I703" s="111"/>
      <c r="J703" s="115"/>
      <c r="K703" s="108"/>
      <c r="L703" s="98"/>
      <c r="M703" s="116"/>
      <c r="N703" s="111"/>
      <c r="O703" s="115"/>
      <c r="P703" s="108"/>
      <c r="Q703" s="98"/>
      <c r="R703" s="116"/>
      <c r="S703" s="83"/>
      <c r="T703" s="83"/>
      <c r="U703" s="83"/>
      <c r="V703" s="83"/>
      <c r="W703" s="83"/>
      <c r="X703" s="83"/>
      <c r="Y703" s="83"/>
      <c r="Z703" s="83"/>
    </row>
    <row r="704">
      <c r="A704" s="113"/>
      <c r="B704" s="117"/>
      <c r="C704" s="94"/>
      <c r="D704" s="111"/>
      <c r="E704" s="115"/>
      <c r="F704" s="108"/>
      <c r="G704" s="98"/>
      <c r="H704" s="116"/>
      <c r="I704" s="111"/>
      <c r="J704" s="115"/>
      <c r="K704" s="108"/>
      <c r="L704" s="98"/>
      <c r="M704" s="116"/>
      <c r="N704" s="111"/>
      <c r="O704" s="115"/>
      <c r="P704" s="108"/>
      <c r="Q704" s="98"/>
      <c r="R704" s="116"/>
      <c r="S704" s="83"/>
      <c r="T704" s="83"/>
      <c r="U704" s="83"/>
      <c r="V704" s="83"/>
      <c r="W704" s="83"/>
      <c r="X704" s="83"/>
      <c r="Y704" s="83"/>
      <c r="Z704" s="83"/>
    </row>
    <row r="705">
      <c r="A705" s="113"/>
      <c r="B705" s="117"/>
      <c r="C705" s="94"/>
      <c r="D705" s="111"/>
      <c r="E705" s="115"/>
      <c r="F705" s="108"/>
      <c r="G705" s="98"/>
      <c r="H705" s="116"/>
      <c r="I705" s="111"/>
      <c r="J705" s="115"/>
      <c r="K705" s="108"/>
      <c r="L705" s="98"/>
      <c r="M705" s="116"/>
      <c r="N705" s="111"/>
      <c r="O705" s="115"/>
      <c r="P705" s="108"/>
      <c r="Q705" s="98"/>
      <c r="R705" s="116"/>
      <c r="S705" s="83"/>
      <c r="T705" s="83"/>
      <c r="U705" s="83"/>
      <c r="V705" s="83"/>
      <c r="W705" s="83"/>
      <c r="X705" s="83"/>
      <c r="Y705" s="83"/>
      <c r="Z705" s="83"/>
    </row>
    <row r="706">
      <c r="A706" s="113"/>
      <c r="B706" s="117"/>
      <c r="C706" s="94"/>
      <c r="D706" s="111"/>
      <c r="E706" s="115"/>
      <c r="F706" s="108"/>
      <c r="G706" s="98"/>
      <c r="H706" s="116"/>
      <c r="I706" s="111"/>
      <c r="J706" s="115"/>
      <c r="K706" s="108"/>
      <c r="L706" s="98"/>
      <c r="M706" s="116"/>
      <c r="N706" s="111"/>
      <c r="O706" s="115"/>
      <c r="P706" s="108"/>
      <c r="Q706" s="98"/>
      <c r="R706" s="116"/>
      <c r="S706" s="83"/>
      <c r="T706" s="83"/>
      <c r="U706" s="83"/>
      <c r="V706" s="83"/>
      <c r="W706" s="83"/>
      <c r="X706" s="83"/>
      <c r="Y706" s="83"/>
      <c r="Z706" s="83"/>
    </row>
    <row r="707">
      <c r="A707" s="113"/>
      <c r="B707" s="117"/>
      <c r="C707" s="94"/>
      <c r="D707" s="111"/>
      <c r="E707" s="115"/>
      <c r="F707" s="108"/>
      <c r="G707" s="98"/>
      <c r="H707" s="116"/>
      <c r="I707" s="111"/>
      <c r="J707" s="115"/>
      <c r="K707" s="108"/>
      <c r="L707" s="98"/>
      <c r="M707" s="116"/>
      <c r="N707" s="111"/>
      <c r="O707" s="115"/>
      <c r="P707" s="108"/>
      <c r="Q707" s="98"/>
      <c r="R707" s="116"/>
      <c r="S707" s="83"/>
      <c r="T707" s="83"/>
      <c r="U707" s="83"/>
      <c r="V707" s="83"/>
      <c r="W707" s="83"/>
      <c r="X707" s="83"/>
      <c r="Y707" s="83"/>
      <c r="Z707" s="83"/>
    </row>
    <row r="708">
      <c r="A708" s="113"/>
      <c r="B708" s="117"/>
      <c r="C708" s="94"/>
      <c r="D708" s="111"/>
      <c r="E708" s="115"/>
      <c r="F708" s="108"/>
      <c r="G708" s="98"/>
      <c r="H708" s="116"/>
      <c r="I708" s="111"/>
      <c r="J708" s="115"/>
      <c r="K708" s="108"/>
      <c r="L708" s="98"/>
      <c r="M708" s="116"/>
      <c r="N708" s="111"/>
      <c r="O708" s="115"/>
      <c r="P708" s="108"/>
      <c r="Q708" s="98"/>
      <c r="R708" s="116"/>
      <c r="S708" s="83"/>
      <c r="T708" s="83"/>
      <c r="U708" s="83"/>
      <c r="V708" s="83"/>
      <c r="W708" s="83"/>
      <c r="X708" s="83"/>
      <c r="Y708" s="83"/>
      <c r="Z708" s="83"/>
    </row>
    <row r="709">
      <c r="A709" s="113"/>
      <c r="B709" s="117"/>
      <c r="C709" s="94"/>
      <c r="D709" s="111"/>
      <c r="E709" s="115"/>
      <c r="F709" s="108"/>
      <c r="G709" s="98"/>
      <c r="H709" s="116"/>
      <c r="I709" s="111"/>
      <c r="J709" s="115"/>
      <c r="K709" s="108"/>
      <c r="L709" s="98"/>
      <c r="M709" s="116"/>
      <c r="N709" s="111"/>
      <c r="O709" s="115"/>
      <c r="P709" s="108"/>
      <c r="Q709" s="98"/>
      <c r="R709" s="116"/>
      <c r="S709" s="83"/>
      <c r="T709" s="83"/>
      <c r="U709" s="83"/>
      <c r="V709" s="83"/>
      <c r="W709" s="83"/>
      <c r="X709" s="83"/>
      <c r="Y709" s="83"/>
      <c r="Z709" s="83"/>
    </row>
    <row r="710">
      <c r="A710" s="113"/>
      <c r="B710" s="117"/>
      <c r="C710" s="94"/>
      <c r="D710" s="111"/>
      <c r="E710" s="115"/>
      <c r="F710" s="108"/>
      <c r="G710" s="98"/>
      <c r="H710" s="116"/>
      <c r="I710" s="111"/>
      <c r="J710" s="115"/>
      <c r="K710" s="108"/>
      <c r="L710" s="98"/>
      <c r="M710" s="116"/>
      <c r="N710" s="111"/>
      <c r="O710" s="115"/>
      <c r="P710" s="108"/>
      <c r="Q710" s="98"/>
      <c r="R710" s="116"/>
      <c r="S710" s="83"/>
      <c r="T710" s="83"/>
      <c r="U710" s="83"/>
      <c r="V710" s="83"/>
      <c r="W710" s="83"/>
      <c r="X710" s="83"/>
      <c r="Y710" s="83"/>
      <c r="Z710" s="83"/>
    </row>
    <row r="711">
      <c r="A711" s="113"/>
      <c r="B711" s="117"/>
      <c r="C711" s="94"/>
      <c r="D711" s="111"/>
      <c r="E711" s="115"/>
      <c r="F711" s="108"/>
      <c r="G711" s="98"/>
      <c r="H711" s="116"/>
      <c r="I711" s="111"/>
      <c r="J711" s="115"/>
      <c r="K711" s="108"/>
      <c r="L711" s="98"/>
      <c r="M711" s="116"/>
      <c r="N711" s="111"/>
      <c r="O711" s="115"/>
      <c r="P711" s="108"/>
      <c r="Q711" s="98"/>
      <c r="R711" s="116"/>
      <c r="S711" s="83"/>
      <c r="T711" s="83"/>
      <c r="U711" s="83"/>
      <c r="V711" s="83"/>
      <c r="W711" s="83"/>
      <c r="X711" s="83"/>
      <c r="Y711" s="83"/>
      <c r="Z711" s="83"/>
    </row>
    <row r="712">
      <c r="A712" s="113"/>
      <c r="B712" s="117"/>
      <c r="C712" s="94"/>
      <c r="D712" s="111"/>
      <c r="E712" s="115"/>
      <c r="F712" s="108"/>
      <c r="G712" s="98"/>
      <c r="H712" s="116"/>
      <c r="I712" s="111"/>
      <c r="J712" s="115"/>
      <c r="K712" s="108"/>
      <c r="L712" s="98"/>
      <c r="M712" s="116"/>
      <c r="N712" s="111"/>
      <c r="O712" s="115"/>
      <c r="P712" s="108"/>
      <c r="Q712" s="98"/>
      <c r="R712" s="116"/>
      <c r="S712" s="83"/>
      <c r="T712" s="83"/>
      <c r="U712" s="83"/>
      <c r="V712" s="83"/>
      <c r="W712" s="83"/>
      <c r="X712" s="83"/>
      <c r="Y712" s="83"/>
      <c r="Z712" s="83"/>
    </row>
    <row r="713">
      <c r="A713" s="113"/>
      <c r="B713" s="117"/>
      <c r="C713" s="94"/>
      <c r="D713" s="111"/>
      <c r="E713" s="115"/>
      <c r="F713" s="108"/>
      <c r="G713" s="98"/>
      <c r="H713" s="116"/>
      <c r="I713" s="111"/>
      <c r="J713" s="115"/>
      <c r="K713" s="108"/>
      <c r="L713" s="98"/>
      <c r="M713" s="116"/>
      <c r="N713" s="111"/>
      <c r="O713" s="115"/>
      <c r="P713" s="108"/>
      <c r="Q713" s="98"/>
      <c r="R713" s="116"/>
      <c r="S713" s="83"/>
      <c r="T713" s="83"/>
      <c r="U713" s="83"/>
      <c r="V713" s="83"/>
      <c r="W713" s="83"/>
      <c r="X713" s="83"/>
      <c r="Y713" s="83"/>
      <c r="Z713" s="83"/>
    </row>
    <row r="714">
      <c r="A714" s="113"/>
      <c r="B714" s="117"/>
      <c r="C714" s="94"/>
      <c r="D714" s="111"/>
      <c r="E714" s="115"/>
      <c r="F714" s="108"/>
      <c r="G714" s="98"/>
      <c r="H714" s="116"/>
      <c r="I714" s="111"/>
      <c r="J714" s="115"/>
      <c r="K714" s="108"/>
      <c r="L714" s="98"/>
      <c r="M714" s="116"/>
      <c r="N714" s="111"/>
      <c r="O714" s="115"/>
      <c r="P714" s="108"/>
      <c r="Q714" s="98"/>
      <c r="R714" s="116"/>
      <c r="S714" s="83"/>
      <c r="T714" s="83"/>
      <c r="U714" s="83"/>
      <c r="V714" s="83"/>
      <c r="W714" s="83"/>
      <c r="X714" s="83"/>
      <c r="Y714" s="83"/>
      <c r="Z714" s="83"/>
    </row>
    <row r="715">
      <c r="A715" s="113"/>
      <c r="B715" s="117"/>
      <c r="C715" s="94"/>
      <c r="D715" s="111"/>
      <c r="E715" s="115"/>
      <c r="F715" s="108"/>
      <c r="G715" s="98"/>
      <c r="H715" s="116"/>
      <c r="I715" s="111"/>
      <c r="J715" s="115"/>
      <c r="K715" s="108"/>
      <c r="L715" s="98"/>
      <c r="M715" s="116"/>
      <c r="N715" s="111"/>
      <c r="O715" s="115"/>
      <c r="P715" s="108"/>
      <c r="Q715" s="98"/>
      <c r="R715" s="116"/>
      <c r="S715" s="83"/>
      <c r="T715" s="83"/>
      <c r="U715" s="83"/>
      <c r="V715" s="83"/>
      <c r="W715" s="83"/>
      <c r="X715" s="83"/>
      <c r="Y715" s="83"/>
      <c r="Z715" s="83"/>
    </row>
    <row r="716">
      <c r="A716" s="113"/>
      <c r="B716" s="117"/>
      <c r="C716" s="94"/>
      <c r="D716" s="111"/>
      <c r="E716" s="115"/>
      <c r="F716" s="108"/>
      <c r="G716" s="98"/>
      <c r="H716" s="116"/>
      <c r="I716" s="111"/>
      <c r="J716" s="115"/>
      <c r="K716" s="108"/>
      <c r="L716" s="98"/>
      <c r="M716" s="116"/>
      <c r="N716" s="111"/>
      <c r="O716" s="115"/>
      <c r="P716" s="108"/>
      <c r="Q716" s="98"/>
      <c r="R716" s="116"/>
      <c r="S716" s="83"/>
      <c r="T716" s="83"/>
      <c r="U716" s="83"/>
      <c r="V716" s="83"/>
      <c r="W716" s="83"/>
      <c r="X716" s="83"/>
      <c r="Y716" s="83"/>
      <c r="Z716" s="83"/>
    </row>
    <row r="717">
      <c r="A717" s="113"/>
      <c r="B717" s="117"/>
      <c r="C717" s="94"/>
      <c r="D717" s="111"/>
      <c r="E717" s="115"/>
      <c r="F717" s="108"/>
      <c r="G717" s="98"/>
      <c r="H717" s="116"/>
      <c r="I717" s="111"/>
      <c r="J717" s="115"/>
      <c r="K717" s="108"/>
      <c r="L717" s="98"/>
      <c r="M717" s="116"/>
      <c r="N717" s="111"/>
      <c r="O717" s="115"/>
      <c r="P717" s="108"/>
      <c r="Q717" s="98"/>
      <c r="R717" s="116"/>
      <c r="S717" s="83"/>
      <c r="T717" s="83"/>
      <c r="U717" s="83"/>
      <c r="V717" s="83"/>
      <c r="W717" s="83"/>
      <c r="X717" s="83"/>
      <c r="Y717" s="83"/>
      <c r="Z717" s="83"/>
    </row>
    <row r="718">
      <c r="A718" s="113"/>
      <c r="B718" s="117"/>
      <c r="C718" s="94"/>
      <c r="D718" s="111"/>
      <c r="E718" s="115"/>
      <c r="F718" s="108"/>
      <c r="G718" s="98"/>
      <c r="H718" s="116"/>
      <c r="I718" s="111"/>
      <c r="J718" s="115"/>
      <c r="K718" s="108"/>
      <c r="L718" s="98"/>
      <c r="M718" s="116"/>
      <c r="N718" s="111"/>
      <c r="O718" s="115"/>
      <c r="P718" s="108"/>
      <c r="Q718" s="98"/>
      <c r="R718" s="116"/>
      <c r="S718" s="83"/>
      <c r="T718" s="83"/>
      <c r="U718" s="83"/>
      <c r="V718" s="83"/>
      <c r="W718" s="83"/>
      <c r="X718" s="83"/>
      <c r="Y718" s="83"/>
      <c r="Z718" s="83"/>
    </row>
    <row r="719">
      <c r="A719" s="113"/>
      <c r="B719" s="117"/>
      <c r="C719" s="94"/>
      <c r="D719" s="111"/>
      <c r="E719" s="115"/>
      <c r="F719" s="108"/>
      <c r="G719" s="98"/>
      <c r="H719" s="116"/>
      <c r="I719" s="111"/>
      <c r="J719" s="115"/>
      <c r="K719" s="108"/>
      <c r="L719" s="98"/>
      <c r="M719" s="116"/>
      <c r="N719" s="111"/>
      <c r="O719" s="115"/>
      <c r="P719" s="108"/>
      <c r="Q719" s="98"/>
      <c r="R719" s="116"/>
      <c r="S719" s="83"/>
      <c r="T719" s="83"/>
      <c r="U719" s="83"/>
      <c r="V719" s="83"/>
      <c r="W719" s="83"/>
      <c r="X719" s="83"/>
      <c r="Y719" s="83"/>
      <c r="Z719" s="83"/>
    </row>
    <row r="720">
      <c r="A720" s="113"/>
      <c r="B720" s="117"/>
      <c r="C720" s="94"/>
      <c r="D720" s="111"/>
      <c r="E720" s="115"/>
      <c r="F720" s="108"/>
      <c r="G720" s="98"/>
      <c r="H720" s="116"/>
      <c r="I720" s="111"/>
      <c r="J720" s="115"/>
      <c r="K720" s="108"/>
      <c r="L720" s="98"/>
      <c r="M720" s="116"/>
      <c r="N720" s="111"/>
      <c r="O720" s="115"/>
      <c r="P720" s="108"/>
      <c r="Q720" s="98"/>
      <c r="R720" s="116"/>
      <c r="S720" s="83"/>
      <c r="T720" s="83"/>
      <c r="U720" s="83"/>
      <c r="V720" s="83"/>
      <c r="W720" s="83"/>
      <c r="X720" s="83"/>
      <c r="Y720" s="83"/>
      <c r="Z720" s="83"/>
    </row>
    <row r="721">
      <c r="A721" s="113"/>
      <c r="B721" s="117"/>
      <c r="C721" s="94"/>
      <c r="D721" s="111"/>
      <c r="E721" s="115"/>
      <c r="F721" s="108"/>
      <c r="G721" s="98"/>
      <c r="H721" s="116"/>
      <c r="I721" s="111"/>
      <c r="J721" s="115"/>
      <c r="K721" s="108"/>
      <c r="L721" s="98"/>
      <c r="M721" s="116"/>
      <c r="N721" s="111"/>
      <c r="O721" s="115"/>
      <c r="P721" s="108"/>
      <c r="Q721" s="98"/>
      <c r="R721" s="116"/>
      <c r="S721" s="83"/>
      <c r="T721" s="83"/>
      <c r="U721" s="83"/>
      <c r="V721" s="83"/>
      <c r="W721" s="83"/>
      <c r="X721" s="83"/>
      <c r="Y721" s="83"/>
      <c r="Z721" s="83"/>
    </row>
    <row r="722">
      <c r="A722" s="113"/>
      <c r="B722" s="117"/>
      <c r="C722" s="94"/>
      <c r="D722" s="111"/>
      <c r="E722" s="115"/>
      <c r="F722" s="108"/>
      <c r="G722" s="98"/>
      <c r="H722" s="116"/>
      <c r="I722" s="111"/>
      <c r="J722" s="115"/>
      <c r="K722" s="108"/>
      <c r="L722" s="98"/>
      <c r="M722" s="116"/>
      <c r="N722" s="111"/>
      <c r="O722" s="115"/>
      <c r="P722" s="108"/>
      <c r="Q722" s="98"/>
      <c r="R722" s="116"/>
      <c r="S722" s="83"/>
      <c r="T722" s="83"/>
      <c r="U722" s="83"/>
      <c r="V722" s="83"/>
      <c r="W722" s="83"/>
      <c r="X722" s="83"/>
      <c r="Y722" s="83"/>
      <c r="Z722" s="83"/>
    </row>
    <row r="723">
      <c r="A723" s="113"/>
      <c r="B723" s="117"/>
      <c r="C723" s="94"/>
      <c r="D723" s="111"/>
      <c r="E723" s="115"/>
      <c r="F723" s="108"/>
      <c r="G723" s="98"/>
      <c r="H723" s="116"/>
      <c r="I723" s="111"/>
      <c r="J723" s="115"/>
      <c r="K723" s="108"/>
      <c r="L723" s="98"/>
      <c r="M723" s="116"/>
      <c r="N723" s="111"/>
      <c r="O723" s="115"/>
      <c r="P723" s="108"/>
      <c r="Q723" s="98"/>
      <c r="R723" s="116"/>
      <c r="S723" s="83"/>
      <c r="T723" s="83"/>
      <c r="U723" s="83"/>
      <c r="V723" s="83"/>
      <c r="W723" s="83"/>
      <c r="X723" s="83"/>
      <c r="Y723" s="83"/>
      <c r="Z723" s="83"/>
    </row>
    <row r="724">
      <c r="A724" s="113"/>
      <c r="B724" s="117"/>
      <c r="C724" s="94"/>
      <c r="D724" s="111"/>
      <c r="E724" s="115"/>
      <c r="F724" s="108"/>
      <c r="G724" s="98"/>
      <c r="H724" s="116"/>
      <c r="I724" s="111"/>
      <c r="J724" s="115"/>
      <c r="K724" s="108"/>
      <c r="L724" s="98"/>
      <c r="M724" s="116"/>
      <c r="N724" s="111"/>
      <c r="O724" s="115"/>
      <c r="P724" s="108"/>
      <c r="Q724" s="98"/>
      <c r="R724" s="116"/>
      <c r="S724" s="83"/>
      <c r="T724" s="83"/>
      <c r="U724" s="83"/>
      <c r="V724" s="83"/>
      <c r="W724" s="83"/>
      <c r="X724" s="83"/>
      <c r="Y724" s="83"/>
      <c r="Z724" s="83"/>
    </row>
    <row r="725">
      <c r="A725" s="113"/>
      <c r="B725" s="117"/>
      <c r="C725" s="94"/>
      <c r="D725" s="111"/>
      <c r="E725" s="115"/>
      <c r="F725" s="108"/>
      <c r="G725" s="98"/>
      <c r="H725" s="116"/>
      <c r="I725" s="111"/>
      <c r="J725" s="115"/>
      <c r="K725" s="108"/>
      <c r="L725" s="98"/>
      <c r="M725" s="116"/>
      <c r="N725" s="111"/>
      <c r="O725" s="115"/>
      <c r="P725" s="108"/>
      <c r="Q725" s="98"/>
      <c r="R725" s="116"/>
      <c r="S725" s="83"/>
      <c r="T725" s="83"/>
      <c r="U725" s="83"/>
      <c r="V725" s="83"/>
      <c r="W725" s="83"/>
      <c r="X725" s="83"/>
      <c r="Y725" s="83"/>
      <c r="Z725" s="83"/>
    </row>
    <row r="726">
      <c r="A726" s="113"/>
      <c r="B726" s="117"/>
      <c r="C726" s="94"/>
      <c r="D726" s="111"/>
      <c r="E726" s="115"/>
      <c r="F726" s="108"/>
      <c r="G726" s="98"/>
      <c r="H726" s="116"/>
      <c r="I726" s="111"/>
      <c r="J726" s="115"/>
      <c r="K726" s="108"/>
      <c r="L726" s="98"/>
      <c r="M726" s="116"/>
      <c r="N726" s="111"/>
      <c r="O726" s="115"/>
      <c r="P726" s="108"/>
      <c r="Q726" s="98"/>
      <c r="R726" s="116"/>
      <c r="S726" s="83"/>
      <c r="T726" s="83"/>
      <c r="U726" s="83"/>
      <c r="V726" s="83"/>
      <c r="W726" s="83"/>
      <c r="X726" s="83"/>
      <c r="Y726" s="83"/>
      <c r="Z726" s="83"/>
    </row>
    <row r="727">
      <c r="A727" s="113"/>
      <c r="B727" s="117"/>
      <c r="C727" s="94"/>
      <c r="D727" s="111"/>
      <c r="E727" s="115"/>
      <c r="F727" s="108"/>
      <c r="G727" s="98"/>
      <c r="H727" s="116"/>
      <c r="I727" s="111"/>
      <c r="J727" s="115"/>
      <c r="K727" s="108"/>
      <c r="L727" s="98"/>
      <c r="M727" s="116"/>
      <c r="N727" s="111"/>
      <c r="O727" s="115"/>
      <c r="P727" s="108"/>
      <c r="Q727" s="98"/>
      <c r="R727" s="116"/>
      <c r="S727" s="83"/>
      <c r="T727" s="83"/>
      <c r="U727" s="83"/>
      <c r="V727" s="83"/>
      <c r="W727" s="83"/>
      <c r="X727" s="83"/>
      <c r="Y727" s="83"/>
      <c r="Z727" s="83"/>
    </row>
    <row r="728">
      <c r="A728" s="113"/>
      <c r="B728" s="117"/>
      <c r="C728" s="94"/>
      <c r="D728" s="111"/>
      <c r="E728" s="115"/>
      <c r="F728" s="108"/>
      <c r="G728" s="98"/>
      <c r="H728" s="116"/>
      <c r="I728" s="111"/>
      <c r="J728" s="115"/>
      <c r="K728" s="108"/>
      <c r="L728" s="98"/>
      <c r="M728" s="116"/>
      <c r="N728" s="111"/>
      <c r="O728" s="115"/>
      <c r="P728" s="108"/>
      <c r="Q728" s="98"/>
      <c r="R728" s="116"/>
      <c r="S728" s="83"/>
      <c r="T728" s="83"/>
      <c r="U728" s="83"/>
      <c r="V728" s="83"/>
      <c r="W728" s="83"/>
      <c r="X728" s="83"/>
      <c r="Y728" s="83"/>
      <c r="Z728" s="83"/>
    </row>
    <row r="729">
      <c r="A729" s="113"/>
      <c r="B729" s="117"/>
      <c r="C729" s="94"/>
      <c r="D729" s="111"/>
      <c r="E729" s="115"/>
      <c r="F729" s="108"/>
      <c r="G729" s="98"/>
      <c r="H729" s="116"/>
      <c r="I729" s="111"/>
      <c r="J729" s="115"/>
      <c r="K729" s="108"/>
      <c r="L729" s="98"/>
      <c r="M729" s="116"/>
      <c r="N729" s="111"/>
      <c r="O729" s="115"/>
      <c r="P729" s="108"/>
      <c r="Q729" s="98"/>
      <c r="R729" s="116"/>
      <c r="S729" s="83"/>
      <c r="T729" s="83"/>
      <c r="U729" s="83"/>
      <c r="V729" s="83"/>
      <c r="W729" s="83"/>
      <c r="X729" s="83"/>
      <c r="Y729" s="83"/>
      <c r="Z729" s="83"/>
    </row>
    <row r="730">
      <c r="A730" s="113"/>
      <c r="B730" s="117"/>
      <c r="C730" s="94"/>
      <c r="D730" s="111"/>
      <c r="E730" s="115"/>
      <c r="F730" s="108"/>
      <c r="G730" s="98"/>
      <c r="H730" s="116"/>
      <c r="I730" s="111"/>
      <c r="J730" s="115"/>
      <c r="K730" s="108"/>
      <c r="L730" s="98"/>
      <c r="M730" s="116"/>
      <c r="N730" s="111"/>
      <c r="O730" s="115"/>
      <c r="P730" s="108"/>
      <c r="Q730" s="98"/>
      <c r="R730" s="116"/>
      <c r="S730" s="83"/>
      <c r="T730" s="83"/>
      <c r="U730" s="83"/>
      <c r="V730" s="83"/>
      <c r="W730" s="83"/>
      <c r="X730" s="83"/>
      <c r="Y730" s="83"/>
      <c r="Z730" s="83"/>
    </row>
    <row r="731">
      <c r="A731" s="113"/>
      <c r="B731" s="117"/>
      <c r="C731" s="94"/>
      <c r="D731" s="111"/>
      <c r="E731" s="115"/>
      <c r="F731" s="108"/>
      <c r="G731" s="98"/>
      <c r="H731" s="116"/>
      <c r="I731" s="111"/>
      <c r="J731" s="115"/>
      <c r="K731" s="108"/>
      <c r="L731" s="98"/>
      <c r="M731" s="116"/>
      <c r="N731" s="111"/>
      <c r="O731" s="115"/>
      <c r="P731" s="108"/>
      <c r="Q731" s="98"/>
      <c r="R731" s="116"/>
      <c r="S731" s="83"/>
      <c r="T731" s="83"/>
      <c r="U731" s="83"/>
      <c r="V731" s="83"/>
      <c r="W731" s="83"/>
      <c r="X731" s="83"/>
      <c r="Y731" s="83"/>
      <c r="Z731" s="83"/>
    </row>
    <row r="732">
      <c r="A732" s="113"/>
      <c r="B732" s="117"/>
      <c r="C732" s="94"/>
      <c r="D732" s="111"/>
      <c r="E732" s="115"/>
      <c r="F732" s="108"/>
      <c r="G732" s="98"/>
      <c r="H732" s="116"/>
      <c r="I732" s="111"/>
      <c r="J732" s="115"/>
      <c r="K732" s="108"/>
      <c r="L732" s="98"/>
      <c r="M732" s="116"/>
      <c r="N732" s="111"/>
      <c r="O732" s="115"/>
      <c r="P732" s="108"/>
      <c r="Q732" s="98"/>
      <c r="R732" s="116"/>
      <c r="S732" s="83"/>
      <c r="T732" s="83"/>
      <c r="U732" s="83"/>
      <c r="V732" s="83"/>
      <c r="W732" s="83"/>
      <c r="X732" s="83"/>
      <c r="Y732" s="83"/>
      <c r="Z732" s="83"/>
    </row>
    <row r="733">
      <c r="A733" s="113"/>
      <c r="B733" s="117"/>
      <c r="C733" s="94"/>
      <c r="D733" s="111"/>
      <c r="E733" s="115"/>
      <c r="F733" s="108"/>
      <c r="G733" s="98"/>
      <c r="H733" s="116"/>
      <c r="I733" s="111"/>
      <c r="J733" s="115"/>
      <c r="K733" s="108"/>
      <c r="L733" s="98"/>
      <c r="M733" s="116"/>
      <c r="N733" s="111"/>
      <c r="O733" s="115"/>
      <c r="P733" s="108"/>
      <c r="Q733" s="98"/>
      <c r="R733" s="116"/>
      <c r="S733" s="83"/>
      <c r="T733" s="83"/>
      <c r="U733" s="83"/>
      <c r="V733" s="83"/>
      <c r="W733" s="83"/>
      <c r="X733" s="83"/>
      <c r="Y733" s="83"/>
      <c r="Z733" s="83"/>
    </row>
    <row r="734">
      <c r="A734" s="113"/>
      <c r="B734" s="117"/>
      <c r="C734" s="94"/>
      <c r="D734" s="111"/>
      <c r="E734" s="115"/>
      <c r="F734" s="108"/>
      <c r="G734" s="98"/>
      <c r="H734" s="116"/>
      <c r="I734" s="111"/>
      <c r="J734" s="115"/>
      <c r="K734" s="108"/>
      <c r="L734" s="98"/>
      <c r="M734" s="116"/>
      <c r="N734" s="111"/>
      <c r="O734" s="115"/>
      <c r="P734" s="108"/>
      <c r="Q734" s="98"/>
      <c r="R734" s="116"/>
      <c r="S734" s="83"/>
      <c r="T734" s="83"/>
      <c r="U734" s="83"/>
      <c r="V734" s="83"/>
      <c r="W734" s="83"/>
      <c r="X734" s="83"/>
      <c r="Y734" s="83"/>
      <c r="Z734" s="83"/>
    </row>
    <row r="735">
      <c r="A735" s="113"/>
      <c r="B735" s="117"/>
      <c r="C735" s="94"/>
      <c r="D735" s="111"/>
      <c r="E735" s="115"/>
      <c r="F735" s="108"/>
      <c r="G735" s="98"/>
      <c r="H735" s="116"/>
      <c r="I735" s="111"/>
      <c r="J735" s="115"/>
      <c r="K735" s="108"/>
      <c r="L735" s="98"/>
      <c r="M735" s="116"/>
      <c r="N735" s="111"/>
      <c r="O735" s="115"/>
      <c r="P735" s="108"/>
      <c r="Q735" s="98"/>
      <c r="R735" s="116"/>
      <c r="S735" s="83"/>
      <c r="T735" s="83"/>
      <c r="U735" s="83"/>
      <c r="V735" s="83"/>
      <c r="W735" s="83"/>
      <c r="X735" s="83"/>
      <c r="Y735" s="83"/>
      <c r="Z735" s="83"/>
    </row>
    <row r="736">
      <c r="A736" s="113"/>
      <c r="B736" s="117"/>
      <c r="C736" s="94"/>
      <c r="D736" s="111"/>
      <c r="E736" s="115"/>
      <c r="F736" s="108"/>
      <c r="G736" s="98"/>
      <c r="H736" s="116"/>
      <c r="I736" s="111"/>
      <c r="J736" s="115"/>
      <c r="K736" s="108"/>
      <c r="L736" s="98"/>
      <c r="M736" s="116"/>
      <c r="N736" s="111"/>
      <c r="O736" s="115"/>
      <c r="P736" s="108"/>
      <c r="Q736" s="98"/>
      <c r="R736" s="116"/>
      <c r="S736" s="83"/>
      <c r="T736" s="83"/>
      <c r="U736" s="83"/>
      <c r="V736" s="83"/>
      <c r="W736" s="83"/>
      <c r="X736" s="83"/>
      <c r="Y736" s="83"/>
      <c r="Z736" s="83"/>
    </row>
    <row r="737">
      <c r="A737" s="113"/>
      <c r="B737" s="117"/>
      <c r="C737" s="94"/>
      <c r="D737" s="111"/>
      <c r="E737" s="115"/>
      <c r="F737" s="108"/>
      <c r="G737" s="98"/>
      <c r="H737" s="116"/>
      <c r="I737" s="111"/>
      <c r="J737" s="115"/>
      <c r="K737" s="108"/>
      <c r="L737" s="98"/>
      <c r="M737" s="116"/>
      <c r="N737" s="111"/>
      <c r="O737" s="115"/>
      <c r="P737" s="108"/>
      <c r="Q737" s="98"/>
      <c r="R737" s="116"/>
      <c r="S737" s="83"/>
      <c r="T737" s="83"/>
      <c r="U737" s="83"/>
      <c r="V737" s="83"/>
      <c r="W737" s="83"/>
      <c r="X737" s="83"/>
      <c r="Y737" s="83"/>
      <c r="Z737" s="83"/>
    </row>
    <row r="738">
      <c r="A738" s="113"/>
      <c r="B738" s="117"/>
      <c r="C738" s="94"/>
      <c r="D738" s="111"/>
      <c r="E738" s="115"/>
      <c r="F738" s="108"/>
      <c r="G738" s="98"/>
      <c r="H738" s="116"/>
      <c r="I738" s="111"/>
      <c r="J738" s="115"/>
      <c r="K738" s="108"/>
      <c r="L738" s="98"/>
      <c r="M738" s="116"/>
      <c r="N738" s="111"/>
      <c r="O738" s="115"/>
      <c r="P738" s="108"/>
      <c r="Q738" s="98"/>
      <c r="R738" s="116"/>
      <c r="S738" s="83"/>
      <c r="T738" s="83"/>
      <c r="U738" s="83"/>
      <c r="V738" s="83"/>
      <c r="W738" s="83"/>
      <c r="X738" s="83"/>
      <c r="Y738" s="83"/>
      <c r="Z738" s="83"/>
    </row>
    <row r="739">
      <c r="A739" s="113"/>
      <c r="B739" s="117"/>
      <c r="C739" s="94"/>
      <c r="D739" s="111"/>
      <c r="E739" s="115"/>
      <c r="F739" s="108"/>
      <c r="G739" s="98"/>
      <c r="H739" s="116"/>
      <c r="I739" s="111"/>
      <c r="J739" s="115"/>
      <c r="K739" s="108"/>
      <c r="L739" s="98"/>
      <c r="M739" s="116"/>
      <c r="N739" s="111"/>
      <c r="O739" s="115"/>
      <c r="P739" s="108"/>
      <c r="Q739" s="98"/>
      <c r="R739" s="116"/>
      <c r="S739" s="83"/>
      <c r="T739" s="83"/>
      <c r="U739" s="83"/>
      <c r="V739" s="83"/>
      <c r="W739" s="83"/>
      <c r="X739" s="83"/>
      <c r="Y739" s="83"/>
      <c r="Z739" s="83"/>
    </row>
    <row r="740">
      <c r="A740" s="113"/>
      <c r="B740" s="117"/>
      <c r="C740" s="94"/>
      <c r="D740" s="111"/>
      <c r="E740" s="115"/>
      <c r="F740" s="108"/>
      <c r="G740" s="98"/>
      <c r="H740" s="116"/>
      <c r="I740" s="111"/>
      <c r="J740" s="115"/>
      <c r="K740" s="108"/>
      <c r="L740" s="98"/>
      <c r="M740" s="116"/>
      <c r="N740" s="111"/>
      <c r="O740" s="115"/>
      <c r="P740" s="108"/>
      <c r="Q740" s="98"/>
      <c r="R740" s="116"/>
      <c r="S740" s="83"/>
      <c r="T740" s="83"/>
      <c r="U740" s="83"/>
      <c r="V740" s="83"/>
      <c r="W740" s="83"/>
      <c r="X740" s="83"/>
      <c r="Y740" s="83"/>
      <c r="Z740" s="83"/>
    </row>
    <row r="741">
      <c r="A741" s="113"/>
      <c r="B741" s="117"/>
      <c r="C741" s="94"/>
      <c r="D741" s="111"/>
      <c r="E741" s="115"/>
      <c r="F741" s="108"/>
      <c r="G741" s="98"/>
      <c r="H741" s="116"/>
      <c r="I741" s="111"/>
      <c r="J741" s="115"/>
      <c r="K741" s="108"/>
      <c r="L741" s="98"/>
      <c r="M741" s="116"/>
      <c r="N741" s="111"/>
      <c r="O741" s="115"/>
      <c r="P741" s="108"/>
      <c r="Q741" s="98"/>
      <c r="R741" s="116"/>
      <c r="S741" s="83"/>
      <c r="T741" s="83"/>
      <c r="U741" s="83"/>
      <c r="V741" s="83"/>
      <c r="W741" s="83"/>
      <c r="X741" s="83"/>
      <c r="Y741" s="83"/>
      <c r="Z741" s="83"/>
    </row>
    <row r="742">
      <c r="A742" s="113"/>
      <c r="B742" s="117"/>
      <c r="C742" s="94"/>
      <c r="D742" s="111"/>
      <c r="E742" s="115"/>
      <c r="F742" s="108"/>
      <c r="G742" s="98"/>
      <c r="H742" s="116"/>
      <c r="I742" s="111"/>
      <c r="J742" s="115"/>
      <c r="K742" s="108"/>
      <c r="L742" s="98"/>
      <c r="M742" s="116"/>
      <c r="N742" s="111"/>
      <c r="O742" s="115"/>
      <c r="P742" s="108"/>
      <c r="Q742" s="98"/>
      <c r="R742" s="116"/>
      <c r="S742" s="83"/>
      <c r="T742" s="83"/>
      <c r="U742" s="83"/>
      <c r="V742" s="83"/>
      <c r="W742" s="83"/>
      <c r="X742" s="83"/>
      <c r="Y742" s="83"/>
      <c r="Z742" s="83"/>
    </row>
    <row r="743">
      <c r="A743" s="113"/>
      <c r="B743" s="117"/>
      <c r="C743" s="94"/>
      <c r="D743" s="111"/>
      <c r="E743" s="115"/>
      <c r="F743" s="108"/>
      <c r="G743" s="98"/>
      <c r="H743" s="116"/>
      <c r="I743" s="111"/>
      <c r="J743" s="115"/>
      <c r="K743" s="108"/>
      <c r="L743" s="98"/>
      <c r="M743" s="116"/>
      <c r="N743" s="111"/>
      <c r="O743" s="115"/>
      <c r="P743" s="108"/>
      <c r="Q743" s="98"/>
      <c r="R743" s="116"/>
      <c r="S743" s="83"/>
      <c r="T743" s="83"/>
      <c r="U743" s="83"/>
      <c r="V743" s="83"/>
      <c r="W743" s="83"/>
      <c r="X743" s="83"/>
      <c r="Y743" s="83"/>
      <c r="Z743" s="83"/>
    </row>
    <row r="744">
      <c r="A744" s="113"/>
      <c r="B744" s="117"/>
      <c r="C744" s="94"/>
      <c r="D744" s="111"/>
      <c r="E744" s="115"/>
      <c r="F744" s="108"/>
      <c r="G744" s="98"/>
      <c r="H744" s="116"/>
      <c r="I744" s="111"/>
      <c r="J744" s="115"/>
      <c r="K744" s="108"/>
      <c r="L744" s="98"/>
      <c r="M744" s="116"/>
      <c r="N744" s="111"/>
      <c r="O744" s="115"/>
      <c r="P744" s="108"/>
      <c r="Q744" s="98"/>
      <c r="R744" s="116"/>
      <c r="S744" s="83"/>
      <c r="T744" s="83"/>
      <c r="U744" s="83"/>
      <c r="V744" s="83"/>
      <c r="W744" s="83"/>
      <c r="X744" s="83"/>
      <c r="Y744" s="83"/>
      <c r="Z744" s="83"/>
    </row>
    <row r="745">
      <c r="A745" s="113"/>
      <c r="B745" s="117"/>
      <c r="C745" s="94"/>
      <c r="D745" s="111"/>
      <c r="E745" s="115"/>
      <c r="F745" s="108"/>
      <c r="G745" s="98"/>
      <c r="H745" s="116"/>
      <c r="I745" s="111"/>
      <c r="J745" s="115"/>
      <c r="K745" s="108"/>
      <c r="L745" s="98"/>
      <c r="M745" s="116"/>
      <c r="N745" s="111"/>
      <c r="O745" s="115"/>
      <c r="P745" s="108"/>
      <c r="Q745" s="98"/>
      <c r="R745" s="116"/>
      <c r="S745" s="83"/>
      <c r="T745" s="83"/>
      <c r="U745" s="83"/>
      <c r="V745" s="83"/>
      <c r="W745" s="83"/>
      <c r="X745" s="83"/>
      <c r="Y745" s="83"/>
      <c r="Z745" s="83"/>
    </row>
    <row r="746">
      <c r="A746" s="113"/>
      <c r="B746" s="117"/>
      <c r="C746" s="94"/>
      <c r="D746" s="111"/>
      <c r="E746" s="115"/>
      <c r="F746" s="108"/>
      <c r="G746" s="98"/>
      <c r="H746" s="116"/>
      <c r="I746" s="111"/>
      <c r="J746" s="115"/>
      <c r="K746" s="108"/>
      <c r="L746" s="98"/>
      <c r="M746" s="116"/>
      <c r="N746" s="111"/>
      <c r="O746" s="115"/>
      <c r="P746" s="108"/>
      <c r="Q746" s="98"/>
      <c r="R746" s="116"/>
      <c r="S746" s="83"/>
      <c r="T746" s="83"/>
      <c r="U746" s="83"/>
      <c r="V746" s="83"/>
      <c r="W746" s="83"/>
      <c r="X746" s="83"/>
      <c r="Y746" s="83"/>
      <c r="Z746" s="83"/>
    </row>
    <row r="747">
      <c r="A747" s="113"/>
      <c r="B747" s="117"/>
      <c r="C747" s="94"/>
      <c r="D747" s="111"/>
      <c r="E747" s="115"/>
      <c r="F747" s="108"/>
      <c r="G747" s="98"/>
      <c r="H747" s="116"/>
      <c r="I747" s="111"/>
      <c r="J747" s="115"/>
      <c r="K747" s="108"/>
      <c r="L747" s="98"/>
      <c r="M747" s="116"/>
      <c r="N747" s="111"/>
      <c r="O747" s="115"/>
      <c r="P747" s="108"/>
      <c r="Q747" s="98"/>
      <c r="R747" s="116"/>
      <c r="S747" s="83"/>
      <c r="T747" s="83"/>
      <c r="U747" s="83"/>
      <c r="V747" s="83"/>
      <c r="W747" s="83"/>
      <c r="X747" s="83"/>
      <c r="Y747" s="83"/>
      <c r="Z747" s="83"/>
    </row>
    <row r="748">
      <c r="A748" s="113"/>
      <c r="B748" s="117"/>
      <c r="C748" s="94"/>
      <c r="D748" s="111"/>
      <c r="E748" s="115"/>
      <c r="F748" s="108"/>
      <c r="G748" s="98"/>
      <c r="H748" s="116"/>
      <c r="I748" s="111"/>
      <c r="J748" s="115"/>
      <c r="K748" s="108"/>
      <c r="L748" s="98"/>
      <c r="M748" s="116"/>
      <c r="N748" s="111"/>
      <c r="O748" s="115"/>
      <c r="P748" s="108"/>
      <c r="Q748" s="98"/>
      <c r="R748" s="116"/>
      <c r="S748" s="83"/>
      <c r="T748" s="83"/>
      <c r="U748" s="83"/>
      <c r="V748" s="83"/>
      <c r="W748" s="83"/>
      <c r="X748" s="83"/>
      <c r="Y748" s="83"/>
      <c r="Z748" s="83"/>
    </row>
    <row r="749">
      <c r="A749" s="113"/>
      <c r="B749" s="117"/>
      <c r="C749" s="94"/>
      <c r="D749" s="111"/>
      <c r="E749" s="115"/>
      <c r="F749" s="108"/>
      <c r="G749" s="98"/>
      <c r="H749" s="116"/>
      <c r="I749" s="111"/>
      <c r="J749" s="115"/>
      <c r="K749" s="108"/>
      <c r="L749" s="98"/>
      <c r="M749" s="116"/>
      <c r="N749" s="111"/>
      <c r="O749" s="115"/>
      <c r="P749" s="108"/>
      <c r="Q749" s="98"/>
      <c r="R749" s="116"/>
      <c r="S749" s="83"/>
      <c r="T749" s="83"/>
      <c r="U749" s="83"/>
      <c r="V749" s="83"/>
      <c r="W749" s="83"/>
      <c r="X749" s="83"/>
      <c r="Y749" s="83"/>
      <c r="Z749" s="83"/>
    </row>
    <row r="750">
      <c r="A750" s="113"/>
      <c r="B750" s="117"/>
      <c r="C750" s="94"/>
      <c r="D750" s="111"/>
      <c r="E750" s="115"/>
      <c r="F750" s="108"/>
      <c r="G750" s="98"/>
      <c r="H750" s="116"/>
      <c r="I750" s="111"/>
      <c r="J750" s="115"/>
      <c r="K750" s="108"/>
      <c r="L750" s="98"/>
      <c r="M750" s="116"/>
      <c r="N750" s="111"/>
      <c r="O750" s="115"/>
      <c r="P750" s="108"/>
      <c r="Q750" s="98"/>
      <c r="R750" s="116"/>
      <c r="S750" s="83"/>
      <c r="T750" s="83"/>
      <c r="U750" s="83"/>
      <c r="V750" s="83"/>
      <c r="W750" s="83"/>
      <c r="X750" s="83"/>
      <c r="Y750" s="83"/>
      <c r="Z750" s="83"/>
    </row>
    <row r="751">
      <c r="A751" s="113"/>
      <c r="B751" s="117"/>
      <c r="C751" s="94"/>
      <c r="D751" s="111"/>
      <c r="E751" s="115"/>
      <c r="F751" s="108"/>
      <c r="G751" s="98"/>
      <c r="H751" s="116"/>
      <c r="I751" s="111"/>
      <c r="J751" s="115"/>
      <c r="K751" s="108"/>
      <c r="L751" s="98"/>
      <c r="M751" s="116"/>
      <c r="N751" s="111"/>
      <c r="O751" s="115"/>
      <c r="P751" s="108"/>
      <c r="Q751" s="98"/>
      <c r="R751" s="116"/>
      <c r="S751" s="83"/>
      <c r="T751" s="83"/>
      <c r="U751" s="83"/>
      <c r="V751" s="83"/>
      <c r="W751" s="83"/>
      <c r="X751" s="83"/>
      <c r="Y751" s="83"/>
      <c r="Z751" s="83"/>
    </row>
    <row r="752">
      <c r="A752" s="113"/>
      <c r="B752" s="117"/>
      <c r="C752" s="94"/>
      <c r="D752" s="111"/>
      <c r="E752" s="115"/>
      <c r="F752" s="108"/>
      <c r="G752" s="98"/>
      <c r="H752" s="116"/>
      <c r="I752" s="111"/>
      <c r="J752" s="115"/>
      <c r="K752" s="108"/>
      <c r="L752" s="98"/>
      <c r="M752" s="116"/>
      <c r="N752" s="111"/>
      <c r="O752" s="115"/>
      <c r="P752" s="108"/>
      <c r="Q752" s="98"/>
      <c r="R752" s="116"/>
      <c r="S752" s="83"/>
      <c r="T752" s="83"/>
      <c r="U752" s="83"/>
      <c r="V752" s="83"/>
      <c r="W752" s="83"/>
      <c r="X752" s="83"/>
      <c r="Y752" s="83"/>
      <c r="Z752" s="83"/>
    </row>
    <row r="753">
      <c r="A753" s="113"/>
      <c r="B753" s="117"/>
      <c r="C753" s="94"/>
      <c r="D753" s="111"/>
      <c r="E753" s="115"/>
      <c r="F753" s="108"/>
      <c r="G753" s="98"/>
      <c r="H753" s="116"/>
      <c r="I753" s="111"/>
      <c r="J753" s="115"/>
      <c r="K753" s="108"/>
      <c r="L753" s="98"/>
      <c r="M753" s="116"/>
      <c r="N753" s="111"/>
      <c r="O753" s="115"/>
      <c r="P753" s="108"/>
      <c r="Q753" s="98"/>
      <c r="R753" s="116"/>
      <c r="S753" s="83"/>
      <c r="T753" s="83"/>
      <c r="U753" s="83"/>
      <c r="V753" s="83"/>
      <c r="W753" s="83"/>
      <c r="X753" s="83"/>
      <c r="Y753" s="83"/>
      <c r="Z753" s="83"/>
    </row>
    <row r="754">
      <c r="A754" s="113"/>
      <c r="B754" s="117"/>
      <c r="C754" s="94"/>
      <c r="D754" s="111"/>
      <c r="E754" s="115"/>
      <c r="F754" s="108"/>
      <c r="G754" s="98"/>
      <c r="H754" s="116"/>
      <c r="I754" s="111"/>
      <c r="J754" s="115"/>
      <c r="K754" s="108"/>
      <c r="L754" s="98"/>
      <c r="M754" s="116"/>
      <c r="N754" s="111"/>
      <c r="O754" s="115"/>
      <c r="P754" s="108"/>
      <c r="Q754" s="98"/>
      <c r="R754" s="116"/>
      <c r="S754" s="83"/>
      <c r="T754" s="83"/>
      <c r="U754" s="83"/>
      <c r="V754" s="83"/>
      <c r="W754" s="83"/>
      <c r="X754" s="83"/>
      <c r="Y754" s="83"/>
      <c r="Z754" s="83"/>
    </row>
    <row r="755">
      <c r="A755" s="113"/>
      <c r="B755" s="117"/>
      <c r="C755" s="94"/>
      <c r="D755" s="111"/>
      <c r="E755" s="115"/>
      <c r="F755" s="108"/>
      <c r="G755" s="98"/>
      <c r="H755" s="116"/>
      <c r="I755" s="111"/>
      <c r="J755" s="115"/>
      <c r="K755" s="108"/>
      <c r="L755" s="98"/>
      <c r="M755" s="116"/>
      <c r="N755" s="111"/>
      <c r="O755" s="115"/>
      <c r="P755" s="108"/>
      <c r="Q755" s="98"/>
      <c r="R755" s="116"/>
      <c r="S755" s="83"/>
      <c r="T755" s="83"/>
      <c r="U755" s="83"/>
      <c r="V755" s="83"/>
      <c r="W755" s="83"/>
      <c r="X755" s="83"/>
      <c r="Y755" s="83"/>
      <c r="Z755" s="83"/>
    </row>
    <row r="756">
      <c r="A756" s="113"/>
      <c r="B756" s="117"/>
      <c r="C756" s="94"/>
      <c r="D756" s="111"/>
      <c r="E756" s="115"/>
      <c r="F756" s="108"/>
      <c r="G756" s="98"/>
      <c r="H756" s="116"/>
      <c r="I756" s="111"/>
      <c r="J756" s="115"/>
      <c r="K756" s="108"/>
      <c r="L756" s="98"/>
      <c r="M756" s="116"/>
      <c r="N756" s="111"/>
      <c r="O756" s="115"/>
      <c r="P756" s="108"/>
      <c r="Q756" s="98"/>
      <c r="R756" s="116"/>
      <c r="S756" s="83"/>
      <c r="T756" s="83"/>
      <c r="U756" s="83"/>
      <c r="V756" s="83"/>
      <c r="W756" s="83"/>
      <c r="X756" s="83"/>
      <c r="Y756" s="83"/>
      <c r="Z756" s="83"/>
    </row>
    <row r="757">
      <c r="A757" s="113"/>
      <c r="B757" s="117"/>
      <c r="C757" s="94"/>
      <c r="D757" s="111"/>
      <c r="E757" s="115"/>
      <c r="F757" s="108"/>
      <c r="G757" s="98"/>
      <c r="H757" s="116"/>
      <c r="I757" s="111"/>
      <c r="J757" s="115"/>
      <c r="K757" s="108"/>
      <c r="L757" s="98"/>
      <c r="M757" s="116"/>
      <c r="N757" s="111"/>
      <c r="O757" s="115"/>
      <c r="P757" s="108"/>
      <c r="Q757" s="98"/>
      <c r="R757" s="116"/>
      <c r="S757" s="83"/>
      <c r="T757" s="83"/>
      <c r="U757" s="83"/>
      <c r="V757" s="83"/>
      <c r="W757" s="83"/>
      <c r="X757" s="83"/>
      <c r="Y757" s="83"/>
      <c r="Z757" s="83"/>
    </row>
    <row r="758">
      <c r="A758" s="113"/>
      <c r="B758" s="117"/>
      <c r="C758" s="94"/>
      <c r="D758" s="111"/>
      <c r="E758" s="115"/>
      <c r="F758" s="108"/>
      <c r="G758" s="98"/>
      <c r="H758" s="116"/>
      <c r="I758" s="111"/>
      <c r="J758" s="115"/>
      <c r="K758" s="108"/>
      <c r="L758" s="98"/>
      <c r="M758" s="116"/>
      <c r="N758" s="111"/>
      <c r="O758" s="115"/>
      <c r="P758" s="108"/>
      <c r="Q758" s="98"/>
      <c r="R758" s="116"/>
      <c r="S758" s="83"/>
      <c r="T758" s="83"/>
      <c r="U758" s="83"/>
      <c r="V758" s="83"/>
      <c r="W758" s="83"/>
      <c r="X758" s="83"/>
      <c r="Y758" s="83"/>
      <c r="Z758" s="83"/>
    </row>
    <row r="759">
      <c r="A759" s="113"/>
      <c r="B759" s="117"/>
      <c r="C759" s="94"/>
      <c r="D759" s="111"/>
      <c r="E759" s="115"/>
      <c r="F759" s="108"/>
      <c r="G759" s="98"/>
      <c r="H759" s="116"/>
      <c r="I759" s="111"/>
      <c r="J759" s="115"/>
      <c r="K759" s="108"/>
      <c r="L759" s="98"/>
      <c r="M759" s="116"/>
      <c r="N759" s="111"/>
      <c r="O759" s="115"/>
      <c r="P759" s="108"/>
      <c r="Q759" s="98"/>
      <c r="R759" s="116"/>
      <c r="S759" s="83"/>
      <c r="T759" s="83"/>
      <c r="U759" s="83"/>
      <c r="V759" s="83"/>
      <c r="W759" s="83"/>
      <c r="X759" s="83"/>
      <c r="Y759" s="83"/>
      <c r="Z759" s="83"/>
    </row>
    <row r="760">
      <c r="A760" s="113"/>
      <c r="B760" s="117"/>
      <c r="C760" s="94"/>
      <c r="D760" s="111"/>
      <c r="E760" s="115"/>
      <c r="F760" s="108"/>
      <c r="G760" s="98"/>
      <c r="H760" s="116"/>
      <c r="I760" s="111"/>
      <c r="J760" s="115"/>
      <c r="K760" s="108"/>
      <c r="L760" s="98"/>
      <c r="M760" s="116"/>
      <c r="N760" s="111"/>
      <c r="O760" s="115"/>
      <c r="P760" s="108"/>
      <c r="Q760" s="98"/>
      <c r="R760" s="116"/>
      <c r="S760" s="83"/>
      <c r="T760" s="83"/>
      <c r="U760" s="83"/>
      <c r="V760" s="83"/>
      <c r="W760" s="83"/>
      <c r="X760" s="83"/>
      <c r="Y760" s="83"/>
      <c r="Z760" s="83"/>
    </row>
    <row r="761">
      <c r="A761" s="113"/>
      <c r="B761" s="117"/>
      <c r="C761" s="94"/>
      <c r="D761" s="111"/>
      <c r="E761" s="115"/>
      <c r="F761" s="108"/>
      <c r="G761" s="98"/>
      <c r="H761" s="116"/>
      <c r="I761" s="111"/>
      <c r="J761" s="115"/>
      <c r="K761" s="108"/>
      <c r="L761" s="98"/>
      <c r="M761" s="116"/>
      <c r="N761" s="111"/>
      <c r="O761" s="115"/>
      <c r="P761" s="108"/>
      <c r="Q761" s="98"/>
      <c r="R761" s="116"/>
      <c r="S761" s="83"/>
      <c r="T761" s="83"/>
      <c r="U761" s="83"/>
      <c r="V761" s="83"/>
      <c r="W761" s="83"/>
      <c r="X761" s="83"/>
      <c r="Y761" s="83"/>
      <c r="Z761" s="83"/>
    </row>
    <row r="762">
      <c r="A762" s="113"/>
      <c r="B762" s="117"/>
      <c r="C762" s="94"/>
      <c r="D762" s="111"/>
      <c r="E762" s="115"/>
      <c r="F762" s="108"/>
      <c r="G762" s="98"/>
      <c r="H762" s="116"/>
      <c r="I762" s="111"/>
      <c r="J762" s="115"/>
      <c r="K762" s="108"/>
      <c r="L762" s="98"/>
      <c r="M762" s="116"/>
      <c r="N762" s="111"/>
      <c r="O762" s="115"/>
      <c r="P762" s="108"/>
      <c r="Q762" s="98"/>
      <c r="R762" s="116"/>
      <c r="S762" s="83"/>
      <c r="T762" s="83"/>
      <c r="U762" s="83"/>
      <c r="V762" s="83"/>
      <c r="W762" s="83"/>
      <c r="X762" s="83"/>
      <c r="Y762" s="83"/>
      <c r="Z762" s="83"/>
    </row>
    <row r="763">
      <c r="A763" s="113"/>
      <c r="B763" s="117"/>
      <c r="C763" s="94"/>
      <c r="D763" s="111"/>
      <c r="E763" s="115"/>
      <c r="F763" s="108"/>
      <c r="G763" s="98"/>
      <c r="H763" s="116"/>
      <c r="I763" s="111"/>
      <c r="J763" s="115"/>
      <c r="K763" s="108"/>
      <c r="L763" s="98"/>
      <c r="M763" s="116"/>
      <c r="N763" s="111"/>
      <c r="O763" s="115"/>
      <c r="P763" s="108"/>
      <c r="Q763" s="98"/>
      <c r="R763" s="116"/>
      <c r="S763" s="83"/>
      <c r="T763" s="83"/>
      <c r="U763" s="83"/>
      <c r="V763" s="83"/>
      <c r="W763" s="83"/>
      <c r="X763" s="83"/>
      <c r="Y763" s="83"/>
      <c r="Z763" s="83"/>
    </row>
    <row r="764">
      <c r="A764" s="113"/>
      <c r="B764" s="117"/>
      <c r="C764" s="94"/>
      <c r="D764" s="111"/>
      <c r="E764" s="115"/>
      <c r="F764" s="108"/>
      <c r="G764" s="98"/>
      <c r="H764" s="116"/>
      <c r="I764" s="111"/>
      <c r="J764" s="115"/>
      <c r="K764" s="108"/>
      <c r="L764" s="98"/>
      <c r="M764" s="116"/>
      <c r="N764" s="111"/>
      <c r="O764" s="115"/>
      <c r="P764" s="108"/>
      <c r="Q764" s="98"/>
      <c r="R764" s="116"/>
      <c r="S764" s="83"/>
      <c r="T764" s="83"/>
      <c r="U764" s="83"/>
      <c r="V764" s="83"/>
      <c r="W764" s="83"/>
      <c r="X764" s="83"/>
      <c r="Y764" s="83"/>
      <c r="Z764" s="83"/>
    </row>
    <row r="765">
      <c r="A765" s="113"/>
      <c r="B765" s="117"/>
      <c r="C765" s="94"/>
      <c r="D765" s="111"/>
      <c r="E765" s="115"/>
      <c r="F765" s="108"/>
      <c r="G765" s="98"/>
      <c r="H765" s="116"/>
      <c r="I765" s="111"/>
      <c r="J765" s="115"/>
      <c r="K765" s="108"/>
      <c r="L765" s="98"/>
      <c r="M765" s="116"/>
      <c r="N765" s="111"/>
      <c r="O765" s="115"/>
      <c r="P765" s="108"/>
      <c r="Q765" s="98"/>
      <c r="R765" s="116"/>
      <c r="S765" s="83"/>
      <c r="T765" s="83"/>
      <c r="U765" s="83"/>
      <c r="V765" s="83"/>
      <c r="W765" s="83"/>
      <c r="X765" s="83"/>
      <c r="Y765" s="83"/>
      <c r="Z765" s="83"/>
    </row>
    <row r="766">
      <c r="A766" s="113"/>
      <c r="B766" s="117"/>
      <c r="C766" s="94"/>
      <c r="D766" s="111"/>
      <c r="E766" s="115"/>
      <c r="F766" s="108"/>
      <c r="G766" s="98"/>
      <c r="H766" s="116"/>
      <c r="I766" s="111"/>
      <c r="J766" s="115"/>
      <c r="K766" s="108"/>
      <c r="L766" s="98"/>
      <c r="M766" s="116"/>
      <c r="N766" s="111"/>
      <c r="O766" s="115"/>
      <c r="P766" s="108"/>
      <c r="Q766" s="98"/>
      <c r="R766" s="116"/>
      <c r="S766" s="83"/>
      <c r="T766" s="83"/>
      <c r="U766" s="83"/>
      <c r="V766" s="83"/>
      <c r="W766" s="83"/>
      <c r="X766" s="83"/>
      <c r="Y766" s="83"/>
      <c r="Z766" s="83"/>
    </row>
    <row r="767">
      <c r="A767" s="113"/>
      <c r="B767" s="117"/>
      <c r="C767" s="94"/>
      <c r="D767" s="111"/>
      <c r="E767" s="115"/>
      <c r="F767" s="108"/>
      <c r="G767" s="98"/>
      <c r="H767" s="116"/>
      <c r="I767" s="111"/>
      <c r="J767" s="115"/>
      <c r="K767" s="108"/>
      <c r="L767" s="98"/>
      <c r="M767" s="116"/>
      <c r="N767" s="111"/>
      <c r="O767" s="115"/>
      <c r="P767" s="108"/>
      <c r="Q767" s="98"/>
      <c r="R767" s="116"/>
      <c r="S767" s="83"/>
      <c r="T767" s="83"/>
      <c r="U767" s="83"/>
      <c r="V767" s="83"/>
      <c r="W767" s="83"/>
      <c r="X767" s="83"/>
      <c r="Y767" s="83"/>
      <c r="Z767" s="83"/>
    </row>
    <row r="768">
      <c r="A768" s="113"/>
      <c r="B768" s="117"/>
      <c r="C768" s="94"/>
      <c r="D768" s="111"/>
      <c r="E768" s="115"/>
      <c r="F768" s="108"/>
      <c r="G768" s="98"/>
      <c r="H768" s="116"/>
      <c r="I768" s="111"/>
      <c r="J768" s="115"/>
      <c r="K768" s="108"/>
      <c r="L768" s="98"/>
      <c r="M768" s="116"/>
      <c r="N768" s="111"/>
      <c r="O768" s="115"/>
      <c r="P768" s="108"/>
      <c r="Q768" s="98"/>
      <c r="R768" s="116"/>
      <c r="S768" s="83"/>
      <c r="T768" s="83"/>
      <c r="U768" s="83"/>
      <c r="V768" s="83"/>
      <c r="W768" s="83"/>
      <c r="X768" s="83"/>
      <c r="Y768" s="83"/>
      <c r="Z768" s="83"/>
    </row>
    <row r="769">
      <c r="A769" s="113"/>
      <c r="B769" s="117"/>
      <c r="C769" s="94"/>
      <c r="D769" s="111"/>
      <c r="E769" s="115"/>
      <c r="F769" s="108"/>
      <c r="G769" s="98"/>
      <c r="H769" s="116"/>
      <c r="I769" s="111"/>
      <c r="J769" s="115"/>
      <c r="K769" s="108"/>
      <c r="L769" s="98"/>
      <c r="M769" s="116"/>
      <c r="N769" s="111"/>
      <c r="O769" s="115"/>
      <c r="P769" s="108"/>
      <c r="Q769" s="98"/>
      <c r="R769" s="116"/>
      <c r="S769" s="83"/>
      <c r="T769" s="83"/>
      <c r="U769" s="83"/>
      <c r="V769" s="83"/>
      <c r="W769" s="83"/>
      <c r="X769" s="83"/>
      <c r="Y769" s="83"/>
      <c r="Z769" s="83"/>
    </row>
    <row r="770">
      <c r="A770" s="113"/>
      <c r="B770" s="117"/>
      <c r="C770" s="94"/>
      <c r="D770" s="111"/>
      <c r="E770" s="115"/>
      <c r="F770" s="108"/>
      <c r="G770" s="98"/>
      <c r="H770" s="116"/>
      <c r="I770" s="111"/>
      <c r="J770" s="115"/>
      <c r="K770" s="108"/>
      <c r="L770" s="98"/>
      <c r="M770" s="116"/>
      <c r="N770" s="111"/>
      <c r="O770" s="115"/>
      <c r="P770" s="108"/>
      <c r="Q770" s="98"/>
      <c r="R770" s="116"/>
      <c r="S770" s="83"/>
      <c r="T770" s="83"/>
      <c r="U770" s="83"/>
      <c r="V770" s="83"/>
      <c r="W770" s="83"/>
      <c r="X770" s="83"/>
      <c r="Y770" s="83"/>
      <c r="Z770" s="83"/>
    </row>
    <row r="771">
      <c r="A771" s="113"/>
      <c r="B771" s="117"/>
      <c r="C771" s="94"/>
      <c r="D771" s="111"/>
      <c r="E771" s="115"/>
      <c r="F771" s="108"/>
      <c r="G771" s="98"/>
      <c r="H771" s="116"/>
      <c r="I771" s="111"/>
      <c r="J771" s="115"/>
      <c r="K771" s="108"/>
      <c r="L771" s="98"/>
      <c r="M771" s="116"/>
      <c r="N771" s="111"/>
      <c r="O771" s="115"/>
      <c r="P771" s="108"/>
      <c r="Q771" s="98"/>
      <c r="R771" s="116"/>
      <c r="S771" s="83"/>
      <c r="T771" s="83"/>
      <c r="U771" s="83"/>
      <c r="V771" s="83"/>
      <c r="W771" s="83"/>
      <c r="X771" s="83"/>
      <c r="Y771" s="83"/>
      <c r="Z771" s="83"/>
    </row>
    <row r="772">
      <c r="A772" s="113"/>
      <c r="B772" s="117"/>
      <c r="C772" s="94"/>
      <c r="D772" s="111"/>
      <c r="E772" s="115"/>
      <c r="F772" s="108"/>
      <c r="G772" s="98"/>
      <c r="H772" s="116"/>
      <c r="I772" s="111"/>
      <c r="J772" s="115"/>
      <c r="K772" s="108"/>
      <c r="L772" s="98"/>
      <c r="M772" s="116"/>
      <c r="N772" s="111"/>
      <c r="O772" s="115"/>
      <c r="P772" s="108"/>
      <c r="Q772" s="98"/>
      <c r="R772" s="116"/>
      <c r="S772" s="83"/>
      <c r="T772" s="83"/>
      <c r="U772" s="83"/>
      <c r="V772" s="83"/>
      <c r="W772" s="83"/>
      <c r="X772" s="83"/>
      <c r="Y772" s="83"/>
      <c r="Z772" s="83"/>
    </row>
    <row r="773">
      <c r="A773" s="113"/>
      <c r="B773" s="117"/>
      <c r="C773" s="94"/>
      <c r="D773" s="111"/>
      <c r="E773" s="115"/>
      <c r="F773" s="108"/>
      <c r="G773" s="98"/>
      <c r="H773" s="116"/>
      <c r="I773" s="111"/>
      <c r="J773" s="115"/>
      <c r="K773" s="108"/>
      <c r="L773" s="98"/>
      <c r="M773" s="116"/>
      <c r="N773" s="111"/>
      <c r="O773" s="115"/>
      <c r="P773" s="108"/>
      <c r="Q773" s="98"/>
      <c r="R773" s="116"/>
      <c r="S773" s="83"/>
      <c r="T773" s="83"/>
      <c r="U773" s="83"/>
      <c r="V773" s="83"/>
      <c r="W773" s="83"/>
      <c r="X773" s="83"/>
      <c r="Y773" s="83"/>
      <c r="Z773" s="83"/>
    </row>
    <row r="774">
      <c r="A774" s="113"/>
      <c r="B774" s="117"/>
      <c r="C774" s="94"/>
      <c r="D774" s="111"/>
      <c r="E774" s="115"/>
      <c r="F774" s="108"/>
      <c r="G774" s="98"/>
      <c r="H774" s="116"/>
      <c r="I774" s="111"/>
      <c r="J774" s="115"/>
      <c r="K774" s="108"/>
      <c r="L774" s="98"/>
      <c r="M774" s="116"/>
      <c r="N774" s="111"/>
      <c r="O774" s="115"/>
      <c r="P774" s="108"/>
      <c r="Q774" s="98"/>
      <c r="R774" s="116"/>
      <c r="S774" s="83"/>
      <c r="T774" s="83"/>
      <c r="U774" s="83"/>
      <c r="V774" s="83"/>
      <c r="W774" s="83"/>
      <c r="X774" s="83"/>
      <c r="Y774" s="83"/>
      <c r="Z774" s="83"/>
    </row>
    <row r="775">
      <c r="A775" s="113"/>
      <c r="B775" s="117"/>
      <c r="C775" s="94"/>
      <c r="D775" s="111"/>
      <c r="E775" s="115"/>
      <c r="F775" s="108"/>
      <c r="G775" s="98"/>
      <c r="H775" s="116"/>
      <c r="I775" s="111"/>
      <c r="J775" s="115"/>
      <c r="K775" s="108"/>
      <c r="L775" s="98"/>
      <c r="M775" s="116"/>
      <c r="N775" s="111"/>
      <c r="O775" s="115"/>
      <c r="P775" s="108"/>
      <c r="Q775" s="98"/>
      <c r="R775" s="116"/>
      <c r="S775" s="83"/>
      <c r="T775" s="83"/>
      <c r="U775" s="83"/>
      <c r="V775" s="83"/>
      <c r="W775" s="83"/>
      <c r="X775" s="83"/>
      <c r="Y775" s="83"/>
      <c r="Z775" s="83"/>
    </row>
    <row r="776">
      <c r="A776" s="113"/>
      <c r="B776" s="117"/>
      <c r="C776" s="94"/>
      <c r="D776" s="111"/>
      <c r="E776" s="115"/>
      <c r="F776" s="108"/>
      <c r="G776" s="98"/>
      <c r="H776" s="116"/>
      <c r="I776" s="111"/>
      <c r="J776" s="115"/>
      <c r="K776" s="108"/>
      <c r="L776" s="98"/>
      <c r="M776" s="116"/>
      <c r="N776" s="111"/>
      <c r="O776" s="115"/>
      <c r="P776" s="108"/>
      <c r="Q776" s="98"/>
      <c r="R776" s="116"/>
      <c r="S776" s="83"/>
      <c r="T776" s="83"/>
      <c r="U776" s="83"/>
      <c r="V776" s="83"/>
      <c r="W776" s="83"/>
      <c r="X776" s="83"/>
      <c r="Y776" s="83"/>
      <c r="Z776" s="83"/>
    </row>
    <row r="777">
      <c r="A777" s="113"/>
      <c r="B777" s="117"/>
      <c r="C777" s="94"/>
      <c r="D777" s="111"/>
      <c r="E777" s="115"/>
      <c r="F777" s="108"/>
      <c r="G777" s="98"/>
      <c r="H777" s="116"/>
      <c r="I777" s="111"/>
      <c r="J777" s="115"/>
      <c r="K777" s="108"/>
      <c r="L777" s="98"/>
      <c r="M777" s="116"/>
      <c r="N777" s="111"/>
      <c r="O777" s="115"/>
      <c r="P777" s="108"/>
      <c r="Q777" s="98"/>
      <c r="R777" s="116"/>
      <c r="S777" s="83"/>
      <c r="T777" s="83"/>
      <c r="U777" s="83"/>
      <c r="V777" s="83"/>
      <c r="W777" s="83"/>
      <c r="X777" s="83"/>
      <c r="Y777" s="83"/>
      <c r="Z777" s="83"/>
    </row>
    <row r="778">
      <c r="A778" s="113"/>
      <c r="B778" s="117"/>
      <c r="C778" s="94"/>
      <c r="D778" s="111"/>
      <c r="E778" s="115"/>
      <c r="F778" s="108"/>
      <c r="G778" s="98"/>
      <c r="H778" s="116"/>
      <c r="I778" s="111"/>
      <c r="J778" s="115"/>
      <c r="K778" s="108"/>
      <c r="L778" s="98"/>
      <c r="M778" s="116"/>
      <c r="N778" s="111"/>
      <c r="O778" s="115"/>
      <c r="P778" s="108"/>
      <c r="Q778" s="98"/>
      <c r="R778" s="116"/>
      <c r="S778" s="83"/>
      <c r="T778" s="83"/>
      <c r="U778" s="83"/>
      <c r="V778" s="83"/>
      <c r="W778" s="83"/>
      <c r="X778" s="83"/>
      <c r="Y778" s="83"/>
      <c r="Z778" s="83"/>
    </row>
    <row r="779">
      <c r="A779" s="113"/>
      <c r="B779" s="117"/>
      <c r="C779" s="94"/>
      <c r="D779" s="111"/>
      <c r="E779" s="115"/>
      <c r="F779" s="108"/>
      <c r="G779" s="98"/>
      <c r="H779" s="116"/>
      <c r="I779" s="111"/>
      <c r="J779" s="115"/>
      <c r="K779" s="108"/>
      <c r="L779" s="98"/>
      <c r="M779" s="116"/>
      <c r="N779" s="111"/>
      <c r="O779" s="115"/>
      <c r="P779" s="108"/>
      <c r="Q779" s="98"/>
      <c r="R779" s="116"/>
      <c r="S779" s="83"/>
      <c r="T779" s="83"/>
      <c r="U779" s="83"/>
      <c r="V779" s="83"/>
      <c r="W779" s="83"/>
      <c r="X779" s="83"/>
      <c r="Y779" s="83"/>
      <c r="Z779" s="83"/>
    </row>
    <row r="780">
      <c r="A780" s="113"/>
      <c r="B780" s="117"/>
      <c r="C780" s="94"/>
      <c r="D780" s="111"/>
      <c r="E780" s="115"/>
      <c r="F780" s="108"/>
      <c r="G780" s="98"/>
      <c r="H780" s="116"/>
      <c r="I780" s="111"/>
      <c r="J780" s="115"/>
      <c r="K780" s="108"/>
      <c r="L780" s="98"/>
      <c r="M780" s="116"/>
      <c r="N780" s="111"/>
      <c r="O780" s="115"/>
      <c r="P780" s="108"/>
      <c r="Q780" s="98"/>
      <c r="R780" s="116"/>
      <c r="S780" s="83"/>
      <c r="T780" s="83"/>
      <c r="U780" s="83"/>
      <c r="V780" s="83"/>
      <c r="W780" s="83"/>
      <c r="X780" s="83"/>
      <c r="Y780" s="83"/>
      <c r="Z780" s="83"/>
    </row>
    <row r="781">
      <c r="A781" s="113"/>
      <c r="B781" s="117"/>
      <c r="C781" s="94"/>
      <c r="D781" s="111"/>
      <c r="E781" s="115"/>
      <c r="F781" s="108"/>
      <c r="G781" s="98"/>
      <c r="H781" s="116"/>
      <c r="I781" s="111"/>
      <c r="J781" s="115"/>
      <c r="K781" s="108"/>
      <c r="L781" s="98"/>
      <c r="M781" s="116"/>
      <c r="N781" s="111"/>
      <c r="O781" s="115"/>
      <c r="P781" s="108"/>
      <c r="Q781" s="98"/>
      <c r="R781" s="116"/>
      <c r="S781" s="83"/>
      <c r="T781" s="83"/>
      <c r="U781" s="83"/>
      <c r="V781" s="83"/>
      <c r="W781" s="83"/>
      <c r="X781" s="83"/>
      <c r="Y781" s="83"/>
      <c r="Z781" s="83"/>
    </row>
    <row r="782">
      <c r="A782" s="113"/>
      <c r="B782" s="117"/>
      <c r="C782" s="94"/>
      <c r="D782" s="111"/>
      <c r="E782" s="115"/>
      <c r="F782" s="108"/>
      <c r="G782" s="98"/>
      <c r="H782" s="116"/>
      <c r="I782" s="111"/>
      <c r="J782" s="115"/>
      <c r="K782" s="108"/>
      <c r="L782" s="98"/>
      <c r="M782" s="116"/>
      <c r="N782" s="111"/>
      <c r="O782" s="115"/>
      <c r="P782" s="108"/>
      <c r="Q782" s="98"/>
      <c r="R782" s="116"/>
      <c r="S782" s="83"/>
      <c r="T782" s="83"/>
      <c r="U782" s="83"/>
      <c r="V782" s="83"/>
      <c r="W782" s="83"/>
      <c r="X782" s="83"/>
      <c r="Y782" s="83"/>
      <c r="Z782" s="83"/>
    </row>
    <row r="783">
      <c r="A783" s="113"/>
      <c r="B783" s="117"/>
      <c r="C783" s="94"/>
      <c r="D783" s="111"/>
      <c r="E783" s="115"/>
      <c r="F783" s="108"/>
      <c r="G783" s="98"/>
      <c r="H783" s="116"/>
      <c r="I783" s="111"/>
      <c r="J783" s="115"/>
      <c r="K783" s="108"/>
      <c r="L783" s="98"/>
      <c r="M783" s="116"/>
      <c r="N783" s="111"/>
      <c r="O783" s="115"/>
      <c r="P783" s="108"/>
      <c r="Q783" s="98"/>
      <c r="R783" s="116"/>
      <c r="S783" s="83"/>
      <c r="T783" s="83"/>
      <c r="U783" s="83"/>
      <c r="V783" s="83"/>
      <c r="W783" s="83"/>
      <c r="X783" s="83"/>
      <c r="Y783" s="83"/>
      <c r="Z783" s="83"/>
    </row>
    <row r="784">
      <c r="A784" s="113"/>
      <c r="B784" s="117"/>
      <c r="C784" s="94"/>
      <c r="D784" s="111"/>
      <c r="E784" s="115"/>
      <c r="F784" s="108"/>
      <c r="G784" s="98"/>
      <c r="H784" s="116"/>
      <c r="I784" s="111"/>
      <c r="J784" s="115"/>
      <c r="K784" s="108"/>
      <c r="L784" s="98"/>
      <c r="M784" s="116"/>
      <c r="N784" s="111"/>
      <c r="O784" s="115"/>
      <c r="P784" s="108"/>
      <c r="Q784" s="98"/>
      <c r="R784" s="116"/>
      <c r="S784" s="83"/>
      <c r="T784" s="83"/>
      <c r="U784" s="83"/>
      <c r="V784" s="83"/>
      <c r="W784" s="83"/>
      <c r="X784" s="83"/>
      <c r="Y784" s="83"/>
      <c r="Z784" s="83"/>
    </row>
    <row r="785">
      <c r="A785" s="113"/>
      <c r="B785" s="117"/>
      <c r="C785" s="94"/>
      <c r="D785" s="111"/>
      <c r="E785" s="115"/>
      <c r="F785" s="108"/>
      <c r="G785" s="98"/>
      <c r="H785" s="116"/>
      <c r="I785" s="111"/>
      <c r="J785" s="115"/>
      <c r="K785" s="108"/>
      <c r="L785" s="98"/>
      <c r="M785" s="116"/>
      <c r="N785" s="111"/>
      <c r="O785" s="115"/>
      <c r="P785" s="108"/>
      <c r="Q785" s="98"/>
      <c r="R785" s="116"/>
      <c r="S785" s="83"/>
      <c r="T785" s="83"/>
      <c r="U785" s="83"/>
      <c r="V785" s="83"/>
      <c r="W785" s="83"/>
      <c r="X785" s="83"/>
      <c r="Y785" s="83"/>
      <c r="Z785" s="83"/>
    </row>
    <row r="786">
      <c r="A786" s="113"/>
      <c r="B786" s="117"/>
      <c r="C786" s="94"/>
      <c r="D786" s="111"/>
      <c r="E786" s="115"/>
      <c r="F786" s="108"/>
      <c r="G786" s="98"/>
      <c r="H786" s="116"/>
      <c r="I786" s="111"/>
      <c r="J786" s="115"/>
      <c r="K786" s="108"/>
      <c r="L786" s="98"/>
      <c r="M786" s="116"/>
      <c r="N786" s="111"/>
      <c r="O786" s="115"/>
      <c r="P786" s="108"/>
      <c r="Q786" s="98"/>
      <c r="R786" s="116"/>
      <c r="S786" s="83"/>
      <c r="T786" s="83"/>
      <c r="U786" s="83"/>
      <c r="V786" s="83"/>
      <c r="W786" s="83"/>
      <c r="X786" s="83"/>
      <c r="Y786" s="83"/>
      <c r="Z786" s="83"/>
    </row>
    <row r="787">
      <c r="A787" s="113"/>
      <c r="B787" s="117"/>
      <c r="C787" s="94"/>
      <c r="D787" s="111"/>
      <c r="E787" s="115"/>
      <c r="F787" s="108"/>
      <c r="G787" s="98"/>
      <c r="H787" s="116"/>
      <c r="I787" s="111"/>
      <c r="J787" s="115"/>
      <c r="K787" s="108"/>
      <c r="L787" s="98"/>
      <c r="M787" s="116"/>
      <c r="N787" s="111"/>
      <c r="O787" s="115"/>
      <c r="P787" s="108"/>
      <c r="Q787" s="98"/>
      <c r="R787" s="116"/>
      <c r="S787" s="83"/>
      <c r="T787" s="83"/>
      <c r="U787" s="83"/>
      <c r="V787" s="83"/>
      <c r="W787" s="83"/>
      <c r="X787" s="83"/>
      <c r="Y787" s="83"/>
      <c r="Z787" s="83"/>
    </row>
    <row r="788">
      <c r="A788" s="113"/>
      <c r="B788" s="117"/>
      <c r="C788" s="94"/>
      <c r="D788" s="111"/>
      <c r="E788" s="115"/>
      <c r="F788" s="108"/>
      <c r="G788" s="98"/>
      <c r="H788" s="116"/>
      <c r="I788" s="111"/>
      <c r="J788" s="115"/>
      <c r="K788" s="108"/>
      <c r="L788" s="98"/>
      <c r="M788" s="116"/>
      <c r="N788" s="111"/>
      <c r="O788" s="115"/>
      <c r="P788" s="108"/>
      <c r="Q788" s="98"/>
      <c r="R788" s="116"/>
      <c r="S788" s="83"/>
      <c r="T788" s="83"/>
      <c r="U788" s="83"/>
      <c r="V788" s="83"/>
      <c r="W788" s="83"/>
      <c r="X788" s="83"/>
      <c r="Y788" s="83"/>
      <c r="Z788" s="83"/>
    </row>
    <row r="789">
      <c r="A789" s="113"/>
      <c r="B789" s="117"/>
      <c r="C789" s="94"/>
      <c r="D789" s="111"/>
      <c r="E789" s="115"/>
      <c r="F789" s="108"/>
      <c r="G789" s="98"/>
      <c r="H789" s="116"/>
      <c r="I789" s="111"/>
      <c r="J789" s="115"/>
      <c r="K789" s="108"/>
      <c r="L789" s="98"/>
      <c r="M789" s="116"/>
      <c r="N789" s="111"/>
      <c r="O789" s="115"/>
      <c r="P789" s="108"/>
      <c r="Q789" s="98"/>
      <c r="R789" s="116"/>
      <c r="S789" s="83"/>
      <c r="T789" s="83"/>
      <c r="U789" s="83"/>
      <c r="V789" s="83"/>
      <c r="W789" s="83"/>
      <c r="X789" s="83"/>
      <c r="Y789" s="83"/>
      <c r="Z789" s="83"/>
    </row>
    <row r="790">
      <c r="A790" s="113"/>
      <c r="B790" s="117"/>
      <c r="C790" s="94"/>
      <c r="D790" s="111"/>
      <c r="E790" s="115"/>
      <c r="F790" s="108"/>
      <c r="G790" s="98"/>
      <c r="H790" s="116"/>
      <c r="I790" s="111"/>
      <c r="J790" s="115"/>
      <c r="K790" s="108"/>
      <c r="L790" s="98"/>
      <c r="M790" s="116"/>
      <c r="N790" s="111"/>
      <c r="O790" s="115"/>
      <c r="P790" s="108"/>
      <c r="Q790" s="98"/>
      <c r="R790" s="116"/>
      <c r="S790" s="83"/>
      <c r="T790" s="83"/>
      <c r="U790" s="83"/>
      <c r="V790" s="83"/>
      <c r="W790" s="83"/>
      <c r="X790" s="83"/>
      <c r="Y790" s="83"/>
      <c r="Z790" s="83"/>
    </row>
    <row r="791">
      <c r="A791" s="113"/>
      <c r="B791" s="117"/>
      <c r="C791" s="94"/>
      <c r="D791" s="111"/>
      <c r="E791" s="115"/>
      <c r="F791" s="108"/>
      <c r="G791" s="98"/>
      <c r="H791" s="116"/>
      <c r="I791" s="111"/>
      <c r="J791" s="115"/>
      <c r="K791" s="108"/>
      <c r="L791" s="98"/>
      <c r="M791" s="116"/>
      <c r="N791" s="111"/>
      <c r="O791" s="115"/>
      <c r="P791" s="108"/>
      <c r="Q791" s="98"/>
      <c r="R791" s="116"/>
      <c r="S791" s="83"/>
      <c r="T791" s="83"/>
      <c r="U791" s="83"/>
      <c r="V791" s="83"/>
      <c r="W791" s="83"/>
      <c r="X791" s="83"/>
      <c r="Y791" s="83"/>
      <c r="Z791" s="83"/>
    </row>
    <row r="792">
      <c r="A792" s="113"/>
      <c r="B792" s="117"/>
      <c r="C792" s="94"/>
      <c r="D792" s="111"/>
      <c r="E792" s="115"/>
      <c r="F792" s="108"/>
      <c r="G792" s="98"/>
      <c r="H792" s="116"/>
      <c r="I792" s="111"/>
      <c r="J792" s="115"/>
      <c r="K792" s="108"/>
      <c r="L792" s="98"/>
      <c r="M792" s="116"/>
      <c r="N792" s="111"/>
      <c r="O792" s="115"/>
      <c r="P792" s="108"/>
      <c r="Q792" s="98"/>
      <c r="R792" s="116"/>
      <c r="S792" s="83"/>
      <c r="T792" s="83"/>
      <c r="U792" s="83"/>
      <c r="V792" s="83"/>
      <c r="W792" s="83"/>
      <c r="X792" s="83"/>
      <c r="Y792" s="83"/>
      <c r="Z792" s="83"/>
    </row>
    <row r="793">
      <c r="A793" s="113"/>
      <c r="B793" s="117"/>
      <c r="C793" s="94"/>
      <c r="D793" s="111"/>
      <c r="E793" s="115"/>
      <c r="F793" s="108"/>
      <c r="G793" s="98"/>
      <c r="H793" s="116"/>
      <c r="I793" s="111"/>
      <c r="J793" s="115"/>
      <c r="K793" s="108"/>
      <c r="L793" s="98"/>
      <c r="M793" s="116"/>
      <c r="N793" s="111"/>
      <c r="O793" s="115"/>
      <c r="P793" s="108"/>
      <c r="Q793" s="98"/>
      <c r="R793" s="116"/>
      <c r="S793" s="83"/>
      <c r="T793" s="83"/>
      <c r="U793" s="83"/>
      <c r="V793" s="83"/>
      <c r="W793" s="83"/>
      <c r="X793" s="83"/>
      <c r="Y793" s="83"/>
      <c r="Z793" s="83"/>
    </row>
    <row r="794">
      <c r="A794" s="113"/>
      <c r="B794" s="117"/>
      <c r="C794" s="94"/>
      <c r="D794" s="111"/>
      <c r="E794" s="115"/>
      <c r="F794" s="108"/>
      <c r="G794" s="98"/>
      <c r="H794" s="116"/>
      <c r="I794" s="111"/>
      <c r="J794" s="115"/>
      <c r="K794" s="108"/>
      <c r="L794" s="98"/>
      <c r="M794" s="116"/>
      <c r="N794" s="111"/>
      <c r="O794" s="115"/>
      <c r="P794" s="108"/>
      <c r="Q794" s="98"/>
      <c r="R794" s="116"/>
      <c r="S794" s="83"/>
      <c r="T794" s="83"/>
      <c r="U794" s="83"/>
      <c r="V794" s="83"/>
      <c r="W794" s="83"/>
      <c r="X794" s="83"/>
      <c r="Y794" s="83"/>
      <c r="Z794" s="83"/>
    </row>
    <row r="795">
      <c r="A795" s="113"/>
      <c r="B795" s="117"/>
      <c r="C795" s="94"/>
      <c r="D795" s="111"/>
      <c r="E795" s="115"/>
      <c r="F795" s="108"/>
      <c r="G795" s="98"/>
      <c r="H795" s="116"/>
      <c r="I795" s="111"/>
      <c r="J795" s="115"/>
      <c r="K795" s="108"/>
      <c r="L795" s="98"/>
      <c r="M795" s="116"/>
      <c r="N795" s="111"/>
      <c r="O795" s="115"/>
      <c r="P795" s="108"/>
      <c r="Q795" s="98"/>
      <c r="R795" s="116"/>
      <c r="S795" s="83"/>
      <c r="T795" s="83"/>
      <c r="U795" s="83"/>
      <c r="V795" s="83"/>
      <c r="W795" s="83"/>
      <c r="X795" s="83"/>
      <c r="Y795" s="83"/>
      <c r="Z795" s="83"/>
    </row>
    <row r="796">
      <c r="A796" s="113"/>
      <c r="B796" s="117"/>
      <c r="C796" s="94"/>
      <c r="D796" s="111"/>
      <c r="E796" s="115"/>
      <c r="F796" s="108"/>
      <c r="G796" s="98"/>
      <c r="H796" s="116"/>
      <c r="I796" s="111"/>
      <c r="J796" s="115"/>
      <c r="K796" s="108"/>
      <c r="L796" s="98"/>
      <c r="M796" s="116"/>
      <c r="N796" s="111"/>
      <c r="O796" s="115"/>
      <c r="P796" s="108"/>
      <c r="Q796" s="98"/>
      <c r="R796" s="116"/>
      <c r="S796" s="83"/>
      <c r="T796" s="83"/>
      <c r="U796" s="83"/>
      <c r="V796" s="83"/>
      <c r="W796" s="83"/>
      <c r="X796" s="83"/>
      <c r="Y796" s="83"/>
      <c r="Z796" s="83"/>
    </row>
    <row r="797">
      <c r="A797" s="113"/>
      <c r="B797" s="117"/>
      <c r="C797" s="94"/>
      <c r="D797" s="111"/>
      <c r="E797" s="115"/>
      <c r="F797" s="108"/>
      <c r="G797" s="98"/>
      <c r="H797" s="116"/>
      <c r="I797" s="111"/>
      <c r="J797" s="115"/>
      <c r="K797" s="108"/>
      <c r="L797" s="98"/>
      <c r="M797" s="116"/>
      <c r="N797" s="111"/>
      <c r="O797" s="115"/>
      <c r="P797" s="108"/>
      <c r="Q797" s="98"/>
      <c r="R797" s="116"/>
      <c r="S797" s="83"/>
      <c r="T797" s="83"/>
      <c r="U797" s="83"/>
      <c r="V797" s="83"/>
      <c r="W797" s="83"/>
      <c r="X797" s="83"/>
      <c r="Y797" s="83"/>
      <c r="Z797" s="83"/>
    </row>
    <row r="798">
      <c r="A798" s="113"/>
      <c r="B798" s="117"/>
      <c r="C798" s="94"/>
      <c r="D798" s="111"/>
      <c r="E798" s="115"/>
      <c r="F798" s="108"/>
      <c r="G798" s="98"/>
      <c r="H798" s="116"/>
      <c r="I798" s="111"/>
      <c r="J798" s="115"/>
      <c r="K798" s="108"/>
      <c r="L798" s="98"/>
      <c r="M798" s="116"/>
      <c r="N798" s="111"/>
      <c r="O798" s="115"/>
      <c r="P798" s="108"/>
      <c r="Q798" s="98"/>
      <c r="R798" s="116"/>
      <c r="S798" s="83"/>
      <c r="T798" s="83"/>
      <c r="U798" s="83"/>
      <c r="V798" s="83"/>
      <c r="W798" s="83"/>
      <c r="X798" s="83"/>
      <c r="Y798" s="83"/>
      <c r="Z798" s="83"/>
    </row>
    <row r="799">
      <c r="A799" s="113"/>
      <c r="B799" s="117"/>
      <c r="C799" s="94"/>
      <c r="D799" s="111"/>
      <c r="E799" s="115"/>
      <c r="F799" s="108"/>
      <c r="G799" s="98"/>
      <c r="H799" s="116"/>
      <c r="I799" s="111"/>
      <c r="J799" s="115"/>
      <c r="K799" s="108"/>
      <c r="L799" s="98"/>
      <c r="M799" s="116"/>
      <c r="N799" s="111"/>
      <c r="O799" s="115"/>
      <c r="P799" s="108"/>
      <c r="Q799" s="98"/>
      <c r="R799" s="116"/>
      <c r="S799" s="83"/>
      <c r="T799" s="83"/>
      <c r="U799" s="83"/>
      <c r="V799" s="83"/>
      <c r="W799" s="83"/>
      <c r="X799" s="83"/>
      <c r="Y799" s="83"/>
      <c r="Z799" s="83"/>
    </row>
    <row r="800">
      <c r="A800" s="113"/>
      <c r="B800" s="117"/>
      <c r="C800" s="94"/>
      <c r="D800" s="111"/>
      <c r="E800" s="115"/>
      <c r="F800" s="108"/>
      <c r="G800" s="98"/>
      <c r="H800" s="116"/>
      <c r="I800" s="111"/>
      <c r="J800" s="115"/>
      <c r="K800" s="108"/>
      <c r="L800" s="98"/>
      <c r="M800" s="116"/>
      <c r="N800" s="111"/>
      <c r="O800" s="115"/>
      <c r="P800" s="108"/>
      <c r="Q800" s="98"/>
      <c r="R800" s="116"/>
      <c r="S800" s="83"/>
      <c r="T800" s="83"/>
      <c r="U800" s="83"/>
      <c r="V800" s="83"/>
      <c r="W800" s="83"/>
      <c r="X800" s="83"/>
      <c r="Y800" s="83"/>
      <c r="Z800" s="83"/>
    </row>
    <row r="801">
      <c r="A801" s="113"/>
      <c r="B801" s="117"/>
      <c r="C801" s="94"/>
      <c r="D801" s="111"/>
      <c r="E801" s="115"/>
      <c r="F801" s="108"/>
      <c r="G801" s="98"/>
      <c r="H801" s="116"/>
      <c r="I801" s="111"/>
      <c r="J801" s="115"/>
      <c r="K801" s="108"/>
      <c r="L801" s="98"/>
      <c r="M801" s="116"/>
      <c r="N801" s="111"/>
      <c r="O801" s="115"/>
      <c r="P801" s="108"/>
      <c r="Q801" s="98"/>
      <c r="R801" s="116"/>
      <c r="S801" s="83"/>
      <c r="T801" s="83"/>
      <c r="U801" s="83"/>
      <c r="V801" s="83"/>
      <c r="W801" s="83"/>
      <c r="X801" s="83"/>
      <c r="Y801" s="83"/>
      <c r="Z801" s="83"/>
    </row>
    <row r="802">
      <c r="A802" s="113"/>
      <c r="B802" s="117"/>
      <c r="C802" s="94"/>
      <c r="D802" s="111"/>
      <c r="E802" s="115"/>
      <c r="F802" s="108"/>
      <c r="G802" s="98"/>
      <c r="H802" s="116"/>
      <c r="I802" s="111"/>
      <c r="J802" s="115"/>
      <c r="K802" s="108"/>
      <c r="L802" s="98"/>
      <c r="M802" s="116"/>
      <c r="N802" s="111"/>
      <c r="O802" s="115"/>
      <c r="P802" s="108"/>
      <c r="Q802" s="98"/>
      <c r="R802" s="116"/>
      <c r="S802" s="83"/>
      <c r="T802" s="83"/>
      <c r="U802" s="83"/>
      <c r="V802" s="83"/>
      <c r="W802" s="83"/>
      <c r="X802" s="83"/>
      <c r="Y802" s="83"/>
      <c r="Z802" s="83"/>
    </row>
    <row r="803">
      <c r="A803" s="113"/>
      <c r="B803" s="117"/>
      <c r="C803" s="94"/>
      <c r="D803" s="111"/>
      <c r="E803" s="115"/>
      <c r="F803" s="108"/>
      <c r="G803" s="98"/>
      <c r="H803" s="116"/>
      <c r="I803" s="111"/>
      <c r="J803" s="115"/>
      <c r="K803" s="108"/>
      <c r="L803" s="98"/>
      <c r="M803" s="116"/>
      <c r="N803" s="111"/>
      <c r="O803" s="115"/>
      <c r="P803" s="108"/>
      <c r="Q803" s="98"/>
      <c r="R803" s="116"/>
      <c r="S803" s="83"/>
      <c r="T803" s="83"/>
      <c r="U803" s="83"/>
      <c r="V803" s="83"/>
      <c r="W803" s="83"/>
      <c r="X803" s="83"/>
      <c r="Y803" s="83"/>
      <c r="Z803" s="83"/>
    </row>
    <row r="804">
      <c r="A804" s="113"/>
      <c r="B804" s="117"/>
      <c r="C804" s="94"/>
      <c r="D804" s="111"/>
      <c r="E804" s="115"/>
      <c r="F804" s="108"/>
      <c r="G804" s="98"/>
      <c r="H804" s="116"/>
      <c r="I804" s="111"/>
      <c r="J804" s="115"/>
      <c r="K804" s="108"/>
      <c r="L804" s="98"/>
      <c r="M804" s="116"/>
      <c r="N804" s="111"/>
      <c r="O804" s="115"/>
      <c r="P804" s="108"/>
      <c r="Q804" s="98"/>
      <c r="R804" s="116"/>
      <c r="S804" s="83"/>
      <c r="T804" s="83"/>
      <c r="U804" s="83"/>
      <c r="V804" s="83"/>
      <c r="W804" s="83"/>
      <c r="X804" s="83"/>
      <c r="Y804" s="83"/>
      <c r="Z804" s="83"/>
    </row>
    <row r="805">
      <c r="A805" s="113"/>
      <c r="B805" s="117"/>
      <c r="C805" s="94"/>
      <c r="D805" s="111"/>
      <c r="E805" s="115"/>
      <c r="F805" s="108"/>
      <c r="G805" s="98"/>
      <c r="H805" s="116"/>
      <c r="I805" s="111"/>
      <c r="J805" s="115"/>
      <c r="K805" s="108"/>
      <c r="L805" s="98"/>
      <c r="M805" s="116"/>
      <c r="N805" s="111"/>
      <c r="O805" s="115"/>
      <c r="P805" s="108"/>
      <c r="Q805" s="98"/>
      <c r="R805" s="116"/>
      <c r="S805" s="83"/>
      <c r="T805" s="83"/>
      <c r="U805" s="83"/>
      <c r="V805" s="83"/>
      <c r="W805" s="83"/>
      <c r="X805" s="83"/>
      <c r="Y805" s="83"/>
      <c r="Z805" s="83"/>
    </row>
    <row r="806">
      <c r="A806" s="113"/>
      <c r="B806" s="117"/>
      <c r="C806" s="94"/>
      <c r="D806" s="111"/>
      <c r="E806" s="115"/>
      <c r="F806" s="108"/>
      <c r="G806" s="98"/>
      <c r="H806" s="116"/>
      <c r="I806" s="111"/>
      <c r="J806" s="115"/>
      <c r="K806" s="108"/>
      <c r="L806" s="98"/>
      <c r="M806" s="116"/>
      <c r="N806" s="111"/>
      <c r="O806" s="115"/>
      <c r="P806" s="108"/>
      <c r="Q806" s="98"/>
      <c r="R806" s="116"/>
      <c r="S806" s="83"/>
      <c r="T806" s="83"/>
      <c r="U806" s="83"/>
      <c r="V806" s="83"/>
      <c r="W806" s="83"/>
      <c r="X806" s="83"/>
      <c r="Y806" s="83"/>
      <c r="Z806" s="83"/>
    </row>
    <row r="807">
      <c r="A807" s="113"/>
      <c r="B807" s="117"/>
      <c r="C807" s="94"/>
      <c r="D807" s="111"/>
      <c r="E807" s="115"/>
      <c r="F807" s="108"/>
      <c r="G807" s="98"/>
      <c r="H807" s="116"/>
      <c r="I807" s="111"/>
      <c r="J807" s="115"/>
      <c r="K807" s="108"/>
      <c r="L807" s="98"/>
      <c r="M807" s="116"/>
      <c r="N807" s="111"/>
      <c r="O807" s="115"/>
      <c r="P807" s="108"/>
      <c r="Q807" s="98"/>
      <c r="R807" s="116"/>
      <c r="S807" s="83"/>
      <c r="T807" s="83"/>
      <c r="U807" s="83"/>
      <c r="V807" s="83"/>
      <c r="W807" s="83"/>
      <c r="X807" s="83"/>
      <c r="Y807" s="83"/>
      <c r="Z807" s="83"/>
    </row>
    <row r="808">
      <c r="A808" s="113"/>
      <c r="B808" s="117"/>
      <c r="C808" s="94"/>
      <c r="D808" s="111"/>
      <c r="E808" s="115"/>
      <c r="F808" s="108"/>
      <c r="G808" s="98"/>
      <c r="H808" s="116"/>
      <c r="I808" s="111"/>
      <c r="J808" s="115"/>
      <c r="K808" s="108"/>
      <c r="L808" s="98"/>
      <c r="M808" s="116"/>
      <c r="N808" s="111"/>
      <c r="O808" s="115"/>
      <c r="P808" s="108"/>
      <c r="Q808" s="98"/>
      <c r="R808" s="116"/>
      <c r="S808" s="83"/>
      <c r="T808" s="83"/>
      <c r="U808" s="83"/>
      <c r="V808" s="83"/>
      <c r="W808" s="83"/>
      <c r="X808" s="83"/>
      <c r="Y808" s="83"/>
      <c r="Z808" s="83"/>
    </row>
    <row r="809">
      <c r="A809" s="113"/>
      <c r="B809" s="117"/>
      <c r="C809" s="94"/>
      <c r="D809" s="111"/>
      <c r="E809" s="115"/>
      <c r="F809" s="108"/>
      <c r="G809" s="98"/>
      <c r="H809" s="116"/>
      <c r="I809" s="111"/>
      <c r="J809" s="115"/>
      <c r="K809" s="108"/>
      <c r="L809" s="98"/>
      <c r="M809" s="116"/>
      <c r="N809" s="111"/>
      <c r="O809" s="115"/>
      <c r="P809" s="108"/>
      <c r="Q809" s="98"/>
      <c r="R809" s="116"/>
      <c r="S809" s="83"/>
      <c r="T809" s="83"/>
      <c r="U809" s="83"/>
      <c r="V809" s="83"/>
      <c r="W809" s="83"/>
      <c r="X809" s="83"/>
      <c r="Y809" s="83"/>
      <c r="Z809" s="83"/>
    </row>
    <row r="810">
      <c r="A810" s="113"/>
      <c r="B810" s="117"/>
      <c r="C810" s="94"/>
      <c r="D810" s="111"/>
      <c r="E810" s="115"/>
      <c r="F810" s="108"/>
      <c r="G810" s="98"/>
      <c r="H810" s="116"/>
      <c r="I810" s="111"/>
      <c r="J810" s="115"/>
      <c r="K810" s="108"/>
      <c r="L810" s="98"/>
      <c r="M810" s="116"/>
      <c r="N810" s="111"/>
      <c r="O810" s="115"/>
      <c r="P810" s="108"/>
      <c r="Q810" s="98"/>
      <c r="R810" s="116"/>
      <c r="S810" s="83"/>
      <c r="T810" s="83"/>
      <c r="U810" s="83"/>
      <c r="V810" s="83"/>
      <c r="W810" s="83"/>
      <c r="X810" s="83"/>
      <c r="Y810" s="83"/>
      <c r="Z810" s="83"/>
    </row>
    <row r="811">
      <c r="A811" s="113"/>
      <c r="B811" s="117"/>
      <c r="C811" s="94"/>
      <c r="D811" s="111"/>
      <c r="E811" s="115"/>
      <c r="F811" s="108"/>
      <c r="G811" s="98"/>
      <c r="H811" s="116"/>
      <c r="I811" s="111"/>
      <c r="J811" s="115"/>
      <c r="K811" s="108"/>
      <c r="L811" s="98"/>
      <c r="M811" s="116"/>
      <c r="N811" s="111"/>
      <c r="O811" s="115"/>
      <c r="P811" s="108"/>
      <c r="Q811" s="98"/>
      <c r="R811" s="116"/>
      <c r="S811" s="83"/>
      <c r="T811" s="83"/>
      <c r="U811" s="83"/>
      <c r="V811" s="83"/>
      <c r="W811" s="83"/>
      <c r="X811" s="83"/>
      <c r="Y811" s="83"/>
      <c r="Z811" s="83"/>
    </row>
    <row r="812">
      <c r="A812" s="113"/>
      <c r="B812" s="117"/>
      <c r="C812" s="94"/>
      <c r="D812" s="111"/>
      <c r="E812" s="115"/>
      <c r="F812" s="108"/>
      <c r="G812" s="98"/>
      <c r="H812" s="116"/>
      <c r="I812" s="111"/>
      <c r="J812" s="115"/>
      <c r="K812" s="108"/>
      <c r="L812" s="98"/>
      <c r="M812" s="116"/>
      <c r="N812" s="111"/>
      <c r="O812" s="115"/>
      <c r="P812" s="108"/>
      <c r="Q812" s="98"/>
      <c r="R812" s="116"/>
      <c r="S812" s="83"/>
      <c r="T812" s="83"/>
      <c r="U812" s="83"/>
      <c r="V812" s="83"/>
      <c r="W812" s="83"/>
      <c r="X812" s="83"/>
      <c r="Y812" s="83"/>
      <c r="Z812" s="83"/>
    </row>
    <row r="813">
      <c r="A813" s="113"/>
      <c r="B813" s="117"/>
      <c r="C813" s="94"/>
      <c r="D813" s="111"/>
      <c r="E813" s="115"/>
      <c r="F813" s="108"/>
      <c r="G813" s="98"/>
      <c r="H813" s="116"/>
      <c r="I813" s="111"/>
      <c r="J813" s="115"/>
      <c r="K813" s="108"/>
      <c r="L813" s="98"/>
      <c r="M813" s="116"/>
      <c r="N813" s="111"/>
      <c r="O813" s="115"/>
      <c r="P813" s="108"/>
      <c r="Q813" s="98"/>
      <c r="R813" s="116"/>
      <c r="S813" s="83"/>
      <c r="T813" s="83"/>
      <c r="U813" s="83"/>
      <c r="V813" s="83"/>
      <c r="W813" s="83"/>
      <c r="X813" s="83"/>
      <c r="Y813" s="83"/>
      <c r="Z813" s="83"/>
    </row>
    <row r="814">
      <c r="A814" s="113"/>
      <c r="B814" s="117"/>
      <c r="C814" s="94"/>
      <c r="D814" s="111"/>
      <c r="E814" s="115"/>
      <c r="F814" s="108"/>
      <c r="G814" s="98"/>
      <c r="H814" s="116"/>
      <c r="I814" s="111"/>
      <c r="J814" s="115"/>
      <c r="K814" s="108"/>
      <c r="L814" s="98"/>
      <c r="M814" s="116"/>
      <c r="N814" s="111"/>
      <c r="O814" s="115"/>
      <c r="P814" s="108"/>
      <c r="Q814" s="98"/>
      <c r="R814" s="116"/>
      <c r="S814" s="83"/>
      <c r="T814" s="83"/>
      <c r="U814" s="83"/>
      <c r="V814" s="83"/>
      <c r="W814" s="83"/>
      <c r="X814" s="83"/>
      <c r="Y814" s="83"/>
      <c r="Z814" s="83"/>
    </row>
    <row r="815">
      <c r="A815" s="113"/>
      <c r="B815" s="117"/>
      <c r="C815" s="94"/>
      <c r="D815" s="111"/>
      <c r="E815" s="115"/>
      <c r="F815" s="108"/>
      <c r="G815" s="98"/>
      <c r="H815" s="116"/>
      <c r="I815" s="111"/>
      <c r="J815" s="115"/>
      <c r="K815" s="108"/>
      <c r="L815" s="98"/>
      <c r="M815" s="116"/>
      <c r="N815" s="111"/>
      <c r="O815" s="115"/>
      <c r="P815" s="108"/>
      <c r="Q815" s="98"/>
      <c r="R815" s="116"/>
      <c r="S815" s="83"/>
      <c r="T815" s="83"/>
      <c r="U815" s="83"/>
      <c r="V815" s="83"/>
      <c r="W815" s="83"/>
      <c r="X815" s="83"/>
      <c r="Y815" s="83"/>
      <c r="Z815" s="83"/>
    </row>
    <row r="816">
      <c r="A816" s="113"/>
      <c r="B816" s="117"/>
      <c r="C816" s="94"/>
      <c r="D816" s="111"/>
      <c r="E816" s="115"/>
      <c r="F816" s="108"/>
      <c r="G816" s="98"/>
      <c r="H816" s="116"/>
      <c r="I816" s="111"/>
      <c r="J816" s="115"/>
      <c r="K816" s="108"/>
      <c r="L816" s="98"/>
      <c r="M816" s="116"/>
      <c r="N816" s="111"/>
      <c r="O816" s="115"/>
      <c r="P816" s="108"/>
      <c r="Q816" s="98"/>
      <c r="R816" s="116"/>
      <c r="S816" s="83"/>
      <c r="T816" s="83"/>
      <c r="U816" s="83"/>
      <c r="V816" s="83"/>
      <c r="W816" s="83"/>
      <c r="X816" s="83"/>
      <c r="Y816" s="83"/>
      <c r="Z816" s="83"/>
    </row>
    <row r="817">
      <c r="A817" s="113"/>
      <c r="B817" s="117"/>
      <c r="C817" s="94"/>
      <c r="D817" s="111"/>
      <c r="E817" s="115"/>
      <c r="F817" s="108"/>
      <c r="G817" s="98"/>
      <c r="H817" s="116"/>
      <c r="I817" s="111"/>
      <c r="J817" s="115"/>
      <c r="K817" s="108"/>
      <c r="L817" s="98"/>
      <c r="M817" s="116"/>
      <c r="N817" s="111"/>
      <c r="O817" s="115"/>
      <c r="P817" s="108"/>
      <c r="Q817" s="98"/>
      <c r="R817" s="116"/>
      <c r="S817" s="83"/>
      <c r="T817" s="83"/>
      <c r="U817" s="83"/>
      <c r="V817" s="83"/>
      <c r="W817" s="83"/>
      <c r="X817" s="83"/>
      <c r="Y817" s="83"/>
      <c r="Z817" s="83"/>
    </row>
    <row r="818">
      <c r="A818" s="113"/>
      <c r="B818" s="117"/>
      <c r="C818" s="94"/>
      <c r="D818" s="111"/>
      <c r="E818" s="115"/>
      <c r="F818" s="108"/>
      <c r="G818" s="98"/>
      <c r="H818" s="116"/>
      <c r="I818" s="111"/>
      <c r="J818" s="115"/>
      <c r="K818" s="108"/>
      <c r="L818" s="98"/>
      <c r="M818" s="116"/>
      <c r="N818" s="111"/>
      <c r="O818" s="115"/>
      <c r="P818" s="108"/>
      <c r="Q818" s="98"/>
      <c r="R818" s="116"/>
      <c r="S818" s="83"/>
      <c r="T818" s="83"/>
      <c r="U818" s="83"/>
      <c r="V818" s="83"/>
      <c r="W818" s="83"/>
      <c r="X818" s="83"/>
      <c r="Y818" s="83"/>
      <c r="Z818" s="83"/>
    </row>
    <row r="819">
      <c r="A819" s="113"/>
      <c r="B819" s="117"/>
      <c r="C819" s="94"/>
      <c r="D819" s="111"/>
      <c r="E819" s="115"/>
      <c r="F819" s="108"/>
      <c r="G819" s="98"/>
      <c r="H819" s="116"/>
      <c r="I819" s="111"/>
      <c r="J819" s="115"/>
      <c r="K819" s="108"/>
      <c r="L819" s="98"/>
      <c r="M819" s="116"/>
      <c r="N819" s="111"/>
      <c r="O819" s="115"/>
      <c r="P819" s="108"/>
      <c r="Q819" s="98"/>
      <c r="R819" s="116"/>
      <c r="S819" s="83"/>
      <c r="T819" s="83"/>
      <c r="U819" s="83"/>
      <c r="V819" s="83"/>
      <c r="W819" s="83"/>
      <c r="X819" s="83"/>
      <c r="Y819" s="83"/>
      <c r="Z819" s="83"/>
    </row>
    <row r="820">
      <c r="A820" s="113"/>
      <c r="B820" s="117"/>
      <c r="C820" s="94"/>
      <c r="D820" s="111"/>
      <c r="E820" s="115"/>
      <c r="F820" s="108"/>
      <c r="G820" s="98"/>
      <c r="H820" s="116"/>
      <c r="I820" s="111"/>
      <c r="J820" s="115"/>
      <c r="K820" s="108"/>
      <c r="L820" s="98"/>
      <c r="M820" s="116"/>
      <c r="N820" s="111"/>
      <c r="O820" s="115"/>
      <c r="P820" s="108"/>
      <c r="Q820" s="98"/>
      <c r="R820" s="116"/>
      <c r="S820" s="83"/>
      <c r="T820" s="83"/>
      <c r="U820" s="83"/>
      <c r="V820" s="83"/>
      <c r="W820" s="83"/>
      <c r="X820" s="83"/>
      <c r="Y820" s="83"/>
      <c r="Z820" s="83"/>
    </row>
    <row r="821">
      <c r="A821" s="113"/>
      <c r="B821" s="117"/>
      <c r="C821" s="94"/>
      <c r="D821" s="111"/>
      <c r="E821" s="115"/>
      <c r="F821" s="108"/>
      <c r="G821" s="98"/>
      <c r="H821" s="116"/>
      <c r="I821" s="111"/>
      <c r="J821" s="115"/>
      <c r="K821" s="108"/>
      <c r="L821" s="98"/>
      <c r="M821" s="116"/>
      <c r="N821" s="111"/>
      <c r="O821" s="115"/>
      <c r="P821" s="108"/>
      <c r="Q821" s="98"/>
      <c r="R821" s="116"/>
      <c r="S821" s="83"/>
      <c r="T821" s="83"/>
      <c r="U821" s="83"/>
      <c r="V821" s="83"/>
      <c r="W821" s="83"/>
      <c r="X821" s="83"/>
      <c r="Y821" s="83"/>
      <c r="Z821" s="83"/>
    </row>
    <row r="822">
      <c r="A822" s="113"/>
      <c r="B822" s="117"/>
      <c r="C822" s="94"/>
      <c r="D822" s="111"/>
      <c r="E822" s="115"/>
      <c r="F822" s="108"/>
      <c r="G822" s="98"/>
      <c r="H822" s="116"/>
      <c r="I822" s="111"/>
      <c r="J822" s="115"/>
      <c r="K822" s="108"/>
      <c r="L822" s="98"/>
      <c r="M822" s="116"/>
      <c r="N822" s="111"/>
      <c r="O822" s="115"/>
      <c r="P822" s="108"/>
      <c r="Q822" s="98"/>
      <c r="R822" s="116"/>
      <c r="S822" s="83"/>
      <c r="T822" s="83"/>
      <c r="U822" s="83"/>
      <c r="V822" s="83"/>
      <c r="W822" s="83"/>
      <c r="X822" s="83"/>
      <c r="Y822" s="83"/>
      <c r="Z822" s="83"/>
    </row>
    <row r="823">
      <c r="A823" s="113"/>
      <c r="B823" s="117"/>
      <c r="C823" s="94"/>
      <c r="D823" s="111"/>
      <c r="E823" s="115"/>
      <c r="F823" s="108"/>
      <c r="G823" s="98"/>
      <c r="H823" s="116"/>
      <c r="I823" s="111"/>
      <c r="J823" s="115"/>
      <c r="K823" s="108"/>
      <c r="L823" s="98"/>
      <c r="M823" s="116"/>
      <c r="N823" s="111"/>
      <c r="O823" s="115"/>
      <c r="P823" s="108"/>
      <c r="Q823" s="98"/>
      <c r="R823" s="116"/>
      <c r="S823" s="83"/>
      <c r="T823" s="83"/>
      <c r="U823" s="83"/>
      <c r="V823" s="83"/>
      <c r="W823" s="83"/>
      <c r="X823" s="83"/>
      <c r="Y823" s="83"/>
      <c r="Z823" s="83"/>
    </row>
    <row r="824">
      <c r="A824" s="113"/>
      <c r="B824" s="117"/>
      <c r="C824" s="94"/>
      <c r="D824" s="111"/>
      <c r="E824" s="115"/>
      <c r="F824" s="108"/>
      <c r="G824" s="98"/>
      <c r="H824" s="116"/>
      <c r="I824" s="111"/>
      <c r="J824" s="115"/>
      <c r="K824" s="108"/>
      <c r="L824" s="98"/>
      <c r="M824" s="116"/>
      <c r="N824" s="111"/>
      <c r="O824" s="115"/>
      <c r="P824" s="108"/>
      <c r="Q824" s="98"/>
      <c r="R824" s="116"/>
      <c r="S824" s="83"/>
      <c r="T824" s="83"/>
      <c r="U824" s="83"/>
      <c r="V824" s="83"/>
      <c r="W824" s="83"/>
      <c r="X824" s="83"/>
      <c r="Y824" s="83"/>
      <c r="Z824" s="83"/>
    </row>
    <row r="825">
      <c r="A825" s="113"/>
      <c r="B825" s="117"/>
      <c r="C825" s="94"/>
      <c r="D825" s="111"/>
      <c r="E825" s="115"/>
      <c r="F825" s="108"/>
      <c r="G825" s="98"/>
      <c r="H825" s="116"/>
      <c r="I825" s="111"/>
      <c r="J825" s="115"/>
      <c r="K825" s="108"/>
      <c r="L825" s="98"/>
      <c r="M825" s="116"/>
      <c r="N825" s="111"/>
      <c r="O825" s="115"/>
      <c r="P825" s="108"/>
      <c r="Q825" s="98"/>
      <c r="R825" s="116"/>
      <c r="S825" s="83"/>
      <c r="T825" s="83"/>
      <c r="U825" s="83"/>
      <c r="V825" s="83"/>
      <c r="W825" s="83"/>
      <c r="X825" s="83"/>
      <c r="Y825" s="83"/>
      <c r="Z825" s="83"/>
    </row>
    <row r="826">
      <c r="A826" s="113"/>
      <c r="B826" s="117"/>
      <c r="C826" s="94"/>
      <c r="D826" s="111"/>
      <c r="E826" s="115"/>
      <c r="F826" s="108"/>
      <c r="G826" s="98"/>
      <c r="H826" s="116"/>
      <c r="I826" s="111"/>
      <c r="J826" s="115"/>
      <c r="K826" s="108"/>
      <c r="L826" s="98"/>
      <c r="M826" s="116"/>
      <c r="N826" s="111"/>
      <c r="O826" s="115"/>
      <c r="P826" s="108"/>
      <c r="Q826" s="98"/>
      <c r="R826" s="116"/>
      <c r="S826" s="83"/>
      <c r="T826" s="83"/>
      <c r="U826" s="83"/>
      <c r="V826" s="83"/>
      <c r="W826" s="83"/>
      <c r="X826" s="83"/>
      <c r="Y826" s="83"/>
      <c r="Z826" s="83"/>
    </row>
    <row r="827">
      <c r="A827" s="113"/>
      <c r="B827" s="117"/>
      <c r="C827" s="94"/>
      <c r="D827" s="111"/>
      <c r="E827" s="115"/>
      <c r="F827" s="108"/>
      <c r="G827" s="98"/>
      <c r="H827" s="116"/>
      <c r="I827" s="111"/>
      <c r="J827" s="115"/>
      <c r="K827" s="108"/>
      <c r="L827" s="98"/>
      <c r="M827" s="116"/>
      <c r="N827" s="111"/>
      <c r="O827" s="115"/>
      <c r="P827" s="108"/>
      <c r="Q827" s="98"/>
      <c r="R827" s="116"/>
      <c r="S827" s="83"/>
      <c r="T827" s="83"/>
      <c r="U827" s="83"/>
      <c r="V827" s="83"/>
      <c r="W827" s="83"/>
      <c r="X827" s="83"/>
      <c r="Y827" s="83"/>
      <c r="Z827" s="83"/>
    </row>
    <row r="828">
      <c r="A828" s="113"/>
      <c r="B828" s="117"/>
      <c r="C828" s="94"/>
      <c r="D828" s="111"/>
      <c r="E828" s="115"/>
      <c r="F828" s="108"/>
      <c r="G828" s="98"/>
      <c r="H828" s="116"/>
      <c r="I828" s="111"/>
      <c r="J828" s="115"/>
      <c r="K828" s="108"/>
      <c r="L828" s="98"/>
      <c r="M828" s="116"/>
      <c r="N828" s="111"/>
      <c r="O828" s="115"/>
      <c r="P828" s="108"/>
      <c r="Q828" s="98"/>
      <c r="R828" s="116"/>
      <c r="S828" s="83"/>
      <c r="T828" s="83"/>
      <c r="U828" s="83"/>
      <c r="V828" s="83"/>
      <c r="W828" s="83"/>
      <c r="X828" s="83"/>
      <c r="Y828" s="83"/>
      <c r="Z828" s="83"/>
    </row>
    <row r="829">
      <c r="A829" s="113"/>
      <c r="B829" s="117"/>
      <c r="C829" s="94"/>
      <c r="D829" s="111"/>
      <c r="E829" s="115"/>
      <c r="F829" s="108"/>
      <c r="G829" s="98"/>
      <c r="H829" s="116"/>
      <c r="I829" s="111"/>
      <c r="J829" s="115"/>
      <c r="K829" s="108"/>
      <c r="L829" s="98"/>
      <c r="M829" s="116"/>
      <c r="N829" s="111"/>
      <c r="O829" s="115"/>
      <c r="P829" s="108"/>
      <c r="Q829" s="98"/>
      <c r="R829" s="116"/>
      <c r="S829" s="83"/>
      <c r="T829" s="83"/>
      <c r="U829" s="83"/>
      <c r="V829" s="83"/>
      <c r="W829" s="83"/>
      <c r="X829" s="83"/>
      <c r="Y829" s="83"/>
      <c r="Z829" s="83"/>
    </row>
    <row r="830">
      <c r="A830" s="113"/>
      <c r="B830" s="117"/>
      <c r="C830" s="94"/>
      <c r="D830" s="111"/>
      <c r="E830" s="115"/>
      <c r="F830" s="108"/>
      <c r="G830" s="98"/>
      <c r="H830" s="116"/>
      <c r="I830" s="111"/>
      <c r="J830" s="115"/>
      <c r="K830" s="108"/>
      <c r="L830" s="98"/>
      <c r="M830" s="116"/>
      <c r="N830" s="111"/>
      <c r="O830" s="115"/>
      <c r="P830" s="108"/>
      <c r="Q830" s="98"/>
      <c r="R830" s="116"/>
      <c r="S830" s="83"/>
      <c r="T830" s="83"/>
      <c r="U830" s="83"/>
      <c r="V830" s="83"/>
      <c r="W830" s="83"/>
      <c r="X830" s="83"/>
      <c r="Y830" s="83"/>
      <c r="Z830" s="83"/>
    </row>
    <row r="831">
      <c r="A831" s="113"/>
      <c r="B831" s="117"/>
      <c r="C831" s="94"/>
      <c r="D831" s="111"/>
      <c r="E831" s="115"/>
      <c r="F831" s="108"/>
      <c r="G831" s="98"/>
      <c r="H831" s="116"/>
      <c r="I831" s="111"/>
      <c r="J831" s="115"/>
      <c r="K831" s="108"/>
      <c r="L831" s="98"/>
      <c r="M831" s="116"/>
      <c r="N831" s="111"/>
      <c r="O831" s="115"/>
      <c r="P831" s="108"/>
      <c r="Q831" s="98"/>
      <c r="R831" s="116"/>
      <c r="S831" s="83"/>
      <c r="T831" s="83"/>
      <c r="U831" s="83"/>
      <c r="V831" s="83"/>
      <c r="W831" s="83"/>
      <c r="X831" s="83"/>
      <c r="Y831" s="83"/>
      <c r="Z831" s="83"/>
    </row>
    <row r="832">
      <c r="A832" s="113"/>
      <c r="B832" s="117"/>
      <c r="C832" s="94"/>
      <c r="D832" s="111"/>
      <c r="E832" s="115"/>
      <c r="F832" s="108"/>
      <c r="G832" s="98"/>
      <c r="H832" s="116"/>
      <c r="I832" s="111"/>
      <c r="J832" s="115"/>
      <c r="K832" s="108"/>
      <c r="L832" s="98"/>
      <c r="M832" s="116"/>
      <c r="N832" s="111"/>
      <c r="O832" s="115"/>
      <c r="P832" s="108"/>
      <c r="Q832" s="98"/>
      <c r="R832" s="116"/>
      <c r="S832" s="83"/>
      <c r="T832" s="83"/>
      <c r="U832" s="83"/>
      <c r="V832" s="83"/>
      <c r="W832" s="83"/>
      <c r="X832" s="83"/>
      <c r="Y832" s="83"/>
      <c r="Z832" s="83"/>
    </row>
    <row r="833">
      <c r="A833" s="113"/>
      <c r="B833" s="117"/>
      <c r="C833" s="94"/>
      <c r="D833" s="111"/>
      <c r="E833" s="115"/>
      <c r="F833" s="108"/>
      <c r="G833" s="98"/>
      <c r="H833" s="116"/>
      <c r="I833" s="111"/>
      <c r="J833" s="115"/>
      <c r="K833" s="108"/>
      <c r="L833" s="98"/>
      <c r="M833" s="116"/>
      <c r="N833" s="111"/>
      <c r="O833" s="115"/>
      <c r="P833" s="108"/>
      <c r="Q833" s="98"/>
      <c r="R833" s="116"/>
      <c r="S833" s="83"/>
      <c r="T833" s="83"/>
      <c r="U833" s="83"/>
      <c r="V833" s="83"/>
      <c r="W833" s="83"/>
      <c r="X833" s="83"/>
      <c r="Y833" s="83"/>
      <c r="Z833" s="83"/>
    </row>
    <row r="834">
      <c r="A834" s="113"/>
      <c r="B834" s="117"/>
      <c r="C834" s="94"/>
      <c r="D834" s="111"/>
      <c r="E834" s="115"/>
      <c r="F834" s="108"/>
      <c r="G834" s="98"/>
      <c r="H834" s="116"/>
      <c r="I834" s="111"/>
      <c r="J834" s="115"/>
      <c r="K834" s="108"/>
      <c r="L834" s="98"/>
      <c r="M834" s="116"/>
      <c r="N834" s="111"/>
      <c r="O834" s="115"/>
      <c r="P834" s="108"/>
      <c r="Q834" s="98"/>
      <c r="R834" s="116"/>
      <c r="S834" s="83"/>
      <c r="T834" s="83"/>
      <c r="U834" s="83"/>
      <c r="V834" s="83"/>
      <c r="W834" s="83"/>
      <c r="X834" s="83"/>
      <c r="Y834" s="83"/>
      <c r="Z834" s="83"/>
    </row>
    <row r="835">
      <c r="A835" s="113"/>
      <c r="B835" s="117"/>
      <c r="C835" s="94"/>
      <c r="D835" s="111"/>
      <c r="E835" s="115"/>
      <c r="F835" s="108"/>
      <c r="G835" s="98"/>
      <c r="H835" s="116"/>
      <c r="I835" s="111"/>
      <c r="J835" s="115"/>
      <c r="K835" s="108"/>
      <c r="L835" s="98"/>
      <c r="M835" s="116"/>
      <c r="N835" s="111"/>
      <c r="O835" s="115"/>
      <c r="P835" s="108"/>
      <c r="Q835" s="98"/>
      <c r="R835" s="116"/>
      <c r="S835" s="83"/>
      <c r="T835" s="83"/>
      <c r="U835" s="83"/>
      <c r="V835" s="83"/>
      <c r="W835" s="83"/>
      <c r="X835" s="83"/>
      <c r="Y835" s="83"/>
      <c r="Z835" s="83"/>
    </row>
    <row r="836">
      <c r="A836" s="113"/>
      <c r="B836" s="117"/>
      <c r="C836" s="94"/>
      <c r="D836" s="111"/>
      <c r="E836" s="115"/>
      <c r="F836" s="108"/>
      <c r="G836" s="98"/>
      <c r="H836" s="116"/>
      <c r="I836" s="111"/>
      <c r="J836" s="115"/>
      <c r="K836" s="108"/>
      <c r="L836" s="98"/>
      <c r="M836" s="116"/>
      <c r="N836" s="111"/>
      <c r="O836" s="115"/>
      <c r="P836" s="108"/>
      <c r="Q836" s="98"/>
      <c r="R836" s="116"/>
      <c r="S836" s="83"/>
      <c r="T836" s="83"/>
      <c r="U836" s="83"/>
      <c r="V836" s="83"/>
      <c r="W836" s="83"/>
      <c r="X836" s="83"/>
      <c r="Y836" s="83"/>
      <c r="Z836" s="83"/>
    </row>
    <row r="837">
      <c r="A837" s="113"/>
      <c r="B837" s="117"/>
      <c r="C837" s="94"/>
      <c r="D837" s="111"/>
      <c r="E837" s="115"/>
      <c r="F837" s="108"/>
      <c r="G837" s="98"/>
      <c r="H837" s="116"/>
      <c r="I837" s="111"/>
      <c r="J837" s="115"/>
      <c r="K837" s="108"/>
      <c r="L837" s="98"/>
      <c r="M837" s="116"/>
      <c r="N837" s="111"/>
      <c r="O837" s="115"/>
      <c r="P837" s="108"/>
      <c r="Q837" s="98"/>
      <c r="R837" s="116"/>
      <c r="S837" s="83"/>
      <c r="T837" s="83"/>
      <c r="U837" s="83"/>
      <c r="V837" s="83"/>
      <c r="W837" s="83"/>
      <c r="X837" s="83"/>
      <c r="Y837" s="83"/>
      <c r="Z837" s="83"/>
    </row>
    <row r="838">
      <c r="A838" s="113"/>
      <c r="B838" s="117"/>
      <c r="C838" s="94"/>
      <c r="D838" s="111"/>
      <c r="E838" s="115"/>
      <c r="F838" s="108"/>
      <c r="G838" s="98"/>
      <c r="H838" s="116"/>
      <c r="I838" s="111"/>
      <c r="J838" s="115"/>
      <c r="K838" s="108"/>
      <c r="L838" s="98"/>
      <c r="M838" s="116"/>
      <c r="N838" s="111"/>
      <c r="O838" s="115"/>
      <c r="P838" s="108"/>
      <c r="Q838" s="98"/>
      <c r="R838" s="116"/>
      <c r="S838" s="83"/>
      <c r="T838" s="83"/>
      <c r="U838" s="83"/>
      <c r="V838" s="83"/>
      <c r="W838" s="83"/>
      <c r="X838" s="83"/>
      <c r="Y838" s="83"/>
      <c r="Z838" s="83"/>
    </row>
    <row r="839">
      <c r="A839" s="113"/>
      <c r="B839" s="117"/>
      <c r="C839" s="94"/>
      <c r="D839" s="111"/>
      <c r="E839" s="115"/>
      <c r="F839" s="108"/>
      <c r="G839" s="98"/>
      <c r="H839" s="116"/>
      <c r="I839" s="111"/>
      <c r="J839" s="115"/>
      <c r="K839" s="108"/>
      <c r="L839" s="98"/>
      <c r="M839" s="116"/>
      <c r="N839" s="111"/>
      <c r="O839" s="115"/>
      <c r="P839" s="108"/>
      <c r="Q839" s="98"/>
      <c r="R839" s="116"/>
      <c r="S839" s="83"/>
      <c r="T839" s="83"/>
      <c r="U839" s="83"/>
      <c r="V839" s="83"/>
      <c r="W839" s="83"/>
      <c r="X839" s="83"/>
      <c r="Y839" s="83"/>
      <c r="Z839" s="83"/>
    </row>
    <row r="840">
      <c r="A840" s="113"/>
      <c r="B840" s="117"/>
      <c r="C840" s="94"/>
      <c r="D840" s="111"/>
      <c r="E840" s="115"/>
      <c r="F840" s="108"/>
      <c r="G840" s="98"/>
      <c r="H840" s="116"/>
      <c r="I840" s="111"/>
      <c r="J840" s="115"/>
      <c r="K840" s="108"/>
      <c r="L840" s="98"/>
      <c r="M840" s="116"/>
      <c r="N840" s="111"/>
      <c r="O840" s="115"/>
      <c r="P840" s="108"/>
      <c r="Q840" s="98"/>
      <c r="R840" s="116"/>
      <c r="S840" s="83"/>
      <c r="T840" s="83"/>
      <c r="U840" s="83"/>
      <c r="V840" s="83"/>
      <c r="W840" s="83"/>
      <c r="X840" s="83"/>
      <c r="Y840" s="83"/>
      <c r="Z840" s="83"/>
    </row>
    <row r="841">
      <c r="A841" s="113"/>
      <c r="B841" s="117"/>
      <c r="C841" s="94"/>
      <c r="D841" s="111"/>
      <c r="E841" s="115"/>
      <c r="F841" s="108"/>
      <c r="G841" s="98"/>
      <c r="H841" s="116"/>
      <c r="I841" s="111"/>
      <c r="J841" s="115"/>
      <c r="K841" s="108"/>
      <c r="L841" s="98"/>
      <c r="M841" s="116"/>
      <c r="N841" s="111"/>
      <c r="O841" s="115"/>
      <c r="P841" s="108"/>
      <c r="Q841" s="98"/>
      <c r="R841" s="116"/>
      <c r="S841" s="83"/>
      <c r="T841" s="83"/>
      <c r="U841" s="83"/>
      <c r="V841" s="83"/>
      <c r="W841" s="83"/>
      <c r="X841" s="83"/>
      <c r="Y841" s="83"/>
      <c r="Z841" s="83"/>
    </row>
    <row r="842">
      <c r="A842" s="113"/>
      <c r="B842" s="117"/>
      <c r="C842" s="94"/>
      <c r="D842" s="111"/>
      <c r="E842" s="115"/>
      <c r="F842" s="108"/>
      <c r="G842" s="98"/>
      <c r="H842" s="116"/>
      <c r="I842" s="111"/>
      <c r="J842" s="115"/>
      <c r="K842" s="108"/>
      <c r="L842" s="98"/>
      <c r="M842" s="116"/>
      <c r="N842" s="111"/>
      <c r="O842" s="115"/>
      <c r="P842" s="108"/>
      <c r="Q842" s="98"/>
      <c r="R842" s="116"/>
      <c r="S842" s="83"/>
      <c r="T842" s="83"/>
      <c r="U842" s="83"/>
      <c r="V842" s="83"/>
      <c r="W842" s="83"/>
      <c r="X842" s="83"/>
      <c r="Y842" s="83"/>
      <c r="Z842" s="83"/>
    </row>
    <row r="843">
      <c r="A843" s="113"/>
      <c r="B843" s="117"/>
      <c r="C843" s="94"/>
      <c r="D843" s="111"/>
      <c r="E843" s="115"/>
      <c r="F843" s="108"/>
      <c r="G843" s="98"/>
      <c r="H843" s="116"/>
      <c r="I843" s="111"/>
      <c r="J843" s="115"/>
      <c r="K843" s="108"/>
      <c r="L843" s="98"/>
      <c r="M843" s="116"/>
      <c r="N843" s="111"/>
      <c r="O843" s="115"/>
      <c r="P843" s="108"/>
      <c r="Q843" s="98"/>
      <c r="R843" s="116"/>
      <c r="S843" s="83"/>
      <c r="T843" s="83"/>
      <c r="U843" s="83"/>
      <c r="V843" s="83"/>
      <c r="W843" s="83"/>
      <c r="X843" s="83"/>
      <c r="Y843" s="83"/>
      <c r="Z843" s="83"/>
    </row>
    <row r="844">
      <c r="A844" s="113"/>
      <c r="B844" s="117"/>
      <c r="C844" s="94"/>
      <c r="D844" s="111"/>
      <c r="E844" s="115"/>
      <c r="F844" s="108"/>
      <c r="G844" s="98"/>
      <c r="H844" s="116"/>
      <c r="I844" s="111"/>
      <c r="J844" s="115"/>
      <c r="K844" s="108"/>
      <c r="L844" s="98"/>
      <c r="M844" s="116"/>
      <c r="N844" s="111"/>
      <c r="O844" s="115"/>
      <c r="P844" s="108"/>
      <c r="Q844" s="98"/>
      <c r="R844" s="116"/>
      <c r="S844" s="83"/>
      <c r="T844" s="83"/>
      <c r="U844" s="83"/>
      <c r="V844" s="83"/>
      <c r="W844" s="83"/>
      <c r="X844" s="83"/>
      <c r="Y844" s="83"/>
      <c r="Z844" s="83"/>
    </row>
    <row r="845">
      <c r="A845" s="113"/>
      <c r="B845" s="117"/>
      <c r="C845" s="94"/>
      <c r="D845" s="111"/>
      <c r="E845" s="115"/>
      <c r="F845" s="108"/>
      <c r="G845" s="98"/>
      <c r="H845" s="116"/>
      <c r="I845" s="111"/>
      <c r="J845" s="115"/>
      <c r="K845" s="108"/>
      <c r="L845" s="98"/>
      <c r="M845" s="116"/>
      <c r="N845" s="111"/>
      <c r="O845" s="115"/>
      <c r="P845" s="108"/>
      <c r="Q845" s="98"/>
      <c r="R845" s="116"/>
      <c r="S845" s="83"/>
      <c r="T845" s="83"/>
      <c r="U845" s="83"/>
      <c r="V845" s="83"/>
      <c r="W845" s="83"/>
      <c r="X845" s="83"/>
      <c r="Y845" s="83"/>
      <c r="Z845" s="83"/>
    </row>
    <row r="846">
      <c r="A846" s="113"/>
      <c r="B846" s="117"/>
      <c r="C846" s="94"/>
      <c r="D846" s="111"/>
      <c r="E846" s="115"/>
      <c r="F846" s="108"/>
      <c r="G846" s="98"/>
      <c r="H846" s="116"/>
      <c r="I846" s="111"/>
      <c r="J846" s="115"/>
      <c r="K846" s="108"/>
      <c r="L846" s="98"/>
      <c r="M846" s="116"/>
      <c r="N846" s="111"/>
      <c r="O846" s="115"/>
      <c r="P846" s="108"/>
      <c r="Q846" s="98"/>
      <c r="R846" s="116"/>
      <c r="S846" s="83"/>
      <c r="T846" s="83"/>
      <c r="U846" s="83"/>
      <c r="V846" s="83"/>
      <c r="W846" s="83"/>
      <c r="X846" s="83"/>
      <c r="Y846" s="83"/>
      <c r="Z846" s="83"/>
    </row>
    <row r="847">
      <c r="A847" s="113"/>
      <c r="B847" s="117"/>
      <c r="C847" s="94"/>
      <c r="D847" s="111"/>
      <c r="E847" s="115"/>
      <c r="F847" s="108"/>
      <c r="G847" s="98"/>
      <c r="H847" s="116"/>
      <c r="I847" s="111"/>
      <c r="J847" s="115"/>
      <c r="K847" s="108"/>
      <c r="L847" s="98"/>
      <c r="M847" s="116"/>
      <c r="N847" s="111"/>
      <c r="O847" s="115"/>
      <c r="P847" s="108"/>
      <c r="Q847" s="98"/>
      <c r="R847" s="116"/>
      <c r="S847" s="83"/>
      <c r="T847" s="83"/>
      <c r="U847" s="83"/>
      <c r="V847" s="83"/>
      <c r="W847" s="83"/>
      <c r="X847" s="83"/>
      <c r="Y847" s="83"/>
      <c r="Z847" s="83"/>
    </row>
    <row r="848">
      <c r="A848" s="113"/>
      <c r="B848" s="117"/>
      <c r="C848" s="94"/>
      <c r="D848" s="111"/>
      <c r="E848" s="115"/>
      <c r="F848" s="108"/>
      <c r="G848" s="98"/>
      <c r="H848" s="116"/>
      <c r="I848" s="111"/>
      <c r="J848" s="115"/>
      <c r="K848" s="108"/>
      <c r="L848" s="98"/>
      <c r="M848" s="116"/>
      <c r="N848" s="111"/>
      <c r="O848" s="115"/>
      <c r="P848" s="108"/>
      <c r="Q848" s="98"/>
      <c r="R848" s="116"/>
      <c r="S848" s="83"/>
      <c r="T848" s="83"/>
      <c r="U848" s="83"/>
      <c r="V848" s="83"/>
      <c r="W848" s="83"/>
      <c r="X848" s="83"/>
      <c r="Y848" s="83"/>
      <c r="Z848" s="83"/>
    </row>
    <row r="849">
      <c r="A849" s="113"/>
      <c r="B849" s="117"/>
      <c r="C849" s="94"/>
      <c r="D849" s="111"/>
      <c r="E849" s="115"/>
      <c r="F849" s="108"/>
      <c r="G849" s="98"/>
      <c r="H849" s="116"/>
      <c r="I849" s="111"/>
      <c r="J849" s="115"/>
      <c r="K849" s="108"/>
      <c r="L849" s="98"/>
      <c r="M849" s="116"/>
      <c r="N849" s="111"/>
      <c r="O849" s="115"/>
      <c r="P849" s="108"/>
      <c r="Q849" s="98"/>
      <c r="R849" s="116"/>
      <c r="S849" s="83"/>
      <c r="T849" s="83"/>
      <c r="U849" s="83"/>
      <c r="V849" s="83"/>
      <c r="W849" s="83"/>
      <c r="X849" s="83"/>
      <c r="Y849" s="83"/>
      <c r="Z849" s="83"/>
    </row>
    <row r="850">
      <c r="A850" s="113"/>
      <c r="B850" s="117"/>
      <c r="C850" s="94"/>
      <c r="D850" s="111"/>
      <c r="E850" s="115"/>
      <c r="F850" s="108"/>
      <c r="G850" s="98"/>
      <c r="H850" s="116"/>
      <c r="I850" s="111"/>
      <c r="J850" s="115"/>
      <c r="K850" s="108"/>
      <c r="L850" s="98"/>
      <c r="M850" s="116"/>
      <c r="N850" s="111"/>
      <c r="O850" s="115"/>
      <c r="P850" s="108"/>
      <c r="Q850" s="98"/>
      <c r="R850" s="116"/>
      <c r="S850" s="83"/>
      <c r="T850" s="83"/>
      <c r="U850" s="83"/>
      <c r="V850" s="83"/>
      <c r="W850" s="83"/>
      <c r="X850" s="83"/>
      <c r="Y850" s="83"/>
      <c r="Z850" s="83"/>
    </row>
    <row r="851">
      <c r="A851" s="113"/>
      <c r="B851" s="117"/>
      <c r="C851" s="94"/>
      <c r="D851" s="111"/>
      <c r="E851" s="115"/>
      <c r="F851" s="108"/>
      <c r="G851" s="98"/>
      <c r="H851" s="116"/>
      <c r="I851" s="111"/>
      <c r="J851" s="115"/>
      <c r="K851" s="108"/>
      <c r="L851" s="98"/>
      <c r="M851" s="116"/>
      <c r="N851" s="111"/>
      <c r="O851" s="115"/>
      <c r="P851" s="108"/>
      <c r="Q851" s="98"/>
      <c r="R851" s="116"/>
      <c r="S851" s="83"/>
      <c r="T851" s="83"/>
      <c r="U851" s="83"/>
      <c r="V851" s="83"/>
      <c r="W851" s="83"/>
      <c r="X851" s="83"/>
      <c r="Y851" s="83"/>
      <c r="Z851" s="83"/>
    </row>
    <row r="852">
      <c r="A852" s="113"/>
      <c r="B852" s="117"/>
      <c r="C852" s="94"/>
      <c r="D852" s="111"/>
      <c r="E852" s="115"/>
      <c r="F852" s="108"/>
      <c r="G852" s="98"/>
      <c r="H852" s="116"/>
      <c r="I852" s="111"/>
      <c r="J852" s="115"/>
      <c r="K852" s="108"/>
      <c r="L852" s="98"/>
      <c r="M852" s="116"/>
      <c r="N852" s="111"/>
      <c r="O852" s="115"/>
      <c r="P852" s="108"/>
      <c r="Q852" s="98"/>
      <c r="R852" s="116"/>
      <c r="S852" s="83"/>
      <c r="T852" s="83"/>
      <c r="U852" s="83"/>
      <c r="V852" s="83"/>
      <c r="W852" s="83"/>
      <c r="X852" s="83"/>
      <c r="Y852" s="83"/>
      <c r="Z852" s="83"/>
    </row>
    <row r="853">
      <c r="A853" s="113"/>
      <c r="B853" s="117"/>
      <c r="C853" s="94"/>
      <c r="D853" s="111"/>
      <c r="E853" s="115"/>
      <c r="F853" s="108"/>
      <c r="G853" s="98"/>
      <c r="H853" s="116"/>
      <c r="I853" s="111"/>
      <c r="J853" s="115"/>
      <c r="K853" s="108"/>
      <c r="L853" s="98"/>
      <c r="M853" s="116"/>
      <c r="N853" s="111"/>
      <c r="O853" s="115"/>
      <c r="P853" s="108"/>
      <c r="Q853" s="98"/>
      <c r="R853" s="116"/>
      <c r="S853" s="83"/>
      <c r="T853" s="83"/>
      <c r="U853" s="83"/>
      <c r="V853" s="83"/>
      <c r="W853" s="83"/>
      <c r="X853" s="83"/>
      <c r="Y853" s="83"/>
      <c r="Z853" s="83"/>
    </row>
    <row r="854">
      <c r="A854" s="113"/>
      <c r="B854" s="117"/>
      <c r="C854" s="94"/>
      <c r="D854" s="111"/>
      <c r="E854" s="115"/>
      <c r="F854" s="108"/>
      <c r="G854" s="98"/>
      <c r="H854" s="116"/>
      <c r="I854" s="111"/>
      <c r="J854" s="115"/>
      <c r="K854" s="108"/>
      <c r="L854" s="98"/>
      <c r="M854" s="116"/>
      <c r="N854" s="111"/>
      <c r="O854" s="115"/>
      <c r="P854" s="108"/>
      <c r="Q854" s="98"/>
      <c r="R854" s="116"/>
      <c r="S854" s="83"/>
      <c r="T854" s="83"/>
      <c r="U854" s="83"/>
      <c r="V854" s="83"/>
      <c r="W854" s="83"/>
      <c r="X854" s="83"/>
      <c r="Y854" s="83"/>
      <c r="Z854" s="83"/>
    </row>
    <row r="855">
      <c r="A855" s="113"/>
      <c r="B855" s="117"/>
      <c r="C855" s="94"/>
      <c r="D855" s="111"/>
      <c r="E855" s="115"/>
      <c r="F855" s="108"/>
      <c r="G855" s="98"/>
      <c r="H855" s="116"/>
      <c r="I855" s="111"/>
      <c r="J855" s="115"/>
      <c r="K855" s="108"/>
      <c r="L855" s="98"/>
      <c r="M855" s="116"/>
      <c r="N855" s="111"/>
      <c r="O855" s="115"/>
      <c r="P855" s="108"/>
      <c r="Q855" s="98"/>
      <c r="R855" s="116"/>
      <c r="S855" s="83"/>
      <c r="T855" s="83"/>
      <c r="U855" s="83"/>
      <c r="V855" s="83"/>
      <c r="W855" s="83"/>
      <c r="X855" s="83"/>
      <c r="Y855" s="83"/>
      <c r="Z855" s="83"/>
    </row>
    <row r="856">
      <c r="A856" s="113"/>
      <c r="B856" s="117"/>
      <c r="C856" s="94"/>
      <c r="D856" s="111"/>
      <c r="E856" s="115"/>
      <c r="F856" s="108"/>
      <c r="G856" s="98"/>
      <c r="H856" s="116"/>
      <c r="I856" s="111"/>
      <c r="J856" s="115"/>
      <c r="K856" s="108"/>
      <c r="L856" s="98"/>
      <c r="M856" s="116"/>
      <c r="N856" s="111"/>
      <c r="O856" s="115"/>
      <c r="P856" s="108"/>
      <c r="Q856" s="98"/>
      <c r="R856" s="116"/>
      <c r="S856" s="83"/>
      <c r="T856" s="83"/>
      <c r="U856" s="83"/>
      <c r="V856" s="83"/>
      <c r="W856" s="83"/>
      <c r="X856" s="83"/>
      <c r="Y856" s="83"/>
      <c r="Z856" s="83"/>
    </row>
    <row r="857">
      <c r="A857" s="113"/>
      <c r="B857" s="117"/>
      <c r="C857" s="94"/>
      <c r="D857" s="111"/>
      <c r="E857" s="115"/>
      <c r="F857" s="108"/>
      <c r="G857" s="98"/>
      <c r="H857" s="116"/>
      <c r="I857" s="111"/>
      <c r="J857" s="115"/>
      <c r="K857" s="108"/>
      <c r="L857" s="98"/>
      <c r="M857" s="116"/>
      <c r="N857" s="111"/>
      <c r="O857" s="115"/>
      <c r="P857" s="108"/>
      <c r="Q857" s="98"/>
      <c r="R857" s="116"/>
      <c r="S857" s="83"/>
      <c r="T857" s="83"/>
      <c r="U857" s="83"/>
      <c r="V857" s="83"/>
      <c r="W857" s="83"/>
      <c r="X857" s="83"/>
      <c r="Y857" s="83"/>
      <c r="Z857" s="83"/>
    </row>
    <row r="858">
      <c r="A858" s="113"/>
      <c r="B858" s="117"/>
      <c r="C858" s="94"/>
      <c r="D858" s="111"/>
      <c r="E858" s="115"/>
      <c r="F858" s="108"/>
      <c r="G858" s="98"/>
      <c r="H858" s="116"/>
      <c r="I858" s="111"/>
      <c r="J858" s="115"/>
      <c r="K858" s="108"/>
      <c r="L858" s="98"/>
      <c r="M858" s="116"/>
      <c r="N858" s="111"/>
      <c r="O858" s="115"/>
      <c r="P858" s="108"/>
      <c r="Q858" s="98"/>
      <c r="R858" s="116"/>
      <c r="S858" s="83"/>
      <c r="T858" s="83"/>
      <c r="U858" s="83"/>
      <c r="V858" s="83"/>
      <c r="W858" s="83"/>
      <c r="X858" s="83"/>
      <c r="Y858" s="83"/>
      <c r="Z858" s="83"/>
    </row>
    <row r="859">
      <c r="A859" s="113"/>
      <c r="B859" s="117"/>
      <c r="C859" s="94"/>
      <c r="D859" s="111"/>
      <c r="E859" s="115"/>
      <c r="F859" s="108"/>
      <c r="G859" s="98"/>
      <c r="H859" s="116"/>
      <c r="I859" s="111"/>
      <c r="J859" s="115"/>
      <c r="K859" s="108"/>
      <c r="L859" s="98"/>
      <c r="M859" s="116"/>
      <c r="N859" s="111"/>
      <c r="O859" s="115"/>
      <c r="P859" s="108"/>
      <c r="Q859" s="98"/>
      <c r="R859" s="116"/>
      <c r="S859" s="83"/>
      <c r="T859" s="83"/>
      <c r="U859" s="83"/>
      <c r="V859" s="83"/>
      <c r="W859" s="83"/>
      <c r="X859" s="83"/>
      <c r="Y859" s="83"/>
      <c r="Z859" s="83"/>
    </row>
    <row r="860">
      <c r="A860" s="113"/>
      <c r="B860" s="117"/>
      <c r="C860" s="94"/>
      <c r="D860" s="111"/>
      <c r="E860" s="115"/>
      <c r="F860" s="108"/>
      <c r="G860" s="98"/>
      <c r="H860" s="116"/>
      <c r="I860" s="111"/>
      <c r="J860" s="115"/>
      <c r="K860" s="108"/>
      <c r="L860" s="98"/>
      <c r="M860" s="116"/>
      <c r="N860" s="111"/>
      <c r="O860" s="115"/>
      <c r="P860" s="108"/>
      <c r="Q860" s="98"/>
      <c r="R860" s="116"/>
      <c r="S860" s="83"/>
      <c r="T860" s="83"/>
      <c r="U860" s="83"/>
      <c r="V860" s="83"/>
      <c r="W860" s="83"/>
      <c r="X860" s="83"/>
      <c r="Y860" s="83"/>
      <c r="Z860" s="83"/>
    </row>
    <row r="861">
      <c r="A861" s="113"/>
      <c r="B861" s="117"/>
      <c r="C861" s="94"/>
      <c r="D861" s="111"/>
      <c r="E861" s="115"/>
      <c r="F861" s="108"/>
      <c r="G861" s="98"/>
      <c r="H861" s="116"/>
      <c r="I861" s="111"/>
      <c r="J861" s="115"/>
      <c r="K861" s="108"/>
      <c r="L861" s="98"/>
      <c r="M861" s="116"/>
      <c r="N861" s="111"/>
      <c r="O861" s="115"/>
      <c r="P861" s="108"/>
      <c r="Q861" s="98"/>
      <c r="R861" s="116"/>
      <c r="S861" s="83"/>
      <c r="T861" s="83"/>
      <c r="U861" s="83"/>
      <c r="V861" s="83"/>
      <c r="W861" s="83"/>
      <c r="X861" s="83"/>
      <c r="Y861" s="83"/>
      <c r="Z861" s="83"/>
    </row>
    <row r="862">
      <c r="A862" s="113"/>
      <c r="B862" s="117"/>
      <c r="C862" s="94"/>
      <c r="D862" s="111"/>
      <c r="E862" s="115"/>
      <c r="F862" s="108"/>
      <c r="G862" s="98"/>
      <c r="H862" s="116"/>
      <c r="I862" s="111"/>
      <c r="J862" s="115"/>
      <c r="K862" s="108"/>
      <c r="L862" s="98"/>
      <c r="M862" s="116"/>
      <c r="N862" s="111"/>
      <c r="O862" s="115"/>
      <c r="P862" s="108"/>
      <c r="Q862" s="98"/>
      <c r="R862" s="116"/>
      <c r="S862" s="83"/>
      <c r="T862" s="83"/>
      <c r="U862" s="83"/>
      <c r="V862" s="83"/>
      <c r="W862" s="83"/>
      <c r="X862" s="83"/>
      <c r="Y862" s="83"/>
      <c r="Z862" s="83"/>
    </row>
    <row r="863">
      <c r="A863" s="113"/>
      <c r="B863" s="117"/>
      <c r="C863" s="94"/>
      <c r="D863" s="111"/>
      <c r="E863" s="115"/>
      <c r="F863" s="108"/>
      <c r="G863" s="98"/>
      <c r="H863" s="116"/>
      <c r="I863" s="111"/>
      <c r="J863" s="115"/>
      <c r="K863" s="108"/>
      <c r="L863" s="98"/>
      <c r="M863" s="116"/>
      <c r="N863" s="111"/>
      <c r="O863" s="115"/>
      <c r="P863" s="108"/>
      <c r="Q863" s="98"/>
      <c r="R863" s="116"/>
      <c r="S863" s="83"/>
      <c r="T863" s="83"/>
      <c r="U863" s="83"/>
      <c r="V863" s="83"/>
      <c r="W863" s="83"/>
      <c r="X863" s="83"/>
      <c r="Y863" s="83"/>
      <c r="Z863" s="83"/>
    </row>
    <row r="864">
      <c r="A864" s="113"/>
      <c r="B864" s="117"/>
      <c r="C864" s="94"/>
      <c r="D864" s="111"/>
      <c r="E864" s="115"/>
      <c r="F864" s="108"/>
      <c r="G864" s="98"/>
      <c r="H864" s="116"/>
      <c r="I864" s="111"/>
      <c r="J864" s="115"/>
      <c r="K864" s="108"/>
      <c r="L864" s="98"/>
      <c r="M864" s="116"/>
      <c r="N864" s="111"/>
      <c r="O864" s="115"/>
      <c r="P864" s="108"/>
      <c r="Q864" s="98"/>
      <c r="R864" s="116"/>
      <c r="S864" s="83"/>
      <c r="T864" s="83"/>
      <c r="U864" s="83"/>
      <c r="V864" s="83"/>
      <c r="W864" s="83"/>
      <c r="X864" s="83"/>
      <c r="Y864" s="83"/>
      <c r="Z864" s="83"/>
    </row>
    <row r="865">
      <c r="A865" s="113"/>
      <c r="B865" s="117"/>
      <c r="C865" s="94"/>
      <c r="D865" s="111"/>
      <c r="E865" s="115"/>
      <c r="F865" s="108"/>
      <c r="G865" s="98"/>
      <c r="H865" s="116"/>
      <c r="I865" s="111"/>
      <c r="J865" s="115"/>
      <c r="K865" s="108"/>
      <c r="L865" s="98"/>
      <c r="M865" s="116"/>
      <c r="N865" s="111"/>
      <c r="O865" s="115"/>
      <c r="P865" s="108"/>
      <c r="Q865" s="98"/>
      <c r="R865" s="116"/>
      <c r="S865" s="83"/>
      <c r="T865" s="83"/>
      <c r="U865" s="83"/>
      <c r="V865" s="83"/>
      <c r="W865" s="83"/>
      <c r="X865" s="83"/>
      <c r="Y865" s="83"/>
      <c r="Z865" s="83"/>
    </row>
    <row r="866">
      <c r="A866" s="113"/>
      <c r="B866" s="117"/>
      <c r="C866" s="94"/>
      <c r="D866" s="111"/>
      <c r="E866" s="115"/>
      <c r="F866" s="108"/>
      <c r="G866" s="98"/>
      <c r="H866" s="116"/>
      <c r="I866" s="111"/>
      <c r="J866" s="115"/>
      <c r="K866" s="108"/>
      <c r="L866" s="98"/>
      <c r="M866" s="116"/>
      <c r="N866" s="111"/>
      <c r="O866" s="115"/>
      <c r="P866" s="108"/>
      <c r="Q866" s="98"/>
      <c r="R866" s="116"/>
      <c r="S866" s="83"/>
      <c r="T866" s="83"/>
      <c r="U866" s="83"/>
      <c r="V866" s="83"/>
      <c r="W866" s="83"/>
      <c r="X866" s="83"/>
      <c r="Y866" s="83"/>
      <c r="Z866" s="83"/>
    </row>
    <row r="867">
      <c r="A867" s="113"/>
      <c r="B867" s="117"/>
      <c r="C867" s="94"/>
      <c r="D867" s="111"/>
      <c r="E867" s="115"/>
      <c r="F867" s="108"/>
      <c r="G867" s="98"/>
      <c r="H867" s="116"/>
      <c r="I867" s="111"/>
      <c r="J867" s="115"/>
      <c r="K867" s="108"/>
      <c r="L867" s="98"/>
      <c r="M867" s="116"/>
      <c r="N867" s="111"/>
      <c r="O867" s="115"/>
      <c r="P867" s="108"/>
      <c r="Q867" s="98"/>
      <c r="R867" s="116"/>
      <c r="S867" s="83"/>
      <c r="T867" s="83"/>
      <c r="U867" s="83"/>
      <c r="V867" s="83"/>
      <c r="W867" s="83"/>
      <c r="X867" s="83"/>
      <c r="Y867" s="83"/>
      <c r="Z867" s="83"/>
    </row>
    <row r="868">
      <c r="A868" s="113"/>
      <c r="B868" s="117"/>
      <c r="C868" s="94"/>
      <c r="D868" s="111"/>
      <c r="E868" s="115"/>
      <c r="F868" s="108"/>
      <c r="G868" s="98"/>
      <c r="H868" s="116"/>
      <c r="I868" s="111"/>
      <c r="J868" s="115"/>
      <c r="K868" s="108"/>
      <c r="L868" s="98"/>
      <c r="M868" s="116"/>
      <c r="N868" s="111"/>
      <c r="O868" s="115"/>
      <c r="P868" s="108"/>
      <c r="Q868" s="98"/>
      <c r="R868" s="116"/>
      <c r="S868" s="83"/>
      <c r="T868" s="83"/>
      <c r="U868" s="83"/>
      <c r="V868" s="83"/>
      <c r="W868" s="83"/>
      <c r="X868" s="83"/>
      <c r="Y868" s="83"/>
      <c r="Z868" s="83"/>
    </row>
    <row r="869">
      <c r="A869" s="113"/>
      <c r="B869" s="117"/>
      <c r="C869" s="94"/>
      <c r="D869" s="111"/>
      <c r="E869" s="115"/>
      <c r="F869" s="108"/>
      <c r="G869" s="98"/>
      <c r="H869" s="116"/>
      <c r="I869" s="111"/>
      <c r="J869" s="115"/>
      <c r="K869" s="108"/>
      <c r="L869" s="98"/>
      <c r="M869" s="116"/>
      <c r="N869" s="111"/>
      <c r="O869" s="115"/>
      <c r="P869" s="108"/>
      <c r="Q869" s="98"/>
      <c r="R869" s="116"/>
      <c r="S869" s="83"/>
      <c r="T869" s="83"/>
      <c r="U869" s="83"/>
      <c r="V869" s="83"/>
      <c r="W869" s="83"/>
      <c r="X869" s="83"/>
      <c r="Y869" s="83"/>
      <c r="Z869" s="83"/>
    </row>
    <row r="870">
      <c r="A870" s="113"/>
      <c r="B870" s="117"/>
      <c r="C870" s="94"/>
      <c r="D870" s="111"/>
      <c r="E870" s="115"/>
      <c r="F870" s="108"/>
      <c r="G870" s="98"/>
      <c r="H870" s="116"/>
      <c r="I870" s="111"/>
      <c r="J870" s="115"/>
      <c r="K870" s="108"/>
      <c r="L870" s="98"/>
      <c r="M870" s="116"/>
      <c r="N870" s="111"/>
      <c r="O870" s="115"/>
      <c r="P870" s="108"/>
      <c r="Q870" s="98"/>
      <c r="R870" s="116"/>
      <c r="S870" s="83"/>
      <c r="T870" s="83"/>
      <c r="U870" s="83"/>
      <c r="V870" s="83"/>
      <c r="W870" s="83"/>
      <c r="X870" s="83"/>
      <c r="Y870" s="83"/>
      <c r="Z870" s="83"/>
    </row>
    <row r="871">
      <c r="A871" s="113"/>
      <c r="B871" s="117"/>
      <c r="C871" s="94"/>
      <c r="D871" s="111"/>
      <c r="E871" s="115"/>
      <c r="F871" s="108"/>
      <c r="G871" s="98"/>
      <c r="H871" s="116"/>
      <c r="I871" s="111"/>
      <c r="J871" s="115"/>
      <c r="K871" s="108"/>
      <c r="L871" s="98"/>
      <c r="M871" s="116"/>
      <c r="N871" s="111"/>
      <c r="O871" s="115"/>
      <c r="P871" s="108"/>
      <c r="Q871" s="98"/>
      <c r="R871" s="116"/>
      <c r="S871" s="83"/>
      <c r="T871" s="83"/>
      <c r="U871" s="83"/>
      <c r="V871" s="83"/>
      <c r="W871" s="83"/>
      <c r="X871" s="83"/>
      <c r="Y871" s="83"/>
      <c r="Z871" s="83"/>
    </row>
    <row r="872">
      <c r="A872" s="113"/>
      <c r="B872" s="117"/>
      <c r="C872" s="94"/>
      <c r="D872" s="111"/>
      <c r="E872" s="115"/>
      <c r="F872" s="108"/>
      <c r="G872" s="98"/>
      <c r="H872" s="116"/>
      <c r="I872" s="111"/>
      <c r="J872" s="115"/>
      <c r="K872" s="108"/>
      <c r="L872" s="98"/>
      <c r="M872" s="116"/>
      <c r="N872" s="111"/>
      <c r="O872" s="115"/>
      <c r="P872" s="108"/>
      <c r="Q872" s="98"/>
      <c r="R872" s="116"/>
      <c r="S872" s="83"/>
      <c r="T872" s="83"/>
      <c r="U872" s="83"/>
      <c r="V872" s="83"/>
      <c r="W872" s="83"/>
      <c r="X872" s="83"/>
      <c r="Y872" s="83"/>
      <c r="Z872" s="83"/>
    </row>
    <row r="873">
      <c r="A873" s="113"/>
      <c r="B873" s="117"/>
      <c r="C873" s="94"/>
      <c r="D873" s="111"/>
      <c r="E873" s="115"/>
      <c r="F873" s="108"/>
      <c r="G873" s="98"/>
      <c r="H873" s="116"/>
      <c r="I873" s="111"/>
      <c r="J873" s="115"/>
      <c r="K873" s="108"/>
      <c r="L873" s="98"/>
      <c r="M873" s="116"/>
      <c r="N873" s="111"/>
      <c r="O873" s="115"/>
      <c r="P873" s="108"/>
      <c r="Q873" s="98"/>
      <c r="R873" s="116"/>
      <c r="S873" s="83"/>
      <c r="T873" s="83"/>
      <c r="U873" s="83"/>
      <c r="V873" s="83"/>
      <c r="W873" s="83"/>
      <c r="X873" s="83"/>
      <c r="Y873" s="83"/>
      <c r="Z873" s="83"/>
    </row>
    <row r="874">
      <c r="A874" s="113"/>
      <c r="B874" s="117"/>
      <c r="C874" s="94"/>
      <c r="D874" s="111"/>
      <c r="E874" s="115"/>
      <c r="F874" s="108"/>
      <c r="G874" s="98"/>
      <c r="H874" s="116"/>
      <c r="I874" s="111"/>
      <c r="J874" s="115"/>
      <c r="K874" s="108"/>
      <c r="L874" s="98"/>
      <c r="M874" s="116"/>
      <c r="N874" s="111"/>
      <c r="O874" s="115"/>
      <c r="P874" s="108"/>
      <c r="Q874" s="98"/>
      <c r="R874" s="116"/>
      <c r="S874" s="83"/>
      <c r="T874" s="83"/>
      <c r="U874" s="83"/>
      <c r="V874" s="83"/>
      <c r="W874" s="83"/>
      <c r="X874" s="83"/>
      <c r="Y874" s="83"/>
      <c r="Z874" s="83"/>
    </row>
    <row r="875">
      <c r="A875" s="113"/>
      <c r="B875" s="117"/>
      <c r="C875" s="94"/>
      <c r="D875" s="111"/>
      <c r="E875" s="115"/>
      <c r="F875" s="108"/>
      <c r="G875" s="98"/>
      <c r="H875" s="116"/>
      <c r="I875" s="111"/>
      <c r="J875" s="115"/>
      <c r="K875" s="108"/>
      <c r="L875" s="98"/>
      <c r="M875" s="116"/>
      <c r="N875" s="111"/>
      <c r="O875" s="115"/>
      <c r="P875" s="108"/>
      <c r="Q875" s="98"/>
      <c r="R875" s="116"/>
      <c r="S875" s="83"/>
      <c r="T875" s="83"/>
      <c r="U875" s="83"/>
      <c r="V875" s="83"/>
      <c r="W875" s="83"/>
      <c r="X875" s="83"/>
      <c r="Y875" s="83"/>
      <c r="Z875" s="83"/>
    </row>
    <row r="876">
      <c r="A876" s="113"/>
      <c r="B876" s="117"/>
      <c r="C876" s="94"/>
      <c r="D876" s="111"/>
      <c r="E876" s="115"/>
      <c r="F876" s="108"/>
      <c r="G876" s="98"/>
      <c r="H876" s="116"/>
      <c r="I876" s="111"/>
      <c r="J876" s="115"/>
      <c r="K876" s="108"/>
      <c r="L876" s="98"/>
      <c r="M876" s="116"/>
      <c r="N876" s="111"/>
      <c r="O876" s="115"/>
      <c r="P876" s="108"/>
      <c r="Q876" s="98"/>
      <c r="R876" s="116"/>
      <c r="S876" s="83"/>
      <c r="T876" s="83"/>
      <c r="U876" s="83"/>
      <c r="V876" s="83"/>
      <c r="W876" s="83"/>
      <c r="X876" s="83"/>
      <c r="Y876" s="83"/>
      <c r="Z876" s="83"/>
    </row>
    <row r="877">
      <c r="A877" s="113"/>
      <c r="B877" s="117"/>
      <c r="C877" s="94"/>
      <c r="D877" s="111"/>
      <c r="E877" s="115"/>
      <c r="F877" s="108"/>
      <c r="G877" s="98"/>
      <c r="H877" s="116"/>
      <c r="I877" s="111"/>
      <c r="J877" s="115"/>
      <c r="K877" s="108"/>
      <c r="L877" s="98"/>
      <c r="M877" s="116"/>
      <c r="N877" s="111"/>
      <c r="O877" s="115"/>
      <c r="P877" s="108"/>
      <c r="Q877" s="98"/>
      <c r="R877" s="116"/>
      <c r="S877" s="83"/>
      <c r="T877" s="83"/>
      <c r="U877" s="83"/>
      <c r="V877" s="83"/>
      <c r="W877" s="83"/>
      <c r="X877" s="83"/>
      <c r="Y877" s="83"/>
      <c r="Z877" s="83"/>
    </row>
    <row r="878">
      <c r="A878" s="113"/>
      <c r="B878" s="117"/>
      <c r="C878" s="94"/>
      <c r="D878" s="111"/>
      <c r="E878" s="115"/>
      <c r="F878" s="108"/>
      <c r="G878" s="98"/>
      <c r="H878" s="116"/>
      <c r="I878" s="111"/>
      <c r="J878" s="115"/>
      <c r="K878" s="108"/>
      <c r="L878" s="98"/>
      <c r="M878" s="116"/>
      <c r="N878" s="111"/>
      <c r="O878" s="115"/>
      <c r="P878" s="108"/>
      <c r="Q878" s="98"/>
      <c r="R878" s="116"/>
      <c r="S878" s="83"/>
      <c r="T878" s="83"/>
      <c r="U878" s="83"/>
      <c r="V878" s="83"/>
      <c r="W878" s="83"/>
      <c r="X878" s="83"/>
      <c r="Y878" s="83"/>
      <c r="Z878" s="83"/>
    </row>
    <row r="879">
      <c r="A879" s="113"/>
      <c r="B879" s="117"/>
      <c r="C879" s="94"/>
      <c r="D879" s="111"/>
      <c r="E879" s="115"/>
      <c r="F879" s="108"/>
      <c r="G879" s="98"/>
      <c r="H879" s="116"/>
      <c r="I879" s="111"/>
      <c r="J879" s="115"/>
      <c r="K879" s="108"/>
      <c r="L879" s="98"/>
      <c r="M879" s="116"/>
      <c r="N879" s="111"/>
      <c r="O879" s="115"/>
      <c r="P879" s="108"/>
      <c r="Q879" s="98"/>
      <c r="R879" s="116"/>
      <c r="S879" s="83"/>
      <c r="T879" s="83"/>
      <c r="U879" s="83"/>
      <c r="V879" s="83"/>
      <c r="W879" s="83"/>
      <c r="X879" s="83"/>
      <c r="Y879" s="83"/>
      <c r="Z879" s="83"/>
    </row>
    <row r="880">
      <c r="A880" s="113"/>
      <c r="B880" s="117"/>
      <c r="C880" s="94"/>
      <c r="D880" s="111"/>
      <c r="E880" s="115"/>
      <c r="F880" s="108"/>
      <c r="G880" s="98"/>
      <c r="H880" s="116"/>
      <c r="I880" s="111"/>
      <c r="J880" s="115"/>
      <c r="K880" s="108"/>
      <c r="L880" s="98"/>
      <c r="M880" s="116"/>
      <c r="N880" s="111"/>
      <c r="O880" s="115"/>
      <c r="P880" s="108"/>
      <c r="Q880" s="98"/>
      <c r="R880" s="116"/>
      <c r="S880" s="83"/>
      <c r="T880" s="83"/>
      <c r="U880" s="83"/>
      <c r="V880" s="83"/>
      <c r="W880" s="83"/>
      <c r="X880" s="83"/>
      <c r="Y880" s="83"/>
      <c r="Z880" s="83"/>
    </row>
    <row r="881">
      <c r="A881" s="113"/>
      <c r="B881" s="117"/>
      <c r="C881" s="94"/>
      <c r="D881" s="111"/>
      <c r="E881" s="115"/>
      <c r="F881" s="108"/>
      <c r="G881" s="98"/>
      <c r="H881" s="116"/>
      <c r="I881" s="111"/>
      <c r="J881" s="115"/>
      <c r="K881" s="108"/>
      <c r="L881" s="98"/>
      <c r="M881" s="116"/>
      <c r="N881" s="111"/>
      <c r="O881" s="115"/>
      <c r="P881" s="108"/>
      <c r="Q881" s="98"/>
      <c r="R881" s="116"/>
      <c r="S881" s="83"/>
      <c r="T881" s="83"/>
      <c r="U881" s="83"/>
      <c r="V881" s="83"/>
      <c r="W881" s="83"/>
      <c r="X881" s="83"/>
      <c r="Y881" s="83"/>
      <c r="Z881" s="83"/>
    </row>
    <row r="882">
      <c r="A882" s="113"/>
      <c r="B882" s="117"/>
      <c r="C882" s="94"/>
      <c r="D882" s="111"/>
      <c r="E882" s="115"/>
      <c r="F882" s="108"/>
      <c r="G882" s="98"/>
      <c r="H882" s="116"/>
      <c r="I882" s="111"/>
      <c r="J882" s="115"/>
      <c r="K882" s="108"/>
      <c r="L882" s="98"/>
      <c r="M882" s="116"/>
      <c r="N882" s="111"/>
      <c r="O882" s="115"/>
      <c r="P882" s="108"/>
      <c r="Q882" s="98"/>
      <c r="R882" s="116"/>
      <c r="S882" s="83"/>
      <c r="T882" s="83"/>
      <c r="U882" s="83"/>
      <c r="V882" s="83"/>
      <c r="W882" s="83"/>
      <c r="X882" s="83"/>
      <c r="Y882" s="83"/>
      <c r="Z882" s="83"/>
    </row>
    <row r="883">
      <c r="A883" s="113"/>
      <c r="B883" s="117"/>
      <c r="C883" s="94"/>
      <c r="D883" s="111"/>
      <c r="E883" s="115"/>
      <c r="F883" s="108"/>
      <c r="G883" s="98"/>
      <c r="H883" s="116"/>
      <c r="I883" s="111"/>
      <c r="J883" s="115"/>
      <c r="K883" s="108"/>
      <c r="L883" s="98"/>
      <c r="M883" s="116"/>
      <c r="N883" s="111"/>
      <c r="O883" s="115"/>
      <c r="P883" s="108"/>
      <c r="Q883" s="98"/>
      <c r="R883" s="116"/>
      <c r="S883" s="83"/>
      <c r="T883" s="83"/>
      <c r="U883" s="83"/>
      <c r="V883" s="83"/>
      <c r="W883" s="83"/>
      <c r="X883" s="83"/>
      <c r="Y883" s="83"/>
      <c r="Z883" s="83"/>
    </row>
    <row r="884">
      <c r="A884" s="113"/>
      <c r="B884" s="117"/>
      <c r="C884" s="94"/>
      <c r="D884" s="111"/>
      <c r="E884" s="115"/>
      <c r="F884" s="108"/>
      <c r="G884" s="98"/>
      <c r="H884" s="116"/>
      <c r="I884" s="111"/>
      <c r="J884" s="115"/>
      <c r="K884" s="108"/>
      <c r="L884" s="98"/>
      <c r="M884" s="116"/>
      <c r="N884" s="111"/>
      <c r="O884" s="115"/>
      <c r="P884" s="108"/>
      <c r="Q884" s="98"/>
      <c r="R884" s="116"/>
      <c r="S884" s="83"/>
      <c r="T884" s="83"/>
      <c r="U884" s="83"/>
      <c r="V884" s="83"/>
      <c r="W884" s="83"/>
      <c r="X884" s="83"/>
      <c r="Y884" s="83"/>
      <c r="Z884" s="83"/>
    </row>
    <row r="885">
      <c r="A885" s="113"/>
      <c r="B885" s="117"/>
      <c r="C885" s="94"/>
      <c r="D885" s="111"/>
      <c r="E885" s="115"/>
      <c r="F885" s="108"/>
      <c r="G885" s="98"/>
      <c r="H885" s="116"/>
      <c r="I885" s="111"/>
      <c r="J885" s="115"/>
      <c r="K885" s="108"/>
      <c r="L885" s="98"/>
      <c r="M885" s="116"/>
      <c r="N885" s="111"/>
      <c r="O885" s="115"/>
      <c r="P885" s="108"/>
      <c r="Q885" s="98"/>
      <c r="R885" s="116"/>
      <c r="S885" s="83"/>
      <c r="T885" s="83"/>
      <c r="U885" s="83"/>
      <c r="V885" s="83"/>
      <c r="W885" s="83"/>
      <c r="X885" s="83"/>
      <c r="Y885" s="83"/>
      <c r="Z885" s="83"/>
    </row>
    <row r="886">
      <c r="A886" s="113"/>
      <c r="B886" s="117"/>
      <c r="C886" s="94"/>
      <c r="D886" s="111"/>
      <c r="E886" s="115"/>
      <c r="F886" s="108"/>
      <c r="G886" s="98"/>
      <c r="H886" s="116"/>
      <c r="I886" s="111"/>
      <c r="J886" s="115"/>
      <c r="K886" s="108"/>
      <c r="L886" s="98"/>
      <c r="M886" s="116"/>
      <c r="N886" s="111"/>
      <c r="O886" s="115"/>
      <c r="P886" s="108"/>
      <c r="Q886" s="98"/>
      <c r="R886" s="116"/>
      <c r="S886" s="83"/>
      <c r="T886" s="83"/>
      <c r="U886" s="83"/>
      <c r="V886" s="83"/>
      <c r="W886" s="83"/>
      <c r="X886" s="83"/>
      <c r="Y886" s="83"/>
      <c r="Z886" s="83"/>
    </row>
    <row r="887">
      <c r="A887" s="113"/>
      <c r="B887" s="117"/>
      <c r="C887" s="94"/>
      <c r="D887" s="111"/>
      <c r="E887" s="115"/>
      <c r="F887" s="108"/>
      <c r="G887" s="98"/>
      <c r="H887" s="116"/>
      <c r="I887" s="111"/>
      <c r="J887" s="115"/>
      <c r="K887" s="108"/>
      <c r="L887" s="98"/>
      <c r="M887" s="116"/>
      <c r="N887" s="111"/>
      <c r="O887" s="115"/>
      <c r="P887" s="108"/>
      <c r="Q887" s="98"/>
      <c r="R887" s="116"/>
      <c r="S887" s="83"/>
      <c r="T887" s="83"/>
      <c r="U887" s="83"/>
      <c r="V887" s="83"/>
      <c r="W887" s="83"/>
      <c r="X887" s="83"/>
      <c r="Y887" s="83"/>
      <c r="Z887" s="83"/>
    </row>
    <row r="888">
      <c r="A888" s="113"/>
      <c r="B888" s="117"/>
      <c r="C888" s="94"/>
      <c r="D888" s="111"/>
      <c r="E888" s="115"/>
      <c r="F888" s="108"/>
      <c r="G888" s="98"/>
      <c r="H888" s="116"/>
      <c r="I888" s="111"/>
      <c r="J888" s="115"/>
      <c r="K888" s="108"/>
      <c r="L888" s="98"/>
      <c r="M888" s="116"/>
      <c r="N888" s="111"/>
      <c r="O888" s="115"/>
      <c r="P888" s="108"/>
      <c r="Q888" s="98"/>
      <c r="R888" s="116"/>
      <c r="S888" s="83"/>
      <c r="T888" s="83"/>
      <c r="U888" s="83"/>
      <c r="V888" s="83"/>
      <c r="W888" s="83"/>
      <c r="X888" s="83"/>
      <c r="Y888" s="83"/>
      <c r="Z888" s="83"/>
    </row>
    <row r="889">
      <c r="A889" s="113"/>
      <c r="B889" s="117"/>
      <c r="C889" s="94"/>
      <c r="D889" s="111"/>
      <c r="E889" s="115"/>
      <c r="F889" s="108"/>
      <c r="G889" s="98"/>
      <c r="H889" s="116"/>
      <c r="I889" s="111"/>
      <c r="J889" s="115"/>
      <c r="K889" s="108"/>
      <c r="L889" s="98"/>
      <c r="M889" s="116"/>
      <c r="N889" s="111"/>
      <c r="O889" s="115"/>
      <c r="P889" s="108"/>
      <c r="Q889" s="98"/>
      <c r="R889" s="116"/>
      <c r="S889" s="83"/>
      <c r="T889" s="83"/>
      <c r="U889" s="83"/>
      <c r="V889" s="83"/>
      <c r="W889" s="83"/>
      <c r="X889" s="83"/>
      <c r="Y889" s="83"/>
      <c r="Z889" s="83"/>
    </row>
    <row r="890">
      <c r="A890" s="113"/>
      <c r="B890" s="117"/>
      <c r="C890" s="94"/>
      <c r="D890" s="111"/>
      <c r="E890" s="115"/>
      <c r="F890" s="108"/>
      <c r="G890" s="98"/>
      <c r="H890" s="116"/>
      <c r="I890" s="111"/>
      <c r="J890" s="115"/>
      <c r="K890" s="108"/>
      <c r="L890" s="98"/>
      <c r="M890" s="116"/>
      <c r="N890" s="111"/>
      <c r="O890" s="115"/>
      <c r="P890" s="108"/>
      <c r="Q890" s="98"/>
      <c r="R890" s="116"/>
      <c r="S890" s="83"/>
      <c r="T890" s="83"/>
      <c r="U890" s="83"/>
      <c r="V890" s="83"/>
      <c r="W890" s="83"/>
      <c r="X890" s="83"/>
      <c r="Y890" s="83"/>
      <c r="Z890" s="83"/>
    </row>
    <row r="891">
      <c r="A891" s="113"/>
      <c r="B891" s="117"/>
      <c r="C891" s="94"/>
      <c r="D891" s="111"/>
      <c r="E891" s="115"/>
      <c r="F891" s="108"/>
      <c r="G891" s="98"/>
      <c r="H891" s="116"/>
      <c r="I891" s="111"/>
      <c r="J891" s="115"/>
      <c r="K891" s="108"/>
      <c r="L891" s="98"/>
      <c r="M891" s="116"/>
      <c r="N891" s="111"/>
      <c r="O891" s="115"/>
      <c r="P891" s="108"/>
      <c r="Q891" s="98"/>
      <c r="R891" s="116"/>
      <c r="S891" s="83"/>
      <c r="T891" s="83"/>
      <c r="U891" s="83"/>
      <c r="V891" s="83"/>
      <c r="W891" s="83"/>
      <c r="X891" s="83"/>
      <c r="Y891" s="83"/>
      <c r="Z891" s="83"/>
    </row>
    <row r="892">
      <c r="A892" s="113"/>
      <c r="B892" s="117"/>
      <c r="C892" s="94"/>
      <c r="D892" s="111"/>
      <c r="E892" s="115"/>
      <c r="F892" s="108"/>
      <c r="G892" s="98"/>
      <c r="H892" s="116"/>
      <c r="I892" s="111"/>
      <c r="J892" s="115"/>
      <c r="K892" s="108"/>
      <c r="L892" s="98"/>
      <c r="M892" s="116"/>
      <c r="N892" s="111"/>
      <c r="O892" s="115"/>
      <c r="P892" s="108"/>
      <c r="Q892" s="98"/>
      <c r="R892" s="116"/>
      <c r="S892" s="83"/>
      <c r="T892" s="83"/>
      <c r="U892" s="83"/>
      <c r="V892" s="83"/>
      <c r="W892" s="83"/>
      <c r="X892" s="83"/>
      <c r="Y892" s="83"/>
      <c r="Z892" s="83"/>
    </row>
    <row r="893">
      <c r="A893" s="113"/>
      <c r="B893" s="117"/>
      <c r="C893" s="94"/>
      <c r="D893" s="111"/>
      <c r="E893" s="115"/>
      <c r="F893" s="108"/>
      <c r="G893" s="98"/>
      <c r="H893" s="116"/>
      <c r="I893" s="111"/>
      <c r="J893" s="115"/>
      <c r="K893" s="108"/>
      <c r="L893" s="98"/>
      <c r="M893" s="116"/>
      <c r="N893" s="111"/>
      <c r="O893" s="115"/>
      <c r="P893" s="108"/>
      <c r="Q893" s="98"/>
      <c r="R893" s="116"/>
      <c r="S893" s="83"/>
      <c r="T893" s="83"/>
      <c r="U893" s="83"/>
      <c r="V893" s="83"/>
      <c r="W893" s="83"/>
      <c r="X893" s="83"/>
      <c r="Y893" s="83"/>
      <c r="Z893" s="83"/>
    </row>
    <row r="894">
      <c r="A894" s="113"/>
      <c r="B894" s="117"/>
      <c r="C894" s="94"/>
      <c r="D894" s="111"/>
      <c r="E894" s="115"/>
      <c r="F894" s="108"/>
      <c r="G894" s="98"/>
      <c r="H894" s="116"/>
      <c r="I894" s="111"/>
      <c r="J894" s="115"/>
      <c r="K894" s="108"/>
      <c r="L894" s="98"/>
      <c r="M894" s="116"/>
      <c r="N894" s="111"/>
      <c r="O894" s="115"/>
      <c r="P894" s="108"/>
      <c r="Q894" s="98"/>
      <c r="R894" s="116"/>
      <c r="S894" s="83"/>
      <c r="T894" s="83"/>
      <c r="U894" s="83"/>
      <c r="V894" s="83"/>
      <c r="W894" s="83"/>
      <c r="X894" s="83"/>
      <c r="Y894" s="83"/>
      <c r="Z894" s="83"/>
    </row>
    <row r="895">
      <c r="A895" s="113"/>
      <c r="B895" s="117"/>
      <c r="C895" s="94"/>
      <c r="D895" s="111"/>
      <c r="E895" s="115"/>
      <c r="F895" s="108"/>
      <c r="G895" s="98"/>
      <c r="H895" s="116"/>
      <c r="I895" s="111"/>
      <c r="J895" s="115"/>
      <c r="K895" s="108"/>
      <c r="L895" s="98"/>
      <c r="M895" s="116"/>
      <c r="N895" s="111"/>
      <c r="O895" s="115"/>
      <c r="P895" s="108"/>
      <c r="Q895" s="98"/>
      <c r="R895" s="116"/>
      <c r="S895" s="83"/>
      <c r="T895" s="83"/>
      <c r="U895" s="83"/>
      <c r="V895" s="83"/>
      <c r="W895" s="83"/>
      <c r="X895" s="83"/>
      <c r="Y895" s="83"/>
      <c r="Z895" s="83"/>
    </row>
    <row r="896">
      <c r="A896" s="113"/>
      <c r="B896" s="117"/>
      <c r="C896" s="94"/>
      <c r="D896" s="111"/>
      <c r="E896" s="115"/>
      <c r="F896" s="108"/>
      <c r="G896" s="98"/>
      <c r="H896" s="116"/>
      <c r="I896" s="111"/>
      <c r="J896" s="115"/>
      <c r="K896" s="108"/>
      <c r="L896" s="98"/>
      <c r="M896" s="116"/>
      <c r="N896" s="111"/>
      <c r="O896" s="115"/>
      <c r="P896" s="108"/>
      <c r="Q896" s="98"/>
      <c r="R896" s="116"/>
      <c r="S896" s="83"/>
      <c r="T896" s="83"/>
      <c r="U896" s="83"/>
      <c r="V896" s="83"/>
      <c r="W896" s="83"/>
      <c r="X896" s="83"/>
      <c r="Y896" s="83"/>
      <c r="Z896" s="83"/>
    </row>
    <row r="897">
      <c r="A897" s="113"/>
      <c r="B897" s="117"/>
      <c r="C897" s="94"/>
      <c r="D897" s="111"/>
      <c r="E897" s="115"/>
      <c r="F897" s="108"/>
      <c r="G897" s="98"/>
      <c r="H897" s="116"/>
      <c r="I897" s="111"/>
      <c r="J897" s="115"/>
      <c r="K897" s="108"/>
      <c r="L897" s="98"/>
      <c r="M897" s="116"/>
      <c r="N897" s="111"/>
      <c r="O897" s="115"/>
      <c r="P897" s="108"/>
      <c r="Q897" s="98"/>
      <c r="R897" s="116"/>
      <c r="S897" s="83"/>
      <c r="T897" s="83"/>
      <c r="U897" s="83"/>
      <c r="V897" s="83"/>
      <c r="W897" s="83"/>
      <c r="X897" s="83"/>
      <c r="Y897" s="83"/>
      <c r="Z897" s="83"/>
    </row>
    <row r="898">
      <c r="A898" s="113"/>
      <c r="B898" s="117"/>
      <c r="C898" s="94"/>
      <c r="D898" s="111"/>
      <c r="E898" s="115"/>
      <c r="F898" s="108"/>
      <c r="G898" s="98"/>
      <c r="H898" s="116"/>
      <c r="I898" s="111"/>
      <c r="J898" s="115"/>
      <c r="K898" s="108"/>
      <c r="L898" s="98"/>
      <c r="M898" s="116"/>
      <c r="N898" s="111"/>
      <c r="O898" s="115"/>
      <c r="P898" s="108"/>
      <c r="Q898" s="98"/>
      <c r="R898" s="116"/>
      <c r="S898" s="83"/>
      <c r="T898" s="83"/>
      <c r="U898" s="83"/>
      <c r="V898" s="83"/>
      <c r="W898" s="83"/>
      <c r="X898" s="83"/>
      <c r="Y898" s="83"/>
      <c r="Z898" s="83"/>
    </row>
    <row r="899">
      <c r="A899" s="113"/>
      <c r="B899" s="117"/>
      <c r="C899" s="94"/>
      <c r="D899" s="111"/>
      <c r="E899" s="115"/>
      <c r="F899" s="108"/>
      <c r="G899" s="98"/>
      <c r="H899" s="116"/>
      <c r="I899" s="111"/>
      <c r="J899" s="115"/>
      <c r="K899" s="108"/>
      <c r="L899" s="98"/>
      <c r="M899" s="116"/>
      <c r="N899" s="111"/>
      <c r="O899" s="115"/>
      <c r="P899" s="108"/>
      <c r="Q899" s="98"/>
      <c r="R899" s="116"/>
      <c r="S899" s="83"/>
      <c r="T899" s="83"/>
      <c r="U899" s="83"/>
      <c r="V899" s="83"/>
      <c r="W899" s="83"/>
      <c r="X899" s="83"/>
      <c r="Y899" s="83"/>
      <c r="Z899" s="83"/>
    </row>
    <row r="900">
      <c r="A900" s="113"/>
      <c r="B900" s="117"/>
      <c r="C900" s="94"/>
      <c r="D900" s="111"/>
      <c r="E900" s="115"/>
      <c r="F900" s="108"/>
      <c r="G900" s="98"/>
      <c r="H900" s="116"/>
      <c r="I900" s="111"/>
      <c r="J900" s="115"/>
      <c r="K900" s="108"/>
      <c r="L900" s="98"/>
      <c r="M900" s="116"/>
      <c r="N900" s="111"/>
      <c r="O900" s="115"/>
      <c r="P900" s="108"/>
      <c r="Q900" s="98"/>
      <c r="R900" s="116"/>
      <c r="S900" s="83"/>
      <c r="T900" s="83"/>
      <c r="U900" s="83"/>
      <c r="V900" s="83"/>
      <c r="W900" s="83"/>
      <c r="X900" s="83"/>
      <c r="Y900" s="83"/>
      <c r="Z900" s="83"/>
    </row>
    <row r="901">
      <c r="A901" s="113"/>
      <c r="B901" s="117"/>
      <c r="C901" s="94"/>
      <c r="D901" s="111"/>
      <c r="E901" s="115"/>
      <c r="F901" s="108"/>
      <c r="G901" s="98"/>
      <c r="H901" s="116"/>
      <c r="I901" s="111"/>
      <c r="J901" s="115"/>
      <c r="K901" s="108"/>
      <c r="L901" s="98"/>
      <c r="M901" s="116"/>
      <c r="N901" s="111"/>
      <c r="O901" s="115"/>
      <c r="P901" s="108"/>
      <c r="Q901" s="98"/>
      <c r="R901" s="116"/>
      <c r="S901" s="83"/>
      <c r="T901" s="83"/>
      <c r="U901" s="83"/>
      <c r="V901" s="83"/>
      <c r="W901" s="83"/>
      <c r="X901" s="83"/>
      <c r="Y901" s="83"/>
      <c r="Z901" s="83"/>
    </row>
    <row r="902">
      <c r="A902" s="113"/>
      <c r="B902" s="117"/>
      <c r="C902" s="94"/>
      <c r="D902" s="111"/>
      <c r="E902" s="115"/>
      <c r="F902" s="108"/>
      <c r="G902" s="98"/>
      <c r="H902" s="116"/>
      <c r="I902" s="111"/>
      <c r="J902" s="115"/>
      <c r="K902" s="108"/>
      <c r="L902" s="98"/>
      <c r="M902" s="116"/>
      <c r="N902" s="111"/>
      <c r="O902" s="115"/>
      <c r="P902" s="108"/>
      <c r="Q902" s="98"/>
      <c r="R902" s="116"/>
      <c r="S902" s="83"/>
      <c r="T902" s="83"/>
      <c r="U902" s="83"/>
      <c r="V902" s="83"/>
      <c r="W902" s="83"/>
      <c r="X902" s="83"/>
      <c r="Y902" s="83"/>
      <c r="Z902" s="83"/>
    </row>
    <row r="903">
      <c r="A903" s="113"/>
      <c r="B903" s="117"/>
      <c r="C903" s="94"/>
      <c r="D903" s="111"/>
      <c r="E903" s="115"/>
      <c r="F903" s="108"/>
      <c r="G903" s="98"/>
      <c r="H903" s="116"/>
      <c r="I903" s="111"/>
      <c r="J903" s="115"/>
      <c r="K903" s="108"/>
      <c r="L903" s="98"/>
      <c r="M903" s="116"/>
      <c r="N903" s="111"/>
      <c r="O903" s="115"/>
      <c r="P903" s="108"/>
      <c r="Q903" s="98"/>
      <c r="R903" s="116"/>
      <c r="S903" s="83"/>
      <c r="T903" s="83"/>
      <c r="U903" s="83"/>
      <c r="V903" s="83"/>
      <c r="W903" s="83"/>
      <c r="X903" s="83"/>
      <c r="Y903" s="83"/>
      <c r="Z903" s="83"/>
    </row>
    <row r="904">
      <c r="A904" s="113"/>
      <c r="B904" s="117"/>
      <c r="C904" s="94"/>
      <c r="D904" s="111"/>
      <c r="E904" s="115"/>
      <c r="F904" s="108"/>
      <c r="G904" s="98"/>
      <c r="H904" s="116"/>
      <c r="I904" s="111"/>
      <c r="J904" s="115"/>
      <c r="K904" s="108"/>
      <c r="L904" s="98"/>
      <c r="M904" s="116"/>
      <c r="N904" s="111"/>
      <c r="O904" s="115"/>
      <c r="P904" s="108"/>
      <c r="Q904" s="98"/>
      <c r="R904" s="116"/>
      <c r="S904" s="83"/>
      <c r="T904" s="83"/>
      <c r="U904" s="83"/>
      <c r="V904" s="83"/>
      <c r="W904" s="83"/>
      <c r="X904" s="83"/>
      <c r="Y904" s="83"/>
      <c r="Z904" s="83"/>
    </row>
    <row r="905">
      <c r="A905" s="113"/>
      <c r="B905" s="117"/>
      <c r="C905" s="94"/>
      <c r="D905" s="111"/>
      <c r="E905" s="115"/>
      <c r="F905" s="108"/>
      <c r="G905" s="98"/>
      <c r="H905" s="116"/>
      <c r="I905" s="111"/>
      <c r="J905" s="115"/>
      <c r="K905" s="108"/>
      <c r="L905" s="98"/>
      <c r="M905" s="116"/>
      <c r="N905" s="111"/>
      <c r="O905" s="115"/>
      <c r="P905" s="108"/>
      <c r="Q905" s="98"/>
      <c r="R905" s="116"/>
      <c r="S905" s="83"/>
      <c r="T905" s="83"/>
      <c r="U905" s="83"/>
      <c r="V905" s="83"/>
      <c r="W905" s="83"/>
      <c r="X905" s="83"/>
      <c r="Y905" s="83"/>
      <c r="Z905" s="83"/>
    </row>
    <row r="906">
      <c r="A906" s="113"/>
      <c r="B906" s="117"/>
      <c r="C906" s="94"/>
      <c r="D906" s="111"/>
      <c r="E906" s="115"/>
      <c r="F906" s="108"/>
      <c r="G906" s="98"/>
      <c r="H906" s="116"/>
      <c r="I906" s="111"/>
      <c r="J906" s="115"/>
      <c r="K906" s="108"/>
      <c r="L906" s="98"/>
      <c r="M906" s="116"/>
      <c r="N906" s="111"/>
      <c r="O906" s="115"/>
      <c r="P906" s="108"/>
      <c r="Q906" s="98"/>
      <c r="R906" s="116"/>
      <c r="S906" s="83"/>
      <c r="T906" s="83"/>
      <c r="U906" s="83"/>
      <c r="V906" s="83"/>
      <c r="W906" s="83"/>
      <c r="X906" s="83"/>
      <c r="Y906" s="83"/>
      <c r="Z906" s="83"/>
    </row>
    <row r="907">
      <c r="A907" s="113"/>
      <c r="B907" s="117"/>
      <c r="C907" s="94"/>
      <c r="D907" s="111"/>
      <c r="E907" s="115"/>
      <c r="F907" s="108"/>
      <c r="G907" s="98"/>
      <c r="H907" s="116"/>
      <c r="I907" s="111"/>
      <c r="J907" s="115"/>
      <c r="K907" s="108"/>
      <c r="L907" s="98"/>
      <c r="M907" s="116"/>
      <c r="N907" s="111"/>
      <c r="O907" s="115"/>
      <c r="P907" s="108"/>
      <c r="Q907" s="98"/>
      <c r="R907" s="116"/>
      <c r="S907" s="83"/>
      <c r="T907" s="83"/>
      <c r="U907" s="83"/>
      <c r="V907" s="83"/>
      <c r="W907" s="83"/>
      <c r="X907" s="83"/>
      <c r="Y907" s="83"/>
      <c r="Z907" s="83"/>
    </row>
    <row r="908">
      <c r="A908" s="113"/>
      <c r="B908" s="117"/>
      <c r="C908" s="94"/>
      <c r="D908" s="111"/>
      <c r="E908" s="115"/>
      <c r="F908" s="108"/>
      <c r="G908" s="98"/>
      <c r="H908" s="116"/>
      <c r="I908" s="111"/>
      <c r="J908" s="115"/>
      <c r="K908" s="108"/>
      <c r="L908" s="98"/>
      <c r="M908" s="116"/>
      <c r="N908" s="111"/>
      <c r="O908" s="115"/>
      <c r="P908" s="108"/>
      <c r="Q908" s="98"/>
      <c r="R908" s="116"/>
      <c r="S908" s="83"/>
      <c r="T908" s="83"/>
      <c r="U908" s="83"/>
      <c r="V908" s="83"/>
      <c r="W908" s="83"/>
      <c r="X908" s="83"/>
      <c r="Y908" s="83"/>
      <c r="Z908" s="83"/>
    </row>
    <row r="909">
      <c r="A909" s="113"/>
      <c r="B909" s="117"/>
      <c r="C909" s="94"/>
      <c r="D909" s="111"/>
      <c r="E909" s="115"/>
      <c r="F909" s="108"/>
      <c r="G909" s="98"/>
      <c r="H909" s="116"/>
      <c r="I909" s="111"/>
      <c r="J909" s="115"/>
      <c r="K909" s="108"/>
      <c r="L909" s="98"/>
      <c r="M909" s="116"/>
      <c r="N909" s="111"/>
      <c r="O909" s="115"/>
      <c r="P909" s="108"/>
      <c r="Q909" s="98"/>
      <c r="R909" s="116"/>
      <c r="S909" s="83"/>
      <c r="T909" s="83"/>
      <c r="U909" s="83"/>
      <c r="V909" s="83"/>
      <c r="W909" s="83"/>
      <c r="X909" s="83"/>
      <c r="Y909" s="83"/>
      <c r="Z909" s="83"/>
    </row>
    <row r="910">
      <c r="A910" s="113"/>
      <c r="B910" s="117"/>
      <c r="C910" s="94"/>
      <c r="D910" s="111"/>
      <c r="E910" s="115"/>
      <c r="F910" s="108"/>
      <c r="G910" s="98"/>
      <c r="H910" s="116"/>
      <c r="I910" s="111"/>
      <c r="J910" s="115"/>
      <c r="K910" s="108"/>
      <c r="L910" s="98"/>
      <c r="M910" s="116"/>
      <c r="N910" s="111"/>
      <c r="O910" s="115"/>
      <c r="P910" s="108"/>
      <c r="Q910" s="98"/>
      <c r="R910" s="116"/>
      <c r="S910" s="83"/>
      <c r="T910" s="83"/>
      <c r="U910" s="83"/>
      <c r="V910" s="83"/>
      <c r="W910" s="83"/>
      <c r="X910" s="83"/>
      <c r="Y910" s="83"/>
      <c r="Z910" s="83"/>
    </row>
    <row r="911">
      <c r="A911" s="113"/>
      <c r="B911" s="117"/>
      <c r="C911" s="94"/>
      <c r="D911" s="111"/>
      <c r="E911" s="115"/>
      <c r="F911" s="108"/>
      <c r="G911" s="98"/>
      <c r="H911" s="116"/>
      <c r="I911" s="111"/>
      <c r="J911" s="115"/>
      <c r="K911" s="108"/>
      <c r="L911" s="98"/>
      <c r="M911" s="116"/>
      <c r="N911" s="111"/>
      <c r="O911" s="115"/>
      <c r="P911" s="108"/>
      <c r="Q911" s="98"/>
      <c r="R911" s="116"/>
      <c r="S911" s="83"/>
      <c r="T911" s="83"/>
      <c r="U911" s="83"/>
      <c r="V911" s="83"/>
      <c r="W911" s="83"/>
      <c r="X911" s="83"/>
      <c r="Y911" s="83"/>
      <c r="Z911" s="83"/>
    </row>
    <row r="912">
      <c r="A912" s="113"/>
      <c r="B912" s="117"/>
      <c r="C912" s="94"/>
      <c r="D912" s="111"/>
      <c r="E912" s="115"/>
      <c r="F912" s="108"/>
      <c r="G912" s="98"/>
      <c r="H912" s="116"/>
      <c r="I912" s="111"/>
      <c r="J912" s="115"/>
      <c r="K912" s="108"/>
      <c r="L912" s="98"/>
      <c r="M912" s="116"/>
      <c r="N912" s="111"/>
      <c r="O912" s="115"/>
      <c r="P912" s="108"/>
      <c r="Q912" s="98"/>
      <c r="R912" s="116"/>
      <c r="S912" s="83"/>
      <c r="T912" s="83"/>
      <c r="U912" s="83"/>
      <c r="V912" s="83"/>
      <c r="W912" s="83"/>
      <c r="X912" s="83"/>
      <c r="Y912" s="83"/>
      <c r="Z912" s="83"/>
    </row>
    <row r="913">
      <c r="A913" s="113"/>
      <c r="B913" s="117"/>
      <c r="C913" s="94"/>
      <c r="D913" s="111"/>
      <c r="E913" s="115"/>
      <c r="F913" s="108"/>
      <c r="G913" s="98"/>
      <c r="H913" s="116"/>
      <c r="I913" s="111"/>
      <c r="J913" s="115"/>
      <c r="K913" s="108"/>
      <c r="L913" s="98"/>
      <c r="M913" s="116"/>
      <c r="N913" s="111"/>
      <c r="O913" s="115"/>
      <c r="P913" s="108"/>
      <c r="Q913" s="98"/>
      <c r="R913" s="116"/>
      <c r="S913" s="83"/>
      <c r="T913" s="83"/>
      <c r="U913" s="83"/>
      <c r="V913" s="83"/>
      <c r="W913" s="83"/>
      <c r="X913" s="83"/>
      <c r="Y913" s="83"/>
      <c r="Z913" s="83"/>
    </row>
    <row r="914">
      <c r="A914" s="113"/>
      <c r="B914" s="117"/>
      <c r="C914" s="94"/>
      <c r="D914" s="111"/>
      <c r="E914" s="115"/>
      <c r="F914" s="108"/>
      <c r="G914" s="98"/>
      <c r="H914" s="116"/>
      <c r="I914" s="111"/>
      <c r="J914" s="115"/>
      <c r="K914" s="108"/>
      <c r="L914" s="98"/>
      <c r="M914" s="116"/>
      <c r="N914" s="111"/>
      <c r="O914" s="115"/>
      <c r="P914" s="108"/>
      <c r="Q914" s="98"/>
      <c r="R914" s="116"/>
      <c r="S914" s="83"/>
      <c r="T914" s="83"/>
      <c r="U914" s="83"/>
      <c r="V914" s="83"/>
      <c r="W914" s="83"/>
      <c r="X914" s="83"/>
      <c r="Y914" s="83"/>
      <c r="Z914" s="83"/>
    </row>
    <row r="915">
      <c r="A915" s="113"/>
      <c r="B915" s="117"/>
      <c r="C915" s="94"/>
      <c r="D915" s="111"/>
      <c r="E915" s="115"/>
      <c r="F915" s="108"/>
      <c r="G915" s="98"/>
      <c r="H915" s="116"/>
      <c r="I915" s="111"/>
      <c r="J915" s="115"/>
      <c r="K915" s="108"/>
      <c r="L915" s="98"/>
      <c r="M915" s="116"/>
      <c r="N915" s="111"/>
      <c r="O915" s="115"/>
      <c r="P915" s="108"/>
      <c r="Q915" s="98"/>
      <c r="R915" s="116"/>
      <c r="S915" s="83"/>
      <c r="T915" s="83"/>
      <c r="U915" s="83"/>
      <c r="V915" s="83"/>
      <c r="W915" s="83"/>
      <c r="X915" s="83"/>
      <c r="Y915" s="83"/>
      <c r="Z915" s="83"/>
    </row>
    <row r="916">
      <c r="A916" s="113"/>
      <c r="B916" s="117"/>
      <c r="C916" s="94"/>
      <c r="D916" s="111"/>
      <c r="E916" s="115"/>
      <c r="F916" s="108"/>
      <c r="G916" s="98"/>
      <c r="H916" s="116"/>
      <c r="I916" s="111"/>
      <c r="J916" s="115"/>
      <c r="K916" s="108"/>
      <c r="L916" s="98"/>
      <c r="M916" s="116"/>
      <c r="N916" s="111"/>
      <c r="O916" s="115"/>
      <c r="P916" s="108"/>
      <c r="Q916" s="98"/>
      <c r="R916" s="116"/>
      <c r="S916" s="83"/>
      <c r="T916" s="83"/>
      <c r="U916" s="83"/>
      <c r="V916" s="83"/>
      <c r="W916" s="83"/>
      <c r="X916" s="83"/>
      <c r="Y916" s="83"/>
      <c r="Z916" s="83"/>
    </row>
    <row r="917">
      <c r="A917" s="113"/>
      <c r="B917" s="117"/>
      <c r="C917" s="94"/>
      <c r="D917" s="111"/>
      <c r="E917" s="115"/>
      <c r="F917" s="108"/>
      <c r="G917" s="98"/>
      <c r="H917" s="116"/>
      <c r="I917" s="111"/>
      <c r="J917" s="115"/>
      <c r="K917" s="108"/>
      <c r="L917" s="98"/>
      <c r="M917" s="116"/>
      <c r="N917" s="111"/>
      <c r="O917" s="115"/>
      <c r="P917" s="108"/>
      <c r="Q917" s="98"/>
      <c r="R917" s="116"/>
      <c r="S917" s="83"/>
      <c r="T917" s="83"/>
      <c r="U917" s="83"/>
      <c r="V917" s="83"/>
      <c r="W917" s="83"/>
      <c r="X917" s="83"/>
      <c r="Y917" s="83"/>
      <c r="Z917" s="83"/>
    </row>
    <row r="918">
      <c r="A918" s="113"/>
      <c r="B918" s="117"/>
      <c r="C918" s="94"/>
      <c r="D918" s="111"/>
      <c r="E918" s="115"/>
      <c r="F918" s="108"/>
      <c r="G918" s="98"/>
      <c r="H918" s="116"/>
      <c r="I918" s="111"/>
      <c r="J918" s="115"/>
      <c r="K918" s="108"/>
      <c r="L918" s="98"/>
      <c r="M918" s="116"/>
      <c r="N918" s="111"/>
      <c r="O918" s="115"/>
      <c r="P918" s="108"/>
      <c r="Q918" s="98"/>
      <c r="R918" s="116"/>
      <c r="S918" s="83"/>
      <c r="T918" s="83"/>
      <c r="U918" s="83"/>
      <c r="V918" s="83"/>
      <c r="W918" s="83"/>
      <c r="X918" s="83"/>
      <c r="Y918" s="83"/>
      <c r="Z918" s="83"/>
    </row>
    <row r="919">
      <c r="A919" s="113"/>
      <c r="B919" s="117"/>
      <c r="C919" s="94"/>
      <c r="D919" s="111"/>
      <c r="E919" s="115"/>
      <c r="F919" s="108"/>
      <c r="G919" s="98"/>
      <c r="H919" s="116"/>
      <c r="I919" s="111"/>
      <c r="J919" s="115"/>
      <c r="K919" s="108"/>
      <c r="L919" s="98"/>
      <c r="M919" s="116"/>
      <c r="N919" s="111"/>
      <c r="O919" s="115"/>
      <c r="P919" s="108"/>
      <c r="Q919" s="98"/>
      <c r="R919" s="116"/>
      <c r="S919" s="83"/>
      <c r="T919" s="83"/>
      <c r="U919" s="83"/>
      <c r="V919" s="83"/>
      <c r="W919" s="83"/>
      <c r="X919" s="83"/>
      <c r="Y919" s="83"/>
      <c r="Z919" s="83"/>
    </row>
    <row r="920">
      <c r="A920" s="113"/>
      <c r="B920" s="117"/>
      <c r="C920" s="94"/>
      <c r="D920" s="111"/>
      <c r="E920" s="115"/>
      <c r="F920" s="108"/>
      <c r="G920" s="98"/>
      <c r="H920" s="116"/>
      <c r="I920" s="111"/>
      <c r="J920" s="115"/>
      <c r="K920" s="108"/>
      <c r="L920" s="98"/>
      <c r="M920" s="116"/>
      <c r="N920" s="111"/>
      <c r="O920" s="115"/>
      <c r="P920" s="108"/>
      <c r="Q920" s="98"/>
      <c r="R920" s="116"/>
      <c r="S920" s="83"/>
      <c r="T920" s="83"/>
      <c r="U920" s="83"/>
      <c r="V920" s="83"/>
      <c r="W920" s="83"/>
      <c r="X920" s="83"/>
      <c r="Y920" s="83"/>
      <c r="Z920" s="83"/>
    </row>
    <row r="921">
      <c r="A921" s="113"/>
      <c r="B921" s="117"/>
      <c r="C921" s="94"/>
      <c r="D921" s="111"/>
      <c r="E921" s="115"/>
      <c r="F921" s="108"/>
      <c r="G921" s="98"/>
      <c r="H921" s="116"/>
      <c r="I921" s="111"/>
      <c r="J921" s="115"/>
      <c r="K921" s="108"/>
      <c r="L921" s="98"/>
      <c r="M921" s="116"/>
      <c r="N921" s="111"/>
      <c r="O921" s="115"/>
      <c r="P921" s="108"/>
      <c r="Q921" s="98"/>
      <c r="R921" s="116"/>
      <c r="S921" s="83"/>
      <c r="T921" s="83"/>
      <c r="U921" s="83"/>
      <c r="V921" s="83"/>
      <c r="W921" s="83"/>
      <c r="X921" s="83"/>
      <c r="Y921" s="83"/>
      <c r="Z921" s="83"/>
    </row>
    <row r="922">
      <c r="A922" s="113"/>
      <c r="B922" s="117"/>
      <c r="C922" s="94"/>
      <c r="D922" s="111"/>
      <c r="E922" s="115"/>
      <c r="F922" s="108"/>
      <c r="G922" s="98"/>
      <c r="H922" s="116"/>
      <c r="I922" s="111"/>
      <c r="J922" s="115"/>
      <c r="K922" s="108"/>
      <c r="L922" s="98"/>
      <c r="M922" s="116"/>
      <c r="N922" s="111"/>
      <c r="O922" s="115"/>
      <c r="P922" s="108"/>
      <c r="Q922" s="98"/>
      <c r="R922" s="116"/>
      <c r="S922" s="83"/>
      <c r="T922" s="83"/>
      <c r="U922" s="83"/>
      <c r="V922" s="83"/>
      <c r="W922" s="83"/>
      <c r="X922" s="83"/>
      <c r="Y922" s="83"/>
      <c r="Z922" s="83"/>
    </row>
    <row r="923">
      <c r="A923" s="113"/>
      <c r="B923" s="117"/>
      <c r="C923" s="94"/>
      <c r="D923" s="111"/>
      <c r="E923" s="115"/>
      <c r="F923" s="108"/>
      <c r="G923" s="98"/>
      <c r="H923" s="116"/>
      <c r="I923" s="111"/>
      <c r="J923" s="115"/>
      <c r="K923" s="108"/>
      <c r="L923" s="98"/>
      <c r="M923" s="116"/>
      <c r="N923" s="111"/>
      <c r="O923" s="115"/>
      <c r="P923" s="108"/>
      <c r="Q923" s="98"/>
      <c r="R923" s="116"/>
      <c r="S923" s="83"/>
      <c r="T923" s="83"/>
      <c r="U923" s="83"/>
      <c r="V923" s="83"/>
      <c r="W923" s="83"/>
      <c r="X923" s="83"/>
      <c r="Y923" s="83"/>
      <c r="Z923" s="83"/>
    </row>
    <row r="924">
      <c r="A924" s="113"/>
      <c r="B924" s="117"/>
      <c r="C924" s="94"/>
      <c r="D924" s="111"/>
      <c r="E924" s="115"/>
      <c r="F924" s="108"/>
      <c r="G924" s="98"/>
      <c r="H924" s="116"/>
      <c r="I924" s="111"/>
      <c r="J924" s="115"/>
      <c r="K924" s="108"/>
      <c r="L924" s="98"/>
      <c r="M924" s="116"/>
      <c r="N924" s="111"/>
      <c r="O924" s="115"/>
      <c r="P924" s="108"/>
      <c r="Q924" s="98"/>
      <c r="R924" s="116"/>
      <c r="S924" s="83"/>
      <c r="T924" s="83"/>
      <c r="U924" s="83"/>
      <c r="V924" s="83"/>
      <c r="W924" s="83"/>
      <c r="X924" s="83"/>
      <c r="Y924" s="83"/>
      <c r="Z924" s="83"/>
    </row>
    <row r="925">
      <c r="A925" s="113"/>
      <c r="B925" s="117"/>
      <c r="C925" s="94"/>
      <c r="D925" s="111"/>
      <c r="E925" s="115"/>
      <c r="F925" s="108"/>
      <c r="G925" s="98"/>
      <c r="H925" s="116"/>
      <c r="I925" s="111"/>
      <c r="J925" s="115"/>
      <c r="K925" s="108"/>
      <c r="L925" s="98"/>
      <c r="M925" s="116"/>
      <c r="N925" s="111"/>
      <c r="O925" s="115"/>
      <c r="P925" s="108"/>
      <c r="Q925" s="98"/>
      <c r="R925" s="116"/>
      <c r="S925" s="83"/>
      <c r="T925" s="83"/>
      <c r="U925" s="83"/>
      <c r="V925" s="83"/>
      <c r="W925" s="83"/>
      <c r="X925" s="83"/>
      <c r="Y925" s="83"/>
      <c r="Z925" s="83"/>
    </row>
    <row r="926">
      <c r="A926" s="113"/>
      <c r="B926" s="117"/>
      <c r="C926" s="94"/>
      <c r="D926" s="111"/>
      <c r="E926" s="115"/>
      <c r="F926" s="108"/>
      <c r="G926" s="98"/>
      <c r="H926" s="116"/>
      <c r="I926" s="111"/>
      <c r="J926" s="115"/>
      <c r="K926" s="108"/>
      <c r="L926" s="98"/>
      <c r="M926" s="116"/>
      <c r="N926" s="111"/>
      <c r="O926" s="115"/>
      <c r="P926" s="108"/>
      <c r="Q926" s="98"/>
      <c r="R926" s="116"/>
      <c r="S926" s="83"/>
      <c r="T926" s="83"/>
      <c r="U926" s="83"/>
      <c r="V926" s="83"/>
      <c r="W926" s="83"/>
      <c r="X926" s="83"/>
      <c r="Y926" s="83"/>
      <c r="Z926" s="83"/>
    </row>
    <row r="927">
      <c r="A927" s="113"/>
      <c r="B927" s="117"/>
      <c r="C927" s="94"/>
      <c r="D927" s="111"/>
      <c r="E927" s="115"/>
      <c r="F927" s="108"/>
      <c r="G927" s="98"/>
      <c r="H927" s="116"/>
      <c r="I927" s="111"/>
      <c r="J927" s="115"/>
      <c r="K927" s="108"/>
      <c r="L927" s="98"/>
      <c r="M927" s="116"/>
      <c r="N927" s="111"/>
      <c r="O927" s="115"/>
      <c r="P927" s="108"/>
      <c r="Q927" s="98"/>
      <c r="R927" s="116"/>
      <c r="S927" s="83"/>
      <c r="T927" s="83"/>
      <c r="U927" s="83"/>
      <c r="V927" s="83"/>
      <c r="W927" s="83"/>
      <c r="X927" s="83"/>
      <c r="Y927" s="83"/>
      <c r="Z927" s="83"/>
    </row>
    <row r="928">
      <c r="A928" s="113"/>
      <c r="B928" s="117"/>
      <c r="C928" s="94"/>
      <c r="D928" s="111"/>
      <c r="E928" s="115"/>
      <c r="F928" s="108"/>
      <c r="G928" s="98"/>
      <c r="H928" s="116"/>
      <c r="I928" s="111"/>
      <c r="J928" s="115"/>
      <c r="K928" s="108"/>
      <c r="L928" s="98"/>
      <c r="M928" s="116"/>
      <c r="N928" s="111"/>
      <c r="O928" s="115"/>
      <c r="P928" s="108"/>
      <c r="Q928" s="98"/>
      <c r="R928" s="116"/>
      <c r="S928" s="83"/>
      <c r="T928" s="83"/>
      <c r="U928" s="83"/>
      <c r="V928" s="83"/>
      <c r="W928" s="83"/>
      <c r="X928" s="83"/>
      <c r="Y928" s="83"/>
      <c r="Z928" s="83"/>
    </row>
    <row r="929">
      <c r="A929" s="113"/>
      <c r="B929" s="117"/>
      <c r="C929" s="94"/>
      <c r="D929" s="111"/>
      <c r="E929" s="115"/>
      <c r="F929" s="108"/>
      <c r="G929" s="98"/>
      <c r="H929" s="116"/>
      <c r="I929" s="111"/>
      <c r="J929" s="115"/>
      <c r="K929" s="108"/>
      <c r="L929" s="98"/>
      <c r="M929" s="116"/>
      <c r="N929" s="111"/>
      <c r="O929" s="115"/>
      <c r="P929" s="108"/>
      <c r="Q929" s="98"/>
      <c r="R929" s="116"/>
      <c r="S929" s="83"/>
      <c r="T929" s="83"/>
      <c r="U929" s="83"/>
      <c r="V929" s="83"/>
      <c r="W929" s="83"/>
      <c r="X929" s="83"/>
      <c r="Y929" s="83"/>
      <c r="Z929" s="83"/>
    </row>
    <row r="930">
      <c r="A930" s="113"/>
      <c r="B930" s="117"/>
      <c r="C930" s="94"/>
      <c r="D930" s="111"/>
      <c r="E930" s="115"/>
      <c r="F930" s="108"/>
      <c r="G930" s="98"/>
      <c r="H930" s="116"/>
      <c r="I930" s="111"/>
      <c r="J930" s="115"/>
      <c r="K930" s="108"/>
      <c r="L930" s="98"/>
      <c r="M930" s="116"/>
      <c r="N930" s="111"/>
      <c r="O930" s="115"/>
      <c r="P930" s="108"/>
      <c r="Q930" s="98"/>
      <c r="R930" s="116"/>
      <c r="S930" s="83"/>
      <c r="T930" s="83"/>
      <c r="U930" s="83"/>
      <c r="V930" s="83"/>
      <c r="W930" s="83"/>
      <c r="X930" s="83"/>
      <c r="Y930" s="83"/>
      <c r="Z930" s="83"/>
    </row>
    <row r="931">
      <c r="A931" s="113"/>
      <c r="B931" s="117"/>
      <c r="C931" s="94"/>
      <c r="D931" s="111"/>
      <c r="E931" s="115"/>
      <c r="F931" s="108"/>
      <c r="G931" s="98"/>
      <c r="H931" s="116"/>
      <c r="I931" s="111"/>
      <c r="J931" s="115"/>
      <c r="K931" s="108"/>
      <c r="L931" s="98"/>
      <c r="M931" s="116"/>
      <c r="N931" s="111"/>
      <c r="O931" s="115"/>
      <c r="P931" s="108"/>
      <c r="Q931" s="98"/>
      <c r="R931" s="116"/>
      <c r="S931" s="83"/>
      <c r="T931" s="83"/>
      <c r="U931" s="83"/>
      <c r="V931" s="83"/>
      <c r="W931" s="83"/>
      <c r="X931" s="83"/>
      <c r="Y931" s="83"/>
      <c r="Z931" s="83"/>
    </row>
    <row r="932">
      <c r="A932" s="113"/>
      <c r="B932" s="117"/>
      <c r="C932" s="94"/>
      <c r="D932" s="111"/>
      <c r="E932" s="115"/>
      <c r="F932" s="108"/>
      <c r="G932" s="98"/>
      <c r="H932" s="116"/>
      <c r="I932" s="111"/>
      <c r="J932" s="115"/>
      <c r="K932" s="108"/>
      <c r="L932" s="98"/>
      <c r="M932" s="116"/>
      <c r="N932" s="111"/>
      <c r="O932" s="115"/>
      <c r="P932" s="108"/>
      <c r="Q932" s="98"/>
      <c r="R932" s="116"/>
      <c r="S932" s="83"/>
      <c r="T932" s="83"/>
      <c r="U932" s="83"/>
      <c r="V932" s="83"/>
      <c r="W932" s="83"/>
      <c r="X932" s="83"/>
      <c r="Y932" s="83"/>
      <c r="Z932" s="83"/>
    </row>
    <row r="933">
      <c r="A933" s="113"/>
      <c r="B933" s="117"/>
      <c r="C933" s="94"/>
      <c r="D933" s="111"/>
      <c r="E933" s="115"/>
      <c r="F933" s="108"/>
      <c r="G933" s="98"/>
      <c r="H933" s="116"/>
      <c r="I933" s="111"/>
      <c r="J933" s="115"/>
      <c r="K933" s="108"/>
      <c r="L933" s="98"/>
      <c r="M933" s="116"/>
      <c r="N933" s="111"/>
      <c r="O933" s="115"/>
      <c r="P933" s="108"/>
      <c r="Q933" s="98"/>
      <c r="R933" s="116"/>
      <c r="S933" s="83"/>
      <c r="T933" s="83"/>
      <c r="U933" s="83"/>
      <c r="V933" s="83"/>
      <c r="W933" s="83"/>
      <c r="X933" s="83"/>
      <c r="Y933" s="83"/>
      <c r="Z933" s="83"/>
    </row>
    <row r="934">
      <c r="A934" s="113"/>
      <c r="B934" s="117"/>
      <c r="C934" s="94"/>
      <c r="D934" s="111"/>
      <c r="E934" s="115"/>
      <c r="F934" s="108"/>
      <c r="G934" s="98"/>
      <c r="H934" s="116"/>
      <c r="I934" s="111"/>
      <c r="J934" s="115"/>
      <c r="K934" s="108"/>
      <c r="L934" s="98"/>
      <c r="M934" s="116"/>
      <c r="N934" s="111"/>
      <c r="O934" s="115"/>
      <c r="P934" s="108"/>
      <c r="Q934" s="98"/>
      <c r="R934" s="116"/>
      <c r="S934" s="83"/>
      <c r="T934" s="83"/>
      <c r="U934" s="83"/>
      <c r="V934" s="83"/>
      <c r="W934" s="83"/>
      <c r="X934" s="83"/>
      <c r="Y934" s="83"/>
      <c r="Z934" s="83"/>
    </row>
    <row r="935">
      <c r="A935" s="113"/>
      <c r="B935" s="117"/>
      <c r="C935" s="94"/>
      <c r="D935" s="111"/>
      <c r="E935" s="115"/>
      <c r="F935" s="108"/>
      <c r="G935" s="98"/>
      <c r="H935" s="116"/>
      <c r="I935" s="111"/>
      <c r="J935" s="115"/>
      <c r="K935" s="108"/>
      <c r="L935" s="98"/>
      <c r="M935" s="116"/>
      <c r="N935" s="111"/>
      <c r="O935" s="115"/>
      <c r="P935" s="108"/>
      <c r="Q935" s="98"/>
      <c r="R935" s="116"/>
      <c r="S935" s="83"/>
      <c r="T935" s="83"/>
      <c r="U935" s="83"/>
      <c r="V935" s="83"/>
      <c r="W935" s="83"/>
      <c r="X935" s="83"/>
      <c r="Y935" s="83"/>
      <c r="Z935" s="83"/>
    </row>
    <row r="936">
      <c r="A936" s="113"/>
      <c r="B936" s="117"/>
      <c r="C936" s="94"/>
      <c r="D936" s="111"/>
      <c r="E936" s="115"/>
      <c r="F936" s="108"/>
      <c r="G936" s="98"/>
      <c r="H936" s="116"/>
      <c r="I936" s="111"/>
      <c r="J936" s="115"/>
      <c r="K936" s="108"/>
      <c r="L936" s="98"/>
      <c r="M936" s="116"/>
      <c r="N936" s="111"/>
      <c r="O936" s="115"/>
      <c r="P936" s="108"/>
      <c r="Q936" s="98"/>
      <c r="R936" s="116"/>
      <c r="S936" s="83"/>
      <c r="T936" s="83"/>
      <c r="U936" s="83"/>
      <c r="V936" s="83"/>
      <c r="W936" s="83"/>
      <c r="X936" s="83"/>
      <c r="Y936" s="83"/>
      <c r="Z936" s="83"/>
    </row>
    <row r="937">
      <c r="A937" s="113"/>
      <c r="B937" s="117"/>
      <c r="C937" s="94"/>
      <c r="D937" s="111"/>
      <c r="E937" s="115"/>
      <c r="F937" s="108"/>
      <c r="G937" s="98"/>
      <c r="H937" s="116"/>
      <c r="I937" s="111"/>
      <c r="J937" s="115"/>
      <c r="K937" s="108"/>
      <c r="L937" s="98"/>
      <c r="M937" s="116"/>
      <c r="N937" s="111"/>
      <c r="O937" s="115"/>
      <c r="P937" s="108"/>
      <c r="Q937" s="98"/>
      <c r="R937" s="116"/>
      <c r="S937" s="83"/>
      <c r="T937" s="83"/>
      <c r="U937" s="83"/>
      <c r="V937" s="83"/>
      <c r="W937" s="83"/>
      <c r="X937" s="83"/>
      <c r="Y937" s="83"/>
      <c r="Z937" s="83"/>
    </row>
    <row r="938">
      <c r="A938" s="113"/>
      <c r="B938" s="117"/>
      <c r="C938" s="94"/>
      <c r="D938" s="111"/>
      <c r="E938" s="115"/>
      <c r="F938" s="108"/>
      <c r="G938" s="98"/>
      <c r="H938" s="116"/>
      <c r="I938" s="111"/>
      <c r="J938" s="115"/>
      <c r="K938" s="108"/>
      <c r="L938" s="98"/>
      <c r="M938" s="116"/>
      <c r="N938" s="111"/>
      <c r="O938" s="115"/>
      <c r="P938" s="108"/>
      <c r="Q938" s="98"/>
      <c r="R938" s="116"/>
      <c r="S938" s="83"/>
      <c r="T938" s="83"/>
      <c r="U938" s="83"/>
      <c r="V938" s="83"/>
      <c r="W938" s="83"/>
      <c r="X938" s="83"/>
      <c r="Y938" s="83"/>
      <c r="Z938" s="83"/>
    </row>
    <row r="939">
      <c r="A939" s="83"/>
      <c r="B939" s="118"/>
      <c r="C939" s="94"/>
      <c r="D939" s="111"/>
      <c r="E939" s="115"/>
      <c r="F939" s="108"/>
      <c r="G939" s="98"/>
      <c r="H939" s="116"/>
      <c r="I939" s="111"/>
      <c r="J939" s="115"/>
      <c r="K939" s="108"/>
      <c r="L939" s="98"/>
      <c r="M939" s="116"/>
      <c r="N939" s="111"/>
      <c r="O939" s="115"/>
      <c r="P939" s="108"/>
      <c r="Q939" s="98"/>
      <c r="R939" s="116"/>
      <c r="S939" s="83"/>
      <c r="T939" s="83"/>
      <c r="U939" s="83"/>
      <c r="V939" s="83"/>
      <c r="W939" s="83"/>
      <c r="X939" s="83"/>
      <c r="Y939" s="83"/>
      <c r="Z939" s="83"/>
    </row>
  </sheetData>
  <mergeCells count="6">
    <mergeCell ref="A1:A2"/>
    <mergeCell ref="B1:B2"/>
    <mergeCell ref="C1:C2"/>
    <mergeCell ref="D1:H1"/>
    <mergeCell ref="I1:M1"/>
    <mergeCell ref="N1:R1"/>
  </mergeCells>
  <conditionalFormatting sqref="D1:R939">
    <cfRule type="containsBlanks" dxfId="0" priority="1">
      <formula>LEN(TRIM(D1))=0</formula>
    </cfRule>
  </conditionalFormatting>
  <conditionalFormatting sqref="A1:A939">
    <cfRule type="expression" dxfId="2" priority="2">
      <formula>AND(NOT(ISBLANK(A1)), COUNTIF($A:$A, "=" &amp; A1)&gt;1)</formula>
    </cfRule>
  </conditionalFormatting>
  <conditionalFormatting sqref="C3:C939">
    <cfRule type="expression" dxfId="1" priority="3">
      <formula>COUNTA(D3:R3)/3 &gt; 1</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4.13"/>
    <col customWidth="1" min="2" max="2" width="38.88"/>
    <col customWidth="1" min="3" max="3" width="4.75"/>
    <col customWidth="1" min="4" max="4" width="7.25"/>
    <col customWidth="1" min="5" max="5" width="6.25"/>
    <col customWidth="1" min="6" max="6" width="6.63"/>
    <col customWidth="1" min="7" max="7" width="5.0"/>
    <col customWidth="1" min="8" max="8" width="5.75"/>
    <col customWidth="1" min="9" max="9" width="7.38"/>
    <col customWidth="1" min="10" max="10" width="6.25"/>
    <col customWidth="1" min="11" max="11" width="6.63"/>
    <col customWidth="1" min="12" max="12" width="5.0"/>
    <col customWidth="1" min="13" max="13" width="5.63"/>
    <col customWidth="1" min="14" max="14" width="7.38"/>
    <col customWidth="1" min="15" max="15" width="6.25"/>
    <col customWidth="1" min="16" max="16" width="6.63"/>
    <col customWidth="1" min="17" max="17" width="5.0"/>
    <col customWidth="1" min="18" max="18" width="5.63"/>
  </cols>
  <sheetData>
    <row r="1">
      <c r="A1" s="5" t="s">
        <v>948</v>
      </c>
      <c r="B1" s="5" t="s">
        <v>949</v>
      </c>
      <c r="C1" s="119" t="s">
        <v>950</v>
      </c>
      <c r="D1" s="82" t="s">
        <v>951</v>
      </c>
      <c r="E1" s="80"/>
      <c r="F1" s="80"/>
      <c r="G1" s="80"/>
      <c r="H1" s="81"/>
      <c r="I1" s="82" t="s">
        <v>952</v>
      </c>
      <c r="J1" s="80"/>
      <c r="K1" s="80"/>
      <c r="L1" s="80"/>
      <c r="M1" s="81"/>
      <c r="N1" s="82" t="s">
        <v>674</v>
      </c>
      <c r="O1" s="80"/>
      <c r="P1" s="80"/>
      <c r="Q1" s="80"/>
      <c r="R1" s="81"/>
      <c r="S1" s="83"/>
      <c r="T1" s="83"/>
      <c r="U1" s="83"/>
      <c r="V1" s="83"/>
      <c r="W1" s="83"/>
      <c r="X1" s="83"/>
      <c r="Y1" s="83"/>
      <c r="Z1" s="83"/>
    </row>
    <row r="2">
      <c r="A2" s="5"/>
      <c r="B2" s="5"/>
      <c r="C2" s="119"/>
      <c r="D2" s="120" t="s">
        <v>9</v>
      </c>
      <c r="E2" s="121" t="s">
        <v>10</v>
      </c>
      <c r="F2" s="122" t="s">
        <v>11</v>
      </c>
      <c r="G2" s="123" t="s">
        <v>12</v>
      </c>
      <c r="H2" s="124" t="s">
        <v>13</v>
      </c>
      <c r="I2" s="86" t="s">
        <v>9</v>
      </c>
      <c r="J2" s="11" t="s">
        <v>10</v>
      </c>
      <c r="K2" s="12" t="s">
        <v>11</v>
      </c>
      <c r="L2" s="13" t="s">
        <v>12</v>
      </c>
      <c r="M2" s="87" t="s">
        <v>13</v>
      </c>
      <c r="N2" s="86" t="s">
        <v>9</v>
      </c>
      <c r="O2" s="11" t="s">
        <v>10</v>
      </c>
      <c r="P2" s="12" t="s">
        <v>11</v>
      </c>
      <c r="Q2" s="13" t="s">
        <v>12</v>
      </c>
      <c r="R2" s="87" t="s">
        <v>13</v>
      </c>
      <c r="S2" s="83"/>
      <c r="T2" s="83"/>
      <c r="U2" s="83"/>
      <c r="V2" s="83"/>
      <c r="W2" s="83"/>
      <c r="X2" s="83"/>
      <c r="Y2" s="83"/>
      <c r="Z2" s="83"/>
    </row>
    <row r="3">
      <c r="A3" s="125" t="s">
        <v>953</v>
      </c>
      <c r="B3" s="126"/>
      <c r="C3" s="127">
        <f t="shared" ref="C3:C125" si="1">SUM(
IFERROR(SUM(D3:R3)/(COUNTA(D3:R3)/3),0),
)</f>
        <v>-1</v>
      </c>
      <c r="D3" s="86"/>
      <c r="E3" s="96">
        <v>1.0</v>
      </c>
      <c r="F3" s="12"/>
      <c r="G3" s="13"/>
      <c r="H3" s="128">
        <v>1.0</v>
      </c>
      <c r="I3" s="86"/>
      <c r="J3" s="96">
        <v>-1.0</v>
      </c>
      <c r="K3" s="12"/>
      <c r="L3" s="13"/>
      <c r="M3" s="128">
        <v>-1.0</v>
      </c>
      <c r="N3" s="86"/>
      <c r="O3" s="96">
        <v>-1.0</v>
      </c>
      <c r="P3" s="12"/>
      <c r="Q3" s="13"/>
      <c r="R3" s="128">
        <v>-1.0</v>
      </c>
      <c r="S3" s="83"/>
      <c r="T3" s="83"/>
      <c r="U3" s="83"/>
      <c r="V3" s="83"/>
      <c r="W3" s="83"/>
      <c r="X3" s="83"/>
      <c r="Y3" s="83"/>
      <c r="Z3" s="83"/>
    </row>
    <row r="4">
      <c r="A4" s="125" t="s">
        <v>954</v>
      </c>
      <c r="B4" s="126"/>
      <c r="C4" s="127">
        <f t="shared" si="1"/>
        <v>1</v>
      </c>
      <c r="D4" s="86"/>
      <c r="E4" s="96">
        <v>1.0</v>
      </c>
      <c r="F4" s="12"/>
      <c r="G4" s="13"/>
      <c r="H4" s="128">
        <v>1.0</v>
      </c>
      <c r="I4" s="86"/>
      <c r="J4" s="96">
        <v>-1.0</v>
      </c>
      <c r="K4" s="12"/>
      <c r="L4" s="13"/>
      <c r="M4" s="128">
        <v>-1.0</v>
      </c>
      <c r="N4" s="86"/>
      <c r="O4" s="96">
        <v>1.0</v>
      </c>
      <c r="P4" s="12"/>
      <c r="Q4" s="13"/>
      <c r="R4" s="128">
        <v>1.0</v>
      </c>
      <c r="S4" s="83"/>
      <c r="T4" s="83"/>
      <c r="U4" s="83"/>
      <c r="V4" s="83"/>
      <c r="W4" s="83"/>
      <c r="X4" s="83"/>
      <c r="Y4" s="83"/>
      <c r="Z4" s="83"/>
    </row>
    <row r="5">
      <c r="A5" s="125" t="s">
        <v>955</v>
      </c>
      <c r="B5" s="126"/>
      <c r="C5" s="127">
        <f t="shared" si="1"/>
        <v>1</v>
      </c>
      <c r="D5" s="86"/>
      <c r="E5" s="96">
        <v>1.0</v>
      </c>
      <c r="F5" s="12"/>
      <c r="G5" s="13"/>
      <c r="H5" s="128">
        <v>1.0</v>
      </c>
      <c r="I5" s="86"/>
      <c r="J5" s="96">
        <v>-1.0</v>
      </c>
      <c r="K5" s="12"/>
      <c r="L5" s="13"/>
      <c r="M5" s="128">
        <v>-1.0</v>
      </c>
      <c r="N5" s="86"/>
      <c r="O5" s="96">
        <v>1.0</v>
      </c>
      <c r="P5" s="12"/>
      <c r="Q5" s="13"/>
      <c r="R5" s="128">
        <v>1.0</v>
      </c>
      <c r="S5" s="83"/>
      <c r="T5" s="83"/>
      <c r="U5" s="83"/>
      <c r="V5" s="83"/>
      <c r="W5" s="83"/>
      <c r="X5" s="83"/>
      <c r="Y5" s="83"/>
      <c r="Z5" s="83"/>
    </row>
    <row r="6">
      <c r="A6" s="125" t="s">
        <v>956</v>
      </c>
      <c r="B6" s="126"/>
      <c r="C6" s="127">
        <f t="shared" si="1"/>
        <v>1</v>
      </c>
      <c r="D6" s="86"/>
      <c r="E6" s="96">
        <v>1.0</v>
      </c>
      <c r="F6" s="12"/>
      <c r="G6" s="13"/>
      <c r="H6" s="128">
        <v>1.0</v>
      </c>
      <c r="I6" s="86"/>
      <c r="J6" s="96">
        <v>-1.0</v>
      </c>
      <c r="K6" s="12"/>
      <c r="L6" s="13"/>
      <c r="M6" s="128">
        <v>-1.0</v>
      </c>
      <c r="N6" s="86"/>
      <c r="O6" s="96">
        <v>1.0</v>
      </c>
      <c r="P6" s="12"/>
      <c r="Q6" s="13"/>
      <c r="R6" s="128">
        <v>1.0</v>
      </c>
      <c r="S6" s="83"/>
      <c r="T6" s="83"/>
      <c r="U6" s="83"/>
      <c r="V6" s="83"/>
      <c r="W6" s="83"/>
      <c r="X6" s="83"/>
      <c r="Y6" s="83"/>
      <c r="Z6" s="83"/>
    </row>
    <row r="7">
      <c r="A7" s="125" t="s">
        <v>957</v>
      </c>
      <c r="B7" s="126"/>
      <c r="C7" s="127">
        <f t="shared" si="1"/>
        <v>1</v>
      </c>
      <c r="D7" s="86"/>
      <c r="E7" s="96">
        <v>1.0</v>
      </c>
      <c r="F7" s="12"/>
      <c r="G7" s="13"/>
      <c r="H7" s="128">
        <v>1.0</v>
      </c>
      <c r="I7" s="86"/>
      <c r="J7" s="96">
        <v>-1.0</v>
      </c>
      <c r="K7" s="12"/>
      <c r="L7" s="13"/>
      <c r="M7" s="128">
        <v>-1.0</v>
      </c>
      <c r="N7" s="86"/>
      <c r="O7" s="96">
        <v>1.0</v>
      </c>
      <c r="P7" s="12"/>
      <c r="Q7" s="13"/>
      <c r="R7" s="128">
        <v>1.0</v>
      </c>
      <c r="S7" s="83"/>
      <c r="T7" s="83"/>
      <c r="U7" s="83"/>
      <c r="V7" s="83"/>
      <c r="W7" s="83"/>
      <c r="X7" s="83"/>
      <c r="Y7" s="83"/>
      <c r="Z7" s="83"/>
    </row>
    <row r="8">
      <c r="A8" s="129" t="s">
        <v>958</v>
      </c>
      <c r="B8" s="114"/>
      <c r="C8" s="130">
        <f t="shared" si="1"/>
        <v>1</v>
      </c>
      <c r="D8" s="86"/>
      <c r="E8" s="96">
        <v>1.0</v>
      </c>
      <c r="F8" s="131">
        <v>1.0</v>
      </c>
      <c r="G8" s="13"/>
      <c r="H8" s="87">
        <v>1.0</v>
      </c>
      <c r="I8" s="86"/>
      <c r="J8" s="96">
        <v>-1.0</v>
      </c>
      <c r="K8" s="131">
        <v>0.0</v>
      </c>
      <c r="L8" s="13"/>
      <c r="M8" s="87">
        <v>-2.0</v>
      </c>
      <c r="N8" s="86"/>
      <c r="O8" s="11">
        <v>1.0</v>
      </c>
      <c r="P8" s="131">
        <v>1.0</v>
      </c>
      <c r="Q8" s="13"/>
      <c r="R8" s="87">
        <v>1.0</v>
      </c>
      <c r="S8" s="83"/>
      <c r="T8" s="83"/>
      <c r="U8" s="83"/>
      <c r="V8" s="83"/>
      <c r="W8" s="83"/>
      <c r="X8" s="83"/>
      <c r="Y8" s="83"/>
      <c r="Z8" s="83"/>
    </row>
    <row r="9">
      <c r="A9" s="125" t="s">
        <v>959</v>
      </c>
      <c r="B9" s="126"/>
      <c r="C9" s="127">
        <f t="shared" si="1"/>
        <v>1</v>
      </c>
      <c r="D9" s="86"/>
      <c r="E9" s="96">
        <v>1.0</v>
      </c>
      <c r="F9" s="12"/>
      <c r="G9" s="13"/>
      <c r="H9" s="128">
        <v>1.0</v>
      </c>
      <c r="I9" s="86"/>
      <c r="J9" s="96">
        <v>-1.0</v>
      </c>
      <c r="K9" s="12"/>
      <c r="L9" s="13"/>
      <c r="M9" s="128">
        <v>-1.0</v>
      </c>
      <c r="N9" s="86"/>
      <c r="O9" s="96">
        <v>1.0</v>
      </c>
      <c r="P9" s="12"/>
      <c r="Q9" s="13"/>
      <c r="R9" s="128">
        <v>1.0</v>
      </c>
      <c r="S9" s="83"/>
      <c r="T9" s="83"/>
      <c r="U9" s="83"/>
      <c r="V9" s="83"/>
      <c r="W9" s="83"/>
      <c r="X9" s="83"/>
      <c r="Y9" s="83"/>
      <c r="Z9" s="83"/>
    </row>
    <row r="10">
      <c r="A10" s="125" t="s">
        <v>960</v>
      </c>
      <c r="B10" s="126"/>
      <c r="C10" s="127">
        <f t="shared" si="1"/>
        <v>1</v>
      </c>
      <c r="D10" s="86"/>
      <c r="E10" s="96">
        <v>1.0</v>
      </c>
      <c r="F10" s="12"/>
      <c r="G10" s="13"/>
      <c r="H10" s="128">
        <v>1.0</v>
      </c>
      <c r="I10" s="86"/>
      <c r="J10" s="96">
        <v>-1.0</v>
      </c>
      <c r="K10" s="12"/>
      <c r="L10" s="13"/>
      <c r="M10" s="128">
        <v>-1.0</v>
      </c>
      <c r="N10" s="86"/>
      <c r="O10" s="96">
        <v>1.0</v>
      </c>
      <c r="P10" s="12"/>
      <c r="Q10" s="13"/>
      <c r="R10" s="128">
        <v>1.0</v>
      </c>
      <c r="S10" s="83"/>
      <c r="T10" s="83"/>
      <c r="U10" s="83"/>
      <c r="V10" s="83"/>
      <c r="W10" s="83"/>
      <c r="X10" s="83"/>
      <c r="Y10" s="83"/>
      <c r="Z10" s="83"/>
    </row>
    <row r="11">
      <c r="A11" s="125" t="s">
        <v>961</v>
      </c>
      <c r="B11" s="126"/>
      <c r="C11" s="127">
        <f t="shared" si="1"/>
        <v>2</v>
      </c>
      <c r="D11" s="86"/>
      <c r="E11" s="96">
        <v>1.0</v>
      </c>
      <c r="F11" s="12"/>
      <c r="G11" s="13"/>
      <c r="H11" s="128">
        <v>1.0</v>
      </c>
      <c r="I11" s="86"/>
      <c r="J11" s="96">
        <v>-1.0</v>
      </c>
      <c r="K11" s="12"/>
      <c r="L11" s="13"/>
      <c r="M11" s="128">
        <v>-1.0</v>
      </c>
      <c r="N11" s="86"/>
      <c r="O11" s="96">
        <v>2.0</v>
      </c>
      <c r="P11" s="12"/>
      <c r="Q11" s="13"/>
      <c r="R11" s="128">
        <v>2.0</v>
      </c>
      <c r="S11" s="83"/>
      <c r="T11" s="83"/>
      <c r="U11" s="83"/>
      <c r="V11" s="83"/>
      <c r="W11" s="83"/>
      <c r="X11" s="83"/>
      <c r="Y11" s="83"/>
      <c r="Z11" s="83"/>
    </row>
    <row r="12">
      <c r="A12" s="129" t="s">
        <v>962</v>
      </c>
      <c r="B12" s="114"/>
      <c r="C12" s="130">
        <f t="shared" si="1"/>
        <v>1.333333333</v>
      </c>
      <c r="D12" s="86"/>
      <c r="E12" s="96">
        <v>1.0</v>
      </c>
      <c r="F12" s="131">
        <v>1.0</v>
      </c>
      <c r="G12" s="13"/>
      <c r="H12" s="87">
        <v>1.0</v>
      </c>
      <c r="I12" s="86"/>
      <c r="J12" s="96">
        <v>-1.0</v>
      </c>
      <c r="K12" s="131">
        <v>0.0</v>
      </c>
      <c r="L12" s="13"/>
      <c r="M12" s="87">
        <v>-2.0</v>
      </c>
      <c r="N12" s="86"/>
      <c r="O12" s="11">
        <v>1.0</v>
      </c>
      <c r="P12" s="131">
        <v>1.0</v>
      </c>
      <c r="Q12" s="13"/>
      <c r="R12" s="87">
        <v>2.0</v>
      </c>
      <c r="S12" s="83"/>
      <c r="T12" s="83"/>
      <c r="U12" s="83"/>
      <c r="V12" s="83"/>
      <c r="W12" s="83"/>
      <c r="X12" s="83"/>
      <c r="Y12" s="83"/>
      <c r="Z12" s="83"/>
    </row>
    <row r="13">
      <c r="A13" s="125" t="s">
        <v>963</v>
      </c>
      <c r="B13" s="126"/>
      <c r="C13" s="127">
        <f t="shared" si="1"/>
        <v>2</v>
      </c>
      <c r="D13" s="86"/>
      <c r="E13" s="96">
        <v>1.0</v>
      </c>
      <c r="F13" s="12"/>
      <c r="G13" s="13"/>
      <c r="H13" s="128">
        <v>1.0</v>
      </c>
      <c r="I13" s="86"/>
      <c r="J13" s="96">
        <v>-1.0</v>
      </c>
      <c r="K13" s="12"/>
      <c r="L13" s="13"/>
      <c r="M13" s="128">
        <v>-1.0</v>
      </c>
      <c r="N13" s="86"/>
      <c r="O13" s="96">
        <v>2.0</v>
      </c>
      <c r="P13" s="12"/>
      <c r="Q13" s="13"/>
      <c r="R13" s="128">
        <v>2.0</v>
      </c>
      <c r="S13" s="83"/>
      <c r="T13" s="83"/>
      <c r="U13" s="83"/>
      <c r="V13" s="83"/>
      <c r="W13" s="83"/>
      <c r="X13" s="83"/>
      <c r="Y13" s="83"/>
      <c r="Z13" s="83"/>
    </row>
    <row r="14">
      <c r="A14" s="132" t="s">
        <v>964</v>
      </c>
      <c r="B14" s="126"/>
      <c r="C14" s="127">
        <f t="shared" si="1"/>
        <v>3</v>
      </c>
      <c r="D14" s="86"/>
      <c r="E14" s="96"/>
      <c r="F14" s="12"/>
      <c r="G14" s="13"/>
      <c r="H14" s="128">
        <v>1.0</v>
      </c>
      <c r="I14" s="86"/>
      <c r="J14" s="96"/>
      <c r="K14" s="12"/>
      <c r="L14" s="13"/>
      <c r="M14" s="128">
        <v>-1.0</v>
      </c>
      <c r="N14" s="86"/>
      <c r="O14" s="96"/>
      <c r="P14" s="12"/>
      <c r="Q14" s="13"/>
      <c r="R14" s="128">
        <v>3.0</v>
      </c>
      <c r="S14" s="83"/>
      <c r="T14" s="83"/>
      <c r="U14" s="83"/>
      <c r="V14" s="83"/>
      <c r="W14" s="83"/>
      <c r="X14" s="83"/>
      <c r="Y14" s="83"/>
      <c r="Z14" s="83"/>
    </row>
    <row r="15">
      <c r="A15" s="133" t="s">
        <v>965</v>
      </c>
      <c r="B15" s="114"/>
      <c r="C15" s="130">
        <f t="shared" si="1"/>
        <v>2</v>
      </c>
      <c r="D15" s="86"/>
      <c r="E15" s="96">
        <v>1.0</v>
      </c>
      <c r="F15" s="131">
        <v>1.0</v>
      </c>
      <c r="G15" s="13"/>
      <c r="H15" s="128">
        <v>1.0</v>
      </c>
      <c r="I15" s="86"/>
      <c r="J15" s="96">
        <v>-1.0</v>
      </c>
      <c r="K15" s="131">
        <v>0.0</v>
      </c>
      <c r="L15" s="13"/>
      <c r="M15" s="128">
        <v>-2.0</v>
      </c>
      <c r="N15" s="86"/>
      <c r="O15" s="96">
        <v>2.0</v>
      </c>
      <c r="P15" s="131">
        <v>2.0</v>
      </c>
      <c r="Q15" s="13"/>
      <c r="R15" s="128">
        <v>2.0</v>
      </c>
      <c r="S15" s="83"/>
      <c r="T15" s="83"/>
      <c r="U15" s="83"/>
      <c r="V15" s="83"/>
      <c r="W15" s="83"/>
      <c r="X15" s="83"/>
      <c r="Y15" s="83"/>
      <c r="Z15" s="83"/>
    </row>
    <row r="16">
      <c r="A16" s="132" t="s">
        <v>966</v>
      </c>
      <c r="B16" s="126"/>
      <c r="C16" s="130">
        <f t="shared" si="1"/>
        <v>4</v>
      </c>
      <c r="D16" s="86"/>
      <c r="E16" s="96"/>
      <c r="F16" s="12"/>
      <c r="G16" s="13"/>
      <c r="H16" s="128">
        <v>1.0</v>
      </c>
      <c r="I16" s="86"/>
      <c r="J16" s="96"/>
      <c r="K16" s="12"/>
      <c r="L16" s="13"/>
      <c r="M16" s="128">
        <v>-1.0</v>
      </c>
      <c r="N16" s="86"/>
      <c r="O16" s="96"/>
      <c r="P16" s="12"/>
      <c r="Q16" s="13"/>
      <c r="R16" s="128">
        <v>4.0</v>
      </c>
      <c r="S16" s="83"/>
      <c r="T16" s="83"/>
      <c r="U16" s="83"/>
      <c r="V16" s="83"/>
      <c r="W16" s="83"/>
      <c r="X16" s="83"/>
      <c r="Y16" s="83"/>
      <c r="Z16" s="83"/>
    </row>
    <row r="17">
      <c r="A17" s="134" t="s">
        <v>967</v>
      </c>
      <c r="B17" s="134" t="s">
        <v>968</v>
      </c>
      <c r="C17" s="130">
        <f t="shared" si="1"/>
        <v>1.666666667</v>
      </c>
      <c r="D17" s="135"/>
      <c r="E17" s="100">
        <v>1.0</v>
      </c>
      <c r="F17" s="97">
        <v>1.0</v>
      </c>
      <c r="G17" s="136"/>
      <c r="H17" s="99">
        <v>1.0</v>
      </c>
      <c r="I17" s="135"/>
      <c r="J17" s="100">
        <v>-2.0</v>
      </c>
      <c r="K17" s="97">
        <v>0.0</v>
      </c>
      <c r="L17" s="136"/>
      <c r="M17" s="99">
        <v>0.0</v>
      </c>
      <c r="N17" s="135"/>
      <c r="O17" s="100">
        <v>2.0</v>
      </c>
      <c r="P17" s="97">
        <v>1.0</v>
      </c>
      <c r="Q17" s="136"/>
      <c r="R17" s="99">
        <v>1.0</v>
      </c>
      <c r="S17" s="83"/>
      <c r="T17" s="83"/>
      <c r="U17" s="83"/>
      <c r="V17" s="83"/>
      <c r="W17" s="83"/>
      <c r="X17" s="83"/>
      <c r="Y17" s="83"/>
      <c r="Z17" s="83"/>
    </row>
    <row r="18">
      <c r="A18" s="134" t="s">
        <v>969</v>
      </c>
      <c r="B18" s="134" t="s">
        <v>970</v>
      </c>
      <c r="C18" s="130">
        <f t="shared" si="1"/>
        <v>5.333333333</v>
      </c>
      <c r="D18" s="135"/>
      <c r="E18" s="100">
        <v>4.0</v>
      </c>
      <c r="F18" s="97">
        <v>4.0</v>
      </c>
      <c r="G18" s="136"/>
      <c r="H18" s="99">
        <v>4.0</v>
      </c>
      <c r="I18" s="135"/>
      <c r="J18" s="100">
        <v>-1.0</v>
      </c>
      <c r="K18" s="97">
        <v>-1.0</v>
      </c>
      <c r="L18" s="136"/>
      <c r="M18" s="99">
        <v>-1.0</v>
      </c>
      <c r="N18" s="135"/>
      <c r="O18" s="100">
        <v>3.0</v>
      </c>
      <c r="P18" s="97">
        <v>2.0</v>
      </c>
      <c r="Q18" s="136"/>
      <c r="R18" s="99">
        <v>2.0</v>
      </c>
      <c r="S18" s="83"/>
      <c r="T18" s="83"/>
      <c r="U18" s="83"/>
      <c r="V18" s="83"/>
      <c r="W18" s="83"/>
      <c r="X18" s="83"/>
      <c r="Y18" s="83"/>
      <c r="Z18" s="83"/>
    </row>
    <row r="19">
      <c r="A19" s="114" t="s">
        <v>971</v>
      </c>
      <c r="B19" s="114" t="s">
        <v>972</v>
      </c>
      <c r="C19" s="130">
        <f t="shared" si="1"/>
        <v>1.75</v>
      </c>
      <c r="D19" s="86"/>
      <c r="E19" s="11">
        <v>1.0</v>
      </c>
      <c r="F19" s="12">
        <v>1.0</v>
      </c>
      <c r="G19" s="13">
        <v>1.0</v>
      </c>
      <c r="H19" s="87">
        <v>1.0</v>
      </c>
      <c r="I19" s="86"/>
      <c r="J19" s="11">
        <v>-1.0</v>
      </c>
      <c r="K19" s="131">
        <v>-1.0</v>
      </c>
      <c r="L19" s="13">
        <v>-1.0</v>
      </c>
      <c r="M19" s="87">
        <v>-1.0</v>
      </c>
      <c r="N19" s="86"/>
      <c r="O19" s="96">
        <v>1.0</v>
      </c>
      <c r="P19" s="12">
        <v>2.0</v>
      </c>
      <c r="Q19" s="13">
        <v>3.0</v>
      </c>
      <c r="R19" s="87">
        <v>1.0</v>
      </c>
      <c r="S19" s="83"/>
      <c r="T19" s="83"/>
      <c r="U19" s="83"/>
      <c r="V19" s="83"/>
      <c r="W19" s="83"/>
      <c r="X19" s="83"/>
      <c r="Y19" s="83"/>
      <c r="Z19" s="83"/>
    </row>
    <row r="20">
      <c r="A20" s="137" t="s">
        <v>973</v>
      </c>
      <c r="B20" s="114" t="s">
        <v>972</v>
      </c>
      <c r="C20" s="130">
        <f t="shared" si="1"/>
        <v>2</v>
      </c>
      <c r="D20" s="86"/>
      <c r="E20" s="96">
        <v>1.0</v>
      </c>
      <c r="F20" s="131">
        <v>1.0</v>
      </c>
      <c r="G20" s="13"/>
      <c r="H20" s="128">
        <v>1.0</v>
      </c>
      <c r="I20" s="86"/>
      <c r="J20" s="96">
        <v>-1.0</v>
      </c>
      <c r="K20" s="131">
        <v>-1.0</v>
      </c>
      <c r="L20" s="13"/>
      <c r="M20" s="128">
        <v>-1.0</v>
      </c>
      <c r="N20" s="86"/>
      <c r="O20" s="96">
        <v>2.0</v>
      </c>
      <c r="P20" s="131">
        <v>2.0</v>
      </c>
      <c r="Q20" s="13"/>
      <c r="R20" s="128">
        <v>2.0</v>
      </c>
      <c r="S20" s="83"/>
      <c r="T20" s="83"/>
      <c r="U20" s="83"/>
      <c r="V20" s="83"/>
      <c r="W20" s="83"/>
      <c r="X20" s="83"/>
      <c r="Y20" s="83"/>
      <c r="Z20" s="83"/>
    </row>
    <row r="21">
      <c r="A21" s="137" t="s">
        <v>974</v>
      </c>
      <c r="B21" s="114" t="s">
        <v>972</v>
      </c>
      <c r="C21" s="130">
        <f t="shared" si="1"/>
        <v>3</v>
      </c>
      <c r="D21" s="86"/>
      <c r="E21" s="96">
        <v>1.0</v>
      </c>
      <c r="F21" s="131">
        <v>1.0</v>
      </c>
      <c r="G21" s="13"/>
      <c r="H21" s="128">
        <v>1.0</v>
      </c>
      <c r="I21" s="86"/>
      <c r="J21" s="96">
        <v>-1.0</v>
      </c>
      <c r="K21" s="131">
        <v>-1.0</v>
      </c>
      <c r="L21" s="13"/>
      <c r="M21" s="128">
        <v>-1.0</v>
      </c>
      <c r="N21" s="86"/>
      <c r="O21" s="96">
        <v>3.0</v>
      </c>
      <c r="P21" s="131">
        <v>3.0</v>
      </c>
      <c r="Q21" s="13"/>
      <c r="R21" s="128">
        <v>3.0</v>
      </c>
      <c r="S21" s="83"/>
      <c r="T21" s="83"/>
      <c r="U21" s="83"/>
      <c r="V21" s="83"/>
      <c r="W21" s="83"/>
      <c r="X21" s="83"/>
      <c r="Y21" s="83"/>
      <c r="Z21" s="83"/>
    </row>
    <row r="22">
      <c r="A22" s="114" t="s">
        <v>975</v>
      </c>
      <c r="B22" s="114" t="s">
        <v>976</v>
      </c>
      <c r="C22" s="130">
        <f t="shared" si="1"/>
        <v>5.25</v>
      </c>
      <c r="D22" s="86"/>
      <c r="E22" s="11">
        <v>4.0</v>
      </c>
      <c r="F22" s="12">
        <v>2.0</v>
      </c>
      <c r="G22" s="13">
        <v>4.0</v>
      </c>
      <c r="H22" s="87">
        <v>4.0</v>
      </c>
      <c r="I22" s="86"/>
      <c r="J22" s="11">
        <v>-1.0</v>
      </c>
      <c r="K22" s="12">
        <v>-1.0</v>
      </c>
      <c r="L22" s="13">
        <v>-1.0</v>
      </c>
      <c r="M22" s="87">
        <v>-1.0</v>
      </c>
      <c r="N22" s="86"/>
      <c r="O22" s="11">
        <v>3.0</v>
      </c>
      <c r="P22" s="12">
        <v>2.0</v>
      </c>
      <c r="Q22" s="13">
        <v>3.0</v>
      </c>
      <c r="R22" s="87">
        <v>3.0</v>
      </c>
      <c r="S22" s="83"/>
      <c r="T22" s="83"/>
      <c r="U22" s="83"/>
      <c r="V22" s="83"/>
      <c r="W22" s="83"/>
      <c r="X22" s="83"/>
      <c r="Y22" s="83"/>
      <c r="Z22" s="83"/>
    </row>
    <row r="23">
      <c r="A23" s="134" t="s">
        <v>977</v>
      </c>
      <c r="B23" s="134" t="s">
        <v>978</v>
      </c>
      <c r="C23" s="130">
        <f t="shared" si="1"/>
        <v>2.5</v>
      </c>
      <c r="D23" s="135"/>
      <c r="E23" s="100">
        <v>2.0</v>
      </c>
      <c r="F23" s="138"/>
      <c r="G23" s="136"/>
      <c r="H23" s="99">
        <v>2.0</v>
      </c>
      <c r="I23" s="135"/>
      <c r="J23" s="100">
        <v>-1.0</v>
      </c>
      <c r="K23" s="138"/>
      <c r="L23" s="136"/>
      <c r="M23" s="99">
        <v>-3.0</v>
      </c>
      <c r="N23" s="135"/>
      <c r="O23" s="100">
        <v>3.0</v>
      </c>
      <c r="P23" s="138"/>
      <c r="Q23" s="136"/>
      <c r="R23" s="99">
        <v>2.0</v>
      </c>
      <c r="S23" s="83"/>
      <c r="T23" s="83"/>
      <c r="U23" s="83"/>
      <c r="V23" s="83"/>
      <c r="W23" s="83"/>
      <c r="X23" s="83"/>
      <c r="Y23" s="83"/>
      <c r="Z23" s="83"/>
    </row>
    <row r="24">
      <c r="A24" s="134" t="s">
        <v>979</v>
      </c>
      <c r="B24" s="134" t="s">
        <v>980</v>
      </c>
      <c r="C24" s="130">
        <f t="shared" si="1"/>
        <v>5</v>
      </c>
      <c r="D24" s="135"/>
      <c r="E24" s="100">
        <v>2.0</v>
      </c>
      <c r="F24" s="138"/>
      <c r="G24" s="136"/>
      <c r="H24" s="99">
        <v>2.0</v>
      </c>
      <c r="I24" s="135"/>
      <c r="J24" s="100">
        <v>-1.0</v>
      </c>
      <c r="K24" s="138"/>
      <c r="L24" s="136"/>
      <c r="M24" s="99">
        <v>-2.0</v>
      </c>
      <c r="N24" s="135"/>
      <c r="O24" s="100">
        <v>5.0</v>
      </c>
      <c r="P24" s="138"/>
      <c r="Q24" s="136"/>
      <c r="R24" s="99">
        <v>4.0</v>
      </c>
      <c r="S24" s="83"/>
      <c r="T24" s="83"/>
      <c r="U24" s="83"/>
      <c r="V24" s="83"/>
      <c r="W24" s="83"/>
      <c r="X24" s="83"/>
      <c r="Y24" s="83"/>
      <c r="Z24" s="83"/>
    </row>
    <row r="25">
      <c r="A25" s="118" t="s">
        <v>981</v>
      </c>
      <c r="B25" s="118" t="s">
        <v>982</v>
      </c>
      <c r="C25" s="130">
        <f t="shared" si="1"/>
        <v>3</v>
      </c>
      <c r="D25" s="135"/>
      <c r="E25" s="100">
        <v>4.0</v>
      </c>
      <c r="F25" s="138"/>
      <c r="G25" s="136"/>
      <c r="H25" s="99">
        <v>1.0</v>
      </c>
      <c r="I25" s="135"/>
      <c r="J25" s="100">
        <v>-3.0</v>
      </c>
      <c r="K25" s="138"/>
      <c r="L25" s="136"/>
      <c r="M25" s="99">
        <v>-2.0</v>
      </c>
      <c r="N25" s="135"/>
      <c r="O25" s="100">
        <v>3.0</v>
      </c>
      <c r="P25" s="138"/>
      <c r="Q25" s="136"/>
      <c r="R25" s="99">
        <v>3.0</v>
      </c>
      <c r="S25" s="83"/>
      <c r="T25" s="83"/>
      <c r="U25" s="83"/>
      <c r="V25" s="83"/>
      <c r="W25" s="83"/>
      <c r="X25" s="83"/>
      <c r="Y25" s="83"/>
      <c r="Z25" s="83"/>
    </row>
    <row r="26">
      <c r="A26" s="139" t="s">
        <v>983</v>
      </c>
      <c r="B26" s="140" t="s">
        <v>984</v>
      </c>
      <c r="C26" s="130">
        <f t="shared" si="1"/>
        <v>6.666666667</v>
      </c>
      <c r="D26" s="86"/>
      <c r="E26" s="11">
        <v>4.0</v>
      </c>
      <c r="F26" s="12"/>
      <c r="G26" s="13">
        <v>4.0</v>
      </c>
      <c r="H26" s="87">
        <v>4.0</v>
      </c>
      <c r="I26" s="86"/>
      <c r="J26" s="11">
        <v>-3.0</v>
      </c>
      <c r="K26" s="12"/>
      <c r="L26" s="13">
        <v>-3.0</v>
      </c>
      <c r="M26" s="87">
        <v>0.0</v>
      </c>
      <c r="N26" s="86"/>
      <c r="O26" s="11">
        <v>5.0</v>
      </c>
      <c r="P26" s="12"/>
      <c r="Q26" s="13">
        <v>4.0</v>
      </c>
      <c r="R26" s="87">
        <v>5.0</v>
      </c>
      <c r="S26" s="83"/>
      <c r="T26" s="83"/>
      <c r="U26" s="83"/>
      <c r="V26" s="83"/>
      <c r="W26" s="83"/>
      <c r="X26" s="83"/>
      <c r="Y26" s="83"/>
      <c r="Z26" s="83"/>
    </row>
    <row r="27">
      <c r="A27" s="114" t="s">
        <v>985</v>
      </c>
      <c r="B27" s="114" t="s">
        <v>986</v>
      </c>
      <c r="C27" s="130">
        <f t="shared" si="1"/>
        <v>5.75</v>
      </c>
      <c r="D27" s="86"/>
      <c r="E27" s="11">
        <v>4.0</v>
      </c>
      <c r="F27" s="12">
        <v>2.0</v>
      </c>
      <c r="G27" s="13">
        <v>4.0</v>
      </c>
      <c r="H27" s="87">
        <v>4.0</v>
      </c>
      <c r="I27" s="86"/>
      <c r="J27" s="11">
        <v>-1.0</v>
      </c>
      <c r="K27" s="12">
        <v>-1.0</v>
      </c>
      <c r="L27" s="13">
        <v>-1.0</v>
      </c>
      <c r="M27" s="87">
        <v>-1.0</v>
      </c>
      <c r="N27" s="86"/>
      <c r="O27" s="11">
        <v>4.0</v>
      </c>
      <c r="P27" s="12">
        <v>4.0</v>
      </c>
      <c r="Q27" s="13">
        <v>3.0</v>
      </c>
      <c r="R27" s="87">
        <v>2.0</v>
      </c>
      <c r="S27" s="83"/>
      <c r="T27" s="83"/>
      <c r="U27" s="83"/>
      <c r="V27" s="83"/>
      <c r="W27" s="83"/>
      <c r="X27" s="83"/>
      <c r="Y27" s="83"/>
      <c r="Z27" s="83"/>
    </row>
    <row r="28">
      <c r="A28" s="134" t="s">
        <v>987</v>
      </c>
      <c r="B28" s="134" t="s">
        <v>988</v>
      </c>
      <c r="C28" s="130">
        <f t="shared" si="1"/>
        <v>6</v>
      </c>
      <c r="D28" s="135"/>
      <c r="E28" s="100">
        <v>2.0</v>
      </c>
      <c r="F28" s="138"/>
      <c r="G28" s="136"/>
      <c r="H28" s="99">
        <v>2.0</v>
      </c>
      <c r="I28" s="135"/>
      <c r="J28" s="100">
        <v>0.0</v>
      </c>
      <c r="K28" s="138"/>
      <c r="L28" s="136"/>
      <c r="M28" s="99">
        <v>0.0</v>
      </c>
      <c r="N28" s="135"/>
      <c r="O28" s="100">
        <v>5.0</v>
      </c>
      <c r="P28" s="138"/>
      <c r="Q28" s="136"/>
      <c r="R28" s="99">
        <v>3.0</v>
      </c>
      <c r="S28" s="83"/>
      <c r="T28" s="83"/>
      <c r="U28" s="83"/>
      <c r="V28" s="83"/>
      <c r="W28" s="83"/>
      <c r="X28" s="83"/>
      <c r="Y28" s="83"/>
      <c r="Z28" s="83"/>
    </row>
    <row r="29">
      <c r="A29" s="134" t="s">
        <v>989</v>
      </c>
      <c r="B29" s="134" t="s">
        <v>990</v>
      </c>
      <c r="C29" s="130">
        <f t="shared" si="1"/>
        <v>4.5</v>
      </c>
      <c r="D29" s="135"/>
      <c r="E29" s="100">
        <v>4.0</v>
      </c>
      <c r="F29" s="138"/>
      <c r="G29" s="136"/>
      <c r="H29" s="99">
        <v>4.0</v>
      </c>
      <c r="I29" s="135"/>
      <c r="J29" s="100">
        <v>-2.0</v>
      </c>
      <c r="K29" s="138"/>
      <c r="L29" s="136"/>
      <c r="M29" s="99">
        <v>-5.0</v>
      </c>
      <c r="N29" s="135"/>
      <c r="O29" s="100">
        <v>5.0</v>
      </c>
      <c r="P29" s="138"/>
      <c r="Q29" s="136"/>
      <c r="R29" s="99">
        <v>3.0</v>
      </c>
      <c r="S29" s="83"/>
      <c r="T29" s="83"/>
      <c r="U29" s="83"/>
      <c r="V29" s="83"/>
      <c r="W29" s="83"/>
      <c r="X29" s="83"/>
      <c r="Y29" s="83"/>
      <c r="Z29" s="83"/>
    </row>
    <row r="30">
      <c r="A30" s="134" t="s">
        <v>991</v>
      </c>
      <c r="B30" s="134" t="s">
        <v>992</v>
      </c>
      <c r="C30" s="130">
        <f t="shared" si="1"/>
        <v>3.5</v>
      </c>
      <c r="D30" s="135"/>
      <c r="E30" s="100">
        <v>4.0</v>
      </c>
      <c r="F30" s="138"/>
      <c r="G30" s="136"/>
      <c r="H30" s="99">
        <v>4.0</v>
      </c>
      <c r="I30" s="135"/>
      <c r="J30" s="100">
        <v>-1.0</v>
      </c>
      <c r="K30" s="138"/>
      <c r="L30" s="136"/>
      <c r="M30" s="99">
        <v>-4.0</v>
      </c>
      <c r="N30" s="135"/>
      <c r="O30" s="100">
        <v>3.0</v>
      </c>
      <c r="P30" s="138"/>
      <c r="Q30" s="136"/>
      <c r="R30" s="99">
        <v>1.0</v>
      </c>
      <c r="S30" s="83"/>
      <c r="T30" s="83"/>
      <c r="U30" s="83"/>
      <c r="V30" s="83"/>
      <c r="W30" s="83"/>
      <c r="X30" s="83"/>
      <c r="Y30" s="83"/>
      <c r="Z30" s="83"/>
    </row>
    <row r="31">
      <c r="A31" s="114" t="s">
        <v>993</v>
      </c>
      <c r="B31" s="114" t="s">
        <v>994</v>
      </c>
      <c r="C31" s="130">
        <f t="shared" si="1"/>
        <v>1.75</v>
      </c>
      <c r="D31" s="86"/>
      <c r="E31" s="11">
        <v>1.0</v>
      </c>
      <c r="F31" s="12">
        <v>1.0</v>
      </c>
      <c r="G31" s="13">
        <v>1.0</v>
      </c>
      <c r="H31" s="87">
        <v>1.0</v>
      </c>
      <c r="I31" s="86"/>
      <c r="J31" s="11">
        <v>-1.0</v>
      </c>
      <c r="K31" s="12">
        <v>-1.0</v>
      </c>
      <c r="L31" s="13">
        <v>-1.0</v>
      </c>
      <c r="M31" s="87">
        <v>-1.0</v>
      </c>
      <c r="N31" s="86"/>
      <c r="O31" s="11">
        <v>1.0</v>
      </c>
      <c r="P31" s="12">
        <v>1.0</v>
      </c>
      <c r="Q31" s="13">
        <v>3.0</v>
      </c>
      <c r="R31" s="87">
        <f>(0+1+2+3+4)/5</f>
        <v>2</v>
      </c>
      <c r="S31" s="83"/>
      <c r="T31" s="83"/>
      <c r="U31" s="83"/>
      <c r="V31" s="83"/>
      <c r="W31" s="83"/>
      <c r="X31" s="83"/>
      <c r="Y31" s="83"/>
      <c r="Z31" s="83"/>
    </row>
    <row r="32">
      <c r="A32" s="114" t="s">
        <v>995</v>
      </c>
      <c r="B32" s="114" t="s">
        <v>996</v>
      </c>
      <c r="C32" s="130">
        <f t="shared" si="1"/>
        <v>5.75</v>
      </c>
      <c r="D32" s="86"/>
      <c r="E32" s="11">
        <v>2.0</v>
      </c>
      <c r="F32" s="12">
        <v>3.0</v>
      </c>
      <c r="G32" s="13">
        <v>2.0</v>
      </c>
      <c r="H32" s="87">
        <v>2.0</v>
      </c>
      <c r="I32" s="86"/>
      <c r="J32" s="11">
        <v>0.0</v>
      </c>
      <c r="K32" s="12">
        <v>-1.0</v>
      </c>
      <c r="L32" s="13">
        <v>-1.0</v>
      </c>
      <c r="M32" s="87">
        <v>0.0</v>
      </c>
      <c r="N32" s="86"/>
      <c r="O32" s="11">
        <v>5.0</v>
      </c>
      <c r="P32" s="12">
        <v>2.0</v>
      </c>
      <c r="Q32" s="13">
        <v>4.0</v>
      </c>
      <c r="R32" s="87">
        <v>5.0</v>
      </c>
      <c r="S32" s="83"/>
      <c r="T32" s="83"/>
      <c r="U32" s="83"/>
      <c r="V32" s="83"/>
      <c r="W32" s="83"/>
      <c r="X32" s="83"/>
      <c r="Y32" s="83"/>
      <c r="Z32" s="83"/>
    </row>
    <row r="33">
      <c r="A33" s="134" t="s">
        <v>997</v>
      </c>
      <c r="B33" s="134" t="s">
        <v>998</v>
      </c>
      <c r="C33" s="130">
        <f t="shared" si="1"/>
        <v>3</v>
      </c>
      <c r="D33" s="135"/>
      <c r="E33" s="100">
        <v>4.0</v>
      </c>
      <c r="F33" s="138"/>
      <c r="G33" s="136"/>
      <c r="H33" s="99">
        <v>4.0</v>
      </c>
      <c r="I33" s="135"/>
      <c r="J33" s="100">
        <v>-2.0</v>
      </c>
      <c r="K33" s="138"/>
      <c r="L33" s="136"/>
      <c r="M33" s="99">
        <v>-2.0</v>
      </c>
      <c r="N33" s="135"/>
      <c r="O33" s="100">
        <v>1.0</v>
      </c>
      <c r="P33" s="138"/>
      <c r="Q33" s="136"/>
      <c r="R33" s="99">
        <v>1.0</v>
      </c>
      <c r="S33" s="83"/>
      <c r="T33" s="83"/>
      <c r="U33" s="83"/>
      <c r="V33" s="83"/>
      <c r="W33" s="83"/>
      <c r="X33" s="83"/>
      <c r="Y33" s="83"/>
      <c r="Z33" s="83"/>
    </row>
    <row r="34">
      <c r="A34" s="134" t="s">
        <v>999</v>
      </c>
      <c r="B34" s="134" t="s">
        <v>1000</v>
      </c>
      <c r="C34" s="130">
        <f t="shared" si="1"/>
        <v>5</v>
      </c>
      <c r="D34" s="135"/>
      <c r="E34" s="100">
        <v>4.0</v>
      </c>
      <c r="F34" s="97">
        <v>4.0</v>
      </c>
      <c r="G34" s="136"/>
      <c r="H34" s="141"/>
      <c r="I34" s="135"/>
      <c r="J34" s="100">
        <v>-2.0</v>
      </c>
      <c r="K34" s="97">
        <v>-1.0</v>
      </c>
      <c r="L34" s="136"/>
      <c r="M34" s="141"/>
      <c r="N34" s="135"/>
      <c r="O34" s="100">
        <v>3.0</v>
      </c>
      <c r="P34" s="97">
        <v>2.0</v>
      </c>
      <c r="Q34" s="136"/>
      <c r="R34" s="141"/>
      <c r="S34" s="83"/>
      <c r="T34" s="83"/>
      <c r="U34" s="83"/>
      <c r="V34" s="83"/>
      <c r="W34" s="83"/>
      <c r="X34" s="83"/>
      <c r="Y34" s="83"/>
      <c r="Z34" s="83"/>
    </row>
    <row r="35">
      <c r="A35" s="114" t="s">
        <v>1001</v>
      </c>
      <c r="B35" s="114" t="s">
        <v>1002</v>
      </c>
      <c r="C35" s="130">
        <f t="shared" si="1"/>
        <v>-1.5</v>
      </c>
      <c r="D35" s="86"/>
      <c r="E35" s="11">
        <v>2.0</v>
      </c>
      <c r="F35" s="12">
        <v>0.0</v>
      </c>
      <c r="G35" s="13">
        <v>0.0</v>
      </c>
      <c r="H35" s="87">
        <v>0.0</v>
      </c>
      <c r="I35" s="86"/>
      <c r="J35" s="11">
        <v>-2.0</v>
      </c>
      <c r="K35" s="12">
        <v>-2.0</v>
      </c>
      <c r="L35" s="13">
        <v>-3.0</v>
      </c>
      <c r="M35" s="87">
        <v>-3.0</v>
      </c>
      <c r="N35" s="86"/>
      <c r="O35" s="11">
        <v>0.0</v>
      </c>
      <c r="P35" s="12">
        <v>0.0</v>
      </c>
      <c r="Q35" s="13">
        <v>1.0</v>
      </c>
      <c r="R35" s="87">
        <v>1.0</v>
      </c>
      <c r="S35" s="83"/>
      <c r="T35" s="83"/>
      <c r="U35" s="83"/>
      <c r="V35" s="83"/>
      <c r="W35" s="83"/>
      <c r="X35" s="83"/>
      <c r="Y35" s="83"/>
      <c r="Z35" s="83"/>
    </row>
    <row r="36">
      <c r="A36" s="114" t="s">
        <v>1003</v>
      </c>
      <c r="B36" s="114" t="s">
        <v>1004</v>
      </c>
      <c r="C36" s="130">
        <f t="shared" si="1"/>
        <v>6.25</v>
      </c>
      <c r="D36" s="86"/>
      <c r="E36" s="11">
        <v>3.0</v>
      </c>
      <c r="F36" s="12">
        <v>3.0</v>
      </c>
      <c r="G36" s="13">
        <v>2.0</v>
      </c>
      <c r="H36" s="87">
        <v>2.0</v>
      </c>
      <c r="I36" s="86"/>
      <c r="J36" s="11">
        <v>-1.0</v>
      </c>
      <c r="K36" s="12">
        <v>-1.0</v>
      </c>
      <c r="L36" s="13">
        <v>-1.0</v>
      </c>
      <c r="M36" s="87">
        <v>-1.0</v>
      </c>
      <c r="N36" s="86"/>
      <c r="O36" s="11">
        <v>5.0</v>
      </c>
      <c r="P36" s="12">
        <v>4.0</v>
      </c>
      <c r="Q36" s="13">
        <v>5.0</v>
      </c>
      <c r="R36" s="87">
        <v>5.0</v>
      </c>
      <c r="S36" s="83"/>
      <c r="T36" s="83"/>
      <c r="U36" s="83"/>
      <c r="V36" s="83"/>
      <c r="W36" s="83"/>
      <c r="X36" s="83"/>
      <c r="Y36" s="83"/>
      <c r="Z36" s="83"/>
    </row>
    <row r="37" ht="15.75" customHeight="1">
      <c r="A37" s="118" t="s">
        <v>1005</v>
      </c>
      <c r="B37" s="134" t="s">
        <v>1006</v>
      </c>
      <c r="C37" s="130">
        <f t="shared" si="1"/>
        <v>3.5</v>
      </c>
      <c r="D37" s="135"/>
      <c r="E37" s="100">
        <v>4.0</v>
      </c>
      <c r="F37" s="97">
        <v>1.0</v>
      </c>
      <c r="G37" s="136"/>
      <c r="H37" s="141"/>
      <c r="I37" s="135"/>
      <c r="J37" s="100">
        <v>-1.0</v>
      </c>
      <c r="K37" s="97">
        <v>-1.0</v>
      </c>
      <c r="L37" s="136"/>
      <c r="M37" s="141"/>
      <c r="N37" s="135"/>
      <c r="O37" s="100">
        <v>3.0</v>
      </c>
      <c r="P37" s="97">
        <v>1.0</v>
      </c>
      <c r="Q37" s="136"/>
      <c r="R37" s="141"/>
      <c r="S37" s="83"/>
      <c r="T37" s="83"/>
      <c r="U37" s="83"/>
      <c r="V37" s="83"/>
      <c r="W37" s="83"/>
      <c r="X37" s="83"/>
      <c r="Y37" s="83"/>
      <c r="Z37" s="83"/>
    </row>
    <row r="38" ht="15.75" customHeight="1">
      <c r="A38" s="134" t="s">
        <v>1007</v>
      </c>
      <c r="B38" s="134" t="s">
        <v>1008</v>
      </c>
      <c r="C38" s="130">
        <f t="shared" si="1"/>
        <v>6</v>
      </c>
      <c r="D38" s="135"/>
      <c r="E38" s="100">
        <v>4.0</v>
      </c>
      <c r="F38" s="97">
        <v>4.0</v>
      </c>
      <c r="G38" s="136"/>
      <c r="H38" s="141"/>
      <c r="I38" s="135"/>
      <c r="J38" s="100">
        <v>-1.0</v>
      </c>
      <c r="K38" s="97">
        <v>-1.0</v>
      </c>
      <c r="L38" s="136"/>
      <c r="M38" s="141"/>
      <c r="N38" s="135"/>
      <c r="O38" s="100">
        <v>3.0</v>
      </c>
      <c r="P38" s="97">
        <v>3.0</v>
      </c>
      <c r="Q38" s="136"/>
      <c r="R38" s="141"/>
      <c r="S38" s="83"/>
      <c r="T38" s="83"/>
      <c r="U38" s="83"/>
      <c r="V38" s="83"/>
      <c r="W38" s="83"/>
      <c r="X38" s="83"/>
      <c r="Y38" s="83"/>
      <c r="Z38" s="83"/>
    </row>
    <row r="39" ht="15.75" customHeight="1">
      <c r="A39" s="134" t="s">
        <v>1009</v>
      </c>
      <c r="B39" s="134" t="s">
        <v>1008</v>
      </c>
      <c r="C39" s="130">
        <f t="shared" si="1"/>
        <v>6.5</v>
      </c>
      <c r="D39" s="135"/>
      <c r="E39" s="100">
        <v>4.0</v>
      </c>
      <c r="F39" s="97">
        <v>4.0</v>
      </c>
      <c r="G39" s="136"/>
      <c r="H39" s="141"/>
      <c r="I39" s="135"/>
      <c r="J39" s="100">
        <v>-1.0</v>
      </c>
      <c r="K39" s="97">
        <v>-1.0</v>
      </c>
      <c r="L39" s="136"/>
      <c r="M39" s="141"/>
      <c r="N39" s="135"/>
      <c r="O39" s="100">
        <v>4.0</v>
      </c>
      <c r="P39" s="97">
        <v>3.0</v>
      </c>
      <c r="Q39" s="136"/>
      <c r="R39" s="141"/>
      <c r="S39" s="83"/>
      <c r="T39" s="83"/>
      <c r="U39" s="83"/>
      <c r="V39" s="83"/>
      <c r="W39" s="83"/>
      <c r="X39" s="83"/>
      <c r="Y39" s="83"/>
      <c r="Z39" s="83"/>
    </row>
    <row r="40" ht="15.75" customHeight="1">
      <c r="A40" s="134" t="s">
        <v>214</v>
      </c>
      <c r="B40" s="134" t="s">
        <v>1010</v>
      </c>
      <c r="C40" s="130">
        <f t="shared" si="1"/>
        <v>7</v>
      </c>
      <c r="D40" s="135"/>
      <c r="E40" s="100">
        <v>4.0</v>
      </c>
      <c r="F40" s="97">
        <v>4.0</v>
      </c>
      <c r="G40" s="136"/>
      <c r="H40" s="141"/>
      <c r="I40" s="135"/>
      <c r="J40" s="100">
        <v>-2.0</v>
      </c>
      <c r="K40" s="97">
        <v>-2.0</v>
      </c>
      <c r="L40" s="136"/>
      <c r="M40" s="141"/>
      <c r="N40" s="135"/>
      <c r="O40" s="100">
        <v>5.0</v>
      </c>
      <c r="P40" s="97">
        <v>5.0</v>
      </c>
      <c r="Q40" s="136"/>
      <c r="R40" s="141"/>
      <c r="S40" s="83"/>
      <c r="T40" s="83"/>
      <c r="U40" s="83"/>
      <c r="V40" s="83"/>
      <c r="W40" s="83"/>
      <c r="X40" s="83"/>
      <c r="Y40" s="83"/>
      <c r="Z40" s="83"/>
    </row>
    <row r="41" ht="15.75" customHeight="1">
      <c r="A41" s="114" t="s">
        <v>1011</v>
      </c>
      <c r="B41" s="114" t="s">
        <v>1012</v>
      </c>
      <c r="C41" s="130">
        <f t="shared" si="1"/>
        <v>5.75</v>
      </c>
      <c r="D41" s="86"/>
      <c r="E41" s="11">
        <v>4.0</v>
      </c>
      <c r="F41" s="12">
        <v>1.0</v>
      </c>
      <c r="G41" s="13">
        <v>4.0</v>
      </c>
      <c r="H41" s="87">
        <v>4.0</v>
      </c>
      <c r="I41" s="86"/>
      <c r="J41" s="11">
        <v>-1.0</v>
      </c>
      <c r="K41" s="12">
        <v>-1.0</v>
      </c>
      <c r="L41" s="13">
        <v>0.0</v>
      </c>
      <c r="M41" s="87">
        <v>-1.0</v>
      </c>
      <c r="N41" s="86"/>
      <c r="O41" s="11">
        <v>3.0</v>
      </c>
      <c r="P41" s="12">
        <v>3.0</v>
      </c>
      <c r="Q41" s="13">
        <v>5.0</v>
      </c>
      <c r="R41" s="87">
        <v>2.0</v>
      </c>
      <c r="S41" s="83"/>
      <c r="T41" s="83"/>
      <c r="U41" s="83"/>
      <c r="V41" s="83"/>
      <c r="W41" s="83"/>
      <c r="X41" s="83"/>
      <c r="Y41" s="83"/>
      <c r="Z41" s="83"/>
    </row>
    <row r="42" ht="15.75" customHeight="1">
      <c r="A42" s="114" t="s">
        <v>1013</v>
      </c>
      <c r="B42" s="114" t="s">
        <v>1014</v>
      </c>
      <c r="C42" s="130">
        <f t="shared" si="1"/>
        <v>4.5</v>
      </c>
      <c r="D42" s="86"/>
      <c r="E42" s="11">
        <v>4.0</v>
      </c>
      <c r="F42" s="12">
        <v>4.0</v>
      </c>
      <c r="G42" s="13">
        <v>4.0</v>
      </c>
      <c r="H42" s="87">
        <v>2.0</v>
      </c>
      <c r="I42" s="86"/>
      <c r="J42" s="11">
        <v>-3.0</v>
      </c>
      <c r="K42" s="12">
        <v>-1.0</v>
      </c>
      <c r="L42" s="13">
        <v>-1.0</v>
      </c>
      <c r="M42" s="87">
        <v>-1.0</v>
      </c>
      <c r="N42" s="86"/>
      <c r="O42" s="11">
        <v>3.0</v>
      </c>
      <c r="P42" s="12">
        <v>3.0</v>
      </c>
      <c r="Q42" s="13">
        <v>2.0</v>
      </c>
      <c r="R42" s="87">
        <v>2.0</v>
      </c>
      <c r="S42" s="83"/>
      <c r="T42" s="83"/>
      <c r="U42" s="83"/>
      <c r="V42" s="83"/>
      <c r="W42" s="83"/>
      <c r="X42" s="83"/>
      <c r="Y42" s="83"/>
      <c r="Z42" s="83"/>
    </row>
    <row r="43" ht="15.75" customHeight="1">
      <c r="A43" s="134" t="s">
        <v>1015</v>
      </c>
      <c r="B43" s="134" t="s">
        <v>1016</v>
      </c>
      <c r="C43" s="130">
        <f t="shared" si="1"/>
        <v>5.5</v>
      </c>
      <c r="D43" s="135"/>
      <c r="E43" s="100">
        <v>4.0</v>
      </c>
      <c r="F43" s="97">
        <v>4.0</v>
      </c>
      <c r="G43" s="136"/>
      <c r="H43" s="141"/>
      <c r="I43" s="135"/>
      <c r="J43" s="100">
        <v>-2.0</v>
      </c>
      <c r="K43" s="97">
        <v>-1.0</v>
      </c>
      <c r="L43" s="136"/>
      <c r="M43" s="141"/>
      <c r="N43" s="135"/>
      <c r="O43" s="100">
        <v>4.0</v>
      </c>
      <c r="P43" s="97">
        <v>2.0</v>
      </c>
      <c r="Q43" s="136"/>
      <c r="R43" s="141"/>
      <c r="S43" s="83"/>
      <c r="T43" s="83"/>
      <c r="U43" s="83"/>
      <c r="V43" s="83"/>
      <c r="W43" s="83"/>
      <c r="X43" s="83"/>
      <c r="Y43" s="83"/>
      <c r="Z43" s="83"/>
    </row>
    <row r="44" ht="15.75" customHeight="1">
      <c r="A44" s="114" t="s">
        <v>1017</v>
      </c>
      <c r="B44" s="114" t="s">
        <v>1018</v>
      </c>
      <c r="C44" s="130">
        <f t="shared" si="1"/>
        <v>6</v>
      </c>
      <c r="D44" s="86"/>
      <c r="E44" s="11">
        <v>4.0</v>
      </c>
      <c r="F44" s="12">
        <v>4.0</v>
      </c>
      <c r="G44" s="13">
        <v>4.0</v>
      </c>
      <c r="H44" s="87">
        <v>4.0</v>
      </c>
      <c r="I44" s="86"/>
      <c r="J44" s="11">
        <v>-1.0</v>
      </c>
      <c r="K44" s="12">
        <v>0.0</v>
      </c>
      <c r="L44" s="13">
        <v>0.0</v>
      </c>
      <c r="M44" s="87">
        <v>-1.0</v>
      </c>
      <c r="N44" s="86"/>
      <c r="O44" s="11">
        <v>3.0</v>
      </c>
      <c r="P44" s="12">
        <v>4.0</v>
      </c>
      <c r="Q44" s="13">
        <v>2.0</v>
      </c>
      <c r="R44" s="87">
        <v>1.0</v>
      </c>
      <c r="S44" s="83"/>
      <c r="T44" s="83"/>
      <c r="U44" s="83"/>
      <c r="V44" s="83"/>
      <c r="W44" s="83"/>
      <c r="X44" s="83"/>
      <c r="Y44" s="83"/>
      <c r="Z44" s="83"/>
    </row>
    <row r="45" ht="15.75" customHeight="1">
      <c r="A45" s="114" t="s">
        <v>1019</v>
      </c>
      <c r="B45" s="114" t="s">
        <v>1020</v>
      </c>
      <c r="C45" s="130">
        <f t="shared" si="1"/>
        <v>4.25</v>
      </c>
      <c r="D45" s="86"/>
      <c r="E45" s="11">
        <v>4.0</v>
      </c>
      <c r="F45" s="12">
        <v>4.0</v>
      </c>
      <c r="G45" s="13">
        <v>4.0</v>
      </c>
      <c r="H45" s="87">
        <v>4.0</v>
      </c>
      <c r="I45" s="86"/>
      <c r="J45" s="11">
        <v>-3.0</v>
      </c>
      <c r="K45" s="12">
        <v>-1.0</v>
      </c>
      <c r="L45" s="13">
        <v>-3.0</v>
      </c>
      <c r="M45" s="87">
        <v>-1.0</v>
      </c>
      <c r="N45" s="86"/>
      <c r="O45" s="11">
        <v>2.0</v>
      </c>
      <c r="P45" s="12">
        <v>2.0</v>
      </c>
      <c r="Q45" s="13">
        <v>3.0</v>
      </c>
      <c r="R45" s="87">
        <v>2.0</v>
      </c>
      <c r="S45" s="83"/>
      <c r="T45" s="83"/>
      <c r="U45" s="83"/>
      <c r="V45" s="83"/>
      <c r="W45" s="83"/>
      <c r="X45" s="83"/>
      <c r="Y45" s="83"/>
      <c r="Z45" s="83"/>
    </row>
    <row r="46" ht="15.75" customHeight="1">
      <c r="A46" s="134" t="s">
        <v>1021</v>
      </c>
      <c r="B46" s="134" t="s">
        <v>1022</v>
      </c>
      <c r="C46" s="130">
        <f t="shared" si="1"/>
        <v>8.5</v>
      </c>
      <c r="D46" s="135"/>
      <c r="E46" s="100">
        <v>4.0</v>
      </c>
      <c r="F46" s="97">
        <v>4.0</v>
      </c>
      <c r="G46" s="136"/>
      <c r="H46" s="141"/>
      <c r="I46" s="135"/>
      <c r="J46" s="100">
        <v>-1.0</v>
      </c>
      <c r="K46" s="97">
        <v>0.0</v>
      </c>
      <c r="L46" s="136"/>
      <c r="M46" s="141"/>
      <c r="N46" s="135"/>
      <c r="O46" s="100">
        <v>5.0</v>
      </c>
      <c r="P46" s="97">
        <v>5.0</v>
      </c>
      <c r="Q46" s="136"/>
      <c r="R46" s="141"/>
      <c r="S46" s="83"/>
      <c r="T46" s="83"/>
      <c r="U46" s="83"/>
      <c r="V46" s="83"/>
      <c r="W46" s="83"/>
      <c r="X46" s="83"/>
      <c r="Y46" s="83"/>
      <c r="Z46" s="83"/>
    </row>
    <row r="47" ht="15.75" customHeight="1">
      <c r="A47" s="114" t="s">
        <v>1023</v>
      </c>
      <c r="B47" s="114" t="s">
        <v>1024</v>
      </c>
      <c r="C47" s="130">
        <f t="shared" si="1"/>
        <v>2</v>
      </c>
      <c r="D47" s="86"/>
      <c r="E47" s="11">
        <v>2.0</v>
      </c>
      <c r="F47" s="12">
        <v>2.0</v>
      </c>
      <c r="G47" s="13">
        <v>2.0</v>
      </c>
      <c r="H47" s="87"/>
      <c r="I47" s="86"/>
      <c r="J47" s="11">
        <v>-3.0</v>
      </c>
      <c r="K47" s="12">
        <v>-1.0</v>
      </c>
      <c r="L47" s="13">
        <v>-1.0</v>
      </c>
      <c r="M47" s="87"/>
      <c r="N47" s="86"/>
      <c r="O47" s="11">
        <v>1.0</v>
      </c>
      <c r="P47" s="12">
        <v>1.0</v>
      </c>
      <c r="Q47" s="13">
        <v>3.0</v>
      </c>
      <c r="R47" s="87"/>
      <c r="S47" s="83"/>
      <c r="T47" s="83"/>
      <c r="U47" s="83"/>
      <c r="V47" s="83"/>
      <c r="W47" s="83"/>
      <c r="X47" s="83"/>
      <c r="Y47" s="83"/>
      <c r="Z47" s="83"/>
    </row>
    <row r="48" ht="15.75" customHeight="1">
      <c r="A48" s="134" t="s">
        <v>1025</v>
      </c>
      <c r="B48" s="134" t="s">
        <v>1026</v>
      </c>
      <c r="C48" s="130">
        <f t="shared" si="1"/>
        <v>5</v>
      </c>
      <c r="D48" s="135"/>
      <c r="E48" s="100">
        <v>4.0</v>
      </c>
      <c r="F48" s="97">
        <v>4.0</v>
      </c>
      <c r="G48" s="136"/>
      <c r="H48" s="141"/>
      <c r="I48" s="135"/>
      <c r="J48" s="100">
        <v>-2.0</v>
      </c>
      <c r="K48" s="97">
        <v>-1.0</v>
      </c>
      <c r="L48" s="136"/>
      <c r="M48" s="141"/>
      <c r="N48" s="135"/>
      <c r="O48" s="100">
        <v>3.0</v>
      </c>
      <c r="P48" s="97">
        <v>2.0</v>
      </c>
      <c r="Q48" s="136"/>
      <c r="R48" s="141"/>
      <c r="S48" s="83"/>
      <c r="T48" s="83"/>
      <c r="U48" s="83"/>
      <c r="V48" s="83"/>
      <c r="W48" s="83"/>
      <c r="X48" s="83"/>
      <c r="Y48" s="83"/>
      <c r="Z48" s="83"/>
    </row>
    <row r="49" ht="15.75" customHeight="1">
      <c r="A49" s="114" t="s">
        <v>1027</v>
      </c>
      <c r="B49" s="114" t="s">
        <v>1028</v>
      </c>
      <c r="C49" s="130">
        <f t="shared" si="1"/>
        <v>3.666666667</v>
      </c>
      <c r="D49" s="86"/>
      <c r="E49" s="11">
        <v>2.0</v>
      </c>
      <c r="F49" s="12">
        <v>2.0</v>
      </c>
      <c r="G49" s="13">
        <v>2.0</v>
      </c>
      <c r="H49" s="87"/>
      <c r="I49" s="86"/>
      <c r="J49" s="11">
        <v>-1.0</v>
      </c>
      <c r="K49" s="12">
        <v>-1.0</v>
      </c>
      <c r="L49" s="13">
        <v>-1.0</v>
      </c>
      <c r="M49" s="87"/>
      <c r="N49" s="86"/>
      <c r="O49" s="11">
        <v>3.0</v>
      </c>
      <c r="P49" s="12">
        <v>2.0</v>
      </c>
      <c r="Q49" s="13">
        <v>3.0</v>
      </c>
      <c r="R49" s="87"/>
      <c r="S49" s="83"/>
      <c r="T49" s="83"/>
      <c r="U49" s="83"/>
      <c r="V49" s="83"/>
      <c r="W49" s="83"/>
      <c r="X49" s="83"/>
      <c r="Y49" s="83"/>
      <c r="Z49" s="83"/>
    </row>
    <row r="50" ht="15.75" customHeight="1">
      <c r="A50" s="114" t="s">
        <v>1029</v>
      </c>
      <c r="B50" s="114" t="s">
        <v>1030</v>
      </c>
      <c r="C50" s="130">
        <f t="shared" si="1"/>
        <v>5</v>
      </c>
      <c r="D50" s="86"/>
      <c r="E50" s="11">
        <v>2.0</v>
      </c>
      <c r="F50" s="12">
        <v>2.0</v>
      </c>
      <c r="G50" s="13">
        <v>2.0</v>
      </c>
      <c r="H50" s="87"/>
      <c r="I50" s="86"/>
      <c r="J50" s="11">
        <v>0.0</v>
      </c>
      <c r="K50" s="12">
        <v>0.0</v>
      </c>
      <c r="L50" s="13">
        <v>0.0</v>
      </c>
      <c r="M50" s="87"/>
      <c r="N50" s="86"/>
      <c r="O50" s="11">
        <v>3.0</v>
      </c>
      <c r="P50" s="12">
        <v>2.0</v>
      </c>
      <c r="Q50" s="13">
        <v>4.0</v>
      </c>
      <c r="R50" s="87"/>
      <c r="S50" s="83"/>
      <c r="T50" s="83"/>
      <c r="U50" s="83"/>
      <c r="V50" s="83"/>
      <c r="W50" s="83"/>
      <c r="X50" s="83"/>
      <c r="Y50" s="83"/>
      <c r="Z50" s="83"/>
    </row>
    <row r="51" ht="15.75" customHeight="1">
      <c r="A51" s="142" t="s">
        <v>1031</v>
      </c>
      <c r="B51" s="134" t="s">
        <v>1032</v>
      </c>
      <c r="C51" s="130">
        <f t="shared" si="1"/>
        <v>4.5</v>
      </c>
      <c r="D51" s="135"/>
      <c r="E51" s="100">
        <v>4.0</v>
      </c>
      <c r="F51" s="97">
        <v>4.0</v>
      </c>
      <c r="G51" s="136"/>
      <c r="H51" s="141"/>
      <c r="I51" s="135"/>
      <c r="J51" s="100">
        <v>-2.0</v>
      </c>
      <c r="K51" s="97">
        <v>-1.0</v>
      </c>
      <c r="L51" s="136"/>
      <c r="M51" s="141"/>
      <c r="N51" s="135"/>
      <c r="O51" s="100">
        <v>2.0</v>
      </c>
      <c r="P51" s="97">
        <v>2.0</v>
      </c>
      <c r="Q51" s="136"/>
      <c r="R51" s="141"/>
      <c r="S51" s="83"/>
      <c r="T51" s="83"/>
      <c r="U51" s="83"/>
      <c r="V51" s="83"/>
      <c r="W51" s="83"/>
      <c r="X51" s="83"/>
      <c r="Y51" s="83"/>
      <c r="Z51" s="83"/>
    </row>
    <row r="52" ht="15.75" customHeight="1">
      <c r="A52" s="114" t="s">
        <v>1033</v>
      </c>
      <c r="B52" s="114" t="s">
        <v>1034</v>
      </c>
      <c r="C52" s="130">
        <f t="shared" si="1"/>
        <v>5</v>
      </c>
      <c r="D52" s="86"/>
      <c r="E52" s="11">
        <v>4.0</v>
      </c>
      <c r="F52" s="12">
        <v>3.0</v>
      </c>
      <c r="G52" s="13">
        <v>4.0</v>
      </c>
      <c r="H52" s="87"/>
      <c r="I52" s="86"/>
      <c r="J52" s="11">
        <v>-1.0</v>
      </c>
      <c r="K52" s="12">
        <v>-1.0</v>
      </c>
      <c r="L52" s="13">
        <v>-1.0</v>
      </c>
      <c r="M52" s="87"/>
      <c r="N52" s="86"/>
      <c r="O52" s="11">
        <v>3.0</v>
      </c>
      <c r="P52" s="12">
        <v>1.0</v>
      </c>
      <c r="Q52" s="13">
        <v>3.0</v>
      </c>
      <c r="R52" s="87"/>
      <c r="S52" s="83"/>
      <c r="T52" s="83"/>
      <c r="U52" s="83"/>
      <c r="V52" s="83"/>
      <c r="W52" s="83"/>
      <c r="X52" s="83"/>
      <c r="Y52" s="83"/>
      <c r="Z52" s="83"/>
    </row>
    <row r="53" ht="15.75" customHeight="1">
      <c r="A53" s="134" t="s">
        <v>1035</v>
      </c>
      <c r="B53" s="134" t="s">
        <v>1036</v>
      </c>
      <c r="C53" s="130">
        <f t="shared" si="1"/>
        <v>3</v>
      </c>
      <c r="D53" s="135"/>
      <c r="E53" s="100">
        <v>4.0</v>
      </c>
      <c r="F53" s="97">
        <v>4.0</v>
      </c>
      <c r="G53" s="136"/>
      <c r="H53" s="141"/>
      <c r="I53" s="135"/>
      <c r="J53" s="100">
        <v>-2.0</v>
      </c>
      <c r="K53" s="97">
        <v>-3.0</v>
      </c>
      <c r="L53" s="136"/>
      <c r="M53" s="141"/>
      <c r="N53" s="135"/>
      <c r="O53" s="100">
        <v>2.0</v>
      </c>
      <c r="P53" s="97">
        <v>1.0</v>
      </c>
      <c r="Q53" s="136"/>
      <c r="R53" s="141"/>
      <c r="S53" s="83"/>
      <c r="T53" s="83"/>
      <c r="U53" s="83"/>
      <c r="V53" s="83"/>
      <c r="W53" s="83"/>
      <c r="X53" s="83"/>
      <c r="Y53" s="83"/>
      <c r="Z53" s="83"/>
    </row>
    <row r="54" ht="15.75" customHeight="1">
      <c r="A54" s="114" t="s">
        <v>1037</v>
      </c>
      <c r="B54" s="114" t="s">
        <v>1038</v>
      </c>
      <c r="C54" s="130">
        <f t="shared" si="1"/>
        <v>4.666666667</v>
      </c>
      <c r="D54" s="86"/>
      <c r="E54" s="11">
        <v>4.0</v>
      </c>
      <c r="F54" s="12">
        <v>2.0</v>
      </c>
      <c r="G54" s="13">
        <v>4.0</v>
      </c>
      <c r="H54" s="87"/>
      <c r="I54" s="86"/>
      <c r="J54" s="11">
        <v>-1.0</v>
      </c>
      <c r="K54" s="12">
        <v>-1.0</v>
      </c>
      <c r="L54" s="13">
        <v>0.0</v>
      </c>
      <c r="M54" s="87"/>
      <c r="N54" s="86"/>
      <c r="O54" s="11">
        <v>2.0</v>
      </c>
      <c r="P54" s="12">
        <v>1.0</v>
      </c>
      <c r="Q54" s="13">
        <v>3.0</v>
      </c>
      <c r="R54" s="87"/>
      <c r="S54" s="83"/>
      <c r="T54" s="83"/>
      <c r="U54" s="83"/>
      <c r="V54" s="83"/>
      <c r="W54" s="83"/>
      <c r="X54" s="83"/>
      <c r="Y54" s="83"/>
      <c r="Z54" s="83"/>
    </row>
    <row r="55" ht="15.75" customHeight="1">
      <c r="A55" s="114" t="s">
        <v>1039</v>
      </c>
      <c r="B55" s="114" t="s">
        <v>1040</v>
      </c>
      <c r="C55" s="130">
        <f t="shared" si="1"/>
        <v>6.333333333</v>
      </c>
      <c r="D55" s="86"/>
      <c r="E55" s="11">
        <v>4.0</v>
      </c>
      <c r="F55" s="12">
        <v>4.0</v>
      </c>
      <c r="G55" s="13">
        <v>4.0</v>
      </c>
      <c r="H55" s="87"/>
      <c r="I55" s="86"/>
      <c r="J55" s="11">
        <v>0.0</v>
      </c>
      <c r="K55" s="12">
        <v>0.0</v>
      </c>
      <c r="L55" s="13">
        <v>0.0</v>
      </c>
      <c r="M55" s="87"/>
      <c r="N55" s="86"/>
      <c r="O55" s="11">
        <v>2.0</v>
      </c>
      <c r="P55" s="12">
        <v>2.0</v>
      </c>
      <c r="Q55" s="13">
        <v>3.0</v>
      </c>
      <c r="R55" s="87"/>
      <c r="S55" s="83"/>
      <c r="T55" s="83"/>
      <c r="U55" s="83"/>
      <c r="V55" s="83"/>
      <c r="W55" s="83"/>
      <c r="X55" s="83"/>
      <c r="Y55" s="83"/>
      <c r="Z55" s="83"/>
    </row>
    <row r="56" ht="15.75" customHeight="1">
      <c r="A56" s="114" t="s">
        <v>1041</v>
      </c>
      <c r="B56" s="114" t="s">
        <v>1042</v>
      </c>
      <c r="C56" s="130">
        <f t="shared" si="1"/>
        <v>6</v>
      </c>
      <c r="D56" s="143"/>
      <c r="E56" s="11">
        <v>4.0</v>
      </c>
      <c r="F56" s="144">
        <v>4.0</v>
      </c>
      <c r="G56" s="145">
        <v>4.0</v>
      </c>
      <c r="H56" s="146"/>
      <c r="I56" s="143"/>
      <c r="J56" s="11">
        <v>0.0</v>
      </c>
      <c r="K56" s="144">
        <v>0.0</v>
      </c>
      <c r="L56" s="145">
        <v>0.0</v>
      </c>
      <c r="M56" s="146"/>
      <c r="N56" s="143"/>
      <c r="O56" s="11">
        <v>2.0</v>
      </c>
      <c r="P56" s="144">
        <v>2.0</v>
      </c>
      <c r="Q56" s="145">
        <v>2.0</v>
      </c>
      <c r="R56" s="146"/>
      <c r="S56" s="83"/>
      <c r="T56" s="83"/>
      <c r="U56" s="83"/>
      <c r="V56" s="83"/>
      <c r="W56" s="83"/>
      <c r="X56" s="83"/>
      <c r="Y56" s="83"/>
      <c r="Z56" s="83"/>
    </row>
    <row r="57" ht="15.75" customHeight="1">
      <c r="A57" s="134" t="s">
        <v>1043</v>
      </c>
      <c r="B57" s="134" t="s">
        <v>1044</v>
      </c>
      <c r="C57" s="130">
        <f t="shared" si="1"/>
        <v>2</v>
      </c>
      <c r="D57" s="135"/>
      <c r="E57" s="100">
        <v>2.0</v>
      </c>
      <c r="F57" s="97">
        <v>2.0</v>
      </c>
      <c r="G57" s="136"/>
      <c r="H57" s="141"/>
      <c r="I57" s="135"/>
      <c r="J57" s="100">
        <v>-2.0</v>
      </c>
      <c r="K57" s="97">
        <v>-1.0</v>
      </c>
      <c r="L57" s="136"/>
      <c r="M57" s="141"/>
      <c r="N57" s="135"/>
      <c r="O57" s="100">
        <v>2.0</v>
      </c>
      <c r="P57" s="97">
        <v>1.0</v>
      </c>
      <c r="Q57" s="136"/>
      <c r="R57" s="141"/>
      <c r="S57" s="83"/>
      <c r="T57" s="83"/>
      <c r="U57" s="83"/>
      <c r="V57" s="83"/>
      <c r="W57" s="83"/>
      <c r="X57" s="83"/>
      <c r="Y57" s="83"/>
      <c r="Z57" s="83"/>
    </row>
    <row r="58" ht="15.75" customHeight="1">
      <c r="A58" s="114" t="s">
        <v>1045</v>
      </c>
      <c r="B58" s="114" t="s">
        <v>1046</v>
      </c>
      <c r="C58" s="130">
        <f t="shared" si="1"/>
        <v>5</v>
      </c>
      <c r="D58" s="86"/>
      <c r="E58" s="11">
        <v>4.0</v>
      </c>
      <c r="F58" s="12">
        <v>3.0</v>
      </c>
      <c r="G58" s="13">
        <v>4.0</v>
      </c>
      <c r="H58" s="87"/>
      <c r="I58" s="86"/>
      <c r="J58" s="11">
        <v>0.0</v>
      </c>
      <c r="K58" s="12">
        <v>-1.0</v>
      </c>
      <c r="L58" s="13">
        <v>-1.0</v>
      </c>
      <c r="M58" s="87"/>
      <c r="N58" s="86"/>
      <c r="O58" s="11">
        <v>1.0</v>
      </c>
      <c r="P58" s="12">
        <v>2.0</v>
      </c>
      <c r="Q58" s="13">
        <v>3.0</v>
      </c>
      <c r="R58" s="87"/>
      <c r="S58" s="83"/>
      <c r="T58" s="83"/>
      <c r="U58" s="83"/>
      <c r="V58" s="83"/>
      <c r="W58" s="83"/>
      <c r="X58" s="83"/>
      <c r="Y58" s="83"/>
      <c r="Z58" s="83"/>
    </row>
    <row r="59" ht="15.75" customHeight="1">
      <c r="A59" s="114" t="s">
        <v>1047</v>
      </c>
      <c r="B59" s="114" t="s">
        <v>1048</v>
      </c>
      <c r="C59" s="130">
        <f t="shared" si="1"/>
        <v>5.666666667</v>
      </c>
      <c r="D59" s="86"/>
      <c r="E59" s="11">
        <v>2.0</v>
      </c>
      <c r="F59" s="12">
        <v>2.0</v>
      </c>
      <c r="G59" s="13">
        <v>2.0</v>
      </c>
      <c r="H59" s="87"/>
      <c r="I59" s="86"/>
      <c r="J59" s="11">
        <v>0.0</v>
      </c>
      <c r="K59" s="12">
        <v>0.0</v>
      </c>
      <c r="L59" s="13">
        <v>0.0</v>
      </c>
      <c r="M59" s="87"/>
      <c r="N59" s="86"/>
      <c r="O59" s="11">
        <v>4.0</v>
      </c>
      <c r="P59" s="12">
        <v>3.0</v>
      </c>
      <c r="Q59" s="13">
        <v>4.0</v>
      </c>
      <c r="R59" s="87"/>
      <c r="S59" s="83"/>
      <c r="T59" s="83"/>
      <c r="U59" s="83"/>
      <c r="V59" s="83"/>
      <c r="W59" s="83"/>
      <c r="X59" s="83"/>
      <c r="Y59" s="83"/>
      <c r="Z59" s="83"/>
    </row>
    <row r="60" ht="15.75" customHeight="1">
      <c r="A60" s="114" t="s">
        <v>1049</v>
      </c>
      <c r="B60" s="114" t="s">
        <v>1050</v>
      </c>
      <c r="C60" s="130">
        <f t="shared" si="1"/>
        <v>5.333333333</v>
      </c>
      <c r="D60" s="86"/>
      <c r="E60" s="11">
        <v>4.0</v>
      </c>
      <c r="F60" s="12">
        <v>4.0</v>
      </c>
      <c r="G60" s="13">
        <v>4.0</v>
      </c>
      <c r="H60" s="87"/>
      <c r="I60" s="86"/>
      <c r="J60" s="11">
        <v>-1.0</v>
      </c>
      <c r="K60" s="12">
        <v>-1.0</v>
      </c>
      <c r="L60" s="13">
        <v>-1.0</v>
      </c>
      <c r="M60" s="87"/>
      <c r="N60" s="86"/>
      <c r="O60" s="11">
        <v>2.0</v>
      </c>
      <c r="P60" s="12">
        <v>2.0</v>
      </c>
      <c r="Q60" s="13">
        <v>3.0</v>
      </c>
      <c r="R60" s="87"/>
      <c r="S60" s="83"/>
      <c r="T60" s="83"/>
      <c r="U60" s="83"/>
      <c r="V60" s="83"/>
      <c r="W60" s="83"/>
      <c r="X60" s="83"/>
      <c r="Y60" s="83"/>
      <c r="Z60" s="83"/>
    </row>
    <row r="61" ht="15.75" customHeight="1">
      <c r="A61" s="114" t="s">
        <v>1051</v>
      </c>
      <c r="B61" s="114" t="s">
        <v>1050</v>
      </c>
      <c r="C61" s="130">
        <f t="shared" si="1"/>
        <v>5.333333333</v>
      </c>
      <c r="D61" s="86"/>
      <c r="E61" s="11">
        <v>4.0</v>
      </c>
      <c r="F61" s="12">
        <v>4.0</v>
      </c>
      <c r="G61" s="13">
        <v>4.0</v>
      </c>
      <c r="H61" s="87"/>
      <c r="I61" s="86"/>
      <c r="J61" s="11">
        <v>-1.0</v>
      </c>
      <c r="K61" s="12">
        <v>-1.0</v>
      </c>
      <c r="L61" s="13">
        <v>-1.0</v>
      </c>
      <c r="M61" s="87"/>
      <c r="N61" s="86"/>
      <c r="O61" s="11">
        <v>2.0</v>
      </c>
      <c r="P61" s="12">
        <v>2.0</v>
      </c>
      <c r="Q61" s="13">
        <v>3.0</v>
      </c>
      <c r="R61" s="87"/>
      <c r="S61" s="83"/>
      <c r="T61" s="83"/>
      <c r="U61" s="83"/>
      <c r="V61" s="83"/>
      <c r="W61" s="83"/>
      <c r="X61" s="83"/>
      <c r="Y61" s="83"/>
      <c r="Z61" s="83"/>
    </row>
    <row r="62" ht="15.75" customHeight="1">
      <c r="A62" s="114" t="s">
        <v>1052</v>
      </c>
      <c r="B62" s="114" t="s">
        <v>1053</v>
      </c>
      <c r="C62" s="130">
        <f t="shared" si="1"/>
        <v>4.666666667</v>
      </c>
      <c r="D62" s="86"/>
      <c r="E62" s="11">
        <v>4.0</v>
      </c>
      <c r="F62" s="12">
        <v>3.0</v>
      </c>
      <c r="G62" s="13">
        <v>4.0</v>
      </c>
      <c r="H62" s="87"/>
      <c r="I62" s="86"/>
      <c r="J62" s="11">
        <v>-1.0</v>
      </c>
      <c r="K62" s="12">
        <v>-1.0</v>
      </c>
      <c r="L62" s="13">
        <v>-1.0</v>
      </c>
      <c r="M62" s="87"/>
      <c r="N62" s="86"/>
      <c r="O62" s="11">
        <v>2.0</v>
      </c>
      <c r="P62" s="12">
        <v>2.0</v>
      </c>
      <c r="Q62" s="13">
        <v>2.0</v>
      </c>
      <c r="R62" s="87"/>
      <c r="S62" s="83"/>
      <c r="T62" s="83"/>
      <c r="U62" s="83"/>
      <c r="V62" s="83"/>
      <c r="W62" s="83"/>
      <c r="X62" s="83"/>
      <c r="Y62" s="83"/>
      <c r="Z62" s="83"/>
    </row>
    <row r="63" ht="15.75" customHeight="1">
      <c r="A63" s="114" t="s">
        <v>1054</v>
      </c>
      <c r="B63" s="114" t="s">
        <v>1055</v>
      </c>
      <c r="C63" s="130">
        <f t="shared" si="1"/>
        <v>4.333333333</v>
      </c>
      <c r="D63" s="86"/>
      <c r="E63" s="11">
        <v>2.0</v>
      </c>
      <c r="F63" s="12">
        <v>2.0</v>
      </c>
      <c r="G63" s="13">
        <v>2.0</v>
      </c>
      <c r="H63" s="87"/>
      <c r="I63" s="86"/>
      <c r="J63" s="11">
        <v>0.0</v>
      </c>
      <c r="K63" s="12">
        <v>0.0</v>
      </c>
      <c r="L63" s="13">
        <v>0.0</v>
      </c>
      <c r="M63" s="87"/>
      <c r="N63" s="86"/>
      <c r="O63" s="11">
        <v>2.0</v>
      </c>
      <c r="P63" s="12">
        <v>2.0</v>
      </c>
      <c r="Q63" s="13">
        <v>3.0</v>
      </c>
      <c r="R63" s="87"/>
      <c r="S63" s="83"/>
      <c r="T63" s="83"/>
      <c r="U63" s="83"/>
      <c r="V63" s="83"/>
      <c r="W63" s="83"/>
      <c r="X63" s="83"/>
      <c r="Y63" s="83"/>
      <c r="Z63" s="83"/>
    </row>
    <row r="64" ht="15.75" customHeight="1">
      <c r="A64" s="134" t="s">
        <v>1056</v>
      </c>
      <c r="B64" s="134" t="s">
        <v>1057</v>
      </c>
      <c r="C64" s="130">
        <f t="shared" si="1"/>
        <v>3.5</v>
      </c>
      <c r="D64" s="135"/>
      <c r="E64" s="100">
        <v>4.0</v>
      </c>
      <c r="F64" s="97">
        <v>4.0</v>
      </c>
      <c r="G64" s="136"/>
      <c r="H64" s="141"/>
      <c r="I64" s="135"/>
      <c r="J64" s="100">
        <v>-2.0</v>
      </c>
      <c r="K64" s="97">
        <v>-1.0</v>
      </c>
      <c r="L64" s="136"/>
      <c r="M64" s="141"/>
      <c r="N64" s="135"/>
      <c r="O64" s="100">
        <v>1.0</v>
      </c>
      <c r="P64" s="97">
        <v>1.0</v>
      </c>
      <c r="Q64" s="136"/>
      <c r="R64" s="141"/>
      <c r="S64" s="83"/>
      <c r="T64" s="83"/>
      <c r="U64" s="83"/>
      <c r="V64" s="83"/>
      <c r="W64" s="83"/>
      <c r="X64" s="83"/>
      <c r="Y64" s="83"/>
      <c r="Z64" s="83"/>
    </row>
    <row r="65" ht="15.75" customHeight="1">
      <c r="A65" s="134" t="s">
        <v>1058</v>
      </c>
      <c r="B65" s="134" t="s">
        <v>1059</v>
      </c>
      <c r="C65" s="130">
        <f t="shared" si="1"/>
        <v>2.5</v>
      </c>
      <c r="D65" s="135"/>
      <c r="E65" s="100">
        <v>2.0</v>
      </c>
      <c r="F65" s="97">
        <v>2.0</v>
      </c>
      <c r="G65" s="136"/>
      <c r="H65" s="141"/>
      <c r="I65" s="135"/>
      <c r="J65" s="100">
        <v>-1.0</v>
      </c>
      <c r="K65" s="97">
        <v>-1.0</v>
      </c>
      <c r="L65" s="136"/>
      <c r="M65" s="141"/>
      <c r="N65" s="135"/>
      <c r="O65" s="100">
        <v>2.0</v>
      </c>
      <c r="P65" s="97">
        <v>1.0</v>
      </c>
      <c r="Q65" s="136"/>
      <c r="R65" s="141"/>
      <c r="S65" s="83"/>
      <c r="T65" s="83"/>
      <c r="U65" s="83"/>
      <c r="V65" s="83"/>
      <c r="W65" s="83"/>
      <c r="X65" s="83"/>
      <c r="Y65" s="83"/>
      <c r="Z65" s="83"/>
    </row>
    <row r="66" ht="15.75" customHeight="1">
      <c r="A66" s="114" t="s">
        <v>1060</v>
      </c>
      <c r="B66" s="114" t="s">
        <v>1061</v>
      </c>
      <c r="C66" s="130">
        <f t="shared" si="1"/>
        <v>7</v>
      </c>
      <c r="D66" s="86"/>
      <c r="E66" s="11">
        <v>4.0</v>
      </c>
      <c r="F66" s="12">
        <v>2.0</v>
      </c>
      <c r="G66" s="13">
        <v>4.0</v>
      </c>
      <c r="H66" s="87"/>
      <c r="I66" s="86"/>
      <c r="J66" s="11">
        <v>0.0</v>
      </c>
      <c r="K66" s="12">
        <v>0.0</v>
      </c>
      <c r="L66" s="13">
        <v>0.0</v>
      </c>
      <c r="M66" s="87"/>
      <c r="N66" s="86"/>
      <c r="O66" s="11">
        <v>4.0</v>
      </c>
      <c r="P66" s="12">
        <v>3.0</v>
      </c>
      <c r="Q66" s="13">
        <v>4.0</v>
      </c>
      <c r="R66" s="87"/>
      <c r="S66" s="83"/>
      <c r="T66" s="83"/>
      <c r="U66" s="83"/>
      <c r="V66" s="83"/>
      <c r="W66" s="83"/>
      <c r="X66" s="83"/>
      <c r="Y66" s="83"/>
      <c r="Z66" s="83"/>
    </row>
    <row r="67" ht="15.75" customHeight="1">
      <c r="A67" s="114" t="s">
        <v>1062</v>
      </c>
      <c r="B67" s="114" t="s">
        <v>1063</v>
      </c>
      <c r="C67" s="130">
        <f t="shared" si="1"/>
        <v>2.333333333</v>
      </c>
      <c r="D67" s="86"/>
      <c r="E67" s="11">
        <v>2.0</v>
      </c>
      <c r="F67" s="12">
        <v>2.0</v>
      </c>
      <c r="G67" s="13">
        <v>2.0</v>
      </c>
      <c r="H67" s="87"/>
      <c r="I67" s="86"/>
      <c r="J67" s="11">
        <v>-1.0</v>
      </c>
      <c r="K67" s="12">
        <v>-1.0</v>
      </c>
      <c r="L67" s="13">
        <v>-1.0</v>
      </c>
      <c r="M67" s="87"/>
      <c r="N67" s="86"/>
      <c r="O67" s="11">
        <v>1.0</v>
      </c>
      <c r="P67" s="12">
        <v>1.0</v>
      </c>
      <c r="Q67" s="13">
        <v>2.0</v>
      </c>
      <c r="R67" s="87"/>
      <c r="S67" s="83"/>
      <c r="T67" s="83"/>
      <c r="U67" s="83"/>
      <c r="V67" s="83"/>
      <c r="W67" s="83"/>
      <c r="X67" s="83"/>
      <c r="Y67" s="83"/>
      <c r="Z67" s="83"/>
    </row>
    <row r="68" ht="15.75" customHeight="1">
      <c r="A68" s="134" t="s">
        <v>1064</v>
      </c>
      <c r="B68" s="134" t="s">
        <v>1065</v>
      </c>
      <c r="C68" s="130">
        <f t="shared" si="1"/>
        <v>2</v>
      </c>
      <c r="D68" s="135"/>
      <c r="E68" s="100">
        <v>4.0</v>
      </c>
      <c r="F68" s="97">
        <v>1.0</v>
      </c>
      <c r="G68" s="136"/>
      <c r="H68" s="141"/>
      <c r="I68" s="135"/>
      <c r="J68" s="100">
        <v>-3.0</v>
      </c>
      <c r="K68" s="97">
        <v>-2.0</v>
      </c>
      <c r="L68" s="136"/>
      <c r="M68" s="141"/>
      <c r="N68" s="135"/>
      <c r="O68" s="100">
        <v>2.0</v>
      </c>
      <c r="P68" s="97">
        <v>2.0</v>
      </c>
      <c r="Q68" s="136"/>
      <c r="R68" s="141"/>
      <c r="S68" s="83"/>
      <c r="T68" s="83"/>
      <c r="U68" s="83"/>
      <c r="V68" s="83"/>
      <c r="W68" s="83"/>
      <c r="X68" s="83"/>
      <c r="Y68" s="83"/>
      <c r="Z68" s="83"/>
    </row>
    <row r="69" ht="15.75" customHeight="1">
      <c r="A69" s="134" t="s">
        <v>1066</v>
      </c>
      <c r="B69" s="134" t="s">
        <v>1067</v>
      </c>
      <c r="C69" s="130">
        <f t="shared" si="1"/>
        <v>5</v>
      </c>
      <c r="D69" s="135"/>
      <c r="E69" s="100">
        <v>4.0</v>
      </c>
      <c r="F69" s="97">
        <v>4.0</v>
      </c>
      <c r="G69" s="136"/>
      <c r="H69" s="141"/>
      <c r="I69" s="135"/>
      <c r="J69" s="100">
        <v>-3.0</v>
      </c>
      <c r="K69" s="97">
        <v>-1.0</v>
      </c>
      <c r="L69" s="136"/>
      <c r="M69" s="141"/>
      <c r="N69" s="135"/>
      <c r="O69" s="100">
        <v>3.0</v>
      </c>
      <c r="P69" s="97">
        <v>3.0</v>
      </c>
      <c r="Q69" s="136"/>
      <c r="R69" s="141"/>
      <c r="S69" s="83"/>
      <c r="T69" s="83"/>
      <c r="U69" s="83"/>
      <c r="V69" s="83"/>
      <c r="W69" s="83"/>
      <c r="X69" s="83"/>
      <c r="Y69" s="83"/>
      <c r="Z69" s="83"/>
    </row>
    <row r="70" ht="15.75" customHeight="1">
      <c r="A70" s="114" t="s">
        <v>1068</v>
      </c>
      <c r="B70" s="114" t="s">
        <v>1069</v>
      </c>
      <c r="C70" s="130">
        <f t="shared" si="1"/>
        <v>2.666666667</v>
      </c>
      <c r="D70" s="86"/>
      <c r="E70" s="11">
        <v>1.0</v>
      </c>
      <c r="F70" s="12">
        <v>1.0</v>
      </c>
      <c r="G70" s="13">
        <v>1.0</v>
      </c>
      <c r="H70" s="87"/>
      <c r="I70" s="86"/>
      <c r="J70" s="11">
        <v>0.0</v>
      </c>
      <c r="K70" s="12">
        <v>0.0</v>
      </c>
      <c r="L70" s="13">
        <v>0.0</v>
      </c>
      <c r="M70" s="87"/>
      <c r="N70" s="86"/>
      <c r="O70" s="11">
        <v>2.0</v>
      </c>
      <c r="P70" s="12">
        <v>1.0</v>
      </c>
      <c r="Q70" s="13">
        <v>2.0</v>
      </c>
      <c r="R70" s="87"/>
      <c r="S70" s="83"/>
      <c r="T70" s="83"/>
      <c r="U70" s="83"/>
      <c r="V70" s="83"/>
      <c r="W70" s="83"/>
      <c r="X70" s="83"/>
      <c r="Y70" s="83"/>
      <c r="Z70" s="83"/>
    </row>
    <row r="71" ht="15.75" customHeight="1">
      <c r="A71" s="114" t="s">
        <v>1070</v>
      </c>
      <c r="B71" s="114" t="s">
        <v>1071</v>
      </c>
      <c r="C71" s="130">
        <f t="shared" si="1"/>
        <v>2</v>
      </c>
      <c r="D71" s="86"/>
      <c r="E71" s="11">
        <v>1.0</v>
      </c>
      <c r="F71" s="12">
        <v>1.0</v>
      </c>
      <c r="G71" s="13">
        <v>1.0</v>
      </c>
      <c r="H71" s="87"/>
      <c r="I71" s="86"/>
      <c r="J71" s="11">
        <v>-1.0</v>
      </c>
      <c r="K71" s="12">
        <v>-1.0</v>
      </c>
      <c r="L71" s="13">
        <v>-1.0</v>
      </c>
      <c r="M71" s="87"/>
      <c r="N71" s="86"/>
      <c r="O71" s="11">
        <v>2.0</v>
      </c>
      <c r="P71" s="12">
        <v>1.0</v>
      </c>
      <c r="Q71" s="13">
        <v>3.0</v>
      </c>
      <c r="R71" s="87"/>
      <c r="S71" s="83"/>
      <c r="T71" s="83"/>
      <c r="U71" s="83"/>
      <c r="V71" s="83"/>
      <c r="W71" s="83"/>
      <c r="X71" s="83"/>
      <c r="Y71" s="83"/>
      <c r="Z71" s="83"/>
    </row>
    <row r="72" ht="15.75" customHeight="1">
      <c r="A72" s="114" t="s">
        <v>1072</v>
      </c>
      <c r="B72" s="137" t="s">
        <v>1073</v>
      </c>
      <c r="C72" s="130">
        <f t="shared" si="1"/>
        <v>3.666666667</v>
      </c>
      <c r="D72" s="86"/>
      <c r="E72" s="11">
        <v>2.0</v>
      </c>
      <c r="F72" s="12">
        <v>2.0</v>
      </c>
      <c r="G72" s="13">
        <v>2.0</v>
      </c>
      <c r="H72" s="87"/>
      <c r="I72" s="86"/>
      <c r="J72" s="11">
        <v>-1.0</v>
      </c>
      <c r="K72" s="12">
        <v>-1.0</v>
      </c>
      <c r="L72" s="13">
        <v>-1.0</v>
      </c>
      <c r="M72" s="87"/>
      <c r="N72" s="86"/>
      <c r="O72" s="11">
        <v>3.0</v>
      </c>
      <c r="P72" s="12">
        <v>2.0</v>
      </c>
      <c r="Q72" s="13">
        <v>3.0</v>
      </c>
      <c r="R72" s="87"/>
      <c r="S72" s="83"/>
      <c r="T72" s="83"/>
      <c r="U72" s="83"/>
      <c r="V72" s="83"/>
      <c r="W72" s="83"/>
      <c r="X72" s="83"/>
      <c r="Y72" s="83"/>
      <c r="Z72" s="83"/>
    </row>
    <row r="73" ht="15.75" customHeight="1">
      <c r="A73" s="139" t="s">
        <v>1074</v>
      </c>
      <c r="B73" s="140" t="s">
        <v>1075</v>
      </c>
      <c r="C73" s="130">
        <f t="shared" si="1"/>
        <v>2.333333333</v>
      </c>
      <c r="D73" s="86"/>
      <c r="E73" s="11">
        <v>1.0</v>
      </c>
      <c r="F73" s="12"/>
      <c r="G73" s="13">
        <v>1.0</v>
      </c>
      <c r="H73" s="87">
        <v>1.0</v>
      </c>
      <c r="I73" s="86"/>
      <c r="J73" s="11">
        <v>-1.0</v>
      </c>
      <c r="K73" s="12"/>
      <c r="L73" s="13">
        <v>-1.0</v>
      </c>
      <c r="M73" s="87">
        <v>-1.0</v>
      </c>
      <c r="N73" s="86"/>
      <c r="O73" s="11">
        <v>2.0</v>
      </c>
      <c r="P73" s="12"/>
      <c r="Q73" s="13">
        <v>2.0</v>
      </c>
      <c r="R73" s="87">
        <v>3.0</v>
      </c>
      <c r="S73" s="83"/>
      <c r="T73" s="83"/>
      <c r="U73" s="83"/>
      <c r="V73" s="83"/>
      <c r="W73" s="83"/>
      <c r="X73" s="83"/>
      <c r="Y73" s="83"/>
      <c r="Z73" s="83"/>
    </row>
    <row r="74" ht="15.75" customHeight="1">
      <c r="A74" s="114" t="s">
        <v>1076</v>
      </c>
      <c r="B74" s="114" t="s">
        <v>1077</v>
      </c>
      <c r="C74" s="130">
        <f t="shared" si="1"/>
        <v>5.5</v>
      </c>
      <c r="D74" s="86"/>
      <c r="E74" s="11">
        <v>4.0</v>
      </c>
      <c r="F74" s="12">
        <v>4.0</v>
      </c>
      <c r="G74" s="13">
        <v>4.0</v>
      </c>
      <c r="H74" s="128">
        <v>4.0</v>
      </c>
      <c r="I74" s="86"/>
      <c r="J74" s="11">
        <v>0.0</v>
      </c>
      <c r="K74" s="12">
        <v>0.0</v>
      </c>
      <c r="L74" s="13">
        <v>0.0</v>
      </c>
      <c r="M74" s="128">
        <v>-1.0</v>
      </c>
      <c r="N74" s="86"/>
      <c r="O74" s="11">
        <v>2.0</v>
      </c>
      <c r="P74" s="12">
        <v>3.0</v>
      </c>
      <c r="Q74" s="147">
        <v>1.0</v>
      </c>
      <c r="R74" s="128">
        <v>1.0</v>
      </c>
      <c r="S74" s="83"/>
      <c r="T74" s="83"/>
      <c r="U74" s="83"/>
      <c r="V74" s="83"/>
      <c r="W74" s="83"/>
      <c r="X74" s="83"/>
      <c r="Y74" s="83"/>
      <c r="Z74" s="83"/>
    </row>
    <row r="75" ht="15.75" customHeight="1">
      <c r="A75" s="114" t="s">
        <v>1078</v>
      </c>
      <c r="B75" s="114" t="s">
        <v>1077</v>
      </c>
      <c r="C75" s="130">
        <f t="shared" si="1"/>
        <v>6.25</v>
      </c>
      <c r="D75" s="86"/>
      <c r="E75" s="11">
        <v>4.0</v>
      </c>
      <c r="F75" s="12">
        <v>4.0</v>
      </c>
      <c r="G75" s="13">
        <v>4.0</v>
      </c>
      <c r="H75" s="128">
        <v>4.0</v>
      </c>
      <c r="I75" s="86"/>
      <c r="J75" s="11">
        <v>0.0</v>
      </c>
      <c r="K75" s="12">
        <v>0.0</v>
      </c>
      <c r="L75" s="13">
        <v>0.0</v>
      </c>
      <c r="M75" s="128">
        <v>-1.0</v>
      </c>
      <c r="N75" s="86"/>
      <c r="O75" s="11">
        <v>3.0</v>
      </c>
      <c r="P75" s="12">
        <v>3.0</v>
      </c>
      <c r="Q75" s="147">
        <v>2.0</v>
      </c>
      <c r="R75" s="128">
        <v>2.0</v>
      </c>
      <c r="S75" s="83"/>
      <c r="T75" s="83"/>
      <c r="U75" s="83"/>
      <c r="V75" s="83"/>
      <c r="W75" s="83"/>
      <c r="X75" s="83"/>
      <c r="Y75" s="83"/>
      <c r="Z75" s="83"/>
    </row>
    <row r="76" ht="15.75" customHeight="1">
      <c r="A76" s="114" t="s">
        <v>1079</v>
      </c>
      <c r="B76" s="114" t="s">
        <v>1077</v>
      </c>
      <c r="C76" s="130">
        <f t="shared" si="1"/>
        <v>6.75</v>
      </c>
      <c r="D76" s="86"/>
      <c r="E76" s="11">
        <v>4.0</v>
      </c>
      <c r="F76" s="12">
        <v>4.0</v>
      </c>
      <c r="G76" s="13">
        <v>4.0</v>
      </c>
      <c r="H76" s="128">
        <v>4.0</v>
      </c>
      <c r="I76" s="86"/>
      <c r="J76" s="11">
        <v>0.0</v>
      </c>
      <c r="K76" s="12">
        <v>0.0</v>
      </c>
      <c r="L76" s="13">
        <v>0.0</v>
      </c>
      <c r="M76" s="128">
        <v>-1.0</v>
      </c>
      <c r="N76" s="86"/>
      <c r="O76" s="11">
        <v>3.0</v>
      </c>
      <c r="P76" s="12">
        <v>3.0</v>
      </c>
      <c r="Q76" s="147">
        <v>3.0</v>
      </c>
      <c r="R76" s="128">
        <v>3.0</v>
      </c>
      <c r="S76" s="83"/>
      <c r="T76" s="83"/>
      <c r="U76" s="83"/>
      <c r="V76" s="83"/>
      <c r="W76" s="83"/>
      <c r="X76" s="83"/>
      <c r="Y76" s="83"/>
      <c r="Z76" s="83"/>
    </row>
    <row r="77" ht="15.75" customHeight="1">
      <c r="A77" s="114" t="s">
        <v>1080</v>
      </c>
      <c r="B77" s="114" t="s">
        <v>1077</v>
      </c>
      <c r="C77" s="130">
        <f t="shared" si="1"/>
        <v>7.25</v>
      </c>
      <c r="D77" s="86"/>
      <c r="E77" s="11">
        <v>4.0</v>
      </c>
      <c r="F77" s="12">
        <v>4.0</v>
      </c>
      <c r="G77" s="13">
        <v>4.0</v>
      </c>
      <c r="H77" s="128">
        <v>4.0</v>
      </c>
      <c r="I77" s="10"/>
      <c r="J77" s="11">
        <v>0.0</v>
      </c>
      <c r="K77" s="12">
        <v>0.0</v>
      </c>
      <c r="L77" s="13">
        <v>0.0</v>
      </c>
      <c r="M77" s="148">
        <v>-1.0</v>
      </c>
      <c r="N77" s="10"/>
      <c r="O77" s="11">
        <v>4.0</v>
      </c>
      <c r="P77" s="12">
        <v>3.0</v>
      </c>
      <c r="Q77" s="13">
        <v>4.0</v>
      </c>
      <c r="R77" s="148">
        <v>3.0</v>
      </c>
      <c r="S77" s="83"/>
      <c r="T77" s="83"/>
      <c r="U77" s="83"/>
      <c r="V77" s="83"/>
      <c r="W77" s="83"/>
      <c r="X77" s="83"/>
      <c r="Y77" s="83"/>
      <c r="Z77" s="83"/>
    </row>
    <row r="78" ht="15.75" customHeight="1">
      <c r="A78" s="114" t="s">
        <v>1081</v>
      </c>
      <c r="B78" s="114" t="s">
        <v>1082</v>
      </c>
      <c r="C78" s="130">
        <f t="shared" si="1"/>
        <v>3</v>
      </c>
      <c r="D78" s="86"/>
      <c r="E78" s="11">
        <v>1.0</v>
      </c>
      <c r="F78" s="12">
        <v>1.0</v>
      </c>
      <c r="G78" s="13">
        <v>4.0</v>
      </c>
      <c r="H78" s="87"/>
      <c r="I78" s="86"/>
      <c r="J78" s="11">
        <v>-1.0</v>
      </c>
      <c r="K78" s="12">
        <v>-1.0</v>
      </c>
      <c r="L78" s="13">
        <v>-1.0</v>
      </c>
      <c r="M78" s="87"/>
      <c r="N78" s="86"/>
      <c r="O78" s="11">
        <v>2.0</v>
      </c>
      <c r="P78" s="12">
        <v>2.0</v>
      </c>
      <c r="Q78" s="13">
        <v>2.0</v>
      </c>
      <c r="R78" s="87"/>
      <c r="S78" s="83"/>
      <c r="T78" s="83"/>
      <c r="U78" s="83"/>
      <c r="V78" s="83"/>
      <c r="W78" s="83"/>
      <c r="X78" s="83"/>
      <c r="Y78" s="83"/>
      <c r="Z78" s="83"/>
    </row>
    <row r="79" ht="15.75" customHeight="1">
      <c r="A79" s="134" t="s">
        <v>1083</v>
      </c>
      <c r="B79" s="134" t="s">
        <v>1084</v>
      </c>
      <c r="C79" s="130">
        <f t="shared" si="1"/>
        <v>5</v>
      </c>
      <c r="D79" s="135"/>
      <c r="E79" s="100">
        <v>2.0</v>
      </c>
      <c r="F79" s="97">
        <v>2.0</v>
      </c>
      <c r="G79" s="136"/>
      <c r="H79" s="141"/>
      <c r="I79" s="135"/>
      <c r="J79" s="100">
        <v>-1.0</v>
      </c>
      <c r="K79" s="97">
        <v>0.0</v>
      </c>
      <c r="L79" s="136"/>
      <c r="M79" s="141"/>
      <c r="N79" s="135"/>
      <c r="O79" s="100">
        <v>3.0</v>
      </c>
      <c r="P79" s="97">
        <v>4.0</v>
      </c>
      <c r="Q79" s="136"/>
      <c r="R79" s="141"/>
      <c r="S79" s="83"/>
      <c r="T79" s="83"/>
      <c r="U79" s="83"/>
      <c r="V79" s="83"/>
      <c r="W79" s="83"/>
      <c r="X79" s="83"/>
      <c r="Y79" s="83"/>
      <c r="Z79" s="83"/>
    </row>
    <row r="80" ht="15.75" customHeight="1">
      <c r="A80" s="114" t="s">
        <v>1085</v>
      </c>
      <c r="B80" s="114" t="s">
        <v>1086</v>
      </c>
      <c r="C80" s="130">
        <f t="shared" si="1"/>
        <v>4.333333333</v>
      </c>
      <c r="D80" s="86"/>
      <c r="E80" s="11">
        <v>4.0</v>
      </c>
      <c r="F80" s="12">
        <v>4.0</v>
      </c>
      <c r="G80" s="13">
        <v>4.0</v>
      </c>
      <c r="H80" s="87"/>
      <c r="I80" s="86"/>
      <c r="J80" s="11">
        <v>-1.0</v>
      </c>
      <c r="K80" s="12">
        <v>-1.0</v>
      </c>
      <c r="L80" s="13">
        <v>-1.0</v>
      </c>
      <c r="M80" s="87"/>
      <c r="N80" s="86"/>
      <c r="O80" s="11">
        <v>1.0</v>
      </c>
      <c r="P80" s="12">
        <v>1.0</v>
      </c>
      <c r="Q80" s="13">
        <v>2.0</v>
      </c>
      <c r="R80" s="87"/>
      <c r="S80" s="83"/>
      <c r="T80" s="83"/>
      <c r="U80" s="83"/>
      <c r="V80" s="83"/>
      <c r="W80" s="83"/>
      <c r="X80" s="83"/>
      <c r="Y80" s="83"/>
      <c r="Z80" s="83"/>
    </row>
    <row r="81" ht="15.75" customHeight="1">
      <c r="A81" s="114" t="s">
        <v>1087</v>
      </c>
      <c r="B81" s="114" t="s">
        <v>1088</v>
      </c>
      <c r="C81" s="130">
        <f t="shared" si="1"/>
        <v>4</v>
      </c>
      <c r="D81" s="86"/>
      <c r="E81" s="11">
        <v>3.0</v>
      </c>
      <c r="F81" s="12">
        <v>3.0</v>
      </c>
      <c r="G81" s="13">
        <v>3.0</v>
      </c>
      <c r="H81" s="87"/>
      <c r="I81" s="86"/>
      <c r="J81" s="11">
        <v>-2.0</v>
      </c>
      <c r="K81" s="12">
        <v>-1.0</v>
      </c>
      <c r="L81" s="13">
        <v>-1.0</v>
      </c>
      <c r="M81" s="87"/>
      <c r="N81" s="86"/>
      <c r="O81" s="11">
        <v>2.0</v>
      </c>
      <c r="P81" s="12">
        <v>2.0</v>
      </c>
      <c r="Q81" s="13">
        <v>3.0</v>
      </c>
      <c r="R81" s="87"/>
      <c r="S81" s="83"/>
      <c r="T81" s="83"/>
      <c r="U81" s="83"/>
      <c r="V81" s="83"/>
      <c r="W81" s="83"/>
      <c r="X81" s="83"/>
      <c r="Y81" s="83"/>
      <c r="Z81" s="83"/>
    </row>
    <row r="82" ht="15.75" customHeight="1">
      <c r="A82" s="114" t="s">
        <v>1089</v>
      </c>
      <c r="B82" s="114" t="s">
        <v>1090</v>
      </c>
      <c r="C82" s="130">
        <f t="shared" si="1"/>
        <v>6.666666667</v>
      </c>
      <c r="D82" s="86"/>
      <c r="E82" s="11">
        <v>4.0</v>
      </c>
      <c r="F82" s="12">
        <v>4.0</v>
      </c>
      <c r="G82" s="13">
        <v>4.0</v>
      </c>
      <c r="H82" s="87"/>
      <c r="I82" s="86"/>
      <c r="J82" s="11">
        <v>0.0</v>
      </c>
      <c r="K82" s="12">
        <v>0.0</v>
      </c>
      <c r="L82" s="13">
        <v>0.0</v>
      </c>
      <c r="M82" s="87"/>
      <c r="N82" s="86"/>
      <c r="O82" s="11">
        <v>3.0</v>
      </c>
      <c r="P82" s="12">
        <v>2.0</v>
      </c>
      <c r="Q82" s="13">
        <v>3.0</v>
      </c>
      <c r="R82" s="87"/>
      <c r="S82" s="83"/>
      <c r="T82" s="83"/>
      <c r="U82" s="83"/>
      <c r="V82" s="83"/>
      <c r="W82" s="83"/>
      <c r="X82" s="83"/>
      <c r="Y82" s="83"/>
      <c r="Z82" s="83"/>
    </row>
    <row r="83" ht="15.75" customHeight="1">
      <c r="A83" s="134" t="s">
        <v>1091</v>
      </c>
      <c r="B83" s="134" t="s">
        <v>1092</v>
      </c>
      <c r="C83" s="130">
        <f t="shared" si="1"/>
        <v>4</v>
      </c>
      <c r="D83" s="135"/>
      <c r="E83" s="100">
        <v>2.0</v>
      </c>
      <c r="F83" s="97">
        <v>2.0</v>
      </c>
      <c r="G83" s="136"/>
      <c r="H83" s="141"/>
      <c r="I83" s="135"/>
      <c r="J83" s="100">
        <v>0.0</v>
      </c>
      <c r="K83" s="97">
        <v>0.0</v>
      </c>
      <c r="L83" s="136"/>
      <c r="M83" s="141"/>
      <c r="N83" s="135"/>
      <c r="O83" s="100">
        <v>3.0</v>
      </c>
      <c r="P83" s="97">
        <v>1.0</v>
      </c>
      <c r="Q83" s="136"/>
      <c r="R83" s="141"/>
      <c r="S83" s="83"/>
      <c r="T83" s="83"/>
      <c r="U83" s="83"/>
      <c r="V83" s="83"/>
      <c r="W83" s="83"/>
      <c r="X83" s="83"/>
      <c r="Y83" s="83"/>
      <c r="Z83" s="83"/>
    </row>
    <row r="84" ht="15.75" customHeight="1">
      <c r="A84" s="114" t="s">
        <v>1093</v>
      </c>
      <c r="B84" s="114" t="s">
        <v>1094</v>
      </c>
      <c r="C84" s="130">
        <f t="shared" si="1"/>
        <v>3</v>
      </c>
      <c r="D84" s="86"/>
      <c r="E84" s="11">
        <v>3.0</v>
      </c>
      <c r="F84" s="12">
        <v>2.0</v>
      </c>
      <c r="G84" s="13">
        <v>3.0</v>
      </c>
      <c r="H84" s="87"/>
      <c r="I84" s="86"/>
      <c r="J84" s="11">
        <v>-1.0</v>
      </c>
      <c r="K84" s="12">
        <v>-1.0</v>
      </c>
      <c r="L84" s="13">
        <v>-1.0</v>
      </c>
      <c r="M84" s="87"/>
      <c r="N84" s="86"/>
      <c r="O84" s="11">
        <v>1.0</v>
      </c>
      <c r="P84" s="12">
        <v>1.0</v>
      </c>
      <c r="Q84" s="13">
        <v>2.0</v>
      </c>
      <c r="R84" s="87"/>
      <c r="S84" s="83"/>
      <c r="T84" s="83"/>
      <c r="U84" s="83"/>
      <c r="V84" s="83"/>
      <c r="W84" s="83"/>
      <c r="X84" s="83"/>
      <c r="Y84" s="83"/>
      <c r="Z84" s="83"/>
    </row>
    <row r="85" ht="15.75" customHeight="1">
      <c r="A85" s="114" t="s">
        <v>1095</v>
      </c>
      <c r="B85" s="114" t="s">
        <v>1096</v>
      </c>
      <c r="C85" s="130">
        <f t="shared" si="1"/>
        <v>7.333333333</v>
      </c>
      <c r="D85" s="86"/>
      <c r="E85" s="11">
        <v>4.0</v>
      </c>
      <c r="F85" s="12">
        <v>2.0</v>
      </c>
      <c r="G85" s="13">
        <v>3.0</v>
      </c>
      <c r="H85" s="87"/>
      <c r="I85" s="86"/>
      <c r="J85" s="11">
        <v>0.0</v>
      </c>
      <c r="K85" s="12">
        <v>0.0</v>
      </c>
      <c r="L85" s="13">
        <v>0.0</v>
      </c>
      <c r="M85" s="87"/>
      <c r="N85" s="86"/>
      <c r="O85" s="11">
        <v>5.0</v>
      </c>
      <c r="P85" s="12">
        <v>3.0</v>
      </c>
      <c r="Q85" s="13">
        <v>5.0</v>
      </c>
      <c r="R85" s="87"/>
      <c r="S85" s="83"/>
      <c r="T85" s="83"/>
      <c r="U85" s="83"/>
      <c r="V85" s="83"/>
      <c r="W85" s="83"/>
      <c r="X85" s="83"/>
      <c r="Y85" s="83"/>
      <c r="Z85" s="83"/>
    </row>
    <row r="86" ht="15.75" customHeight="1">
      <c r="A86" s="114" t="s">
        <v>1097</v>
      </c>
      <c r="B86" s="114" t="s">
        <v>1098</v>
      </c>
      <c r="C86" s="130">
        <f t="shared" si="1"/>
        <v>4.333333333</v>
      </c>
      <c r="D86" s="86"/>
      <c r="E86" s="11">
        <v>4.0</v>
      </c>
      <c r="F86" s="12">
        <v>2.0</v>
      </c>
      <c r="G86" s="13">
        <v>4.0</v>
      </c>
      <c r="H86" s="14"/>
      <c r="I86" s="86"/>
      <c r="J86" s="11">
        <v>-1.0</v>
      </c>
      <c r="K86" s="12">
        <v>0.0</v>
      </c>
      <c r="L86" s="13">
        <v>-1.0</v>
      </c>
      <c r="M86" s="87"/>
      <c r="N86" s="10"/>
      <c r="O86" s="11">
        <v>2.0</v>
      </c>
      <c r="P86" s="12">
        <v>1.0</v>
      </c>
      <c r="Q86" s="13">
        <v>2.0</v>
      </c>
      <c r="R86" s="87"/>
      <c r="S86" s="83"/>
      <c r="T86" s="83"/>
      <c r="U86" s="83"/>
      <c r="V86" s="83"/>
      <c r="W86" s="83"/>
      <c r="X86" s="83"/>
      <c r="Y86" s="83"/>
      <c r="Z86" s="83"/>
    </row>
    <row r="87" ht="15.75" customHeight="1">
      <c r="A87" s="114" t="s">
        <v>1099</v>
      </c>
      <c r="B87" s="114" t="s">
        <v>1100</v>
      </c>
      <c r="C87" s="130">
        <f t="shared" si="1"/>
        <v>6.5</v>
      </c>
      <c r="D87" s="86"/>
      <c r="E87" s="11">
        <v>4.0</v>
      </c>
      <c r="F87" s="131">
        <v>4.0</v>
      </c>
      <c r="G87" s="13">
        <v>4.0</v>
      </c>
      <c r="H87" s="14">
        <v>4.0</v>
      </c>
      <c r="I87" s="86"/>
      <c r="J87" s="11">
        <v>0.0</v>
      </c>
      <c r="K87" s="131">
        <v>0.0</v>
      </c>
      <c r="L87" s="13">
        <v>0.0</v>
      </c>
      <c r="M87" s="87">
        <v>0.0</v>
      </c>
      <c r="N87" s="10"/>
      <c r="O87" s="11">
        <v>3.0</v>
      </c>
      <c r="P87" s="131">
        <v>3.0</v>
      </c>
      <c r="Q87" s="13">
        <v>2.0</v>
      </c>
      <c r="R87" s="87">
        <v>2.0</v>
      </c>
      <c r="S87" s="83"/>
      <c r="T87" s="83"/>
      <c r="U87" s="83"/>
      <c r="V87" s="83"/>
      <c r="W87" s="83"/>
      <c r="X87" s="83"/>
      <c r="Y87" s="83"/>
      <c r="Z87" s="83"/>
    </row>
    <row r="88" ht="15.75" customHeight="1">
      <c r="A88" s="139" t="s">
        <v>1101</v>
      </c>
      <c r="B88" s="140" t="s">
        <v>1102</v>
      </c>
      <c r="C88" s="130">
        <f t="shared" si="1"/>
        <v>-0.25</v>
      </c>
      <c r="D88" s="86"/>
      <c r="E88" s="11">
        <v>4.0</v>
      </c>
      <c r="F88" s="131">
        <v>0.0</v>
      </c>
      <c r="G88" s="13">
        <v>4.0</v>
      </c>
      <c r="H88" s="87">
        <v>0.0</v>
      </c>
      <c r="I88" s="86"/>
      <c r="J88" s="11">
        <v>-3.0</v>
      </c>
      <c r="K88" s="131">
        <v>-3.0</v>
      </c>
      <c r="L88" s="13">
        <v>-3.0</v>
      </c>
      <c r="M88" s="87">
        <v>-2.0</v>
      </c>
      <c r="N88" s="10"/>
      <c r="O88" s="11">
        <v>1.0</v>
      </c>
      <c r="P88" s="131">
        <v>-1.0</v>
      </c>
      <c r="Q88" s="13">
        <v>1.0</v>
      </c>
      <c r="R88" s="87">
        <v>1.0</v>
      </c>
      <c r="S88" s="83"/>
      <c r="T88" s="83"/>
      <c r="U88" s="83"/>
      <c r="V88" s="83"/>
      <c r="W88" s="83"/>
      <c r="X88" s="83"/>
      <c r="Y88" s="83"/>
      <c r="Z88" s="83"/>
    </row>
    <row r="89" ht="15.75" customHeight="1">
      <c r="A89" s="114" t="s">
        <v>1103</v>
      </c>
      <c r="B89" s="114" t="s">
        <v>1104</v>
      </c>
      <c r="C89" s="130">
        <f t="shared" si="1"/>
        <v>5</v>
      </c>
      <c r="D89" s="86"/>
      <c r="E89" s="11">
        <v>2.0</v>
      </c>
      <c r="F89" s="131">
        <v>2.0</v>
      </c>
      <c r="G89" s="13">
        <v>2.0</v>
      </c>
      <c r="H89" s="87">
        <v>2.0</v>
      </c>
      <c r="I89" s="86"/>
      <c r="J89" s="11">
        <v>-1.0</v>
      </c>
      <c r="K89" s="131">
        <v>-1.0</v>
      </c>
      <c r="L89" s="13">
        <v>-1.0</v>
      </c>
      <c r="M89" s="87">
        <v>-1.0</v>
      </c>
      <c r="N89" s="10"/>
      <c r="O89" s="11">
        <v>5.0</v>
      </c>
      <c r="P89" s="131">
        <v>4.0</v>
      </c>
      <c r="Q89" s="13">
        <v>4.0</v>
      </c>
      <c r="R89" s="87">
        <v>3.0</v>
      </c>
      <c r="S89" s="83"/>
      <c r="T89" s="83"/>
      <c r="U89" s="83"/>
      <c r="V89" s="83"/>
      <c r="W89" s="83"/>
      <c r="X89" s="83"/>
      <c r="Y89" s="83"/>
      <c r="Z89" s="83"/>
    </row>
    <row r="90" ht="15.75" customHeight="1">
      <c r="A90" s="114" t="s">
        <v>1105</v>
      </c>
      <c r="B90" s="114" t="s">
        <v>1106</v>
      </c>
      <c r="C90" s="130">
        <f t="shared" si="1"/>
        <v>6</v>
      </c>
      <c r="D90" s="86"/>
      <c r="E90" s="11">
        <v>4.0</v>
      </c>
      <c r="F90" s="12"/>
      <c r="G90" s="13">
        <v>4.0</v>
      </c>
      <c r="H90" s="87">
        <v>4.0</v>
      </c>
      <c r="I90" s="86"/>
      <c r="J90" s="11">
        <v>-4.0</v>
      </c>
      <c r="K90" s="12"/>
      <c r="L90" s="13">
        <v>-1.0</v>
      </c>
      <c r="M90" s="87">
        <v>-4.0</v>
      </c>
      <c r="N90" s="10"/>
      <c r="O90" s="11">
        <v>5.0</v>
      </c>
      <c r="P90" s="12"/>
      <c r="Q90" s="13">
        <v>5.0</v>
      </c>
      <c r="R90" s="87">
        <v>5.0</v>
      </c>
      <c r="S90" s="83"/>
      <c r="T90" s="83"/>
      <c r="U90" s="83"/>
      <c r="V90" s="83"/>
      <c r="W90" s="83"/>
      <c r="X90" s="83"/>
      <c r="Y90" s="83"/>
      <c r="Z90" s="83"/>
    </row>
    <row r="91" ht="15.75" customHeight="1">
      <c r="A91" s="149" t="s">
        <v>1107</v>
      </c>
      <c r="B91" s="134" t="s">
        <v>1108</v>
      </c>
      <c r="C91" s="130">
        <f t="shared" si="1"/>
        <v>1.5</v>
      </c>
      <c r="D91" s="135"/>
      <c r="E91" s="100">
        <v>2.0</v>
      </c>
      <c r="F91" s="97">
        <v>2.0</v>
      </c>
      <c r="G91" s="136"/>
      <c r="H91" s="141"/>
      <c r="I91" s="135"/>
      <c r="J91" s="100">
        <v>-2.0</v>
      </c>
      <c r="K91" s="97">
        <v>-1.0</v>
      </c>
      <c r="L91" s="136"/>
      <c r="M91" s="141"/>
      <c r="N91" s="150"/>
      <c r="O91" s="100">
        <v>1.0</v>
      </c>
      <c r="P91" s="97">
        <v>1.0</v>
      </c>
      <c r="Q91" s="136"/>
      <c r="R91" s="141"/>
      <c r="S91" s="83"/>
      <c r="T91" s="83"/>
      <c r="U91" s="83"/>
      <c r="V91" s="83"/>
      <c r="W91" s="83"/>
      <c r="X91" s="83"/>
      <c r="Y91" s="83"/>
      <c r="Z91" s="83"/>
    </row>
    <row r="92" ht="15.75" customHeight="1">
      <c r="A92" s="134" t="s">
        <v>1109</v>
      </c>
      <c r="B92" s="134" t="s">
        <v>1110</v>
      </c>
      <c r="C92" s="130">
        <f t="shared" si="1"/>
        <v>3.5</v>
      </c>
      <c r="D92" s="135"/>
      <c r="E92" s="100">
        <v>2.0</v>
      </c>
      <c r="F92" s="97">
        <v>2.0</v>
      </c>
      <c r="G92" s="136"/>
      <c r="H92" s="141"/>
      <c r="I92" s="135"/>
      <c r="J92" s="100">
        <v>-1.0</v>
      </c>
      <c r="K92" s="97">
        <v>0.0</v>
      </c>
      <c r="L92" s="136"/>
      <c r="M92" s="141"/>
      <c r="N92" s="150"/>
      <c r="O92" s="100">
        <v>3.0</v>
      </c>
      <c r="P92" s="97">
        <v>1.0</v>
      </c>
      <c r="Q92" s="136"/>
      <c r="R92" s="141"/>
      <c r="S92" s="83"/>
      <c r="T92" s="83"/>
      <c r="U92" s="83"/>
      <c r="V92" s="83"/>
      <c r="W92" s="83"/>
      <c r="X92" s="83"/>
      <c r="Y92" s="83"/>
      <c r="Z92" s="83"/>
    </row>
    <row r="93" ht="15.75" customHeight="1">
      <c r="A93" s="134" t="s">
        <v>1111</v>
      </c>
      <c r="B93" s="134" t="s">
        <v>1112</v>
      </c>
      <c r="C93" s="130">
        <f t="shared" si="1"/>
        <v>3</v>
      </c>
      <c r="D93" s="135"/>
      <c r="E93" s="100">
        <v>2.0</v>
      </c>
      <c r="F93" s="97">
        <v>2.0</v>
      </c>
      <c r="G93" s="136"/>
      <c r="H93" s="141"/>
      <c r="I93" s="135"/>
      <c r="J93" s="100">
        <v>-1.0</v>
      </c>
      <c r="K93" s="97">
        <v>0.0</v>
      </c>
      <c r="L93" s="136"/>
      <c r="M93" s="141"/>
      <c r="N93" s="150"/>
      <c r="O93" s="100">
        <v>2.0</v>
      </c>
      <c r="P93" s="97">
        <v>1.0</v>
      </c>
      <c r="Q93" s="136"/>
      <c r="R93" s="141"/>
      <c r="S93" s="83"/>
      <c r="T93" s="83"/>
      <c r="U93" s="83"/>
      <c r="V93" s="83"/>
      <c r="W93" s="83"/>
      <c r="X93" s="83"/>
      <c r="Y93" s="83"/>
      <c r="Z93" s="83"/>
    </row>
    <row r="94" ht="15.75" customHeight="1">
      <c r="A94" s="114" t="s">
        <v>1113</v>
      </c>
      <c r="B94" s="114" t="s">
        <v>1114</v>
      </c>
      <c r="C94" s="130">
        <f t="shared" si="1"/>
        <v>7.333333333</v>
      </c>
      <c r="D94" s="88"/>
      <c r="E94" s="89">
        <v>4.0</v>
      </c>
      <c r="F94" s="90"/>
      <c r="G94" s="91">
        <v>4.0</v>
      </c>
      <c r="H94" s="92">
        <v>4.0</v>
      </c>
      <c r="I94" s="88"/>
      <c r="J94" s="89">
        <v>0.0</v>
      </c>
      <c r="K94" s="90"/>
      <c r="L94" s="91">
        <v>0.0</v>
      </c>
      <c r="M94" s="92">
        <v>0.0</v>
      </c>
      <c r="N94" s="151"/>
      <c r="O94" s="89">
        <v>3.0</v>
      </c>
      <c r="P94" s="90"/>
      <c r="Q94" s="91">
        <v>4.0</v>
      </c>
      <c r="R94" s="92">
        <v>3.0</v>
      </c>
      <c r="S94" s="83"/>
      <c r="T94" s="83"/>
      <c r="U94" s="83"/>
      <c r="V94" s="83"/>
      <c r="W94" s="83"/>
      <c r="X94" s="83"/>
      <c r="Y94" s="83"/>
      <c r="Z94" s="83"/>
    </row>
    <row r="95" ht="15.75" customHeight="1">
      <c r="A95" s="118" t="s">
        <v>840</v>
      </c>
      <c r="B95" s="118" t="s">
        <v>1115</v>
      </c>
      <c r="C95" s="130">
        <f t="shared" si="1"/>
        <v>9.5</v>
      </c>
      <c r="D95" s="150"/>
      <c r="E95" s="100">
        <v>5.0</v>
      </c>
      <c r="F95" s="97">
        <v>5.0</v>
      </c>
      <c r="G95" s="136"/>
      <c r="H95" s="152"/>
      <c r="I95" s="150"/>
      <c r="J95" s="100">
        <v>-1.0</v>
      </c>
      <c r="K95" s="97">
        <v>0.0</v>
      </c>
      <c r="L95" s="136"/>
      <c r="M95" s="152"/>
      <c r="N95" s="150"/>
      <c r="O95" s="100">
        <v>5.0</v>
      </c>
      <c r="P95" s="97">
        <v>5.0</v>
      </c>
      <c r="Q95" s="136"/>
      <c r="R95" s="152"/>
      <c r="S95" s="83"/>
      <c r="T95" s="83"/>
      <c r="U95" s="83"/>
      <c r="V95" s="83"/>
      <c r="W95" s="83"/>
      <c r="X95" s="83"/>
      <c r="Y95" s="83"/>
      <c r="Z95" s="83"/>
    </row>
    <row r="96" ht="15.75" customHeight="1">
      <c r="A96" s="114" t="s">
        <v>1116</v>
      </c>
      <c r="B96" s="114" t="s">
        <v>1117</v>
      </c>
      <c r="C96" s="130">
        <f t="shared" si="1"/>
        <v>4.333333333</v>
      </c>
      <c r="D96" s="10"/>
      <c r="E96" s="11">
        <v>2.0</v>
      </c>
      <c r="F96" s="12"/>
      <c r="G96" s="13">
        <v>2.0</v>
      </c>
      <c r="H96" s="14">
        <v>2.0</v>
      </c>
      <c r="I96" s="10"/>
      <c r="J96" s="11">
        <v>0.0</v>
      </c>
      <c r="K96" s="12"/>
      <c r="L96" s="13">
        <v>0.0</v>
      </c>
      <c r="M96" s="14">
        <v>0.0</v>
      </c>
      <c r="N96" s="10"/>
      <c r="O96" s="11">
        <v>2.0</v>
      </c>
      <c r="P96" s="12"/>
      <c r="Q96" s="13">
        <v>3.0</v>
      </c>
      <c r="R96" s="14">
        <v>2.0</v>
      </c>
      <c r="S96" s="83"/>
      <c r="T96" s="83"/>
      <c r="U96" s="83"/>
      <c r="V96" s="83"/>
      <c r="W96" s="83"/>
      <c r="X96" s="83"/>
      <c r="Y96" s="83"/>
      <c r="Z96" s="83"/>
    </row>
    <row r="97" ht="15.75" customHeight="1">
      <c r="A97" s="139" t="s">
        <v>1118</v>
      </c>
      <c r="B97" s="140" t="s">
        <v>1119</v>
      </c>
      <c r="C97" s="130">
        <f t="shared" si="1"/>
        <v>3.666666667</v>
      </c>
      <c r="D97" s="10"/>
      <c r="E97" s="11">
        <v>2.0</v>
      </c>
      <c r="F97" s="12"/>
      <c r="G97" s="13">
        <v>2.0</v>
      </c>
      <c r="H97" s="14">
        <v>4.0</v>
      </c>
      <c r="I97" s="10"/>
      <c r="J97" s="11">
        <v>-1.0</v>
      </c>
      <c r="K97" s="12"/>
      <c r="L97" s="13">
        <v>-1.0</v>
      </c>
      <c r="M97" s="14">
        <v>-1.0</v>
      </c>
      <c r="N97" s="10"/>
      <c r="O97" s="11">
        <v>3.0</v>
      </c>
      <c r="P97" s="12"/>
      <c r="Q97" s="13">
        <v>2.0</v>
      </c>
      <c r="R97" s="14">
        <v>1.0</v>
      </c>
      <c r="S97" s="83"/>
      <c r="T97" s="83"/>
      <c r="U97" s="83"/>
      <c r="V97" s="83"/>
      <c r="W97" s="83"/>
      <c r="X97" s="83"/>
      <c r="Y97" s="83"/>
      <c r="Z97" s="83"/>
    </row>
    <row r="98" ht="15.75" customHeight="1">
      <c r="A98" s="114" t="s">
        <v>1120</v>
      </c>
      <c r="B98" s="114" t="s">
        <v>1121</v>
      </c>
      <c r="C98" s="130">
        <f t="shared" si="1"/>
        <v>7</v>
      </c>
      <c r="D98" s="10"/>
      <c r="E98" s="11">
        <v>4.0</v>
      </c>
      <c r="F98" s="12"/>
      <c r="G98" s="13">
        <v>4.0</v>
      </c>
      <c r="H98" s="14">
        <v>4.0</v>
      </c>
      <c r="I98" s="10"/>
      <c r="J98" s="11">
        <v>-1.0</v>
      </c>
      <c r="K98" s="12"/>
      <c r="L98" s="13">
        <v>-1.0</v>
      </c>
      <c r="M98" s="14">
        <v>0.0</v>
      </c>
      <c r="N98" s="10"/>
      <c r="O98" s="11">
        <v>4.0</v>
      </c>
      <c r="P98" s="12"/>
      <c r="Q98" s="13">
        <v>4.0</v>
      </c>
      <c r="R98" s="14">
        <v>3.0</v>
      </c>
      <c r="S98" s="83"/>
      <c r="T98" s="83"/>
      <c r="U98" s="83"/>
      <c r="V98" s="83"/>
      <c r="W98" s="83"/>
      <c r="X98" s="83"/>
      <c r="Y98" s="83"/>
      <c r="Z98" s="83"/>
    </row>
    <row r="99" ht="15.75" customHeight="1">
      <c r="A99" s="139" t="s">
        <v>1122</v>
      </c>
      <c r="B99" s="140" t="s">
        <v>1123</v>
      </c>
      <c r="C99" s="130">
        <f t="shared" si="1"/>
        <v>3.666666667</v>
      </c>
      <c r="D99" s="10"/>
      <c r="E99" s="11">
        <v>2.0</v>
      </c>
      <c r="F99" s="12"/>
      <c r="G99" s="13">
        <v>4.0</v>
      </c>
      <c r="H99" s="14">
        <v>4.0</v>
      </c>
      <c r="I99" s="10"/>
      <c r="J99" s="11">
        <v>-1.0</v>
      </c>
      <c r="K99" s="12"/>
      <c r="L99" s="13">
        <v>-1.0</v>
      </c>
      <c r="M99" s="14">
        <v>-1.0</v>
      </c>
      <c r="N99" s="10"/>
      <c r="O99" s="11">
        <v>1.0</v>
      </c>
      <c r="P99" s="12"/>
      <c r="Q99" s="13">
        <v>2.0</v>
      </c>
      <c r="R99" s="14">
        <v>1.0</v>
      </c>
      <c r="S99" s="83"/>
      <c r="T99" s="83"/>
      <c r="U99" s="83"/>
      <c r="V99" s="83"/>
      <c r="W99" s="83"/>
      <c r="X99" s="83"/>
      <c r="Y99" s="83"/>
      <c r="Z99" s="83"/>
    </row>
    <row r="100" ht="15.75" customHeight="1">
      <c r="A100" s="114" t="s">
        <v>1124</v>
      </c>
      <c r="B100" s="114" t="s">
        <v>1125</v>
      </c>
      <c r="C100" s="130">
        <f t="shared" si="1"/>
        <v>4</v>
      </c>
      <c r="D100" s="10"/>
      <c r="E100" s="11">
        <v>2.0</v>
      </c>
      <c r="F100" s="12"/>
      <c r="G100" s="13">
        <v>2.0</v>
      </c>
      <c r="H100" s="14">
        <v>2.0</v>
      </c>
      <c r="I100" s="10"/>
      <c r="J100" s="11">
        <v>-1.0</v>
      </c>
      <c r="K100" s="12"/>
      <c r="L100" s="13">
        <v>-1.0</v>
      </c>
      <c r="M100" s="14">
        <v>-1.0</v>
      </c>
      <c r="N100" s="10"/>
      <c r="O100" s="11">
        <v>3.0</v>
      </c>
      <c r="P100" s="12"/>
      <c r="Q100" s="13">
        <v>4.0</v>
      </c>
      <c r="R100" s="14">
        <v>2.0</v>
      </c>
      <c r="S100" s="83"/>
      <c r="T100" s="83"/>
      <c r="U100" s="83"/>
      <c r="V100" s="83"/>
      <c r="W100" s="83"/>
      <c r="X100" s="83"/>
      <c r="Y100" s="83"/>
      <c r="Z100" s="83"/>
    </row>
    <row r="101" ht="15.75" customHeight="1">
      <c r="A101" s="114" t="s">
        <v>1126</v>
      </c>
      <c r="B101" s="114" t="s">
        <v>1127</v>
      </c>
      <c r="C101" s="130">
        <f t="shared" si="1"/>
        <v>-2</v>
      </c>
      <c r="D101" s="10"/>
      <c r="E101" s="11">
        <v>0.0</v>
      </c>
      <c r="F101" s="12"/>
      <c r="G101" s="13">
        <v>0.0</v>
      </c>
      <c r="H101" s="14">
        <v>0.0</v>
      </c>
      <c r="I101" s="10"/>
      <c r="J101" s="11">
        <v>-3.0</v>
      </c>
      <c r="K101" s="12"/>
      <c r="L101" s="13">
        <v>-3.0</v>
      </c>
      <c r="M101" s="14">
        <v>-3.0</v>
      </c>
      <c r="N101" s="10"/>
      <c r="O101" s="11">
        <v>1.0</v>
      </c>
      <c r="P101" s="12"/>
      <c r="Q101" s="13">
        <v>1.0</v>
      </c>
      <c r="R101" s="14">
        <v>1.0</v>
      </c>
      <c r="S101" s="83"/>
      <c r="T101" s="83"/>
      <c r="U101" s="83"/>
      <c r="V101" s="83"/>
      <c r="W101" s="83"/>
      <c r="X101" s="83"/>
      <c r="Y101" s="83"/>
      <c r="Z101" s="83"/>
    </row>
    <row r="102" ht="15.75" customHeight="1">
      <c r="A102" s="118" t="s">
        <v>1128</v>
      </c>
      <c r="B102" s="118" t="s">
        <v>1129</v>
      </c>
      <c r="C102" s="130">
        <f t="shared" si="1"/>
        <v>6</v>
      </c>
      <c r="D102" s="150"/>
      <c r="E102" s="100">
        <v>4.0</v>
      </c>
      <c r="F102" s="97">
        <v>4.0</v>
      </c>
      <c r="G102" s="136"/>
      <c r="H102" s="152"/>
      <c r="I102" s="150"/>
      <c r="J102" s="100">
        <v>-1.0</v>
      </c>
      <c r="K102" s="97">
        <v>-2.0</v>
      </c>
      <c r="L102" s="136"/>
      <c r="M102" s="152"/>
      <c r="N102" s="150"/>
      <c r="O102" s="100">
        <v>4.0</v>
      </c>
      <c r="P102" s="97">
        <v>3.0</v>
      </c>
      <c r="Q102" s="136"/>
      <c r="R102" s="152"/>
      <c r="S102" s="83"/>
      <c r="T102" s="83"/>
      <c r="U102" s="83"/>
      <c r="V102" s="83"/>
      <c r="W102" s="83"/>
      <c r="X102" s="83"/>
      <c r="Y102" s="83"/>
      <c r="Z102" s="83"/>
    </row>
    <row r="103" ht="15.75" customHeight="1">
      <c r="A103" s="139" t="s">
        <v>1130</v>
      </c>
      <c r="B103" s="140" t="s">
        <v>1131</v>
      </c>
      <c r="C103" s="130">
        <f t="shared" si="1"/>
        <v>4.333333333</v>
      </c>
      <c r="D103" s="10"/>
      <c r="E103" s="11">
        <v>4.0</v>
      </c>
      <c r="F103" s="12"/>
      <c r="G103" s="13">
        <v>4.0</v>
      </c>
      <c r="H103" s="14">
        <v>4.0</v>
      </c>
      <c r="I103" s="10"/>
      <c r="J103" s="11">
        <v>-1.0</v>
      </c>
      <c r="K103" s="12"/>
      <c r="L103" s="13">
        <v>-1.0</v>
      </c>
      <c r="M103" s="14">
        <v>-1.0</v>
      </c>
      <c r="N103" s="10"/>
      <c r="O103" s="11">
        <v>1.0</v>
      </c>
      <c r="P103" s="12"/>
      <c r="Q103" s="13">
        <v>2.0</v>
      </c>
      <c r="R103" s="14">
        <v>1.0</v>
      </c>
      <c r="S103" s="83"/>
      <c r="T103" s="83"/>
      <c r="U103" s="83"/>
      <c r="V103" s="83"/>
      <c r="W103" s="83"/>
      <c r="X103" s="83"/>
      <c r="Y103" s="83"/>
      <c r="Z103" s="83"/>
    </row>
    <row r="104" ht="15.75" customHeight="1">
      <c r="A104" s="114" t="s">
        <v>1132</v>
      </c>
      <c r="B104" s="114" t="s">
        <v>1133</v>
      </c>
      <c r="C104" s="130">
        <f t="shared" si="1"/>
        <v>-2.333333333</v>
      </c>
      <c r="D104" s="10"/>
      <c r="E104" s="11">
        <v>2.0</v>
      </c>
      <c r="F104" s="12"/>
      <c r="G104" s="13">
        <v>2.0</v>
      </c>
      <c r="H104" s="14">
        <v>0.0</v>
      </c>
      <c r="I104" s="10"/>
      <c r="J104" s="11">
        <v>-3.0</v>
      </c>
      <c r="K104" s="12"/>
      <c r="L104" s="13">
        <v>-3.0</v>
      </c>
      <c r="M104" s="14">
        <v>-5.0</v>
      </c>
      <c r="N104" s="10"/>
      <c r="O104" s="11">
        <v>0.0</v>
      </c>
      <c r="P104" s="12"/>
      <c r="Q104" s="13">
        <v>0.0</v>
      </c>
      <c r="R104" s="14">
        <v>0.0</v>
      </c>
      <c r="S104" s="83"/>
      <c r="T104" s="83"/>
      <c r="U104" s="83"/>
      <c r="V104" s="83"/>
      <c r="W104" s="83"/>
      <c r="X104" s="83"/>
      <c r="Y104" s="83"/>
      <c r="Z104" s="83"/>
    </row>
    <row r="105" ht="15.75" customHeight="1">
      <c r="A105" s="114" t="s">
        <v>1134</v>
      </c>
      <c r="B105" s="114" t="s">
        <v>1135</v>
      </c>
      <c r="C105" s="130">
        <f t="shared" si="1"/>
        <v>4</v>
      </c>
      <c r="D105" s="10"/>
      <c r="E105" s="11">
        <v>4.0</v>
      </c>
      <c r="F105" s="12"/>
      <c r="G105" s="13">
        <v>4.0</v>
      </c>
      <c r="H105" s="14">
        <v>4.0</v>
      </c>
      <c r="I105" s="10"/>
      <c r="J105" s="11">
        <v>-1.0</v>
      </c>
      <c r="K105" s="12"/>
      <c r="L105" s="13">
        <v>-1.0</v>
      </c>
      <c r="M105" s="14">
        <v>-1.0</v>
      </c>
      <c r="N105" s="10"/>
      <c r="O105" s="11">
        <v>1.0</v>
      </c>
      <c r="P105" s="12"/>
      <c r="Q105" s="147">
        <v>1.0</v>
      </c>
      <c r="R105" s="14">
        <v>1.0</v>
      </c>
      <c r="S105" s="83"/>
      <c r="T105" s="83"/>
      <c r="U105" s="83"/>
      <c r="V105" s="83"/>
      <c r="W105" s="83"/>
      <c r="X105" s="83"/>
      <c r="Y105" s="83"/>
      <c r="Z105" s="83"/>
    </row>
    <row r="106" ht="15.75" customHeight="1">
      <c r="A106" s="114" t="s">
        <v>1136</v>
      </c>
      <c r="B106" s="114" t="s">
        <v>1135</v>
      </c>
      <c r="C106" s="130">
        <f t="shared" si="1"/>
        <v>5</v>
      </c>
      <c r="D106" s="10"/>
      <c r="E106" s="11">
        <v>4.0</v>
      </c>
      <c r="F106" s="12"/>
      <c r="G106" s="13">
        <v>4.0</v>
      </c>
      <c r="H106" s="14">
        <v>4.0</v>
      </c>
      <c r="I106" s="10"/>
      <c r="J106" s="11">
        <v>-1.0</v>
      </c>
      <c r="K106" s="12"/>
      <c r="L106" s="13">
        <v>-1.0</v>
      </c>
      <c r="M106" s="14">
        <v>-1.0</v>
      </c>
      <c r="N106" s="10"/>
      <c r="O106" s="11">
        <v>2.0</v>
      </c>
      <c r="P106" s="12"/>
      <c r="Q106" s="147">
        <v>2.0</v>
      </c>
      <c r="R106" s="14">
        <v>2.0</v>
      </c>
      <c r="S106" s="83"/>
      <c r="T106" s="83"/>
      <c r="U106" s="83"/>
      <c r="V106" s="83"/>
      <c r="W106" s="83"/>
      <c r="X106" s="83"/>
      <c r="Y106" s="83"/>
      <c r="Z106" s="83"/>
    </row>
    <row r="107" ht="15.75" customHeight="1">
      <c r="A107" s="114" t="s">
        <v>1137</v>
      </c>
      <c r="B107" s="114" t="s">
        <v>1135</v>
      </c>
      <c r="C107" s="130">
        <f t="shared" si="1"/>
        <v>6</v>
      </c>
      <c r="D107" s="10"/>
      <c r="E107" s="11">
        <v>4.0</v>
      </c>
      <c r="F107" s="12"/>
      <c r="G107" s="13">
        <v>4.0</v>
      </c>
      <c r="H107" s="14">
        <v>4.0</v>
      </c>
      <c r="I107" s="10"/>
      <c r="J107" s="11">
        <v>-1.0</v>
      </c>
      <c r="K107" s="12"/>
      <c r="L107" s="13">
        <v>-1.0</v>
      </c>
      <c r="M107" s="14">
        <v>-1.0</v>
      </c>
      <c r="N107" s="10"/>
      <c r="O107" s="11">
        <v>3.0</v>
      </c>
      <c r="P107" s="12"/>
      <c r="Q107" s="13">
        <v>3.0</v>
      </c>
      <c r="R107" s="14">
        <v>3.0</v>
      </c>
      <c r="S107" s="83"/>
      <c r="T107" s="83"/>
      <c r="U107" s="83"/>
      <c r="V107" s="83"/>
      <c r="W107" s="83"/>
      <c r="X107" s="83"/>
      <c r="Y107" s="83"/>
      <c r="Z107" s="83"/>
    </row>
    <row r="108" ht="15.75" customHeight="1">
      <c r="A108" s="137" t="s">
        <v>1138</v>
      </c>
      <c r="B108" s="114" t="s">
        <v>1135</v>
      </c>
      <c r="C108" s="130">
        <f t="shared" si="1"/>
        <v>7</v>
      </c>
      <c r="D108" s="10"/>
      <c r="E108" s="96">
        <v>4.0</v>
      </c>
      <c r="F108" s="12"/>
      <c r="G108" s="13"/>
      <c r="H108" s="148">
        <v>4.0</v>
      </c>
      <c r="I108" s="10"/>
      <c r="J108" s="96">
        <v>-1.0</v>
      </c>
      <c r="K108" s="12"/>
      <c r="L108" s="13"/>
      <c r="M108" s="148">
        <v>-1.0</v>
      </c>
      <c r="N108" s="10"/>
      <c r="O108" s="96">
        <v>4.0</v>
      </c>
      <c r="P108" s="12"/>
      <c r="Q108" s="13"/>
      <c r="R108" s="148">
        <v>4.0</v>
      </c>
      <c r="S108" s="83"/>
      <c r="T108" s="83"/>
      <c r="U108" s="83"/>
      <c r="V108" s="83"/>
      <c r="W108" s="83"/>
      <c r="X108" s="83"/>
      <c r="Y108" s="83"/>
      <c r="Z108" s="83"/>
    </row>
    <row r="109" ht="15.75" customHeight="1">
      <c r="A109" s="134" t="s">
        <v>1139</v>
      </c>
      <c r="B109" s="134" t="s">
        <v>1140</v>
      </c>
      <c r="C109" s="130">
        <f t="shared" si="1"/>
        <v>6</v>
      </c>
      <c r="D109" s="150"/>
      <c r="E109" s="100">
        <v>4.0</v>
      </c>
      <c r="F109" s="97">
        <v>4.0</v>
      </c>
      <c r="G109" s="136"/>
      <c r="H109" s="152"/>
      <c r="I109" s="150"/>
      <c r="J109" s="100">
        <v>-3.0</v>
      </c>
      <c r="K109" s="97">
        <v>-2.0</v>
      </c>
      <c r="L109" s="136"/>
      <c r="M109" s="152"/>
      <c r="N109" s="150"/>
      <c r="O109" s="100">
        <v>5.0</v>
      </c>
      <c r="P109" s="97">
        <v>4.0</v>
      </c>
      <c r="Q109" s="136"/>
      <c r="R109" s="152"/>
      <c r="S109" s="83"/>
      <c r="T109" s="83"/>
      <c r="U109" s="83"/>
      <c r="V109" s="83"/>
      <c r="W109" s="83"/>
      <c r="X109" s="83"/>
      <c r="Y109" s="83"/>
      <c r="Z109" s="83"/>
    </row>
    <row r="110" ht="15.75" customHeight="1">
      <c r="A110" s="114" t="s">
        <v>1141</v>
      </c>
      <c r="B110" s="114" t="s">
        <v>1142</v>
      </c>
      <c r="C110" s="130">
        <f t="shared" si="1"/>
        <v>4</v>
      </c>
      <c r="D110" s="10"/>
      <c r="E110" s="11">
        <v>4.0</v>
      </c>
      <c r="F110" s="12"/>
      <c r="G110" s="13">
        <v>4.0</v>
      </c>
      <c r="H110" s="14">
        <v>4.0</v>
      </c>
      <c r="I110" s="10"/>
      <c r="J110" s="11">
        <v>-2.0</v>
      </c>
      <c r="K110" s="12"/>
      <c r="L110" s="13">
        <v>-2.0</v>
      </c>
      <c r="M110" s="14">
        <v>-2.0</v>
      </c>
      <c r="N110" s="10"/>
      <c r="O110" s="11">
        <v>3.0</v>
      </c>
      <c r="P110" s="12"/>
      <c r="Q110" s="13">
        <v>2.0</v>
      </c>
      <c r="R110" s="14">
        <v>1.0</v>
      </c>
      <c r="S110" s="83"/>
      <c r="T110" s="83"/>
      <c r="U110" s="83"/>
      <c r="V110" s="83"/>
      <c r="W110" s="83"/>
      <c r="X110" s="83"/>
      <c r="Y110" s="83"/>
      <c r="Z110" s="83"/>
    </row>
    <row r="111" ht="15.75" customHeight="1">
      <c r="A111" s="114" t="s">
        <v>1143</v>
      </c>
      <c r="B111" s="114" t="s">
        <v>1142</v>
      </c>
      <c r="C111" s="130">
        <f t="shared" si="1"/>
        <v>3.666666667</v>
      </c>
      <c r="D111" s="10"/>
      <c r="E111" s="11">
        <v>4.0</v>
      </c>
      <c r="F111" s="12"/>
      <c r="G111" s="13">
        <v>4.0</v>
      </c>
      <c r="H111" s="14">
        <v>4.0</v>
      </c>
      <c r="I111" s="10"/>
      <c r="J111" s="11">
        <v>-2.0</v>
      </c>
      <c r="K111" s="12"/>
      <c r="L111" s="13">
        <v>-2.0</v>
      </c>
      <c r="M111" s="14">
        <v>-3.0</v>
      </c>
      <c r="N111" s="10"/>
      <c r="O111" s="11">
        <v>2.0</v>
      </c>
      <c r="P111" s="12"/>
      <c r="Q111" s="13">
        <v>2.0</v>
      </c>
      <c r="R111" s="14">
        <v>2.0</v>
      </c>
      <c r="S111" s="83"/>
      <c r="T111" s="83"/>
      <c r="U111" s="83"/>
      <c r="V111" s="83"/>
      <c r="W111" s="83"/>
      <c r="X111" s="83"/>
      <c r="Y111" s="83"/>
      <c r="Z111" s="83"/>
    </row>
    <row r="112" ht="15.75" customHeight="1">
      <c r="A112" s="114" t="s">
        <v>1144</v>
      </c>
      <c r="B112" s="114" t="s">
        <v>1142</v>
      </c>
      <c r="C112" s="130">
        <f t="shared" si="1"/>
        <v>3.666666667</v>
      </c>
      <c r="D112" s="10"/>
      <c r="E112" s="11">
        <v>4.0</v>
      </c>
      <c r="F112" s="12"/>
      <c r="G112" s="13">
        <v>4.0</v>
      </c>
      <c r="H112" s="14">
        <v>4.0</v>
      </c>
      <c r="I112" s="10"/>
      <c r="J112" s="11">
        <v>-2.0</v>
      </c>
      <c r="K112" s="12"/>
      <c r="L112" s="13">
        <v>-2.0</v>
      </c>
      <c r="M112" s="14">
        <v>-4.0</v>
      </c>
      <c r="N112" s="10"/>
      <c r="O112" s="11">
        <v>2.0</v>
      </c>
      <c r="P112" s="12"/>
      <c r="Q112" s="13">
        <v>2.0</v>
      </c>
      <c r="R112" s="14">
        <v>3.0</v>
      </c>
      <c r="S112" s="83"/>
      <c r="T112" s="83"/>
      <c r="U112" s="83"/>
      <c r="V112" s="83"/>
      <c r="W112" s="83"/>
      <c r="X112" s="83"/>
      <c r="Y112" s="83"/>
      <c r="Z112" s="83"/>
    </row>
    <row r="113" ht="15.75" customHeight="1">
      <c r="A113" s="134" t="s">
        <v>1145</v>
      </c>
      <c r="B113" s="134" t="s">
        <v>1146</v>
      </c>
      <c r="C113" s="130">
        <f t="shared" si="1"/>
        <v>1</v>
      </c>
      <c r="D113" s="150"/>
      <c r="E113" s="100">
        <v>1.0</v>
      </c>
      <c r="F113" s="97">
        <v>1.0</v>
      </c>
      <c r="G113" s="136"/>
      <c r="H113" s="152"/>
      <c r="I113" s="150"/>
      <c r="J113" s="100">
        <v>-2.0</v>
      </c>
      <c r="K113" s="97">
        <v>-1.0</v>
      </c>
      <c r="L113" s="136"/>
      <c r="M113" s="152"/>
      <c r="N113" s="150"/>
      <c r="O113" s="100">
        <v>2.0</v>
      </c>
      <c r="P113" s="97">
        <v>1.0</v>
      </c>
      <c r="Q113" s="136"/>
      <c r="R113" s="152"/>
      <c r="S113" s="83"/>
      <c r="T113" s="83"/>
      <c r="U113" s="83"/>
      <c r="V113" s="83"/>
      <c r="W113" s="83"/>
      <c r="X113" s="83"/>
      <c r="Y113" s="83"/>
      <c r="Z113" s="83"/>
    </row>
    <row r="114" ht="15.75" customHeight="1">
      <c r="A114" s="114" t="s">
        <v>1147</v>
      </c>
      <c r="B114" s="114" t="s">
        <v>1148</v>
      </c>
      <c r="C114" s="130">
        <f t="shared" si="1"/>
        <v>2.333333333</v>
      </c>
      <c r="D114" s="10"/>
      <c r="E114" s="11">
        <v>1.0</v>
      </c>
      <c r="F114" s="12"/>
      <c r="G114" s="13">
        <v>-1.0</v>
      </c>
      <c r="H114" s="14">
        <v>1.0</v>
      </c>
      <c r="I114" s="10"/>
      <c r="J114" s="11">
        <v>-3.0</v>
      </c>
      <c r="K114" s="12"/>
      <c r="L114" s="13">
        <v>-3.0</v>
      </c>
      <c r="M114" s="14">
        <v>-3.0</v>
      </c>
      <c r="N114" s="10"/>
      <c r="O114" s="11">
        <v>5.0</v>
      </c>
      <c r="P114" s="12"/>
      <c r="Q114" s="13">
        <v>5.0</v>
      </c>
      <c r="R114" s="14">
        <v>5.0</v>
      </c>
      <c r="S114" s="83"/>
      <c r="T114" s="83"/>
      <c r="U114" s="83"/>
      <c r="V114" s="83"/>
      <c r="W114" s="83"/>
      <c r="X114" s="83"/>
      <c r="Y114" s="83"/>
      <c r="Z114" s="83"/>
    </row>
    <row r="115" ht="15.75" customHeight="1">
      <c r="A115" s="114" t="s">
        <v>1149</v>
      </c>
      <c r="B115" s="114" t="s">
        <v>1150</v>
      </c>
      <c r="C115" s="130">
        <f t="shared" si="1"/>
        <v>4.333333333</v>
      </c>
      <c r="D115" s="10"/>
      <c r="E115" s="11">
        <v>2.0</v>
      </c>
      <c r="F115" s="12"/>
      <c r="G115" s="13">
        <v>4.0</v>
      </c>
      <c r="H115" s="14">
        <v>2.0</v>
      </c>
      <c r="I115" s="10"/>
      <c r="J115" s="11">
        <v>-1.0</v>
      </c>
      <c r="K115" s="12"/>
      <c r="L115" s="13">
        <v>-1.0</v>
      </c>
      <c r="M115" s="14">
        <v>-1.0</v>
      </c>
      <c r="N115" s="10"/>
      <c r="O115" s="11">
        <v>3.0</v>
      </c>
      <c r="P115" s="12"/>
      <c r="Q115" s="13">
        <v>4.0</v>
      </c>
      <c r="R115" s="14">
        <v>1.0</v>
      </c>
      <c r="S115" s="83"/>
      <c r="T115" s="83"/>
      <c r="U115" s="83"/>
      <c r="V115" s="83"/>
      <c r="W115" s="83"/>
      <c r="X115" s="83"/>
      <c r="Y115" s="83"/>
      <c r="Z115" s="83"/>
    </row>
    <row r="116" ht="15.75" customHeight="1">
      <c r="A116" s="134" t="s">
        <v>1151</v>
      </c>
      <c r="B116" s="134" t="s">
        <v>1152</v>
      </c>
      <c r="C116" s="130">
        <f t="shared" si="1"/>
        <v>3.5</v>
      </c>
      <c r="D116" s="150"/>
      <c r="E116" s="100">
        <v>2.0</v>
      </c>
      <c r="F116" s="97">
        <v>2.0</v>
      </c>
      <c r="G116" s="136"/>
      <c r="H116" s="152"/>
      <c r="I116" s="150"/>
      <c r="J116" s="100">
        <v>0.0</v>
      </c>
      <c r="K116" s="97">
        <v>0.0</v>
      </c>
      <c r="L116" s="136"/>
      <c r="M116" s="152"/>
      <c r="N116" s="150"/>
      <c r="O116" s="100">
        <v>2.0</v>
      </c>
      <c r="P116" s="97">
        <v>1.0</v>
      </c>
      <c r="Q116" s="136"/>
      <c r="R116" s="152"/>
      <c r="S116" s="83"/>
      <c r="T116" s="83"/>
      <c r="U116" s="83"/>
      <c r="V116" s="83"/>
      <c r="W116" s="83"/>
      <c r="X116" s="83"/>
      <c r="Y116" s="83"/>
      <c r="Z116" s="83"/>
    </row>
    <row r="117" ht="15.75" customHeight="1">
      <c r="A117" s="134" t="s">
        <v>908</v>
      </c>
      <c r="B117" s="142" t="s">
        <v>1153</v>
      </c>
      <c r="C117" s="130">
        <f t="shared" si="1"/>
        <v>0</v>
      </c>
      <c r="D117" s="150"/>
      <c r="E117" s="100">
        <v>1.0</v>
      </c>
      <c r="F117" s="97">
        <v>0.0</v>
      </c>
      <c r="G117" s="136"/>
      <c r="H117" s="152"/>
      <c r="I117" s="150"/>
      <c r="J117" s="100">
        <v>-1.0</v>
      </c>
      <c r="K117" s="97">
        <v>0.0</v>
      </c>
      <c r="L117" s="136"/>
      <c r="M117" s="152"/>
      <c r="N117" s="150"/>
      <c r="O117" s="100">
        <v>0.0</v>
      </c>
      <c r="P117" s="97">
        <v>0.0</v>
      </c>
      <c r="Q117" s="136"/>
      <c r="R117" s="152"/>
      <c r="S117" s="83"/>
      <c r="T117" s="83"/>
      <c r="U117" s="83"/>
      <c r="V117" s="83"/>
      <c r="W117" s="83"/>
      <c r="X117" s="83"/>
      <c r="Y117" s="83"/>
      <c r="Z117" s="83"/>
    </row>
    <row r="118" ht="15.75" customHeight="1">
      <c r="A118" s="139" t="s">
        <v>1154</v>
      </c>
      <c r="B118" s="140" t="s">
        <v>1155</v>
      </c>
      <c r="C118" s="130">
        <f t="shared" si="1"/>
        <v>3.5</v>
      </c>
      <c r="D118" s="10"/>
      <c r="E118" s="11">
        <v>2.0</v>
      </c>
      <c r="F118" s="12"/>
      <c r="G118" s="13">
        <v>2.0</v>
      </c>
      <c r="H118" s="14"/>
      <c r="I118" s="10"/>
      <c r="J118" s="11">
        <v>-1.0</v>
      </c>
      <c r="K118" s="12"/>
      <c r="L118" s="13">
        <v>-1.0</v>
      </c>
      <c r="M118" s="14"/>
      <c r="N118" s="10"/>
      <c r="O118" s="11">
        <v>2.0</v>
      </c>
      <c r="P118" s="12"/>
      <c r="Q118" s="13">
        <v>3.0</v>
      </c>
      <c r="R118" s="14"/>
      <c r="S118" s="83"/>
      <c r="T118" s="83"/>
      <c r="U118" s="83"/>
      <c r="V118" s="83"/>
      <c r="W118" s="83"/>
      <c r="X118" s="83"/>
      <c r="Y118" s="83"/>
      <c r="Z118" s="83"/>
    </row>
    <row r="119" ht="15.75" customHeight="1">
      <c r="A119" s="134" t="s">
        <v>1156</v>
      </c>
      <c r="B119" s="134" t="s">
        <v>1157</v>
      </c>
      <c r="C119" s="130">
        <f t="shared" si="1"/>
        <v>4.5</v>
      </c>
      <c r="D119" s="150"/>
      <c r="E119" s="100">
        <v>4.0</v>
      </c>
      <c r="F119" s="97">
        <v>4.0</v>
      </c>
      <c r="G119" s="136"/>
      <c r="H119" s="152"/>
      <c r="I119" s="150"/>
      <c r="J119" s="100">
        <v>-2.0</v>
      </c>
      <c r="K119" s="97">
        <v>-1.0</v>
      </c>
      <c r="L119" s="136"/>
      <c r="M119" s="152"/>
      <c r="N119" s="150"/>
      <c r="O119" s="100">
        <v>2.0</v>
      </c>
      <c r="P119" s="97">
        <v>2.0</v>
      </c>
      <c r="Q119" s="136"/>
      <c r="R119" s="152"/>
      <c r="S119" s="83"/>
      <c r="T119" s="83"/>
      <c r="U119" s="83"/>
      <c r="V119" s="83"/>
      <c r="W119" s="83"/>
      <c r="X119" s="83"/>
      <c r="Y119" s="83"/>
      <c r="Z119" s="83"/>
    </row>
    <row r="120" ht="15.75" customHeight="1">
      <c r="A120" s="134" t="s">
        <v>1158</v>
      </c>
      <c r="B120" s="134" t="s">
        <v>1159</v>
      </c>
      <c r="C120" s="130">
        <f t="shared" si="1"/>
        <v>1</v>
      </c>
      <c r="D120" s="150"/>
      <c r="E120" s="100">
        <v>2.0</v>
      </c>
      <c r="F120" s="97">
        <v>2.0</v>
      </c>
      <c r="G120" s="136"/>
      <c r="H120" s="152"/>
      <c r="I120" s="150"/>
      <c r="J120" s="100">
        <v>-2.0</v>
      </c>
      <c r="K120" s="97">
        <v>-2.0</v>
      </c>
      <c r="L120" s="136"/>
      <c r="M120" s="152"/>
      <c r="N120" s="150"/>
      <c r="O120" s="100">
        <v>1.0</v>
      </c>
      <c r="P120" s="97">
        <v>1.0</v>
      </c>
      <c r="Q120" s="136"/>
      <c r="R120" s="152"/>
      <c r="S120" s="83"/>
      <c r="T120" s="83"/>
      <c r="U120" s="83"/>
      <c r="V120" s="83"/>
      <c r="W120" s="83"/>
      <c r="X120" s="83"/>
      <c r="Y120" s="83"/>
      <c r="Z120" s="83"/>
    </row>
    <row r="121" ht="15.75" customHeight="1">
      <c r="A121" s="114" t="s">
        <v>1160</v>
      </c>
      <c r="B121" s="114" t="s">
        <v>1161</v>
      </c>
      <c r="C121" s="130">
        <f t="shared" si="1"/>
        <v>3.333333333</v>
      </c>
      <c r="D121" s="10"/>
      <c r="E121" s="11">
        <v>2.0</v>
      </c>
      <c r="F121" s="12">
        <v>2.0</v>
      </c>
      <c r="G121" s="13">
        <v>2.0</v>
      </c>
      <c r="H121" s="14"/>
      <c r="I121" s="10"/>
      <c r="J121" s="11">
        <v>0.0</v>
      </c>
      <c r="K121" s="12">
        <v>0.0</v>
      </c>
      <c r="L121" s="13">
        <v>0.0</v>
      </c>
      <c r="M121" s="14"/>
      <c r="N121" s="10"/>
      <c r="O121" s="11">
        <v>1.0</v>
      </c>
      <c r="P121" s="12">
        <v>1.0</v>
      </c>
      <c r="Q121" s="13">
        <v>2.0</v>
      </c>
      <c r="R121" s="14"/>
      <c r="S121" s="83"/>
      <c r="T121" s="83"/>
      <c r="U121" s="83"/>
      <c r="V121" s="83"/>
      <c r="W121" s="83"/>
      <c r="X121" s="83"/>
      <c r="Y121" s="83"/>
      <c r="Z121" s="83"/>
    </row>
    <row r="122" ht="15.75" customHeight="1">
      <c r="A122" s="153" t="s">
        <v>1162</v>
      </c>
      <c r="B122" s="154" t="s">
        <v>1163</v>
      </c>
      <c r="C122" s="130">
        <f t="shared" si="1"/>
        <v>3.5</v>
      </c>
      <c r="D122" s="150"/>
      <c r="E122" s="100">
        <v>2.0</v>
      </c>
      <c r="F122" s="97">
        <v>2.0</v>
      </c>
      <c r="G122" s="136"/>
      <c r="H122" s="152"/>
      <c r="I122" s="150"/>
      <c r="J122" s="100">
        <v>0.0</v>
      </c>
      <c r="K122" s="97">
        <v>0.0</v>
      </c>
      <c r="L122" s="136"/>
      <c r="M122" s="152"/>
      <c r="N122" s="150"/>
      <c r="O122" s="100">
        <v>2.0</v>
      </c>
      <c r="P122" s="97">
        <v>1.0</v>
      </c>
      <c r="Q122" s="136"/>
      <c r="R122" s="152"/>
      <c r="S122" s="83"/>
      <c r="T122" s="83"/>
      <c r="U122" s="83"/>
      <c r="V122" s="83"/>
      <c r="W122" s="83"/>
      <c r="X122" s="83"/>
      <c r="Y122" s="83"/>
      <c r="Z122" s="83"/>
    </row>
    <row r="123" ht="15.75" customHeight="1">
      <c r="A123" s="114" t="s">
        <v>1164</v>
      </c>
      <c r="B123" s="114" t="s">
        <v>1165</v>
      </c>
      <c r="C123" s="130">
        <f t="shared" si="1"/>
        <v>3</v>
      </c>
      <c r="D123" s="10"/>
      <c r="E123" s="11">
        <v>1.0</v>
      </c>
      <c r="F123" s="12"/>
      <c r="G123" s="13">
        <v>4.0</v>
      </c>
      <c r="H123" s="14">
        <v>1.0</v>
      </c>
      <c r="I123" s="10"/>
      <c r="J123" s="11">
        <v>-1.0</v>
      </c>
      <c r="K123" s="12"/>
      <c r="L123" s="13">
        <v>-1.0</v>
      </c>
      <c r="M123" s="14">
        <v>-1.0</v>
      </c>
      <c r="N123" s="10"/>
      <c r="O123" s="11">
        <v>3.0</v>
      </c>
      <c r="P123" s="12"/>
      <c r="Q123" s="13">
        <v>2.0</v>
      </c>
      <c r="R123" s="14">
        <v>1.0</v>
      </c>
      <c r="S123" s="83"/>
      <c r="T123" s="83"/>
      <c r="U123" s="83"/>
      <c r="V123" s="83"/>
      <c r="W123" s="83"/>
      <c r="X123" s="83"/>
      <c r="Y123" s="83"/>
      <c r="Z123" s="83"/>
    </row>
    <row r="124" ht="15.75" customHeight="1">
      <c r="A124" s="139" t="s">
        <v>1166</v>
      </c>
      <c r="B124" s="140" t="s">
        <v>1167</v>
      </c>
      <c r="C124" s="130">
        <f t="shared" si="1"/>
        <v>5.666666667</v>
      </c>
      <c r="D124" s="10"/>
      <c r="E124" s="11">
        <v>4.0</v>
      </c>
      <c r="F124" s="12"/>
      <c r="G124" s="13">
        <v>4.0</v>
      </c>
      <c r="H124" s="14">
        <v>4.0</v>
      </c>
      <c r="I124" s="10"/>
      <c r="J124" s="11">
        <v>-3.0</v>
      </c>
      <c r="K124" s="12"/>
      <c r="L124" s="13">
        <v>-3.0</v>
      </c>
      <c r="M124" s="14">
        <v>0.0</v>
      </c>
      <c r="N124" s="10"/>
      <c r="O124" s="11">
        <v>4.0</v>
      </c>
      <c r="P124" s="12"/>
      <c r="Q124" s="13">
        <v>3.0</v>
      </c>
      <c r="R124" s="14">
        <v>4.0</v>
      </c>
      <c r="S124" s="83"/>
      <c r="T124" s="83"/>
      <c r="U124" s="83"/>
      <c r="V124" s="83"/>
      <c r="W124" s="83"/>
      <c r="X124" s="83"/>
      <c r="Y124" s="83"/>
      <c r="Z124" s="83"/>
    </row>
    <row r="125" ht="15.75" customHeight="1">
      <c r="A125" s="153" t="s">
        <v>946</v>
      </c>
      <c r="B125" s="155" t="s">
        <v>1168</v>
      </c>
      <c r="C125" s="130">
        <f t="shared" si="1"/>
        <v>1.5</v>
      </c>
      <c r="D125" s="150"/>
      <c r="E125" s="100">
        <v>2.0</v>
      </c>
      <c r="F125" s="97">
        <v>2.0</v>
      </c>
      <c r="G125" s="136"/>
      <c r="H125" s="152"/>
      <c r="I125" s="150"/>
      <c r="J125" s="100">
        <v>-3.0</v>
      </c>
      <c r="K125" s="97">
        <v>-1.0</v>
      </c>
      <c r="L125" s="136"/>
      <c r="M125" s="152"/>
      <c r="N125" s="150"/>
      <c r="O125" s="100">
        <v>2.0</v>
      </c>
      <c r="P125" s="97">
        <v>1.0</v>
      </c>
      <c r="Q125" s="136"/>
      <c r="R125" s="152"/>
      <c r="S125" s="83"/>
      <c r="T125" s="83"/>
      <c r="U125" s="83"/>
      <c r="V125" s="83"/>
      <c r="W125" s="83"/>
      <c r="X125" s="83"/>
      <c r="Y125" s="83"/>
      <c r="Z125" s="83"/>
    </row>
    <row r="126" ht="15.75" customHeight="1">
      <c r="A126" s="118"/>
      <c r="B126" s="118"/>
      <c r="C126" s="94"/>
      <c r="D126" s="150"/>
      <c r="E126" s="156"/>
      <c r="F126" s="138"/>
      <c r="G126" s="136"/>
      <c r="H126" s="152"/>
      <c r="I126" s="150"/>
      <c r="J126" s="156"/>
      <c r="K126" s="138"/>
      <c r="L126" s="136"/>
      <c r="M126" s="152"/>
      <c r="N126" s="150"/>
      <c r="O126" s="156"/>
      <c r="P126" s="138"/>
      <c r="Q126" s="136"/>
      <c r="R126" s="152"/>
      <c r="S126" s="83"/>
      <c r="T126" s="83"/>
      <c r="U126" s="83"/>
      <c r="V126" s="83"/>
      <c r="W126" s="83"/>
      <c r="X126" s="83"/>
      <c r="Y126" s="83"/>
      <c r="Z126" s="83"/>
    </row>
    <row r="127" ht="15.75" customHeight="1">
      <c r="A127" s="118"/>
      <c r="B127" s="118"/>
      <c r="C127" s="94"/>
      <c r="D127" s="150"/>
      <c r="E127" s="156"/>
      <c r="F127" s="138"/>
      <c r="G127" s="136"/>
      <c r="H127" s="152"/>
      <c r="I127" s="150"/>
      <c r="J127" s="156"/>
      <c r="K127" s="138"/>
      <c r="L127" s="136"/>
      <c r="M127" s="152"/>
      <c r="N127" s="150"/>
      <c r="O127" s="156"/>
      <c r="P127" s="138"/>
      <c r="Q127" s="136"/>
      <c r="R127" s="152"/>
      <c r="S127" s="83"/>
      <c r="T127" s="83"/>
      <c r="U127" s="83"/>
      <c r="V127" s="83"/>
      <c r="W127" s="83"/>
      <c r="X127" s="83"/>
      <c r="Y127" s="83"/>
      <c r="Z127" s="83"/>
    </row>
    <row r="128" ht="15.75" customHeight="1">
      <c r="A128" s="118"/>
      <c r="B128" s="118"/>
      <c r="C128" s="94"/>
      <c r="D128" s="150"/>
      <c r="E128" s="156"/>
      <c r="F128" s="138"/>
      <c r="G128" s="136"/>
      <c r="H128" s="152"/>
      <c r="I128" s="150"/>
      <c r="J128" s="156"/>
      <c r="K128" s="138"/>
      <c r="L128" s="136"/>
      <c r="M128" s="152"/>
      <c r="N128" s="150"/>
      <c r="O128" s="156"/>
      <c r="P128" s="138"/>
      <c r="Q128" s="136"/>
      <c r="R128" s="152"/>
      <c r="S128" s="83"/>
      <c r="T128" s="83"/>
      <c r="U128" s="83"/>
      <c r="V128" s="83"/>
      <c r="W128" s="83"/>
      <c r="X128" s="83"/>
      <c r="Y128" s="83"/>
      <c r="Z128" s="83"/>
    </row>
    <row r="129" ht="15.75" customHeight="1">
      <c r="A129" s="118"/>
      <c r="B129" s="118"/>
      <c r="C129" s="94"/>
      <c r="D129" s="150"/>
      <c r="E129" s="156"/>
      <c r="F129" s="138"/>
      <c r="G129" s="136"/>
      <c r="H129" s="152"/>
      <c r="I129" s="150"/>
      <c r="J129" s="156"/>
      <c r="K129" s="138"/>
      <c r="L129" s="136"/>
      <c r="M129" s="152"/>
      <c r="N129" s="150"/>
      <c r="O129" s="156"/>
      <c r="P129" s="138"/>
      <c r="Q129" s="136"/>
      <c r="R129" s="152"/>
      <c r="S129" s="83"/>
      <c r="T129" s="83"/>
      <c r="U129" s="83"/>
      <c r="V129" s="83"/>
      <c r="W129" s="83"/>
      <c r="X129" s="83"/>
      <c r="Y129" s="83"/>
      <c r="Z129" s="83"/>
    </row>
    <row r="130" ht="15.75" customHeight="1">
      <c r="A130" s="118"/>
      <c r="B130" s="118"/>
      <c r="C130" s="94"/>
      <c r="D130" s="150"/>
      <c r="E130" s="156"/>
      <c r="F130" s="138"/>
      <c r="G130" s="136"/>
      <c r="H130" s="152"/>
      <c r="I130" s="150"/>
      <c r="J130" s="156"/>
      <c r="K130" s="138"/>
      <c r="L130" s="136"/>
      <c r="M130" s="152"/>
      <c r="N130" s="150"/>
      <c r="O130" s="156"/>
      <c r="P130" s="138"/>
      <c r="Q130" s="136"/>
      <c r="R130" s="152"/>
      <c r="S130" s="83"/>
      <c r="T130" s="83"/>
      <c r="U130" s="83"/>
      <c r="V130" s="83"/>
      <c r="W130" s="83"/>
      <c r="X130" s="83"/>
      <c r="Y130" s="83"/>
      <c r="Z130" s="83"/>
    </row>
    <row r="131" ht="15.75" customHeight="1">
      <c r="A131" s="118"/>
      <c r="B131" s="118"/>
      <c r="C131" s="94"/>
      <c r="D131" s="150"/>
      <c r="E131" s="156"/>
      <c r="F131" s="138"/>
      <c r="G131" s="136"/>
      <c r="H131" s="152"/>
      <c r="I131" s="150"/>
      <c r="J131" s="156"/>
      <c r="K131" s="138"/>
      <c r="L131" s="136"/>
      <c r="M131" s="152"/>
      <c r="N131" s="150"/>
      <c r="O131" s="156"/>
      <c r="P131" s="138"/>
      <c r="Q131" s="136"/>
      <c r="R131" s="152"/>
      <c r="S131" s="83"/>
      <c r="T131" s="83"/>
      <c r="U131" s="83"/>
      <c r="V131" s="83"/>
      <c r="W131" s="83"/>
      <c r="X131" s="83"/>
      <c r="Y131" s="83"/>
      <c r="Z131" s="83"/>
    </row>
    <row r="132" ht="15.75" customHeight="1">
      <c r="A132" s="118"/>
      <c r="B132" s="118"/>
      <c r="C132" s="94"/>
      <c r="D132" s="150"/>
      <c r="E132" s="156"/>
      <c r="F132" s="138"/>
      <c r="G132" s="136"/>
      <c r="H132" s="152"/>
      <c r="I132" s="150"/>
      <c r="J132" s="156"/>
      <c r="K132" s="138"/>
      <c r="L132" s="136"/>
      <c r="M132" s="152"/>
      <c r="N132" s="150"/>
      <c r="O132" s="156"/>
      <c r="P132" s="138"/>
      <c r="Q132" s="136"/>
      <c r="R132" s="152"/>
      <c r="S132" s="83"/>
      <c r="T132" s="83"/>
      <c r="U132" s="83"/>
      <c r="V132" s="83"/>
      <c r="W132" s="83"/>
      <c r="X132" s="83"/>
      <c r="Y132" s="83"/>
      <c r="Z132" s="83"/>
    </row>
    <row r="133" ht="15.75" customHeight="1">
      <c r="A133" s="118"/>
      <c r="B133" s="118"/>
      <c r="C133" s="94"/>
      <c r="D133" s="150"/>
      <c r="E133" s="156"/>
      <c r="F133" s="138"/>
      <c r="G133" s="136"/>
      <c r="H133" s="152"/>
      <c r="I133" s="150"/>
      <c r="J133" s="156"/>
      <c r="K133" s="138"/>
      <c r="L133" s="136"/>
      <c r="M133" s="152"/>
      <c r="N133" s="150"/>
      <c r="O133" s="156"/>
      <c r="P133" s="138"/>
      <c r="Q133" s="136"/>
      <c r="R133" s="152"/>
      <c r="S133" s="83"/>
      <c r="T133" s="83"/>
      <c r="U133" s="83"/>
      <c r="V133" s="83"/>
      <c r="W133" s="83"/>
      <c r="X133" s="83"/>
      <c r="Y133" s="83"/>
      <c r="Z133" s="83"/>
    </row>
    <row r="134" ht="15.75" customHeight="1">
      <c r="A134" s="118"/>
      <c r="B134" s="118"/>
      <c r="C134" s="94"/>
      <c r="D134" s="150"/>
      <c r="E134" s="156"/>
      <c r="F134" s="138"/>
      <c r="G134" s="136"/>
      <c r="H134" s="152"/>
      <c r="I134" s="150"/>
      <c r="J134" s="156"/>
      <c r="K134" s="138"/>
      <c r="L134" s="136"/>
      <c r="M134" s="152"/>
      <c r="N134" s="150"/>
      <c r="O134" s="156"/>
      <c r="P134" s="138"/>
      <c r="Q134" s="136"/>
      <c r="R134" s="152"/>
      <c r="S134" s="83"/>
      <c r="T134" s="83"/>
      <c r="U134" s="83"/>
      <c r="V134" s="83"/>
      <c r="W134" s="83"/>
      <c r="X134" s="83"/>
      <c r="Y134" s="83"/>
      <c r="Z134" s="83"/>
    </row>
    <row r="135" ht="15.75" customHeight="1">
      <c r="A135" s="118"/>
      <c r="B135" s="118"/>
      <c r="C135" s="94"/>
      <c r="D135" s="150"/>
      <c r="E135" s="156"/>
      <c r="F135" s="138"/>
      <c r="G135" s="136"/>
      <c r="H135" s="152"/>
      <c r="I135" s="150"/>
      <c r="J135" s="156"/>
      <c r="K135" s="138"/>
      <c r="L135" s="136"/>
      <c r="M135" s="152"/>
      <c r="N135" s="150"/>
      <c r="O135" s="156"/>
      <c r="P135" s="138"/>
      <c r="Q135" s="136"/>
      <c r="R135" s="152"/>
      <c r="S135" s="83"/>
      <c r="T135" s="83"/>
      <c r="U135" s="83"/>
      <c r="V135" s="83"/>
      <c r="W135" s="83"/>
      <c r="X135" s="83"/>
      <c r="Y135" s="83"/>
      <c r="Z135" s="83"/>
    </row>
    <row r="136" ht="15.75" customHeight="1">
      <c r="A136" s="118"/>
      <c r="B136" s="118"/>
      <c r="C136" s="94"/>
      <c r="D136" s="150"/>
      <c r="E136" s="156"/>
      <c r="F136" s="138"/>
      <c r="G136" s="136"/>
      <c r="H136" s="152"/>
      <c r="I136" s="150"/>
      <c r="J136" s="156"/>
      <c r="K136" s="138"/>
      <c r="L136" s="136"/>
      <c r="M136" s="152"/>
      <c r="N136" s="150"/>
      <c r="O136" s="156"/>
      <c r="P136" s="138"/>
      <c r="Q136" s="136"/>
      <c r="R136" s="152"/>
      <c r="S136" s="83"/>
      <c r="T136" s="83"/>
      <c r="U136" s="83"/>
      <c r="V136" s="83"/>
      <c r="W136" s="83"/>
      <c r="X136" s="83"/>
      <c r="Y136" s="83"/>
      <c r="Z136" s="83"/>
    </row>
    <row r="137" ht="15.75" customHeight="1">
      <c r="A137" s="118"/>
      <c r="B137" s="118"/>
      <c r="C137" s="94"/>
      <c r="D137" s="150"/>
      <c r="E137" s="156"/>
      <c r="F137" s="138"/>
      <c r="G137" s="136"/>
      <c r="H137" s="152"/>
      <c r="I137" s="150"/>
      <c r="J137" s="156"/>
      <c r="K137" s="138"/>
      <c r="L137" s="136"/>
      <c r="M137" s="152"/>
      <c r="N137" s="150"/>
      <c r="O137" s="156"/>
      <c r="P137" s="138"/>
      <c r="Q137" s="136"/>
      <c r="R137" s="152"/>
      <c r="S137" s="83"/>
      <c r="T137" s="83"/>
      <c r="U137" s="83"/>
      <c r="V137" s="83"/>
      <c r="W137" s="83"/>
      <c r="X137" s="83"/>
      <c r="Y137" s="83"/>
      <c r="Z137" s="83"/>
    </row>
    <row r="138" ht="15.75" customHeight="1">
      <c r="A138" s="118"/>
      <c r="B138" s="118"/>
      <c r="C138" s="94"/>
      <c r="D138" s="150"/>
      <c r="E138" s="156"/>
      <c r="F138" s="138"/>
      <c r="G138" s="136"/>
      <c r="H138" s="152"/>
      <c r="I138" s="150"/>
      <c r="J138" s="156"/>
      <c r="K138" s="138"/>
      <c r="L138" s="136"/>
      <c r="M138" s="152"/>
      <c r="N138" s="150"/>
      <c r="O138" s="156"/>
      <c r="P138" s="138"/>
      <c r="Q138" s="136"/>
      <c r="R138" s="152"/>
      <c r="S138" s="83"/>
      <c r="T138" s="83"/>
      <c r="U138" s="83"/>
      <c r="V138" s="83"/>
      <c r="W138" s="83"/>
      <c r="X138" s="83"/>
      <c r="Y138" s="83"/>
      <c r="Z138" s="83"/>
    </row>
    <row r="139" ht="15.75" customHeight="1">
      <c r="A139" s="118"/>
      <c r="B139" s="118"/>
      <c r="C139" s="94"/>
      <c r="D139" s="150"/>
      <c r="E139" s="156"/>
      <c r="F139" s="138"/>
      <c r="G139" s="136"/>
      <c r="H139" s="152"/>
      <c r="I139" s="150"/>
      <c r="J139" s="156"/>
      <c r="K139" s="138"/>
      <c r="L139" s="136"/>
      <c r="M139" s="152"/>
      <c r="N139" s="150"/>
      <c r="O139" s="156"/>
      <c r="P139" s="138"/>
      <c r="Q139" s="136"/>
      <c r="R139" s="152"/>
      <c r="S139" s="83"/>
      <c r="T139" s="83"/>
      <c r="U139" s="83"/>
      <c r="V139" s="83"/>
      <c r="W139" s="83"/>
      <c r="X139" s="83"/>
      <c r="Y139" s="83"/>
      <c r="Z139" s="83"/>
    </row>
    <row r="140" ht="15.75" customHeight="1">
      <c r="A140" s="118"/>
      <c r="B140" s="118"/>
      <c r="C140" s="94"/>
      <c r="D140" s="150"/>
      <c r="E140" s="156"/>
      <c r="F140" s="138"/>
      <c r="G140" s="136"/>
      <c r="H140" s="152"/>
      <c r="I140" s="150"/>
      <c r="J140" s="156"/>
      <c r="K140" s="138"/>
      <c r="L140" s="136"/>
      <c r="M140" s="152"/>
      <c r="N140" s="150"/>
      <c r="O140" s="156"/>
      <c r="P140" s="138"/>
      <c r="Q140" s="136"/>
      <c r="R140" s="152"/>
      <c r="S140" s="83"/>
      <c r="T140" s="83"/>
      <c r="U140" s="83"/>
      <c r="V140" s="83"/>
      <c r="W140" s="83"/>
      <c r="X140" s="83"/>
      <c r="Y140" s="83"/>
      <c r="Z140" s="83"/>
    </row>
    <row r="141" ht="15.75" customHeight="1">
      <c r="A141" s="118"/>
      <c r="B141" s="118"/>
      <c r="C141" s="94"/>
      <c r="D141" s="150"/>
      <c r="E141" s="156"/>
      <c r="F141" s="138"/>
      <c r="G141" s="136"/>
      <c r="H141" s="152"/>
      <c r="I141" s="150"/>
      <c r="J141" s="156"/>
      <c r="K141" s="138"/>
      <c r="L141" s="136"/>
      <c r="M141" s="152"/>
      <c r="N141" s="150"/>
      <c r="O141" s="156"/>
      <c r="P141" s="138"/>
      <c r="Q141" s="136"/>
      <c r="R141" s="152"/>
      <c r="S141" s="83"/>
      <c r="T141" s="83"/>
      <c r="U141" s="83"/>
      <c r="V141" s="83"/>
      <c r="W141" s="83"/>
      <c r="X141" s="83"/>
      <c r="Y141" s="83"/>
      <c r="Z141" s="83"/>
    </row>
    <row r="142" ht="15.75" customHeight="1">
      <c r="A142" s="118"/>
      <c r="B142" s="118"/>
      <c r="C142" s="94"/>
      <c r="D142" s="150"/>
      <c r="E142" s="156"/>
      <c r="F142" s="138"/>
      <c r="G142" s="136"/>
      <c r="H142" s="152"/>
      <c r="I142" s="150"/>
      <c r="J142" s="156"/>
      <c r="K142" s="138"/>
      <c r="L142" s="136"/>
      <c r="M142" s="152"/>
      <c r="N142" s="150"/>
      <c r="O142" s="156"/>
      <c r="P142" s="138"/>
      <c r="Q142" s="136"/>
      <c r="R142" s="152"/>
      <c r="S142" s="83"/>
      <c r="T142" s="83"/>
      <c r="U142" s="83"/>
      <c r="V142" s="83"/>
      <c r="W142" s="83"/>
      <c r="X142" s="83"/>
      <c r="Y142" s="83"/>
      <c r="Z142" s="83"/>
    </row>
    <row r="143" ht="15.75" customHeight="1">
      <c r="A143" s="118"/>
      <c r="B143" s="118"/>
      <c r="C143" s="94"/>
      <c r="D143" s="150"/>
      <c r="E143" s="156"/>
      <c r="F143" s="138"/>
      <c r="G143" s="136"/>
      <c r="H143" s="152"/>
      <c r="I143" s="150"/>
      <c r="J143" s="156"/>
      <c r="K143" s="138"/>
      <c r="L143" s="136"/>
      <c r="M143" s="152"/>
      <c r="N143" s="150"/>
      <c r="O143" s="156"/>
      <c r="P143" s="138"/>
      <c r="Q143" s="136"/>
      <c r="R143" s="152"/>
      <c r="S143" s="83"/>
      <c r="T143" s="83"/>
      <c r="U143" s="83"/>
      <c r="V143" s="83"/>
      <c r="W143" s="83"/>
      <c r="X143" s="83"/>
      <c r="Y143" s="83"/>
      <c r="Z143" s="83"/>
    </row>
    <row r="144" ht="15.75" customHeight="1">
      <c r="A144" s="118"/>
      <c r="B144" s="118"/>
      <c r="C144" s="94"/>
      <c r="D144" s="150"/>
      <c r="E144" s="156"/>
      <c r="F144" s="138"/>
      <c r="G144" s="136"/>
      <c r="H144" s="152"/>
      <c r="I144" s="150"/>
      <c r="J144" s="156"/>
      <c r="K144" s="138"/>
      <c r="L144" s="136"/>
      <c r="M144" s="152"/>
      <c r="N144" s="150"/>
      <c r="O144" s="156"/>
      <c r="P144" s="138"/>
      <c r="Q144" s="136"/>
      <c r="R144" s="152"/>
      <c r="S144" s="83"/>
      <c r="T144" s="83"/>
      <c r="U144" s="83"/>
      <c r="V144" s="83"/>
      <c r="W144" s="83"/>
      <c r="X144" s="83"/>
      <c r="Y144" s="83"/>
      <c r="Z144" s="83"/>
    </row>
    <row r="145" ht="15.75" customHeight="1">
      <c r="A145" s="118"/>
      <c r="B145" s="118"/>
      <c r="C145" s="94"/>
      <c r="D145" s="150"/>
      <c r="E145" s="156"/>
      <c r="F145" s="138"/>
      <c r="G145" s="136"/>
      <c r="H145" s="152"/>
      <c r="I145" s="150"/>
      <c r="J145" s="156"/>
      <c r="K145" s="138"/>
      <c r="L145" s="136"/>
      <c r="M145" s="152"/>
      <c r="N145" s="150"/>
      <c r="O145" s="156"/>
      <c r="P145" s="138"/>
      <c r="Q145" s="136"/>
      <c r="R145" s="152"/>
      <c r="S145" s="83"/>
      <c r="T145" s="83"/>
      <c r="U145" s="83"/>
      <c r="V145" s="83"/>
      <c r="W145" s="83"/>
      <c r="X145" s="83"/>
      <c r="Y145" s="83"/>
      <c r="Z145" s="83"/>
    </row>
    <row r="146" ht="15.75" customHeight="1">
      <c r="A146" s="118"/>
      <c r="B146" s="118"/>
      <c r="C146" s="94"/>
      <c r="D146" s="150"/>
      <c r="E146" s="156"/>
      <c r="F146" s="138"/>
      <c r="G146" s="136"/>
      <c r="H146" s="152"/>
      <c r="I146" s="150"/>
      <c r="J146" s="156"/>
      <c r="K146" s="138"/>
      <c r="L146" s="136"/>
      <c r="M146" s="152"/>
      <c r="N146" s="150"/>
      <c r="O146" s="156"/>
      <c r="P146" s="138"/>
      <c r="Q146" s="136"/>
      <c r="R146" s="152"/>
      <c r="S146" s="83"/>
      <c r="T146" s="83"/>
      <c r="U146" s="83"/>
      <c r="V146" s="83"/>
      <c r="W146" s="83"/>
      <c r="X146" s="83"/>
      <c r="Y146" s="83"/>
      <c r="Z146" s="83"/>
    </row>
    <row r="147" ht="15.75" customHeight="1">
      <c r="A147" s="118"/>
      <c r="B147" s="118"/>
      <c r="C147" s="94"/>
      <c r="D147" s="150"/>
      <c r="E147" s="156"/>
      <c r="F147" s="138"/>
      <c r="G147" s="136"/>
      <c r="H147" s="152"/>
      <c r="I147" s="150"/>
      <c r="J147" s="156"/>
      <c r="K147" s="138"/>
      <c r="L147" s="136"/>
      <c r="M147" s="152"/>
      <c r="N147" s="150"/>
      <c r="O147" s="156"/>
      <c r="P147" s="138"/>
      <c r="Q147" s="136"/>
      <c r="R147" s="152"/>
      <c r="S147" s="83"/>
      <c r="T147" s="83"/>
      <c r="U147" s="83"/>
      <c r="V147" s="83"/>
      <c r="W147" s="83"/>
      <c r="X147" s="83"/>
      <c r="Y147" s="83"/>
      <c r="Z147" s="83"/>
    </row>
    <row r="148" ht="15.75" customHeight="1">
      <c r="A148" s="118"/>
      <c r="B148" s="118"/>
      <c r="C148" s="94"/>
      <c r="D148" s="150"/>
      <c r="E148" s="156"/>
      <c r="F148" s="138"/>
      <c r="G148" s="136"/>
      <c r="H148" s="152"/>
      <c r="I148" s="150"/>
      <c r="J148" s="156"/>
      <c r="K148" s="138"/>
      <c r="L148" s="136"/>
      <c r="M148" s="152"/>
      <c r="N148" s="150"/>
      <c r="O148" s="156"/>
      <c r="P148" s="138"/>
      <c r="Q148" s="136"/>
      <c r="R148" s="152"/>
      <c r="S148" s="83"/>
      <c r="T148" s="83"/>
      <c r="U148" s="83"/>
      <c r="V148" s="83"/>
      <c r="W148" s="83"/>
      <c r="X148" s="83"/>
      <c r="Y148" s="83"/>
      <c r="Z148" s="83"/>
    </row>
    <row r="149" ht="15.75" customHeight="1">
      <c r="A149" s="118"/>
      <c r="B149" s="118"/>
      <c r="C149" s="94"/>
      <c r="D149" s="150"/>
      <c r="E149" s="156"/>
      <c r="F149" s="138"/>
      <c r="G149" s="136"/>
      <c r="H149" s="152"/>
      <c r="I149" s="150"/>
      <c r="J149" s="156"/>
      <c r="K149" s="138"/>
      <c r="L149" s="136"/>
      <c r="M149" s="152"/>
      <c r="N149" s="150"/>
      <c r="O149" s="156"/>
      <c r="P149" s="138"/>
      <c r="Q149" s="136"/>
      <c r="R149" s="152"/>
      <c r="S149" s="83"/>
      <c r="T149" s="83"/>
      <c r="U149" s="83"/>
      <c r="V149" s="83"/>
      <c r="W149" s="83"/>
      <c r="X149" s="83"/>
      <c r="Y149" s="83"/>
      <c r="Z149" s="83"/>
    </row>
    <row r="150" ht="15.75" customHeight="1">
      <c r="A150" s="118"/>
      <c r="B150" s="118"/>
      <c r="C150" s="94"/>
      <c r="D150" s="150"/>
      <c r="E150" s="156"/>
      <c r="F150" s="138"/>
      <c r="G150" s="136"/>
      <c r="H150" s="152"/>
      <c r="I150" s="150"/>
      <c r="J150" s="156"/>
      <c r="K150" s="138"/>
      <c r="L150" s="136"/>
      <c r="M150" s="152"/>
      <c r="N150" s="150"/>
      <c r="O150" s="156"/>
      <c r="P150" s="138"/>
      <c r="Q150" s="136"/>
      <c r="R150" s="152"/>
      <c r="S150" s="83"/>
      <c r="T150" s="83"/>
      <c r="U150" s="83"/>
      <c r="V150" s="83"/>
      <c r="W150" s="83"/>
      <c r="X150" s="83"/>
      <c r="Y150" s="83"/>
      <c r="Z150" s="83"/>
    </row>
    <row r="151" ht="15.75" customHeight="1">
      <c r="A151" s="118"/>
      <c r="B151" s="118"/>
      <c r="C151" s="94"/>
      <c r="D151" s="150"/>
      <c r="E151" s="156"/>
      <c r="F151" s="138"/>
      <c r="G151" s="136"/>
      <c r="H151" s="152"/>
      <c r="I151" s="150"/>
      <c r="J151" s="156"/>
      <c r="K151" s="138"/>
      <c r="L151" s="136"/>
      <c r="M151" s="152"/>
      <c r="N151" s="150"/>
      <c r="O151" s="156"/>
      <c r="P151" s="138"/>
      <c r="Q151" s="136"/>
      <c r="R151" s="152"/>
      <c r="S151" s="83"/>
      <c r="T151" s="83"/>
      <c r="U151" s="83"/>
      <c r="V151" s="83"/>
      <c r="W151" s="83"/>
      <c r="X151" s="83"/>
      <c r="Y151" s="83"/>
      <c r="Z151" s="83"/>
    </row>
    <row r="152" ht="15.75" customHeight="1">
      <c r="A152" s="118"/>
      <c r="B152" s="118"/>
      <c r="C152" s="94"/>
      <c r="D152" s="150"/>
      <c r="E152" s="156"/>
      <c r="F152" s="138"/>
      <c r="G152" s="136"/>
      <c r="H152" s="152"/>
      <c r="I152" s="150"/>
      <c r="J152" s="156"/>
      <c r="K152" s="138"/>
      <c r="L152" s="136"/>
      <c r="M152" s="152"/>
      <c r="N152" s="150"/>
      <c r="O152" s="156"/>
      <c r="P152" s="138"/>
      <c r="Q152" s="136"/>
      <c r="R152" s="152"/>
      <c r="S152" s="83"/>
      <c r="T152" s="83"/>
      <c r="U152" s="83"/>
      <c r="V152" s="83"/>
      <c r="W152" s="83"/>
      <c r="X152" s="83"/>
      <c r="Y152" s="83"/>
      <c r="Z152" s="83"/>
    </row>
    <row r="153" ht="15.75" customHeight="1">
      <c r="A153" s="118"/>
      <c r="B153" s="118"/>
      <c r="C153" s="94"/>
      <c r="D153" s="150"/>
      <c r="E153" s="156"/>
      <c r="F153" s="138"/>
      <c r="G153" s="136"/>
      <c r="H153" s="152"/>
      <c r="I153" s="150"/>
      <c r="J153" s="156"/>
      <c r="K153" s="138"/>
      <c r="L153" s="136"/>
      <c r="M153" s="152"/>
      <c r="N153" s="150"/>
      <c r="O153" s="156"/>
      <c r="P153" s="138"/>
      <c r="Q153" s="136"/>
      <c r="R153" s="152"/>
      <c r="S153" s="83"/>
      <c r="T153" s="83"/>
      <c r="U153" s="83"/>
      <c r="V153" s="83"/>
      <c r="W153" s="83"/>
      <c r="X153" s="83"/>
      <c r="Y153" s="83"/>
      <c r="Z153" s="83"/>
    </row>
    <row r="154" ht="15.75" customHeight="1">
      <c r="A154" s="118"/>
      <c r="B154" s="118"/>
      <c r="C154" s="94"/>
      <c r="D154" s="150"/>
      <c r="E154" s="156"/>
      <c r="F154" s="138"/>
      <c r="G154" s="136"/>
      <c r="H154" s="152"/>
      <c r="I154" s="150"/>
      <c r="J154" s="156"/>
      <c r="K154" s="138"/>
      <c r="L154" s="136"/>
      <c r="M154" s="152"/>
      <c r="N154" s="150"/>
      <c r="O154" s="156"/>
      <c r="P154" s="138"/>
      <c r="Q154" s="136"/>
      <c r="R154" s="152"/>
      <c r="S154" s="83"/>
      <c r="T154" s="83"/>
      <c r="U154" s="83"/>
      <c r="V154" s="83"/>
      <c r="W154" s="83"/>
      <c r="X154" s="83"/>
      <c r="Y154" s="83"/>
      <c r="Z154" s="83"/>
    </row>
    <row r="155" ht="15.75" customHeight="1">
      <c r="A155" s="118"/>
      <c r="B155" s="118"/>
      <c r="C155" s="94"/>
      <c r="D155" s="150"/>
      <c r="E155" s="156"/>
      <c r="F155" s="138"/>
      <c r="G155" s="136"/>
      <c r="H155" s="152"/>
      <c r="I155" s="150"/>
      <c r="J155" s="156"/>
      <c r="K155" s="138"/>
      <c r="L155" s="136"/>
      <c r="M155" s="152"/>
      <c r="N155" s="150"/>
      <c r="O155" s="156"/>
      <c r="P155" s="138"/>
      <c r="Q155" s="136"/>
      <c r="R155" s="152"/>
      <c r="S155" s="83"/>
      <c r="T155" s="83"/>
      <c r="U155" s="83"/>
      <c r="V155" s="83"/>
      <c r="W155" s="83"/>
      <c r="X155" s="83"/>
      <c r="Y155" s="83"/>
      <c r="Z155" s="83"/>
    </row>
    <row r="156" ht="15.75" customHeight="1">
      <c r="A156" s="118"/>
      <c r="B156" s="118"/>
      <c r="C156" s="94"/>
      <c r="D156" s="150"/>
      <c r="E156" s="156"/>
      <c r="F156" s="138"/>
      <c r="G156" s="136"/>
      <c r="H156" s="152"/>
      <c r="I156" s="150"/>
      <c r="J156" s="156"/>
      <c r="K156" s="138"/>
      <c r="L156" s="136"/>
      <c r="M156" s="152"/>
      <c r="N156" s="150"/>
      <c r="O156" s="156"/>
      <c r="P156" s="138"/>
      <c r="Q156" s="136"/>
      <c r="R156" s="152"/>
      <c r="S156" s="83"/>
      <c r="T156" s="83"/>
      <c r="U156" s="83"/>
      <c r="V156" s="83"/>
      <c r="W156" s="83"/>
      <c r="X156" s="83"/>
      <c r="Y156" s="83"/>
      <c r="Z156" s="83"/>
    </row>
    <row r="157" ht="15.75" customHeight="1">
      <c r="A157" s="118"/>
      <c r="B157" s="118"/>
      <c r="C157" s="94"/>
      <c r="D157" s="150"/>
      <c r="E157" s="156"/>
      <c r="F157" s="138"/>
      <c r="G157" s="136"/>
      <c r="H157" s="152"/>
      <c r="I157" s="150"/>
      <c r="J157" s="156"/>
      <c r="K157" s="138"/>
      <c r="L157" s="136"/>
      <c r="M157" s="152"/>
      <c r="N157" s="150"/>
      <c r="O157" s="156"/>
      <c r="P157" s="138"/>
      <c r="Q157" s="136"/>
      <c r="R157" s="152"/>
      <c r="S157" s="83"/>
      <c r="T157" s="83"/>
      <c r="U157" s="83"/>
      <c r="V157" s="83"/>
      <c r="W157" s="83"/>
      <c r="X157" s="83"/>
      <c r="Y157" s="83"/>
      <c r="Z157" s="83"/>
    </row>
    <row r="158" ht="15.75" customHeight="1">
      <c r="A158" s="118"/>
      <c r="B158" s="118"/>
      <c r="C158" s="94"/>
      <c r="D158" s="150"/>
      <c r="E158" s="156"/>
      <c r="F158" s="138"/>
      <c r="G158" s="136"/>
      <c r="H158" s="152"/>
      <c r="I158" s="150"/>
      <c r="J158" s="156"/>
      <c r="K158" s="138"/>
      <c r="L158" s="136"/>
      <c r="M158" s="152"/>
      <c r="N158" s="150"/>
      <c r="O158" s="156"/>
      <c r="P158" s="138"/>
      <c r="Q158" s="136"/>
      <c r="R158" s="152"/>
      <c r="S158" s="83"/>
      <c r="T158" s="83"/>
      <c r="U158" s="83"/>
      <c r="V158" s="83"/>
      <c r="W158" s="83"/>
      <c r="X158" s="83"/>
      <c r="Y158" s="83"/>
      <c r="Z158" s="83"/>
    </row>
    <row r="159" ht="15.75" customHeight="1">
      <c r="A159" s="118"/>
      <c r="B159" s="118"/>
      <c r="C159" s="94"/>
      <c r="D159" s="150"/>
      <c r="E159" s="156"/>
      <c r="F159" s="138"/>
      <c r="G159" s="136"/>
      <c r="H159" s="152"/>
      <c r="I159" s="150"/>
      <c r="J159" s="156"/>
      <c r="K159" s="138"/>
      <c r="L159" s="136"/>
      <c r="M159" s="152"/>
      <c r="N159" s="150"/>
      <c r="O159" s="156"/>
      <c r="P159" s="138"/>
      <c r="Q159" s="136"/>
      <c r="R159" s="152"/>
      <c r="S159" s="83"/>
      <c r="T159" s="83"/>
      <c r="U159" s="83"/>
      <c r="V159" s="83"/>
      <c r="W159" s="83"/>
      <c r="X159" s="83"/>
      <c r="Y159" s="83"/>
      <c r="Z159" s="83"/>
    </row>
    <row r="160" ht="15.75" customHeight="1">
      <c r="A160" s="118"/>
      <c r="B160" s="118"/>
      <c r="C160" s="94"/>
      <c r="D160" s="150"/>
      <c r="E160" s="156"/>
      <c r="F160" s="138"/>
      <c r="G160" s="136"/>
      <c r="H160" s="152"/>
      <c r="I160" s="150"/>
      <c r="J160" s="156"/>
      <c r="K160" s="138"/>
      <c r="L160" s="136"/>
      <c r="M160" s="152"/>
      <c r="N160" s="150"/>
      <c r="O160" s="156"/>
      <c r="P160" s="138"/>
      <c r="Q160" s="136"/>
      <c r="R160" s="152"/>
      <c r="S160" s="83"/>
      <c r="T160" s="83"/>
      <c r="U160" s="83"/>
      <c r="V160" s="83"/>
      <c r="W160" s="83"/>
      <c r="X160" s="83"/>
      <c r="Y160" s="83"/>
      <c r="Z160" s="83"/>
    </row>
    <row r="161" ht="15.75" customHeight="1">
      <c r="A161" s="118"/>
      <c r="B161" s="118"/>
      <c r="C161" s="94"/>
      <c r="D161" s="150"/>
      <c r="E161" s="156"/>
      <c r="F161" s="138"/>
      <c r="G161" s="136"/>
      <c r="H161" s="152"/>
      <c r="I161" s="150"/>
      <c r="J161" s="156"/>
      <c r="K161" s="138"/>
      <c r="L161" s="136"/>
      <c r="M161" s="152"/>
      <c r="N161" s="150"/>
      <c r="O161" s="156"/>
      <c r="P161" s="138"/>
      <c r="Q161" s="136"/>
      <c r="R161" s="152"/>
      <c r="S161" s="83"/>
      <c r="T161" s="83"/>
      <c r="U161" s="83"/>
      <c r="V161" s="83"/>
      <c r="W161" s="83"/>
      <c r="X161" s="83"/>
      <c r="Y161" s="83"/>
      <c r="Z161" s="83"/>
    </row>
    <row r="162" ht="15.75" customHeight="1">
      <c r="A162" s="118"/>
      <c r="B162" s="118"/>
      <c r="C162" s="94"/>
      <c r="D162" s="150"/>
      <c r="E162" s="156"/>
      <c r="F162" s="138"/>
      <c r="G162" s="136"/>
      <c r="H162" s="152"/>
      <c r="I162" s="150"/>
      <c r="J162" s="156"/>
      <c r="K162" s="138"/>
      <c r="L162" s="136"/>
      <c r="M162" s="152"/>
      <c r="N162" s="150"/>
      <c r="O162" s="156"/>
      <c r="P162" s="138"/>
      <c r="Q162" s="136"/>
      <c r="R162" s="152"/>
      <c r="S162" s="83"/>
      <c r="T162" s="83"/>
      <c r="U162" s="83"/>
      <c r="V162" s="83"/>
      <c r="W162" s="83"/>
      <c r="X162" s="83"/>
      <c r="Y162" s="83"/>
      <c r="Z162" s="83"/>
    </row>
    <row r="163" ht="15.75" customHeight="1">
      <c r="A163" s="118"/>
      <c r="B163" s="118"/>
      <c r="C163" s="94"/>
      <c r="D163" s="150"/>
      <c r="E163" s="156"/>
      <c r="F163" s="138"/>
      <c r="G163" s="136"/>
      <c r="H163" s="152"/>
      <c r="I163" s="150"/>
      <c r="J163" s="156"/>
      <c r="K163" s="138"/>
      <c r="L163" s="136"/>
      <c r="M163" s="152"/>
      <c r="N163" s="150"/>
      <c r="O163" s="156"/>
      <c r="P163" s="138"/>
      <c r="Q163" s="136"/>
      <c r="R163" s="152"/>
      <c r="S163" s="83"/>
      <c r="T163" s="83"/>
      <c r="U163" s="83"/>
      <c r="V163" s="83"/>
      <c r="W163" s="83"/>
      <c r="X163" s="83"/>
      <c r="Y163" s="83"/>
      <c r="Z163" s="83"/>
    </row>
    <row r="164" ht="15.75" customHeight="1">
      <c r="A164" s="118"/>
      <c r="B164" s="118"/>
      <c r="C164" s="94"/>
      <c r="D164" s="150"/>
      <c r="E164" s="156"/>
      <c r="F164" s="138"/>
      <c r="G164" s="136"/>
      <c r="H164" s="152"/>
      <c r="I164" s="150"/>
      <c r="J164" s="156"/>
      <c r="K164" s="138"/>
      <c r="L164" s="136"/>
      <c r="M164" s="152"/>
      <c r="N164" s="150"/>
      <c r="O164" s="156"/>
      <c r="P164" s="138"/>
      <c r="Q164" s="136"/>
      <c r="R164" s="152"/>
      <c r="S164" s="83"/>
      <c r="T164" s="83"/>
      <c r="U164" s="83"/>
      <c r="V164" s="83"/>
      <c r="W164" s="83"/>
      <c r="X164" s="83"/>
      <c r="Y164" s="83"/>
      <c r="Z164" s="83"/>
    </row>
    <row r="165" ht="15.75" customHeight="1">
      <c r="A165" s="118"/>
      <c r="B165" s="118"/>
      <c r="C165" s="94"/>
      <c r="D165" s="150"/>
      <c r="E165" s="156"/>
      <c r="F165" s="138"/>
      <c r="G165" s="136"/>
      <c r="H165" s="152"/>
      <c r="I165" s="150"/>
      <c r="J165" s="156"/>
      <c r="K165" s="138"/>
      <c r="L165" s="136"/>
      <c r="M165" s="152"/>
      <c r="N165" s="150"/>
      <c r="O165" s="156"/>
      <c r="P165" s="138"/>
      <c r="Q165" s="136"/>
      <c r="R165" s="152"/>
      <c r="S165" s="83"/>
      <c r="T165" s="83"/>
      <c r="U165" s="83"/>
      <c r="V165" s="83"/>
      <c r="W165" s="83"/>
      <c r="X165" s="83"/>
      <c r="Y165" s="83"/>
      <c r="Z165" s="83"/>
    </row>
    <row r="166" ht="15.75" customHeight="1">
      <c r="A166" s="118"/>
      <c r="B166" s="118"/>
      <c r="C166" s="94"/>
      <c r="D166" s="150"/>
      <c r="E166" s="156"/>
      <c r="F166" s="138"/>
      <c r="G166" s="136"/>
      <c r="H166" s="152"/>
      <c r="I166" s="150"/>
      <c r="J166" s="156"/>
      <c r="K166" s="138"/>
      <c r="L166" s="136"/>
      <c r="M166" s="152"/>
      <c r="N166" s="150"/>
      <c r="O166" s="156"/>
      <c r="P166" s="138"/>
      <c r="Q166" s="136"/>
      <c r="R166" s="152"/>
      <c r="S166" s="83"/>
      <c r="T166" s="83"/>
      <c r="U166" s="83"/>
      <c r="V166" s="83"/>
      <c r="W166" s="83"/>
      <c r="X166" s="83"/>
      <c r="Y166" s="83"/>
      <c r="Z166" s="83"/>
    </row>
    <row r="167" ht="15.75" customHeight="1">
      <c r="A167" s="118"/>
      <c r="B167" s="118"/>
      <c r="C167" s="94"/>
      <c r="D167" s="150"/>
      <c r="E167" s="156"/>
      <c r="F167" s="138"/>
      <c r="G167" s="136"/>
      <c r="H167" s="152"/>
      <c r="I167" s="150"/>
      <c r="J167" s="156"/>
      <c r="K167" s="138"/>
      <c r="L167" s="136"/>
      <c r="M167" s="152"/>
      <c r="N167" s="150"/>
      <c r="O167" s="156"/>
      <c r="P167" s="138"/>
      <c r="Q167" s="136"/>
      <c r="R167" s="152"/>
      <c r="S167" s="83"/>
      <c r="T167" s="83"/>
      <c r="U167" s="83"/>
      <c r="V167" s="83"/>
      <c r="W167" s="83"/>
      <c r="X167" s="83"/>
      <c r="Y167" s="83"/>
      <c r="Z167" s="83"/>
    </row>
    <row r="168" ht="15.75" customHeight="1">
      <c r="A168" s="118"/>
      <c r="B168" s="118"/>
      <c r="C168" s="94"/>
      <c r="D168" s="150"/>
      <c r="E168" s="156"/>
      <c r="F168" s="138"/>
      <c r="G168" s="136"/>
      <c r="H168" s="152"/>
      <c r="I168" s="150"/>
      <c r="J168" s="156"/>
      <c r="K168" s="138"/>
      <c r="L168" s="136"/>
      <c r="M168" s="152"/>
      <c r="N168" s="150"/>
      <c r="O168" s="156"/>
      <c r="P168" s="138"/>
      <c r="Q168" s="136"/>
      <c r="R168" s="152"/>
      <c r="S168" s="83"/>
      <c r="T168" s="83"/>
      <c r="U168" s="83"/>
      <c r="V168" s="83"/>
      <c r="W168" s="83"/>
      <c r="X168" s="83"/>
      <c r="Y168" s="83"/>
      <c r="Z168" s="83"/>
    </row>
    <row r="169" ht="15.75" customHeight="1">
      <c r="A169" s="118"/>
      <c r="B169" s="118"/>
      <c r="C169" s="94"/>
      <c r="D169" s="150"/>
      <c r="E169" s="156"/>
      <c r="F169" s="138"/>
      <c r="G169" s="136"/>
      <c r="H169" s="152"/>
      <c r="I169" s="150"/>
      <c r="J169" s="156"/>
      <c r="K169" s="138"/>
      <c r="L169" s="136"/>
      <c r="M169" s="152"/>
      <c r="N169" s="150"/>
      <c r="O169" s="156"/>
      <c r="P169" s="138"/>
      <c r="Q169" s="136"/>
      <c r="R169" s="152"/>
      <c r="S169" s="83"/>
      <c r="T169" s="83"/>
      <c r="U169" s="83"/>
      <c r="V169" s="83"/>
      <c r="W169" s="83"/>
      <c r="X169" s="83"/>
      <c r="Y169" s="83"/>
      <c r="Z169" s="83"/>
    </row>
    <row r="170" ht="15.75" customHeight="1">
      <c r="A170" s="118"/>
      <c r="B170" s="118"/>
      <c r="C170" s="94"/>
      <c r="D170" s="150"/>
      <c r="E170" s="156"/>
      <c r="F170" s="138"/>
      <c r="G170" s="136"/>
      <c r="H170" s="152"/>
      <c r="I170" s="150"/>
      <c r="J170" s="156"/>
      <c r="K170" s="138"/>
      <c r="L170" s="136"/>
      <c r="M170" s="152"/>
      <c r="N170" s="150"/>
      <c r="O170" s="156"/>
      <c r="P170" s="138"/>
      <c r="Q170" s="136"/>
      <c r="R170" s="152"/>
      <c r="S170" s="83"/>
      <c r="T170" s="83"/>
      <c r="U170" s="83"/>
      <c r="V170" s="83"/>
      <c r="W170" s="83"/>
      <c r="X170" s="83"/>
      <c r="Y170" s="83"/>
      <c r="Z170" s="83"/>
    </row>
    <row r="171" ht="15.75" customHeight="1">
      <c r="A171" s="118"/>
      <c r="B171" s="118"/>
      <c r="C171" s="94"/>
      <c r="D171" s="150"/>
      <c r="E171" s="156"/>
      <c r="F171" s="138"/>
      <c r="G171" s="136"/>
      <c r="H171" s="152"/>
      <c r="I171" s="150"/>
      <c r="J171" s="156"/>
      <c r="K171" s="138"/>
      <c r="L171" s="136"/>
      <c r="M171" s="152"/>
      <c r="N171" s="150"/>
      <c r="O171" s="156"/>
      <c r="P171" s="138"/>
      <c r="Q171" s="136"/>
      <c r="R171" s="152"/>
      <c r="S171" s="83"/>
      <c r="T171" s="83"/>
      <c r="U171" s="83"/>
      <c r="V171" s="83"/>
      <c r="W171" s="83"/>
      <c r="X171" s="83"/>
      <c r="Y171" s="83"/>
      <c r="Z171" s="83"/>
    </row>
    <row r="172" ht="15.75" customHeight="1">
      <c r="A172" s="118"/>
      <c r="B172" s="118"/>
      <c r="C172" s="94"/>
      <c r="D172" s="150"/>
      <c r="E172" s="156"/>
      <c r="F172" s="138"/>
      <c r="G172" s="136"/>
      <c r="H172" s="152"/>
      <c r="I172" s="150"/>
      <c r="J172" s="156"/>
      <c r="K172" s="138"/>
      <c r="L172" s="136"/>
      <c r="M172" s="152"/>
      <c r="N172" s="150"/>
      <c r="O172" s="156"/>
      <c r="P172" s="138"/>
      <c r="Q172" s="136"/>
      <c r="R172" s="152"/>
      <c r="S172" s="83"/>
      <c r="T172" s="83"/>
      <c r="U172" s="83"/>
      <c r="V172" s="83"/>
      <c r="W172" s="83"/>
      <c r="X172" s="83"/>
      <c r="Y172" s="83"/>
      <c r="Z172" s="83"/>
    </row>
    <row r="173" ht="15.75" customHeight="1">
      <c r="A173" s="118"/>
      <c r="B173" s="118"/>
      <c r="C173" s="94"/>
      <c r="D173" s="150"/>
      <c r="E173" s="156"/>
      <c r="F173" s="138"/>
      <c r="G173" s="136"/>
      <c r="H173" s="152"/>
      <c r="I173" s="150"/>
      <c r="J173" s="156"/>
      <c r="K173" s="138"/>
      <c r="L173" s="136"/>
      <c r="M173" s="152"/>
      <c r="N173" s="150"/>
      <c r="O173" s="156"/>
      <c r="P173" s="138"/>
      <c r="Q173" s="136"/>
      <c r="R173" s="152"/>
      <c r="S173" s="83"/>
      <c r="T173" s="83"/>
      <c r="U173" s="83"/>
      <c r="V173" s="83"/>
      <c r="W173" s="83"/>
      <c r="X173" s="83"/>
      <c r="Y173" s="83"/>
      <c r="Z173" s="83"/>
    </row>
    <row r="174" ht="15.75" customHeight="1">
      <c r="A174" s="118"/>
      <c r="B174" s="118"/>
      <c r="C174" s="94"/>
      <c r="D174" s="150"/>
      <c r="E174" s="156"/>
      <c r="F174" s="138"/>
      <c r="G174" s="136"/>
      <c r="H174" s="152"/>
      <c r="I174" s="150"/>
      <c r="J174" s="156"/>
      <c r="K174" s="138"/>
      <c r="L174" s="136"/>
      <c r="M174" s="152"/>
      <c r="N174" s="150"/>
      <c r="O174" s="156"/>
      <c r="P174" s="138"/>
      <c r="Q174" s="136"/>
      <c r="R174" s="152"/>
      <c r="S174" s="83"/>
      <c r="T174" s="83"/>
      <c r="U174" s="83"/>
      <c r="V174" s="83"/>
      <c r="W174" s="83"/>
      <c r="X174" s="83"/>
      <c r="Y174" s="83"/>
      <c r="Z174" s="83"/>
    </row>
    <row r="175" ht="15.75" customHeight="1">
      <c r="A175" s="118"/>
      <c r="B175" s="118"/>
      <c r="C175" s="94"/>
      <c r="D175" s="150"/>
      <c r="E175" s="156"/>
      <c r="F175" s="138"/>
      <c r="G175" s="136"/>
      <c r="H175" s="152"/>
      <c r="I175" s="150"/>
      <c r="J175" s="156"/>
      <c r="K175" s="138"/>
      <c r="L175" s="136"/>
      <c r="M175" s="152"/>
      <c r="N175" s="150"/>
      <c r="O175" s="156"/>
      <c r="P175" s="138"/>
      <c r="Q175" s="136"/>
      <c r="R175" s="152"/>
      <c r="S175" s="83"/>
      <c r="T175" s="83"/>
      <c r="U175" s="83"/>
      <c r="V175" s="83"/>
      <c r="W175" s="83"/>
      <c r="X175" s="83"/>
      <c r="Y175" s="83"/>
      <c r="Z175" s="83"/>
    </row>
    <row r="176" ht="15.75" customHeight="1">
      <c r="A176" s="118"/>
      <c r="B176" s="118"/>
      <c r="C176" s="94"/>
      <c r="D176" s="150"/>
      <c r="E176" s="156"/>
      <c r="F176" s="138"/>
      <c r="G176" s="136"/>
      <c r="H176" s="152"/>
      <c r="I176" s="150"/>
      <c r="J176" s="156"/>
      <c r="K176" s="138"/>
      <c r="L176" s="136"/>
      <c r="M176" s="152"/>
      <c r="N176" s="150"/>
      <c r="O176" s="156"/>
      <c r="P176" s="138"/>
      <c r="Q176" s="136"/>
      <c r="R176" s="152"/>
      <c r="S176" s="83"/>
      <c r="T176" s="83"/>
      <c r="U176" s="83"/>
      <c r="V176" s="83"/>
      <c r="W176" s="83"/>
      <c r="X176" s="83"/>
      <c r="Y176" s="83"/>
      <c r="Z176" s="83"/>
    </row>
    <row r="177" ht="15.75" customHeight="1">
      <c r="A177" s="118"/>
      <c r="B177" s="118"/>
      <c r="C177" s="94"/>
      <c r="D177" s="150"/>
      <c r="E177" s="156"/>
      <c r="F177" s="138"/>
      <c r="G177" s="136"/>
      <c r="H177" s="152"/>
      <c r="I177" s="150"/>
      <c r="J177" s="156"/>
      <c r="K177" s="138"/>
      <c r="L177" s="136"/>
      <c r="M177" s="152"/>
      <c r="N177" s="150"/>
      <c r="O177" s="156"/>
      <c r="P177" s="138"/>
      <c r="Q177" s="136"/>
      <c r="R177" s="152"/>
      <c r="S177" s="83"/>
      <c r="T177" s="83"/>
      <c r="U177" s="83"/>
      <c r="V177" s="83"/>
      <c r="W177" s="83"/>
      <c r="X177" s="83"/>
      <c r="Y177" s="83"/>
      <c r="Z177" s="83"/>
    </row>
    <row r="178" ht="15.75" customHeight="1">
      <c r="A178" s="118"/>
      <c r="B178" s="118"/>
      <c r="C178" s="94"/>
      <c r="D178" s="150"/>
      <c r="E178" s="156"/>
      <c r="F178" s="138"/>
      <c r="G178" s="136"/>
      <c r="H178" s="152"/>
      <c r="I178" s="150"/>
      <c r="J178" s="156"/>
      <c r="K178" s="138"/>
      <c r="L178" s="136"/>
      <c r="M178" s="152"/>
      <c r="N178" s="150"/>
      <c r="O178" s="156"/>
      <c r="P178" s="138"/>
      <c r="Q178" s="136"/>
      <c r="R178" s="152"/>
      <c r="S178" s="83"/>
      <c r="T178" s="83"/>
      <c r="U178" s="83"/>
      <c r="V178" s="83"/>
      <c r="W178" s="83"/>
      <c r="X178" s="83"/>
      <c r="Y178" s="83"/>
      <c r="Z178" s="83"/>
    </row>
    <row r="179" ht="15.75" customHeight="1">
      <c r="A179" s="118"/>
      <c r="B179" s="118"/>
      <c r="C179" s="94"/>
      <c r="D179" s="150"/>
      <c r="E179" s="156"/>
      <c r="F179" s="138"/>
      <c r="G179" s="136"/>
      <c r="H179" s="152"/>
      <c r="I179" s="150"/>
      <c r="J179" s="156"/>
      <c r="K179" s="138"/>
      <c r="L179" s="136"/>
      <c r="M179" s="152"/>
      <c r="N179" s="150"/>
      <c r="O179" s="156"/>
      <c r="P179" s="138"/>
      <c r="Q179" s="136"/>
      <c r="R179" s="152"/>
      <c r="S179" s="83"/>
      <c r="T179" s="83"/>
      <c r="U179" s="83"/>
      <c r="V179" s="83"/>
      <c r="W179" s="83"/>
      <c r="X179" s="83"/>
      <c r="Y179" s="83"/>
      <c r="Z179" s="83"/>
    </row>
    <row r="180" ht="15.75" customHeight="1">
      <c r="A180" s="118"/>
      <c r="B180" s="118"/>
      <c r="C180" s="94"/>
      <c r="D180" s="150"/>
      <c r="E180" s="156"/>
      <c r="F180" s="138"/>
      <c r="G180" s="136"/>
      <c r="H180" s="152"/>
      <c r="I180" s="150"/>
      <c r="J180" s="156"/>
      <c r="K180" s="138"/>
      <c r="L180" s="136"/>
      <c r="M180" s="152"/>
      <c r="N180" s="150"/>
      <c r="O180" s="156"/>
      <c r="P180" s="138"/>
      <c r="Q180" s="136"/>
      <c r="R180" s="152"/>
      <c r="S180" s="83"/>
      <c r="T180" s="83"/>
      <c r="U180" s="83"/>
      <c r="V180" s="83"/>
      <c r="W180" s="83"/>
      <c r="X180" s="83"/>
      <c r="Y180" s="83"/>
      <c r="Z180" s="83"/>
    </row>
    <row r="181" ht="15.75" customHeight="1">
      <c r="A181" s="118"/>
      <c r="B181" s="118"/>
      <c r="C181" s="94"/>
      <c r="D181" s="150"/>
      <c r="E181" s="156"/>
      <c r="F181" s="138"/>
      <c r="G181" s="136"/>
      <c r="H181" s="152"/>
      <c r="I181" s="150"/>
      <c r="J181" s="156"/>
      <c r="K181" s="138"/>
      <c r="L181" s="136"/>
      <c r="M181" s="152"/>
      <c r="N181" s="150"/>
      <c r="O181" s="156"/>
      <c r="P181" s="138"/>
      <c r="Q181" s="136"/>
      <c r="R181" s="152"/>
      <c r="S181" s="83"/>
      <c r="T181" s="83"/>
      <c r="U181" s="83"/>
      <c r="V181" s="83"/>
      <c r="W181" s="83"/>
      <c r="X181" s="83"/>
      <c r="Y181" s="83"/>
      <c r="Z181" s="83"/>
    </row>
    <row r="182" ht="15.75" customHeight="1">
      <c r="A182" s="118"/>
      <c r="B182" s="118"/>
      <c r="C182" s="94"/>
      <c r="D182" s="150"/>
      <c r="E182" s="156"/>
      <c r="F182" s="138"/>
      <c r="G182" s="136"/>
      <c r="H182" s="152"/>
      <c r="I182" s="150"/>
      <c r="J182" s="156"/>
      <c r="K182" s="138"/>
      <c r="L182" s="136"/>
      <c r="M182" s="152"/>
      <c r="N182" s="150"/>
      <c r="O182" s="156"/>
      <c r="P182" s="138"/>
      <c r="Q182" s="136"/>
      <c r="R182" s="152"/>
      <c r="S182" s="83"/>
      <c r="T182" s="83"/>
      <c r="U182" s="83"/>
      <c r="V182" s="83"/>
      <c r="W182" s="83"/>
      <c r="X182" s="83"/>
      <c r="Y182" s="83"/>
      <c r="Z182" s="83"/>
    </row>
    <row r="183" ht="15.75" customHeight="1">
      <c r="A183" s="118"/>
      <c r="B183" s="118"/>
      <c r="C183" s="94"/>
      <c r="D183" s="150"/>
      <c r="E183" s="156"/>
      <c r="F183" s="138"/>
      <c r="G183" s="136"/>
      <c r="H183" s="152"/>
      <c r="I183" s="150"/>
      <c r="J183" s="156"/>
      <c r="K183" s="138"/>
      <c r="L183" s="136"/>
      <c r="M183" s="152"/>
      <c r="N183" s="150"/>
      <c r="O183" s="156"/>
      <c r="P183" s="138"/>
      <c r="Q183" s="136"/>
      <c r="R183" s="152"/>
      <c r="S183" s="83"/>
      <c r="T183" s="83"/>
      <c r="U183" s="83"/>
      <c r="V183" s="83"/>
      <c r="W183" s="83"/>
      <c r="X183" s="83"/>
      <c r="Y183" s="83"/>
      <c r="Z183" s="83"/>
    </row>
    <row r="184" ht="15.75" customHeight="1">
      <c r="A184" s="118"/>
      <c r="B184" s="118"/>
      <c r="C184" s="94"/>
      <c r="D184" s="150"/>
      <c r="E184" s="156"/>
      <c r="F184" s="138"/>
      <c r="G184" s="136"/>
      <c r="H184" s="152"/>
      <c r="I184" s="150"/>
      <c r="J184" s="156"/>
      <c r="K184" s="138"/>
      <c r="L184" s="136"/>
      <c r="M184" s="152"/>
      <c r="N184" s="150"/>
      <c r="O184" s="156"/>
      <c r="P184" s="138"/>
      <c r="Q184" s="136"/>
      <c r="R184" s="152"/>
      <c r="S184" s="83"/>
      <c r="T184" s="83"/>
      <c r="U184" s="83"/>
      <c r="V184" s="83"/>
      <c r="W184" s="83"/>
      <c r="X184" s="83"/>
      <c r="Y184" s="83"/>
      <c r="Z184" s="83"/>
    </row>
    <row r="185" ht="15.75" customHeight="1">
      <c r="A185" s="118"/>
      <c r="B185" s="118"/>
      <c r="C185" s="94"/>
      <c r="D185" s="150"/>
      <c r="E185" s="156"/>
      <c r="F185" s="138"/>
      <c r="G185" s="136"/>
      <c r="H185" s="152"/>
      <c r="I185" s="150"/>
      <c r="J185" s="156"/>
      <c r="K185" s="138"/>
      <c r="L185" s="136"/>
      <c r="M185" s="152"/>
      <c r="N185" s="150"/>
      <c r="O185" s="156"/>
      <c r="P185" s="138"/>
      <c r="Q185" s="136"/>
      <c r="R185" s="152"/>
      <c r="S185" s="83"/>
      <c r="T185" s="83"/>
      <c r="U185" s="83"/>
      <c r="V185" s="83"/>
      <c r="W185" s="83"/>
      <c r="X185" s="83"/>
      <c r="Y185" s="83"/>
      <c r="Z185" s="83"/>
    </row>
    <row r="186" ht="15.75" customHeight="1">
      <c r="A186" s="118"/>
      <c r="B186" s="118"/>
      <c r="C186" s="94"/>
      <c r="D186" s="150"/>
      <c r="E186" s="156"/>
      <c r="F186" s="138"/>
      <c r="G186" s="136"/>
      <c r="H186" s="152"/>
      <c r="I186" s="150"/>
      <c r="J186" s="156"/>
      <c r="K186" s="138"/>
      <c r="L186" s="136"/>
      <c r="M186" s="152"/>
      <c r="N186" s="150"/>
      <c r="O186" s="156"/>
      <c r="P186" s="138"/>
      <c r="Q186" s="136"/>
      <c r="R186" s="152"/>
      <c r="S186" s="83"/>
      <c r="T186" s="83"/>
      <c r="U186" s="83"/>
      <c r="V186" s="83"/>
      <c r="W186" s="83"/>
      <c r="X186" s="83"/>
      <c r="Y186" s="83"/>
      <c r="Z186" s="83"/>
    </row>
    <row r="187" ht="15.75" customHeight="1">
      <c r="A187" s="118"/>
      <c r="B187" s="118"/>
      <c r="C187" s="94"/>
      <c r="D187" s="150"/>
      <c r="E187" s="156"/>
      <c r="F187" s="138"/>
      <c r="G187" s="136"/>
      <c r="H187" s="152"/>
      <c r="I187" s="150"/>
      <c r="J187" s="156"/>
      <c r="K187" s="138"/>
      <c r="L187" s="136"/>
      <c r="M187" s="152"/>
      <c r="N187" s="150"/>
      <c r="O187" s="156"/>
      <c r="P187" s="138"/>
      <c r="Q187" s="136"/>
      <c r="R187" s="152"/>
      <c r="S187" s="83"/>
      <c r="T187" s="83"/>
      <c r="U187" s="83"/>
      <c r="V187" s="83"/>
      <c r="W187" s="83"/>
      <c r="X187" s="83"/>
      <c r="Y187" s="83"/>
      <c r="Z187" s="83"/>
    </row>
    <row r="188" ht="15.75" customHeight="1">
      <c r="A188" s="118"/>
      <c r="B188" s="118"/>
      <c r="C188" s="94"/>
      <c r="D188" s="150"/>
      <c r="E188" s="156"/>
      <c r="F188" s="138"/>
      <c r="G188" s="136"/>
      <c r="H188" s="152"/>
      <c r="I188" s="150"/>
      <c r="J188" s="156"/>
      <c r="K188" s="138"/>
      <c r="L188" s="136"/>
      <c r="M188" s="152"/>
      <c r="N188" s="150"/>
      <c r="O188" s="156"/>
      <c r="P188" s="138"/>
      <c r="Q188" s="136"/>
      <c r="R188" s="152"/>
      <c r="S188" s="83"/>
      <c r="T188" s="83"/>
      <c r="U188" s="83"/>
      <c r="V188" s="83"/>
      <c r="W188" s="83"/>
      <c r="X188" s="83"/>
      <c r="Y188" s="83"/>
      <c r="Z188" s="83"/>
    </row>
    <row r="189" ht="15.75" customHeight="1">
      <c r="A189" s="118"/>
      <c r="B189" s="118"/>
      <c r="C189" s="94"/>
      <c r="D189" s="150"/>
      <c r="E189" s="156"/>
      <c r="F189" s="138"/>
      <c r="G189" s="136"/>
      <c r="H189" s="152"/>
      <c r="I189" s="150"/>
      <c r="J189" s="156"/>
      <c r="K189" s="138"/>
      <c r="L189" s="136"/>
      <c r="M189" s="152"/>
      <c r="N189" s="150"/>
      <c r="O189" s="156"/>
      <c r="P189" s="138"/>
      <c r="Q189" s="136"/>
      <c r="R189" s="152"/>
      <c r="S189" s="83"/>
      <c r="T189" s="83"/>
      <c r="U189" s="83"/>
      <c r="V189" s="83"/>
      <c r="W189" s="83"/>
      <c r="X189" s="83"/>
      <c r="Y189" s="83"/>
      <c r="Z189" s="83"/>
    </row>
    <row r="190" ht="15.75" customHeight="1">
      <c r="A190" s="118"/>
      <c r="B190" s="118"/>
      <c r="C190" s="94"/>
      <c r="D190" s="150"/>
      <c r="E190" s="156"/>
      <c r="F190" s="138"/>
      <c r="G190" s="136"/>
      <c r="H190" s="152"/>
      <c r="I190" s="150"/>
      <c r="J190" s="156"/>
      <c r="K190" s="138"/>
      <c r="L190" s="136"/>
      <c r="M190" s="152"/>
      <c r="N190" s="150"/>
      <c r="O190" s="156"/>
      <c r="P190" s="138"/>
      <c r="Q190" s="136"/>
      <c r="R190" s="152"/>
      <c r="S190" s="83"/>
      <c r="T190" s="83"/>
      <c r="U190" s="83"/>
      <c r="V190" s="83"/>
      <c r="W190" s="83"/>
      <c r="X190" s="83"/>
      <c r="Y190" s="83"/>
      <c r="Z190" s="83"/>
    </row>
    <row r="191" ht="15.75" customHeight="1">
      <c r="A191" s="118"/>
      <c r="B191" s="118"/>
      <c r="C191" s="94"/>
      <c r="D191" s="150"/>
      <c r="E191" s="156"/>
      <c r="F191" s="138"/>
      <c r="G191" s="136"/>
      <c r="H191" s="152"/>
      <c r="I191" s="150"/>
      <c r="J191" s="156"/>
      <c r="K191" s="138"/>
      <c r="L191" s="136"/>
      <c r="M191" s="152"/>
      <c r="N191" s="150"/>
      <c r="O191" s="156"/>
      <c r="P191" s="138"/>
      <c r="Q191" s="136"/>
      <c r="R191" s="152"/>
      <c r="S191" s="83"/>
      <c r="T191" s="83"/>
      <c r="U191" s="83"/>
      <c r="V191" s="83"/>
      <c r="W191" s="83"/>
      <c r="X191" s="83"/>
      <c r="Y191" s="83"/>
      <c r="Z191" s="83"/>
    </row>
    <row r="192" ht="15.75" customHeight="1">
      <c r="A192" s="118"/>
      <c r="B192" s="118"/>
      <c r="C192" s="94"/>
      <c r="D192" s="150"/>
      <c r="E192" s="156"/>
      <c r="F192" s="138"/>
      <c r="G192" s="136"/>
      <c r="H192" s="152"/>
      <c r="I192" s="150"/>
      <c r="J192" s="156"/>
      <c r="K192" s="138"/>
      <c r="L192" s="136"/>
      <c r="M192" s="152"/>
      <c r="N192" s="150"/>
      <c r="O192" s="156"/>
      <c r="P192" s="138"/>
      <c r="Q192" s="136"/>
      <c r="R192" s="152"/>
      <c r="S192" s="83"/>
      <c r="T192" s="83"/>
      <c r="U192" s="83"/>
      <c r="V192" s="83"/>
      <c r="W192" s="83"/>
      <c r="X192" s="83"/>
      <c r="Y192" s="83"/>
      <c r="Z192" s="83"/>
    </row>
    <row r="193" ht="15.75" customHeight="1">
      <c r="A193" s="118"/>
      <c r="B193" s="118"/>
      <c r="C193" s="94"/>
      <c r="D193" s="150"/>
      <c r="E193" s="156"/>
      <c r="F193" s="138"/>
      <c r="G193" s="136"/>
      <c r="H193" s="152"/>
      <c r="I193" s="150"/>
      <c r="J193" s="156"/>
      <c r="K193" s="138"/>
      <c r="L193" s="136"/>
      <c r="M193" s="152"/>
      <c r="N193" s="150"/>
      <c r="O193" s="156"/>
      <c r="P193" s="138"/>
      <c r="Q193" s="136"/>
      <c r="R193" s="152"/>
      <c r="S193" s="83"/>
      <c r="T193" s="83"/>
      <c r="U193" s="83"/>
      <c r="V193" s="83"/>
      <c r="W193" s="83"/>
      <c r="X193" s="83"/>
      <c r="Y193" s="83"/>
      <c r="Z193" s="83"/>
    </row>
    <row r="194" ht="15.75" customHeight="1">
      <c r="A194" s="118"/>
      <c r="B194" s="118"/>
      <c r="C194" s="94"/>
      <c r="D194" s="150"/>
      <c r="E194" s="156"/>
      <c r="F194" s="138"/>
      <c r="G194" s="136"/>
      <c r="H194" s="152"/>
      <c r="I194" s="150"/>
      <c r="J194" s="156"/>
      <c r="K194" s="138"/>
      <c r="L194" s="136"/>
      <c r="M194" s="152"/>
      <c r="N194" s="150"/>
      <c r="O194" s="156"/>
      <c r="P194" s="138"/>
      <c r="Q194" s="136"/>
      <c r="R194" s="152"/>
      <c r="S194" s="83"/>
      <c r="T194" s="83"/>
      <c r="U194" s="83"/>
      <c r="V194" s="83"/>
      <c r="W194" s="83"/>
      <c r="X194" s="83"/>
      <c r="Y194" s="83"/>
      <c r="Z194" s="83"/>
    </row>
    <row r="195" ht="15.75" customHeight="1">
      <c r="A195" s="118"/>
      <c r="B195" s="118"/>
      <c r="C195" s="94"/>
      <c r="D195" s="150"/>
      <c r="E195" s="156"/>
      <c r="F195" s="138"/>
      <c r="G195" s="136"/>
      <c r="H195" s="152"/>
      <c r="I195" s="150"/>
      <c r="J195" s="156"/>
      <c r="K195" s="138"/>
      <c r="L195" s="136"/>
      <c r="M195" s="152"/>
      <c r="N195" s="150"/>
      <c r="O195" s="156"/>
      <c r="P195" s="138"/>
      <c r="Q195" s="136"/>
      <c r="R195" s="152"/>
      <c r="S195" s="83"/>
      <c r="T195" s="83"/>
      <c r="U195" s="83"/>
      <c r="V195" s="83"/>
      <c r="W195" s="83"/>
      <c r="X195" s="83"/>
      <c r="Y195" s="83"/>
      <c r="Z195" s="83"/>
    </row>
    <row r="196" ht="15.75" customHeight="1">
      <c r="A196" s="118"/>
      <c r="B196" s="118"/>
      <c r="C196" s="94"/>
      <c r="D196" s="150"/>
      <c r="E196" s="156"/>
      <c r="F196" s="138"/>
      <c r="G196" s="136"/>
      <c r="H196" s="152"/>
      <c r="I196" s="150"/>
      <c r="J196" s="156"/>
      <c r="K196" s="138"/>
      <c r="L196" s="136"/>
      <c r="M196" s="152"/>
      <c r="N196" s="150"/>
      <c r="O196" s="156"/>
      <c r="P196" s="138"/>
      <c r="Q196" s="136"/>
      <c r="R196" s="152"/>
      <c r="S196" s="83"/>
      <c r="T196" s="83"/>
      <c r="U196" s="83"/>
      <c r="V196" s="83"/>
      <c r="W196" s="83"/>
      <c r="X196" s="83"/>
      <c r="Y196" s="83"/>
      <c r="Z196" s="83"/>
    </row>
    <row r="197" ht="15.75" customHeight="1">
      <c r="A197" s="118"/>
      <c r="B197" s="118"/>
      <c r="C197" s="94"/>
      <c r="D197" s="150"/>
      <c r="E197" s="156"/>
      <c r="F197" s="138"/>
      <c r="G197" s="136"/>
      <c r="H197" s="152"/>
      <c r="I197" s="150"/>
      <c r="J197" s="156"/>
      <c r="K197" s="138"/>
      <c r="L197" s="136"/>
      <c r="M197" s="152"/>
      <c r="N197" s="150"/>
      <c r="O197" s="156"/>
      <c r="P197" s="138"/>
      <c r="Q197" s="136"/>
      <c r="R197" s="152"/>
      <c r="S197" s="83"/>
      <c r="T197" s="83"/>
      <c r="U197" s="83"/>
      <c r="V197" s="83"/>
      <c r="W197" s="83"/>
      <c r="X197" s="83"/>
      <c r="Y197" s="83"/>
      <c r="Z197" s="83"/>
    </row>
    <row r="198" ht="15.75" customHeight="1">
      <c r="A198" s="118"/>
      <c r="B198" s="118"/>
      <c r="C198" s="94"/>
      <c r="D198" s="150"/>
      <c r="E198" s="156"/>
      <c r="F198" s="138"/>
      <c r="G198" s="136"/>
      <c r="H198" s="152"/>
      <c r="I198" s="150"/>
      <c r="J198" s="156"/>
      <c r="K198" s="138"/>
      <c r="L198" s="136"/>
      <c r="M198" s="152"/>
      <c r="N198" s="150"/>
      <c r="O198" s="156"/>
      <c r="P198" s="138"/>
      <c r="Q198" s="136"/>
      <c r="R198" s="152"/>
      <c r="S198" s="83"/>
      <c r="T198" s="83"/>
      <c r="U198" s="83"/>
      <c r="V198" s="83"/>
      <c r="W198" s="83"/>
      <c r="X198" s="83"/>
      <c r="Y198" s="83"/>
      <c r="Z198" s="83"/>
    </row>
    <row r="199" ht="15.75" customHeight="1">
      <c r="A199" s="118"/>
      <c r="B199" s="118"/>
      <c r="C199" s="94"/>
      <c r="D199" s="150"/>
      <c r="E199" s="156"/>
      <c r="F199" s="138"/>
      <c r="G199" s="136"/>
      <c r="H199" s="152"/>
      <c r="I199" s="150"/>
      <c r="J199" s="156"/>
      <c r="K199" s="138"/>
      <c r="L199" s="136"/>
      <c r="M199" s="152"/>
      <c r="N199" s="150"/>
      <c r="O199" s="156"/>
      <c r="P199" s="138"/>
      <c r="Q199" s="136"/>
      <c r="R199" s="152"/>
      <c r="S199" s="83"/>
      <c r="T199" s="83"/>
      <c r="U199" s="83"/>
      <c r="V199" s="83"/>
      <c r="W199" s="83"/>
      <c r="X199" s="83"/>
      <c r="Y199" s="83"/>
      <c r="Z199" s="83"/>
    </row>
    <row r="200" ht="15.75" customHeight="1">
      <c r="A200" s="118"/>
      <c r="B200" s="118"/>
      <c r="C200" s="94"/>
      <c r="D200" s="150"/>
      <c r="E200" s="156"/>
      <c r="F200" s="138"/>
      <c r="G200" s="136"/>
      <c r="H200" s="152"/>
      <c r="I200" s="150"/>
      <c r="J200" s="156"/>
      <c r="K200" s="138"/>
      <c r="L200" s="136"/>
      <c r="M200" s="152"/>
      <c r="N200" s="150"/>
      <c r="O200" s="156"/>
      <c r="P200" s="138"/>
      <c r="Q200" s="136"/>
      <c r="R200" s="152"/>
      <c r="S200" s="83"/>
      <c r="T200" s="83"/>
      <c r="U200" s="83"/>
      <c r="V200" s="83"/>
      <c r="W200" s="83"/>
      <c r="X200" s="83"/>
      <c r="Y200" s="83"/>
      <c r="Z200" s="83"/>
    </row>
    <row r="201" ht="15.75" customHeight="1">
      <c r="A201" s="118"/>
      <c r="B201" s="118"/>
      <c r="C201" s="94"/>
      <c r="D201" s="150"/>
      <c r="E201" s="156"/>
      <c r="F201" s="138"/>
      <c r="G201" s="136"/>
      <c r="H201" s="152"/>
      <c r="I201" s="150"/>
      <c r="J201" s="156"/>
      <c r="K201" s="138"/>
      <c r="L201" s="136"/>
      <c r="M201" s="152"/>
      <c r="N201" s="150"/>
      <c r="O201" s="156"/>
      <c r="P201" s="138"/>
      <c r="Q201" s="136"/>
      <c r="R201" s="152"/>
      <c r="S201" s="83"/>
      <c r="T201" s="83"/>
      <c r="U201" s="83"/>
      <c r="V201" s="83"/>
      <c r="W201" s="83"/>
      <c r="X201" s="83"/>
      <c r="Y201" s="83"/>
      <c r="Z201" s="83"/>
    </row>
    <row r="202" ht="15.75" customHeight="1">
      <c r="A202" s="118"/>
      <c r="B202" s="118"/>
      <c r="C202" s="94"/>
      <c r="D202" s="150"/>
      <c r="E202" s="156"/>
      <c r="F202" s="138"/>
      <c r="G202" s="136"/>
      <c r="H202" s="152"/>
      <c r="I202" s="150"/>
      <c r="J202" s="156"/>
      <c r="K202" s="138"/>
      <c r="L202" s="136"/>
      <c r="M202" s="152"/>
      <c r="N202" s="150"/>
      <c r="O202" s="156"/>
      <c r="P202" s="138"/>
      <c r="Q202" s="136"/>
      <c r="R202" s="152"/>
      <c r="S202" s="83"/>
      <c r="T202" s="83"/>
      <c r="U202" s="83"/>
      <c r="V202" s="83"/>
      <c r="W202" s="83"/>
      <c r="X202" s="83"/>
      <c r="Y202" s="83"/>
      <c r="Z202" s="83"/>
    </row>
    <row r="203" ht="15.75" customHeight="1">
      <c r="A203" s="118"/>
      <c r="B203" s="118"/>
      <c r="C203" s="94"/>
      <c r="D203" s="150"/>
      <c r="E203" s="156"/>
      <c r="F203" s="138"/>
      <c r="G203" s="136"/>
      <c r="H203" s="152"/>
      <c r="I203" s="150"/>
      <c r="J203" s="156"/>
      <c r="K203" s="138"/>
      <c r="L203" s="136"/>
      <c r="M203" s="152"/>
      <c r="N203" s="150"/>
      <c r="O203" s="156"/>
      <c r="P203" s="138"/>
      <c r="Q203" s="136"/>
      <c r="R203" s="152"/>
      <c r="S203" s="83"/>
      <c r="T203" s="83"/>
      <c r="U203" s="83"/>
      <c r="V203" s="83"/>
      <c r="W203" s="83"/>
      <c r="X203" s="83"/>
      <c r="Y203" s="83"/>
      <c r="Z203" s="83"/>
    </row>
    <row r="204" ht="15.75" customHeight="1">
      <c r="A204" s="118"/>
      <c r="B204" s="118"/>
      <c r="C204" s="94"/>
      <c r="D204" s="150"/>
      <c r="E204" s="156"/>
      <c r="F204" s="138"/>
      <c r="G204" s="136"/>
      <c r="H204" s="152"/>
      <c r="I204" s="150"/>
      <c r="J204" s="156"/>
      <c r="K204" s="138"/>
      <c r="L204" s="136"/>
      <c r="M204" s="152"/>
      <c r="N204" s="150"/>
      <c r="O204" s="156"/>
      <c r="P204" s="138"/>
      <c r="Q204" s="136"/>
      <c r="R204" s="152"/>
      <c r="S204" s="83"/>
      <c r="T204" s="83"/>
      <c r="U204" s="83"/>
      <c r="V204" s="83"/>
      <c r="W204" s="83"/>
      <c r="X204" s="83"/>
      <c r="Y204" s="83"/>
      <c r="Z204" s="83"/>
    </row>
    <row r="205" ht="15.75" customHeight="1">
      <c r="A205" s="118"/>
      <c r="B205" s="118"/>
      <c r="C205" s="94"/>
      <c r="D205" s="150"/>
      <c r="E205" s="156"/>
      <c r="F205" s="138"/>
      <c r="G205" s="136"/>
      <c r="H205" s="152"/>
      <c r="I205" s="150"/>
      <c r="J205" s="156"/>
      <c r="K205" s="138"/>
      <c r="L205" s="136"/>
      <c r="M205" s="152"/>
      <c r="N205" s="150"/>
      <c r="O205" s="156"/>
      <c r="P205" s="138"/>
      <c r="Q205" s="136"/>
      <c r="R205" s="152"/>
      <c r="S205" s="83"/>
      <c r="T205" s="83"/>
      <c r="U205" s="83"/>
      <c r="V205" s="83"/>
      <c r="W205" s="83"/>
      <c r="X205" s="83"/>
      <c r="Y205" s="83"/>
      <c r="Z205" s="83"/>
    </row>
    <row r="206" ht="15.75" customHeight="1">
      <c r="A206" s="118"/>
      <c r="B206" s="118"/>
      <c r="C206" s="94"/>
      <c r="D206" s="150"/>
      <c r="E206" s="156"/>
      <c r="F206" s="138"/>
      <c r="G206" s="136"/>
      <c r="H206" s="152"/>
      <c r="I206" s="150"/>
      <c r="J206" s="156"/>
      <c r="K206" s="138"/>
      <c r="L206" s="136"/>
      <c r="M206" s="152"/>
      <c r="N206" s="150"/>
      <c r="O206" s="156"/>
      <c r="P206" s="138"/>
      <c r="Q206" s="136"/>
      <c r="R206" s="152"/>
      <c r="S206" s="83"/>
      <c r="T206" s="83"/>
      <c r="U206" s="83"/>
      <c r="V206" s="83"/>
      <c r="W206" s="83"/>
      <c r="X206" s="83"/>
      <c r="Y206" s="83"/>
      <c r="Z206" s="83"/>
    </row>
    <row r="207" ht="15.75" customHeight="1">
      <c r="A207" s="118"/>
      <c r="B207" s="118"/>
      <c r="C207" s="94"/>
      <c r="D207" s="150"/>
      <c r="E207" s="156"/>
      <c r="F207" s="138"/>
      <c r="G207" s="136"/>
      <c r="H207" s="152"/>
      <c r="I207" s="150"/>
      <c r="J207" s="156"/>
      <c r="K207" s="138"/>
      <c r="L207" s="136"/>
      <c r="M207" s="152"/>
      <c r="N207" s="150"/>
      <c r="O207" s="156"/>
      <c r="P207" s="138"/>
      <c r="Q207" s="136"/>
      <c r="R207" s="152"/>
      <c r="S207" s="83"/>
      <c r="T207" s="83"/>
      <c r="U207" s="83"/>
      <c r="V207" s="83"/>
      <c r="W207" s="83"/>
      <c r="X207" s="83"/>
      <c r="Y207" s="83"/>
      <c r="Z207" s="83"/>
    </row>
    <row r="208" ht="15.75" customHeight="1">
      <c r="A208" s="118"/>
      <c r="B208" s="118"/>
      <c r="C208" s="94"/>
      <c r="D208" s="150"/>
      <c r="E208" s="156"/>
      <c r="F208" s="138"/>
      <c r="G208" s="136"/>
      <c r="H208" s="152"/>
      <c r="I208" s="150"/>
      <c r="J208" s="156"/>
      <c r="K208" s="138"/>
      <c r="L208" s="136"/>
      <c r="M208" s="152"/>
      <c r="N208" s="150"/>
      <c r="O208" s="156"/>
      <c r="P208" s="138"/>
      <c r="Q208" s="136"/>
      <c r="R208" s="152"/>
      <c r="S208" s="83"/>
      <c r="T208" s="83"/>
      <c r="U208" s="83"/>
      <c r="V208" s="83"/>
      <c r="W208" s="83"/>
      <c r="X208" s="83"/>
      <c r="Y208" s="83"/>
      <c r="Z208" s="83"/>
    </row>
    <row r="209" ht="15.75" customHeight="1">
      <c r="A209" s="118"/>
      <c r="B209" s="118"/>
      <c r="C209" s="94"/>
      <c r="D209" s="150"/>
      <c r="E209" s="156"/>
      <c r="F209" s="138"/>
      <c r="G209" s="136"/>
      <c r="H209" s="152"/>
      <c r="I209" s="150"/>
      <c r="J209" s="156"/>
      <c r="K209" s="138"/>
      <c r="L209" s="136"/>
      <c r="M209" s="152"/>
      <c r="N209" s="150"/>
      <c r="O209" s="156"/>
      <c r="P209" s="138"/>
      <c r="Q209" s="136"/>
      <c r="R209" s="152"/>
      <c r="S209" s="83"/>
      <c r="T209" s="83"/>
      <c r="U209" s="83"/>
      <c r="V209" s="83"/>
      <c r="W209" s="83"/>
      <c r="X209" s="83"/>
      <c r="Y209" s="83"/>
      <c r="Z209" s="83"/>
    </row>
    <row r="210" ht="15.75" customHeight="1">
      <c r="A210" s="118"/>
      <c r="B210" s="118"/>
      <c r="C210" s="94"/>
      <c r="D210" s="150"/>
      <c r="E210" s="156"/>
      <c r="F210" s="138"/>
      <c r="G210" s="136"/>
      <c r="H210" s="152"/>
      <c r="I210" s="150"/>
      <c r="J210" s="156"/>
      <c r="K210" s="138"/>
      <c r="L210" s="136"/>
      <c r="M210" s="152"/>
      <c r="N210" s="150"/>
      <c r="O210" s="156"/>
      <c r="P210" s="138"/>
      <c r="Q210" s="136"/>
      <c r="R210" s="152"/>
      <c r="S210" s="83"/>
      <c r="T210" s="83"/>
      <c r="U210" s="83"/>
      <c r="V210" s="83"/>
      <c r="W210" s="83"/>
      <c r="X210" s="83"/>
      <c r="Y210" s="83"/>
      <c r="Z210" s="83"/>
    </row>
    <row r="211" ht="15.75" customHeight="1">
      <c r="A211" s="118"/>
      <c r="B211" s="118"/>
      <c r="C211" s="94"/>
      <c r="D211" s="150"/>
      <c r="E211" s="156"/>
      <c r="F211" s="138"/>
      <c r="G211" s="136"/>
      <c r="H211" s="152"/>
      <c r="I211" s="150"/>
      <c r="J211" s="156"/>
      <c r="K211" s="138"/>
      <c r="L211" s="136"/>
      <c r="M211" s="152"/>
      <c r="N211" s="150"/>
      <c r="O211" s="156"/>
      <c r="P211" s="138"/>
      <c r="Q211" s="136"/>
      <c r="R211" s="152"/>
      <c r="S211" s="83"/>
      <c r="T211" s="83"/>
      <c r="U211" s="83"/>
      <c r="V211" s="83"/>
      <c r="W211" s="83"/>
      <c r="X211" s="83"/>
      <c r="Y211" s="83"/>
      <c r="Z211" s="83"/>
    </row>
    <row r="212" ht="15.75" customHeight="1">
      <c r="A212" s="118"/>
      <c r="B212" s="118"/>
      <c r="C212" s="94"/>
      <c r="D212" s="150"/>
      <c r="E212" s="156"/>
      <c r="F212" s="138"/>
      <c r="G212" s="136"/>
      <c r="H212" s="152"/>
      <c r="I212" s="150"/>
      <c r="J212" s="156"/>
      <c r="K212" s="138"/>
      <c r="L212" s="136"/>
      <c r="M212" s="152"/>
      <c r="N212" s="150"/>
      <c r="O212" s="156"/>
      <c r="P212" s="138"/>
      <c r="Q212" s="136"/>
      <c r="R212" s="152"/>
      <c r="S212" s="83"/>
      <c r="T212" s="83"/>
      <c r="U212" s="83"/>
      <c r="V212" s="83"/>
      <c r="W212" s="83"/>
      <c r="X212" s="83"/>
      <c r="Y212" s="83"/>
      <c r="Z212" s="83"/>
    </row>
    <row r="213" ht="15.75" customHeight="1">
      <c r="A213" s="118"/>
      <c r="B213" s="118"/>
      <c r="C213" s="94"/>
      <c r="D213" s="150"/>
      <c r="E213" s="156"/>
      <c r="F213" s="138"/>
      <c r="G213" s="136"/>
      <c r="H213" s="152"/>
      <c r="I213" s="150"/>
      <c r="J213" s="156"/>
      <c r="K213" s="138"/>
      <c r="L213" s="136"/>
      <c r="M213" s="152"/>
      <c r="N213" s="150"/>
      <c r="O213" s="156"/>
      <c r="P213" s="138"/>
      <c r="Q213" s="136"/>
      <c r="R213" s="152"/>
      <c r="S213" s="83"/>
      <c r="T213" s="83"/>
      <c r="U213" s="83"/>
      <c r="V213" s="83"/>
      <c r="W213" s="83"/>
      <c r="X213" s="83"/>
      <c r="Y213" s="83"/>
      <c r="Z213" s="83"/>
    </row>
    <row r="214" ht="15.75" customHeight="1">
      <c r="A214" s="118"/>
      <c r="B214" s="118"/>
      <c r="C214" s="94"/>
      <c r="D214" s="150"/>
      <c r="E214" s="156"/>
      <c r="F214" s="138"/>
      <c r="G214" s="136"/>
      <c r="H214" s="152"/>
      <c r="I214" s="150"/>
      <c r="J214" s="156"/>
      <c r="K214" s="138"/>
      <c r="L214" s="136"/>
      <c r="M214" s="152"/>
      <c r="N214" s="150"/>
      <c r="O214" s="156"/>
      <c r="P214" s="138"/>
      <c r="Q214" s="136"/>
      <c r="R214" s="152"/>
      <c r="S214" s="83"/>
      <c r="T214" s="83"/>
      <c r="U214" s="83"/>
      <c r="V214" s="83"/>
      <c r="W214" s="83"/>
      <c r="X214" s="83"/>
      <c r="Y214" s="83"/>
      <c r="Z214" s="83"/>
    </row>
    <row r="215" ht="15.75" customHeight="1">
      <c r="A215" s="118"/>
      <c r="B215" s="118"/>
      <c r="C215" s="94"/>
      <c r="D215" s="150"/>
      <c r="E215" s="156"/>
      <c r="F215" s="138"/>
      <c r="G215" s="136"/>
      <c r="H215" s="152"/>
      <c r="I215" s="150"/>
      <c r="J215" s="156"/>
      <c r="K215" s="138"/>
      <c r="L215" s="136"/>
      <c r="M215" s="152"/>
      <c r="N215" s="150"/>
      <c r="O215" s="156"/>
      <c r="P215" s="138"/>
      <c r="Q215" s="136"/>
      <c r="R215" s="152"/>
      <c r="S215" s="83"/>
      <c r="T215" s="83"/>
      <c r="U215" s="83"/>
      <c r="V215" s="83"/>
      <c r="W215" s="83"/>
      <c r="X215" s="83"/>
      <c r="Y215" s="83"/>
      <c r="Z215" s="83"/>
    </row>
    <row r="216" ht="15.75" customHeight="1">
      <c r="A216" s="118"/>
      <c r="B216" s="118"/>
      <c r="C216" s="94"/>
      <c r="D216" s="150"/>
      <c r="E216" s="156"/>
      <c r="F216" s="138"/>
      <c r="G216" s="136"/>
      <c r="H216" s="152"/>
      <c r="I216" s="150"/>
      <c r="J216" s="156"/>
      <c r="K216" s="138"/>
      <c r="L216" s="136"/>
      <c r="M216" s="152"/>
      <c r="N216" s="150"/>
      <c r="O216" s="156"/>
      <c r="P216" s="138"/>
      <c r="Q216" s="136"/>
      <c r="R216" s="152"/>
      <c r="S216" s="83"/>
      <c r="T216" s="83"/>
      <c r="U216" s="83"/>
      <c r="V216" s="83"/>
      <c r="W216" s="83"/>
      <c r="X216" s="83"/>
      <c r="Y216" s="83"/>
      <c r="Z216" s="83"/>
    </row>
    <row r="217" ht="15.75" customHeight="1">
      <c r="A217" s="118"/>
      <c r="B217" s="118"/>
      <c r="C217" s="94"/>
      <c r="D217" s="150"/>
      <c r="E217" s="156"/>
      <c r="F217" s="138"/>
      <c r="G217" s="136"/>
      <c r="H217" s="152"/>
      <c r="I217" s="150"/>
      <c r="J217" s="156"/>
      <c r="K217" s="138"/>
      <c r="L217" s="136"/>
      <c r="M217" s="152"/>
      <c r="N217" s="150"/>
      <c r="O217" s="156"/>
      <c r="P217" s="138"/>
      <c r="Q217" s="136"/>
      <c r="R217" s="152"/>
      <c r="S217" s="83"/>
      <c r="T217" s="83"/>
      <c r="U217" s="83"/>
      <c r="V217" s="83"/>
      <c r="W217" s="83"/>
      <c r="X217" s="83"/>
      <c r="Y217" s="83"/>
      <c r="Z217" s="83"/>
    </row>
    <row r="218" ht="15.75" customHeight="1">
      <c r="A218" s="118"/>
      <c r="B218" s="118"/>
      <c r="C218" s="94"/>
      <c r="D218" s="150"/>
      <c r="E218" s="156"/>
      <c r="F218" s="138"/>
      <c r="G218" s="136"/>
      <c r="H218" s="152"/>
      <c r="I218" s="150"/>
      <c r="J218" s="156"/>
      <c r="K218" s="138"/>
      <c r="L218" s="136"/>
      <c r="M218" s="152"/>
      <c r="N218" s="150"/>
      <c r="O218" s="156"/>
      <c r="P218" s="138"/>
      <c r="Q218" s="136"/>
      <c r="R218" s="152"/>
      <c r="S218" s="83"/>
      <c r="T218" s="83"/>
      <c r="U218" s="83"/>
      <c r="V218" s="83"/>
      <c r="W218" s="83"/>
      <c r="X218" s="83"/>
      <c r="Y218" s="83"/>
      <c r="Z218" s="83"/>
    </row>
    <row r="219" ht="15.75" customHeight="1">
      <c r="A219" s="118"/>
      <c r="B219" s="118"/>
      <c r="C219" s="94"/>
      <c r="D219" s="150"/>
      <c r="E219" s="156"/>
      <c r="F219" s="138"/>
      <c r="G219" s="136"/>
      <c r="H219" s="152"/>
      <c r="I219" s="150"/>
      <c r="J219" s="156"/>
      <c r="K219" s="138"/>
      <c r="L219" s="136"/>
      <c r="M219" s="152"/>
      <c r="N219" s="150"/>
      <c r="O219" s="156"/>
      <c r="P219" s="138"/>
      <c r="Q219" s="136"/>
      <c r="R219" s="152"/>
      <c r="S219" s="83"/>
      <c r="T219" s="83"/>
      <c r="U219" s="83"/>
      <c r="V219" s="83"/>
      <c r="W219" s="83"/>
      <c r="X219" s="83"/>
      <c r="Y219" s="83"/>
      <c r="Z219" s="83"/>
    </row>
    <row r="220" ht="15.75" customHeight="1">
      <c r="A220" s="118"/>
      <c r="B220" s="118"/>
      <c r="C220" s="94"/>
      <c r="D220" s="150"/>
      <c r="E220" s="156"/>
      <c r="F220" s="138"/>
      <c r="G220" s="136"/>
      <c r="H220" s="152"/>
      <c r="I220" s="150"/>
      <c r="J220" s="156"/>
      <c r="K220" s="138"/>
      <c r="L220" s="136"/>
      <c r="M220" s="152"/>
      <c r="N220" s="150"/>
      <c r="O220" s="156"/>
      <c r="P220" s="138"/>
      <c r="Q220" s="136"/>
      <c r="R220" s="152"/>
      <c r="S220" s="83"/>
      <c r="T220" s="83"/>
      <c r="U220" s="83"/>
      <c r="V220" s="83"/>
      <c r="W220" s="83"/>
      <c r="X220" s="83"/>
      <c r="Y220" s="83"/>
      <c r="Z220" s="83"/>
    </row>
    <row r="221" ht="15.75" customHeight="1">
      <c r="A221" s="118"/>
      <c r="B221" s="118"/>
      <c r="C221" s="94"/>
      <c r="D221" s="150"/>
      <c r="E221" s="156"/>
      <c r="F221" s="138"/>
      <c r="G221" s="136"/>
      <c r="H221" s="152"/>
      <c r="I221" s="150"/>
      <c r="J221" s="156"/>
      <c r="K221" s="138"/>
      <c r="L221" s="136"/>
      <c r="M221" s="152"/>
      <c r="N221" s="150"/>
      <c r="O221" s="156"/>
      <c r="P221" s="138"/>
      <c r="Q221" s="136"/>
      <c r="R221" s="152"/>
      <c r="S221" s="83"/>
      <c r="T221" s="83"/>
      <c r="U221" s="83"/>
      <c r="V221" s="83"/>
      <c r="W221" s="83"/>
      <c r="X221" s="83"/>
      <c r="Y221" s="83"/>
      <c r="Z221" s="83"/>
    </row>
    <row r="222" ht="15.75" customHeight="1">
      <c r="A222" s="118"/>
      <c r="B222" s="118"/>
      <c r="C222" s="94"/>
      <c r="D222" s="150"/>
      <c r="E222" s="156"/>
      <c r="F222" s="138"/>
      <c r="G222" s="136"/>
      <c r="H222" s="152"/>
      <c r="I222" s="150"/>
      <c r="J222" s="156"/>
      <c r="K222" s="138"/>
      <c r="L222" s="136"/>
      <c r="M222" s="152"/>
      <c r="N222" s="150"/>
      <c r="O222" s="156"/>
      <c r="P222" s="138"/>
      <c r="Q222" s="136"/>
      <c r="R222" s="152"/>
      <c r="S222" s="83"/>
      <c r="T222" s="83"/>
      <c r="U222" s="83"/>
      <c r="V222" s="83"/>
      <c r="W222" s="83"/>
      <c r="X222" s="83"/>
      <c r="Y222" s="83"/>
      <c r="Z222" s="83"/>
    </row>
    <row r="223" ht="15.75" customHeight="1">
      <c r="A223" s="118"/>
      <c r="B223" s="118"/>
      <c r="C223" s="94"/>
      <c r="D223" s="150"/>
      <c r="E223" s="156"/>
      <c r="F223" s="138"/>
      <c r="G223" s="136"/>
      <c r="H223" s="152"/>
      <c r="I223" s="150"/>
      <c r="J223" s="156"/>
      <c r="K223" s="138"/>
      <c r="L223" s="136"/>
      <c r="M223" s="152"/>
      <c r="N223" s="150"/>
      <c r="O223" s="156"/>
      <c r="P223" s="138"/>
      <c r="Q223" s="136"/>
      <c r="R223" s="152"/>
      <c r="S223" s="83"/>
      <c r="T223" s="83"/>
      <c r="U223" s="83"/>
      <c r="V223" s="83"/>
      <c r="W223" s="83"/>
      <c r="X223" s="83"/>
      <c r="Y223" s="83"/>
      <c r="Z223" s="83"/>
    </row>
    <row r="224" ht="15.75" customHeight="1">
      <c r="A224" s="118"/>
      <c r="B224" s="118"/>
      <c r="C224" s="94"/>
      <c r="D224" s="150"/>
      <c r="E224" s="156"/>
      <c r="F224" s="138"/>
      <c r="G224" s="136"/>
      <c r="H224" s="152"/>
      <c r="I224" s="150"/>
      <c r="J224" s="156"/>
      <c r="K224" s="138"/>
      <c r="L224" s="136"/>
      <c r="M224" s="152"/>
      <c r="N224" s="150"/>
      <c r="O224" s="156"/>
      <c r="P224" s="138"/>
      <c r="Q224" s="136"/>
      <c r="R224" s="152"/>
      <c r="S224" s="83"/>
      <c r="T224" s="83"/>
      <c r="U224" s="83"/>
      <c r="V224" s="83"/>
      <c r="W224" s="83"/>
      <c r="X224" s="83"/>
      <c r="Y224" s="83"/>
      <c r="Z224" s="83"/>
    </row>
    <row r="225" ht="15.75" customHeight="1">
      <c r="A225" s="118"/>
      <c r="B225" s="118"/>
      <c r="C225" s="94"/>
      <c r="D225" s="150"/>
      <c r="E225" s="156"/>
      <c r="F225" s="138"/>
      <c r="G225" s="136"/>
      <c r="H225" s="152"/>
      <c r="I225" s="150"/>
      <c r="J225" s="156"/>
      <c r="K225" s="138"/>
      <c r="L225" s="136"/>
      <c r="M225" s="152"/>
      <c r="N225" s="150"/>
      <c r="O225" s="156"/>
      <c r="P225" s="138"/>
      <c r="Q225" s="136"/>
      <c r="R225" s="152"/>
      <c r="S225" s="83"/>
      <c r="T225" s="83"/>
      <c r="U225" s="83"/>
      <c r="V225" s="83"/>
      <c r="W225" s="83"/>
      <c r="X225" s="83"/>
      <c r="Y225" s="83"/>
      <c r="Z225" s="83"/>
    </row>
    <row r="226" ht="15.75" customHeight="1">
      <c r="A226" s="118"/>
      <c r="B226" s="118"/>
      <c r="C226" s="94"/>
      <c r="D226" s="150"/>
      <c r="E226" s="156"/>
      <c r="F226" s="138"/>
      <c r="G226" s="136"/>
      <c r="H226" s="152"/>
      <c r="I226" s="150"/>
      <c r="J226" s="156"/>
      <c r="K226" s="138"/>
      <c r="L226" s="136"/>
      <c r="M226" s="152"/>
      <c r="N226" s="150"/>
      <c r="O226" s="156"/>
      <c r="P226" s="138"/>
      <c r="Q226" s="136"/>
      <c r="R226" s="152"/>
      <c r="S226" s="83"/>
      <c r="T226" s="83"/>
      <c r="U226" s="83"/>
      <c r="V226" s="83"/>
      <c r="W226" s="83"/>
      <c r="X226" s="83"/>
      <c r="Y226" s="83"/>
      <c r="Z226" s="83"/>
    </row>
    <row r="227" ht="15.75" customHeight="1">
      <c r="A227" s="118"/>
      <c r="B227" s="118"/>
      <c r="C227" s="94"/>
      <c r="D227" s="150"/>
      <c r="E227" s="156"/>
      <c r="F227" s="138"/>
      <c r="G227" s="136"/>
      <c r="H227" s="152"/>
      <c r="I227" s="150"/>
      <c r="J227" s="156"/>
      <c r="K227" s="138"/>
      <c r="L227" s="136"/>
      <c r="M227" s="152"/>
      <c r="N227" s="150"/>
      <c r="O227" s="156"/>
      <c r="P227" s="138"/>
      <c r="Q227" s="136"/>
      <c r="R227" s="152"/>
      <c r="S227" s="83"/>
      <c r="T227" s="83"/>
      <c r="U227" s="83"/>
      <c r="V227" s="83"/>
      <c r="W227" s="83"/>
      <c r="X227" s="83"/>
      <c r="Y227" s="83"/>
      <c r="Z227" s="83"/>
    </row>
    <row r="228" ht="15.75" customHeight="1">
      <c r="A228" s="118"/>
      <c r="B228" s="118"/>
      <c r="C228" s="94"/>
      <c r="D228" s="150"/>
      <c r="E228" s="156"/>
      <c r="F228" s="138"/>
      <c r="G228" s="136"/>
      <c r="H228" s="152"/>
      <c r="I228" s="150"/>
      <c r="J228" s="156"/>
      <c r="K228" s="138"/>
      <c r="L228" s="136"/>
      <c r="M228" s="152"/>
      <c r="N228" s="150"/>
      <c r="O228" s="156"/>
      <c r="P228" s="138"/>
      <c r="Q228" s="136"/>
      <c r="R228" s="152"/>
      <c r="S228" s="83"/>
      <c r="T228" s="83"/>
      <c r="U228" s="83"/>
      <c r="V228" s="83"/>
      <c r="W228" s="83"/>
      <c r="X228" s="83"/>
      <c r="Y228" s="83"/>
      <c r="Z228" s="83"/>
    </row>
    <row r="229" ht="15.75" customHeight="1">
      <c r="A229" s="118"/>
      <c r="B229" s="118"/>
      <c r="C229" s="94"/>
      <c r="D229" s="150"/>
      <c r="E229" s="156"/>
      <c r="F229" s="138"/>
      <c r="G229" s="136"/>
      <c r="H229" s="152"/>
      <c r="I229" s="150"/>
      <c r="J229" s="156"/>
      <c r="K229" s="138"/>
      <c r="L229" s="136"/>
      <c r="M229" s="152"/>
      <c r="N229" s="150"/>
      <c r="O229" s="156"/>
      <c r="P229" s="138"/>
      <c r="Q229" s="136"/>
      <c r="R229" s="152"/>
      <c r="S229" s="83"/>
      <c r="T229" s="83"/>
      <c r="U229" s="83"/>
      <c r="V229" s="83"/>
      <c r="W229" s="83"/>
      <c r="X229" s="83"/>
      <c r="Y229" s="83"/>
      <c r="Z229" s="83"/>
    </row>
    <row r="230" ht="15.75" customHeight="1">
      <c r="A230" s="118"/>
      <c r="B230" s="118"/>
      <c r="C230" s="94"/>
      <c r="D230" s="150"/>
      <c r="E230" s="156"/>
      <c r="F230" s="138"/>
      <c r="G230" s="136"/>
      <c r="H230" s="152"/>
      <c r="I230" s="150"/>
      <c r="J230" s="156"/>
      <c r="K230" s="138"/>
      <c r="L230" s="136"/>
      <c r="M230" s="152"/>
      <c r="N230" s="150"/>
      <c r="O230" s="156"/>
      <c r="P230" s="138"/>
      <c r="Q230" s="136"/>
      <c r="R230" s="152"/>
      <c r="S230" s="83"/>
      <c r="T230" s="83"/>
      <c r="U230" s="83"/>
      <c r="V230" s="83"/>
      <c r="W230" s="83"/>
      <c r="X230" s="83"/>
      <c r="Y230" s="83"/>
      <c r="Z230" s="83"/>
    </row>
    <row r="231" ht="15.75" customHeight="1">
      <c r="A231" s="118"/>
      <c r="B231" s="118"/>
      <c r="C231" s="94"/>
      <c r="D231" s="150"/>
      <c r="E231" s="156"/>
      <c r="F231" s="138"/>
      <c r="G231" s="136"/>
      <c r="H231" s="152"/>
      <c r="I231" s="150"/>
      <c r="J231" s="156"/>
      <c r="K231" s="138"/>
      <c r="L231" s="136"/>
      <c r="M231" s="152"/>
      <c r="N231" s="150"/>
      <c r="O231" s="156"/>
      <c r="P231" s="138"/>
      <c r="Q231" s="136"/>
      <c r="R231" s="152"/>
      <c r="S231" s="83"/>
      <c r="T231" s="83"/>
      <c r="U231" s="83"/>
      <c r="V231" s="83"/>
      <c r="W231" s="83"/>
      <c r="X231" s="83"/>
      <c r="Y231" s="83"/>
      <c r="Z231" s="83"/>
    </row>
    <row r="232" ht="15.75" customHeight="1">
      <c r="A232" s="118"/>
      <c r="B232" s="118"/>
      <c r="C232" s="94"/>
      <c r="D232" s="150"/>
      <c r="E232" s="156"/>
      <c r="F232" s="138"/>
      <c r="G232" s="136"/>
      <c r="H232" s="152"/>
      <c r="I232" s="150"/>
      <c r="J232" s="156"/>
      <c r="K232" s="138"/>
      <c r="L232" s="136"/>
      <c r="M232" s="152"/>
      <c r="N232" s="150"/>
      <c r="O232" s="156"/>
      <c r="P232" s="138"/>
      <c r="Q232" s="136"/>
      <c r="R232" s="152"/>
      <c r="S232" s="83"/>
      <c r="T232" s="83"/>
      <c r="U232" s="83"/>
      <c r="V232" s="83"/>
      <c r="W232" s="83"/>
      <c r="X232" s="83"/>
      <c r="Y232" s="83"/>
      <c r="Z232" s="83"/>
    </row>
    <row r="233" ht="15.75" customHeight="1">
      <c r="A233" s="118"/>
      <c r="B233" s="118"/>
      <c r="C233" s="94"/>
      <c r="D233" s="150"/>
      <c r="E233" s="156"/>
      <c r="F233" s="138"/>
      <c r="G233" s="136"/>
      <c r="H233" s="152"/>
      <c r="I233" s="150"/>
      <c r="J233" s="156"/>
      <c r="K233" s="138"/>
      <c r="L233" s="136"/>
      <c r="M233" s="152"/>
      <c r="N233" s="150"/>
      <c r="O233" s="156"/>
      <c r="P233" s="138"/>
      <c r="Q233" s="136"/>
      <c r="R233" s="152"/>
      <c r="S233" s="83"/>
      <c r="T233" s="83"/>
      <c r="U233" s="83"/>
      <c r="V233" s="83"/>
      <c r="W233" s="83"/>
      <c r="X233" s="83"/>
      <c r="Y233" s="83"/>
      <c r="Z233" s="83"/>
    </row>
    <row r="234" ht="15.75" customHeight="1">
      <c r="A234" s="118"/>
      <c r="B234" s="118"/>
      <c r="C234" s="94"/>
      <c r="D234" s="150"/>
      <c r="E234" s="156"/>
      <c r="F234" s="138"/>
      <c r="G234" s="136"/>
      <c r="H234" s="152"/>
      <c r="I234" s="150"/>
      <c r="J234" s="156"/>
      <c r="K234" s="138"/>
      <c r="L234" s="136"/>
      <c r="M234" s="152"/>
      <c r="N234" s="150"/>
      <c r="O234" s="156"/>
      <c r="P234" s="138"/>
      <c r="Q234" s="136"/>
      <c r="R234" s="152"/>
      <c r="S234" s="83"/>
      <c r="T234" s="83"/>
      <c r="U234" s="83"/>
      <c r="V234" s="83"/>
      <c r="W234" s="83"/>
      <c r="X234" s="83"/>
      <c r="Y234" s="83"/>
      <c r="Z234" s="83"/>
    </row>
    <row r="235" ht="15.75" customHeight="1">
      <c r="A235" s="118"/>
      <c r="B235" s="118"/>
      <c r="C235" s="94"/>
      <c r="D235" s="150"/>
      <c r="E235" s="156"/>
      <c r="F235" s="138"/>
      <c r="G235" s="136"/>
      <c r="H235" s="152"/>
      <c r="I235" s="150"/>
      <c r="J235" s="156"/>
      <c r="K235" s="138"/>
      <c r="L235" s="136"/>
      <c r="M235" s="152"/>
      <c r="N235" s="150"/>
      <c r="O235" s="156"/>
      <c r="P235" s="138"/>
      <c r="Q235" s="136"/>
      <c r="R235" s="152"/>
      <c r="S235" s="83"/>
      <c r="T235" s="83"/>
      <c r="U235" s="83"/>
      <c r="V235" s="83"/>
      <c r="W235" s="83"/>
      <c r="X235" s="83"/>
      <c r="Y235" s="83"/>
      <c r="Z235" s="83"/>
    </row>
    <row r="236" ht="15.75" customHeight="1">
      <c r="A236" s="118"/>
      <c r="B236" s="118"/>
      <c r="C236" s="94"/>
      <c r="D236" s="150"/>
      <c r="E236" s="156"/>
      <c r="F236" s="138"/>
      <c r="G236" s="136"/>
      <c r="H236" s="152"/>
      <c r="I236" s="150"/>
      <c r="J236" s="156"/>
      <c r="K236" s="138"/>
      <c r="L236" s="136"/>
      <c r="M236" s="152"/>
      <c r="N236" s="150"/>
      <c r="O236" s="156"/>
      <c r="P236" s="138"/>
      <c r="Q236" s="136"/>
      <c r="R236" s="152"/>
      <c r="S236" s="83"/>
      <c r="T236" s="83"/>
      <c r="U236" s="83"/>
      <c r="V236" s="83"/>
      <c r="W236" s="83"/>
      <c r="X236" s="83"/>
      <c r="Y236" s="83"/>
      <c r="Z236" s="83"/>
    </row>
    <row r="237" ht="15.75" customHeight="1">
      <c r="A237" s="118"/>
      <c r="B237" s="118"/>
      <c r="C237" s="94"/>
      <c r="D237" s="150"/>
      <c r="E237" s="156"/>
      <c r="F237" s="138"/>
      <c r="G237" s="136"/>
      <c r="H237" s="152"/>
      <c r="I237" s="150"/>
      <c r="J237" s="156"/>
      <c r="K237" s="138"/>
      <c r="L237" s="136"/>
      <c r="M237" s="152"/>
      <c r="N237" s="150"/>
      <c r="O237" s="156"/>
      <c r="P237" s="138"/>
      <c r="Q237" s="136"/>
      <c r="R237" s="152"/>
      <c r="S237" s="83"/>
      <c r="T237" s="83"/>
      <c r="U237" s="83"/>
      <c r="V237" s="83"/>
      <c r="W237" s="83"/>
      <c r="X237" s="83"/>
      <c r="Y237" s="83"/>
      <c r="Z237" s="83"/>
    </row>
    <row r="238" ht="15.75" customHeight="1">
      <c r="A238" s="118"/>
      <c r="B238" s="118"/>
      <c r="C238" s="94"/>
      <c r="D238" s="150"/>
      <c r="E238" s="156"/>
      <c r="F238" s="138"/>
      <c r="G238" s="136"/>
      <c r="H238" s="152"/>
      <c r="I238" s="150"/>
      <c r="J238" s="156"/>
      <c r="K238" s="138"/>
      <c r="L238" s="136"/>
      <c r="M238" s="152"/>
      <c r="N238" s="150"/>
      <c r="O238" s="156"/>
      <c r="P238" s="138"/>
      <c r="Q238" s="136"/>
      <c r="R238" s="152"/>
      <c r="S238" s="83"/>
      <c r="T238" s="83"/>
      <c r="U238" s="83"/>
      <c r="V238" s="83"/>
      <c r="W238" s="83"/>
      <c r="X238" s="83"/>
      <c r="Y238" s="83"/>
      <c r="Z238" s="83"/>
    </row>
    <row r="239" ht="15.75" customHeight="1">
      <c r="A239" s="118"/>
      <c r="B239" s="118"/>
      <c r="C239" s="94"/>
      <c r="D239" s="150"/>
      <c r="E239" s="156"/>
      <c r="F239" s="138"/>
      <c r="G239" s="136"/>
      <c r="H239" s="152"/>
      <c r="I239" s="150"/>
      <c r="J239" s="156"/>
      <c r="K239" s="138"/>
      <c r="L239" s="136"/>
      <c r="M239" s="152"/>
      <c r="N239" s="150"/>
      <c r="O239" s="156"/>
      <c r="P239" s="138"/>
      <c r="Q239" s="136"/>
      <c r="R239" s="152"/>
      <c r="S239" s="83"/>
      <c r="T239" s="83"/>
      <c r="U239" s="83"/>
      <c r="V239" s="83"/>
      <c r="W239" s="83"/>
      <c r="X239" s="83"/>
      <c r="Y239" s="83"/>
      <c r="Z239" s="83"/>
    </row>
    <row r="240" ht="15.75" customHeight="1">
      <c r="A240" s="118"/>
      <c r="B240" s="118"/>
      <c r="C240" s="94"/>
      <c r="D240" s="150"/>
      <c r="E240" s="156"/>
      <c r="F240" s="138"/>
      <c r="G240" s="136"/>
      <c r="H240" s="152"/>
      <c r="I240" s="150"/>
      <c r="J240" s="156"/>
      <c r="K240" s="138"/>
      <c r="L240" s="136"/>
      <c r="M240" s="152"/>
      <c r="N240" s="150"/>
      <c r="O240" s="156"/>
      <c r="P240" s="138"/>
      <c r="Q240" s="136"/>
      <c r="R240" s="152"/>
      <c r="S240" s="83"/>
      <c r="T240" s="83"/>
      <c r="U240" s="83"/>
      <c r="V240" s="83"/>
      <c r="W240" s="83"/>
      <c r="X240" s="83"/>
      <c r="Y240" s="83"/>
      <c r="Z240" s="83"/>
    </row>
    <row r="241" ht="15.75" customHeight="1">
      <c r="A241" s="118"/>
      <c r="B241" s="118"/>
      <c r="C241" s="94"/>
      <c r="D241" s="150"/>
      <c r="E241" s="156"/>
      <c r="F241" s="138"/>
      <c r="G241" s="136"/>
      <c r="H241" s="152"/>
      <c r="I241" s="150"/>
      <c r="J241" s="156"/>
      <c r="K241" s="138"/>
      <c r="L241" s="136"/>
      <c r="M241" s="152"/>
      <c r="N241" s="150"/>
      <c r="O241" s="156"/>
      <c r="P241" s="138"/>
      <c r="Q241" s="136"/>
      <c r="R241" s="152"/>
      <c r="S241" s="83"/>
      <c r="T241" s="83"/>
      <c r="U241" s="83"/>
      <c r="V241" s="83"/>
      <c r="W241" s="83"/>
      <c r="X241" s="83"/>
      <c r="Y241" s="83"/>
      <c r="Z241" s="83"/>
    </row>
    <row r="242" ht="15.75" customHeight="1">
      <c r="A242" s="118"/>
      <c r="B242" s="118"/>
      <c r="C242" s="94"/>
      <c r="D242" s="150"/>
      <c r="E242" s="156"/>
      <c r="F242" s="138"/>
      <c r="G242" s="136"/>
      <c r="H242" s="152"/>
      <c r="I242" s="150"/>
      <c r="J242" s="156"/>
      <c r="K242" s="138"/>
      <c r="L242" s="136"/>
      <c r="M242" s="152"/>
      <c r="N242" s="150"/>
      <c r="O242" s="156"/>
      <c r="P242" s="138"/>
      <c r="Q242" s="136"/>
      <c r="R242" s="152"/>
      <c r="S242" s="83"/>
      <c r="T242" s="83"/>
      <c r="U242" s="83"/>
      <c r="V242" s="83"/>
      <c r="W242" s="83"/>
      <c r="X242" s="83"/>
      <c r="Y242" s="83"/>
      <c r="Z242" s="83"/>
    </row>
    <row r="243" ht="15.75" customHeight="1">
      <c r="A243" s="118"/>
      <c r="B243" s="118"/>
      <c r="C243" s="94"/>
      <c r="D243" s="150"/>
      <c r="E243" s="156"/>
      <c r="F243" s="138"/>
      <c r="G243" s="136"/>
      <c r="H243" s="152"/>
      <c r="I243" s="150"/>
      <c r="J243" s="156"/>
      <c r="K243" s="138"/>
      <c r="L243" s="136"/>
      <c r="M243" s="152"/>
      <c r="N243" s="150"/>
      <c r="O243" s="156"/>
      <c r="P243" s="138"/>
      <c r="Q243" s="136"/>
      <c r="R243" s="152"/>
      <c r="S243" s="83"/>
      <c r="T243" s="83"/>
      <c r="U243" s="83"/>
      <c r="V243" s="83"/>
      <c r="W243" s="83"/>
      <c r="X243" s="83"/>
      <c r="Y243" s="83"/>
      <c r="Z243" s="83"/>
    </row>
    <row r="244" ht="15.75" customHeight="1">
      <c r="A244" s="118"/>
      <c r="B244" s="118"/>
      <c r="C244" s="94"/>
      <c r="D244" s="150"/>
      <c r="E244" s="156"/>
      <c r="F244" s="138"/>
      <c r="G244" s="136"/>
      <c r="H244" s="152"/>
      <c r="I244" s="150"/>
      <c r="J244" s="156"/>
      <c r="K244" s="138"/>
      <c r="L244" s="136"/>
      <c r="M244" s="152"/>
      <c r="N244" s="150"/>
      <c r="O244" s="156"/>
      <c r="P244" s="138"/>
      <c r="Q244" s="136"/>
      <c r="R244" s="152"/>
      <c r="S244" s="83"/>
      <c r="T244" s="83"/>
      <c r="U244" s="83"/>
      <c r="V244" s="83"/>
      <c r="W244" s="83"/>
      <c r="X244" s="83"/>
      <c r="Y244" s="83"/>
      <c r="Z244" s="83"/>
    </row>
    <row r="245" ht="15.75" customHeight="1">
      <c r="A245" s="118"/>
      <c r="B245" s="118"/>
      <c r="C245" s="94"/>
      <c r="D245" s="150"/>
      <c r="E245" s="156"/>
      <c r="F245" s="138"/>
      <c r="G245" s="136"/>
      <c r="H245" s="152"/>
      <c r="I245" s="150"/>
      <c r="J245" s="156"/>
      <c r="K245" s="138"/>
      <c r="L245" s="136"/>
      <c r="M245" s="152"/>
      <c r="N245" s="150"/>
      <c r="O245" s="156"/>
      <c r="P245" s="138"/>
      <c r="Q245" s="136"/>
      <c r="R245" s="152"/>
      <c r="S245" s="83"/>
      <c r="T245" s="83"/>
      <c r="U245" s="83"/>
      <c r="V245" s="83"/>
      <c r="W245" s="83"/>
      <c r="X245" s="83"/>
      <c r="Y245" s="83"/>
      <c r="Z245" s="83"/>
    </row>
    <row r="246" ht="15.75" customHeight="1">
      <c r="A246" s="118"/>
      <c r="B246" s="118"/>
      <c r="C246" s="94"/>
      <c r="D246" s="150"/>
      <c r="E246" s="156"/>
      <c r="F246" s="138"/>
      <c r="G246" s="136"/>
      <c r="H246" s="152"/>
      <c r="I246" s="150"/>
      <c r="J246" s="156"/>
      <c r="K246" s="138"/>
      <c r="L246" s="136"/>
      <c r="M246" s="152"/>
      <c r="N246" s="150"/>
      <c r="O246" s="156"/>
      <c r="P246" s="138"/>
      <c r="Q246" s="136"/>
      <c r="R246" s="152"/>
      <c r="S246" s="83"/>
      <c r="T246" s="83"/>
      <c r="U246" s="83"/>
      <c r="V246" s="83"/>
      <c r="W246" s="83"/>
      <c r="X246" s="83"/>
      <c r="Y246" s="83"/>
      <c r="Z246" s="83"/>
    </row>
    <row r="247" ht="15.75" customHeight="1">
      <c r="A247" s="118"/>
      <c r="B247" s="118"/>
      <c r="C247" s="94"/>
      <c r="D247" s="150"/>
      <c r="E247" s="156"/>
      <c r="F247" s="138"/>
      <c r="G247" s="136"/>
      <c r="H247" s="152"/>
      <c r="I247" s="150"/>
      <c r="J247" s="156"/>
      <c r="K247" s="138"/>
      <c r="L247" s="136"/>
      <c r="M247" s="152"/>
      <c r="N247" s="150"/>
      <c r="O247" s="156"/>
      <c r="P247" s="138"/>
      <c r="Q247" s="136"/>
      <c r="R247" s="152"/>
      <c r="S247" s="83"/>
      <c r="T247" s="83"/>
      <c r="U247" s="83"/>
      <c r="V247" s="83"/>
      <c r="W247" s="83"/>
      <c r="X247" s="83"/>
      <c r="Y247" s="83"/>
      <c r="Z247" s="83"/>
    </row>
    <row r="248" ht="15.75" customHeight="1">
      <c r="A248" s="118"/>
      <c r="B248" s="118"/>
      <c r="C248" s="94"/>
      <c r="D248" s="150"/>
      <c r="E248" s="156"/>
      <c r="F248" s="138"/>
      <c r="G248" s="136"/>
      <c r="H248" s="152"/>
      <c r="I248" s="150"/>
      <c r="J248" s="156"/>
      <c r="K248" s="138"/>
      <c r="L248" s="136"/>
      <c r="M248" s="152"/>
      <c r="N248" s="150"/>
      <c r="O248" s="156"/>
      <c r="P248" s="138"/>
      <c r="Q248" s="136"/>
      <c r="R248" s="152"/>
      <c r="S248" s="83"/>
      <c r="T248" s="83"/>
      <c r="U248" s="83"/>
      <c r="V248" s="83"/>
      <c r="W248" s="83"/>
      <c r="X248" s="83"/>
      <c r="Y248" s="83"/>
      <c r="Z248" s="83"/>
    </row>
    <row r="249" ht="15.75" customHeight="1">
      <c r="A249" s="118"/>
      <c r="B249" s="118"/>
      <c r="C249" s="94"/>
      <c r="D249" s="150"/>
      <c r="E249" s="156"/>
      <c r="F249" s="138"/>
      <c r="G249" s="136"/>
      <c r="H249" s="152"/>
      <c r="I249" s="150"/>
      <c r="J249" s="156"/>
      <c r="K249" s="138"/>
      <c r="L249" s="136"/>
      <c r="M249" s="152"/>
      <c r="N249" s="150"/>
      <c r="O249" s="156"/>
      <c r="P249" s="138"/>
      <c r="Q249" s="136"/>
      <c r="R249" s="152"/>
      <c r="S249" s="83"/>
      <c r="T249" s="83"/>
      <c r="U249" s="83"/>
      <c r="V249" s="83"/>
      <c r="W249" s="83"/>
      <c r="X249" s="83"/>
      <c r="Y249" s="83"/>
      <c r="Z249" s="83"/>
    </row>
    <row r="250" ht="15.75" customHeight="1">
      <c r="A250" s="118"/>
      <c r="B250" s="118"/>
      <c r="C250" s="94"/>
      <c r="D250" s="150"/>
      <c r="E250" s="156"/>
      <c r="F250" s="138"/>
      <c r="G250" s="136"/>
      <c r="H250" s="152"/>
      <c r="I250" s="150"/>
      <c r="J250" s="156"/>
      <c r="K250" s="138"/>
      <c r="L250" s="136"/>
      <c r="M250" s="152"/>
      <c r="N250" s="150"/>
      <c r="O250" s="156"/>
      <c r="P250" s="138"/>
      <c r="Q250" s="136"/>
      <c r="R250" s="152"/>
      <c r="S250" s="83"/>
      <c r="T250" s="83"/>
      <c r="U250" s="83"/>
      <c r="V250" s="83"/>
      <c r="W250" s="83"/>
      <c r="X250" s="83"/>
      <c r="Y250" s="83"/>
      <c r="Z250" s="83"/>
    </row>
    <row r="251" ht="15.75" customHeight="1">
      <c r="A251" s="118"/>
      <c r="B251" s="118"/>
      <c r="C251" s="94"/>
      <c r="D251" s="150"/>
      <c r="E251" s="156"/>
      <c r="F251" s="138"/>
      <c r="G251" s="136"/>
      <c r="H251" s="152"/>
      <c r="I251" s="150"/>
      <c r="J251" s="156"/>
      <c r="K251" s="138"/>
      <c r="L251" s="136"/>
      <c r="M251" s="152"/>
      <c r="N251" s="150"/>
      <c r="O251" s="156"/>
      <c r="P251" s="138"/>
      <c r="Q251" s="136"/>
      <c r="R251" s="152"/>
      <c r="S251" s="83"/>
      <c r="T251" s="83"/>
      <c r="U251" s="83"/>
      <c r="V251" s="83"/>
      <c r="W251" s="83"/>
      <c r="X251" s="83"/>
      <c r="Y251" s="83"/>
      <c r="Z251" s="83"/>
    </row>
    <row r="252" ht="15.75" customHeight="1">
      <c r="A252" s="118"/>
      <c r="B252" s="118"/>
      <c r="C252" s="94"/>
      <c r="D252" s="150"/>
      <c r="E252" s="156"/>
      <c r="F252" s="138"/>
      <c r="G252" s="136"/>
      <c r="H252" s="152"/>
      <c r="I252" s="150"/>
      <c r="J252" s="156"/>
      <c r="K252" s="138"/>
      <c r="L252" s="136"/>
      <c r="M252" s="152"/>
      <c r="N252" s="150"/>
      <c r="O252" s="156"/>
      <c r="P252" s="138"/>
      <c r="Q252" s="136"/>
      <c r="R252" s="152"/>
      <c r="S252" s="83"/>
      <c r="T252" s="83"/>
      <c r="U252" s="83"/>
      <c r="V252" s="83"/>
      <c r="W252" s="83"/>
      <c r="X252" s="83"/>
      <c r="Y252" s="83"/>
      <c r="Z252" s="83"/>
    </row>
    <row r="253" ht="15.75" customHeight="1">
      <c r="A253" s="118"/>
      <c r="B253" s="118"/>
      <c r="C253" s="94"/>
      <c r="D253" s="150"/>
      <c r="E253" s="156"/>
      <c r="F253" s="138"/>
      <c r="G253" s="136"/>
      <c r="H253" s="152"/>
      <c r="I253" s="150"/>
      <c r="J253" s="156"/>
      <c r="K253" s="138"/>
      <c r="L253" s="136"/>
      <c r="M253" s="152"/>
      <c r="N253" s="150"/>
      <c r="O253" s="156"/>
      <c r="P253" s="138"/>
      <c r="Q253" s="136"/>
      <c r="R253" s="152"/>
      <c r="S253" s="83"/>
      <c r="T253" s="83"/>
      <c r="U253" s="83"/>
      <c r="V253" s="83"/>
      <c r="W253" s="83"/>
      <c r="X253" s="83"/>
      <c r="Y253" s="83"/>
      <c r="Z253" s="83"/>
    </row>
    <row r="254" ht="15.75" customHeight="1">
      <c r="A254" s="118"/>
      <c r="B254" s="118"/>
      <c r="C254" s="94"/>
      <c r="D254" s="150"/>
      <c r="E254" s="156"/>
      <c r="F254" s="138"/>
      <c r="G254" s="136"/>
      <c r="H254" s="152"/>
      <c r="I254" s="150"/>
      <c r="J254" s="156"/>
      <c r="K254" s="138"/>
      <c r="L254" s="136"/>
      <c r="M254" s="152"/>
      <c r="N254" s="150"/>
      <c r="O254" s="156"/>
      <c r="P254" s="138"/>
      <c r="Q254" s="136"/>
      <c r="R254" s="152"/>
      <c r="S254" s="83"/>
      <c r="T254" s="83"/>
      <c r="U254" s="83"/>
      <c r="V254" s="83"/>
      <c r="W254" s="83"/>
      <c r="X254" s="83"/>
      <c r="Y254" s="83"/>
      <c r="Z254" s="83"/>
    </row>
    <row r="255" ht="15.75" customHeight="1">
      <c r="A255" s="118"/>
      <c r="B255" s="118"/>
      <c r="C255" s="94"/>
      <c r="D255" s="150"/>
      <c r="E255" s="156"/>
      <c r="F255" s="138"/>
      <c r="G255" s="136"/>
      <c r="H255" s="152"/>
      <c r="I255" s="150"/>
      <c r="J255" s="156"/>
      <c r="K255" s="138"/>
      <c r="L255" s="136"/>
      <c r="M255" s="152"/>
      <c r="N255" s="150"/>
      <c r="O255" s="156"/>
      <c r="P255" s="138"/>
      <c r="Q255" s="136"/>
      <c r="R255" s="152"/>
      <c r="S255" s="83"/>
      <c r="T255" s="83"/>
      <c r="U255" s="83"/>
      <c r="V255" s="83"/>
      <c r="W255" s="83"/>
      <c r="X255" s="83"/>
      <c r="Y255" s="83"/>
      <c r="Z255" s="83"/>
    </row>
    <row r="256" ht="15.75" customHeight="1">
      <c r="A256" s="118"/>
      <c r="B256" s="118"/>
      <c r="C256" s="94"/>
      <c r="D256" s="150"/>
      <c r="E256" s="156"/>
      <c r="F256" s="138"/>
      <c r="G256" s="136"/>
      <c r="H256" s="152"/>
      <c r="I256" s="150"/>
      <c r="J256" s="156"/>
      <c r="K256" s="138"/>
      <c r="L256" s="136"/>
      <c r="M256" s="152"/>
      <c r="N256" s="150"/>
      <c r="O256" s="156"/>
      <c r="P256" s="138"/>
      <c r="Q256" s="136"/>
      <c r="R256" s="152"/>
      <c r="S256" s="83"/>
      <c r="T256" s="83"/>
      <c r="U256" s="83"/>
      <c r="V256" s="83"/>
      <c r="W256" s="83"/>
      <c r="X256" s="83"/>
      <c r="Y256" s="83"/>
      <c r="Z256" s="83"/>
    </row>
    <row r="257" ht="15.75" customHeight="1">
      <c r="A257" s="118"/>
      <c r="B257" s="118"/>
      <c r="C257" s="94"/>
      <c r="D257" s="150"/>
      <c r="E257" s="156"/>
      <c r="F257" s="138"/>
      <c r="G257" s="136"/>
      <c r="H257" s="152"/>
      <c r="I257" s="150"/>
      <c r="J257" s="156"/>
      <c r="K257" s="138"/>
      <c r="L257" s="136"/>
      <c r="M257" s="152"/>
      <c r="N257" s="150"/>
      <c r="O257" s="156"/>
      <c r="P257" s="138"/>
      <c r="Q257" s="136"/>
      <c r="R257" s="152"/>
      <c r="S257" s="83"/>
      <c r="T257" s="83"/>
      <c r="U257" s="83"/>
      <c r="V257" s="83"/>
      <c r="W257" s="83"/>
      <c r="X257" s="83"/>
      <c r="Y257" s="83"/>
      <c r="Z257" s="83"/>
    </row>
    <row r="258" ht="15.75" customHeight="1">
      <c r="A258" s="118"/>
      <c r="B258" s="118"/>
      <c r="C258" s="94"/>
      <c r="D258" s="150"/>
      <c r="E258" s="156"/>
      <c r="F258" s="138"/>
      <c r="G258" s="136"/>
      <c r="H258" s="152"/>
      <c r="I258" s="150"/>
      <c r="J258" s="156"/>
      <c r="K258" s="138"/>
      <c r="L258" s="136"/>
      <c r="M258" s="152"/>
      <c r="N258" s="150"/>
      <c r="O258" s="156"/>
      <c r="P258" s="138"/>
      <c r="Q258" s="136"/>
      <c r="R258" s="152"/>
      <c r="S258" s="83"/>
      <c r="T258" s="83"/>
      <c r="U258" s="83"/>
      <c r="V258" s="83"/>
      <c r="W258" s="83"/>
      <c r="X258" s="83"/>
      <c r="Y258" s="83"/>
      <c r="Z258" s="83"/>
    </row>
    <row r="259" ht="15.75" customHeight="1">
      <c r="A259" s="118"/>
      <c r="B259" s="118"/>
      <c r="C259" s="94"/>
      <c r="D259" s="150"/>
      <c r="E259" s="156"/>
      <c r="F259" s="138"/>
      <c r="G259" s="136"/>
      <c r="H259" s="152"/>
      <c r="I259" s="150"/>
      <c r="J259" s="156"/>
      <c r="K259" s="138"/>
      <c r="L259" s="136"/>
      <c r="M259" s="152"/>
      <c r="N259" s="150"/>
      <c r="O259" s="156"/>
      <c r="P259" s="138"/>
      <c r="Q259" s="136"/>
      <c r="R259" s="152"/>
      <c r="S259" s="83"/>
      <c r="T259" s="83"/>
      <c r="U259" s="83"/>
      <c r="V259" s="83"/>
      <c r="W259" s="83"/>
      <c r="X259" s="83"/>
      <c r="Y259" s="83"/>
      <c r="Z259" s="83"/>
    </row>
    <row r="260" ht="15.75" customHeight="1">
      <c r="A260" s="118"/>
      <c r="B260" s="118"/>
      <c r="C260" s="94"/>
      <c r="D260" s="150"/>
      <c r="E260" s="156"/>
      <c r="F260" s="138"/>
      <c r="G260" s="136"/>
      <c r="H260" s="152"/>
      <c r="I260" s="150"/>
      <c r="J260" s="156"/>
      <c r="K260" s="138"/>
      <c r="L260" s="136"/>
      <c r="M260" s="152"/>
      <c r="N260" s="150"/>
      <c r="O260" s="156"/>
      <c r="P260" s="138"/>
      <c r="Q260" s="136"/>
      <c r="R260" s="152"/>
      <c r="S260" s="83"/>
      <c r="T260" s="83"/>
      <c r="U260" s="83"/>
      <c r="V260" s="83"/>
      <c r="W260" s="83"/>
      <c r="X260" s="83"/>
      <c r="Y260" s="83"/>
      <c r="Z260" s="83"/>
    </row>
    <row r="261" ht="15.75" customHeight="1">
      <c r="A261" s="118"/>
      <c r="B261" s="118"/>
      <c r="C261" s="94"/>
      <c r="D261" s="150"/>
      <c r="E261" s="156"/>
      <c r="F261" s="138"/>
      <c r="G261" s="136"/>
      <c r="H261" s="152"/>
      <c r="I261" s="150"/>
      <c r="J261" s="156"/>
      <c r="K261" s="138"/>
      <c r="L261" s="136"/>
      <c r="M261" s="152"/>
      <c r="N261" s="150"/>
      <c r="O261" s="156"/>
      <c r="P261" s="138"/>
      <c r="Q261" s="136"/>
      <c r="R261" s="152"/>
      <c r="S261" s="83"/>
      <c r="T261" s="83"/>
      <c r="U261" s="83"/>
      <c r="V261" s="83"/>
      <c r="W261" s="83"/>
      <c r="X261" s="83"/>
      <c r="Y261" s="83"/>
      <c r="Z261" s="83"/>
    </row>
    <row r="262" ht="15.75" customHeight="1">
      <c r="A262" s="118"/>
      <c r="B262" s="118"/>
      <c r="C262" s="94"/>
      <c r="D262" s="150"/>
      <c r="E262" s="156"/>
      <c r="F262" s="138"/>
      <c r="G262" s="136"/>
      <c r="H262" s="152"/>
      <c r="I262" s="150"/>
      <c r="J262" s="156"/>
      <c r="K262" s="138"/>
      <c r="L262" s="136"/>
      <c r="M262" s="152"/>
      <c r="N262" s="150"/>
      <c r="O262" s="156"/>
      <c r="P262" s="138"/>
      <c r="Q262" s="136"/>
      <c r="R262" s="152"/>
      <c r="S262" s="83"/>
      <c r="T262" s="83"/>
      <c r="U262" s="83"/>
      <c r="V262" s="83"/>
      <c r="W262" s="83"/>
      <c r="X262" s="83"/>
      <c r="Y262" s="83"/>
      <c r="Z262" s="83"/>
    </row>
    <row r="263" ht="15.75" customHeight="1">
      <c r="A263" s="118"/>
      <c r="B263" s="118"/>
      <c r="C263" s="94"/>
      <c r="D263" s="150"/>
      <c r="E263" s="156"/>
      <c r="F263" s="138"/>
      <c r="G263" s="136"/>
      <c r="H263" s="152"/>
      <c r="I263" s="150"/>
      <c r="J263" s="156"/>
      <c r="K263" s="138"/>
      <c r="L263" s="136"/>
      <c r="M263" s="152"/>
      <c r="N263" s="150"/>
      <c r="O263" s="156"/>
      <c r="P263" s="138"/>
      <c r="Q263" s="136"/>
      <c r="R263" s="152"/>
      <c r="S263" s="83"/>
      <c r="T263" s="83"/>
      <c r="U263" s="83"/>
      <c r="V263" s="83"/>
      <c r="W263" s="83"/>
      <c r="X263" s="83"/>
      <c r="Y263" s="83"/>
      <c r="Z263" s="83"/>
    </row>
    <row r="264" ht="15.75" customHeight="1">
      <c r="A264" s="118"/>
      <c r="B264" s="118"/>
      <c r="C264" s="94"/>
      <c r="D264" s="150"/>
      <c r="E264" s="156"/>
      <c r="F264" s="138"/>
      <c r="G264" s="136"/>
      <c r="H264" s="152"/>
      <c r="I264" s="150"/>
      <c r="J264" s="156"/>
      <c r="K264" s="138"/>
      <c r="L264" s="136"/>
      <c r="M264" s="152"/>
      <c r="N264" s="150"/>
      <c r="O264" s="156"/>
      <c r="P264" s="138"/>
      <c r="Q264" s="136"/>
      <c r="R264" s="152"/>
      <c r="S264" s="83"/>
      <c r="T264" s="83"/>
      <c r="U264" s="83"/>
      <c r="V264" s="83"/>
      <c r="W264" s="83"/>
      <c r="X264" s="83"/>
      <c r="Y264" s="83"/>
      <c r="Z264" s="83"/>
    </row>
    <row r="265" ht="15.75" customHeight="1">
      <c r="A265" s="118"/>
      <c r="B265" s="118"/>
      <c r="C265" s="94"/>
      <c r="D265" s="150"/>
      <c r="E265" s="156"/>
      <c r="F265" s="138"/>
      <c r="G265" s="136"/>
      <c r="H265" s="152"/>
      <c r="I265" s="150"/>
      <c r="J265" s="156"/>
      <c r="K265" s="138"/>
      <c r="L265" s="136"/>
      <c r="M265" s="152"/>
      <c r="N265" s="150"/>
      <c r="O265" s="156"/>
      <c r="P265" s="138"/>
      <c r="Q265" s="136"/>
      <c r="R265" s="152"/>
      <c r="S265" s="83"/>
      <c r="T265" s="83"/>
      <c r="U265" s="83"/>
      <c r="V265" s="83"/>
      <c r="W265" s="83"/>
      <c r="X265" s="83"/>
      <c r="Y265" s="83"/>
      <c r="Z265" s="83"/>
    </row>
    <row r="266" ht="15.75" customHeight="1">
      <c r="A266" s="118"/>
      <c r="B266" s="118"/>
      <c r="C266" s="94"/>
      <c r="D266" s="150"/>
      <c r="E266" s="156"/>
      <c r="F266" s="138"/>
      <c r="G266" s="136"/>
      <c r="H266" s="152"/>
      <c r="I266" s="150"/>
      <c r="J266" s="156"/>
      <c r="K266" s="138"/>
      <c r="L266" s="136"/>
      <c r="M266" s="152"/>
      <c r="N266" s="150"/>
      <c r="O266" s="156"/>
      <c r="P266" s="138"/>
      <c r="Q266" s="136"/>
      <c r="R266" s="152"/>
      <c r="S266" s="83"/>
      <c r="T266" s="83"/>
      <c r="U266" s="83"/>
      <c r="V266" s="83"/>
      <c r="W266" s="83"/>
      <c r="X266" s="83"/>
      <c r="Y266" s="83"/>
      <c r="Z266" s="83"/>
    </row>
    <row r="267" ht="15.75" customHeight="1">
      <c r="A267" s="118"/>
      <c r="B267" s="118"/>
      <c r="C267" s="94"/>
      <c r="D267" s="150"/>
      <c r="E267" s="156"/>
      <c r="F267" s="138"/>
      <c r="G267" s="136"/>
      <c r="H267" s="152"/>
      <c r="I267" s="150"/>
      <c r="J267" s="156"/>
      <c r="K267" s="138"/>
      <c r="L267" s="136"/>
      <c r="M267" s="152"/>
      <c r="N267" s="150"/>
      <c r="O267" s="156"/>
      <c r="P267" s="138"/>
      <c r="Q267" s="136"/>
      <c r="R267" s="152"/>
      <c r="S267" s="83"/>
      <c r="T267" s="83"/>
      <c r="U267" s="83"/>
      <c r="V267" s="83"/>
      <c r="W267" s="83"/>
      <c r="X267" s="83"/>
      <c r="Y267" s="83"/>
      <c r="Z267" s="83"/>
    </row>
    <row r="268" ht="15.75" customHeight="1">
      <c r="A268" s="118"/>
      <c r="B268" s="118"/>
      <c r="C268" s="94"/>
      <c r="D268" s="150"/>
      <c r="E268" s="156"/>
      <c r="F268" s="138"/>
      <c r="G268" s="136"/>
      <c r="H268" s="152"/>
      <c r="I268" s="150"/>
      <c r="J268" s="156"/>
      <c r="K268" s="138"/>
      <c r="L268" s="136"/>
      <c r="M268" s="152"/>
      <c r="N268" s="150"/>
      <c r="O268" s="156"/>
      <c r="P268" s="138"/>
      <c r="Q268" s="136"/>
      <c r="R268" s="152"/>
      <c r="S268" s="83"/>
      <c r="T268" s="83"/>
      <c r="U268" s="83"/>
      <c r="V268" s="83"/>
      <c r="W268" s="83"/>
      <c r="X268" s="83"/>
      <c r="Y268" s="83"/>
      <c r="Z268" s="83"/>
    </row>
    <row r="269" ht="15.75" customHeight="1">
      <c r="A269" s="118"/>
      <c r="B269" s="118"/>
      <c r="C269" s="94"/>
      <c r="D269" s="150"/>
      <c r="E269" s="156"/>
      <c r="F269" s="138"/>
      <c r="G269" s="136"/>
      <c r="H269" s="152"/>
      <c r="I269" s="150"/>
      <c r="J269" s="156"/>
      <c r="K269" s="138"/>
      <c r="L269" s="136"/>
      <c r="M269" s="152"/>
      <c r="N269" s="150"/>
      <c r="O269" s="156"/>
      <c r="P269" s="138"/>
      <c r="Q269" s="136"/>
      <c r="R269" s="152"/>
      <c r="S269" s="83"/>
      <c r="T269" s="83"/>
      <c r="U269" s="83"/>
      <c r="V269" s="83"/>
      <c r="W269" s="83"/>
      <c r="X269" s="83"/>
      <c r="Y269" s="83"/>
      <c r="Z269" s="83"/>
    </row>
    <row r="270" ht="15.75" customHeight="1">
      <c r="A270" s="118"/>
      <c r="B270" s="118"/>
      <c r="C270" s="94"/>
      <c r="D270" s="150"/>
      <c r="E270" s="156"/>
      <c r="F270" s="138"/>
      <c r="G270" s="136"/>
      <c r="H270" s="152"/>
      <c r="I270" s="150"/>
      <c r="J270" s="156"/>
      <c r="K270" s="138"/>
      <c r="L270" s="136"/>
      <c r="M270" s="152"/>
      <c r="N270" s="150"/>
      <c r="O270" s="156"/>
      <c r="P270" s="138"/>
      <c r="Q270" s="136"/>
      <c r="R270" s="152"/>
      <c r="S270" s="83"/>
      <c r="T270" s="83"/>
      <c r="U270" s="83"/>
      <c r="V270" s="83"/>
      <c r="W270" s="83"/>
      <c r="X270" s="83"/>
      <c r="Y270" s="83"/>
      <c r="Z270" s="83"/>
    </row>
    <row r="271" ht="15.75" customHeight="1">
      <c r="A271" s="118"/>
      <c r="B271" s="118"/>
      <c r="C271" s="94"/>
      <c r="D271" s="150"/>
      <c r="E271" s="156"/>
      <c r="F271" s="138"/>
      <c r="G271" s="136"/>
      <c r="H271" s="152"/>
      <c r="I271" s="150"/>
      <c r="J271" s="156"/>
      <c r="K271" s="138"/>
      <c r="L271" s="136"/>
      <c r="M271" s="152"/>
      <c r="N271" s="150"/>
      <c r="O271" s="156"/>
      <c r="P271" s="138"/>
      <c r="Q271" s="136"/>
      <c r="R271" s="152"/>
      <c r="S271" s="83"/>
      <c r="T271" s="83"/>
      <c r="U271" s="83"/>
      <c r="V271" s="83"/>
      <c r="W271" s="83"/>
      <c r="X271" s="83"/>
      <c r="Y271" s="83"/>
      <c r="Z271" s="83"/>
    </row>
    <row r="272" ht="15.75" customHeight="1">
      <c r="A272" s="118"/>
      <c r="B272" s="118"/>
      <c r="C272" s="94"/>
      <c r="D272" s="150"/>
      <c r="E272" s="156"/>
      <c r="F272" s="138"/>
      <c r="G272" s="136"/>
      <c r="H272" s="152"/>
      <c r="I272" s="150"/>
      <c r="J272" s="156"/>
      <c r="K272" s="138"/>
      <c r="L272" s="136"/>
      <c r="M272" s="152"/>
      <c r="N272" s="150"/>
      <c r="O272" s="156"/>
      <c r="P272" s="138"/>
      <c r="Q272" s="136"/>
      <c r="R272" s="152"/>
      <c r="S272" s="83"/>
      <c r="T272" s="83"/>
      <c r="U272" s="83"/>
      <c r="V272" s="83"/>
      <c r="W272" s="83"/>
      <c r="X272" s="83"/>
      <c r="Y272" s="83"/>
      <c r="Z272" s="83"/>
    </row>
    <row r="273" ht="15.75" customHeight="1">
      <c r="A273" s="118"/>
      <c r="B273" s="118"/>
      <c r="C273" s="94"/>
      <c r="D273" s="150"/>
      <c r="E273" s="156"/>
      <c r="F273" s="138"/>
      <c r="G273" s="136"/>
      <c r="H273" s="152"/>
      <c r="I273" s="150"/>
      <c r="J273" s="156"/>
      <c r="K273" s="138"/>
      <c r="L273" s="136"/>
      <c r="M273" s="152"/>
      <c r="N273" s="150"/>
      <c r="O273" s="156"/>
      <c r="P273" s="138"/>
      <c r="Q273" s="136"/>
      <c r="R273" s="152"/>
      <c r="S273" s="83"/>
      <c r="T273" s="83"/>
      <c r="U273" s="83"/>
      <c r="V273" s="83"/>
      <c r="W273" s="83"/>
      <c r="X273" s="83"/>
      <c r="Y273" s="83"/>
      <c r="Z273" s="83"/>
    </row>
    <row r="274" ht="15.75" customHeight="1">
      <c r="A274" s="118"/>
      <c r="B274" s="118"/>
      <c r="C274" s="94"/>
      <c r="D274" s="150"/>
      <c r="E274" s="156"/>
      <c r="F274" s="138"/>
      <c r="G274" s="136"/>
      <c r="H274" s="152"/>
      <c r="I274" s="150"/>
      <c r="J274" s="156"/>
      <c r="K274" s="138"/>
      <c r="L274" s="136"/>
      <c r="M274" s="152"/>
      <c r="N274" s="150"/>
      <c r="O274" s="156"/>
      <c r="P274" s="138"/>
      <c r="Q274" s="136"/>
      <c r="R274" s="152"/>
      <c r="S274" s="83"/>
      <c r="T274" s="83"/>
      <c r="U274" s="83"/>
      <c r="V274" s="83"/>
      <c r="W274" s="83"/>
      <c r="X274" s="83"/>
      <c r="Y274" s="83"/>
      <c r="Z274" s="83"/>
    </row>
    <row r="275" ht="15.75" customHeight="1">
      <c r="A275" s="118"/>
      <c r="B275" s="118"/>
      <c r="C275" s="94"/>
      <c r="D275" s="150"/>
      <c r="E275" s="156"/>
      <c r="F275" s="138"/>
      <c r="G275" s="136"/>
      <c r="H275" s="152"/>
      <c r="I275" s="150"/>
      <c r="J275" s="156"/>
      <c r="K275" s="138"/>
      <c r="L275" s="136"/>
      <c r="M275" s="152"/>
      <c r="N275" s="150"/>
      <c r="O275" s="156"/>
      <c r="P275" s="138"/>
      <c r="Q275" s="136"/>
      <c r="R275" s="152"/>
      <c r="S275" s="83"/>
      <c r="T275" s="83"/>
      <c r="U275" s="83"/>
      <c r="V275" s="83"/>
      <c r="W275" s="83"/>
      <c r="X275" s="83"/>
      <c r="Y275" s="83"/>
      <c r="Z275" s="83"/>
    </row>
    <row r="276" ht="15.75" customHeight="1">
      <c r="A276" s="118"/>
      <c r="B276" s="118"/>
      <c r="C276" s="94"/>
      <c r="D276" s="150"/>
      <c r="E276" s="156"/>
      <c r="F276" s="138"/>
      <c r="G276" s="136"/>
      <c r="H276" s="152"/>
      <c r="I276" s="150"/>
      <c r="J276" s="156"/>
      <c r="K276" s="138"/>
      <c r="L276" s="136"/>
      <c r="M276" s="152"/>
      <c r="N276" s="150"/>
      <c r="O276" s="156"/>
      <c r="P276" s="138"/>
      <c r="Q276" s="136"/>
      <c r="R276" s="152"/>
      <c r="S276" s="83"/>
      <c r="T276" s="83"/>
      <c r="U276" s="83"/>
      <c r="V276" s="83"/>
      <c r="W276" s="83"/>
      <c r="X276" s="83"/>
      <c r="Y276" s="83"/>
      <c r="Z276" s="83"/>
    </row>
    <row r="277" ht="15.75" customHeight="1">
      <c r="A277" s="118"/>
      <c r="B277" s="118"/>
      <c r="C277" s="94"/>
      <c r="D277" s="150"/>
      <c r="E277" s="156"/>
      <c r="F277" s="138"/>
      <c r="G277" s="136"/>
      <c r="H277" s="152"/>
      <c r="I277" s="150"/>
      <c r="J277" s="156"/>
      <c r="K277" s="138"/>
      <c r="L277" s="136"/>
      <c r="M277" s="152"/>
      <c r="N277" s="150"/>
      <c r="O277" s="156"/>
      <c r="P277" s="138"/>
      <c r="Q277" s="136"/>
      <c r="R277" s="152"/>
      <c r="S277" s="83"/>
      <c r="T277" s="83"/>
      <c r="U277" s="83"/>
      <c r="V277" s="83"/>
      <c r="W277" s="83"/>
      <c r="X277" s="83"/>
      <c r="Y277" s="83"/>
      <c r="Z277" s="83"/>
    </row>
    <row r="278" ht="15.75" customHeight="1">
      <c r="A278" s="118"/>
      <c r="B278" s="118"/>
      <c r="C278" s="94"/>
      <c r="D278" s="150"/>
      <c r="E278" s="156"/>
      <c r="F278" s="138"/>
      <c r="G278" s="136"/>
      <c r="H278" s="152"/>
      <c r="I278" s="150"/>
      <c r="J278" s="156"/>
      <c r="K278" s="138"/>
      <c r="L278" s="136"/>
      <c r="M278" s="152"/>
      <c r="N278" s="150"/>
      <c r="O278" s="156"/>
      <c r="P278" s="138"/>
      <c r="Q278" s="136"/>
      <c r="R278" s="152"/>
      <c r="S278" s="83"/>
      <c r="T278" s="83"/>
      <c r="U278" s="83"/>
      <c r="V278" s="83"/>
      <c r="W278" s="83"/>
      <c r="X278" s="83"/>
      <c r="Y278" s="83"/>
      <c r="Z278" s="83"/>
    </row>
    <row r="279" ht="15.75" customHeight="1">
      <c r="A279" s="118"/>
      <c r="B279" s="118"/>
      <c r="C279" s="94"/>
      <c r="D279" s="150"/>
      <c r="E279" s="156"/>
      <c r="F279" s="138"/>
      <c r="G279" s="136"/>
      <c r="H279" s="152"/>
      <c r="I279" s="150"/>
      <c r="J279" s="156"/>
      <c r="K279" s="138"/>
      <c r="L279" s="136"/>
      <c r="M279" s="152"/>
      <c r="N279" s="150"/>
      <c r="O279" s="156"/>
      <c r="P279" s="138"/>
      <c r="Q279" s="136"/>
      <c r="R279" s="152"/>
      <c r="S279" s="83"/>
      <c r="T279" s="83"/>
      <c r="U279" s="83"/>
      <c r="V279" s="83"/>
      <c r="W279" s="83"/>
      <c r="X279" s="83"/>
      <c r="Y279" s="83"/>
      <c r="Z279" s="83"/>
    </row>
    <row r="280" ht="15.75" customHeight="1">
      <c r="A280" s="118"/>
      <c r="B280" s="118"/>
      <c r="C280" s="94"/>
      <c r="D280" s="150"/>
      <c r="E280" s="156"/>
      <c r="F280" s="138"/>
      <c r="G280" s="136"/>
      <c r="H280" s="152"/>
      <c r="I280" s="150"/>
      <c r="J280" s="156"/>
      <c r="K280" s="138"/>
      <c r="L280" s="136"/>
      <c r="M280" s="152"/>
      <c r="N280" s="150"/>
      <c r="O280" s="156"/>
      <c r="P280" s="138"/>
      <c r="Q280" s="136"/>
      <c r="R280" s="152"/>
      <c r="S280" s="83"/>
      <c r="T280" s="83"/>
      <c r="U280" s="83"/>
      <c r="V280" s="83"/>
      <c r="W280" s="83"/>
      <c r="X280" s="83"/>
      <c r="Y280" s="83"/>
      <c r="Z280" s="83"/>
    </row>
    <row r="281" ht="15.75" customHeight="1">
      <c r="A281" s="118"/>
      <c r="B281" s="118"/>
      <c r="C281" s="94"/>
      <c r="D281" s="150"/>
      <c r="E281" s="156"/>
      <c r="F281" s="138"/>
      <c r="G281" s="136"/>
      <c r="H281" s="152"/>
      <c r="I281" s="150"/>
      <c r="J281" s="156"/>
      <c r="K281" s="138"/>
      <c r="L281" s="136"/>
      <c r="M281" s="152"/>
      <c r="N281" s="150"/>
      <c r="O281" s="156"/>
      <c r="P281" s="138"/>
      <c r="Q281" s="136"/>
      <c r="R281" s="152"/>
      <c r="S281" s="83"/>
      <c r="T281" s="83"/>
      <c r="U281" s="83"/>
      <c r="V281" s="83"/>
      <c r="W281" s="83"/>
      <c r="X281" s="83"/>
      <c r="Y281" s="83"/>
      <c r="Z281" s="83"/>
    </row>
    <row r="282" ht="15.75" customHeight="1">
      <c r="A282" s="118"/>
      <c r="B282" s="118"/>
      <c r="C282" s="94"/>
      <c r="D282" s="150"/>
      <c r="E282" s="156"/>
      <c r="F282" s="138"/>
      <c r="G282" s="136"/>
      <c r="H282" s="152"/>
      <c r="I282" s="150"/>
      <c r="J282" s="156"/>
      <c r="K282" s="138"/>
      <c r="L282" s="136"/>
      <c r="M282" s="152"/>
      <c r="N282" s="150"/>
      <c r="O282" s="156"/>
      <c r="P282" s="138"/>
      <c r="Q282" s="136"/>
      <c r="R282" s="152"/>
      <c r="S282" s="83"/>
      <c r="T282" s="83"/>
      <c r="U282" s="83"/>
      <c r="V282" s="83"/>
      <c r="W282" s="83"/>
      <c r="X282" s="83"/>
      <c r="Y282" s="83"/>
      <c r="Z282" s="83"/>
    </row>
    <row r="283" ht="15.75" customHeight="1">
      <c r="A283" s="118"/>
      <c r="B283" s="118"/>
      <c r="C283" s="94"/>
      <c r="D283" s="150"/>
      <c r="E283" s="156"/>
      <c r="F283" s="138"/>
      <c r="G283" s="136"/>
      <c r="H283" s="152"/>
      <c r="I283" s="150"/>
      <c r="J283" s="156"/>
      <c r="K283" s="138"/>
      <c r="L283" s="136"/>
      <c r="M283" s="152"/>
      <c r="N283" s="150"/>
      <c r="O283" s="156"/>
      <c r="P283" s="138"/>
      <c r="Q283" s="136"/>
      <c r="R283" s="152"/>
      <c r="S283" s="83"/>
      <c r="T283" s="83"/>
      <c r="U283" s="83"/>
      <c r="V283" s="83"/>
      <c r="W283" s="83"/>
      <c r="X283" s="83"/>
      <c r="Y283" s="83"/>
      <c r="Z283" s="83"/>
    </row>
    <row r="284" ht="15.75" customHeight="1">
      <c r="A284" s="118"/>
      <c r="B284" s="118"/>
      <c r="C284" s="94"/>
      <c r="D284" s="150"/>
      <c r="E284" s="156"/>
      <c r="F284" s="138"/>
      <c r="G284" s="136"/>
      <c r="H284" s="152"/>
      <c r="I284" s="150"/>
      <c r="J284" s="156"/>
      <c r="K284" s="138"/>
      <c r="L284" s="136"/>
      <c r="M284" s="152"/>
      <c r="N284" s="150"/>
      <c r="O284" s="156"/>
      <c r="P284" s="138"/>
      <c r="Q284" s="136"/>
      <c r="R284" s="152"/>
      <c r="S284" s="83"/>
      <c r="T284" s="83"/>
      <c r="U284" s="83"/>
      <c r="V284" s="83"/>
      <c r="W284" s="83"/>
      <c r="X284" s="83"/>
      <c r="Y284" s="83"/>
      <c r="Z284" s="83"/>
    </row>
    <row r="285" ht="15.75" customHeight="1">
      <c r="A285" s="118"/>
      <c r="B285" s="118"/>
      <c r="C285" s="94"/>
      <c r="D285" s="150"/>
      <c r="E285" s="156"/>
      <c r="F285" s="138"/>
      <c r="G285" s="136"/>
      <c r="H285" s="152"/>
      <c r="I285" s="150"/>
      <c r="J285" s="156"/>
      <c r="K285" s="138"/>
      <c r="L285" s="136"/>
      <c r="M285" s="152"/>
      <c r="N285" s="150"/>
      <c r="O285" s="156"/>
      <c r="P285" s="138"/>
      <c r="Q285" s="136"/>
      <c r="R285" s="152"/>
      <c r="S285" s="83"/>
      <c r="T285" s="83"/>
      <c r="U285" s="83"/>
      <c r="V285" s="83"/>
      <c r="W285" s="83"/>
      <c r="X285" s="83"/>
      <c r="Y285" s="83"/>
      <c r="Z285" s="83"/>
    </row>
    <row r="286" ht="15.75" customHeight="1">
      <c r="A286" s="118"/>
      <c r="B286" s="118"/>
      <c r="C286" s="94"/>
      <c r="D286" s="111"/>
      <c r="E286" s="115"/>
      <c r="F286" s="108"/>
      <c r="G286" s="98"/>
      <c r="H286" s="116"/>
      <c r="I286" s="111"/>
      <c r="J286" s="115"/>
      <c r="K286" s="108"/>
      <c r="L286" s="98"/>
      <c r="M286" s="116"/>
      <c r="N286" s="111"/>
      <c r="O286" s="115"/>
      <c r="P286" s="108"/>
      <c r="Q286" s="98"/>
      <c r="R286" s="116"/>
      <c r="S286" s="83"/>
      <c r="T286" s="83"/>
      <c r="U286" s="83"/>
      <c r="V286" s="83"/>
      <c r="W286" s="83"/>
      <c r="X286" s="83"/>
      <c r="Y286" s="83"/>
      <c r="Z286" s="83"/>
    </row>
    <row r="287" ht="15.75" customHeight="1">
      <c r="A287" s="118"/>
      <c r="B287" s="118"/>
      <c r="C287" s="94"/>
      <c r="D287" s="111"/>
      <c r="E287" s="115"/>
      <c r="F287" s="108"/>
      <c r="G287" s="98"/>
      <c r="H287" s="116"/>
      <c r="I287" s="111"/>
      <c r="J287" s="115"/>
      <c r="K287" s="108"/>
      <c r="L287" s="98"/>
      <c r="M287" s="116"/>
      <c r="N287" s="111"/>
      <c r="O287" s="115"/>
      <c r="P287" s="108"/>
      <c r="Q287" s="98"/>
      <c r="R287" s="116"/>
      <c r="S287" s="83"/>
      <c r="T287" s="83"/>
      <c r="U287" s="83"/>
      <c r="V287" s="83"/>
      <c r="W287" s="83"/>
      <c r="X287" s="83"/>
      <c r="Y287" s="83"/>
      <c r="Z287" s="83"/>
    </row>
    <row r="288" ht="15.75" customHeight="1">
      <c r="A288" s="118"/>
      <c r="B288" s="118"/>
      <c r="C288" s="94"/>
      <c r="D288" s="111"/>
      <c r="E288" s="115"/>
      <c r="F288" s="108"/>
      <c r="G288" s="98"/>
      <c r="H288" s="116"/>
      <c r="I288" s="111"/>
      <c r="J288" s="115"/>
      <c r="K288" s="108"/>
      <c r="L288" s="98"/>
      <c r="M288" s="116"/>
      <c r="N288" s="111"/>
      <c r="O288" s="115"/>
      <c r="P288" s="108"/>
      <c r="Q288" s="98"/>
      <c r="R288" s="116"/>
      <c r="S288" s="83"/>
      <c r="T288" s="83"/>
      <c r="U288" s="83"/>
      <c r="V288" s="83"/>
      <c r="W288" s="83"/>
      <c r="X288" s="83"/>
      <c r="Y288" s="83"/>
      <c r="Z288" s="83"/>
    </row>
    <row r="289" ht="15.75" customHeight="1">
      <c r="A289" s="118"/>
      <c r="B289" s="118"/>
      <c r="C289" s="94"/>
      <c r="D289" s="111"/>
      <c r="E289" s="115"/>
      <c r="F289" s="108"/>
      <c r="G289" s="98"/>
      <c r="H289" s="116"/>
      <c r="I289" s="111"/>
      <c r="J289" s="115"/>
      <c r="K289" s="108"/>
      <c r="L289" s="98"/>
      <c r="M289" s="116"/>
      <c r="N289" s="111"/>
      <c r="O289" s="115"/>
      <c r="P289" s="108"/>
      <c r="Q289" s="98"/>
      <c r="R289" s="116"/>
      <c r="S289" s="83"/>
      <c r="T289" s="83"/>
      <c r="U289" s="83"/>
      <c r="V289" s="83"/>
      <c r="W289" s="83"/>
      <c r="X289" s="83"/>
      <c r="Y289" s="83"/>
      <c r="Z289" s="83"/>
    </row>
    <row r="290" ht="15.75" customHeight="1">
      <c r="A290" s="118"/>
      <c r="B290" s="118"/>
      <c r="C290" s="94"/>
      <c r="D290" s="111"/>
      <c r="E290" s="115"/>
      <c r="F290" s="108"/>
      <c r="G290" s="98"/>
      <c r="H290" s="116"/>
      <c r="I290" s="111"/>
      <c r="J290" s="115"/>
      <c r="K290" s="108"/>
      <c r="L290" s="98"/>
      <c r="M290" s="116"/>
      <c r="N290" s="111"/>
      <c r="O290" s="115"/>
      <c r="P290" s="108"/>
      <c r="Q290" s="98"/>
      <c r="R290" s="116"/>
      <c r="S290" s="83"/>
      <c r="T290" s="83"/>
      <c r="U290" s="83"/>
      <c r="V290" s="83"/>
      <c r="W290" s="83"/>
      <c r="X290" s="83"/>
      <c r="Y290" s="83"/>
      <c r="Z290" s="83"/>
    </row>
    <row r="291" ht="15.75" customHeight="1">
      <c r="A291" s="118"/>
      <c r="B291" s="118"/>
      <c r="C291" s="94"/>
      <c r="D291" s="111"/>
      <c r="E291" s="115"/>
      <c r="F291" s="108"/>
      <c r="G291" s="98"/>
      <c r="H291" s="116"/>
      <c r="I291" s="111"/>
      <c r="J291" s="115"/>
      <c r="K291" s="108"/>
      <c r="L291" s="98"/>
      <c r="M291" s="116"/>
      <c r="N291" s="111"/>
      <c r="O291" s="115"/>
      <c r="P291" s="108"/>
      <c r="Q291" s="98"/>
      <c r="R291" s="116"/>
      <c r="S291" s="83"/>
      <c r="T291" s="83"/>
      <c r="U291" s="83"/>
      <c r="V291" s="83"/>
      <c r="W291" s="83"/>
      <c r="X291" s="83"/>
      <c r="Y291" s="83"/>
      <c r="Z291" s="83"/>
    </row>
    <row r="292" ht="15.75" customHeight="1">
      <c r="A292" s="118"/>
      <c r="B292" s="118"/>
      <c r="C292" s="94"/>
      <c r="D292" s="111"/>
      <c r="E292" s="115"/>
      <c r="F292" s="108"/>
      <c r="G292" s="98"/>
      <c r="H292" s="116"/>
      <c r="I292" s="111"/>
      <c r="J292" s="115"/>
      <c r="K292" s="108"/>
      <c r="L292" s="98"/>
      <c r="M292" s="116"/>
      <c r="N292" s="111"/>
      <c r="O292" s="115"/>
      <c r="P292" s="108"/>
      <c r="Q292" s="98"/>
      <c r="R292" s="116"/>
      <c r="S292" s="83"/>
      <c r="T292" s="83"/>
      <c r="U292" s="83"/>
      <c r="V292" s="83"/>
      <c r="W292" s="83"/>
      <c r="X292" s="83"/>
      <c r="Y292" s="83"/>
      <c r="Z292" s="83"/>
    </row>
    <row r="293" ht="15.75" customHeight="1">
      <c r="A293" s="118"/>
      <c r="B293" s="118"/>
      <c r="C293" s="94"/>
      <c r="D293" s="111"/>
      <c r="E293" s="115"/>
      <c r="F293" s="108"/>
      <c r="G293" s="98"/>
      <c r="H293" s="116"/>
      <c r="I293" s="111"/>
      <c r="J293" s="115"/>
      <c r="K293" s="108"/>
      <c r="L293" s="98"/>
      <c r="M293" s="116"/>
      <c r="N293" s="111"/>
      <c r="O293" s="115"/>
      <c r="P293" s="108"/>
      <c r="Q293" s="98"/>
      <c r="R293" s="116"/>
      <c r="S293" s="83"/>
      <c r="T293" s="83"/>
      <c r="U293" s="83"/>
      <c r="V293" s="83"/>
      <c r="W293" s="83"/>
      <c r="X293" s="83"/>
      <c r="Y293" s="83"/>
      <c r="Z293" s="83"/>
    </row>
    <row r="294" ht="15.75" customHeight="1">
      <c r="A294" s="118"/>
      <c r="B294" s="118"/>
      <c r="C294" s="94"/>
      <c r="D294" s="111"/>
      <c r="E294" s="115"/>
      <c r="F294" s="108"/>
      <c r="G294" s="98"/>
      <c r="H294" s="116"/>
      <c r="I294" s="111"/>
      <c r="J294" s="115"/>
      <c r="K294" s="108"/>
      <c r="L294" s="98"/>
      <c r="M294" s="116"/>
      <c r="N294" s="111"/>
      <c r="O294" s="115"/>
      <c r="P294" s="108"/>
      <c r="Q294" s="98"/>
      <c r="R294" s="116"/>
      <c r="S294" s="83"/>
      <c r="T294" s="83"/>
      <c r="U294" s="83"/>
      <c r="V294" s="83"/>
      <c r="W294" s="83"/>
      <c r="X294" s="83"/>
      <c r="Y294" s="83"/>
      <c r="Z294" s="83"/>
    </row>
    <row r="295" ht="15.75" customHeight="1">
      <c r="A295" s="118"/>
      <c r="B295" s="118"/>
      <c r="C295" s="94"/>
      <c r="D295" s="111"/>
      <c r="E295" s="115"/>
      <c r="F295" s="108"/>
      <c r="G295" s="98"/>
      <c r="H295" s="116"/>
      <c r="I295" s="111"/>
      <c r="J295" s="115"/>
      <c r="K295" s="108"/>
      <c r="L295" s="98"/>
      <c r="M295" s="116"/>
      <c r="N295" s="111"/>
      <c r="O295" s="115"/>
      <c r="P295" s="108"/>
      <c r="Q295" s="98"/>
      <c r="R295" s="116"/>
      <c r="S295" s="83"/>
      <c r="T295" s="83"/>
      <c r="U295" s="83"/>
      <c r="V295" s="83"/>
      <c r="W295" s="83"/>
      <c r="X295" s="83"/>
      <c r="Y295" s="83"/>
      <c r="Z295" s="83"/>
    </row>
    <row r="296" ht="15.75" customHeight="1">
      <c r="A296" s="118"/>
      <c r="B296" s="118"/>
      <c r="C296" s="94"/>
      <c r="D296" s="111"/>
      <c r="E296" s="115"/>
      <c r="F296" s="108"/>
      <c r="G296" s="98"/>
      <c r="H296" s="116"/>
      <c r="I296" s="111"/>
      <c r="J296" s="115"/>
      <c r="K296" s="108"/>
      <c r="L296" s="98"/>
      <c r="M296" s="116"/>
      <c r="N296" s="111"/>
      <c r="O296" s="115"/>
      <c r="P296" s="108"/>
      <c r="Q296" s="98"/>
      <c r="R296" s="116"/>
      <c r="S296" s="83"/>
      <c r="T296" s="83"/>
      <c r="U296" s="83"/>
      <c r="V296" s="83"/>
      <c r="W296" s="83"/>
      <c r="X296" s="83"/>
      <c r="Y296" s="83"/>
      <c r="Z296" s="83"/>
    </row>
    <row r="297" ht="15.75" customHeight="1">
      <c r="A297" s="118"/>
      <c r="B297" s="118"/>
      <c r="C297" s="94"/>
      <c r="D297" s="111"/>
      <c r="E297" s="115"/>
      <c r="F297" s="108"/>
      <c r="G297" s="98"/>
      <c r="H297" s="116"/>
      <c r="I297" s="111"/>
      <c r="J297" s="115"/>
      <c r="K297" s="108"/>
      <c r="L297" s="98"/>
      <c r="M297" s="116"/>
      <c r="N297" s="111"/>
      <c r="O297" s="115"/>
      <c r="P297" s="108"/>
      <c r="Q297" s="98"/>
      <c r="R297" s="116"/>
      <c r="S297" s="83"/>
      <c r="T297" s="83"/>
      <c r="U297" s="83"/>
      <c r="V297" s="83"/>
      <c r="W297" s="83"/>
      <c r="X297" s="83"/>
      <c r="Y297" s="83"/>
      <c r="Z297" s="83"/>
    </row>
    <row r="298" ht="15.75" customHeight="1">
      <c r="A298" s="118"/>
      <c r="B298" s="118"/>
      <c r="C298" s="94"/>
      <c r="D298" s="111"/>
      <c r="E298" s="115"/>
      <c r="F298" s="108"/>
      <c r="G298" s="98"/>
      <c r="H298" s="116"/>
      <c r="I298" s="111"/>
      <c r="J298" s="115"/>
      <c r="K298" s="108"/>
      <c r="L298" s="98"/>
      <c r="M298" s="116"/>
      <c r="N298" s="111"/>
      <c r="O298" s="115"/>
      <c r="P298" s="108"/>
      <c r="Q298" s="98"/>
      <c r="R298" s="116"/>
      <c r="S298" s="83"/>
      <c r="T298" s="83"/>
      <c r="U298" s="83"/>
      <c r="V298" s="83"/>
      <c r="W298" s="83"/>
      <c r="X298" s="83"/>
      <c r="Y298" s="83"/>
      <c r="Z298" s="83"/>
    </row>
    <row r="299" ht="15.75" customHeight="1">
      <c r="A299" s="118"/>
      <c r="B299" s="118"/>
      <c r="C299" s="94"/>
      <c r="D299" s="111"/>
      <c r="E299" s="115"/>
      <c r="F299" s="108"/>
      <c r="G299" s="98"/>
      <c r="H299" s="116"/>
      <c r="I299" s="111"/>
      <c r="J299" s="115"/>
      <c r="K299" s="108"/>
      <c r="L299" s="98"/>
      <c r="M299" s="116"/>
      <c r="N299" s="111"/>
      <c r="O299" s="115"/>
      <c r="P299" s="108"/>
      <c r="Q299" s="98"/>
      <c r="R299" s="116"/>
      <c r="S299" s="83"/>
      <c r="T299" s="83"/>
      <c r="U299" s="83"/>
      <c r="V299" s="83"/>
      <c r="W299" s="83"/>
      <c r="X299" s="83"/>
      <c r="Y299" s="83"/>
      <c r="Z299" s="83"/>
    </row>
    <row r="300" ht="15.75" customHeight="1">
      <c r="A300" s="118"/>
      <c r="B300" s="118"/>
      <c r="C300" s="94"/>
      <c r="D300" s="111"/>
      <c r="E300" s="115"/>
      <c r="F300" s="108"/>
      <c r="G300" s="98"/>
      <c r="H300" s="116"/>
      <c r="I300" s="111"/>
      <c r="J300" s="115"/>
      <c r="K300" s="108"/>
      <c r="L300" s="98"/>
      <c r="M300" s="116"/>
      <c r="N300" s="111"/>
      <c r="O300" s="115"/>
      <c r="P300" s="108"/>
      <c r="Q300" s="98"/>
      <c r="R300" s="116"/>
      <c r="S300" s="83"/>
      <c r="T300" s="83"/>
      <c r="U300" s="83"/>
      <c r="V300" s="83"/>
      <c r="W300" s="83"/>
      <c r="X300" s="83"/>
      <c r="Y300" s="83"/>
      <c r="Z300" s="83"/>
    </row>
    <row r="301" ht="15.75" customHeight="1">
      <c r="A301" s="118"/>
      <c r="B301" s="118"/>
      <c r="C301" s="94"/>
      <c r="D301" s="111"/>
      <c r="E301" s="115"/>
      <c r="F301" s="108"/>
      <c r="G301" s="98"/>
      <c r="H301" s="116"/>
      <c r="I301" s="111"/>
      <c r="J301" s="115"/>
      <c r="K301" s="108"/>
      <c r="L301" s="98"/>
      <c r="M301" s="116"/>
      <c r="N301" s="111"/>
      <c r="O301" s="115"/>
      <c r="P301" s="108"/>
      <c r="Q301" s="98"/>
      <c r="R301" s="116"/>
      <c r="S301" s="83"/>
      <c r="T301" s="83"/>
      <c r="U301" s="83"/>
      <c r="V301" s="83"/>
      <c r="W301" s="83"/>
      <c r="X301" s="83"/>
      <c r="Y301" s="83"/>
      <c r="Z301" s="83"/>
    </row>
    <row r="302" ht="15.75" customHeight="1">
      <c r="A302" s="118"/>
      <c r="B302" s="118"/>
      <c r="C302" s="94"/>
      <c r="D302" s="111"/>
      <c r="E302" s="115"/>
      <c r="F302" s="108"/>
      <c r="G302" s="98"/>
      <c r="H302" s="116"/>
      <c r="I302" s="111"/>
      <c r="J302" s="115"/>
      <c r="K302" s="108"/>
      <c r="L302" s="98"/>
      <c r="M302" s="116"/>
      <c r="N302" s="111"/>
      <c r="O302" s="115"/>
      <c r="P302" s="108"/>
      <c r="Q302" s="98"/>
      <c r="R302" s="116"/>
      <c r="S302" s="83"/>
      <c r="T302" s="83"/>
      <c r="U302" s="83"/>
      <c r="V302" s="83"/>
      <c r="W302" s="83"/>
      <c r="X302" s="83"/>
      <c r="Y302" s="83"/>
      <c r="Z302" s="83"/>
    </row>
    <row r="303" ht="15.75" customHeight="1">
      <c r="A303" s="118"/>
      <c r="B303" s="118"/>
      <c r="C303" s="94"/>
      <c r="D303" s="111"/>
      <c r="E303" s="115"/>
      <c r="F303" s="108"/>
      <c r="G303" s="98"/>
      <c r="H303" s="116"/>
      <c r="I303" s="111"/>
      <c r="J303" s="115"/>
      <c r="K303" s="108"/>
      <c r="L303" s="98"/>
      <c r="M303" s="116"/>
      <c r="N303" s="111"/>
      <c r="O303" s="115"/>
      <c r="P303" s="108"/>
      <c r="Q303" s="98"/>
      <c r="R303" s="116"/>
      <c r="S303" s="83"/>
      <c r="T303" s="83"/>
      <c r="U303" s="83"/>
      <c r="V303" s="83"/>
      <c r="W303" s="83"/>
      <c r="X303" s="83"/>
      <c r="Y303" s="83"/>
      <c r="Z303" s="83"/>
    </row>
    <row r="304" ht="15.75" customHeight="1">
      <c r="A304" s="118"/>
      <c r="B304" s="118"/>
      <c r="C304" s="94"/>
      <c r="D304" s="111"/>
      <c r="E304" s="115"/>
      <c r="F304" s="108"/>
      <c r="G304" s="98"/>
      <c r="H304" s="116"/>
      <c r="I304" s="111"/>
      <c r="J304" s="115"/>
      <c r="K304" s="108"/>
      <c r="L304" s="98"/>
      <c r="M304" s="116"/>
      <c r="N304" s="111"/>
      <c r="O304" s="115"/>
      <c r="P304" s="108"/>
      <c r="Q304" s="98"/>
      <c r="R304" s="116"/>
      <c r="S304" s="83"/>
      <c r="T304" s="83"/>
      <c r="U304" s="83"/>
      <c r="V304" s="83"/>
      <c r="W304" s="83"/>
      <c r="X304" s="83"/>
      <c r="Y304" s="83"/>
      <c r="Z304" s="83"/>
    </row>
    <row r="305" ht="15.75" customHeight="1">
      <c r="A305" s="118"/>
      <c r="B305" s="118"/>
      <c r="C305" s="94"/>
      <c r="D305" s="111"/>
      <c r="E305" s="115"/>
      <c r="F305" s="108"/>
      <c r="G305" s="98"/>
      <c r="H305" s="116"/>
      <c r="I305" s="111"/>
      <c r="J305" s="115"/>
      <c r="K305" s="108"/>
      <c r="L305" s="98"/>
      <c r="M305" s="116"/>
      <c r="N305" s="111"/>
      <c r="O305" s="115"/>
      <c r="P305" s="108"/>
      <c r="Q305" s="98"/>
      <c r="R305" s="116"/>
      <c r="S305" s="83"/>
      <c r="T305" s="83"/>
      <c r="U305" s="83"/>
      <c r="V305" s="83"/>
      <c r="W305" s="83"/>
      <c r="X305" s="83"/>
      <c r="Y305" s="83"/>
      <c r="Z305" s="83"/>
    </row>
    <row r="306" ht="15.75" customHeight="1">
      <c r="A306" s="118"/>
      <c r="B306" s="118"/>
      <c r="C306" s="94"/>
      <c r="D306" s="111"/>
      <c r="E306" s="115"/>
      <c r="F306" s="108"/>
      <c r="G306" s="98"/>
      <c r="H306" s="116"/>
      <c r="I306" s="111"/>
      <c r="J306" s="115"/>
      <c r="K306" s="108"/>
      <c r="L306" s="98"/>
      <c r="M306" s="116"/>
      <c r="N306" s="111"/>
      <c r="O306" s="115"/>
      <c r="P306" s="108"/>
      <c r="Q306" s="98"/>
      <c r="R306" s="116"/>
      <c r="S306" s="83"/>
      <c r="T306" s="83"/>
      <c r="U306" s="83"/>
      <c r="V306" s="83"/>
      <c r="W306" s="83"/>
      <c r="X306" s="83"/>
      <c r="Y306" s="83"/>
      <c r="Z306" s="83"/>
    </row>
    <row r="307" ht="15.75" customHeight="1">
      <c r="A307" s="118"/>
      <c r="B307" s="118"/>
      <c r="C307" s="94"/>
      <c r="D307" s="111"/>
      <c r="E307" s="115"/>
      <c r="F307" s="108"/>
      <c r="G307" s="98"/>
      <c r="H307" s="116"/>
      <c r="I307" s="111"/>
      <c r="J307" s="115"/>
      <c r="K307" s="108"/>
      <c r="L307" s="98"/>
      <c r="M307" s="116"/>
      <c r="N307" s="111"/>
      <c r="O307" s="115"/>
      <c r="P307" s="108"/>
      <c r="Q307" s="98"/>
      <c r="R307" s="116"/>
      <c r="S307" s="83"/>
      <c r="T307" s="83"/>
      <c r="U307" s="83"/>
      <c r="V307" s="83"/>
      <c r="W307" s="83"/>
      <c r="X307" s="83"/>
      <c r="Y307" s="83"/>
      <c r="Z307" s="83"/>
    </row>
    <row r="308" ht="15.75" customHeight="1">
      <c r="A308" s="118"/>
      <c r="B308" s="118"/>
      <c r="C308" s="94"/>
      <c r="D308" s="111"/>
      <c r="E308" s="115"/>
      <c r="F308" s="108"/>
      <c r="G308" s="98"/>
      <c r="H308" s="116"/>
      <c r="I308" s="111"/>
      <c r="J308" s="115"/>
      <c r="K308" s="108"/>
      <c r="L308" s="98"/>
      <c r="M308" s="116"/>
      <c r="N308" s="111"/>
      <c r="O308" s="115"/>
      <c r="P308" s="108"/>
      <c r="Q308" s="98"/>
      <c r="R308" s="116"/>
      <c r="S308" s="83"/>
      <c r="T308" s="83"/>
      <c r="U308" s="83"/>
      <c r="V308" s="83"/>
      <c r="W308" s="83"/>
      <c r="X308" s="83"/>
      <c r="Y308" s="83"/>
      <c r="Z308" s="83"/>
    </row>
    <row r="309" ht="15.75" customHeight="1">
      <c r="A309" s="118"/>
      <c r="B309" s="118"/>
      <c r="C309" s="94"/>
      <c r="D309" s="111"/>
      <c r="E309" s="115"/>
      <c r="F309" s="108"/>
      <c r="G309" s="98"/>
      <c r="H309" s="116"/>
      <c r="I309" s="111"/>
      <c r="J309" s="115"/>
      <c r="K309" s="108"/>
      <c r="L309" s="98"/>
      <c r="M309" s="116"/>
      <c r="N309" s="111"/>
      <c r="O309" s="115"/>
      <c r="P309" s="108"/>
      <c r="Q309" s="98"/>
      <c r="R309" s="116"/>
      <c r="S309" s="83"/>
      <c r="T309" s="83"/>
      <c r="U309" s="83"/>
      <c r="V309" s="83"/>
      <c r="W309" s="83"/>
      <c r="X309" s="83"/>
      <c r="Y309" s="83"/>
      <c r="Z309" s="83"/>
    </row>
    <row r="310" ht="15.75" customHeight="1">
      <c r="A310" s="118"/>
      <c r="B310" s="118"/>
      <c r="C310" s="94"/>
      <c r="D310" s="111"/>
      <c r="E310" s="115"/>
      <c r="F310" s="108"/>
      <c r="G310" s="98"/>
      <c r="H310" s="116"/>
      <c r="I310" s="111"/>
      <c r="J310" s="115"/>
      <c r="K310" s="108"/>
      <c r="L310" s="98"/>
      <c r="M310" s="116"/>
      <c r="N310" s="111"/>
      <c r="O310" s="115"/>
      <c r="P310" s="108"/>
      <c r="Q310" s="98"/>
      <c r="R310" s="116"/>
      <c r="S310" s="83"/>
      <c r="T310" s="83"/>
      <c r="U310" s="83"/>
      <c r="V310" s="83"/>
      <c r="W310" s="83"/>
      <c r="X310" s="83"/>
      <c r="Y310" s="83"/>
      <c r="Z310" s="83"/>
    </row>
    <row r="311" ht="15.75" customHeight="1">
      <c r="A311" s="118"/>
      <c r="B311" s="118"/>
      <c r="C311" s="94"/>
      <c r="D311" s="111"/>
      <c r="E311" s="115"/>
      <c r="F311" s="108"/>
      <c r="G311" s="98"/>
      <c r="H311" s="116"/>
      <c r="I311" s="111"/>
      <c r="J311" s="115"/>
      <c r="K311" s="108"/>
      <c r="L311" s="98"/>
      <c r="M311" s="116"/>
      <c r="N311" s="111"/>
      <c r="O311" s="115"/>
      <c r="P311" s="108"/>
      <c r="Q311" s="98"/>
      <c r="R311" s="116"/>
      <c r="S311" s="83"/>
      <c r="T311" s="83"/>
      <c r="U311" s="83"/>
      <c r="V311" s="83"/>
      <c r="W311" s="83"/>
      <c r="X311" s="83"/>
      <c r="Y311" s="83"/>
      <c r="Z311" s="83"/>
    </row>
    <row r="312" ht="15.75" customHeight="1">
      <c r="A312" s="118"/>
      <c r="B312" s="118"/>
      <c r="C312" s="94"/>
      <c r="D312" s="111"/>
      <c r="E312" s="115"/>
      <c r="F312" s="108"/>
      <c r="G312" s="98"/>
      <c r="H312" s="116"/>
      <c r="I312" s="111"/>
      <c r="J312" s="115"/>
      <c r="K312" s="108"/>
      <c r="L312" s="98"/>
      <c r="M312" s="116"/>
      <c r="N312" s="111"/>
      <c r="O312" s="115"/>
      <c r="P312" s="108"/>
      <c r="Q312" s="98"/>
      <c r="R312" s="116"/>
      <c r="S312" s="83"/>
      <c r="T312" s="83"/>
      <c r="U312" s="83"/>
      <c r="V312" s="83"/>
      <c r="W312" s="83"/>
      <c r="X312" s="83"/>
      <c r="Y312" s="83"/>
      <c r="Z312" s="83"/>
    </row>
    <row r="313" ht="15.75" customHeight="1">
      <c r="A313" s="118"/>
      <c r="B313" s="118"/>
      <c r="C313" s="94"/>
      <c r="D313" s="111"/>
      <c r="E313" s="115"/>
      <c r="F313" s="108"/>
      <c r="G313" s="98"/>
      <c r="H313" s="116"/>
      <c r="I313" s="111"/>
      <c r="J313" s="115"/>
      <c r="K313" s="108"/>
      <c r="L313" s="98"/>
      <c r="M313" s="116"/>
      <c r="N313" s="111"/>
      <c r="O313" s="115"/>
      <c r="P313" s="108"/>
      <c r="Q313" s="98"/>
      <c r="R313" s="116"/>
      <c r="S313" s="83"/>
      <c r="T313" s="83"/>
      <c r="U313" s="83"/>
      <c r="V313" s="83"/>
      <c r="W313" s="83"/>
      <c r="X313" s="83"/>
      <c r="Y313" s="83"/>
      <c r="Z313" s="83"/>
    </row>
    <row r="314" ht="15.75" customHeight="1">
      <c r="A314" s="118"/>
      <c r="B314" s="118"/>
      <c r="C314" s="94"/>
      <c r="D314" s="111"/>
      <c r="E314" s="115"/>
      <c r="F314" s="108"/>
      <c r="G314" s="98"/>
      <c r="H314" s="116"/>
      <c r="I314" s="111"/>
      <c r="J314" s="115"/>
      <c r="K314" s="108"/>
      <c r="L314" s="98"/>
      <c r="M314" s="116"/>
      <c r="N314" s="111"/>
      <c r="O314" s="115"/>
      <c r="P314" s="108"/>
      <c r="Q314" s="98"/>
      <c r="R314" s="116"/>
      <c r="S314" s="83"/>
      <c r="T314" s="83"/>
      <c r="U314" s="83"/>
      <c r="V314" s="83"/>
      <c r="W314" s="83"/>
      <c r="X314" s="83"/>
      <c r="Y314" s="83"/>
      <c r="Z314" s="83"/>
    </row>
    <row r="315" ht="15.75" customHeight="1">
      <c r="A315" s="118"/>
      <c r="B315" s="118"/>
      <c r="C315" s="94"/>
      <c r="D315" s="111"/>
      <c r="E315" s="115"/>
      <c r="F315" s="108"/>
      <c r="G315" s="98"/>
      <c r="H315" s="116"/>
      <c r="I315" s="111"/>
      <c r="J315" s="115"/>
      <c r="K315" s="108"/>
      <c r="L315" s="98"/>
      <c r="M315" s="116"/>
      <c r="N315" s="111"/>
      <c r="O315" s="115"/>
      <c r="P315" s="108"/>
      <c r="Q315" s="98"/>
      <c r="R315" s="116"/>
      <c r="S315" s="83"/>
      <c r="T315" s="83"/>
      <c r="U315" s="83"/>
      <c r="V315" s="83"/>
      <c r="W315" s="83"/>
      <c r="X315" s="83"/>
      <c r="Y315" s="83"/>
      <c r="Z315" s="83"/>
    </row>
    <row r="316" ht="15.75" customHeight="1">
      <c r="A316" s="118"/>
      <c r="B316" s="118"/>
      <c r="C316" s="94"/>
      <c r="D316" s="111"/>
      <c r="E316" s="115"/>
      <c r="F316" s="108"/>
      <c r="G316" s="98"/>
      <c r="H316" s="116"/>
      <c r="I316" s="111"/>
      <c r="J316" s="115"/>
      <c r="K316" s="108"/>
      <c r="L316" s="98"/>
      <c r="M316" s="116"/>
      <c r="N316" s="111"/>
      <c r="O316" s="115"/>
      <c r="P316" s="108"/>
      <c r="Q316" s="98"/>
      <c r="R316" s="116"/>
      <c r="S316" s="83"/>
      <c r="T316" s="83"/>
      <c r="U316" s="83"/>
      <c r="V316" s="83"/>
      <c r="W316" s="83"/>
      <c r="X316" s="83"/>
      <c r="Y316" s="83"/>
      <c r="Z316" s="83"/>
    </row>
    <row r="317" ht="15.75" customHeight="1">
      <c r="A317" s="118"/>
      <c r="B317" s="118"/>
      <c r="C317" s="94"/>
      <c r="D317" s="111"/>
      <c r="E317" s="115"/>
      <c r="F317" s="108"/>
      <c r="G317" s="98"/>
      <c r="H317" s="116"/>
      <c r="I317" s="111"/>
      <c r="J317" s="115"/>
      <c r="K317" s="108"/>
      <c r="L317" s="98"/>
      <c r="M317" s="116"/>
      <c r="N317" s="111"/>
      <c r="O317" s="115"/>
      <c r="P317" s="108"/>
      <c r="Q317" s="98"/>
      <c r="R317" s="116"/>
      <c r="S317" s="83"/>
      <c r="T317" s="83"/>
      <c r="U317" s="83"/>
      <c r="V317" s="83"/>
      <c r="W317" s="83"/>
      <c r="X317" s="83"/>
      <c r="Y317" s="83"/>
      <c r="Z317" s="83"/>
    </row>
    <row r="318" ht="15.75" customHeight="1">
      <c r="A318" s="118"/>
      <c r="B318" s="118"/>
      <c r="C318" s="94"/>
      <c r="D318" s="111"/>
      <c r="E318" s="115"/>
      <c r="F318" s="108"/>
      <c r="G318" s="98"/>
      <c r="H318" s="116"/>
      <c r="I318" s="111"/>
      <c r="J318" s="115"/>
      <c r="K318" s="108"/>
      <c r="L318" s="98"/>
      <c r="M318" s="116"/>
      <c r="N318" s="111"/>
      <c r="O318" s="115"/>
      <c r="P318" s="108"/>
      <c r="Q318" s="98"/>
      <c r="R318" s="116"/>
      <c r="S318" s="83"/>
      <c r="T318" s="83"/>
      <c r="U318" s="83"/>
      <c r="V318" s="83"/>
      <c r="W318" s="83"/>
      <c r="X318" s="83"/>
      <c r="Y318" s="83"/>
      <c r="Z318" s="83"/>
    </row>
    <row r="319" ht="15.75" customHeight="1">
      <c r="A319" s="118"/>
      <c r="B319" s="118"/>
      <c r="C319" s="94"/>
      <c r="D319" s="111"/>
      <c r="E319" s="115"/>
      <c r="F319" s="108"/>
      <c r="G319" s="98"/>
      <c r="H319" s="116"/>
      <c r="I319" s="111"/>
      <c r="J319" s="115"/>
      <c r="K319" s="108"/>
      <c r="L319" s="98"/>
      <c r="M319" s="116"/>
      <c r="N319" s="111"/>
      <c r="O319" s="115"/>
      <c r="P319" s="108"/>
      <c r="Q319" s="98"/>
      <c r="R319" s="116"/>
      <c r="S319" s="83"/>
      <c r="T319" s="83"/>
      <c r="U319" s="83"/>
      <c r="V319" s="83"/>
      <c r="W319" s="83"/>
      <c r="X319" s="83"/>
      <c r="Y319" s="83"/>
      <c r="Z319" s="83"/>
    </row>
    <row r="320" ht="15.75" customHeight="1">
      <c r="A320" s="118"/>
      <c r="B320" s="118"/>
      <c r="C320" s="94"/>
      <c r="D320" s="111"/>
      <c r="E320" s="115"/>
      <c r="F320" s="108"/>
      <c r="G320" s="98"/>
      <c r="H320" s="116"/>
      <c r="I320" s="111"/>
      <c r="J320" s="115"/>
      <c r="K320" s="108"/>
      <c r="L320" s="98"/>
      <c r="M320" s="116"/>
      <c r="N320" s="111"/>
      <c r="O320" s="115"/>
      <c r="P320" s="108"/>
      <c r="Q320" s="98"/>
      <c r="R320" s="116"/>
      <c r="S320" s="83"/>
      <c r="T320" s="83"/>
      <c r="U320" s="83"/>
      <c r="V320" s="83"/>
      <c r="W320" s="83"/>
      <c r="X320" s="83"/>
      <c r="Y320" s="83"/>
      <c r="Z320" s="83"/>
    </row>
    <row r="321" ht="15.75" customHeight="1">
      <c r="A321" s="118"/>
      <c r="B321" s="118"/>
      <c r="C321" s="94"/>
      <c r="D321" s="111"/>
      <c r="E321" s="115"/>
      <c r="F321" s="108"/>
      <c r="G321" s="98"/>
      <c r="H321" s="116"/>
      <c r="I321" s="111"/>
      <c r="J321" s="115"/>
      <c r="K321" s="108"/>
      <c r="L321" s="98"/>
      <c r="M321" s="116"/>
      <c r="N321" s="111"/>
      <c r="O321" s="115"/>
      <c r="P321" s="108"/>
      <c r="Q321" s="98"/>
      <c r="R321" s="116"/>
      <c r="S321" s="83"/>
      <c r="T321" s="83"/>
      <c r="U321" s="83"/>
      <c r="V321" s="83"/>
      <c r="W321" s="83"/>
      <c r="X321" s="83"/>
      <c r="Y321" s="83"/>
      <c r="Z321" s="83"/>
    </row>
    <row r="322" ht="15.75" customHeight="1">
      <c r="A322" s="118"/>
      <c r="B322" s="118"/>
      <c r="C322" s="94"/>
      <c r="D322" s="111"/>
      <c r="E322" s="115"/>
      <c r="F322" s="108"/>
      <c r="G322" s="98"/>
      <c r="H322" s="116"/>
      <c r="I322" s="111"/>
      <c r="J322" s="115"/>
      <c r="K322" s="108"/>
      <c r="L322" s="98"/>
      <c r="M322" s="116"/>
      <c r="N322" s="111"/>
      <c r="O322" s="115"/>
      <c r="P322" s="108"/>
      <c r="Q322" s="98"/>
      <c r="R322" s="116"/>
      <c r="S322" s="83"/>
      <c r="T322" s="83"/>
      <c r="U322" s="83"/>
      <c r="V322" s="83"/>
      <c r="W322" s="83"/>
      <c r="X322" s="83"/>
      <c r="Y322" s="83"/>
      <c r="Z322" s="83"/>
    </row>
    <row r="323" ht="15.75" customHeight="1">
      <c r="A323" s="118"/>
      <c r="B323" s="118"/>
      <c r="C323" s="94"/>
      <c r="D323" s="111"/>
      <c r="E323" s="115"/>
      <c r="F323" s="108"/>
      <c r="G323" s="98"/>
      <c r="H323" s="116"/>
      <c r="I323" s="111"/>
      <c r="J323" s="115"/>
      <c r="K323" s="108"/>
      <c r="L323" s="98"/>
      <c r="M323" s="116"/>
      <c r="N323" s="111"/>
      <c r="O323" s="115"/>
      <c r="P323" s="108"/>
      <c r="Q323" s="98"/>
      <c r="R323" s="116"/>
      <c r="S323" s="83"/>
      <c r="T323" s="83"/>
      <c r="U323" s="83"/>
      <c r="V323" s="83"/>
      <c r="W323" s="83"/>
      <c r="X323" s="83"/>
      <c r="Y323" s="83"/>
      <c r="Z323" s="83"/>
    </row>
    <row r="324" ht="15.75" customHeight="1">
      <c r="A324" s="118"/>
      <c r="B324" s="118"/>
      <c r="C324" s="94"/>
      <c r="D324" s="111"/>
      <c r="E324" s="115"/>
      <c r="F324" s="108"/>
      <c r="G324" s="98"/>
      <c r="H324" s="116"/>
      <c r="I324" s="111"/>
      <c r="J324" s="115"/>
      <c r="K324" s="108"/>
      <c r="L324" s="98"/>
      <c r="M324" s="116"/>
      <c r="N324" s="111"/>
      <c r="O324" s="115"/>
      <c r="P324" s="108"/>
      <c r="Q324" s="98"/>
      <c r="R324" s="116"/>
      <c r="S324" s="83"/>
      <c r="T324" s="83"/>
      <c r="U324" s="83"/>
      <c r="V324" s="83"/>
      <c r="W324" s="83"/>
      <c r="X324" s="83"/>
      <c r="Y324" s="83"/>
      <c r="Z324" s="83"/>
    </row>
    <row r="325" ht="15.75" customHeight="1">
      <c r="A325" s="118"/>
      <c r="B325" s="118"/>
      <c r="C325" s="94"/>
      <c r="D325" s="111"/>
      <c r="E325" s="115"/>
      <c r="F325" s="108"/>
      <c r="G325" s="98"/>
      <c r="H325" s="116"/>
      <c r="I325" s="111"/>
      <c r="J325" s="115"/>
      <c r="K325" s="108"/>
      <c r="L325" s="98"/>
      <c r="M325" s="116"/>
      <c r="N325" s="111"/>
      <c r="O325" s="115"/>
      <c r="P325" s="108"/>
      <c r="Q325" s="98"/>
      <c r="R325" s="116"/>
      <c r="S325" s="83"/>
      <c r="T325" s="83"/>
      <c r="U325" s="83"/>
      <c r="V325" s="83"/>
      <c r="W325" s="83"/>
      <c r="X325" s="83"/>
      <c r="Y325" s="83"/>
      <c r="Z325" s="83"/>
    </row>
    <row r="326" ht="15.75" customHeight="1">
      <c r="A326" s="118"/>
      <c r="B326" s="118"/>
      <c r="C326" s="94"/>
      <c r="D326" s="111"/>
      <c r="E326" s="115"/>
      <c r="F326" s="108"/>
      <c r="G326" s="98"/>
      <c r="H326" s="116"/>
      <c r="I326" s="111"/>
      <c r="J326" s="115"/>
      <c r="K326" s="108"/>
      <c r="L326" s="98"/>
      <c r="M326" s="116"/>
      <c r="N326" s="111"/>
      <c r="O326" s="115"/>
      <c r="P326" s="108"/>
      <c r="Q326" s="98"/>
      <c r="R326" s="116"/>
      <c r="S326" s="83"/>
      <c r="T326" s="83"/>
      <c r="U326" s="83"/>
      <c r="V326" s="83"/>
      <c r="W326" s="83"/>
      <c r="X326" s="83"/>
      <c r="Y326" s="83"/>
      <c r="Z326" s="83"/>
    </row>
    <row r="327" ht="15.75" customHeight="1">
      <c r="A327" s="118"/>
      <c r="B327" s="118"/>
      <c r="C327" s="94"/>
      <c r="D327" s="111"/>
      <c r="E327" s="115"/>
      <c r="F327" s="108"/>
      <c r="G327" s="98"/>
      <c r="H327" s="116"/>
      <c r="I327" s="111"/>
      <c r="J327" s="115"/>
      <c r="K327" s="108"/>
      <c r="L327" s="98"/>
      <c r="M327" s="116"/>
      <c r="N327" s="111"/>
      <c r="O327" s="115"/>
      <c r="P327" s="108"/>
      <c r="Q327" s="98"/>
      <c r="R327" s="116"/>
      <c r="S327" s="83"/>
      <c r="T327" s="83"/>
      <c r="U327" s="83"/>
      <c r="V327" s="83"/>
      <c r="W327" s="83"/>
      <c r="X327" s="83"/>
      <c r="Y327" s="83"/>
      <c r="Z327" s="83"/>
    </row>
    <row r="328" ht="15.75" customHeight="1">
      <c r="A328" s="118"/>
      <c r="B328" s="118"/>
      <c r="C328" s="94"/>
      <c r="D328" s="111"/>
      <c r="E328" s="115"/>
      <c r="F328" s="108"/>
      <c r="G328" s="98"/>
      <c r="H328" s="116"/>
      <c r="I328" s="111"/>
      <c r="J328" s="115"/>
      <c r="K328" s="108"/>
      <c r="L328" s="98"/>
      <c r="M328" s="116"/>
      <c r="N328" s="111"/>
      <c r="O328" s="115"/>
      <c r="P328" s="108"/>
      <c r="Q328" s="98"/>
      <c r="R328" s="116"/>
      <c r="S328" s="83"/>
      <c r="T328" s="83"/>
      <c r="U328" s="83"/>
      <c r="V328" s="83"/>
      <c r="W328" s="83"/>
      <c r="X328" s="83"/>
      <c r="Y328" s="83"/>
      <c r="Z328" s="83"/>
    </row>
    <row r="329" ht="15.75" customHeight="1">
      <c r="A329" s="118"/>
      <c r="B329" s="118"/>
      <c r="C329" s="94"/>
      <c r="D329" s="111"/>
      <c r="E329" s="115"/>
      <c r="F329" s="108"/>
      <c r="G329" s="98"/>
      <c r="H329" s="116"/>
      <c r="I329" s="111"/>
      <c r="J329" s="115"/>
      <c r="K329" s="108"/>
      <c r="L329" s="98"/>
      <c r="M329" s="116"/>
      <c r="N329" s="111"/>
      <c r="O329" s="115"/>
      <c r="P329" s="108"/>
      <c r="Q329" s="98"/>
      <c r="R329" s="116"/>
      <c r="S329" s="83"/>
      <c r="T329" s="83"/>
      <c r="U329" s="83"/>
      <c r="V329" s="83"/>
      <c r="W329" s="83"/>
      <c r="X329" s="83"/>
      <c r="Y329" s="83"/>
      <c r="Z329" s="83"/>
    </row>
    <row r="330" ht="15.75" customHeight="1">
      <c r="A330" s="118"/>
      <c r="B330" s="118"/>
      <c r="C330" s="94"/>
      <c r="D330" s="111"/>
      <c r="E330" s="115"/>
      <c r="F330" s="108"/>
      <c r="G330" s="98"/>
      <c r="H330" s="116"/>
      <c r="I330" s="111"/>
      <c r="J330" s="115"/>
      <c r="K330" s="108"/>
      <c r="L330" s="98"/>
      <c r="M330" s="116"/>
      <c r="N330" s="111"/>
      <c r="O330" s="115"/>
      <c r="P330" s="108"/>
      <c r="Q330" s="98"/>
      <c r="R330" s="116"/>
      <c r="S330" s="83"/>
      <c r="T330" s="83"/>
      <c r="U330" s="83"/>
      <c r="V330" s="83"/>
      <c r="W330" s="83"/>
      <c r="X330" s="83"/>
      <c r="Y330" s="83"/>
      <c r="Z330" s="83"/>
    </row>
    <row r="331" ht="15.75" customHeight="1">
      <c r="A331" s="118"/>
      <c r="B331" s="118"/>
      <c r="C331" s="94"/>
      <c r="D331" s="111"/>
      <c r="E331" s="115"/>
      <c r="F331" s="108"/>
      <c r="G331" s="98"/>
      <c r="H331" s="116"/>
      <c r="I331" s="111"/>
      <c r="J331" s="115"/>
      <c r="K331" s="108"/>
      <c r="L331" s="98"/>
      <c r="M331" s="116"/>
      <c r="N331" s="111"/>
      <c r="O331" s="115"/>
      <c r="P331" s="108"/>
      <c r="Q331" s="98"/>
      <c r="R331" s="116"/>
      <c r="S331" s="83"/>
      <c r="T331" s="83"/>
      <c r="U331" s="83"/>
      <c r="V331" s="83"/>
      <c r="W331" s="83"/>
      <c r="X331" s="83"/>
      <c r="Y331" s="83"/>
      <c r="Z331" s="83"/>
    </row>
    <row r="332" ht="15.75" customHeight="1">
      <c r="A332" s="118"/>
      <c r="B332" s="118"/>
      <c r="C332" s="94"/>
      <c r="D332" s="111"/>
      <c r="E332" s="115"/>
      <c r="F332" s="108"/>
      <c r="G332" s="98"/>
      <c r="H332" s="116"/>
      <c r="I332" s="111"/>
      <c r="J332" s="115"/>
      <c r="K332" s="108"/>
      <c r="L332" s="98"/>
      <c r="M332" s="116"/>
      <c r="N332" s="111"/>
      <c r="O332" s="115"/>
      <c r="P332" s="108"/>
      <c r="Q332" s="98"/>
      <c r="R332" s="116"/>
      <c r="S332" s="83"/>
      <c r="T332" s="83"/>
      <c r="U332" s="83"/>
      <c r="V332" s="83"/>
      <c r="W332" s="83"/>
      <c r="X332" s="83"/>
      <c r="Y332" s="83"/>
      <c r="Z332" s="83"/>
    </row>
    <row r="333" ht="15.75" customHeight="1">
      <c r="A333" s="118"/>
      <c r="B333" s="118"/>
      <c r="C333" s="94"/>
      <c r="D333" s="111"/>
      <c r="E333" s="115"/>
      <c r="F333" s="108"/>
      <c r="G333" s="98"/>
      <c r="H333" s="116"/>
      <c r="I333" s="111"/>
      <c r="J333" s="115"/>
      <c r="K333" s="108"/>
      <c r="L333" s="98"/>
      <c r="M333" s="116"/>
      <c r="N333" s="111"/>
      <c r="O333" s="115"/>
      <c r="P333" s="108"/>
      <c r="Q333" s="98"/>
      <c r="R333" s="116"/>
      <c r="S333" s="83"/>
      <c r="T333" s="83"/>
      <c r="U333" s="83"/>
      <c r="V333" s="83"/>
      <c r="W333" s="83"/>
      <c r="X333" s="83"/>
      <c r="Y333" s="83"/>
      <c r="Z333" s="83"/>
    </row>
    <row r="334" ht="15.75" customHeight="1">
      <c r="A334" s="118"/>
      <c r="B334" s="118"/>
      <c r="C334" s="94"/>
      <c r="D334" s="111"/>
      <c r="E334" s="115"/>
      <c r="F334" s="108"/>
      <c r="G334" s="98"/>
      <c r="H334" s="116"/>
      <c r="I334" s="111"/>
      <c r="J334" s="115"/>
      <c r="K334" s="108"/>
      <c r="L334" s="98"/>
      <c r="M334" s="116"/>
      <c r="N334" s="111"/>
      <c r="O334" s="115"/>
      <c r="P334" s="108"/>
      <c r="Q334" s="98"/>
      <c r="R334" s="116"/>
      <c r="S334" s="83"/>
      <c r="T334" s="83"/>
      <c r="U334" s="83"/>
      <c r="V334" s="83"/>
      <c r="W334" s="83"/>
      <c r="X334" s="83"/>
      <c r="Y334" s="83"/>
      <c r="Z334" s="83"/>
    </row>
    <row r="335" ht="15.75" customHeight="1">
      <c r="A335" s="118"/>
      <c r="B335" s="118"/>
      <c r="C335" s="94"/>
      <c r="D335" s="111"/>
      <c r="E335" s="115"/>
      <c r="F335" s="108"/>
      <c r="G335" s="98"/>
      <c r="H335" s="116"/>
      <c r="I335" s="111"/>
      <c r="J335" s="115"/>
      <c r="K335" s="108"/>
      <c r="L335" s="98"/>
      <c r="M335" s="116"/>
      <c r="N335" s="111"/>
      <c r="O335" s="115"/>
      <c r="P335" s="108"/>
      <c r="Q335" s="98"/>
      <c r="R335" s="116"/>
      <c r="S335" s="83"/>
      <c r="T335" s="83"/>
      <c r="U335" s="83"/>
      <c r="V335" s="83"/>
      <c r="W335" s="83"/>
      <c r="X335" s="83"/>
      <c r="Y335" s="83"/>
      <c r="Z335" s="83"/>
    </row>
    <row r="336" ht="15.75" customHeight="1">
      <c r="A336" s="118"/>
      <c r="B336" s="118"/>
      <c r="C336" s="94"/>
      <c r="D336" s="111"/>
      <c r="E336" s="115"/>
      <c r="F336" s="108"/>
      <c r="G336" s="98"/>
      <c r="H336" s="116"/>
      <c r="I336" s="111"/>
      <c r="J336" s="115"/>
      <c r="K336" s="108"/>
      <c r="L336" s="98"/>
      <c r="M336" s="116"/>
      <c r="N336" s="111"/>
      <c r="O336" s="115"/>
      <c r="P336" s="108"/>
      <c r="Q336" s="98"/>
      <c r="R336" s="116"/>
      <c r="S336" s="83"/>
      <c r="T336" s="83"/>
      <c r="U336" s="83"/>
      <c r="V336" s="83"/>
      <c r="W336" s="83"/>
      <c r="X336" s="83"/>
      <c r="Y336" s="83"/>
      <c r="Z336" s="83"/>
    </row>
    <row r="337" ht="15.75" customHeight="1">
      <c r="A337" s="118"/>
      <c r="B337" s="118"/>
      <c r="C337" s="94"/>
      <c r="D337" s="111"/>
      <c r="E337" s="115"/>
      <c r="F337" s="108"/>
      <c r="G337" s="98"/>
      <c r="H337" s="116"/>
      <c r="I337" s="111"/>
      <c r="J337" s="115"/>
      <c r="K337" s="108"/>
      <c r="L337" s="98"/>
      <c r="M337" s="116"/>
      <c r="N337" s="111"/>
      <c r="O337" s="115"/>
      <c r="P337" s="108"/>
      <c r="Q337" s="98"/>
      <c r="R337" s="116"/>
      <c r="S337" s="83"/>
      <c r="T337" s="83"/>
      <c r="U337" s="83"/>
      <c r="V337" s="83"/>
      <c r="W337" s="83"/>
      <c r="X337" s="83"/>
      <c r="Y337" s="83"/>
      <c r="Z337" s="83"/>
    </row>
    <row r="338" ht="15.75" customHeight="1">
      <c r="A338" s="118"/>
      <c r="B338" s="118"/>
      <c r="C338" s="94"/>
      <c r="D338" s="111"/>
      <c r="E338" s="115"/>
      <c r="F338" s="108"/>
      <c r="G338" s="98"/>
      <c r="H338" s="116"/>
      <c r="I338" s="111"/>
      <c r="J338" s="115"/>
      <c r="K338" s="108"/>
      <c r="L338" s="98"/>
      <c r="M338" s="116"/>
      <c r="N338" s="111"/>
      <c r="O338" s="115"/>
      <c r="P338" s="108"/>
      <c r="Q338" s="98"/>
      <c r="R338" s="116"/>
      <c r="S338" s="83"/>
      <c r="T338" s="83"/>
      <c r="U338" s="83"/>
      <c r="V338" s="83"/>
      <c r="W338" s="83"/>
      <c r="X338" s="83"/>
      <c r="Y338" s="83"/>
      <c r="Z338" s="83"/>
    </row>
    <row r="339" ht="15.75" customHeight="1">
      <c r="A339" s="118"/>
      <c r="B339" s="118"/>
      <c r="C339" s="94"/>
      <c r="D339" s="111"/>
      <c r="E339" s="115"/>
      <c r="F339" s="108"/>
      <c r="G339" s="98"/>
      <c r="H339" s="116"/>
      <c r="I339" s="111"/>
      <c r="J339" s="115"/>
      <c r="K339" s="108"/>
      <c r="L339" s="98"/>
      <c r="M339" s="116"/>
      <c r="N339" s="111"/>
      <c r="O339" s="115"/>
      <c r="P339" s="108"/>
      <c r="Q339" s="98"/>
      <c r="R339" s="116"/>
      <c r="S339" s="83"/>
      <c r="T339" s="83"/>
      <c r="U339" s="83"/>
      <c r="V339" s="83"/>
      <c r="W339" s="83"/>
      <c r="X339" s="83"/>
      <c r="Y339" s="83"/>
      <c r="Z339" s="83"/>
    </row>
    <row r="340" ht="15.75" customHeight="1">
      <c r="A340" s="118"/>
      <c r="B340" s="118"/>
      <c r="C340" s="94"/>
      <c r="D340" s="111"/>
      <c r="E340" s="115"/>
      <c r="F340" s="108"/>
      <c r="G340" s="98"/>
      <c r="H340" s="116"/>
      <c r="I340" s="111"/>
      <c r="J340" s="115"/>
      <c r="K340" s="108"/>
      <c r="L340" s="98"/>
      <c r="M340" s="116"/>
      <c r="N340" s="111"/>
      <c r="O340" s="115"/>
      <c r="P340" s="108"/>
      <c r="Q340" s="98"/>
      <c r="R340" s="116"/>
      <c r="S340" s="83"/>
      <c r="T340" s="83"/>
      <c r="U340" s="83"/>
      <c r="V340" s="83"/>
      <c r="W340" s="83"/>
      <c r="X340" s="83"/>
      <c r="Y340" s="83"/>
      <c r="Z340" s="83"/>
    </row>
    <row r="341" ht="15.75" customHeight="1">
      <c r="A341" s="118"/>
      <c r="B341" s="118"/>
      <c r="C341" s="94"/>
      <c r="D341" s="111"/>
      <c r="E341" s="115"/>
      <c r="F341" s="108"/>
      <c r="G341" s="98"/>
      <c r="H341" s="116"/>
      <c r="I341" s="111"/>
      <c r="J341" s="115"/>
      <c r="K341" s="108"/>
      <c r="L341" s="98"/>
      <c r="M341" s="116"/>
      <c r="N341" s="111"/>
      <c r="O341" s="115"/>
      <c r="P341" s="108"/>
      <c r="Q341" s="98"/>
      <c r="R341" s="116"/>
      <c r="S341" s="83"/>
      <c r="T341" s="83"/>
      <c r="U341" s="83"/>
      <c r="V341" s="83"/>
      <c r="W341" s="83"/>
      <c r="X341" s="83"/>
      <c r="Y341" s="83"/>
      <c r="Z341" s="83"/>
    </row>
    <row r="342" ht="15.75" customHeight="1">
      <c r="A342" s="118"/>
      <c r="B342" s="118"/>
      <c r="C342" s="94"/>
      <c r="D342" s="111"/>
      <c r="E342" s="115"/>
      <c r="F342" s="108"/>
      <c r="G342" s="98"/>
      <c r="H342" s="116"/>
      <c r="I342" s="111"/>
      <c r="J342" s="115"/>
      <c r="K342" s="108"/>
      <c r="L342" s="98"/>
      <c r="M342" s="116"/>
      <c r="N342" s="111"/>
      <c r="O342" s="115"/>
      <c r="P342" s="108"/>
      <c r="Q342" s="98"/>
      <c r="R342" s="116"/>
      <c r="S342" s="83"/>
      <c r="T342" s="83"/>
      <c r="U342" s="83"/>
      <c r="V342" s="83"/>
      <c r="W342" s="83"/>
      <c r="X342" s="83"/>
      <c r="Y342" s="83"/>
      <c r="Z342" s="83"/>
    </row>
    <row r="343" ht="15.75" customHeight="1">
      <c r="A343" s="118"/>
      <c r="B343" s="118"/>
      <c r="C343" s="94"/>
      <c r="D343" s="111"/>
      <c r="E343" s="115"/>
      <c r="F343" s="108"/>
      <c r="G343" s="98"/>
      <c r="H343" s="116"/>
      <c r="I343" s="111"/>
      <c r="J343" s="115"/>
      <c r="K343" s="108"/>
      <c r="L343" s="98"/>
      <c r="M343" s="116"/>
      <c r="N343" s="111"/>
      <c r="O343" s="115"/>
      <c r="P343" s="108"/>
      <c r="Q343" s="98"/>
      <c r="R343" s="116"/>
      <c r="S343" s="83"/>
      <c r="T343" s="83"/>
      <c r="U343" s="83"/>
      <c r="V343" s="83"/>
      <c r="W343" s="83"/>
      <c r="X343" s="83"/>
      <c r="Y343" s="83"/>
      <c r="Z343" s="83"/>
    </row>
    <row r="344" ht="15.75" customHeight="1">
      <c r="A344" s="118"/>
      <c r="B344" s="118"/>
      <c r="C344" s="94"/>
      <c r="D344" s="111"/>
      <c r="E344" s="115"/>
      <c r="F344" s="108"/>
      <c r="G344" s="98"/>
      <c r="H344" s="116"/>
      <c r="I344" s="111"/>
      <c r="J344" s="115"/>
      <c r="K344" s="108"/>
      <c r="L344" s="98"/>
      <c r="M344" s="116"/>
      <c r="N344" s="111"/>
      <c r="O344" s="115"/>
      <c r="P344" s="108"/>
      <c r="Q344" s="98"/>
      <c r="R344" s="116"/>
      <c r="S344" s="83"/>
      <c r="T344" s="83"/>
      <c r="U344" s="83"/>
      <c r="V344" s="83"/>
      <c r="W344" s="83"/>
      <c r="X344" s="83"/>
      <c r="Y344" s="83"/>
      <c r="Z344" s="83"/>
    </row>
    <row r="345" ht="15.75" customHeight="1">
      <c r="A345" s="118"/>
      <c r="B345" s="118"/>
      <c r="C345" s="94"/>
      <c r="D345" s="111"/>
      <c r="E345" s="115"/>
      <c r="F345" s="108"/>
      <c r="G345" s="98"/>
      <c r="H345" s="116"/>
      <c r="I345" s="111"/>
      <c r="J345" s="115"/>
      <c r="K345" s="108"/>
      <c r="L345" s="98"/>
      <c r="M345" s="116"/>
      <c r="N345" s="111"/>
      <c r="O345" s="115"/>
      <c r="P345" s="108"/>
      <c r="Q345" s="98"/>
      <c r="R345" s="116"/>
      <c r="S345" s="83"/>
      <c r="T345" s="83"/>
      <c r="U345" s="83"/>
      <c r="V345" s="83"/>
      <c r="W345" s="83"/>
      <c r="X345" s="83"/>
      <c r="Y345" s="83"/>
      <c r="Z345" s="83"/>
    </row>
    <row r="346" ht="15.75" customHeight="1">
      <c r="A346" s="118"/>
      <c r="B346" s="118"/>
      <c r="C346" s="94"/>
      <c r="D346" s="111"/>
      <c r="E346" s="115"/>
      <c r="F346" s="108"/>
      <c r="G346" s="98"/>
      <c r="H346" s="116"/>
      <c r="I346" s="111"/>
      <c r="J346" s="115"/>
      <c r="K346" s="108"/>
      <c r="L346" s="98"/>
      <c r="M346" s="116"/>
      <c r="N346" s="111"/>
      <c r="O346" s="115"/>
      <c r="P346" s="108"/>
      <c r="Q346" s="98"/>
      <c r="R346" s="116"/>
      <c r="S346" s="83"/>
      <c r="T346" s="83"/>
      <c r="U346" s="83"/>
      <c r="V346" s="83"/>
      <c r="W346" s="83"/>
      <c r="X346" s="83"/>
      <c r="Y346" s="83"/>
      <c r="Z346" s="83"/>
    </row>
    <row r="347" ht="15.75" customHeight="1">
      <c r="A347" s="118"/>
      <c r="B347" s="118"/>
      <c r="C347" s="94"/>
      <c r="D347" s="111"/>
      <c r="E347" s="115"/>
      <c r="F347" s="108"/>
      <c r="G347" s="98"/>
      <c r="H347" s="116"/>
      <c r="I347" s="111"/>
      <c r="J347" s="115"/>
      <c r="K347" s="108"/>
      <c r="L347" s="98"/>
      <c r="M347" s="116"/>
      <c r="N347" s="111"/>
      <c r="O347" s="115"/>
      <c r="P347" s="108"/>
      <c r="Q347" s="98"/>
      <c r="R347" s="116"/>
      <c r="S347" s="83"/>
      <c r="T347" s="83"/>
      <c r="U347" s="83"/>
      <c r="V347" s="83"/>
      <c r="W347" s="83"/>
      <c r="X347" s="83"/>
      <c r="Y347" s="83"/>
      <c r="Z347" s="83"/>
    </row>
    <row r="348" ht="15.75" customHeight="1">
      <c r="A348" s="118"/>
      <c r="B348" s="118"/>
      <c r="C348" s="94"/>
      <c r="D348" s="111"/>
      <c r="E348" s="115"/>
      <c r="F348" s="108"/>
      <c r="G348" s="98"/>
      <c r="H348" s="116"/>
      <c r="I348" s="111"/>
      <c r="J348" s="115"/>
      <c r="K348" s="108"/>
      <c r="L348" s="98"/>
      <c r="M348" s="116"/>
      <c r="N348" s="111"/>
      <c r="O348" s="115"/>
      <c r="P348" s="108"/>
      <c r="Q348" s="98"/>
      <c r="R348" s="116"/>
      <c r="S348" s="83"/>
      <c r="T348" s="83"/>
      <c r="U348" s="83"/>
      <c r="V348" s="83"/>
      <c r="W348" s="83"/>
      <c r="X348" s="83"/>
      <c r="Y348" s="83"/>
      <c r="Z348" s="83"/>
    </row>
    <row r="349" ht="15.75" customHeight="1">
      <c r="A349" s="118"/>
      <c r="B349" s="118"/>
      <c r="C349" s="94"/>
      <c r="D349" s="111"/>
      <c r="E349" s="115"/>
      <c r="F349" s="108"/>
      <c r="G349" s="98"/>
      <c r="H349" s="116"/>
      <c r="I349" s="111"/>
      <c r="J349" s="115"/>
      <c r="K349" s="108"/>
      <c r="L349" s="98"/>
      <c r="M349" s="116"/>
      <c r="N349" s="111"/>
      <c r="O349" s="115"/>
      <c r="P349" s="108"/>
      <c r="Q349" s="98"/>
      <c r="R349" s="116"/>
      <c r="S349" s="83"/>
      <c r="T349" s="83"/>
      <c r="U349" s="83"/>
      <c r="V349" s="83"/>
      <c r="W349" s="83"/>
      <c r="X349" s="83"/>
      <c r="Y349" s="83"/>
      <c r="Z349" s="83"/>
    </row>
    <row r="350" ht="15.75" customHeight="1">
      <c r="A350" s="118"/>
      <c r="B350" s="118"/>
      <c r="C350" s="94"/>
      <c r="D350" s="111"/>
      <c r="E350" s="115"/>
      <c r="F350" s="108"/>
      <c r="G350" s="98"/>
      <c r="H350" s="116"/>
      <c r="I350" s="111"/>
      <c r="J350" s="115"/>
      <c r="K350" s="108"/>
      <c r="L350" s="98"/>
      <c r="M350" s="116"/>
      <c r="N350" s="111"/>
      <c r="O350" s="115"/>
      <c r="P350" s="108"/>
      <c r="Q350" s="98"/>
      <c r="R350" s="116"/>
      <c r="S350" s="83"/>
      <c r="T350" s="83"/>
      <c r="U350" s="83"/>
      <c r="V350" s="83"/>
      <c r="W350" s="83"/>
      <c r="X350" s="83"/>
      <c r="Y350" s="83"/>
      <c r="Z350" s="83"/>
    </row>
    <row r="351" ht="15.75" customHeight="1">
      <c r="A351" s="118"/>
      <c r="B351" s="118"/>
      <c r="C351" s="94"/>
      <c r="D351" s="111"/>
      <c r="E351" s="115"/>
      <c r="F351" s="108"/>
      <c r="G351" s="98"/>
      <c r="H351" s="116"/>
      <c r="I351" s="111"/>
      <c r="J351" s="115"/>
      <c r="K351" s="108"/>
      <c r="L351" s="98"/>
      <c r="M351" s="116"/>
      <c r="N351" s="111"/>
      <c r="O351" s="115"/>
      <c r="P351" s="108"/>
      <c r="Q351" s="98"/>
      <c r="R351" s="116"/>
      <c r="S351" s="83"/>
      <c r="T351" s="83"/>
      <c r="U351" s="83"/>
      <c r="V351" s="83"/>
      <c r="W351" s="83"/>
      <c r="X351" s="83"/>
      <c r="Y351" s="83"/>
      <c r="Z351" s="83"/>
    </row>
    <row r="352" ht="15.75" customHeight="1">
      <c r="A352" s="118"/>
      <c r="B352" s="118"/>
      <c r="C352" s="94"/>
      <c r="D352" s="111"/>
      <c r="E352" s="115"/>
      <c r="F352" s="108"/>
      <c r="G352" s="98"/>
      <c r="H352" s="116"/>
      <c r="I352" s="111"/>
      <c r="J352" s="115"/>
      <c r="K352" s="108"/>
      <c r="L352" s="98"/>
      <c r="M352" s="116"/>
      <c r="N352" s="111"/>
      <c r="O352" s="115"/>
      <c r="P352" s="108"/>
      <c r="Q352" s="98"/>
      <c r="R352" s="116"/>
      <c r="S352" s="83"/>
      <c r="T352" s="83"/>
      <c r="U352" s="83"/>
      <c r="V352" s="83"/>
      <c r="W352" s="83"/>
      <c r="X352" s="83"/>
      <c r="Y352" s="83"/>
      <c r="Z352" s="83"/>
    </row>
    <row r="353" ht="15.75" customHeight="1">
      <c r="A353" s="118"/>
      <c r="B353" s="118"/>
      <c r="C353" s="94"/>
      <c r="D353" s="111"/>
      <c r="E353" s="115"/>
      <c r="F353" s="108"/>
      <c r="G353" s="98"/>
      <c r="H353" s="116"/>
      <c r="I353" s="111"/>
      <c r="J353" s="115"/>
      <c r="K353" s="108"/>
      <c r="L353" s="98"/>
      <c r="M353" s="116"/>
      <c r="N353" s="111"/>
      <c r="O353" s="115"/>
      <c r="P353" s="108"/>
      <c r="Q353" s="98"/>
      <c r="R353" s="116"/>
      <c r="S353" s="83"/>
      <c r="T353" s="83"/>
      <c r="U353" s="83"/>
      <c r="V353" s="83"/>
      <c r="W353" s="83"/>
      <c r="X353" s="83"/>
      <c r="Y353" s="83"/>
      <c r="Z353" s="83"/>
    </row>
    <row r="354" ht="15.75" customHeight="1">
      <c r="A354" s="118"/>
      <c r="B354" s="118"/>
      <c r="C354" s="94"/>
      <c r="D354" s="111"/>
      <c r="E354" s="115"/>
      <c r="F354" s="108"/>
      <c r="G354" s="98"/>
      <c r="H354" s="116"/>
      <c r="I354" s="111"/>
      <c r="J354" s="115"/>
      <c r="K354" s="108"/>
      <c r="L354" s="98"/>
      <c r="M354" s="116"/>
      <c r="N354" s="111"/>
      <c r="O354" s="115"/>
      <c r="P354" s="108"/>
      <c r="Q354" s="98"/>
      <c r="R354" s="116"/>
      <c r="S354" s="83"/>
      <c r="T354" s="83"/>
      <c r="U354" s="83"/>
      <c r="V354" s="83"/>
      <c r="W354" s="83"/>
      <c r="X354" s="83"/>
      <c r="Y354" s="83"/>
      <c r="Z354" s="83"/>
    </row>
    <row r="355" ht="15.75" customHeight="1">
      <c r="A355" s="118"/>
      <c r="B355" s="118"/>
      <c r="C355" s="94"/>
      <c r="D355" s="111"/>
      <c r="E355" s="115"/>
      <c r="F355" s="108"/>
      <c r="G355" s="98"/>
      <c r="H355" s="116"/>
      <c r="I355" s="111"/>
      <c r="J355" s="115"/>
      <c r="K355" s="108"/>
      <c r="L355" s="98"/>
      <c r="M355" s="116"/>
      <c r="N355" s="111"/>
      <c r="O355" s="115"/>
      <c r="P355" s="108"/>
      <c r="Q355" s="98"/>
      <c r="R355" s="116"/>
      <c r="S355" s="83"/>
      <c r="T355" s="83"/>
      <c r="U355" s="83"/>
      <c r="V355" s="83"/>
      <c r="W355" s="83"/>
      <c r="X355" s="83"/>
      <c r="Y355" s="83"/>
      <c r="Z355" s="83"/>
    </row>
    <row r="356" ht="15.75" customHeight="1">
      <c r="A356" s="118"/>
      <c r="B356" s="118"/>
      <c r="C356" s="94"/>
      <c r="D356" s="111"/>
      <c r="E356" s="115"/>
      <c r="F356" s="108"/>
      <c r="G356" s="98"/>
      <c r="H356" s="116"/>
      <c r="I356" s="111"/>
      <c r="J356" s="115"/>
      <c r="K356" s="108"/>
      <c r="L356" s="98"/>
      <c r="M356" s="116"/>
      <c r="N356" s="111"/>
      <c r="O356" s="115"/>
      <c r="P356" s="108"/>
      <c r="Q356" s="98"/>
      <c r="R356" s="116"/>
      <c r="S356" s="83"/>
      <c r="T356" s="83"/>
      <c r="U356" s="83"/>
      <c r="V356" s="83"/>
      <c r="W356" s="83"/>
      <c r="X356" s="83"/>
      <c r="Y356" s="83"/>
      <c r="Z356" s="83"/>
    </row>
    <row r="357" ht="15.75" customHeight="1">
      <c r="A357" s="118"/>
      <c r="B357" s="118"/>
      <c r="C357" s="94"/>
      <c r="D357" s="111"/>
      <c r="E357" s="115"/>
      <c r="F357" s="108"/>
      <c r="G357" s="98"/>
      <c r="H357" s="116"/>
      <c r="I357" s="111"/>
      <c r="J357" s="115"/>
      <c r="K357" s="108"/>
      <c r="L357" s="98"/>
      <c r="M357" s="116"/>
      <c r="N357" s="111"/>
      <c r="O357" s="115"/>
      <c r="P357" s="108"/>
      <c r="Q357" s="98"/>
      <c r="R357" s="116"/>
      <c r="S357" s="83"/>
      <c r="T357" s="83"/>
      <c r="U357" s="83"/>
      <c r="V357" s="83"/>
      <c r="W357" s="83"/>
      <c r="X357" s="83"/>
      <c r="Y357" s="83"/>
      <c r="Z357" s="83"/>
    </row>
    <row r="358" ht="15.75" customHeight="1">
      <c r="A358" s="118"/>
      <c r="B358" s="118"/>
      <c r="C358" s="94"/>
      <c r="D358" s="111"/>
      <c r="E358" s="115"/>
      <c r="F358" s="108"/>
      <c r="G358" s="98"/>
      <c r="H358" s="116"/>
      <c r="I358" s="111"/>
      <c r="J358" s="115"/>
      <c r="K358" s="108"/>
      <c r="L358" s="98"/>
      <c r="M358" s="116"/>
      <c r="N358" s="111"/>
      <c r="O358" s="115"/>
      <c r="P358" s="108"/>
      <c r="Q358" s="98"/>
      <c r="R358" s="116"/>
      <c r="S358" s="83"/>
      <c r="T358" s="83"/>
      <c r="U358" s="83"/>
      <c r="V358" s="83"/>
      <c r="W358" s="83"/>
      <c r="X358" s="83"/>
      <c r="Y358" s="83"/>
      <c r="Z358" s="83"/>
    </row>
    <row r="359" ht="15.75" customHeight="1">
      <c r="A359" s="118"/>
      <c r="B359" s="118"/>
      <c r="C359" s="94"/>
      <c r="D359" s="111"/>
      <c r="E359" s="115"/>
      <c r="F359" s="108"/>
      <c r="G359" s="98"/>
      <c r="H359" s="116"/>
      <c r="I359" s="111"/>
      <c r="J359" s="115"/>
      <c r="K359" s="108"/>
      <c r="L359" s="98"/>
      <c r="M359" s="116"/>
      <c r="N359" s="111"/>
      <c r="O359" s="115"/>
      <c r="P359" s="108"/>
      <c r="Q359" s="98"/>
      <c r="R359" s="116"/>
      <c r="S359" s="83"/>
      <c r="T359" s="83"/>
      <c r="U359" s="83"/>
      <c r="V359" s="83"/>
      <c r="W359" s="83"/>
      <c r="X359" s="83"/>
      <c r="Y359" s="83"/>
      <c r="Z359" s="83"/>
    </row>
    <row r="360" ht="15.75" customHeight="1">
      <c r="A360" s="118"/>
      <c r="B360" s="118"/>
      <c r="C360" s="94"/>
      <c r="D360" s="111"/>
      <c r="E360" s="115"/>
      <c r="F360" s="108"/>
      <c r="G360" s="98"/>
      <c r="H360" s="116"/>
      <c r="I360" s="111"/>
      <c r="J360" s="115"/>
      <c r="K360" s="108"/>
      <c r="L360" s="98"/>
      <c r="M360" s="116"/>
      <c r="N360" s="111"/>
      <c r="O360" s="115"/>
      <c r="P360" s="108"/>
      <c r="Q360" s="98"/>
      <c r="R360" s="116"/>
      <c r="S360" s="83"/>
      <c r="T360" s="83"/>
      <c r="U360" s="83"/>
      <c r="V360" s="83"/>
      <c r="W360" s="83"/>
      <c r="X360" s="83"/>
      <c r="Y360" s="83"/>
      <c r="Z360" s="83"/>
    </row>
    <row r="361" ht="15.75" customHeight="1">
      <c r="A361" s="118"/>
      <c r="B361" s="118"/>
      <c r="C361" s="94"/>
      <c r="D361" s="111"/>
      <c r="E361" s="115"/>
      <c r="F361" s="108"/>
      <c r="G361" s="98"/>
      <c r="H361" s="116"/>
      <c r="I361" s="111"/>
      <c r="J361" s="115"/>
      <c r="K361" s="108"/>
      <c r="L361" s="98"/>
      <c r="M361" s="116"/>
      <c r="N361" s="111"/>
      <c r="O361" s="115"/>
      <c r="P361" s="108"/>
      <c r="Q361" s="98"/>
      <c r="R361" s="116"/>
      <c r="S361" s="83"/>
      <c r="T361" s="83"/>
      <c r="U361" s="83"/>
      <c r="V361" s="83"/>
      <c r="W361" s="83"/>
      <c r="X361" s="83"/>
      <c r="Y361" s="83"/>
      <c r="Z361" s="83"/>
    </row>
    <row r="362" ht="15.75" customHeight="1">
      <c r="A362" s="118"/>
      <c r="B362" s="118"/>
      <c r="C362" s="94"/>
      <c r="D362" s="111"/>
      <c r="E362" s="115"/>
      <c r="F362" s="108"/>
      <c r="G362" s="98"/>
      <c r="H362" s="116"/>
      <c r="I362" s="111"/>
      <c r="J362" s="115"/>
      <c r="K362" s="108"/>
      <c r="L362" s="98"/>
      <c r="M362" s="116"/>
      <c r="N362" s="111"/>
      <c r="O362" s="115"/>
      <c r="P362" s="108"/>
      <c r="Q362" s="98"/>
      <c r="R362" s="116"/>
      <c r="S362" s="83"/>
      <c r="T362" s="83"/>
      <c r="U362" s="83"/>
      <c r="V362" s="83"/>
      <c r="W362" s="83"/>
      <c r="X362" s="83"/>
      <c r="Y362" s="83"/>
      <c r="Z362" s="83"/>
    </row>
    <row r="363" ht="15.75" customHeight="1">
      <c r="A363" s="118"/>
      <c r="B363" s="118"/>
      <c r="C363" s="94"/>
      <c r="D363" s="111"/>
      <c r="E363" s="115"/>
      <c r="F363" s="108"/>
      <c r="G363" s="98"/>
      <c r="H363" s="116"/>
      <c r="I363" s="111"/>
      <c r="J363" s="115"/>
      <c r="K363" s="108"/>
      <c r="L363" s="98"/>
      <c r="M363" s="116"/>
      <c r="N363" s="111"/>
      <c r="O363" s="115"/>
      <c r="P363" s="108"/>
      <c r="Q363" s="98"/>
      <c r="R363" s="116"/>
      <c r="S363" s="83"/>
      <c r="T363" s="83"/>
      <c r="U363" s="83"/>
      <c r="V363" s="83"/>
      <c r="W363" s="83"/>
      <c r="X363" s="83"/>
      <c r="Y363" s="83"/>
      <c r="Z363" s="83"/>
    </row>
    <row r="364" ht="15.75" customHeight="1">
      <c r="A364" s="118"/>
      <c r="B364" s="118"/>
      <c r="C364" s="94"/>
      <c r="D364" s="111"/>
      <c r="E364" s="115"/>
      <c r="F364" s="108"/>
      <c r="G364" s="98"/>
      <c r="H364" s="116"/>
      <c r="I364" s="111"/>
      <c r="J364" s="115"/>
      <c r="K364" s="108"/>
      <c r="L364" s="98"/>
      <c r="M364" s="116"/>
      <c r="N364" s="111"/>
      <c r="O364" s="115"/>
      <c r="P364" s="108"/>
      <c r="Q364" s="98"/>
      <c r="R364" s="116"/>
      <c r="S364" s="83"/>
      <c r="T364" s="83"/>
      <c r="U364" s="83"/>
      <c r="V364" s="83"/>
      <c r="W364" s="83"/>
      <c r="X364" s="83"/>
      <c r="Y364" s="83"/>
      <c r="Z364" s="83"/>
    </row>
    <row r="365" ht="15.75" customHeight="1">
      <c r="A365" s="118"/>
      <c r="B365" s="118"/>
      <c r="C365" s="94"/>
      <c r="D365" s="111"/>
      <c r="E365" s="115"/>
      <c r="F365" s="108"/>
      <c r="G365" s="98"/>
      <c r="H365" s="116"/>
      <c r="I365" s="111"/>
      <c r="J365" s="115"/>
      <c r="K365" s="108"/>
      <c r="L365" s="98"/>
      <c r="M365" s="116"/>
      <c r="N365" s="111"/>
      <c r="O365" s="115"/>
      <c r="P365" s="108"/>
      <c r="Q365" s="98"/>
      <c r="R365" s="116"/>
      <c r="S365" s="83"/>
      <c r="T365" s="83"/>
      <c r="U365" s="83"/>
      <c r="V365" s="83"/>
      <c r="W365" s="83"/>
      <c r="X365" s="83"/>
      <c r="Y365" s="83"/>
      <c r="Z365" s="83"/>
    </row>
    <row r="366" ht="15.75" customHeight="1">
      <c r="A366" s="118"/>
      <c r="B366" s="118"/>
      <c r="C366" s="94"/>
      <c r="D366" s="111"/>
      <c r="E366" s="115"/>
      <c r="F366" s="108"/>
      <c r="G366" s="98"/>
      <c r="H366" s="116"/>
      <c r="I366" s="111"/>
      <c r="J366" s="115"/>
      <c r="K366" s="108"/>
      <c r="L366" s="98"/>
      <c r="M366" s="116"/>
      <c r="N366" s="111"/>
      <c r="O366" s="115"/>
      <c r="P366" s="108"/>
      <c r="Q366" s="98"/>
      <c r="R366" s="116"/>
      <c r="S366" s="83"/>
      <c r="T366" s="83"/>
      <c r="U366" s="83"/>
      <c r="V366" s="83"/>
      <c r="W366" s="83"/>
      <c r="X366" s="83"/>
      <c r="Y366" s="83"/>
      <c r="Z366" s="83"/>
    </row>
    <row r="367" ht="15.75" customHeight="1">
      <c r="A367" s="118"/>
      <c r="B367" s="118"/>
      <c r="C367" s="94"/>
      <c r="D367" s="111"/>
      <c r="E367" s="115"/>
      <c r="F367" s="108"/>
      <c r="G367" s="98"/>
      <c r="H367" s="116"/>
      <c r="I367" s="111"/>
      <c r="J367" s="115"/>
      <c r="K367" s="108"/>
      <c r="L367" s="98"/>
      <c r="M367" s="116"/>
      <c r="N367" s="111"/>
      <c r="O367" s="115"/>
      <c r="P367" s="108"/>
      <c r="Q367" s="98"/>
      <c r="R367" s="116"/>
      <c r="S367" s="83"/>
      <c r="T367" s="83"/>
      <c r="U367" s="83"/>
      <c r="V367" s="83"/>
      <c r="W367" s="83"/>
      <c r="X367" s="83"/>
      <c r="Y367" s="83"/>
      <c r="Z367" s="83"/>
    </row>
    <row r="368" ht="15.75" customHeight="1">
      <c r="A368" s="118"/>
      <c r="B368" s="118"/>
      <c r="C368" s="94"/>
      <c r="D368" s="111"/>
      <c r="E368" s="115"/>
      <c r="F368" s="108"/>
      <c r="G368" s="98"/>
      <c r="H368" s="116"/>
      <c r="I368" s="111"/>
      <c r="J368" s="115"/>
      <c r="K368" s="108"/>
      <c r="L368" s="98"/>
      <c r="M368" s="116"/>
      <c r="N368" s="111"/>
      <c r="O368" s="115"/>
      <c r="P368" s="108"/>
      <c r="Q368" s="98"/>
      <c r="R368" s="116"/>
      <c r="S368" s="83"/>
      <c r="T368" s="83"/>
      <c r="U368" s="83"/>
      <c r="V368" s="83"/>
      <c r="W368" s="83"/>
      <c r="X368" s="83"/>
      <c r="Y368" s="83"/>
      <c r="Z368" s="83"/>
    </row>
    <row r="369" ht="15.75" customHeight="1">
      <c r="A369" s="118"/>
      <c r="B369" s="118"/>
      <c r="C369" s="94"/>
      <c r="D369" s="111"/>
      <c r="E369" s="115"/>
      <c r="F369" s="108"/>
      <c r="G369" s="98"/>
      <c r="H369" s="116"/>
      <c r="I369" s="111"/>
      <c r="J369" s="115"/>
      <c r="K369" s="108"/>
      <c r="L369" s="98"/>
      <c r="M369" s="116"/>
      <c r="N369" s="111"/>
      <c r="O369" s="115"/>
      <c r="P369" s="108"/>
      <c r="Q369" s="98"/>
      <c r="R369" s="116"/>
      <c r="S369" s="83"/>
      <c r="T369" s="83"/>
      <c r="U369" s="83"/>
      <c r="V369" s="83"/>
      <c r="W369" s="83"/>
      <c r="X369" s="83"/>
      <c r="Y369" s="83"/>
      <c r="Z369" s="83"/>
    </row>
    <row r="370" ht="15.75" customHeight="1">
      <c r="A370" s="118"/>
      <c r="B370" s="118"/>
      <c r="C370" s="94"/>
      <c r="D370" s="111"/>
      <c r="E370" s="115"/>
      <c r="F370" s="108"/>
      <c r="G370" s="98"/>
      <c r="H370" s="116"/>
      <c r="I370" s="111"/>
      <c r="J370" s="115"/>
      <c r="K370" s="108"/>
      <c r="L370" s="98"/>
      <c r="M370" s="116"/>
      <c r="N370" s="111"/>
      <c r="O370" s="115"/>
      <c r="P370" s="108"/>
      <c r="Q370" s="98"/>
      <c r="R370" s="116"/>
      <c r="S370" s="83"/>
      <c r="T370" s="83"/>
      <c r="U370" s="83"/>
      <c r="V370" s="83"/>
      <c r="W370" s="83"/>
      <c r="X370" s="83"/>
      <c r="Y370" s="83"/>
      <c r="Z370" s="83"/>
    </row>
    <row r="371" ht="15.75" customHeight="1">
      <c r="A371" s="118"/>
      <c r="B371" s="118"/>
      <c r="C371" s="94"/>
      <c r="D371" s="111"/>
      <c r="E371" s="115"/>
      <c r="F371" s="108"/>
      <c r="G371" s="98"/>
      <c r="H371" s="116"/>
      <c r="I371" s="111"/>
      <c r="J371" s="115"/>
      <c r="K371" s="108"/>
      <c r="L371" s="98"/>
      <c r="M371" s="116"/>
      <c r="N371" s="111"/>
      <c r="O371" s="115"/>
      <c r="P371" s="108"/>
      <c r="Q371" s="98"/>
      <c r="R371" s="116"/>
      <c r="S371" s="83"/>
      <c r="T371" s="83"/>
      <c r="U371" s="83"/>
      <c r="V371" s="83"/>
      <c r="W371" s="83"/>
      <c r="X371" s="83"/>
      <c r="Y371" s="83"/>
      <c r="Z371" s="83"/>
    </row>
    <row r="372" ht="15.75" customHeight="1">
      <c r="A372" s="118"/>
      <c r="B372" s="118"/>
      <c r="C372" s="94"/>
      <c r="D372" s="111"/>
      <c r="E372" s="115"/>
      <c r="F372" s="108"/>
      <c r="G372" s="98"/>
      <c r="H372" s="116"/>
      <c r="I372" s="111"/>
      <c r="J372" s="115"/>
      <c r="K372" s="108"/>
      <c r="L372" s="98"/>
      <c r="M372" s="116"/>
      <c r="N372" s="111"/>
      <c r="O372" s="115"/>
      <c r="P372" s="108"/>
      <c r="Q372" s="98"/>
      <c r="R372" s="116"/>
      <c r="S372" s="83"/>
      <c r="T372" s="83"/>
      <c r="U372" s="83"/>
      <c r="V372" s="83"/>
      <c r="W372" s="83"/>
      <c r="X372" s="83"/>
      <c r="Y372" s="83"/>
      <c r="Z372" s="83"/>
    </row>
    <row r="373" ht="15.75" customHeight="1">
      <c r="A373" s="118"/>
      <c r="B373" s="118"/>
      <c r="C373" s="94"/>
      <c r="D373" s="111"/>
      <c r="E373" s="115"/>
      <c r="F373" s="108"/>
      <c r="G373" s="98"/>
      <c r="H373" s="116"/>
      <c r="I373" s="111"/>
      <c r="J373" s="115"/>
      <c r="K373" s="108"/>
      <c r="L373" s="98"/>
      <c r="M373" s="116"/>
      <c r="N373" s="111"/>
      <c r="O373" s="115"/>
      <c r="P373" s="108"/>
      <c r="Q373" s="98"/>
      <c r="R373" s="116"/>
      <c r="S373" s="83"/>
      <c r="T373" s="83"/>
      <c r="U373" s="83"/>
      <c r="V373" s="83"/>
      <c r="W373" s="83"/>
      <c r="X373" s="83"/>
      <c r="Y373" s="83"/>
      <c r="Z373" s="83"/>
    </row>
    <row r="374" ht="15.75" customHeight="1">
      <c r="A374" s="118"/>
      <c r="B374" s="118"/>
      <c r="C374" s="94"/>
      <c r="D374" s="111"/>
      <c r="E374" s="115"/>
      <c r="F374" s="108"/>
      <c r="G374" s="98"/>
      <c r="H374" s="116"/>
      <c r="I374" s="111"/>
      <c r="J374" s="115"/>
      <c r="K374" s="108"/>
      <c r="L374" s="98"/>
      <c r="M374" s="116"/>
      <c r="N374" s="111"/>
      <c r="O374" s="115"/>
      <c r="P374" s="108"/>
      <c r="Q374" s="98"/>
      <c r="R374" s="116"/>
      <c r="S374" s="83"/>
      <c r="T374" s="83"/>
      <c r="U374" s="83"/>
      <c r="V374" s="83"/>
      <c r="W374" s="83"/>
      <c r="X374" s="83"/>
      <c r="Y374" s="83"/>
      <c r="Z374" s="83"/>
    </row>
    <row r="375" ht="15.75" customHeight="1">
      <c r="A375" s="118"/>
      <c r="B375" s="118"/>
      <c r="C375" s="94"/>
      <c r="D375" s="111"/>
      <c r="E375" s="115"/>
      <c r="F375" s="108"/>
      <c r="G375" s="98"/>
      <c r="H375" s="116"/>
      <c r="I375" s="111"/>
      <c r="J375" s="115"/>
      <c r="K375" s="108"/>
      <c r="L375" s="98"/>
      <c r="M375" s="116"/>
      <c r="N375" s="111"/>
      <c r="O375" s="115"/>
      <c r="P375" s="108"/>
      <c r="Q375" s="98"/>
      <c r="R375" s="116"/>
      <c r="S375" s="83"/>
      <c r="T375" s="83"/>
      <c r="U375" s="83"/>
      <c r="V375" s="83"/>
      <c r="W375" s="83"/>
      <c r="X375" s="83"/>
      <c r="Y375" s="83"/>
      <c r="Z375" s="83"/>
    </row>
    <row r="376" ht="15.75" customHeight="1">
      <c r="A376" s="118"/>
      <c r="B376" s="118"/>
      <c r="C376" s="94"/>
      <c r="D376" s="111"/>
      <c r="E376" s="115"/>
      <c r="F376" s="108"/>
      <c r="G376" s="98"/>
      <c r="H376" s="116"/>
      <c r="I376" s="111"/>
      <c r="J376" s="115"/>
      <c r="K376" s="108"/>
      <c r="L376" s="98"/>
      <c r="M376" s="116"/>
      <c r="N376" s="111"/>
      <c r="O376" s="115"/>
      <c r="P376" s="108"/>
      <c r="Q376" s="98"/>
      <c r="R376" s="116"/>
      <c r="S376" s="83"/>
      <c r="T376" s="83"/>
      <c r="U376" s="83"/>
      <c r="V376" s="83"/>
      <c r="W376" s="83"/>
      <c r="X376" s="83"/>
      <c r="Y376" s="83"/>
      <c r="Z376" s="83"/>
    </row>
    <row r="377" ht="15.75" customHeight="1">
      <c r="A377" s="118"/>
      <c r="B377" s="118"/>
      <c r="C377" s="94"/>
      <c r="D377" s="111"/>
      <c r="E377" s="115"/>
      <c r="F377" s="108"/>
      <c r="G377" s="98"/>
      <c r="H377" s="116"/>
      <c r="I377" s="111"/>
      <c r="J377" s="115"/>
      <c r="K377" s="108"/>
      <c r="L377" s="98"/>
      <c r="M377" s="116"/>
      <c r="N377" s="111"/>
      <c r="O377" s="115"/>
      <c r="P377" s="108"/>
      <c r="Q377" s="98"/>
      <c r="R377" s="116"/>
      <c r="S377" s="83"/>
      <c r="T377" s="83"/>
      <c r="U377" s="83"/>
      <c r="V377" s="83"/>
      <c r="W377" s="83"/>
      <c r="X377" s="83"/>
      <c r="Y377" s="83"/>
      <c r="Z377" s="83"/>
    </row>
    <row r="378" ht="15.75" customHeight="1">
      <c r="A378" s="118"/>
      <c r="B378" s="118"/>
      <c r="C378" s="94"/>
      <c r="D378" s="111"/>
      <c r="E378" s="115"/>
      <c r="F378" s="108"/>
      <c r="G378" s="98"/>
      <c r="H378" s="116"/>
      <c r="I378" s="111"/>
      <c r="J378" s="115"/>
      <c r="K378" s="108"/>
      <c r="L378" s="98"/>
      <c r="M378" s="116"/>
      <c r="N378" s="111"/>
      <c r="O378" s="115"/>
      <c r="P378" s="108"/>
      <c r="Q378" s="98"/>
      <c r="R378" s="116"/>
      <c r="S378" s="83"/>
      <c r="T378" s="83"/>
      <c r="U378" s="83"/>
      <c r="V378" s="83"/>
      <c r="W378" s="83"/>
      <c r="X378" s="83"/>
      <c r="Y378" s="83"/>
      <c r="Z378" s="83"/>
    </row>
    <row r="379" ht="15.75" customHeight="1">
      <c r="A379" s="118"/>
      <c r="B379" s="118"/>
      <c r="C379" s="94"/>
      <c r="D379" s="111"/>
      <c r="E379" s="115"/>
      <c r="F379" s="108"/>
      <c r="G379" s="98"/>
      <c r="H379" s="116"/>
      <c r="I379" s="111"/>
      <c r="J379" s="115"/>
      <c r="K379" s="108"/>
      <c r="L379" s="98"/>
      <c r="M379" s="116"/>
      <c r="N379" s="111"/>
      <c r="O379" s="115"/>
      <c r="P379" s="108"/>
      <c r="Q379" s="98"/>
      <c r="R379" s="116"/>
      <c r="S379" s="83"/>
      <c r="T379" s="83"/>
      <c r="U379" s="83"/>
      <c r="V379" s="83"/>
      <c r="W379" s="83"/>
      <c r="X379" s="83"/>
      <c r="Y379" s="83"/>
      <c r="Z379" s="83"/>
    </row>
    <row r="380" ht="15.75" customHeight="1">
      <c r="A380" s="118"/>
      <c r="B380" s="118"/>
      <c r="C380" s="94"/>
      <c r="D380" s="111"/>
      <c r="E380" s="115"/>
      <c r="F380" s="108"/>
      <c r="G380" s="98"/>
      <c r="H380" s="116"/>
      <c r="I380" s="111"/>
      <c r="J380" s="115"/>
      <c r="K380" s="108"/>
      <c r="L380" s="98"/>
      <c r="M380" s="116"/>
      <c r="N380" s="111"/>
      <c r="O380" s="115"/>
      <c r="P380" s="108"/>
      <c r="Q380" s="98"/>
      <c r="R380" s="116"/>
      <c r="S380" s="83"/>
      <c r="T380" s="83"/>
      <c r="U380" s="83"/>
      <c r="V380" s="83"/>
      <c r="W380" s="83"/>
      <c r="X380" s="83"/>
      <c r="Y380" s="83"/>
      <c r="Z380" s="83"/>
    </row>
    <row r="381" ht="15.75" customHeight="1">
      <c r="A381" s="118"/>
      <c r="B381" s="118"/>
      <c r="C381" s="94"/>
      <c r="D381" s="111"/>
      <c r="E381" s="115"/>
      <c r="F381" s="108"/>
      <c r="G381" s="98"/>
      <c r="H381" s="116"/>
      <c r="I381" s="111"/>
      <c r="J381" s="115"/>
      <c r="K381" s="108"/>
      <c r="L381" s="98"/>
      <c r="M381" s="116"/>
      <c r="N381" s="111"/>
      <c r="O381" s="115"/>
      <c r="P381" s="108"/>
      <c r="Q381" s="98"/>
      <c r="R381" s="116"/>
      <c r="S381" s="83"/>
      <c r="T381" s="83"/>
      <c r="U381" s="83"/>
      <c r="V381" s="83"/>
      <c r="W381" s="83"/>
      <c r="X381" s="83"/>
      <c r="Y381" s="83"/>
      <c r="Z381" s="83"/>
    </row>
    <row r="382" ht="15.75" customHeight="1">
      <c r="A382" s="118"/>
      <c r="B382" s="118"/>
      <c r="C382" s="94"/>
      <c r="D382" s="111"/>
      <c r="E382" s="115"/>
      <c r="F382" s="108"/>
      <c r="G382" s="98"/>
      <c r="H382" s="116"/>
      <c r="I382" s="111"/>
      <c r="J382" s="115"/>
      <c r="K382" s="108"/>
      <c r="L382" s="98"/>
      <c r="M382" s="116"/>
      <c r="N382" s="111"/>
      <c r="O382" s="115"/>
      <c r="P382" s="108"/>
      <c r="Q382" s="98"/>
      <c r="R382" s="116"/>
      <c r="S382" s="83"/>
      <c r="T382" s="83"/>
      <c r="U382" s="83"/>
      <c r="V382" s="83"/>
      <c r="W382" s="83"/>
      <c r="X382" s="83"/>
      <c r="Y382" s="83"/>
      <c r="Z382" s="83"/>
    </row>
    <row r="383" ht="15.75" customHeight="1">
      <c r="A383" s="118"/>
      <c r="B383" s="118"/>
      <c r="C383" s="94"/>
      <c r="D383" s="111"/>
      <c r="E383" s="115"/>
      <c r="F383" s="108"/>
      <c r="G383" s="98"/>
      <c r="H383" s="116"/>
      <c r="I383" s="111"/>
      <c r="J383" s="115"/>
      <c r="K383" s="108"/>
      <c r="L383" s="98"/>
      <c r="M383" s="116"/>
      <c r="N383" s="111"/>
      <c r="O383" s="115"/>
      <c r="P383" s="108"/>
      <c r="Q383" s="98"/>
      <c r="R383" s="116"/>
      <c r="S383" s="83"/>
      <c r="T383" s="83"/>
      <c r="U383" s="83"/>
      <c r="V383" s="83"/>
      <c r="W383" s="83"/>
      <c r="X383" s="83"/>
      <c r="Y383" s="83"/>
      <c r="Z383" s="83"/>
    </row>
    <row r="384" ht="15.75" customHeight="1">
      <c r="A384" s="118"/>
      <c r="B384" s="118"/>
      <c r="C384" s="94"/>
      <c r="D384" s="111"/>
      <c r="E384" s="115"/>
      <c r="F384" s="108"/>
      <c r="G384" s="98"/>
      <c r="H384" s="116"/>
      <c r="I384" s="111"/>
      <c r="J384" s="115"/>
      <c r="K384" s="108"/>
      <c r="L384" s="98"/>
      <c r="M384" s="116"/>
      <c r="N384" s="111"/>
      <c r="O384" s="115"/>
      <c r="P384" s="108"/>
      <c r="Q384" s="98"/>
      <c r="R384" s="116"/>
      <c r="S384" s="83"/>
      <c r="T384" s="83"/>
      <c r="U384" s="83"/>
      <c r="V384" s="83"/>
      <c r="W384" s="83"/>
      <c r="X384" s="83"/>
      <c r="Y384" s="83"/>
      <c r="Z384" s="83"/>
    </row>
    <row r="385" ht="15.75" customHeight="1">
      <c r="A385" s="118"/>
      <c r="B385" s="118"/>
      <c r="C385" s="94"/>
      <c r="D385" s="111"/>
      <c r="E385" s="115"/>
      <c r="F385" s="108"/>
      <c r="G385" s="98"/>
      <c r="H385" s="116"/>
      <c r="I385" s="111"/>
      <c r="J385" s="115"/>
      <c r="K385" s="108"/>
      <c r="L385" s="98"/>
      <c r="M385" s="116"/>
      <c r="N385" s="111"/>
      <c r="O385" s="115"/>
      <c r="P385" s="108"/>
      <c r="Q385" s="98"/>
      <c r="R385" s="116"/>
      <c r="S385" s="83"/>
      <c r="T385" s="83"/>
      <c r="U385" s="83"/>
      <c r="V385" s="83"/>
      <c r="W385" s="83"/>
      <c r="X385" s="83"/>
      <c r="Y385" s="83"/>
      <c r="Z385" s="83"/>
    </row>
    <row r="386" ht="15.75" customHeight="1">
      <c r="A386" s="118"/>
      <c r="B386" s="118"/>
      <c r="C386" s="94"/>
      <c r="D386" s="111"/>
      <c r="E386" s="115"/>
      <c r="F386" s="108"/>
      <c r="G386" s="98"/>
      <c r="H386" s="116"/>
      <c r="I386" s="111"/>
      <c r="J386" s="115"/>
      <c r="K386" s="108"/>
      <c r="L386" s="98"/>
      <c r="M386" s="116"/>
      <c r="N386" s="111"/>
      <c r="O386" s="115"/>
      <c r="P386" s="108"/>
      <c r="Q386" s="98"/>
      <c r="R386" s="116"/>
      <c r="S386" s="83"/>
      <c r="T386" s="83"/>
      <c r="U386" s="83"/>
      <c r="V386" s="83"/>
      <c r="W386" s="83"/>
      <c r="X386" s="83"/>
      <c r="Y386" s="83"/>
      <c r="Z386" s="83"/>
    </row>
    <row r="387" ht="15.75" customHeight="1">
      <c r="A387" s="118"/>
      <c r="B387" s="118"/>
      <c r="C387" s="94"/>
      <c r="D387" s="111"/>
      <c r="E387" s="115"/>
      <c r="F387" s="108"/>
      <c r="G387" s="98"/>
      <c r="H387" s="116"/>
      <c r="I387" s="111"/>
      <c r="J387" s="115"/>
      <c r="K387" s="108"/>
      <c r="L387" s="98"/>
      <c r="M387" s="116"/>
      <c r="N387" s="111"/>
      <c r="O387" s="115"/>
      <c r="P387" s="108"/>
      <c r="Q387" s="98"/>
      <c r="R387" s="116"/>
      <c r="S387" s="83"/>
      <c r="T387" s="83"/>
      <c r="U387" s="83"/>
      <c r="V387" s="83"/>
      <c r="W387" s="83"/>
      <c r="X387" s="83"/>
      <c r="Y387" s="83"/>
      <c r="Z387" s="83"/>
    </row>
    <row r="388" ht="15.75" customHeight="1">
      <c r="A388" s="118"/>
      <c r="B388" s="118"/>
      <c r="C388" s="94"/>
      <c r="D388" s="111"/>
      <c r="E388" s="115"/>
      <c r="F388" s="108"/>
      <c r="G388" s="98"/>
      <c r="H388" s="116"/>
      <c r="I388" s="111"/>
      <c r="J388" s="115"/>
      <c r="K388" s="108"/>
      <c r="L388" s="98"/>
      <c r="M388" s="116"/>
      <c r="N388" s="111"/>
      <c r="O388" s="115"/>
      <c r="P388" s="108"/>
      <c r="Q388" s="98"/>
      <c r="R388" s="116"/>
      <c r="S388" s="83"/>
      <c r="T388" s="83"/>
      <c r="U388" s="83"/>
      <c r="V388" s="83"/>
      <c r="W388" s="83"/>
      <c r="X388" s="83"/>
      <c r="Y388" s="83"/>
      <c r="Z388" s="83"/>
    </row>
    <row r="389" ht="15.75" customHeight="1">
      <c r="A389" s="118"/>
      <c r="B389" s="118"/>
      <c r="C389" s="94"/>
      <c r="D389" s="111"/>
      <c r="E389" s="115"/>
      <c r="F389" s="108"/>
      <c r="G389" s="98"/>
      <c r="H389" s="116"/>
      <c r="I389" s="111"/>
      <c r="J389" s="115"/>
      <c r="K389" s="108"/>
      <c r="L389" s="98"/>
      <c r="M389" s="116"/>
      <c r="N389" s="111"/>
      <c r="O389" s="115"/>
      <c r="P389" s="108"/>
      <c r="Q389" s="98"/>
      <c r="R389" s="116"/>
      <c r="S389" s="83"/>
      <c r="T389" s="83"/>
      <c r="U389" s="83"/>
      <c r="V389" s="83"/>
      <c r="W389" s="83"/>
      <c r="X389" s="83"/>
      <c r="Y389" s="83"/>
      <c r="Z389" s="83"/>
    </row>
    <row r="390" ht="15.75" customHeight="1">
      <c r="A390" s="118"/>
      <c r="B390" s="118"/>
      <c r="C390" s="94"/>
      <c r="D390" s="111"/>
      <c r="E390" s="115"/>
      <c r="F390" s="108"/>
      <c r="G390" s="98"/>
      <c r="H390" s="116"/>
      <c r="I390" s="111"/>
      <c r="J390" s="115"/>
      <c r="K390" s="108"/>
      <c r="L390" s="98"/>
      <c r="M390" s="116"/>
      <c r="N390" s="111"/>
      <c r="O390" s="115"/>
      <c r="P390" s="108"/>
      <c r="Q390" s="98"/>
      <c r="R390" s="116"/>
      <c r="S390" s="83"/>
      <c r="T390" s="83"/>
      <c r="U390" s="83"/>
      <c r="V390" s="83"/>
      <c r="W390" s="83"/>
      <c r="X390" s="83"/>
      <c r="Y390" s="83"/>
      <c r="Z390" s="83"/>
    </row>
    <row r="391" ht="15.75" customHeight="1">
      <c r="A391" s="118"/>
      <c r="B391" s="118"/>
      <c r="C391" s="94"/>
      <c r="D391" s="111"/>
      <c r="E391" s="115"/>
      <c r="F391" s="108"/>
      <c r="G391" s="98"/>
      <c r="H391" s="116"/>
      <c r="I391" s="111"/>
      <c r="J391" s="115"/>
      <c r="K391" s="108"/>
      <c r="L391" s="98"/>
      <c r="M391" s="116"/>
      <c r="N391" s="111"/>
      <c r="O391" s="115"/>
      <c r="P391" s="108"/>
      <c r="Q391" s="98"/>
      <c r="R391" s="116"/>
      <c r="S391" s="83"/>
      <c r="T391" s="83"/>
      <c r="U391" s="83"/>
      <c r="V391" s="83"/>
      <c r="W391" s="83"/>
      <c r="X391" s="83"/>
      <c r="Y391" s="83"/>
      <c r="Z391" s="83"/>
    </row>
    <row r="392" ht="15.75" customHeight="1">
      <c r="A392" s="118"/>
      <c r="B392" s="118"/>
      <c r="C392" s="94"/>
      <c r="D392" s="111"/>
      <c r="E392" s="115"/>
      <c r="F392" s="108"/>
      <c r="G392" s="98"/>
      <c r="H392" s="116"/>
      <c r="I392" s="111"/>
      <c r="J392" s="115"/>
      <c r="K392" s="108"/>
      <c r="L392" s="98"/>
      <c r="M392" s="116"/>
      <c r="N392" s="111"/>
      <c r="O392" s="115"/>
      <c r="P392" s="108"/>
      <c r="Q392" s="98"/>
      <c r="R392" s="116"/>
      <c r="S392" s="83"/>
      <c r="T392" s="83"/>
      <c r="U392" s="83"/>
      <c r="V392" s="83"/>
      <c r="W392" s="83"/>
      <c r="X392" s="83"/>
      <c r="Y392" s="83"/>
      <c r="Z392" s="83"/>
    </row>
    <row r="393" ht="15.75" customHeight="1">
      <c r="A393" s="118"/>
      <c r="B393" s="118"/>
      <c r="C393" s="94"/>
      <c r="D393" s="111"/>
      <c r="E393" s="115"/>
      <c r="F393" s="108"/>
      <c r="G393" s="98"/>
      <c r="H393" s="116"/>
      <c r="I393" s="111"/>
      <c r="J393" s="115"/>
      <c r="K393" s="108"/>
      <c r="L393" s="98"/>
      <c r="M393" s="116"/>
      <c r="N393" s="111"/>
      <c r="O393" s="115"/>
      <c r="P393" s="108"/>
      <c r="Q393" s="98"/>
      <c r="R393" s="116"/>
      <c r="S393" s="83"/>
      <c r="T393" s="83"/>
      <c r="U393" s="83"/>
      <c r="V393" s="83"/>
      <c r="W393" s="83"/>
      <c r="X393" s="83"/>
      <c r="Y393" s="83"/>
      <c r="Z393" s="83"/>
    </row>
    <row r="394" ht="15.75" customHeight="1">
      <c r="A394" s="118"/>
      <c r="B394" s="118"/>
      <c r="C394" s="94"/>
      <c r="D394" s="111"/>
      <c r="E394" s="115"/>
      <c r="F394" s="108"/>
      <c r="G394" s="98"/>
      <c r="H394" s="116"/>
      <c r="I394" s="111"/>
      <c r="J394" s="115"/>
      <c r="K394" s="108"/>
      <c r="L394" s="98"/>
      <c r="M394" s="116"/>
      <c r="N394" s="111"/>
      <c r="O394" s="115"/>
      <c r="P394" s="108"/>
      <c r="Q394" s="98"/>
      <c r="R394" s="116"/>
      <c r="S394" s="83"/>
      <c r="T394" s="83"/>
      <c r="U394" s="83"/>
      <c r="V394" s="83"/>
      <c r="W394" s="83"/>
      <c r="X394" s="83"/>
      <c r="Y394" s="83"/>
      <c r="Z394" s="83"/>
    </row>
    <row r="395" ht="15.75" customHeight="1">
      <c r="A395" s="118"/>
      <c r="B395" s="118"/>
      <c r="C395" s="94"/>
      <c r="D395" s="111"/>
      <c r="E395" s="115"/>
      <c r="F395" s="108"/>
      <c r="G395" s="98"/>
      <c r="H395" s="116"/>
      <c r="I395" s="111"/>
      <c r="J395" s="115"/>
      <c r="K395" s="108"/>
      <c r="L395" s="98"/>
      <c r="M395" s="116"/>
      <c r="N395" s="111"/>
      <c r="O395" s="115"/>
      <c r="P395" s="108"/>
      <c r="Q395" s="98"/>
      <c r="R395" s="116"/>
      <c r="S395" s="83"/>
      <c r="T395" s="83"/>
      <c r="U395" s="83"/>
      <c r="V395" s="83"/>
      <c r="W395" s="83"/>
      <c r="X395" s="83"/>
      <c r="Y395" s="83"/>
      <c r="Z395" s="83"/>
    </row>
    <row r="396" ht="15.75" customHeight="1">
      <c r="A396" s="118"/>
      <c r="B396" s="118"/>
      <c r="C396" s="94"/>
      <c r="D396" s="111"/>
      <c r="E396" s="115"/>
      <c r="F396" s="108"/>
      <c r="G396" s="98"/>
      <c r="H396" s="116"/>
      <c r="I396" s="111"/>
      <c r="J396" s="115"/>
      <c r="K396" s="108"/>
      <c r="L396" s="98"/>
      <c r="M396" s="116"/>
      <c r="N396" s="111"/>
      <c r="O396" s="115"/>
      <c r="P396" s="108"/>
      <c r="Q396" s="98"/>
      <c r="R396" s="116"/>
      <c r="S396" s="83"/>
      <c r="T396" s="83"/>
      <c r="U396" s="83"/>
      <c r="V396" s="83"/>
      <c r="W396" s="83"/>
      <c r="X396" s="83"/>
      <c r="Y396" s="83"/>
      <c r="Z396" s="83"/>
    </row>
    <row r="397" ht="15.75" customHeight="1">
      <c r="A397" s="118"/>
      <c r="B397" s="118"/>
      <c r="C397" s="94"/>
      <c r="D397" s="111"/>
      <c r="E397" s="115"/>
      <c r="F397" s="108"/>
      <c r="G397" s="98"/>
      <c r="H397" s="116"/>
      <c r="I397" s="111"/>
      <c r="J397" s="115"/>
      <c r="K397" s="108"/>
      <c r="L397" s="98"/>
      <c r="M397" s="116"/>
      <c r="N397" s="111"/>
      <c r="O397" s="115"/>
      <c r="P397" s="108"/>
      <c r="Q397" s="98"/>
      <c r="R397" s="116"/>
      <c r="S397" s="83"/>
      <c r="T397" s="83"/>
      <c r="U397" s="83"/>
      <c r="V397" s="83"/>
      <c r="W397" s="83"/>
      <c r="X397" s="83"/>
      <c r="Y397" s="83"/>
      <c r="Z397" s="83"/>
    </row>
    <row r="398" ht="15.75" customHeight="1">
      <c r="A398" s="118"/>
      <c r="B398" s="118"/>
      <c r="C398" s="94"/>
      <c r="D398" s="111"/>
      <c r="E398" s="115"/>
      <c r="F398" s="108"/>
      <c r="G398" s="98"/>
      <c r="H398" s="116"/>
      <c r="I398" s="111"/>
      <c r="J398" s="115"/>
      <c r="K398" s="108"/>
      <c r="L398" s="98"/>
      <c r="M398" s="116"/>
      <c r="N398" s="111"/>
      <c r="O398" s="115"/>
      <c r="P398" s="108"/>
      <c r="Q398" s="98"/>
      <c r="R398" s="116"/>
      <c r="S398" s="83"/>
      <c r="T398" s="83"/>
      <c r="U398" s="83"/>
      <c r="V398" s="83"/>
      <c r="W398" s="83"/>
      <c r="X398" s="83"/>
      <c r="Y398" s="83"/>
      <c r="Z398" s="83"/>
    </row>
    <row r="399" ht="15.75" customHeight="1">
      <c r="A399" s="118"/>
      <c r="B399" s="118"/>
      <c r="C399" s="94"/>
      <c r="D399" s="111"/>
      <c r="E399" s="115"/>
      <c r="F399" s="108"/>
      <c r="G399" s="98"/>
      <c r="H399" s="116"/>
      <c r="I399" s="111"/>
      <c r="J399" s="115"/>
      <c r="K399" s="108"/>
      <c r="L399" s="98"/>
      <c r="M399" s="116"/>
      <c r="N399" s="111"/>
      <c r="O399" s="115"/>
      <c r="P399" s="108"/>
      <c r="Q399" s="98"/>
      <c r="R399" s="116"/>
      <c r="S399" s="83"/>
      <c r="T399" s="83"/>
      <c r="U399" s="83"/>
      <c r="V399" s="83"/>
      <c r="W399" s="83"/>
      <c r="X399" s="83"/>
      <c r="Y399" s="83"/>
      <c r="Z399" s="83"/>
    </row>
    <row r="400" ht="15.75" customHeight="1">
      <c r="A400" s="118"/>
      <c r="B400" s="118"/>
      <c r="C400" s="94"/>
      <c r="D400" s="111"/>
      <c r="E400" s="115"/>
      <c r="F400" s="108"/>
      <c r="G400" s="98"/>
      <c r="H400" s="116"/>
      <c r="I400" s="111"/>
      <c r="J400" s="115"/>
      <c r="K400" s="108"/>
      <c r="L400" s="98"/>
      <c r="M400" s="116"/>
      <c r="N400" s="111"/>
      <c r="O400" s="115"/>
      <c r="P400" s="108"/>
      <c r="Q400" s="98"/>
      <c r="R400" s="116"/>
      <c r="S400" s="83"/>
      <c r="T400" s="83"/>
      <c r="U400" s="83"/>
      <c r="V400" s="83"/>
      <c r="W400" s="83"/>
      <c r="X400" s="83"/>
      <c r="Y400" s="83"/>
      <c r="Z400" s="83"/>
    </row>
    <row r="401" ht="15.75" customHeight="1">
      <c r="A401" s="118"/>
      <c r="B401" s="118"/>
      <c r="C401" s="94"/>
      <c r="D401" s="111"/>
      <c r="E401" s="115"/>
      <c r="F401" s="108"/>
      <c r="G401" s="98"/>
      <c r="H401" s="116"/>
      <c r="I401" s="111"/>
      <c r="J401" s="115"/>
      <c r="K401" s="108"/>
      <c r="L401" s="98"/>
      <c r="M401" s="116"/>
      <c r="N401" s="111"/>
      <c r="O401" s="115"/>
      <c r="P401" s="108"/>
      <c r="Q401" s="98"/>
      <c r="R401" s="116"/>
      <c r="S401" s="83"/>
      <c r="T401" s="83"/>
      <c r="U401" s="83"/>
      <c r="V401" s="83"/>
      <c r="W401" s="83"/>
      <c r="X401" s="83"/>
      <c r="Y401" s="83"/>
      <c r="Z401" s="83"/>
    </row>
    <row r="402" ht="15.75" customHeight="1">
      <c r="A402" s="118"/>
      <c r="B402" s="118"/>
      <c r="C402" s="94"/>
      <c r="D402" s="111"/>
      <c r="E402" s="115"/>
      <c r="F402" s="108"/>
      <c r="G402" s="98"/>
      <c r="H402" s="116"/>
      <c r="I402" s="111"/>
      <c r="J402" s="115"/>
      <c r="K402" s="108"/>
      <c r="L402" s="98"/>
      <c r="M402" s="116"/>
      <c r="N402" s="111"/>
      <c r="O402" s="115"/>
      <c r="P402" s="108"/>
      <c r="Q402" s="98"/>
      <c r="R402" s="116"/>
      <c r="S402" s="83"/>
      <c r="T402" s="83"/>
      <c r="U402" s="83"/>
      <c r="V402" s="83"/>
      <c r="W402" s="83"/>
      <c r="X402" s="83"/>
      <c r="Y402" s="83"/>
      <c r="Z402" s="83"/>
    </row>
    <row r="403" ht="15.75" customHeight="1">
      <c r="A403" s="118"/>
      <c r="B403" s="118"/>
      <c r="C403" s="94"/>
      <c r="D403" s="111"/>
      <c r="E403" s="115"/>
      <c r="F403" s="108"/>
      <c r="G403" s="98"/>
      <c r="H403" s="116"/>
      <c r="I403" s="111"/>
      <c r="J403" s="115"/>
      <c r="K403" s="108"/>
      <c r="L403" s="98"/>
      <c r="M403" s="116"/>
      <c r="N403" s="111"/>
      <c r="O403" s="115"/>
      <c r="P403" s="108"/>
      <c r="Q403" s="98"/>
      <c r="R403" s="116"/>
      <c r="S403" s="83"/>
      <c r="T403" s="83"/>
      <c r="U403" s="83"/>
      <c r="V403" s="83"/>
      <c r="W403" s="83"/>
      <c r="X403" s="83"/>
      <c r="Y403" s="83"/>
      <c r="Z403" s="83"/>
    </row>
    <row r="404" ht="15.75" customHeight="1">
      <c r="A404" s="118"/>
      <c r="B404" s="118"/>
      <c r="C404" s="94"/>
      <c r="D404" s="111"/>
      <c r="E404" s="115"/>
      <c r="F404" s="108"/>
      <c r="G404" s="98"/>
      <c r="H404" s="116"/>
      <c r="I404" s="111"/>
      <c r="J404" s="115"/>
      <c r="K404" s="108"/>
      <c r="L404" s="98"/>
      <c r="M404" s="116"/>
      <c r="N404" s="111"/>
      <c r="O404" s="115"/>
      <c r="P404" s="108"/>
      <c r="Q404" s="98"/>
      <c r="R404" s="116"/>
      <c r="S404" s="83"/>
      <c r="T404" s="83"/>
      <c r="U404" s="83"/>
      <c r="V404" s="83"/>
      <c r="W404" s="83"/>
      <c r="X404" s="83"/>
      <c r="Y404" s="83"/>
      <c r="Z404" s="83"/>
    </row>
    <row r="405" ht="15.75" customHeight="1">
      <c r="A405" s="118"/>
      <c r="B405" s="118"/>
      <c r="C405" s="94"/>
      <c r="D405" s="111"/>
      <c r="E405" s="115"/>
      <c r="F405" s="108"/>
      <c r="G405" s="98"/>
      <c r="H405" s="116"/>
      <c r="I405" s="111"/>
      <c r="J405" s="115"/>
      <c r="K405" s="108"/>
      <c r="L405" s="98"/>
      <c r="M405" s="116"/>
      <c r="N405" s="111"/>
      <c r="O405" s="115"/>
      <c r="P405" s="108"/>
      <c r="Q405" s="98"/>
      <c r="R405" s="116"/>
      <c r="S405" s="83"/>
      <c r="T405" s="83"/>
      <c r="U405" s="83"/>
      <c r="V405" s="83"/>
      <c r="W405" s="83"/>
      <c r="X405" s="83"/>
      <c r="Y405" s="83"/>
      <c r="Z405" s="83"/>
    </row>
    <row r="406" ht="15.75" customHeight="1">
      <c r="A406" s="118"/>
      <c r="B406" s="118"/>
      <c r="C406" s="94"/>
      <c r="D406" s="111"/>
      <c r="E406" s="115"/>
      <c r="F406" s="108"/>
      <c r="G406" s="98"/>
      <c r="H406" s="116"/>
      <c r="I406" s="111"/>
      <c r="J406" s="115"/>
      <c r="K406" s="108"/>
      <c r="L406" s="98"/>
      <c r="M406" s="116"/>
      <c r="N406" s="111"/>
      <c r="O406" s="115"/>
      <c r="P406" s="108"/>
      <c r="Q406" s="98"/>
      <c r="R406" s="116"/>
      <c r="S406" s="83"/>
      <c r="T406" s="83"/>
      <c r="U406" s="83"/>
      <c r="V406" s="83"/>
      <c r="W406" s="83"/>
      <c r="X406" s="83"/>
      <c r="Y406" s="83"/>
      <c r="Z406" s="83"/>
    </row>
    <row r="407" ht="15.75" customHeight="1">
      <c r="A407" s="118"/>
      <c r="B407" s="118"/>
      <c r="C407" s="94"/>
      <c r="D407" s="111"/>
      <c r="E407" s="115"/>
      <c r="F407" s="108"/>
      <c r="G407" s="98"/>
      <c r="H407" s="116"/>
      <c r="I407" s="111"/>
      <c r="J407" s="115"/>
      <c r="K407" s="108"/>
      <c r="L407" s="98"/>
      <c r="M407" s="116"/>
      <c r="N407" s="111"/>
      <c r="O407" s="115"/>
      <c r="P407" s="108"/>
      <c r="Q407" s="98"/>
      <c r="R407" s="116"/>
      <c r="S407" s="83"/>
      <c r="T407" s="83"/>
      <c r="U407" s="83"/>
      <c r="V407" s="83"/>
      <c r="W407" s="83"/>
      <c r="X407" s="83"/>
      <c r="Y407" s="83"/>
      <c r="Z407" s="83"/>
    </row>
    <row r="408" ht="15.75" customHeight="1">
      <c r="A408" s="118"/>
      <c r="B408" s="118"/>
      <c r="C408" s="94"/>
      <c r="D408" s="111"/>
      <c r="E408" s="115"/>
      <c r="F408" s="108"/>
      <c r="G408" s="98"/>
      <c r="H408" s="116"/>
      <c r="I408" s="111"/>
      <c r="J408" s="115"/>
      <c r="K408" s="108"/>
      <c r="L408" s="98"/>
      <c r="M408" s="116"/>
      <c r="N408" s="111"/>
      <c r="O408" s="115"/>
      <c r="P408" s="108"/>
      <c r="Q408" s="98"/>
      <c r="R408" s="116"/>
      <c r="S408" s="83"/>
      <c r="T408" s="83"/>
      <c r="U408" s="83"/>
      <c r="V408" s="83"/>
      <c r="W408" s="83"/>
      <c r="X408" s="83"/>
      <c r="Y408" s="83"/>
      <c r="Z408" s="83"/>
    </row>
    <row r="409" ht="15.75" customHeight="1">
      <c r="A409" s="118"/>
      <c r="B409" s="118"/>
      <c r="C409" s="94"/>
      <c r="D409" s="111"/>
      <c r="E409" s="115"/>
      <c r="F409" s="108"/>
      <c r="G409" s="98"/>
      <c r="H409" s="116"/>
      <c r="I409" s="111"/>
      <c r="J409" s="115"/>
      <c r="K409" s="108"/>
      <c r="L409" s="98"/>
      <c r="M409" s="116"/>
      <c r="N409" s="111"/>
      <c r="O409" s="115"/>
      <c r="P409" s="108"/>
      <c r="Q409" s="98"/>
      <c r="R409" s="116"/>
      <c r="S409" s="83"/>
      <c r="T409" s="83"/>
      <c r="U409" s="83"/>
      <c r="V409" s="83"/>
      <c r="W409" s="83"/>
      <c r="X409" s="83"/>
      <c r="Y409" s="83"/>
      <c r="Z409" s="83"/>
    </row>
    <row r="410" ht="15.75" customHeight="1">
      <c r="A410" s="118"/>
      <c r="B410" s="118"/>
      <c r="C410" s="94"/>
      <c r="D410" s="111"/>
      <c r="E410" s="115"/>
      <c r="F410" s="108"/>
      <c r="G410" s="98"/>
      <c r="H410" s="116"/>
      <c r="I410" s="111"/>
      <c r="J410" s="115"/>
      <c r="K410" s="108"/>
      <c r="L410" s="98"/>
      <c r="M410" s="116"/>
      <c r="N410" s="111"/>
      <c r="O410" s="115"/>
      <c r="P410" s="108"/>
      <c r="Q410" s="98"/>
      <c r="R410" s="116"/>
      <c r="S410" s="83"/>
      <c r="T410" s="83"/>
      <c r="U410" s="83"/>
      <c r="V410" s="83"/>
      <c r="W410" s="83"/>
      <c r="X410" s="83"/>
      <c r="Y410" s="83"/>
      <c r="Z410" s="83"/>
    </row>
    <row r="411" ht="15.75" customHeight="1">
      <c r="A411" s="118"/>
      <c r="B411" s="118"/>
      <c r="C411" s="94"/>
      <c r="D411" s="111"/>
      <c r="E411" s="115"/>
      <c r="F411" s="108"/>
      <c r="G411" s="98"/>
      <c r="H411" s="116"/>
      <c r="I411" s="111"/>
      <c r="J411" s="115"/>
      <c r="K411" s="108"/>
      <c r="L411" s="98"/>
      <c r="M411" s="116"/>
      <c r="N411" s="111"/>
      <c r="O411" s="115"/>
      <c r="P411" s="108"/>
      <c r="Q411" s="98"/>
      <c r="R411" s="116"/>
      <c r="S411" s="83"/>
      <c r="T411" s="83"/>
      <c r="U411" s="83"/>
      <c r="V411" s="83"/>
      <c r="W411" s="83"/>
      <c r="X411" s="83"/>
      <c r="Y411" s="83"/>
      <c r="Z411" s="83"/>
    </row>
    <row r="412" ht="15.75" customHeight="1">
      <c r="A412" s="118"/>
      <c r="B412" s="118"/>
      <c r="C412" s="94"/>
      <c r="D412" s="111"/>
      <c r="E412" s="115"/>
      <c r="F412" s="108"/>
      <c r="G412" s="98"/>
      <c r="H412" s="116"/>
      <c r="I412" s="111"/>
      <c r="J412" s="115"/>
      <c r="K412" s="108"/>
      <c r="L412" s="98"/>
      <c r="M412" s="116"/>
      <c r="N412" s="111"/>
      <c r="O412" s="115"/>
      <c r="P412" s="108"/>
      <c r="Q412" s="98"/>
      <c r="R412" s="116"/>
      <c r="S412" s="83"/>
      <c r="T412" s="83"/>
      <c r="U412" s="83"/>
      <c r="V412" s="83"/>
      <c r="W412" s="83"/>
      <c r="X412" s="83"/>
      <c r="Y412" s="83"/>
      <c r="Z412" s="83"/>
    </row>
    <row r="413" ht="15.75" customHeight="1">
      <c r="A413" s="118"/>
      <c r="B413" s="118"/>
      <c r="C413" s="94"/>
      <c r="D413" s="111"/>
      <c r="E413" s="115"/>
      <c r="F413" s="108"/>
      <c r="G413" s="98"/>
      <c r="H413" s="116"/>
      <c r="I413" s="111"/>
      <c r="J413" s="115"/>
      <c r="K413" s="108"/>
      <c r="L413" s="98"/>
      <c r="M413" s="116"/>
      <c r="N413" s="111"/>
      <c r="O413" s="115"/>
      <c r="P413" s="108"/>
      <c r="Q413" s="98"/>
      <c r="R413" s="116"/>
      <c r="S413" s="83"/>
      <c r="T413" s="83"/>
      <c r="U413" s="83"/>
      <c r="V413" s="83"/>
      <c r="W413" s="83"/>
      <c r="X413" s="83"/>
      <c r="Y413" s="83"/>
      <c r="Z413" s="83"/>
    </row>
    <row r="414" ht="15.75" customHeight="1">
      <c r="A414" s="118"/>
      <c r="B414" s="118"/>
      <c r="C414" s="94"/>
      <c r="D414" s="111"/>
      <c r="E414" s="115"/>
      <c r="F414" s="108"/>
      <c r="G414" s="98"/>
      <c r="H414" s="116"/>
      <c r="I414" s="111"/>
      <c r="J414" s="115"/>
      <c r="K414" s="108"/>
      <c r="L414" s="98"/>
      <c r="M414" s="116"/>
      <c r="N414" s="111"/>
      <c r="O414" s="115"/>
      <c r="P414" s="108"/>
      <c r="Q414" s="98"/>
      <c r="R414" s="116"/>
      <c r="S414" s="83"/>
      <c r="T414" s="83"/>
      <c r="U414" s="83"/>
      <c r="V414" s="83"/>
      <c r="W414" s="83"/>
      <c r="X414" s="83"/>
      <c r="Y414" s="83"/>
      <c r="Z414" s="83"/>
    </row>
    <row r="415" ht="15.75" customHeight="1">
      <c r="A415" s="118"/>
      <c r="B415" s="118"/>
      <c r="C415" s="94"/>
      <c r="D415" s="111"/>
      <c r="E415" s="115"/>
      <c r="F415" s="108"/>
      <c r="G415" s="98"/>
      <c r="H415" s="116"/>
      <c r="I415" s="111"/>
      <c r="J415" s="115"/>
      <c r="K415" s="108"/>
      <c r="L415" s="98"/>
      <c r="M415" s="116"/>
      <c r="N415" s="111"/>
      <c r="O415" s="115"/>
      <c r="P415" s="108"/>
      <c r="Q415" s="98"/>
      <c r="R415" s="116"/>
      <c r="S415" s="83"/>
      <c r="T415" s="83"/>
      <c r="U415" s="83"/>
      <c r="V415" s="83"/>
      <c r="W415" s="83"/>
      <c r="X415" s="83"/>
      <c r="Y415" s="83"/>
      <c r="Z415" s="83"/>
    </row>
    <row r="416" ht="15.75" customHeight="1">
      <c r="A416" s="118"/>
      <c r="B416" s="118"/>
      <c r="C416" s="94"/>
      <c r="D416" s="111"/>
      <c r="E416" s="115"/>
      <c r="F416" s="108"/>
      <c r="G416" s="98"/>
      <c r="H416" s="116"/>
      <c r="I416" s="111"/>
      <c r="J416" s="115"/>
      <c r="K416" s="108"/>
      <c r="L416" s="98"/>
      <c r="M416" s="116"/>
      <c r="N416" s="111"/>
      <c r="O416" s="115"/>
      <c r="P416" s="108"/>
      <c r="Q416" s="98"/>
      <c r="R416" s="116"/>
      <c r="S416" s="83"/>
      <c r="T416" s="83"/>
      <c r="U416" s="83"/>
      <c r="V416" s="83"/>
      <c r="W416" s="83"/>
      <c r="X416" s="83"/>
      <c r="Y416" s="83"/>
      <c r="Z416" s="83"/>
    </row>
    <row r="417" ht="15.75" customHeight="1">
      <c r="A417" s="118"/>
      <c r="B417" s="118"/>
      <c r="C417" s="94"/>
      <c r="D417" s="111"/>
      <c r="E417" s="115"/>
      <c r="F417" s="108"/>
      <c r="G417" s="98"/>
      <c r="H417" s="116"/>
      <c r="I417" s="111"/>
      <c r="J417" s="115"/>
      <c r="K417" s="108"/>
      <c r="L417" s="98"/>
      <c r="M417" s="116"/>
      <c r="N417" s="111"/>
      <c r="O417" s="115"/>
      <c r="P417" s="108"/>
      <c r="Q417" s="98"/>
      <c r="R417" s="116"/>
      <c r="S417" s="83"/>
      <c r="T417" s="83"/>
      <c r="U417" s="83"/>
      <c r="V417" s="83"/>
      <c r="W417" s="83"/>
      <c r="X417" s="83"/>
      <c r="Y417" s="83"/>
      <c r="Z417" s="83"/>
    </row>
    <row r="418" ht="15.75" customHeight="1">
      <c r="A418" s="118"/>
      <c r="B418" s="118"/>
      <c r="C418" s="94"/>
      <c r="D418" s="111"/>
      <c r="E418" s="115"/>
      <c r="F418" s="108"/>
      <c r="G418" s="98"/>
      <c r="H418" s="116"/>
      <c r="I418" s="111"/>
      <c r="J418" s="115"/>
      <c r="K418" s="108"/>
      <c r="L418" s="98"/>
      <c r="M418" s="116"/>
      <c r="N418" s="111"/>
      <c r="O418" s="115"/>
      <c r="P418" s="108"/>
      <c r="Q418" s="98"/>
      <c r="R418" s="116"/>
      <c r="S418" s="83"/>
      <c r="T418" s="83"/>
      <c r="U418" s="83"/>
      <c r="V418" s="83"/>
      <c r="W418" s="83"/>
      <c r="X418" s="83"/>
      <c r="Y418" s="83"/>
      <c r="Z418" s="83"/>
    </row>
    <row r="419" ht="15.75" customHeight="1">
      <c r="A419" s="118"/>
      <c r="B419" s="118"/>
      <c r="C419" s="94"/>
      <c r="D419" s="111"/>
      <c r="E419" s="115"/>
      <c r="F419" s="108"/>
      <c r="G419" s="98"/>
      <c r="H419" s="116"/>
      <c r="I419" s="111"/>
      <c r="J419" s="115"/>
      <c r="K419" s="108"/>
      <c r="L419" s="98"/>
      <c r="M419" s="116"/>
      <c r="N419" s="111"/>
      <c r="O419" s="115"/>
      <c r="P419" s="108"/>
      <c r="Q419" s="98"/>
      <c r="R419" s="116"/>
      <c r="S419" s="83"/>
      <c r="T419" s="83"/>
      <c r="U419" s="83"/>
      <c r="V419" s="83"/>
      <c r="W419" s="83"/>
      <c r="X419" s="83"/>
      <c r="Y419" s="83"/>
      <c r="Z419" s="83"/>
    </row>
    <row r="420" ht="15.75" customHeight="1">
      <c r="A420" s="118"/>
      <c r="B420" s="118"/>
      <c r="C420" s="94"/>
      <c r="D420" s="111"/>
      <c r="E420" s="115"/>
      <c r="F420" s="108"/>
      <c r="G420" s="98"/>
      <c r="H420" s="116"/>
      <c r="I420" s="111"/>
      <c r="J420" s="115"/>
      <c r="K420" s="108"/>
      <c r="L420" s="98"/>
      <c r="M420" s="116"/>
      <c r="N420" s="111"/>
      <c r="O420" s="115"/>
      <c r="P420" s="108"/>
      <c r="Q420" s="98"/>
      <c r="R420" s="116"/>
      <c r="S420" s="83"/>
      <c r="T420" s="83"/>
      <c r="U420" s="83"/>
      <c r="V420" s="83"/>
      <c r="W420" s="83"/>
      <c r="X420" s="83"/>
      <c r="Y420" s="83"/>
      <c r="Z420" s="83"/>
    </row>
    <row r="421" ht="15.75" customHeight="1">
      <c r="A421" s="118"/>
      <c r="B421" s="118"/>
      <c r="C421" s="94"/>
      <c r="D421" s="111"/>
      <c r="E421" s="115"/>
      <c r="F421" s="108"/>
      <c r="G421" s="98"/>
      <c r="H421" s="116"/>
      <c r="I421" s="111"/>
      <c r="J421" s="115"/>
      <c r="K421" s="108"/>
      <c r="L421" s="98"/>
      <c r="M421" s="116"/>
      <c r="N421" s="111"/>
      <c r="O421" s="115"/>
      <c r="P421" s="108"/>
      <c r="Q421" s="98"/>
      <c r="R421" s="116"/>
      <c r="S421" s="83"/>
      <c r="T421" s="83"/>
      <c r="U421" s="83"/>
      <c r="V421" s="83"/>
      <c r="W421" s="83"/>
      <c r="X421" s="83"/>
      <c r="Y421" s="83"/>
      <c r="Z421" s="83"/>
    </row>
    <row r="422" ht="15.75" customHeight="1">
      <c r="A422" s="118"/>
      <c r="B422" s="118"/>
      <c r="C422" s="94"/>
      <c r="D422" s="111"/>
      <c r="E422" s="115"/>
      <c r="F422" s="108"/>
      <c r="G422" s="98"/>
      <c r="H422" s="116"/>
      <c r="I422" s="111"/>
      <c r="J422" s="115"/>
      <c r="K422" s="108"/>
      <c r="L422" s="98"/>
      <c r="M422" s="116"/>
      <c r="N422" s="111"/>
      <c r="O422" s="115"/>
      <c r="P422" s="108"/>
      <c r="Q422" s="98"/>
      <c r="R422" s="116"/>
      <c r="S422" s="83"/>
      <c r="T422" s="83"/>
      <c r="U422" s="83"/>
      <c r="V422" s="83"/>
      <c r="W422" s="83"/>
      <c r="X422" s="83"/>
      <c r="Y422" s="83"/>
      <c r="Z422" s="83"/>
    </row>
    <row r="423" ht="15.75" customHeight="1">
      <c r="A423" s="118"/>
      <c r="B423" s="118"/>
      <c r="C423" s="94"/>
      <c r="D423" s="111"/>
      <c r="E423" s="115"/>
      <c r="F423" s="108"/>
      <c r="G423" s="98"/>
      <c r="H423" s="116"/>
      <c r="I423" s="111"/>
      <c r="J423" s="115"/>
      <c r="K423" s="108"/>
      <c r="L423" s="98"/>
      <c r="M423" s="116"/>
      <c r="N423" s="111"/>
      <c r="O423" s="115"/>
      <c r="P423" s="108"/>
      <c r="Q423" s="98"/>
      <c r="R423" s="116"/>
      <c r="S423" s="83"/>
      <c r="T423" s="83"/>
      <c r="U423" s="83"/>
      <c r="V423" s="83"/>
      <c r="W423" s="83"/>
      <c r="X423" s="83"/>
      <c r="Y423" s="83"/>
      <c r="Z423" s="83"/>
    </row>
    <row r="424" ht="15.75" customHeight="1">
      <c r="A424" s="118"/>
      <c r="B424" s="118"/>
      <c r="C424" s="94"/>
      <c r="D424" s="111"/>
      <c r="E424" s="115"/>
      <c r="F424" s="108"/>
      <c r="G424" s="98"/>
      <c r="H424" s="116"/>
      <c r="I424" s="111"/>
      <c r="J424" s="115"/>
      <c r="K424" s="108"/>
      <c r="L424" s="98"/>
      <c r="M424" s="116"/>
      <c r="N424" s="111"/>
      <c r="O424" s="115"/>
      <c r="P424" s="108"/>
      <c r="Q424" s="98"/>
      <c r="R424" s="116"/>
      <c r="S424" s="83"/>
      <c r="T424" s="83"/>
      <c r="U424" s="83"/>
      <c r="V424" s="83"/>
      <c r="W424" s="83"/>
      <c r="X424" s="83"/>
      <c r="Y424" s="83"/>
      <c r="Z424" s="83"/>
    </row>
    <row r="425" ht="15.75" customHeight="1">
      <c r="A425" s="118"/>
      <c r="B425" s="118"/>
      <c r="C425" s="94"/>
      <c r="D425" s="111"/>
      <c r="E425" s="115"/>
      <c r="F425" s="108"/>
      <c r="G425" s="98"/>
      <c r="H425" s="116"/>
      <c r="I425" s="111"/>
      <c r="J425" s="115"/>
      <c r="K425" s="108"/>
      <c r="L425" s="98"/>
      <c r="M425" s="116"/>
      <c r="N425" s="111"/>
      <c r="O425" s="115"/>
      <c r="P425" s="108"/>
      <c r="Q425" s="98"/>
      <c r="R425" s="116"/>
      <c r="S425" s="83"/>
      <c r="T425" s="83"/>
      <c r="U425" s="83"/>
      <c r="V425" s="83"/>
      <c r="W425" s="83"/>
      <c r="X425" s="83"/>
      <c r="Y425" s="83"/>
      <c r="Z425" s="83"/>
    </row>
    <row r="426" ht="15.75" customHeight="1">
      <c r="A426" s="118"/>
      <c r="B426" s="118"/>
      <c r="C426" s="94"/>
      <c r="D426" s="111"/>
      <c r="E426" s="115"/>
      <c r="F426" s="108"/>
      <c r="G426" s="98"/>
      <c r="H426" s="116"/>
      <c r="I426" s="111"/>
      <c r="J426" s="115"/>
      <c r="K426" s="108"/>
      <c r="L426" s="98"/>
      <c r="M426" s="116"/>
      <c r="N426" s="111"/>
      <c r="O426" s="115"/>
      <c r="P426" s="108"/>
      <c r="Q426" s="98"/>
      <c r="R426" s="116"/>
      <c r="S426" s="83"/>
      <c r="T426" s="83"/>
      <c r="U426" s="83"/>
      <c r="V426" s="83"/>
      <c r="W426" s="83"/>
      <c r="X426" s="83"/>
      <c r="Y426" s="83"/>
      <c r="Z426" s="83"/>
    </row>
    <row r="427" ht="15.75" customHeight="1">
      <c r="A427" s="118"/>
      <c r="B427" s="118"/>
      <c r="C427" s="94"/>
      <c r="D427" s="111"/>
      <c r="E427" s="115"/>
      <c r="F427" s="108"/>
      <c r="G427" s="98"/>
      <c r="H427" s="116"/>
      <c r="I427" s="111"/>
      <c r="J427" s="115"/>
      <c r="K427" s="108"/>
      <c r="L427" s="98"/>
      <c r="M427" s="116"/>
      <c r="N427" s="111"/>
      <c r="O427" s="115"/>
      <c r="P427" s="108"/>
      <c r="Q427" s="98"/>
      <c r="R427" s="116"/>
      <c r="S427" s="83"/>
      <c r="T427" s="83"/>
      <c r="U427" s="83"/>
      <c r="V427" s="83"/>
      <c r="W427" s="83"/>
      <c r="X427" s="83"/>
      <c r="Y427" s="83"/>
      <c r="Z427" s="83"/>
    </row>
    <row r="428" ht="15.75" customHeight="1">
      <c r="A428" s="118"/>
      <c r="B428" s="118"/>
      <c r="C428" s="94"/>
      <c r="D428" s="111"/>
      <c r="E428" s="115"/>
      <c r="F428" s="108"/>
      <c r="G428" s="98"/>
      <c r="H428" s="116"/>
      <c r="I428" s="111"/>
      <c r="J428" s="115"/>
      <c r="K428" s="108"/>
      <c r="L428" s="98"/>
      <c r="M428" s="116"/>
      <c r="N428" s="111"/>
      <c r="O428" s="115"/>
      <c r="P428" s="108"/>
      <c r="Q428" s="98"/>
      <c r="R428" s="116"/>
      <c r="S428" s="83"/>
      <c r="T428" s="83"/>
      <c r="U428" s="83"/>
      <c r="V428" s="83"/>
      <c r="W428" s="83"/>
      <c r="X428" s="83"/>
      <c r="Y428" s="83"/>
      <c r="Z428" s="83"/>
    </row>
    <row r="429" ht="15.75" customHeight="1">
      <c r="A429" s="118"/>
      <c r="B429" s="118"/>
      <c r="C429" s="94"/>
      <c r="D429" s="111"/>
      <c r="E429" s="115"/>
      <c r="F429" s="108"/>
      <c r="G429" s="98"/>
      <c r="H429" s="116"/>
      <c r="I429" s="111"/>
      <c r="J429" s="115"/>
      <c r="K429" s="108"/>
      <c r="L429" s="98"/>
      <c r="M429" s="116"/>
      <c r="N429" s="111"/>
      <c r="O429" s="115"/>
      <c r="P429" s="108"/>
      <c r="Q429" s="98"/>
      <c r="R429" s="116"/>
      <c r="S429" s="83"/>
      <c r="T429" s="83"/>
      <c r="U429" s="83"/>
      <c r="V429" s="83"/>
      <c r="W429" s="83"/>
      <c r="X429" s="83"/>
      <c r="Y429" s="83"/>
      <c r="Z429" s="83"/>
    </row>
    <row r="430" ht="15.75" customHeight="1">
      <c r="A430" s="118"/>
      <c r="B430" s="118"/>
      <c r="C430" s="94"/>
      <c r="D430" s="111"/>
      <c r="E430" s="115"/>
      <c r="F430" s="108"/>
      <c r="G430" s="98"/>
      <c r="H430" s="116"/>
      <c r="I430" s="111"/>
      <c r="J430" s="115"/>
      <c r="K430" s="108"/>
      <c r="L430" s="98"/>
      <c r="M430" s="116"/>
      <c r="N430" s="111"/>
      <c r="O430" s="115"/>
      <c r="P430" s="108"/>
      <c r="Q430" s="98"/>
      <c r="R430" s="116"/>
      <c r="S430" s="83"/>
      <c r="T430" s="83"/>
      <c r="U430" s="83"/>
      <c r="V430" s="83"/>
      <c r="W430" s="83"/>
      <c r="X430" s="83"/>
      <c r="Y430" s="83"/>
      <c r="Z430" s="83"/>
    </row>
    <row r="431" ht="15.75" customHeight="1">
      <c r="A431" s="118"/>
      <c r="B431" s="118"/>
      <c r="C431" s="94"/>
      <c r="D431" s="111"/>
      <c r="E431" s="115"/>
      <c r="F431" s="108"/>
      <c r="G431" s="98"/>
      <c r="H431" s="116"/>
      <c r="I431" s="111"/>
      <c r="J431" s="115"/>
      <c r="K431" s="108"/>
      <c r="L431" s="98"/>
      <c r="M431" s="116"/>
      <c r="N431" s="111"/>
      <c r="O431" s="115"/>
      <c r="P431" s="108"/>
      <c r="Q431" s="98"/>
      <c r="R431" s="116"/>
      <c r="S431" s="83"/>
      <c r="T431" s="83"/>
      <c r="U431" s="83"/>
      <c r="V431" s="83"/>
      <c r="W431" s="83"/>
      <c r="X431" s="83"/>
      <c r="Y431" s="83"/>
      <c r="Z431" s="83"/>
    </row>
    <row r="432" ht="15.75" customHeight="1">
      <c r="A432" s="118"/>
      <c r="B432" s="118"/>
      <c r="C432" s="94"/>
      <c r="D432" s="111"/>
      <c r="E432" s="115"/>
      <c r="F432" s="108"/>
      <c r="G432" s="98"/>
      <c r="H432" s="116"/>
      <c r="I432" s="111"/>
      <c r="J432" s="115"/>
      <c r="K432" s="108"/>
      <c r="L432" s="98"/>
      <c r="M432" s="116"/>
      <c r="N432" s="111"/>
      <c r="O432" s="115"/>
      <c r="P432" s="108"/>
      <c r="Q432" s="98"/>
      <c r="R432" s="116"/>
      <c r="S432" s="83"/>
      <c r="T432" s="83"/>
      <c r="U432" s="83"/>
      <c r="V432" s="83"/>
      <c r="W432" s="83"/>
      <c r="X432" s="83"/>
      <c r="Y432" s="83"/>
      <c r="Z432" s="83"/>
    </row>
    <row r="433" ht="15.75" customHeight="1">
      <c r="A433" s="118"/>
      <c r="B433" s="118"/>
      <c r="C433" s="94"/>
      <c r="D433" s="111"/>
      <c r="E433" s="115"/>
      <c r="F433" s="108"/>
      <c r="G433" s="98"/>
      <c r="H433" s="116"/>
      <c r="I433" s="111"/>
      <c r="J433" s="115"/>
      <c r="K433" s="108"/>
      <c r="L433" s="98"/>
      <c r="M433" s="116"/>
      <c r="N433" s="111"/>
      <c r="O433" s="115"/>
      <c r="P433" s="108"/>
      <c r="Q433" s="98"/>
      <c r="R433" s="116"/>
      <c r="S433" s="83"/>
      <c r="T433" s="83"/>
      <c r="U433" s="83"/>
      <c r="V433" s="83"/>
      <c r="W433" s="83"/>
      <c r="X433" s="83"/>
      <c r="Y433" s="83"/>
      <c r="Z433" s="83"/>
    </row>
    <row r="434" ht="15.75" customHeight="1">
      <c r="A434" s="118"/>
      <c r="B434" s="118"/>
      <c r="C434" s="94"/>
      <c r="D434" s="111"/>
      <c r="E434" s="115"/>
      <c r="F434" s="108"/>
      <c r="G434" s="98"/>
      <c r="H434" s="116"/>
      <c r="I434" s="111"/>
      <c r="J434" s="115"/>
      <c r="K434" s="108"/>
      <c r="L434" s="98"/>
      <c r="M434" s="116"/>
      <c r="N434" s="111"/>
      <c r="O434" s="115"/>
      <c r="P434" s="108"/>
      <c r="Q434" s="98"/>
      <c r="R434" s="116"/>
      <c r="S434" s="83"/>
      <c r="T434" s="83"/>
      <c r="U434" s="83"/>
      <c r="V434" s="83"/>
      <c r="W434" s="83"/>
      <c r="X434" s="83"/>
      <c r="Y434" s="83"/>
      <c r="Z434" s="83"/>
    </row>
    <row r="435" ht="15.75" customHeight="1">
      <c r="A435" s="118"/>
      <c r="B435" s="118"/>
      <c r="C435" s="94"/>
      <c r="D435" s="111"/>
      <c r="E435" s="115"/>
      <c r="F435" s="108"/>
      <c r="G435" s="98"/>
      <c r="H435" s="116"/>
      <c r="I435" s="111"/>
      <c r="J435" s="115"/>
      <c r="K435" s="108"/>
      <c r="L435" s="98"/>
      <c r="M435" s="116"/>
      <c r="N435" s="111"/>
      <c r="O435" s="115"/>
      <c r="P435" s="108"/>
      <c r="Q435" s="98"/>
      <c r="R435" s="116"/>
      <c r="S435" s="83"/>
      <c r="T435" s="83"/>
      <c r="U435" s="83"/>
      <c r="V435" s="83"/>
      <c r="W435" s="83"/>
      <c r="X435" s="83"/>
      <c r="Y435" s="83"/>
      <c r="Z435" s="83"/>
    </row>
    <row r="436" ht="15.75" customHeight="1">
      <c r="A436" s="118"/>
      <c r="B436" s="118"/>
      <c r="C436" s="94"/>
      <c r="D436" s="111"/>
      <c r="E436" s="115"/>
      <c r="F436" s="108"/>
      <c r="G436" s="98"/>
      <c r="H436" s="116"/>
      <c r="I436" s="111"/>
      <c r="J436" s="115"/>
      <c r="K436" s="108"/>
      <c r="L436" s="98"/>
      <c r="M436" s="116"/>
      <c r="N436" s="111"/>
      <c r="O436" s="115"/>
      <c r="P436" s="108"/>
      <c r="Q436" s="98"/>
      <c r="R436" s="116"/>
      <c r="S436" s="83"/>
      <c r="T436" s="83"/>
      <c r="U436" s="83"/>
      <c r="V436" s="83"/>
      <c r="W436" s="83"/>
      <c r="X436" s="83"/>
      <c r="Y436" s="83"/>
      <c r="Z436" s="83"/>
    </row>
    <row r="437" ht="15.75" customHeight="1">
      <c r="A437" s="118"/>
      <c r="B437" s="118"/>
      <c r="C437" s="94"/>
      <c r="D437" s="111"/>
      <c r="E437" s="115"/>
      <c r="F437" s="108"/>
      <c r="G437" s="98"/>
      <c r="H437" s="116"/>
      <c r="I437" s="111"/>
      <c r="J437" s="115"/>
      <c r="K437" s="108"/>
      <c r="L437" s="98"/>
      <c r="M437" s="116"/>
      <c r="N437" s="111"/>
      <c r="O437" s="115"/>
      <c r="P437" s="108"/>
      <c r="Q437" s="98"/>
      <c r="R437" s="116"/>
      <c r="S437" s="83"/>
      <c r="T437" s="83"/>
      <c r="U437" s="83"/>
      <c r="V437" s="83"/>
      <c r="W437" s="83"/>
      <c r="X437" s="83"/>
      <c r="Y437" s="83"/>
      <c r="Z437" s="83"/>
    </row>
    <row r="438" ht="15.75" customHeight="1">
      <c r="A438" s="118"/>
      <c r="B438" s="118"/>
      <c r="C438" s="94"/>
      <c r="D438" s="111"/>
      <c r="E438" s="115"/>
      <c r="F438" s="108"/>
      <c r="G438" s="98"/>
      <c r="H438" s="116"/>
      <c r="I438" s="111"/>
      <c r="J438" s="115"/>
      <c r="K438" s="108"/>
      <c r="L438" s="98"/>
      <c r="M438" s="116"/>
      <c r="N438" s="111"/>
      <c r="O438" s="115"/>
      <c r="P438" s="108"/>
      <c r="Q438" s="98"/>
      <c r="R438" s="116"/>
      <c r="S438" s="83"/>
      <c r="T438" s="83"/>
      <c r="U438" s="83"/>
      <c r="V438" s="83"/>
      <c r="W438" s="83"/>
      <c r="X438" s="83"/>
      <c r="Y438" s="83"/>
      <c r="Z438" s="83"/>
    </row>
    <row r="439" ht="15.75" customHeight="1">
      <c r="A439" s="118"/>
      <c r="B439" s="118"/>
      <c r="C439" s="94"/>
      <c r="D439" s="111"/>
      <c r="E439" s="115"/>
      <c r="F439" s="108"/>
      <c r="G439" s="98"/>
      <c r="H439" s="116"/>
      <c r="I439" s="111"/>
      <c r="J439" s="115"/>
      <c r="K439" s="108"/>
      <c r="L439" s="98"/>
      <c r="M439" s="116"/>
      <c r="N439" s="111"/>
      <c r="O439" s="115"/>
      <c r="P439" s="108"/>
      <c r="Q439" s="98"/>
      <c r="R439" s="116"/>
      <c r="S439" s="83"/>
      <c r="T439" s="83"/>
      <c r="U439" s="83"/>
      <c r="V439" s="83"/>
      <c r="W439" s="83"/>
      <c r="X439" s="83"/>
      <c r="Y439" s="83"/>
      <c r="Z439" s="83"/>
    </row>
    <row r="440" ht="15.75" customHeight="1">
      <c r="A440" s="118"/>
      <c r="B440" s="118"/>
      <c r="C440" s="94"/>
      <c r="D440" s="111"/>
      <c r="E440" s="115"/>
      <c r="F440" s="108"/>
      <c r="G440" s="98"/>
      <c r="H440" s="116"/>
      <c r="I440" s="111"/>
      <c r="J440" s="115"/>
      <c r="K440" s="108"/>
      <c r="L440" s="98"/>
      <c r="M440" s="116"/>
      <c r="N440" s="111"/>
      <c r="O440" s="115"/>
      <c r="P440" s="108"/>
      <c r="Q440" s="98"/>
      <c r="R440" s="116"/>
      <c r="S440" s="83"/>
      <c r="T440" s="83"/>
      <c r="U440" s="83"/>
      <c r="V440" s="83"/>
      <c r="W440" s="83"/>
      <c r="X440" s="83"/>
      <c r="Y440" s="83"/>
      <c r="Z440" s="83"/>
    </row>
    <row r="441" ht="15.75" customHeight="1">
      <c r="A441" s="118"/>
      <c r="B441" s="118"/>
      <c r="C441" s="94"/>
      <c r="D441" s="111"/>
      <c r="E441" s="115"/>
      <c r="F441" s="108"/>
      <c r="G441" s="98"/>
      <c r="H441" s="116"/>
      <c r="I441" s="111"/>
      <c r="J441" s="115"/>
      <c r="K441" s="108"/>
      <c r="L441" s="98"/>
      <c r="M441" s="116"/>
      <c r="N441" s="111"/>
      <c r="O441" s="115"/>
      <c r="P441" s="108"/>
      <c r="Q441" s="98"/>
      <c r="R441" s="116"/>
      <c r="S441" s="83"/>
      <c r="T441" s="83"/>
      <c r="U441" s="83"/>
      <c r="V441" s="83"/>
      <c r="W441" s="83"/>
      <c r="X441" s="83"/>
      <c r="Y441" s="83"/>
      <c r="Z441" s="83"/>
    </row>
    <row r="442" ht="15.75" customHeight="1">
      <c r="A442" s="118"/>
      <c r="B442" s="118"/>
      <c r="C442" s="94"/>
      <c r="D442" s="111"/>
      <c r="E442" s="115"/>
      <c r="F442" s="108"/>
      <c r="G442" s="98"/>
      <c r="H442" s="116"/>
      <c r="I442" s="111"/>
      <c r="J442" s="115"/>
      <c r="K442" s="108"/>
      <c r="L442" s="98"/>
      <c r="M442" s="116"/>
      <c r="N442" s="111"/>
      <c r="O442" s="115"/>
      <c r="P442" s="108"/>
      <c r="Q442" s="98"/>
      <c r="R442" s="116"/>
      <c r="S442" s="83"/>
      <c r="T442" s="83"/>
      <c r="U442" s="83"/>
      <c r="V442" s="83"/>
      <c r="W442" s="83"/>
      <c r="X442" s="83"/>
      <c r="Y442" s="83"/>
      <c r="Z442" s="83"/>
    </row>
    <row r="443" ht="15.75" customHeight="1">
      <c r="A443" s="118"/>
      <c r="B443" s="118"/>
      <c r="C443" s="94"/>
      <c r="D443" s="111"/>
      <c r="E443" s="115"/>
      <c r="F443" s="108"/>
      <c r="G443" s="98"/>
      <c r="H443" s="116"/>
      <c r="I443" s="111"/>
      <c r="J443" s="115"/>
      <c r="K443" s="108"/>
      <c r="L443" s="98"/>
      <c r="M443" s="116"/>
      <c r="N443" s="111"/>
      <c r="O443" s="115"/>
      <c r="P443" s="108"/>
      <c r="Q443" s="98"/>
      <c r="R443" s="116"/>
      <c r="S443" s="83"/>
      <c r="T443" s="83"/>
      <c r="U443" s="83"/>
      <c r="V443" s="83"/>
      <c r="W443" s="83"/>
      <c r="X443" s="83"/>
      <c r="Y443" s="83"/>
      <c r="Z443" s="83"/>
    </row>
    <row r="444" ht="15.75" customHeight="1">
      <c r="A444" s="118"/>
      <c r="B444" s="118"/>
      <c r="C444" s="94"/>
      <c r="D444" s="111"/>
      <c r="E444" s="115"/>
      <c r="F444" s="108"/>
      <c r="G444" s="98"/>
      <c r="H444" s="116"/>
      <c r="I444" s="111"/>
      <c r="J444" s="115"/>
      <c r="K444" s="108"/>
      <c r="L444" s="98"/>
      <c r="M444" s="116"/>
      <c r="N444" s="111"/>
      <c r="O444" s="115"/>
      <c r="P444" s="108"/>
      <c r="Q444" s="98"/>
      <c r="R444" s="116"/>
      <c r="S444" s="83"/>
      <c r="T444" s="83"/>
      <c r="U444" s="83"/>
      <c r="V444" s="83"/>
      <c r="W444" s="83"/>
      <c r="X444" s="83"/>
      <c r="Y444" s="83"/>
      <c r="Z444" s="83"/>
    </row>
    <row r="445" ht="15.75" customHeight="1">
      <c r="A445" s="118"/>
      <c r="B445" s="118"/>
      <c r="C445" s="94"/>
      <c r="D445" s="111"/>
      <c r="E445" s="115"/>
      <c r="F445" s="108"/>
      <c r="G445" s="98"/>
      <c r="H445" s="116"/>
      <c r="I445" s="111"/>
      <c r="J445" s="115"/>
      <c r="K445" s="108"/>
      <c r="L445" s="98"/>
      <c r="M445" s="116"/>
      <c r="N445" s="111"/>
      <c r="O445" s="115"/>
      <c r="P445" s="108"/>
      <c r="Q445" s="98"/>
      <c r="R445" s="116"/>
      <c r="S445" s="83"/>
      <c r="T445" s="83"/>
      <c r="U445" s="83"/>
      <c r="V445" s="83"/>
      <c r="W445" s="83"/>
      <c r="X445" s="83"/>
      <c r="Y445" s="83"/>
      <c r="Z445" s="83"/>
    </row>
    <row r="446" ht="15.75" customHeight="1">
      <c r="A446" s="118"/>
      <c r="B446" s="118"/>
      <c r="C446" s="94"/>
      <c r="D446" s="111"/>
      <c r="E446" s="115"/>
      <c r="F446" s="108"/>
      <c r="G446" s="98"/>
      <c r="H446" s="116"/>
      <c r="I446" s="111"/>
      <c r="J446" s="115"/>
      <c r="K446" s="108"/>
      <c r="L446" s="98"/>
      <c r="M446" s="116"/>
      <c r="N446" s="111"/>
      <c r="O446" s="115"/>
      <c r="P446" s="108"/>
      <c r="Q446" s="98"/>
      <c r="R446" s="116"/>
      <c r="S446" s="83"/>
      <c r="T446" s="83"/>
      <c r="U446" s="83"/>
      <c r="V446" s="83"/>
      <c r="W446" s="83"/>
      <c r="X446" s="83"/>
      <c r="Y446" s="83"/>
      <c r="Z446" s="83"/>
    </row>
    <row r="447" ht="15.75" customHeight="1">
      <c r="A447" s="118"/>
      <c r="B447" s="118"/>
      <c r="C447" s="94"/>
      <c r="D447" s="111"/>
      <c r="E447" s="115"/>
      <c r="F447" s="108"/>
      <c r="G447" s="98"/>
      <c r="H447" s="116"/>
      <c r="I447" s="111"/>
      <c r="J447" s="115"/>
      <c r="K447" s="108"/>
      <c r="L447" s="98"/>
      <c r="M447" s="116"/>
      <c r="N447" s="111"/>
      <c r="O447" s="115"/>
      <c r="P447" s="108"/>
      <c r="Q447" s="98"/>
      <c r="R447" s="116"/>
      <c r="S447" s="83"/>
      <c r="T447" s="83"/>
      <c r="U447" s="83"/>
      <c r="V447" s="83"/>
      <c r="W447" s="83"/>
      <c r="X447" s="83"/>
      <c r="Y447" s="83"/>
      <c r="Z447" s="83"/>
    </row>
    <row r="448" ht="15.75" customHeight="1">
      <c r="A448" s="118"/>
      <c r="B448" s="118"/>
      <c r="C448" s="94"/>
      <c r="D448" s="111"/>
      <c r="E448" s="115"/>
      <c r="F448" s="108"/>
      <c r="G448" s="98"/>
      <c r="H448" s="116"/>
      <c r="I448" s="111"/>
      <c r="J448" s="115"/>
      <c r="K448" s="108"/>
      <c r="L448" s="98"/>
      <c r="M448" s="116"/>
      <c r="N448" s="111"/>
      <c r="O448" s="115"/>
      <c r="P448" s="108"/>
      <c r="Q448" s="98"/>
      <c r="R448" s="116"/>
      <c r="S448" s="83"/>
      <c r="T448" s="83"/>
      <c r="U448" s="83"/>
      <c r="V448" s="83"/>
      <c r="W448" s="83"/>
      <c r="X448" s="83"/>
      <c r="Y448" s="83"/>
      <c r="Z448" s="83"/>
    </row>
    <row r="449" ht="15.75" customHeight="1">
      <c r="A449" s="118"/>
      <c r="B449" s="118"/>
      <c r="C449" s="94"/>
      <c r="D449" s="111"/>
      <c r="E449" s="115"/>
      <c r="F449" s="108"/>
      <c r="G449" s="98"/>
      <c r="H449" s="116"/>
      <c r="I449" s="111"/>
      <c r="J449" s="115"/>
      <c r="K449" s="108"/>
      <c r="L449" s="98"/>
      <c r="M449" s="116"/>
      <c r="N449" s="111"/>
      <c r="O449" s="115"/>
      <c r="P449" s="108"/>
      <c r="Q449" s="98"/>
      <c r="R449" s="116"/>
      <c r="S449" s="83"/>
      <c r="T449" s="83"/>
      <c r="U449" s="83"/>
      <c r="V449" s="83"/>
      <c r="W449" s="83"/>
      <c r="X449" s="83"/>
      <c r="Y449" s="83"/>
      <c r="Z449" s="83"/>
    </row>
    <row r="450" ht="15.75" customHeight="1">
      <c r="A450" s="118"/>
      <c r="B450" s="118"/>
      <c r="C450" s="94"/>
      <c r="D450" s="111"/>
      <c r="E450" s="115"/>
      <c r="F450" s="108"/>
      <c r="G450" s="98"/>
      <c r="H450" s="116"/>
      <c r="I450" s="111"/>
      <c r="J450" s="115"/>
      <c r="K450" s="108"/>
      <c r="L450" s="98"/>
      <c r="M450" s="116"/>
      <c r="N450" s="111"/>
      <c r="O450" s="115"/>
      <c r="P450" s="108"/>
      <c r="Q450" s="98"/>
      <c r="R450" s="116"/>
      <c r="S450" s="83"/>
      <c r="T450" s="83"/>
      <c r="U450" s="83"/>
      <c r="V450" s="83"/>
      <c r="W450" s="83"/>
      <c r="X450" s="83"/>
      <c r="Y450" s="83"/>
      <c r="Z450" s="83"/>
    </row>
    <row r="451" ht="15.75" customHeight="1">
      <c r="A451" s="118"/>
      <c r="B451" s="118"/>
      <c r="C451" s="94"/>
      <c r="D451" s="111"/>
      <c r="E451" s="115"/>
      <c r="F451" s="108"/>
      <c r="G451" s="98"/>
      <c r="H451" s="116"/>
      <c r="I451" s="111"/>
      <c r="J451" s="115"/>
      <c r="K451" s="108"/>
      <c r="L451" s="98"/>
      <c r="M451" s="116"/>
      <c r="N451" s="111"/>
      <c r="O451" s="115"/>
      <c r="P451" s="108"/>
      <c r="Q451" s="98"/>
      <c r="R451" s="116"/>
      <c r="S451" s="83"/>
      <c r="T451" s="83"/>
      <c r="U451" s="83"/>
      <c r="V451" s="83"/>
      <c r="W451" s="83"/>
      <c r="X451" s="83"/>
      <c r="Y451" s="83"/>
      <c r="Z451" s="83"/>
    </row>
    <row r="452" ht="15.75" customHeight="1">
      <c r="A452" s="118"/>
      <c r="B452" s="118"/>
      <c r="C452" s="94"/>
      <c r="D452" s="111"/>
      <c r="E452" s="115"/>
      <c r="F452" s="108"/>
      <c r="G452" s="98"/>
      <c r="H452" s="116"/>
      <c r="I452" s="111"/>
      <c r="J452" s="115"/>
      <c r="K452" s="108"/>
      <c r="L452" s="98"/>
      <c r="M452" s="116"/>
      <c r="N452" s="111"/>
      <c r="O452" s="115"/>
      <c r="P452" s="108"/>
      <c r="Q452" s="98"/>
      <c r="R452" s="116"/>
      <c r="S452" s="83"/>
      <c r="T452" s="83"/>
      <c r="U452" s="83"/>
      <c r="V452" s="83"/>
      <c r="W452" s="83"/>
      <c r="X452" s="83"/>
      <c r="Y452" s="83"/>
      <c r="Z452" s="83"/>
    </row>
    <row r="453" ht="15.75" customHeight="1">
      <c r="A453" s="118"/>
      <c r="B453" s="118"/>
      <c r="C453" s="94"/>
      <c r="D453" s="111"/>
      <c r="E453" s="115"/>
      <c r="F453" s="108"/>
      <c r="G453" s="98"/>
      <c r="H453" s="116"/>
      <c r="I453" s="111"/>
      <c r="J453" s="115"/>
      <c r="K453" s="108"/>
      <c r="L453" s="98"/>
      <c r="M453" s="116"/>
      <c r="N453" s="111"/>
      <c r="O453" s="115"/>
      <c r="P453" s="108"/>
      <c r="Q453" s="98"/>
      <c r="R453" s="116"/>
      <c r="S453" s="83"/>
      <c r="T453" s="83"/>
      <c r="U453" s="83"/>
      <c r="V453" s="83"/>
      <c r="W453" s="83"/>
      <c r="X453" s="83"/>
      <c r="Y453" s="83"/>
      <c r="Z453" s="83"/>
    </row>
    <row r="454" ht="15.75" customHeight="1">
      <c r="A454" s="118"/>
      <c r="B454" s="118"/>
      <c r="C454" s="94"/>
      <c r="D454" s="111"/>
      <c r="E454" s="115"/>
      <c r="F454" s="108"/>
      <c r="G454" s="98"/>
      <c r="H454" s="116"/>
      <c r="I454" s="111"/>
      <c r="J454" s="115"/>
      <c r="K454" s="108"/>
      <c r="L454" s="98"/>
      <c r="M454" s="116"/>
      <c r="N454" s="111"/>
      <c r="O454" s="115"/>
      <c r="P454" s="108"/>
      <c r="Q454" s="98"/>
      <c r="R454" s="116"/>
      <c r="S454" s="83"/>
      <c r="T454" s="83"/>
      <c r="U454" s="83"/>
      <c r="V454" s="83"/>
      <c r="W454" s="83"/>
      <c r="X454" s="83"/>
      <c r="Y454" s="83"/>
      <c r="Z454" s="83"/>
    </row>
    <row r="455" ht="15.75" customHeight="1">
      <c r="A455" s="118"/>
      <c r="B455" s="118"/>
      <c r="C455" s="94"/>
      <c r="D455" s="111"/>
      <c r="E455" s="115"/>
      <c r="F455" s="108"/>
      <c r="G455" s="98"/>
      <c r="H455" s="116"/>
      <c r="I455" s="111"/>
      <c r="J455" s="115"/>
      <c r="K455" s="108"/>
      <c r="L455" s="98"/>
      <c r="M455" s="116"/>
      <c r="N455" s="111"/>
      <c r="O455" s="115"/>
      <c r="P455" s="108"/>
      <c r="Q455" s="98"/>
      <c r="R455" s="116"/>
      <c r="S455" s="83"/>
      <c r="T455" s="83"/>
      <c r="U455" s="83"/>
      <c r="V455" s="83"/>
      <c r="W455" s="83"/>
      <c r="X455" s="83"/>
      <c r="Y455" s="83"/>
      <c r="Z455" s="83"/>
    </row>
    <row r="456" ht="15.75" customHeight="1">
      <c r="A456" s="118"/>
      <c r="B456" s="118"/>
      <c r="C456" s="94"/>
      <c r="D456" s="111"/>
      <c r="E456" s="115"/>
      <c r="F456" s="108"/>
      <c r="G456" s="98"/>
      <c r="H456" s="116"/>
      <c r="I456" s="111"/>
      <c r="J456" s="115"/>
      <c r="K456" s="108"/>
      <c r="L456" s="98"/>
      <c r="M456" s="116"/>
      <c r="N456" s="111"/>
      <c r="O456" s="115"/>
      <c r="P456" s="108"/>
      <c r="Q456" s="98"/>
      <c r="R456" s="116"/>
      <c r="S456" s="83"/>
      <c r="T456" s="83"/>
      <c r="U456" s="83"/>
      <c r="V456" s="83"/>
      <c r="W456" s="83"/>
      <c r="X456" s="83"/>
      <c r="Y456" s="83"/>
      <c r="Z456" s="83"/>
    </row>
    <row r="457" ht="15.75" customHeight="1">
      <c r="A457" s="118"/>
      <c r="B457" s="118"/>
      <c r="C457" s="94"/>
      <c r="D457" s="111"/>
      <c r="E457" s="115"/>
      <c r="F457" s="108"/>
      <c r="G457" s="98"/>
      <c r="H457" s="116"/>
      <c r="I457" s="111"/>
      <c r="J457" s="115"/>
      <c r="K457" s="108"/>
      <c r="L457" s="98"/>
      <c r="M457" s="116"/>
      <c r="N457" s="111"/>
      <c r="O457" s="115"/>
      <c r="P457" s="108"/>
      <c r="Q457" s="98"/>
      <c r="R457" s="116"/>
      <c r="S457" s="83"/>
      <c r="T457" s="83"/>
      <c r="U457" s="83"/>
      <c r="V457" s="83"/>
      <c r="W457" s="83"/>
      <c r="X457" s="83"/>
      <c r="Y457" s="83"/>
      <c r="Z457" s="83"/>
    </row>
    <row r="458" ht="15.75" customHeight="1">
      <c r="A458" s="118"/>
      <c r="B458" s="118"/>
      <c r="C458" s="94"/>
      <c r="D458" s="111"/>
      <c r="E458" s="115"/>
      <c r="F458" s="108"/>
      <c r="G458" s="98"/>
      <c r="H458" s="116"/>
      <c r="I458" s="111"/>
      <c r="J458" s="115"/>
      <c r="K458" s="108"/>
      <c r="L458" s="98"/>
      <c r="M458" s="116"/>
      <c r="N458" s="111"/>
      <c r="O458" s="115"/>
      <c r="P458" s="108"/>
      <c r="Q458" s="98"/>
      <c r="R458" s="116"/>
      <c r="S458" s="83"/>
      <c r="T458" s="83"/>
      <c r="U458" s="83"/>
      <c r="V458" s="83"/>
      <c r="W458" s="83"/>
      <c r="X458" s="83"/>
      <c r="Y458" s="83"/>
      <c r="Z458" s="83"/>
    </row>
    <row r="459" ht="15.75" customHeight="1">
      <c r="A459" s="118"/>
      <c r="B459" s="118"/>
      <c r="C459" s="94"/>
      <c r="D459" s="111"/>
      <c r="E459" s="115"/>
      <c r="F459" s="108"/>
      <c r="G459" s="98"/>
      <c r="H459" s="116"/>
      <c r="I459" s="111"/>
      <c r="J459" s="115"/>
      <c r="K459" s="108"/>
      <c r="L459" s="98"/>
      <c r="M459" s="116"/>
      <c r="N459" s="111"/>
      <c r="O459" s="115"/>
      <c r="P459" s="108"/>
      <c r="Q459" s="98"/>
      <c r="R459" s="116"/>
      <c r="S459" s="83"/>
      <c r="T459" s="83"/>
      <c r="U459" s="83"/>
      <c r="V459" s="83"/>
      <c r="W459" s="83"/>
      <c r="X459" s="83"/>
      <c r="Y459" s="83"/>
      <c r="Z459" s="83"/>
    </row>
    <row r="460" ht="15.75" customHeight="1">
      <c r="A460" s="118"/>
      <c r="B460" s="118"/>
      <c r="C460" s="94"/>
      <c r="D460" s="111"/>
      <c r="E460" s="115"/>
      <c r="F460" s="108"/>
      <c r="G460" s="98"/>
      <c r="H460" s="116"/>
      <c r="I460" s="111"/>
      <c r="J460" s="115"/>
      <c r="K460" s="108"/>
      <c r="L460" s="98"/>
      <c r="M460" s="116"/>
      <c r="N460" s="111"/>
      <c r="O460" s="115"/>
      <c r="P460" s="108"/>
      <c r="Q460" s="98"/>
      <c r="R460" s="116"/>
      <c r="S460" s="83"/>
      <c r="T460" s="83"/>
      <c r="U460" s="83"/>
      <c r="V460" s="83"/>
      <c r="W460" s="83"/>
      <c r="X460" s="83"/>
      <c r="Y460" s="83"/>
      <c r="Z460" s="83"/>
    </row>
    <row r="461" ht="15.75" customHeight="1">
      <c r="A461" s="118"/>
      <c r="B461" s="118"/>
      <c r="C461" s="94"/>
      <c r="D461" s="111"/>
      <c r="E461" s="115"/>
      <c r="F461" s="108"/>
      <c r="G461" s="98"/>
      <c r="H461" s="116"/>
      <c r="I461" s="111"/>
      <c r="J461" s="115"/>
      <c r="K461" s="108"/>
      <c r="L461" s="98"/>
      <c r="M461" s="116"/>
      <c r="N461" s="111"/>
      <c r="O461" s="115"/>
      <c r="P461" s="108"/>
      <c r="Q461" s="98"/>
      <c r="R461" s="116"/>
      <c r="S461" s="83"/>
      <c r="T461" s="83"/>
      <c r="U461" s="83"/>
      <c r="V461" s="83"/>
      <c r="W461" s="83"/>
      <c r="X461" s="83"/>
      <c r="Y461" s="83"/>
      <c r="Z461" s="83"/>
    </row>
    <row r="462" ht="15.75" customHeight="1">
      <c r="A462" s="118"/>
      <c r="B462" s="118"/>
      <c r="C462" s="94"/>
      <c r="D462" s="111"/>
      <c r="E462" s="115"/>
      <c r="F462" s="108"/>
      <c r="G462" s="98"/>
      <c r="H462" s="116"/>
      <c r="I462" s="111"/>
      <c r="J462" s="115"/>
      <c r="K462" s="108"/>
      <c r="L462" s="98"/>
      <c r="M462" s="116"/>
      <c r="N462" s="111"/>
      <c r="O462" s="115"/>
      <c r="P462" s="108"/>
      <c r="Q462" s="98"/>
      <c r="R462" s="116"/>
      <c r="S462" s="83"/>
      <c r="T462" s="83"/>
      <c r="U462" s="83"/>
      <c r="V462" s="83"/>
      <c r="W462" s="83"/>
      <c r="X462" s="83"/>
      <c r="Y462" s="83"/>
      <c r="Z462" s="83"/>
    </row>
    <row r="463" ht="15.75" customHeight="1">
      <c r="A463" s="118"/>
      <c r="B463" s="118"/>
      <c r="C463" s="94"/>
      <c r="D463" s="111"/>
      <c r="E463" s="115"/>
      <c r="F463" s="108"/>
      <c r="G463" s="98"/>
      <c r="H463" s="116"/>
      <c r="I463" s="111"/>
      <c r="J463" s="115"/>
      <c r="K463" s="108"/>
      <c r="L463" s="98"/>
      <c r="M463" s="116"/>
      <c r="N463" s="111"/>
      <c r="O463" s="115"/>
      <c r="P463" s="108"/>
      <c r="Q463" s="98"/>
      <c r="R463" s="116"/>
      <c r="S463" s="83"/>
      <c r="T463" s="83"/>
      <c r="U463" s="83"/>
      <c r="V463" s="83"/>
      <c r="W463" s="83"/>
      <c r="X463" s="83"/>
      <c r="Y463" s="83"/>
      <c r="Z463" s="83"/>
    </row>
    <row r="464" ht="15.75" customHeight="1">
      <c r="A464" s="118"/>
      <c r="B464" s="118"/>
      <c r="C464" s="94"/>
      <c r="D464" s="111"/>
      <c r="E464" s="115"/>
      <c r="F464" s="108"/>
      <c r="G464" s="98"/>
      <c r="H464" s="116"/>
      <c r="I464" s="111"/>
      <c r="J464" s="115"/>
      <c r="K464" s="108"/>
      <c r="L464" s="98"/>
      <c r="M464" s="116"/>
      <c r="N464" s="111"/>
      <c r="O464" s="115"/>
      <c r="P464" s="108"/>
      <c r="Q464" s="98"/>
      <c r="R464" s="116"/>
      <c r="S464" s="83"/>
      <c r="T464" s="83"/>
      <c r="U464" s="83"/>
      <c r="V464" s="83"/>
      <c r="W464" s="83"/>
      <c r="X464" s="83"/>
      <c r="Y464" s="83"/>
      <c r="Z464" s="83"/>
    </row>
    <row r="465" ht="15.75" customHeight="1">
      <c r="A465" s="118"/>
      <c r="B465" s="118"/>
      <c r="C465" s="94"/>
      <c r="D465" s="111"/>
      <c r="E465" s="115"/>
      <c r="F465" s="108"/>
      <c r="G465" s="98"/>
      <c r="H465" s="116"/>
      <c r="I465" s="111"/>
      <c r="J465" s="115"/>
      <c r="K465" s="108"/>
      <c r="L465" s="98"/>
      <c r="M465" s="116"/>
      <c r="N465" s="111"/>
      <c r="O465" s="115"/>
      <c r="P465" s="108"/>
      <c r="Q465" s="98"/>
      <c r="R465" s="116"/>
      <c r="S465" s="83"/>
      <c r="T465" s="83"/>
      <c r="U465" s="83"/>
      <c r="V465" s="83"/>
      <c r="W465" s="83"/>
      <c r="X465" s="83"/>
      <c r="Y465" s="83"/>
      <c r="Z465" s="83"/>
    </row>
    <row r="466" ht="15.75" customHeight="1">
      <c r="A466" s="118"/>
      <c r="B466" s="118"/>
      <c r="C466" s="94"/>
      <c r="D466" s="111"/>
      <c r="E466" s="115"/>
      <c r="F466" s="108"/>
      <c r="G466" s="98"/>
      <c r="H466" s="116"/>
      <c r="I466" s="111"/>
      <c r="J466" s="115"/>
      <c r="K466" s="108"/>
      <c r="L466" s="98"/>
      <c r="M466" s="116"/>
      <c r="N466" s="111"/>
      <c r="O466" s="115"/>
      <c r="P466" s="108"/>
      <c r="Q466" s="98"/>
      <c r="R466" s="116"/>
      <c r="S466" s="83"/>
      <c r="T466" s="83"/>
      <c r="U466" s="83"/>
      <c r="V466" s="83"/>
      <c r="W466" s="83"/>
      <c r="X466" s="83"/>
      <c r="Y466" s="83"/>
      <c r="Z466" s="83"/>
    </row>
    <row r="467" ht="15.75" customHeight="1">
      <c r="A467" s="118"/>
      <c r="B467" s="118"/>
      <c r="C467" s="94"/>
      <c r="D467" s="111"/>
      <c r="E467" s="115"/>
      <c r="F467" s="108"/>
      <c r="G467" s="98"/>
      <c r="H467" s="116"/>
      <c r="I467" s="111"/>
      <c r="J467" s="115"/>
      <c r="K467" s="108"/>
      <c r="L467" s="98"/>
      <c r="M467" s="116"/>
      <c r="N467" s="111"/>
      <c r="O467" s="115"/>
      <c r="P467" s="108"/>
      <c r="Q467" s="98"/>
      <c r="R467" s="116"/>
      <c r="S467" s="83"/>
      <c r="T467" s="83"/>
      <c r="U467" s="83"/>
      <c r="V467" s="83"/>
      <c r="W467" s="83"/>
      <c r="X467" s="83"/>
      <c r="Y467" s="83"/>
      <c r="Z467" s="83"/>
    </row>
    <row r="468" ht="15.75" customHeight="1">
      <c r="A468" s="118"/>
      <c r="B468" s="118"/>
      <c r="C468" s="94"/>
      <c r="D468" s="111"/>
      <c r="E468" s="115"/>
      <c r="F468" s="108"/>
      <c r="G468" s="98"/>
      <c r="H468" s="116"/>
      <c r="I468" s="111"/>
      <c r="J468" s="115"/>
      <c r="K468" s="108"/>
      <c r="L468" s="98"/>
      <c r="M468" s="116"/>
      <c r="N468" s="111"/>
      <c r="O468" s="115"/>
      <c r="P468" s="108"/>
      <c r="Q468" s="98"/>
      <c r="R468" s="116"/>
      <c r="S468" s="83"/>
      <c r="T468" s="83"/>
      <c r="U468" s="83"/>
      <c r="V468" s="83"/>
      <c r="W468" s="83"/>
      <c r="X468" s="83"/>
      <c r="Y468" s="83"/>
      <c r="Z468" s="83"/>
    </row>
    <row r="469" ht="15.75" customHeight="1">
      <c r="A469" s="118"/>
      <c r="B469" s="118"/>
      <c r="C469" s="94"/>
      <c r="D469" s="111"/>
      <c r="E469" s="115"/>
      <c r="F469" s="108"/>
      <c r="G469" s="98"/>
      <c r="H469" s="116"/>
      <c r="I469" s="111"/>
      <c r="J469" s="115"/>
      <c r="K469" s="108"/>
      <c r="L469" s="98"/>
      <c r="M469" s="116"/>
      <c r="N469" s="111"/>
      <c r="O469" s="115"/>
      <c r="P469" s="108"/>
      <c r="Q469" s="98"/>
      <c r="R469" s="116"/>
      <c r="S469" s="83"/>
      <c r="T469" s="83"/>
      <c r="U469" s="83"/>
      <c r="V469" s="83"/>
      <c r="W469" s="83"/>
      <c r="X469" s="83"/>
      <c r="Y469" s="83"/>
      <c r="Z469" s="83"/>
    </row>
    <row r="470" ht="15.75" customHeight="1">
      <c r="A470" s="118"/>
      <c r="B470" s="118"/>
      <c r="C470" s="94"/>
      <c r="D470" s="111"/>
      <c r="E470" s="115"/>
      <c r="F470" s="108"/>
      <c r="G470" s="98"/>
      <c r="H470" s="116"/>
      <c r="I470" s="111"/>
      <c r="J470" s="115"/>
      <c r="K470" s="108"/>
      <c r="L470" s="98"/>
      <c r="M470" s="116"/>
      <c r="N470" s="111"/>
      <c r="O470" s="115"/>
      <c r="P470" s="108"/>
      <c r="Q470" s="98"/>
      <c r="R470" s="116"/>
      <c r="S470" s="83"/>
      <c r="T470" s="83"/>
      <c r="U470" s="83"/>
      <c r="V470" s="83"/>
      <c r="W470" s="83"/>
      <c r="X470" s="83"/>
      <c r="Y470" s="83"/>
      <c r="Z470" s="83"/>
    </row>
    <row r="471" ht="15.75" customHeight="1">
      <c r="A471" s="118"/>
      <c r="B471" s="118"/>
      <c r="C471" s="94"/>
      <c r="D471" s="111"/>
      <c r="E471" s="115"/>
      <c r="F471" s="108"/>
      <c r="G471" s="98"/>
      <c r="H471" s="116"/>
      <c r="I471" s="111"/>
      <c r="J471" s="115"/>
      <c r="K471" s="108"/>
      <c r="L471" s="98"/>
      <c r="M471" s="116"/>
      <c r="N471" s="111"/>
      <c r="O471" s="115"/>
      <c r="P471" s="108"/>
      <c r="Q471" s="98"/>
      <c r="R471" s="116"/>
      <c r="S471" s="83"/>
      <c r="T471" s="83"/>
      <c r="U471" s="83"/>
      <c r="V471" s="83"/>
      <c r="W471" s="83"/>
      <c r="X471" s="83"/>
      <c r="Y471" s="83"/>
      <c r="Z471" s="83"/>
    </row>
    <row r="472" ht="15.75" customHeight="1">
      <c r="A472" s="118"/>
      <c r="B472" s="118"/>
      <c r="C472" s="94"/>
      <c r="D472" s="111"/>
      <c r="E472" s="115"/>
      <c r="F472" s="108"/>
      <c r="G472" s="98"/>
      <c r="H472" s="116"/>
      <c r="I472" s="111"/>
      <c r="J472" s="115"/>
      <c r="K472" s="108"/>
      <c r="L472" s="98"/>
      <c r="M472" s="116"/>
      <c r="N472" s="111"/>
      <c r="O472" s="115"/>
      <c r="P472" s="108"/>
      <c r="Q472" s="98"/>
      <c r="R472" s="116"/>
      <c r="S472" s="83"/>
      <c r="T472" s="83"/>
      <c r="U472" s="83"/>
      <c r="V472" s="83"/>
      <c r="W472" s="83"/>
      <c r="X472" s="83"/>
      <c r="Y472" s="83"/>
      <c r="Z472" s="83"/>
    </row>
    <row r="473" ht="15.75" customHeight="1">
      <c r="A473" s="118"/>
      <c r="B473" s="118"/>
      <c r="C473" s="94"/>
      <c r="D473" s="111"/>
      <c r="E473" s="115"/>
      <c r="F473" s="108"/>
      <c r="G473" s="98"/>
      <c r="H473" s="116"/>
      <c r="I473" s="111"/>
      <c r="J473" s="115"/>
      <c r="K473" s="108"/>
      <c r="L473" s="98"/>
      <c r="M473" s="116"/>
      <c r="N473" s="111"/>
      <c r="O473" s="115"/>
      <c r="P473" s="108"/>
      <c r="Q473" s="98"/>
      <c r="R473" s="116"/>
      <c r="S473" s="83"/>
      <c r="T473" s="83"/>
      <c r="U473" s="83"/>
      <c r="V473" s="83"/>
      <c r="W473" s="83"/>
      <c r="X473" s="83"/>
      <c r="Y473" s="83"/>
      <c r="Z473" s="83"/>
    </row>
    <row r="474" ht="15.75" customHeight="1">
      <c r="A474" s="118"/>
      <c r="B474" s="118"/>
      <c r="C474" s="94"/>
      <c r="D474" s="111"/>
      <c r="E474" s="115"/>
      <c r="F474" s="108"/>
      <c r="G474" s="98"/>
      <c r="H474" s="116"/>
      <c r="I474" s="111"/>
      <c r="J474" s="115"/>
      <c r="K474" s="108"/>
      <c r="L474" s="98"/>
      <c r="M474" s="116"/>
      <c r="N474" s="111"/>
      <c r="O474" s="115"/>
      <c r="P474" s="108"/>
      <c r="Q474" s="98"/>
      <c r="R474" s="116"/>
      <c r="S474" s="83"/>
      <c r="T474" s="83"/>
      <c r="U474" s="83"/>
      <c r="V474" s="83"/>
      <c r="W474" s="83"/>
      <c r="X474" s="83"/>
      <c r="Y474" s="83"/>
      <c r="Z474" s="83"/>
    </row>
    <row r="475" ht="15.75" customHeight="1">
      <c r="A475" s="118"/>
      <c r="B475" s="118"/>
      <c r="C475" s="94"/>
      <c r="D475" s="111"/>
      <c r="E475" s="115"/>
      <c r="F475" s="108"/>
      <c r="G475" s="98"/>
      <c r="H475" s="116"/>
      <c r="I475" s="111"/>
      <c r="J475" s="115"/>
      <c r="K475" s="108"/>
      <c r="L475" s="98"/>
      <c r="M475" s="116"/>
      <c r="N475" s="111"/>
      <c r="O475" s="115"/>
      <c r="P475" s="108"/>
      <c r="Q475" s="98"/>
      <c r="R475" s="116"/>
      <c r="S475" s="83"/>
      <c r="T475" s="83"/>
      <c r="U475" s="83"/>
      <c r="V475" s="83"/>
      <c r="W475" s="83"/>
      <c r="X475" s="83"/>
      <c r="Y475" s="83"/>
      <c r="Z475" s="83"/>
    </row>
    <row r="476" ht="15.75" customHeight="1">
      <c r="A476" s="118"/>
      <c r="B476" s="118"/>
      <c r="C476" s="94"/>
      <c r="D476" s="111"/>
      <c r="E476" s="115"/>
      <c r="F476" s="108"/>
      <c r="G476" s="98"/>
      <c r="H476" s="116"/>
      <c r="I476" s="111"/>
      <c r="J476" s="115"/>
      <c r="K476" s="108"/>
      <c r="L476" s="98"/>
      <c r="M476" s="116"/>
      <c r="N476" s="111"/>
      <c r="O476" s="115"/>
      <c r="P476" s="108"/>
      <c r="Q476" s="98"/>
      <c r="R476" s="116"/>
      <c r="S476" s="83"/>
      <c r="T476" s="83"/>
      <c r="U476" s="83"/>
      <c r="V476" s="83"/>
      <c r="W476" s="83"/>
      <c r="X476" s="83"/>
      <c r="Y476" s="83"/>
      <c r="Z476" s="83"/>
    </row>
    <row r="477" ht="15.75" customHeight="1">
      <c r="A477" s="118"/>
      <c r="B477" s="118"/>
      <c r="C477" s="94"/>
      <c r="D477" s="111"/>
      <c r="E477" s="115"/>
      <c r="F477" s="108"/>
      <c r="G477" s="98"/>
      <c r="H477" s="116"/>
      <c r="I477" s="111"/>
      <c r="J477" s="115"/>
      <c r="K477" s="108"/>
      <c r="L477" s="98"/>
      <c r="M477" s="116"/>
      <c r="N477" s="111"/>
      <c r="O477" s="115"/>
      <c r="P477" s="108"/>
      <c r="Q477" s="98"/>
      <c r="R477" s="116"/>
      <c r="S477" s="83"/>
      <c r="T477" s="83"/>
      <c r="U477" s="83"/>
      <c r="V477" s="83"/>
      <c r="W477" s="83"/>
      <c r="X477" s="83"/>
      <c r="Y477" s="83"/>
      <c r="Z477" s="83"/>
    </row>
    <row r="478" ht="15.75" customHeight="1">
      <c r="A478" s="118"/>
      <c r="B478" s="118"/>
      <c r="C478" s="94"/>
      <c r="D478" s="111"/>
      <c r="E478" s="115"/>
      <c r="F478" s="108"/>
      <c r="G478" s="98"/>
      <c r="H478" s="116"/>
      <c r="I478" s="111"/>
      <c r="J478" s="115"/>
      <c r="K478" s="108"/>
      <c r="L478" s="98"/>
      <c r="M478" s="116"/>
      <c r="N478" s="111"/>
      <c r="O478" s="115"/>
      <c r="P478" s="108"/>
      <c r="Q478" s="98"/>
      <c r="R478" s="116"/>
      <c r="S478" s="83"/>
      <c r="T478" s="83"/>
      <c r="U478" s="83"/>
      <c r="V478" s="83"/>
      <c r="W478" s="83"/>
      <c r="X478" s="83"/>
      <c r="Y478" s="83"/>
      <c r="Z478" s="83"/>
    </row>
    <row r="479" ht="15.75" customHeight="1">
      <c r="A479" s="118"/>
      <c r="B479" s="118"/>
      <c r="C479" s="94"/>
      <c r="D479" s="111"/>
      <c r="E479" s="115"/>
      <c r="F479" s="108"/>
      <c r="G479" s="98"/>
      <c r="H479" s="116"/>
      <c r="I479" s="111"/>
      <c r="J479" s="115"/>
      <c r="K479" s="108"/>
      <c r="L479" s="98"/>
      <c r="M479" s="116"/>
      <c r="N479" s="111"/>
      <c r="O479" s="115"/>
      <c r="P479" s="108"/>
      <c r="Q479" s="98"/>
      <c r="R479" s="116"/>
      <c r="S479" s="83"/>
      <c r="T479" s="83"/>
      <c r="U479" s="83"/>
      <c r="V479" s="83"/>
      <c r="W479" s="83"/>
      <c r="X479" s="83"/>
      <c r="Y479" s="83"/>
      <c r="Z479" s="83"/>
    </row>
    <row r="480" ht="15.75" customHeight="1">
      <c r="A480" s="118"/>
      <c r="B480" s="118"/>
      <c r="C480" s="94"/>
      <c r="D480" s="111"/>
      <c r="E480" s="115"/>
      <c r="F480" s="108"/>
      <c r="G480" s="98"/>
      <c r="H480" s="116"/>
      <c r="I480" s="111"/>
      <c r="J480" s="115"/>
      <c r="K480" s="108"/>
      <c r="L480" s="98"/>
      <c r="M480" s="116"/>
      <c r="N480" s="111"/>
      <c r="O480" s="115"/>
      <c r="P480" s="108"/>
      <c r="Q480" s="98"/>
      <c r="R480" s="116"/>
      <c r="S480" s="83"/>
      <c r="T480" s="83"/>
      <c r="U480" s="83"/>
      <c r="V480" s="83"/>
      <c r="W480" s="83"/>
      <c r="X480" s="83"/>
      <c r="Y480" s="83"/>
      <c r="Z480" s="83"/>
    </row>
    <row r="481" ht="15.75" customHeight="1">
      <c r="A481" s="118"/>
      <c r="B481" s="118"/>
      <c r="C481" s="94"/>
      <c r="D481" s="111"/>
      <c r="E481" s="115"/>
      <c r="F481" s="108"/>
      <c r="G481" s="98"/>
      <c r="H481" s="116"/>
      <c r="I481" s="111"/>
      <c r="J481" s="115"/>
      <c r="K481" s="108"/>
      <c r="L481" s="98"/>
      <c r="M481" s="116"/>
      <c r="N481" s="111"/>
      <c r="O481" s="115"/>
      <c r="P481" s="108"/>
      <c r="Q481" s="98"/>
      <c r="R481" s="116"/>
      <c r="S481" s="83"/>
      <c r="T481" s="83"/>
      <c r="U481" s="83"/>
      <c r="V481" s="83"/>
      <c r="W481" s="83"/>
      <c r="X481" s="83"/>
      <c r="Y481" s="83"/>
      <c r="Z481" s="83"/>
    </row>
    <row r="482" ht="15.75" customHeight="1">
      <c r="A482" s="118"/>
      <c r="B482" s="118"/>
      <c r="C482" s="94"/>
      <c r="D482" s="111"/>
      <c r="E482" s="115"/>
      <c r="F482" s="108"/>
      <c r="G482" s="98"/>
      <c r="H482" s="116"/>
      <c r="I482" s="111"/>
      <c r="J482" s="115"/>
      <c r="K482" s="108"/>
      <c r="L482" s="98"/>
      <c r="M482" s="116"/>
      <c r="N482" s="111"/>
      <c r="O482" s="115"/>
      <c r="P482" s="108"/>
      <c r="Q482" s="98"/>
      <c r="R482" s="116"/>
      <c r="S482" s="83"/>
      <c r="T482" s="83"/>
      <c r="U482" s="83"/>
      <c r="V482" s="83"/>
      <c r="W482" s="83"/>
      <c r="X482" s="83"/>
      <c r="Y482" s="83"/>
      <c r="Z482" s="83"/>
    </row>
    <row r="483" ht="15.75" customHeight="1">
      <c r="A483" s="118"/>
      <c r="B483" s="118"/>
      <c r="C483" s="94"/>
      <c r="D483" s="111"/>
      <c r="E483" s="115"/>
      <c r="F483" s="108"/>
      <c r="G483" s="98"/>
      <c r="H483" s="116"/>
      <c r="I483" s="111"/>
      <c r="J483" s="115"/>
      <c r="K483" s="108"/>
      <c r="L483" s="98"/>
      <c r="M483" s="116"/>
      <c r="N483" s="111"/>
      <c r="O483" s="115"/>
      <c r="P483" s="108"/>
      <c r="Q483" s="98"/>
      <c r="R483" s="116"/>
      <c r="S483" s="83"/>
      <c r="T483" s="83"/>
      <c r="U483" s="83"/>
      <c r="V483" s="83"/>
      <c r="W483" s="83"/>
      <c r="X483" s="83"/>
      <c r="Y483" s="83"/>
      <c r="Z483" s="83"/>
    </row>
    <row r="484" ht="15.75" customHeight="1">
      <c r="A484" s="118"/>
      <c r="B484" s="118"/>
      <c r="C484" s="94"/>
      <c r="D484" s="111"/>
      <c r="E484" s="115"/>
      <c r="F484" s="108"/>
      <c r="G484" s="98"/>
      <c r="H484" s="116"/>
      <c r="I484" s="111"/>
      <c r="J484" s="115"/>
      <c r="K484" s="108"/>
      <c r="L484" s="98"/>
      <c r="M484" s="116"/>
      <c r="N484" s="111"/>
      <c r="O484" s="115"/>
      <c r="P484" s="108"/>
      <c r="Q484" s="98"/>
      <c r="R484" s="116"/>
      <c r="S484" s="83"/>
      <c r="T484" s="83"/>
      <c r="U484" s="83"/>
      <c r="V484" s="83"/>
      <c r="W484" s="83"/>
      <c r="X484" s="83"/>
      <c r="Y484" s="83"/>
      <c r="Z484" s="83"/>
    </row>
    <row r="485" ht="15.75" customHeight="1">
      <c r="A485" s="118"/>
      <c r="B485" s="118"/>
      <c r="C485" s="94"/>
      <c r="D485" s="111"/>
      <c r="E485" s="115"/>
      <c r="F485" s="108"/>
      <c r="G485" s="98"/>
      <c r="H485" s="116"/>
      <c r="I485" s="111"/>
      <c r="J485" s="115"/>
      <c r="K485" s="108"/>
      <c r="L485" s="98"/>
      <c r="M485" s="116"/>
      <c r="N485" s="111"/>
      <c r="O485" s="115"/>
      <c r="P485" s="108"/>
      <c r="Q485" s="98"/>
      <c r="R485" s="116"/>
      <c r="S485" s="83"/>
      <c r="T485" s="83"/>
      <c r="U485" s="83"/>
      <c r="V485" s="83"/>
      <c r="W485" s="83"/>
      <c r="X485" s="83"/>
      <c r="Y485" s="83"/>
      <c r="Z485" s="83"/>
    </row>
    <row r="486" ht="15.75" customHeight="1">
      <c r="A486" s="118"/>
      <c r="B486" s="118"/>
      <c r="C486" s="94"/>
      <c r="D486" s="111"/>
      <c r="E486" s="115"/>
      <c r="F486" s="108"/>
      <c r="G486" s="98"/>
      <c r="H486" s="116"/>
      <c r="I486" s="111"/>
      <c r="J486" s="115"/>
      <c r="K486" s="108"/>
      <c r="L486" s="98"/>
      <c r="M486" s="116"/>
      <c r="N486" s="111"/>
      <c r="O486" s="115"/>
      <c r="P486" s="108"/>
      <c r="Q486" s="98"/>
      <c r="R486" s="116"/>
      <c r="S486" s="83"/>
      <c r="T486" s="83"/>
      <c r="U486" s="83"/>
      <c r="V486" s="83"/>
      <c r="W486" s="83"/>
      <c r="X486" s="83"/>
      <c r="Y486" s="83"/>
      <c r="Z486" s="83"/>
    </row>
    <row r="487" ht="15.75" customHeight="1">
      <c r="A487" s="118"/>
      <c r="B487" s="118"/>
      <c r="C487" s="94"/>
      <c r="D487" s="111"/>
      <c r="E487" s="115"/>
      <c r="F487" s="108"/>
      <c r="G487" s="98"/>
      <c r="H487" s="116"/>
      <c r="I487" s="111"/>
      <c r="J487" s="115"/>
      <c r="K487" s="108"/>
      <c r="L487" s="98"/>
      <c r="M487" s="116"/>
      <c r="N487" s="111"/>
      <c r="O487" s="115"/>
      <c r="P487" s="108"/>
      <c r="Q487" s="98"/>
      <c r="R487" s="116"/>
      <c r="S487" s="83"/>
      <c r="T487" s="83"/>
      <c r="U487" s="83"/>
      <c r="V487" s="83"/>
      <c r="W487" s="83"/>
      <c r="X487" s="83"/>
      <c r="Y487" s="83"/>
      <c r="Z487" s="83"/>
    </row>
    <row r="488" ht="15.75" customHeight="1">
      <c r="A488" s="118"/>
      <c r="B488" s="118"/>
      <c r="C488" s="94"/>
      <c r="D488" s="111"/>
      <c r="E488" s="115"/>
      <c r="F488" s="108"/>
      <c r="G488" s="98"/>
      <c r="H488" s="116"/>
      <c r="I488" s="111"/>
      <c r="J488" s="115"/>
      <c r="K488" s="108"/>
      <c r="L488" s="98"/>
      <c r="M488" s="116"/>
      <c r="N488" s="111"/>
      <c r="O488" s="115"/>
      <c r="P488" s="108"/>
      <c r="Q488" s="98"/>
      <c r="R488" s="116"/>
      <c r="S488" s="83"/>
      <c r="T488" s="83"/>
      <c r="U488" s="83"/>
      <c r="V488" s="83"/>
      <c r="W488" s="83"/>
      <c r="X488" s="83"/>
      <c r="Y488" s="83"/>
      <c r="Z488" s="83"/>
    </row>
    <row r="489" ht="15.75" customHeight="1">
      <c r="A489" s="118"/>
      <c r="B489" s="118"/>
      <c r="C489" s="94"/>
      <c r="D489" s="111"/>
      <c r="E489" s="115"/>
      <c r="F489" s="108"/>
      <c r="G489" s="98"/>
      <c r="H489" s="116"/>
      <c r="I489" s="111"/>
      <c r="J489" s="115"/>
      <c r="K489" s="108"/>
      <c r="L489" s="98"/>
      <c r="M489" s="116"/>
      <c r="N489" s="111"/>
      <c r="O489" s="115"/>
      <c r="P489" s="108"/>
      <c r="Q489" s="98"/>
      <c r="R489" s="116"/>
      <c r="S489" s="83"/>
      <c r="T489" s="83"/>
      <c r="U489" s="83"/>
      <c r="V489" s="83"/>
      <c r="W489" s="83"/>
      <c r="X489" s="83"/>
      <c r="Y489" s="83"/>
      <c r="Z489" s="83"/>
    </row>
    <row r="490" ht="15.75" customHeight="1">
      <c r="A490" s="118"/>
      <c r="B490" s="118"/>
      <c r="C490" s="94"/>
      <c r="D490" s="111"/>
      <c r="E490" s="115"/>
      <c r="F490" s="108"/>
      <c r="G490" s="98"/>
      <c r="H490" s="116"/>
      <c r="I490" s="111"/>
      <c r="J490" s="115"/>
      <c r="K490" s="108"/>
      <c r="L490" s="98"/>
      <c r="M490" s="116"/>
      <c r="N490" s="111"/>
      <c r="O490" s="115"/>
      <c r="P490" s="108"/>
      <c r="Q490" s="98"/>
      <c r="R490" s="116"/>
      <c r="S490" s="83"/>
      <c r="T490" s="83"/>
      <c r="U490" s="83"/>
      <c r="V490" s="83"/>
      <c r="W490" s="83"/>
      <c r="X490" s="83"/>
      <c r="Y490" s="83"/>
      <c r="Z490" s="83"/>
    </row>
    <row r="491" ht="15.75" customHeight="1">
      <c r="A491" s="118"/>
      <c r="B491" s="118"/>
      <c r="C491" s="94"/>
      <c r="D491" s="111"/>
      <c r="E491" s="115"/>
      <c r="F491" s="108"/>
      <c r="G491" s="98"/>
      <c r="H491" s="116"/>
      <c r="I491" s="111"/>
      <c r="J491" s="115"/>
      <c r="K491" s="108"/>
      <c r="L491" s="98"/>
      <c r="M491" s="116"/>
      <c r="N491" s="111"/>
      <c r="O491" s="115"/>
      <c r="P491" s="108"/>
      <c r="Q491" s="98"/>
      <c r="R491" s="116"/>
      <c r="S491" s="83"/>
      <c r="T491" s="83"/>
      <c r="U491" s="83"/>
      <c r="V491" s="83"/>
      <c r="W491" s="83"/>
      <c r="X491" s="83"/>
      <c r="Y491" s="83"/>
      <c r="Z491" s="83"/>
    </row>
    <row r="492" ht="15.75" customHeight="1">
      <c r="A492" s="118"/>
      <c r="B492" s="118"/>
      <c r="C492" s="94"/>
      <c r="D492" s="111"/>
      <c r="E492" s="115"/>
      <c r="F492" s="108"/>
      <c r="G492" s="98"/>
      <c r="H492" s="116"/>
      <c r="I492" s="111"/>
      <c r="J492" s="115"/>
      <c r="K492" s="108"/>
      <c r="L492" s="98"/>
      <c r="M492" s="116"/>
      <c r="N492" s="111"/>
      <c r="O492" s="115"/>
      <c r="P492" s="108"/>
      <c r="Q492" s="98"/>
      <c r="R492" s="116"/>
      <c r="S492" s="83"/>
      <c r="T492" s="83"/>
      <c r="U492" s="83"/>
      <c r="V492" s="83"/>
      <c r="W492" s="83"/>
      <c r="X492" s="83"/>
      <c r="Y492" s="83"/>
      <c r="Z492" s="83"/>
    </row>
    <row r="493" ht="15.75" customHeight="1">
      <c r="A493" s="118"/>
      <c r="B493" s="118"/>
      <c r="C493" s="94"/>
      <c r="D493" s="111"/>
      <c r="E493" s="115"/>
      <c r="F493" s="108"/>
      <c r="G493" s="98"/>
      <c r="H493" s="116"/>
      <c r="I493" s="111"/>
      <c r="J493" s="115"/>
      <c r="K493" s="108"/>
      <c r="L493" s="98"/>
      <c r="M493" s="116"/>
      <c r="N493" s="111"/>
      <c r="O493" s="115"/>
      <c r="P493" s="108"/>
      <c r="Q493" s="98"/>
      <c r="R493" s="116"/>
      <c r="S493" s="83"/>
      <c r="T493" s="83"/>
      <c r="U493" s="83"/>
      <c r="V493" s="83"/>
      <c r="W493" s="83"/>
      <c r="X493" s="83"/>
      <c r="Y493" s="83"/>
      <c r="Z493" s="83"/>
    </row>
    <row r="494" ht="15.75" customHeight="1">
      <c r="A494" s="118"/>
      <c r="B494" s="118"/>
      <c r="C494" s="94"/>
      <c r="D494" s="111"/>
      <c r="E494" s="115"/>
      <c r="F494" s="108"/>
      <c r="G494" s="98"/>
      <c r="H494" s="116"/>
      <c r="I494" s="111"/>
      <c r="J494" s="115"/>
      <c r="K494" s="108"/>
      <c r="L494" s="98"/>
      <c r="M494" s="116"/>
      <c r="N494" s="111"/>
      <c r="O494" s="115"/>
      <c r="P494" s="108"/>
      <c r="Q494" s="98"/>
      <c r="R494" s="116"/>
      <c r="S494" s="83"/>
      <c r="T494" s="83"/>
      <c r="U494" s="83"/>
      <c r="V494" s="83"/>
      <c r="W494" s="83"/>
      <c r="X494" s="83"/>
      <c r="Y494" s="83"/>
      <c r="Z494" s="83"/>
    </row>
    <row r="495" ht="15.75" customHeight="1">
      <c r="A495" s="118"/>
      <c r="B495" s="118"/>
      <c r="C495" s="94"/>
      <c r="D495" s="111"/>
      <c r="E495" s="115"/>
      <c r="F495" s="108"/>
      <c r="G495" s="98"/>
      <c r="H495" s="116"/>
      <c r="I495" s="111"/>
      <c r="J495" s="115"/>
      <c r="K495" s="108"/>
      <c r="L495" s="98"/>
      <c r="M495" s="116"/>
      <c r="N495" s="111"/>
      <c r="O495" s="115"/>
      <c r="P495" s="108"/>
      <c r="Q495" s="98"/>
      <c r="R495" s="116"/>
      <c r="S495" s="83"/>
      <c r="T495" s="83"/>
      <c r="U495" s="83"/>
      <c r="V495" s="83"/>
      <c r="W495" s="83"/>
      <c r="X495" s="83"/>
      <c r="Y495" s="83"/>
      <c r="Z495" s="83"/>
    </row>
    <row r="496" ht="15.75" customHeight="1">
      <c r="A496" s="118"/>
      <c r="B496" s="118"/>
      <c r="C496" s="94"/>
      <c r="D496" s="111"/>
      <c r="E496" s="115"/>
      <c r="F496" s="108"/>
      <c r="G496" s="98"/>
      <c r="H496" s="116"/>
      <c r="I496" s="111"/>
      <c r="J496" s="115"/>
      <c r="K496" s="108"/>
      <c r="L496" s="98"/>
      <c r="M496" s="116"/>
      <c r="N496" s="111"/>
      <c r="O496" s="115"/>
      <c r="P496" s="108"/>
      <c r="Q496" s="98"/>
      <c r="R496" s="116"/>
      <c r="S496" s="83"/>
      <c r="T496" s="83"/>
      <c r="U496" s="83"/>
      <c r="V496" s="83"/>
      <c r="W496" s="83"/>
      <c r="X496" s="83"/>
      <c r="Y496" s="83"/>
      <c r="Z496" s="83"/>
    </row>
    <row r="497" ht="15.75" customHeight="1">
      <c r="A497" s="118"/>
      <c r="B497" s="118"/>
      <c r="C497" s="94"/>
      <c r="D497" s="111"/>
      <c r="E497" s="115"/>
      <c r="F497" s="108"/>
      <c r="G497" s="98"/>
      <c r="H497" s="116"/>
      <c r="I497" s="111"/>
      <c r="J497" s="115"/>
      <c r="K497" s="108"/>
      <c r="L497" s="98"/>
      <c r="M497" s="116"/>
      <c r="N497" s="111"/>
      <c r="O497" s="115"/>
      <c r="P497" s="108"/>
      <c r="Q497" s="98"/>
      <c r="R497" s="116"/>
      <c r="S497" s="83"/>
      <c r="T497" s="83"/>
      <c r="U497" s="83"/>
      <c r="V497" s="83"/>
      <c r="W497" s="83"/>
      <c r="X497" s="83"/>
      <c r="Y497" s="83"/>
      <c r="Z497" s="83"/>
    </row>
    <row r="498" ht="15.75" customHeight="1">
      <c r="A498" s="118"/>
      <c r="B498" s="118"/>
      <c r="C498" s="94"/>
      <c r="D498" s="111"/>
      <c r="E498" s="115"/>
      <c r="F498" s="108"/>
      <c r="G498" s="98"/>
      <c r="H498" s="116"/>
      <c r="I498" s="111"/>
      <c r="J498" s="115"/>
      <c r="K498" s="108"/>
      <c r="L498" s="98"/>
      <c r="M498" s="116"/>
      <c r="N498" s="111"/>
      <c r="O498" s="115"/>
      <c r="P498" s="108"/>
      <c r="Q498" s="98"/>
      <c r="R498" s="116"/>
      <c r="S498" s="83"/>
      <c r="T498" s="83"/>
      <c r="U498" s="83"/>
      <c r="V498" s="83"/>
      <c r="W498" s="83"/>
      <c r="X498" s="83"/>
      <c r="Y498" s="83"/>
      <c r="Z498" s="83"/>
    </row>
    <row r="499" ht="15.75" customHeight="1">
      <c r="A499" s="118"/>
      <c r="B499" s="118"/>
      <c r="C499" s="94"/>
      <c r="D499" s="111"/>
      <c r="E499" s="115"/>
      <c r="F499" s="108"/>
      <c r="G499" s="98"/>
      <c r="H499" s="116"/>
      <c r="I499" s="111"/>
      <c r="J499" s="115"/>
      <c r="K499" s="108"/>
      <c r="L499" s="98"/>
      <c r="M499" s="116"/>
      <c r="N499" s="111"/>
      <c r="O499" s="115"/>
      <c r="P499" s="108"/>
      <c r="Q499" s="98"/>
      <c r="R499" s="116"/>
      <c r="S499" s="83"/>
      <c r="T499" s="83"/>
      <c r="U499" s="83"/>
      <c r="V499" s="83"/>
      <c r="W499" s="83"/>
      <c r="X499" s="83"/>
      <c r="Y499" s="83"/>
      <c r="Z499" s="83"/>
    </row>
    <row r="500" ht="15.75" customHeight="1">
      <c r="A500" s="118"/>
      <c r="B500" s="118"/>
      <c r="C500" s="94"/>
      <c r="D500" s="111"/>
      <c r="E500" s="115"/>
      <c r="F500" s="108"/>
      <c r="G500" s="98"/>
      <c r="H500" s="116"/>
      <c r="I500" s="111"/>
      <c r="J500" s="115"/>
      <c r="K500" s="108"/>
      <c r="L500" s="98"/>
      <c r="M500" s="116"/>
      <c r="N500" s="111"/>
      <c r="O500" s="115"/>
      <c r="P500" s="108"/>
      <c r="Q500" s="98"/>
      <c r="R500" s="116"/>
      <c r="S500" s="83"/>
      <c r="T500" s="83"/>
      <c r="U500" s="83"/>
      <c r="V500" s="83"/>
      <c r="W500" s="83"/>
      <c r="X500" s="83"/>
      <c r="Y500" s="83"/>
      <c r="Z500" s="83"/>
    </row>
    <row r="501" ht="15.75" customHeight="1">
      <c r="A501" s="118"/>
      <c r="B501" s="118"/>
      <c r="C501" s="94"/>
      <c r="D501" s="111"/>
      <c r="E501" s="115"/>
      <c r="F501" s="108"/>
      <c r="G501" s="98"/>
      <c r="H501" s="116"/>
      <c r="I501" s="111"/>
      <c r="J501" s="115"/>
      <c r="K501" s="108"/>
      <c r="L501" s="98"/>
      <c r="M501" s="116"/>
      <c r="N501" s="111"/>
      <c r="O501" s="115"/>
      <c r="P501" s="108"/>
      <c r="Q501" s="98"/>
      <c r="R501" s="116"/>
      <c r="S501" s="83"/>
      <c r="T501" s="83"/>
      <c r="U501" s="83"/>
      <c r="V501" s="83"/>
      <c r="W501" s="83"/>
      <c r="X501" s="83"/>
      <c r="Y501" s="83"/>
      <c r="Z501" s="83"/>
    </row>
    <row r="502" ht="15.75" customHeight="1">
      <c r="A502" s="118"/>
      <c r="B502" s="118"/>
      <c r="C502" s="94"/>
      <c r="D502" s="111"/>
      <c r="E502" s="115"/>
      <c r="F502" s="108"/>
      <c r="G502" s="98"/>
      <c r="H502" s="116"/>
      <c r="I502" s="111"/>
      <c r="J502" s="115"/>
      <c r="K502" s="108"/>
      <c r="L502" s="98"/>
      <c r="M502" s="116"/>
      <c r="N502" s="111"/>
      <c r="O502" s="115"/>
      <c r="P502" s="108"/>
      <c r="Q502" s="98"/>
      <c r="R502" s="116"/>
      <c r="S502" s="83"/>
      <c r="T502" s="83"/>
      <c r="U502" s="83"/>
      <c r="V502" s="83"/>
      <c r="W502" s="83"/>
      <c r="X502" s="83"/>
      <c r="Y502" s="83"/>
      <c r="Z502" s="83"/>
    </row>
    <row r="503" ht="15.75" customHeight="1">
      <c r="A503" s="118"/>
      <c r="B503" s="118"/>
      <c r="C503" s="94"/>
      <c r="D503" s="111"/>
      <c r="E503" s="115"/>
      <c r="F503" s="108"/>
      <c r="G503" s="98"/>
      <c r="H503" s="116"/>
      <c r="I503" s="111"/>
      <c r="J503" s="115"/>
      <c r="K503" s="108"/>
      <c r="L503" s="98"/>
      <c r="M503" s="116"/>
      <c r="N503" s="111"/>
      <c r="O503" s="115"/>
      <c r="P503" s="108"/>
      <c r="Q503" s="98"/>
      <c r="R503" s="116"/>
      <c r="S503" s="83"/>
      <c r="T503" s="83"/>
      <c r="U503" s="83"/>
      <c r="V503" s="83"/>
      <c r="W503" s="83"/>
      <c r="X503" s="83"/>
      <c r="Y503" s="83"/>
      <c r="Z503" s="83"/>
    </row>
    <row r="504" ht="15.75" customHeight="1">
      <c r="A504" s="118"/>
      <c r="B504" s="118"/>
      <c r="C504" s="94"/>
      <c r="D504" s="111"/>
      <c r="E504" s="115"/>
      <c r="F504" s="108"/>
      <c r="G504" s="98"/>
      <c r="H504" s="116"/>
      <c r="I504" s="111"/>
      <c r="J504" s="115"/>
      <c r="K504" s="108"/>
      <c r="L504" s="98"/>
      <c r="M504" s="116"/>
      <c r="N504" s="111"/>
      <c r="O504" s="115"/>
      <c r="P504" s="108"/>
      <c r="Q504" s="98"/>
      <c r="R504" s="116"/>
      <c r="S504" s="83"/>
      <c r="T504" s="83"/>
      <c r="U504" s="83"/>
      <c r="V504" s="83"/>
      <c r="W504" s="83"/>
      <c r="X504" s="83"/>
      <c r="Y504" s="83"/>
      <c r="Z504" s="83"/>
    </row>
    <row r="505" ht="15.75" customHeight="1">
      <c r="A505" s="118"/>
      <c r="B505" s="118"/>
      <c r="C505" s="94"/>
      <c r="D505" s="111"/>
      <c r="E505" s="115"/>
      <c r="F505" s="108"/>
      <c r="G505" s="98"/>
      <c r="H505" s="116"/>
      <c r="I505" s="111"/>
      <c r="J505" s="115"/>
      <c r="K505" s="108"/>
      <c r="L505" s="98"/>
      <c r="M505" s="116"/>
      <c r="N505" s="111"/>
      <c r="O505" s="115"/>
      <c r="P505" s="108"/>
      <c r="Q505" s="98"/>
      <c r="R505" s="116"/>
      <c r="S505" s="83"/>
      <c r="T505" s="83"/>
      <c r="U505" s="83"/>
      <c r="V505" s="83"/>
      <c r="W505" s="83"/>
      <c r="X505" s="83"/>
      <c r="Y505" s="83"/>
      <c r="Z505" s="83"/>
    </row>
    <row r="506" ht="15.75" customHeight="1">
      <c r="A506" s="118"/>
      <c r="B506" s="118"/>
      <c r="C506" s="94"/>
      <c r="D506" s="111"/>
      <c r="E506" s="115"/>
      <c r="F506" s="108"/>
      <c r="G506" s="98"/>
      <c r="H506" s="116"/>
      <c r="I506" s="111"/>
      <c r="J506" s="115"/>
      <c r="K506" s="108"/>
      <c r="L506" s="98"/>
      <c r="M506" s="116"/>
      <c r="N506" s="111"/>
      <c r="O506" s="115"/>
      <c r="P506" s="108"/>
      <c r="Q506" s="98"/>
      <c r="R506" s="116"/>
      <c r="S506" s="83"/>
      <c r="T506" s="83"/>
      <c r="U506" s="83"/>
      <c r="V506" s="83"/>
      <c r="W506" s="83"/>
      <c r="X506" s="83"/>
      <c r="Y506" s="83"/>
      <c r="Z506" s="83"/>
    </row>
    <row r="507" ht="15.75" customHeight="1">
      <c r="A507" s="118"/>
      <c r="B507" s="118"/>
      <c r="C507" s="94"/>
      <c r="D507" s="111"/>
      <c r="E507" s="115"/>
      <c r="F507" s="108"/>
      <c r="G507" s="98"/>
      <c r="H507" s="116"/>
      <c r="I507" s="111"/>
      <c r="J507" s="115"/>
      <c r="K507" s="108"/>
      <c r="L507" s="98"/>
      <c r="M507" s="116"/>
      <c r="N507" s="111"/>
      <c r="O507" s="115"/>
      <c r="P507" s="108"/>
      <c r="Q507" s="98"/>
      <c r="R507" s="116"/>
      <c r="S507" s="83"/>
      <c r="T507" s="83"/>
      <c r="U507" s="83"/>
      <c r="V507" s="83"/>
      <c r="W507" s="83"/>
      <c r="X507" s="83"/>
      <c r="Y507" s="83"/>
      <c r="Z507" s="83"/>
    </row>
    <row r="508" ht="15.75" customHeight="1">
      <c r="A508" s="118"/>
      <c r="B508" s="118"/>
      <c r="C508" s="94"/>
      <c r="D508" s="111"/>
      <c r="E508" s="115"/>
      <c r="F508" s="108"/>
      <c r="G508" s="98"/>
      <c r="H508" s="116"/>
      <c r="I508" s="111"/>
      <c r="J508" s="115"/>
      <c r="K508" s="108"/>
      <c r="L508" s="98"/>
      <c r="M508" s="116"/>
      <c r="N508" s="111"/>
      <c r="O508" s="115"/>
      <c r="P508" s="108"/>
      <c r="Q508" s="98"/>
      <c r="R508" s="116"/>
      <c r="S508" s="83"/>
      <c r="T508" s="83"/>
      <c r="U508" s="83"/>
      <c r="V508" s="83"/>
      <c r="W508" s="83"/>
      <c r="X508" s="83"/>
      <c r="Y508" s="83"/>
      <c r="Z508" s="83"/>
    </row>
    <row r="509" ht="15.75" customHeight="1">
      <c r="A509" s="118"/>
      <c r="B509" s="118"/>
      <c r="C509" s="94"/>
      <c r="D509" s="111"/>
      <c r="E509" s="115"/>
      <c r="F509" s="108"/>
      <c r="G509" s="98"/>
      <c r="H509" s="116"/>
      <c r="I509" s="111"/>
      <c r="J509" s="115"/>
      <c r="K509" s="108"/>
      <c r="L509" s="98"/>
      <c r="M509" s="116"/>
      <c r="N509" s="111"/>
      <c r="O509" s="115"/>
      <c r="P509" s="108"/>
      <c r="Q509" s="98"/>
      <c r="R509" s="116"/>
      <c r="S509" s="83"/>
      <c r="T509" s="83"/>
      <c r="U509" s="83"/>
      <c r="V509" s="83"/>
      <c r="W509" s="83"/>
      <c r="X509" s="83"/>
      <c r="Y509" s="83"/>
      <c r="Z509" s="83"/>
    </row>
    <row r="510" ht="15.75" customHeight="1">
      <c r="A510" s="118"/>
      <c r="B510" s="118"/>
      <c r="C510" s="94"/>
      <c r="D510" s="111"/>
      <c r="E510" s="115"/>
      <c r="F510" s="108"/>
      <c r="G510" s="98"/>
      <c r="H510" s="116"/>
      <c r="I510" s="111"/>
      <c r="J510" s="115"/>
      <c r="K510" s="108"/>
      <c r="L510" s="98"/>
      <c r="M510" s="116"/>
      <c r="N510" s="111"/>
      <c r="O510" s="115"/>
      <c r="P510" s="108"/>
      <c r="Q510" s="98"/>
      <c r="R510" s="116"/>
      <c r="S510" s="83"/>
      <c r="T510" s="83"/>
      <c r="U510" s="83"/>
      <c r="V510" s="83"/>
      <c r="W510" s="83"/>
      <c r="X510" s="83"/>
      <c r="Y510" s="83"/>
      <c r="Z510" s="83"/>
    </row>
    <row r="511" ht="15.75" customHeight="1">
      <c r="A511" s="118"/>
      <c r="B511" s="118"/>
      <c r="C511" s="94"/>
      <c r="D511" s="111"/>
      <c r="E511" s="115"/>
      <c r="F511" s="108"/>
      <c r="G511" s="98"/>
      <c r="H511" s="116"/>
      <c r="I511" s="111"/>
      <c r="J511" s="115"/>
      <c r="K511" s="108"/>
      <c r="L511" s="98"/>
      <c r="M511" s="116"/>
      <c r="N511" s="111"/>
      <c r="O511" s="115"/>
      <c r="P511" s="108"/>
      <c r="Q511" s="98"/>
      <c r="R511" s="116"/>
      <c r="S511" s="83"/>
      <c r="T511" s="83"/>
      <c r="U511" s="83"/>
      <c r="V511" s="83"/>
      <c r="W511" s="83"/>
      <c r="X511" s="83"/>
      <c r="Y511" s="83"/>
      <c r="Z511" s="83"/>
    </row>
    <row r="512" ht="15.75" customHeight="1">
      <c r="A512" s="118"/>
      <c r="B512" s="118"/>
      <c r="C512" s="94"/>
      <c r="D512" s="111"/>
      <c r="E512" s="115"/>
      <c r="F512" s="108"/>
      <c r="G512" s="98"/>
      <c r="H512" s="116"/>
      <c r="I512" s="111"/>
      <c r="J512" s="115"/>
      <c r="K512" s="108"/>
      <c r="L512" s="98"/>
      <c r="M512" s="116"/>
      <c r="N512" s="111"/>
      <c r="O512" s="115"/>
      <c r="P512" s="108"/>
      <c r="Q512" s="98"/>
      <c r="R512" s="116"/>
      <c r="S512" s="83"/>
      <c r="T512" s="83"/>
      <c r="U512" s="83"/>
      <c r="V512" s="83"/>
      <c r="W512" s="83"/>
      <c r="X512" s="83"/>
      <c r="Y512" s="83"/>
      <c r="Z512" s="83"/>
    </row>
    <row r="513" ht="15.75" customHeight="1">
      <c r="A513" s="118"/>
      <c r="B513" s="118"/>
      <c r="C513" s="94"/>
      <c r="D513" s="111"/>
      <c r="E513" s="115"/>
      <c r="F513" s="108"/>
      <c r="G513" s="98"/>
      <c r="H513" s="116"/>
      <c r="I513" s="111"/>
      <c r="J513" s="115"/>
      <c r="K513" s="108"/>
      <c r="L513" s="98"/>
      <c r="M513" s="116"/>
      <c r="N513" s="111"/>
      <c r="O513" s="115"/>
      <c r="P513" s="108"/>
      <c r="Q513" s="98"/>
      <c r="R513" s="116"/>
      <c r="S513" s="83"/>
      <c r="T513" s="83"/>
      <c r="U513" s="83"/>
      <c r="V513" s="83"/>
      <c r="W513" s="83"/>
      <c r="X513" s="83"/>
      <c r="Y513" s="83"/>
      <c r="Z513" s="83"/>
    </row>
    <row r="514" ht="15.75" customHeight="1">
      <c r="A514" s="118"/>
      <c r="B514" s="118"/>
      <c r="C514" s="94"/>
      <c r="D514" s="111"/>
      <c r="E514" s="115"/>
      <c r="F514" s="108"/>
      <c r="G514" s="98"/>
      <c r="H514" s="116"/>
      <c r="I514" s="111"/>
      <c r="J514" s="115"/>
      <c r="K514" s="108"/>
      <c r="L514" s="98"/>
      <c r="M514" s="116"/>
      <c r="N514" s="111"/>
      <c r="O514" s="115"/>
      <c r="P514" s="108"/>
      <c r="Q514" s="98"/>
      <c r="R514" s="116"/>
      <c r="S514" s="83"/>
      <c r="T514" s="83"/>
      <c r="U514" s="83"/>
      <c r="V514" s="83"/>
      <c r="W514" s="83"/>
      <c r="X514" s="83"/>
      <c r="Y514" s="83"/>
      <c r="Z514" s="83"/>
    </row>
    <row r="515" ht="15.75" customHeight="1">
      <c r="A515" s="118"/>
      <c r="B515" s="118"/>
      <c r="C515" s="94"/>
      <c r="D515" s="111"/>
      <c r="E515" s="115"/>
      <c r="F515" s="108"/>
      <c r="G515" s="98"/>
      <c r="H515" s="116"/>
      <c r="I515" s="111"/>
      <c r="J515" s="115"/>
      <c r="K515" s="108"/>
      <c r="L515" s="98"/>
      <c r="M515" s="116"/>
      <c r="N515" s="111"/>
      <c r="O515" s="115"/>
      <c r="P515" s="108"/>
      <c r="Q515" s="98"/>
      <c r="R515" s="116"/>
      <c r="S515" s="83"/>
      <c r="T515" s="83"/>
      <c r="U515" s="83"/>
      <c r="V515" s="83"/>
      <c r="W515" s="83"/>
      <c r="X515" s="83"/>
      <c r="Y515" s="83"/>
      <c r="Z515" s="83"/>
    </row>
    <row r="516" ht="15.75" customHeight="1">
      <c r="A516" s="118"/>
      <c r="B516" s="118"/>
      <c r="C516" s="94"/>
      <c r="D516" s="111"/>
      <c r="E516" s="115"/>
      <c r="F516" s="108"/>
      <c r="G516" s="98"/>
      <c r="H516" s="116"/>
      <c r="I516" s="111"/>
      <c r="J516" s="115"/>
      <c r="K516" s="108"/>
      <c r="L516" s="98"/>
      <c r="M516" s="116"/>
      <c r="N516" s="111"/>
      <c r="O516" s="115"/>
      <c r="P516" s="108"/>
      <c r="Q516" s="98"/>
      <c r="R516" s="116"/>
      <c r="S516" s="83"/>
      <c r="T516" s="83"/>
      <c r="U516" s="83"/>
      <c r="V516" s="83"/>
      <c r="W516" s="83"/>
      <c r="X516" s="83"/>
      <c r="Y516" s="83"/>
      <c r="Z516" s="83"/>
    </row>
    <row r="517" ht="15.75" customHeight="1">
      <c r="A517" s="118"/>
      <c r="B517" s="118"/>
      <c r="C517" s="94"/>
      <c r="D517" s="111"/>
      <c r="E517" s="115"/>
      <c r="F517" s="108"/>
      <c r="G517" s="98"/>
      <c r="H517" s="116"/>
      <c r="I517" s="111"/>
      <c r="J517" s="115"/>
      <c r="K517" s="108"/>
      <c r="L517" s="98"/>
      <c r="M517" s="116"/>
      <c r="N517" s="111"/>
      <c r="O517" s="115"/>
      <c r="P517" s="108"/>
      <c r="Q517" s="98"/>
      <c r="R517" s="116"/>
      <c r="S517" s="83"/>
      <c r="T517" s="83"/>
      <c r="U517" s="83"/>
      <c r="V517" s="83"/>
      <c r="W517" s="83"/>
      <c r="X517" s="83"/>
      <c r="Y517" s="83"/>
      <c r="Z517" s="83"/>
    </row>
    <row r="518" ht="15.75" customHeight="1">
      <c r="A518" s="118"/>
      <c r="B518" s="118"/>
      <c r="C518" s="94"/>
      <c r="D518" s="111"/>
      <c r="E518" s="115"/>
      <c r="F518" s="108"/>
      <c r="G518" s="98"/>
      <c r="H518" s="116"/>
      <c r="I518" s="111"/>
      <c r="J518" s="115"/>
      <c r="K518" s="108"/>
      <c r="L518" s="98"/>
      <c r="M518" s="116"/>
      <c r="N518" s="111"/>
      <c r="O518" s="115"/>
      <c r="P518" s="108"/>
      <c r="Q518" s="98"/>
      <c r="R518" s="116"/>
      <c r="S518" s="83"/>
      <c r="T518" s="83"/>
      <c r="U518" s="83"/>
      <c r="V518" s="83"/>
      <c r="W518" s="83"/>
      <c r="X518" s="83"/>
      <c r="Y518" s="83"/>
      <c r="Z518" s="83"/>
    </row>
    <row r="519" ht="15.75" customHeight="1">
      <c r="A519" s="118"/>
      <c r="B519" s="118"/>
      <c r="C519" s="94"/>
      <c r="D519" s="111"/>
      <c r="E519" s="115"/>
      <c r="F519" s="108"/>
      <c r="G519" s="98"/>
      <c r="H519" s="116"/>
      <c r="I519" s="111"/>
      <c r="J519" s="115"/>
      <c r="K519" s="108"/>
      <c r="L519" s="98"/>
      <c r="M519" s="116"/>
      <c r="N519" s="111"/>
      <c r="O519" s="115"/>
      <c r="P519" s="108"/>
      <c r="Q519" s="98"/>
      <c r="R519" s="116"/>
      <c r="S519" s="83"/>
      <c r="T519" s="83"/>
      <c r="U519" s="83"/>
      <c r="V519" s="83"/>
      <c r="W519" s="83"/>
      <c r="X519" s="83"/>
      <c r="Y519" s="83"/>
      <c r="Z519" s="83"/>
    </row>
    <row r="520" ht="15.75" customHeight="1">
      <c r="A520" s="118"/>
      <c r="B520" s="118"/>
      <c r="C520" s="94"/>
      <c r="D520" s="111"/>
      <c r="E520" s="115"/>
      <c r="F520" s="108"/>
      <c r="G520" s="98"/>
      <c r="H520" s="116"/>
      <c r="I520" s="111"/>
      <c r="J520" s="115"/>
      <c r="K520" s="108"/>
      <c r="L520" s="98"/>
      <c r="M520" s="116"/>
      <c r="N520" s="111"/>
      <c r="O520" s="115"/>
      <c r="P520" s="108"/>
      <c r="Q520" s="98"/>
      <c r="R520" s="116"/>
      <c r="S520" s="83"/>
      <c r="T520" s="83"/>
      <c r="U520" s="83"/>
      <c r="V520" s="83"/>
      <c r="W520" s="83"/>
      <c r="X520" s="83"/>
      <c r="Y520" s="83"/>
      <c r="Z520" s="83"/>
    </row>
    <row r="521" ht="15.75" customHeight="1">
      <c r="A521" s="118"/>
      <c r="B521" s="118"/>
      <c r="C521" s="94"/>
      <c r="D521" s="111"/>
      <c r="E521" s="115"/>
      <c r="F521" s="108"/>
      <c r="G521" s="98"/>
      <c r="H521" s="116"/>
      <c r="I521" s="111"/>
      <c r="J521" s="115"/>
      <c r="K521" s="108"/>
      <c r="L521" s="98"/>
      <c r="M521" s="116"/>
      <c r="N521" s="111"/>
      <c r="O521" s="115"/>
      <c r="P521" s="108"/>
      <c r="Q521" s="98"/>
      <c r="R521" s="116"/>
      <c r="S521" s="83"/>
      <c r="T521" s="83"/>
      <c r="U521" s="83"/>
      <c r="V521" s="83"/>
      <c r="W521" s="83"/>
      <c r="X521" s="83"/>
      <c r="Y521" s="83"/>
      <c r="Z521" s="83"/>
    </row>
    <row r="522" ht="15.75" customHeight="1">
      <c r="A522" s="118"/>
      <c r="B522" s="118"/>
      <c r="C522" s="94"/>
      <c r="D522" s="111"/>
      <c r="E522" s="115"/>
      <c r="F522" s="108"/>
      <c r="G522" s="98"/>
      <c r="H522" s="116"/>
      <c r="I522" s="111"/>
      <c r="J522" s="115"/>
      <c r="K522" s="108"/>
      <c r="L522" s="98"/>
      <c r="M522" s="116"/>
      <c r="N522" s="111"/>
      <c r="O522" s="115"/>
      <c r="P522" s="108"/>
      <c r="Q522" s="98"/>
      <c r="R522" s="116"/>
      <c r="S522" s="83"/>
      <c r="T522" s="83"/>
      <c r="U522" s="83"/>
      <c r="V522" s="83"/>
      <c r="W522" s="83"/>
      <c r="X522" s="83"/>
      <c r="Y522" s="83"/>
      <c r="Z522" s="83"/>
    </row>
    <row r="523" ht="15.75" customHeight="1">
      <c r="A523" s="118"/>
      <c r="B523" s="118"/>
      <c r="C523" s="94"/>
      <c r="D523" s="111"/>
      <c r="E523" s="115"/>
      <c r="F523" s="108"/>
      <c r="G523" s="98"/>
      <c r="H523" s="116"/>
      <c r="I523" s="111"/>
      <c r="J523" s="115"/>
      <c r="K523" s="108"/>
      <c r="L523" s="98"/>
      <c r="M523" s="116"/>
      <c r="N523" s="111"/>
      <c r="O523" s="115"/>
      <c r="P523" s="108"/>
      <c r="Q523" s="98"/>
      <c r="R523" s="116"/>
      <c r="S523" s="83"/>
      <c r="T523" s="83"/>
      <c r="U523" s="83"/>
      <c r="V523" s="83"/>
      <c r="W523" s="83"/>
      <c r="X523" s="83"/>
      <c r="Y523" s="83"/>
      <c r="Z523" s="83"/>
    </row>
    <row r="524" ht="15.75" customHeight="1">
      <c r="A524" s="118"/>
      <c r="B524" s="118"/>
      <c r="C524" s="94"/>
      <c r="D524" s="111"/>
      <c r="E524" s="115"/>
      <c r="F524" s="108"/>
      <c r="G524" s="98"/>
      <c r="H524" s="116"/>
      <c r="I524" s="111"/>
      <c r="J524" s="115"/>
      <c r="K524" s="108"/>
      <c r="L524" s="98"/>
      <c r="M524" s="116"/>
      <c r="N524" s="111"/>
      <c r="O524" s="115"/>
      <c r="P524" s="108"/>
      <c r="Q524" s="98"/>
      <c r="R524" s="116"/>
      <c r="S524" s="83"/>
      <c r="T524" s="83"/>
      <c r="U524" s="83"/>
      <c r="V524" s="83"/>
      <c r="W524" s="83"/>
      <c r="X524" s="83"/>
      <c r="Y524" s="83"/>
      <c r="Z524" s="83"/>
    </row>
    <row r="525" ht="15.75" customHeight="1">
      <c r="A525" s="118"/>
      <c r="B525" s="118"/>
      <c r="C525" s="94"/>
      <c r="D525" s="111"/>
      <c r="E525" s="115"/>
      <c r="F525" s="108"/>
      <c r="G525" s="98"/>
      <c r="H525" s="116"/>
      <c r="I525" s="111"/>
      <c r="J525" s="115"/>
      <c r="K525" s="108"/>
      <c r="L525" s="98"/>
      <c r="M525" s="116"/>
      <c r="N525" s="111"/>
      <c r="O525" s="115"/>
      <c r="P525" s="108"/>
      <c r="Q525" s="98"/>
      <c r="R525" s="116"/>
      <c r="S525" s="83"/>
      <c r="T525" s="83"/>
      <c r="U525" s="83"/>
      <c r="V525" s="83"/>
      <c r="W525" s="83"/>
      <c r="X525" s="83"/>
      <c r="Y525" s="83"/>
      <c r="Z525" s="83"/>
    </row>
    <row r="526" ht="15.75" customHeight="1">
      <c r="A526" s="118"/>
      <c r="B526" s="118"/>
      <c r="C526" s="94"/>
      <c r="D526" s="111"/>
      <c r="E526" s="115"/>
      <c r="F526" s="108"/>
      <c r="G526" s="98"/>
      <c r="H526" s="116"/>
      <c r="I526" s="111"/>
      <c r="J526" s="115"/>
      <c r="K526" s="108"/>
      <c r="L526" s="98"/>
      <c r="M526" s="116"/>
      <c r="N526" s="111"/>
      <c r="O526" s="115"/>
      <c r="P526" s="108"/>
      <c r="Q526" s="98"/>
      <c r="R526" s="116"/>
      <c r="S526" s="83"/>
      <c r="T526" s="83"/>
      <c r="U526" s="83"/>
      <c r="V526" s="83"/>
      <c r="W526" s="83"/>
      <c r="X526" s="83"/>
      <c r="Y526" s="83"/>
      <c r="Z526" s="83"/>
    </row>
    <row r="527" ht="15.75" customHeight="1">
      <c r="A527" s="118"/>
      <c r="B527" s="118"/>
      <c r="C527" s="94"/>
      <c r="D527" s="111"/>
      <c r="E527" s="115"/>
      <c r="F527" s="108"/>
      <c r="G527" s="98"/>
      <c r="H527" s="116"/>
      <c r="I527" s="111"/>
      <c r="J527" s="115"/>
      <c r="K527" s="108"/>
      <c r="L527" s="98"/>
      <c r="M527" s="116"/>
      <c r="N527" s="111"/>
      <c r="O527" s="115"/>
      <c r="P527" s="108"/>
      <c r="Q527" s="98"/>
      <c r="R527" s="116"/>
      <c r="S527" s="83"/>
      <c r="T527" s="83"/>
      <c r="U527" s="83"/>
      <c r="V527" s="83"/>
      <c r="W527" s="83"/>
      <c r="X527" s="83"/>
      <c r="Y527" s="83"/>
      <c r="Z527" s="83"/>
    </row>
    <row r="528" ht="15.75" customHeight="1">
      <c r="A528" s="118"/>
      <c r="B528" s="118"/>
      <c r="C528" s="94"/>
      <c r="D528" s="111"/>
      <c r="E528" s="115"/>
      <c r="F528" s="108"/>
      <c r="G528" s="98"/>
      <c r="H528" s="116"/>
      <c r="I528" s="111"/>
      <c r="J528" s="115"/>
      <c r="K528" s="108"/>
      <c r="L528" s="98"/>
      <c r="M528" s="116"/>
      <c r="N528" s="111"/>
      <c r="O528" s="115"/>
      <c r="P528" s="108"/>
      <c r="Q528" s="98"/>
      <c r="R528" s="116"/>
      <c r="S528" s="83"/>
      <c r="T528" s="83"/>
      <c r="U528" s="83"/>
      <c r="V528" s="83"/>
      <c r="W528" s="83"/>
      <c r="X528" s="83"/>
      <c r="Y528" s="83"/>
      <c r="Z528" s="83"/>
    </row>
    <row r="529" ht="15.75" customHeight="1">
      <c r="A529" s="118"/>
      <c r="B529" s="118"/>
      <c r="C529" s="94"/>
      <c r="D529" s="111"/>
      <c r="E529" s="115"/>
      <c r="F529" s="108"/>
      <c r="G529" s="98"/>
      <c r="H529" s="116"/>
      <c r="I529" s="111"/>
      <c r="J529" s="115"/>
      <c r="K529" s="108"/>
      <c r="L529" s="98"/>
      <c r="M529" s="116"/>
      <c r="N529" s="111"/>
      <c r="O529" s="115"/>
      <c r="P529" s="108"/>
      <c r="Q529" s="98"/>
      <c r="R529" s="116"/>
      <c r="S529" s="83"/>
      <c r="T529" s="83"/>
      <c r="U529" s="83"/>
      <c r="V529" s="83"/>
      <c r="W529" s="83"/>
      <c r="X529" s="83"/>
      <c r="Y529" s="83"/>
      <c r="Z529" s="83"/>
    </row>
    <row r="530" ht="15.75" customHeight="1">
      <c r="A530" s="118"/>
      <c r="B530" s="118"/>
      <c r="C530" s="94"/>
      <c r="D530" s="111"/>
      <c r="E530" s="115"/>
      <c r="F530" s="108"/>
      <c r="G530" s="98"/>
      <c r="H530" s="116"/>
      <c r="I530" s="111"/>
      <c r="J530" s="115"/>
      <c r="K530" s="108"/>
      <c r="L530" s="98"/>
      <c r="M530" s="116"/>
      <c r="N530" s="111"/>
      <c r="O530" s="115"/>
      <c r="P530" s="108"/>
      <c r="Q530" s="98"/>
      <c r="R530" s="116"/>
      <c r="S530" s="83"/>
      <c r="T530" s="83"/>
      <c r="U530" s="83"/>
      <c r="V530" s="83"/>
      <c r="W530" s="83"/>
      <c r="X530" s="83"/>
      <c r="Y530" s="83"/>
      <c r="Z530" s="83"/>
    </row>
    <row r="531" ht="15.75" customHeight="1">
      <c r="A531" s="118"/>
      <c r="B531" s="118"/>
      <c r="C531" s="94"/>
      <c r="D531" s="111"/>
      <c r="E531" s="115"/>
      <c r="F531" s="108"/>
      <c r="G531" s="98"/>
      <c r="H531" s="116"/>
      <c r="I531" s="111"/>
      <c r="J531" s="115"/>
      <c r="K531" s="108"/>
      <c r="L531" s="98"/>
      <c r="M531" s="116"/>
      <c r="N531" s="111"/>
      <c r="O531" s="115"/>
      <c r="P531" s="108"/>
      <c r="Q531" s="98"/>
      <c r="R531" s="116"/>
      <c r="S531" s="83"/>
      <c r="T531" s="83"/>
      <c r="U531" s="83"/>
      <c r="V531" s="83"/>
      <c r="W531" s="83"/>
      <c r="X531" s="83"/>
      <c r="Y531" s="83"/>
      <c r="Z531" s="83"/>
    </row>
    <row r="532" ht="15.75" customHeight="1">
      <c r="A532" s="118"/>
      <c r="B532" s="118"/>
      <c r="C532" s="94"/>
      <c r="D532" s="111"/>
      <c r="E532" s="115"/>
      <c r="F532" s="108"/>
      <c r="G532" s="98"/>
      <c r="H532" s="116"/>
      <c r="I532" s="111"/>
      <c r="J532" s="115"/>
      <c r="K532" s="108"/>
      <c r="L532" s="98"/>
      <c r="M532" s="116"/>
      <c r="N532" s="111"/>
      <c r="O532" s="115"/>
      <c r="P532" s="108"/>
      <c r="Q532" s="98"/>
      <c r="R532" s="116"/>
      <c r="S532" s="83"/>
      <c r="T532" s="83"/>
      <c r="U532" s="83"/>
      <c r="V532" s="83"/>
      <c r="W532" s="83"/>
      <c r="X532" s="83"/>
      <c r="Y532" s="83"/>
      <c r="Z532" s="83"/>
    </row>
    <row r="533" ht="15.75" customHeight="1">
      <c r="A533" s="118"/>
      <c r="B533" s="118"/>
      <c r="C533" s="94"/>
      <c r="D533" s="111"/>
      <c r="E533" s="115"/>
      <c r="F533" s="108"/>
      <c r="G533" s="98"/>
      <c r="H533" s="116"/>
      <c r="I533" s="111"/>
      <c r="J533" s="115"/>
      <c r="K533" s="108"/>
      <c r="L533" s="98"/>
      <c r="M533" s="116"/>
      <c r="N533" s="111"/>
      <c r="O533" s="115"/>
      <c r="P533" s="108"/>
      <c r="Q533" s="98"/>
      <c r="R533" s="116"/>
      <c r="S533" s="83"/>
      <c r="T533" s="83"/>
      <c r="U533" s="83"/>
      <c r="V533" s="83"/>
      <c r="W533" s="83"/>
      <c r="X533" s="83"/>
      <c r="Y533" s="83"/>
      <c r="Z533" s="83"/>
    </row>
    <row r="534" ht="15.75" customHeight="1">
      <c r="A534" s="118"/>
      <c r="B534" s="118"/>
      <c r="C534" s="94"/>
      <c r="D534" s="111"/>
      <c r="E534" s="115"/>
      <c r="F534" s="108"/>
      <c r="G534" s="98"/>
      <c r="H534" s="116"/>
      <c r="I534" s="111"/>
      <c r="J534" s="115"/>
      <c r="K534" s="108"/>
      <c r="L534" s="98"/>
      <c r="M534" s="116"/>
      <c r="N534" s="111"/>
      <c r="O534" s="115"/>
      <c r="P534" s="108"/>
      <c r="Q534" s="98"/>
      <c r="R534" s="116"/>
      <c r="S534" s="83"/>
      <c r="T534" s="83"/>
      <c r="U534" s="83"/>
      <c r="V534" s="83"/>
      <c r="W534" s="83"/>
      <c r="X534" s="83"/>
      <c r="Y534" s="83"/>
      <c r="Z534" s="83"/>
    </row>
    <row r="535" ht="15.75" customHeight="1">
      <c r="A535" s="118"/>
      <c r="B535" s="118"/>
      <c r="C535" s="94"/>
      <c r="D535" s="111"/>
      <c r="E535" s="115"/>
      <c r="F535" s="108"/>
      <c r="G535" s="98"/>
      <c r="H535" s="116"/>
      <c r="I535" s="111"/>
      <c r="J535" s="115"/>
      <c r="K535" s="108"/>
      <c r="L535" s="98"/>
      <c r="M535" s="116"/>
      <c r="N535" s="111"/>
      <c r="O535" s="115"/>
      <c r="P535" s="108"/>
      <c r="Q535" s="98"/>
      <c r="R535" s="116"/>
      <c r="S535" s="83"/>
      <c r="T535" s="83"/>
      <c r="U535" s="83"/>
      <c r="V535" s="83"/>
      <c r="W535" s="83"/>
      <c r="X535" s="83"/>
      <c r="Y535" s="83"/>
      <c r="Z535" s="83"/>
    </row>
    <row r="536" ht="15.75" customHeight="1">
      <c r="A536" s="118"/>
      <c r="B536" s="118"/>
      <c r="C536" s="94"/>
      <c r="D536" s="111"/>
      <c r="E536" s="115"/>
      <c r="F536" s="108"/>
      <c r="G536" s="98"/>
      <c r="H536" s="116"/>
      <c r="I536" s="111"/>
      <c r="J536" s="115"/>
      <c r="K536" s="108"/>
      <c r="L536" s="98"/>
      <c r="M536" s="116"/>
      <c r="N536" s="111"/>
      <c r="O536" s="115"/>
      <c r="P536" s="108"/>
      <c r="Q536" s="98"/>
      <c r="R536" s="116"/>
      <c r="S536" s="83"/>
      <c r="T536" s="83"/>
      <c r="U536" s="83"/>
      <c r="V536" s="83"/>
      <c r="W536" s="83"/>
      <c r="X536" s="83"/>
      <c r="Y536" s="83"/>
      <c r="Z536" s="83"/>
    </row>
    <row r="537" ht="15.75" customHeight="1">
      <c r="A537" s="118"/>
      <c r="B537" s="118"/>
      <c r="C537" s="94"/>
      <c r="D537" s="111"/>
      <c r="E537" s="115"/>
      <c r="F537" s="108"/>
      <c r="G537" s="98"/>
      <c r="H537" s="116"/>
      <c r="I537" s="111"/>
      <c r="J537" s="115"/>
      <c r="K537" s="108"/>
      <c r="L537" s="98"/>
      <c r="M537" s="116"/>
      <c r="N537" s="111"/>
      <c r="O537" s="115"/>
      <c r="P537" s="108"/>
      <c r="Q537" s="98"/>
      <c r="R537" s="116"/>
      <c r="S537" s="83"/>
      <c r="T537" s="83"/>
      <c r="U537" s="83"/>
      <c r="V537" s="83"/>
      <c r="W537" s="83"/>
      <c r="X537" s="83"/>
      <c r="Y537" s="83"/>
      <c r="Z537" s="83"/>
    </row>
    <row r="538" ht="15.75" customHeight="1">
      <c r="A538" s="118"/>
      <c r="B538" s="118"/>
      <c r="C538" s="94"/>
      <c r="D538" s="111"/>
      <c r="E538" s="115"/>
      <c r="F538" s="108"/>
      <c r="G538" s="98"/>
      <c r="H538" s="116"/>
      <c r="I538" s="111"/>
      <c r="J538" s="115"/>
      <c r="K538" s="108"/>
      <c r="L538" s="98"/>
      <c r="M538" s="116"/>
      <c r="N538" s="111"/>
      <c r="O538" s="115"/>
      <c r="P538" s="108"/>
      <c r="Q538" s="98"/>
      <c r="R538" s="116"/>
      <c r="S538" s="83"/>
      <c r="T538" s="83"/>
      <c r="U538" s="83"/>
      <c r="V538" s="83"/>
      <c r="W538" s="83"/>
      <c r="X538" s="83"/>
      <c r="Y538" s="83"/>
      <c r="Z538" s="83"/>
    </row>
    <row r="539" ht="15.75" customHeight="1">
      <c r="A539" s="118"/>
      <c r="B539" s="118"/>
      <c r="C539" s="94"/>
      <c r="D539" s="111"/>
      <c r="E539" s="115"/>
      <c r="F539" s="108"/>
      <c r="G539" s="98"/>
      <c r="H539" s="116"/>
      <c r="I539" s="111"/>
      <c r="J539" s="115"/>
      <c r="K539" s="108"/>
      <c r="L539" s="98"/>
      <c r="M539" s="116"/>
      <c r="N539" s="111"/>
      <c r="O539" s="115"/>
      <c r="P539" s="108"/>
      <c r="Q539" s="98"/>
      <c r="R539" s="116"/>
      <c r="S539" s="83"/>
      <c r="T539" s="83"/>
      <c r="U539" s="83"/>
      <c r="V539" s="83"/>
      <c r="W539" s="83"/>
      <c r="X539" s="83"/>
      <c r="Y539" s="83"/>
      <c r="Z539" s="83"/>
    </row>
    <row r="540" ht="15.75" customHeight="1">
      <c r="A540" s="118"/>
      <c r="B540" s="118"/>
      <c r="C540" s="94"/>
      <c r="D540" s="111"/>
      <c r="E540" s="115"/>
      <c r="F540" s="108"/>
      <c r="G540" s="98"/>
      <c r="H540" s="116"/>
      <c r="I540" s="111"/>
      <c r="J540" s="115"/>
      <c r="K540" s="108"/>
      <c r="L540" s="98"/>
      <c r="M540" s="116"/>
      <c r="N540" s="111"/>
      <c r="O540" s="115"/>
      <c r="P540" s="108"/>
      <c r="Q540" s="98"/>
      <c r="R540" s="116"/>
      <c r="S540" s="83"/>
      <c r="T540" s="83"/>
      <c r="U540" s="83"/>
      <c r="V540" s="83"/>
      <c r="W540" s="83"/>
      <c r="X540" s="83"/>
      <c r="Y540" s="83"/>
      <c r="Z540" s="83"/>
    </row>
    <row r="541" ht="15.75" customHeight="1">
      <c r="A541" s="118"/>
      <c r="B541" s="118"/>
      <c r="C541" s="94"/>
      <c r="D541" s="111"/>
      <c r="E541" s="115"/>
      <c r="F541" s="108"/>
      <c r="G541" s="98"/>
      <c r="H541" s="116"/>
      <c r="I541" s="111"/>
      <c r="J541" s="115"/>
      <c r="K541" s="108"/>
      <c r="L541" s="98"/>
      <c r="M541" s="116"/>
      <c r="N541" s="111"/>
      <c r="O541" s="115"/>
      <c r="P541" s="108"/>
      <c r="Q541" s="98"/>
      <c r="R541" s="116"/>
      <c r="S541" s="83"/>
      <c r="T541" s="83"/>
      <c r="U541" s="83"/>
      <c r="V541" s="83"/>
      <c r="W541" s="83"/>
      <c r="X541" s="83"/>
      <c r="Y541" s="83"/>
      <c r="Z541" s="83"/>
    </row>
    <row r="542" ht="15.75" customHeight="1">
      <c r="A542" s="118"/>
      <c r="B542" s="118"/>
      <c r="C542" s="94"/>
      <c r="D542" s="111"/>
      <c r="E542" s="115"/>
      <c r="F542" s="108"/>
      <c r="G542" s="98"/>
      <c r="H542" s="116"/>
      <c r="I542" s="111"/>
      <c r="J542" s="115"/>
      <c r="K542" s="108"/>
      <c r="L542" s="98"/>
      <c r="M542" s="116"/>
      <c r="N542" s="111"/>
      <c r="O542" s="115"/>
      <c r="P542" s="108"/>
      <c r="Q542" s="98"/>
      <c r="R542" s="116"/>
      <c r="S542" s="83"/>
      <c r="T542" s="83"/>
      <c r="U542" s="83"/>
      <c r="V542" s="83"/>
      <c r="W542" s="83"/>
      <c r="X542" s="83"/>
      <c r="Y542" s="83"/>
      <c r="Z542" s="83"/>
    </row>
    <row r="543" ht="15.75" customHeight="1">
      <c r="A543" s="118"/>
      <c r="B543" s="118"/>
      <c r="C543" s="94"/>
      <c r="D543" s="111"/>
      <c r="E543" s="115"/>
      <c r="F543" s="108"/>
      <c r="G543" s="98"/>
      <c r="H543" s="116"/>
      <c r="I543" s="111"/>
      <c r="J543" s="115"/>
      <c r="K543" s="108"/>
      <c r="L543" s="98"/>
      <c r="M543" s="116"/>
      <c r="N543" s="111"/>
      <c r="O543" s="115"/>
      <c r="P543" s="108"/>
      <c r="Q543" s="98"/>
      <c r="R543" s="116"/>
      <c r="S543" s="83"/>
      <c r="T543" s="83"/>
      <c r="U543" s="83"/>
      <c r="V543" s="83"/>
      <c r="W543" s="83"/>
      <c r="X543" s="83"/>
      <c r="Y543" s="83"/>
      <c r="Z543" s="83"/>
    </row>
    <row r="544" ht="15.75" customHeight="1">
      <c r="A544" s="118"/>
      <c r="B544" s="118"/>
      <c r="C544" s="94"/>
      <c r="D544" s="111"/>
      <c r="E544" s="115"/>
      <c r="F544" s="108"/>
      <c r="G544" s="98"/>
      <c r="H544" s="116"/>
      <c r="I544" s="111"/>
      <c r="J544" s="115"/>
      <c r="K544" s="108"/>
      <c r="L544" s="98"/>
      <c r="M544" s="116"/>
      <c r="N544" s="111"/>
      <c r="O544" s="115"/>
      <c r="P544" s="108"/>
      <c r="Q544" s="98"/>
      <c r="R544" s="116"/>
      <c r="S544" s="83"/>
      <c r="T544" s="83"/>
      <c r="U544" s="83"/>
      <c r="V544" s="83"/>
      <c r="W544" s="83"/>
      <c r="X544" s="83"/>
      <c r="Y544" s="83"/>
      <c r="Z544" s="83"/>
    </row>
    <row r="545" ht="15.75" customHeight="1">
      <c r="A545" s="118"/>
      <c r="B545" s="118"/>
      <c r="C545" s="94"/>
      <c r="D545" s="111"/>
      <c r="E545" s="115"/>
      <c r="F545" s="108"/>
      <c r="G545" s="98"/>
      <c r="H545" s="116"/>
      <c r="I545" s="111"/>
      <c r="J545" s="115"/>
      <c r="K545" s="108"/>
      <c r="L545" s="98"/>
      <c r="M545" s="116"/>
      <c r="N545" s="111"/>
      <c r="O545" s="115"/>
      <c r="P545" s="108"/>
      <c r="Q545" s="98"/>
      <c r="R545" s="116"/>
      <c r="S545" s="83"/>
      <c r="T545" s="83"/>
      <c r="U545" s="83"/>
      <c r="V545" s="83"/>
      <c r="W545" s="83"/>
      <c r="X545" s="83"/>
      <c r="Y545" s="83"/>
      <c r="Z545" s="83"/>
    </row>
    <row r="546" ht="15.75" customHeight="1">
      <c r="A546" s="118"/>
      <c r="B546" s="118"/>
      <c r="C546" s="94"/>
      <c r="D546" s="111"/>
      <c r="E546" s="115"/>
      <c r="F546" s="108"/>
      <c r="G546" s="98"/>
      <c r="H546" s="116"/>
      <c r="I546" s="111"/>
      <c r="J546" s="115"/>
      <c r="K546" s="108"/>
      <c r="L546" s="98"/>
      <c r="M546" s="116"/>
      <c r="N546" s="111"/>
      <c r="O546" s="115"/>
      <c r="P546" s="108"/>
      <c r="Q546" s="98"/>
      <c r="R546" s="116"/>
      <c r="S546" s="83"/>
      <c r="T546" s="83"/>
      <c r="U546" s="83"/>
      <c r="V546" s="83"/>
      <c r="W546" s="83"/>
      <c r="X546" s="83"/>
      <c r="Y546" s="83"/>
      <c r="Z546" s="83"/>
    </row>
    <row r="547" ht="15.75" customHeight="1">
      <c r="A547" s="118"/>
      <c r="B547" s="118"/>
      <c r="C547" s="94"/>
      <c r="D547" s="111"/>
      <c r="E547" s="115"/>
      <c r="F547" s="108"/>
      <c r="G547" s="98"/>
      <c r="H547" s="116"/>
      <c r="I547" s="111"/>
      <c r="J547" s="115"/>
      <c r="K547" s="108"/>
      <c r="L547" s="98"/>
      <c r="M547" s="116"/>
      <c r="N547" s="111"/>
      <c r="O547" s="115"/>
      <c r="P547" s="108"/>
      <c r="Q547" s="98"/>
      <c r="R547" s="116"/>
      <c r="S547" s="83"/>
      <c r="T547" s="83"/>
      <c r="U547" s="83"/>
      <c r="V547" s="83"/>
      <c r="W547" s="83"/>
      <c r="X547" s="83"/>
      <c r="Y547" s="83"/>
      <c r="Z547" s="83"/>
    </row>
    <row r="548" ht="15.75" customHeight="1">
      <c r="A548" s="118"/>
      <c r="B548" s="118"/>
      <c r="C548" s="94"/>
      <c r="D548" s="111"/>
      <c r="E548" s="115"/>
      <c r="F548" s="108"/>
      <c r="G548" s="98"/>
      <c r="H548" s="116"/>
      <c r="I548" s="111"/>
      <c r="J548" s="115"/>
      <c r="K548" s="108"/>
      <c r="L548" s="98"/>
      <c r="M548" s="116"/>
      <c r="N548" s="111"/>
      <c r="O548" s="115"/>
      <c r="P548" s="108"/>
      <c r="Q548" s="98"/>
      <c r="R548" s="116"/>
      <c r="S548" s="83"/>
      <c r="T548" s="83"/>
      <c r="U548" s="83"/>
      <c r="V548" s="83"/>
      <c r="W548" s="83"/>
      <c r="X548" s="83"/>
      <c r="Y548" s="83"/>
      <c r="Z548" s="83"/>
    </row>
    <row r="549" ht="15.75" customHeight="1">
      <c r="A549" s="118"/>
      <c r="B549" s="118"/>
      <c r="C549" s="94"/>
      <c r="D549" s="111"/>
      <c r="E549" s="115"/>
      <c r="F549" s="108"/>
      <c r="G549" s="98"/>
      <c r="H549" s="116"/>
      <c r="I549" s="111"/>
      <c r="J549" s="115"/>
      <c r="K549" s="108"/>
      <c r="L549" s="98"/>
      <c r="M549" s="116"/>
      <c r="N549" s="111"/>
      <c r="O549" s="115"/>
      <c r="P549" s="108"/>
      <c r="Q549" s="98"/>
      <c r="R549" s="116"/>
      <c r="S549" s="83"/>
      <c r="T549" s="83"/>
      <c r="U549" s="83"/>
      <c r="V549" s="83"/>
      <c r="W549" s="83"/>
      <c r="X549" s="83"/>
      <c r="Y549" s="83"/>
      <c r="Z549" s="83"/>
    </row>
    <row r="550" ht="15.75" customHeight="1">
      <c r="A550" s="118"/>
      <c r="B550" s="118"/>
      <c r="C550" s="94"/>
      <c r="D550" s="111"/>
      <c r="E550" s="115"/>
      <c r="F550" s="108"/>
      <c r="G550" s="98"/>
      <c r="H550" s="116"/>
      <c r="I550" s="111"/>
      <c r="J550" s="115"/>
      <c r="K550" s="108"/>
      <c r="L550" s="98"/>
      <c r="M550" s="116"/>
      <c r="N550" s="111"/>
      <c r="O550" s="115"/>
      <c r="P550" s="108"/>
      <c r="Q550" s="98"/>
      <c r="R550" s="116"/>
      <c r="S550" s="83"/>
      <c r="T550" s="83"/>
      <c r="U550" s="83"/>
      <c r="V550" s="83"/>
      <c r="W550" s="83"/>
      <c r="X550" s="83"/>
      <c r="Y550" s="83"/>
      <c r="Z550" s="83"/>
    </row>
    <row r="551" ht="15.75" customHeight="1">
      <c r="A551" s="118"/>
      <c r="B551" s="118"/>
      <c r="C551" s="94"/>
      <c r="D551" s="111"/>
      <c r="E551" s="115"/>
      <c r="F551" s="108"/>
      <c r="G551" s="98"/>
      <c r="H551" s="116"/>
      <c r="I551" s="111"/>
      <c r="J551" s="115"/>
      <c r="K551" s="108"/>
      <c r="L551" s="98"/>
      <c r="M551" s="116"/>
      <c r="N551" s="111"/>
      <c r="O551" s="115"/>
      <c r="P551" s="108"/>
      <c r="Q551" s="98"/>
      <c r="R551" s="116"/>
      <c r="S551" s="83"/>
      <c r="T551" s="83"/>
      <c r="U551" s="83"/>
      <c r="V551" s="83"/>
      <c r="W551" s="83"/>
      <c r="X551" s="83"/>
      <c r="Y551" s="83"/>
      <c r="Z551" s="83"/>
    </row>
    <row r="552" ht="15.75" customHeight="1">
      <c r="A552" s="118"/>
      <c r="B552" s="118"/>
      <c r="C552" s="94"/>
      <c r="D552" s="111"/>
      <c r="E552" s="115"/>
      <c r="F552" s="108"/>
      <c r="G552" s="98"/>
      <c r="H552" s="116"/>
      <c r="I552" s="111"/>
      <c r="J552" s="115"/>
      <c r="K552" s="108"/>
      <c r="L552" s="98"/>
      <c r="M552" s="116"/>
      <c r="N552" s="111"/>
      <c r="O552" s="115"/>
      <c r="P552" s="108"/>
      <c r="Q552" s="98"/>
      <c r="R552" s="116"/>
      <c r="S552" s="83"/>
      <c r="T552" s="83"/>
      <c r="U552" s="83"/>
      <c r="V552" s="83"/>
      <c r="W552" s="83"/>
      <c r="X552" s="83"/>
      <c r="Y552" s="83"/>
      <c r="Z552" s="83"/>
    </row>
    <row r="553" ht="15.75" customHeight="1">
      <c r="A553" s="118"/>
      <c r="B553" s="118"/>
      <c r="C553" s="94"/>
      <c r="D553" s="111"/>
      <c r="E553" s="115"/>
      <c r="F553" s="108"/>
      <c r="G553" s="98"/>
      <c r="H553" s="116"/>
      <c r="I553" s="111"/>
      <c r="J553" s="115"/>
      <c r="K553" s="108"/>
      <c r="L553" s="98"/>
      <c r="M553" s="116"/>
      <c r="N553" s="111"/>
      <c r="O553" s="115"/>
      <c r="P553" s="108"/>
      <c r="Q553" s="98"/>
      <c r="R553" s="116"/>
      <c r="S553" s="83"/>
      <c r="T553" s="83"/>
      <c r="U553" s="83"/>
      <c r="V553" s="83"/>
      <c r="W553" s="83"/>
      <c r="X553" s="83"/>
      <c r="Y553" s="83"/>
      <c r="Z553" s="83"/>
    </row>
    <row r="554" ht="15.75" customHeight="1">
      <c r="A554" s="118"/>
      <c r="B554" s="118"/>
      <c r="C554" s="94"/>
      <c r="D554" s="111"/>
      <c r="E554" s="115"/>
      <c r="F554" s="108"/>
      <c r="G554" s="98"/>
      <c r="H554" s="116"/>
      <c r="I554" s="111"/>
      <c r="J554" s="115"/>
      <c r="K554" s="108"/>
      <c r="L554" s="98"/>
      <c r="M554" s="116"/>
      <c r="N554" s="111"/>
      <c r="O554" s="115"/>
      <c r="P554" s="108"/>
      <c r="Q554" s="98"/>
      <c r="R554" s="116"/>
      <c r="S554" s="83"/>
      <c r="T554" s="83"/>
      <c r="U554" s="83"/>
      <c r="V554" s="83"/>
      <c r="W554" s="83"/>
      <c r="X554" s="83"/>
      <c r="Y554" s="83"/>
      <c r="Z554" s="83"/>
    </row>
    <row r="555" ht="15.75" customHeight="1">
      <c r="A555" s="118"/>
      <c r="B555" s="118"/>
      <c r="C555" s="94"/>
      <c r="D555" s="111"/>
      <c r="E555" s="115"/>
      <c r="F555" s="108"/>
      <c r="G555" s="98"/>
      <c r="H555" s="116"/>
      <c r="I555" s="111"/>
      <c r="J555" s="115"/>
      <c r="K555" s="108"/>
      <c r="L555" s="98"/>
      <c r="M555" s="116"/>
      <c r="N555" s="111"/>
      <c r="O555" s="115"/>
      <c r="P555" s="108"/>
      <c r="Q555" s="98"/>
      <c r="R555" s="116"/>
      <c r="S555" s="83"/>
      <c r="T555" s="83"/>
      <c r="U555" s="83"/>
      <c r="V555" s="83"/>
      <c r="W555" s="83"/>
      <c r="X555" s="83"/>
      <c r="Y555" s="83"/>
      <c r="Z555" s="83"/>
    </row>
    <row r="556" ht="15.75" customHeight="1">
      <c r="A556" s="118"/>
      <c r="B556" s="118"/>
      <c r="C556" s="94"/>
      <c r="D556" s="111"/>
      <c r="E556" s="115"/>
      <c r="F556" s="108"/>
      <c r="G556" s="98"/>
      <c r="H556" s="116"/>
      <c r="I556" s="111"/>
      <c r="J556" s="115"/>
      <c r="K556" s="108"/>
      <c r="L556" s="98"/>
      <c r="M556" s="116"/>
      <c r="N556" s="111"/>
      <c r="O556" s="115"/>
      <c r="P556" s="108"/>
      <c r="Q556" s="98"/>
      <c r="R556" s="116"/>
      <c r="S556" s="83"/>
      <c r="T556" s="83"/>
      <c r="U556" s="83"/>
      <c r="V556" s="83"/>
      <c r="W556" s="83"/>
      <c r="X556" s="83"/>
      <c r="Y556" s="83"/>
      <c r="Z556" s="83"/>
    </row>
    <row r="557" ht="15.75" customHeight="1">
      <c r="A557" s="118"/>
      <c r="B557" s="118"/>
      <c r="C557" s="94"/>
      <c r="D557" s="111"/>
      <c r="E557" s="115"/>
      <c r="F557" s="108"/>
      <c r="G557" s="98"/>
      <c r="H557" s="116"/>
      <c r="I557" s="111"/>
      <c r="J557" s="115"/>
      <c r="K557" s="108"/>
      <c r="L557" s="98"/>
      <c r="M557" s="116"/>
      <c r="N557" s="111"/>
      <c r="O557" s="115"/>
      <c r="P557" s="108"/>
      <c r="Q557" s="98"/>
      <c r="R557" s="116"/>
      <c r="S557" s="83"/>
      <c r="T557" s="83"/>
      <c r="U557" s="83"/>
      <c r="V557" s="83"/>
      <c r="W557" s="83"/>
      <c r="X557" s="83"/>
      <c r="Y557" s="83"/>
      <c r="Z557" s="83"/>
    </row>
    <row r="558" ht="15.75" customHeight="1">
      <c r="A558" s="118"/>
      <c r="B558" s="118"/>
      <c r="C558" s="94"/>
      <c r="D558" s="111"/>
      <c r="E558" s="115"/>
      <c r="F558" s="108"/>
      <c r="G558" s="98"/>
      <c r="H558" s="116"/>
      <c r="I558" s="111"/>
      <c r="J558" s="115"/>
      <c r="K558" s="108"/>
      <c r="L558" s="98"/>
      <c r="M558" s="116"/>
      <c r="N558" s="111"/>
      <c r="O558" s="115"/>
      <c r="P558" s="108"/>
      <c r="Q558" s="98"/>
      <c r="R558" s="116"/>
      <c r="S558" s="83"/>
      <c r="T558" s="83"/>
      <c r="U558" s="83"/>
      <c r="V558" s="83"/>
      <c r="W558" s="83"/>
      <c r="X558" s="83"/>
      <c r="Y558" s="83"/>
      <c r="Z558" s="83"/>
    </row>
    <row r="559" ht="15.75" customHeight="1">
      <c r="A559" s="118"/>
      <c r="B559" s="118"/>
      <c r="C559" s="94"/>
      <c r="D559" s="111"/>
      <c r="E559" s="115"/>
      <c r="F559" s="108"/>
      <c r="G559" s="98"/>
      <c r="H559" s="116"/>
      <c r="I559" s="111"/>
      <c r="J559" s="115"/>
      <c r="K559" s="108"/>
      <c r="L559" s="98"/>
      <c r="M559" s="116"/>
      <c r="N559" s="111"/>
      <c r="O559" s="115"/>
      <c r="P559" s="108"/>
      <c r="Q559" s="98"/>
      <c r="R559" s="116"/>
      <c r="S559" s="83"/>
      <c r="T559" s="83"/>
      <c r="U559" s="83"/>
      <c r="V559" s="83"/>
      <c r="W559" s="83"/>
      <c r="X559" s="83"/>
      <c r="Y559" s="83"/>
      <c r="Z559" s="83"/>
    </row>
    <row r="560" ht="15.75" customHeight="1">
      <c r="A560" s="118"/>
      <c r="B560" s="118"/>
      <c r="C560" s="94"/>
      <c r="D560" s="111"/>
      <c r="E560" s="115"/>
      <c r="F560" s="108"/>
      <c r="G560" s="98"/>
      <c r="H560" s="116"/>
      <c r="I560" s="111"/>
      <c r="J560" s="115"/>
      <c r="K560" s="108"/>
      <c r="L560" s="98"/>
      <c r="M560" s="116"/>
      <c r="N560" s="111"/>
      <c r="O560" s="115"/>
      <c r="P560" s="108"/>
      <c r="Q560" s="98"/>
      <c r="R560" s="116"/>
      <c r="S560" s="83"/>
      <c r="T560" s="83"/>
      <c r="U560" s="83"/>
      <c r="V560" s="83"/>
      <c r="W560" s="83"/>
      <c r="X560" s="83"/>
      <c r="Y560" s="83"/>
      <c r="Z560" s="83"/>
    </row>
    <row r="561" ht="15.75" customHeight="1">
      <c r="A561" s="118"/>
      <c r="B561" s="118"/>
      <c r="C561" s="94"/>
      <c r="D561" s="111"/>
      <c r="E561" s="115"/>
      <c r="F561" s="108"/>
      <c r="G561" s="98"/>
      <c r="H561" s="116"/>
      <c r="I561" s="111"/>
      <c r="J561" s="115"/>
      <c r="K561" s="108"/>
      <c r="L561" s="98"/>
      <c r="M561" s="116"/>
      <c r="N561" s="111"/>
      <c r="O561" s="115"/>
      <c r="P561" s="108"/>
      <c r="Q561" s="98"/>
      <c r="R561" s="116"/>
      <c r="S561" s="83"/>
      <c r="T561" s="83"/>
      <c r="U561" s="83"/>
      <c r="V561" s="83"/>
      <c r="W561" s="83"/>
      <c r="X561" s="83"/>
      <c r="Y561" s="83"/>
      <c r="Z561" s="83"/>
    </row>
    <row r="562" ht="15.75" customHeight="1">
      <c r="A562" s="118"/>
      <c r="B562" s="118"/>
      <c r="C562" s="94"/>
      <c r="D562" s="111"/>
      <c r="E562" s="115"/>
      <c r="F562" s="108"/>
      <c r="G562" s="98"/>
      <c r="H562" s="116"/>
      <c r="I562" s="111"/>
      <c r="J562" s="115"/>
      <c r="K562" s="108"/>
      <c r="L562" s="98"/>
      <c r="M562" s="116"/>
      <c r="N562" s="111"/>
      <c r="O562" s="115"/>
      <c r="P562" s="108"/>
      <c r="Q562" s="98"/>
      <c r="R562" s="116"/>
      <c r="S562" s="83"/>
      <c r="T562" s="83"/>
      <c r="U562" s="83"/>
      <c r="V562" s="83"/>
      <c r="W562" s="83"/>
      <c r="X562" s="83"/>
      <c r="Y562" s="83"/>
      <c r="Z562" s="83"/>
    </row>
    <row r="563" ht="15.75" customHeight="1">
      <c r="A563" s="118"/>
      <c r="B563" s="118"/>
      <c r="C563" s="94"/>
      <c r="D563" s="111"/>
      <c r="E563" s="115"/>
      <c r="F563" s="108"/>
      <c r="G563" s="98"/>
      <c r="H563" s="116"/>
      <c r="I563" s="111"/>
      <c r="J563" s="115"/>
      <c r="K563" s="108"/>
      <c r="L563" s="98"/>
      <c r="M563" s="116"/>
      <c r="N563" s="111"/>
      <c r="O563" s="115"/>
      <c r="P563" s="108"/>
      <c r="Q563" s="98"/>
      <c r="R563" s="116"/>
      <c r="S563" s="83"/>
      <c r="T563" s="83"/>
      <c r="U563" s="83"/>
      <c r="V563" s="83"/>
      <c r="W563" s="83"/>
      <c r="X563" s="83"/>
      <c r="Y563" s="83"/>
      <c r="Z563" s="83"/>
    </row>
    <row r="564" ht="15.75" customHeight="1">
      <c r="A564" s="118"/>
      <c r="B564" s="118"/>
      <c r="C564" s="94"/>
      <c r="D564" s="111"/>
      <c r="E564" s="115"/>
      <c r="F564" s="108"/>
      <c r="G564" s="98"/>
      <c r="H564" s="116"/>
      <c r="I564" s="111"/>
      <c r="J564" s="115"/>
      <c r="K564" s="108"/>
      <c r="L564" s="98"/>
      <c r="M564" s="116"/>
      <c r="N564" s="111"/>
      <c r="O564" s="115"/>
      <c r="P564" s="108"/>
      <c r="Q564" s="98"/>
      <c r="R564" s="116"/>
      <c r="S564" s="83"/>
      <c r="T564" s="83"/>
      <c r="U564" s="83"/>
      <c r="V564" s="83"/>
      <c r="W564" s="83"/>
      <c r="X564" s="83"/>
      <c r="Y564" s="83"/>
      <c r="Z564" s="83"/>
    </row>
    <row r="565" ht="15.75" customHeight="1">
      <c r="A565" s="118"/>
      <c r="B565" s="118"/>
      <c r="C565" s="94"/>
      <c r="D565" s="111"/>
      <c r="E565" s="115"/>
      <c r="F565" s="108"/>
      <c r="G565" s="98"/>
      <c r="H565" s="116"/>
      <c r="I565" s="111"/>
      <c r="J565" s="115"/>
      <c r="K565" s="108"/>
      <c r="L565" s="98"/>
      <c r="M565" s="116"/>
      <c r="N565" s="111"/>
      <c r="O565" s="115"/>
      <c r="P565" s="108"/>
      <c r="Q565" s="98"/>
      <c r="R565" s="116"/>
      <c r="S565" s="83"/>
      <c r="T565" s="83"/>
      <c r="U565" s="83"/>
      <c r="V565" s="83"/>
      <c r="W565" s="83"/>
      <c r="X565" s="83"/>
      <c r="Y565" s="83"/>
      <c r="Z565" s="83"/>
    </row>
    <row r="566" ht="15.75" customHeight="1">
      <c r="A566" s="118"/>
      <c r="B566" s="118"/>
      <c r="C566" s="94"/>
      <c r="D566" s="111"/>
      <c r="E566" s="115"/>
      <c r="F566" s="108"/>
      <c r="G566" s="98"/>
      <c r="H566" s="116"/>
      <c r="I566" s="111"/>
      <c r="J566" s="115"/>
      <c r="K566" s="108"/>
      <c r="L566" s="98"/>
      <c r="M566" s="116"/>
      <c r="N566" s="111"/>
      <c r="O566" s="115"/>
      <c r="P566" s="108"/>
      <c r="Q566" s="98"/>
      <c r="R566" s="116"/>
      <c r="S566" s="83"/>
      <c r="T566" s="83"/>
      <c r="U566" s="83"/>
      <c r="V566" s="83"/>
      <c r="W566" s="83"/>
      <c r="X566" s="83"/>
      <c r="Y566" s="83"/>
      <c r="Z566" s="83"/>
    </row>
    <row r="567" ht="15.75" customHeight="1">
      <c r="A567" s="118"/>
      <c r="B567" s="118"/>
      <c r="C567" s="94"/>
      <c r="D567" s="111"/>
      <c r="E567" s="115"/>
      <c r="F567" s="108"/>
      <c r="G567" s="98"/>
      <c r="H567" s="116"/>
      <c r="I567" s="111"/>
      <c r="J567" s="115"/>
      <c r="K567" s="108"/>
      <c r="L567" s="98"/>
      <c r="M567" s="116"/>
      <c r="N567" s="111"/>
      <c r="O567" s="115"/>
      <c r="P567" s="108"/>
      <c r="Q567" s="98"/>
      <c r="R567" s="116"/>
      <c r="S567" s="83"/>
      <c r="T567" s="83"/>
      <c r="U567" s="83"/>
      <c r="V567" s="83"/>
      <c r="W567" s="83"/>
      <c r="X567" s="83"/>
      <c r="Y567" s="83"/>
      <c r="Z567" s="83"/>
    </row>
    <row r="568" ht="15.75" customHeight="1">
      <c r="A568" s="118"/>
      <c r="B568" s="118"/>
      <c r="C568" s="94"/>
      <c r="D568" s="111"/>
      <c r="E568" s="115"/>
      <c r="F568" s="108"/>
      <c r="G568" s="98"/>
      <c r="H568" s="116"/>
      <c r="I568" s="111"/>
      <c r="J568" s="115"/>
      <c r="K568" s="108"/>
      <c r="L568" s="98"/>
      <c r="M568" s="116"/>
      <c r="N568" s="111"/>
      <c r="O568" s="115"/>
      <c r="P568" s="108"/>
      <c r="Q568" s="98"/>
      <c r="R568" s="116"/>
      <c r="S568" s="83"/>
      <c r="T568" s="83"/>
      <c r="U568" s="83"/>
      <c r="V568" s="83"/>
      <c r="W568" s="83"/>
      <c r="X568" s="83"/>
      <c r="Y568" s="83"/>
      <c r="Z568" s="83"/>
    </row>
    <row r="569" ht="15.75" customHeight="1">
      <c r="A569" s="118"/>
      <c r="B569" s="118"/>
      <c r="C569" s="94"/>
      <c r="D569" s="111"/>
      <c r="E569" s="115"/>
      <c r="F569" s="108"/>
      <c r="G569" s="98"/>
      <c r="H569" s="116"/>
      <c r="I569" s="111"/>
      <c r="J569" s="115"/>
      <c r="K569" s="108"/>
      <c r="L569" s="98"/>
      <c r="M569" s="116"/>
      <c r="N569" s="111"/>
      <c r="O569" s="115"/>
      <c r="P569" s="108"/>
      <c r="Q569" s="98"/>
      <c r="R569" s="116"/>
      <c r="S569" s="83"/>
      <c r="T569" s="83"/>
      <c r="U569" s="83"/>
      <c r="V569" s="83"/>
      <c r="W569" s="83"/>
      <c r="X569" s="83"/>
      <c r="Y569" s="83"/>
      <c r="Z569" s="83"/>
    </row>
    <row r="570" ht="15.75" customHeight="1">
      <c r="A570" s="118"/>
      <c r="B570" s="118"/>
      <c r="C570" s="94"/>
      <c r="D570" s="111"/>
      <c r="E570" s="115"/>
      <c r="F570" s="108"/>
      <c r="G570" s="98"/>
      <c r="H570" s="116"/>
      <c r="I570" s="111"/>
      <c r="J570" s="115"/>
      <c r="K570" s="108"/>
      <c r="L570" s="98"/>
      <c r="M570" s="116"/>
      <c r="N570" s="111"/>
      <c r="O570" s="115"/>
      <c r="P570" s="108"/>
      <c r="Q570" s="98"/>
      <c r="R570" s="116"/>
      <c r="S570" s="83"/>
      <c r="T570" s="83"/>
      <c r="U570" s="83"/>
      <c r="V570" s="83"/>
      <c r="W570" s="83"/>
      <c r="X570" s="83"/>
      <c r="Y570" s="83"/>
      <c r="Z570" s="83"/>
    </row>
    <row r="571" ht="15.75" customHeight="1">
      <c r="A571" s="118"/>
      <c r="B571" s="118"/>
      <c r="C571" s="94"/>
      <c r="D571" s="111"/>
      <c r="E571" s="115"/>
      <c r="F571" s="108"/>
      <c r="G571" s="98"/>
      <c r="H571" s="116"/>
      <c r="I571" s="111"/>
      <c r="J571" s="115"/>
      <c r="K571" s="108"/>
      <c r="L571" s="98"/>
      <c r="M571" s="116"/>
      <c r="N571" s="111"/>
      <c r="O571" s="115"/>
      <c r="P571" s="108"/>
      <c r="Q571" s="98"/>
      <c r="R571" s="116"/>
      <c r="S571" s="83"/>
      <c r="T571" s="83"/>
      <c r="U571" s="83"/>
      <c r="V571" s="83"/>
      <c r="W571" s="83"/>
      <c r="X571" s="83"/>
      <c r="Y571" s="83"/>
      <c r="Z571" s="83"/>
    </row>
    <row r="572" ht="15.75" customHeight="1">
      <c r="A572" s="118"/>
      <c r="B572" s="118"/>
      <c r="C572" s="94"/>
      <c r="D572" s="111"/>
      <c r="E572" s="115"/>
      <c r="F572" s="108"/>
      <c r="G572" s="98"/>
      <c r="H572" s="116"/>
      <c r="I572" s="111"/>
      <c r="J572" s="115"/>
      <c r="K572" s="108"/>
      <c r="L572" s="98"/>
      <c r="M572" s="116"/>
      <c r="N572" s="111"/>
      <c r="O572" s="115"/>
      <c r="P572" s="108"/>
      <c r="Q572" s="98"/>
      <c r="R572" s="116"/>
      <c r="S572" s="83"/>
      <c r="T572" s="83"/>
      <c r="U572" s="83"/>
      <c r="V572" s="83"/>
      <c r="W572" s="83"/>
      <c r="X572" s="83"/>
      <c r="Y572" s="83"/>
      <c r="Z572" s="83"/>
    </row>
    <row r="573" ht="15.75" customHeight="1">
      <c r="A573" s="118"/>
      <c r="B573" s="118"/>
      <c r="C573" s="94"/>
      <c r="D573" s="111"/>
      <c r="E573" s="115"/>
      <c r="F573" s="108"/>
      <c r="G573" s="98"/>
      <c r="H573" s="116"/>
      <c r="I573" s="111"/>
      <c r="J573" s="115"/>
      <c r="K573" s="108"/>
      <c r="L573" s="98"/>
      <c r="M573" s="116"/>
      <c r="N573" s="111"/>
      <c r="O573" s="115"/>
      <c r="P573" s="108"/>
      <c r="Q573" s="98"/>
      <c r="R573" s="116"/>
      <c r="S573" s="83"/>
      <c r="T573" s="83"/>
      <c r="U573" s="83"/>
      <c r="V573" s="83"/>
      <c r="W573" s="83"/>
      <c r="X573" s="83"/>
      <c r="Y573" s="83"/>
      <c r="Z573" s="83"/>
    </row>
    <row r="574" ht="15.75" customHeight="1">
      <c r="A574" s="118"/>
      <c r="B574" s="118"/>
      <c r="C574" s="94"/>
      <c r="D574" s="111"/>
      <c r="E574" s="115"/>
      <c r="F574" s="108"/>
      <c r="G574" s="98"/>
      <c r="H574" s="116"/>
      <c r="I574" s="111"/>
      <c r="J574" s="115"/>
      <c r="K574" s="108"/>
      <c r="L574" s="98"/>
      <c r="M574" s="116"/>
      <c r="N574" s="111"/>
      <c r="O574" s="115"/>
      <c r="P574" s="108"/>
      <c r="Q574" s="98"/>
      <c r="R574" s="116"/>
      <c r="S574" s="83"/>
      <c r="T574" s="83"/>
      <c r="U574" s="83"/>
      <c r="V574" s="83"/>
      <c r="W574" s="83"/>
      <c r="X574" s="83"/>
      <c r="Y574" s="83"/>
      <c r="Z574" s="83"/>
    </row>
    <row r="575" ht="15.75" customHeight="1">
      <c r="A575" s="118"/>
      <c r="B575" s="118"/>
      <c r="C575" s="94"/>
      <c r="D575" s="111"/>
      <c r="E575" s="115"/>
      <c r="F575" s="108"/>
      <c r="G575" s="98"/>
      <c r="H575" s="116"/>
      <c r="I575" s="111"/>
      <c r="J575" s="115"/>
      <c r="K575" s="108"/>
      <c r="L575" s="98"/>
      <c r="M575" s="116"/>
      <c r="N575" s="111"/>
      <c r="O575" s="115"/>
      <c r="P575" s="108"/>
      <c r="Q575" s="98"/>
      <c r="R575" s="116"/>
      <c r="S575" s="83"/>
      <c r="T575" s="83"/>
      <c r="U575" s="83"/>
      <c r="V575" s="83"/>
      <c r="W575" s="83"/>
      <c r="X575" s="83"/>
      <c r="Y575" s="83"/>
      <c r="Z575" s="83"/>
    </row>
    <row r="576" ht="15.75" customHeight="1">
      <c r="A576" s="118"/>
      <c r="B576" s="118"/>
      <c r="C576" s="94"/>
      <c r="D576" s="111"/>
      <c r="E576" s="115"/>
      <c r="F576" s="108"/>
      <c r="G576" s="98"/>
      <c r="H576" s="116"/>
      <c r="I576" s="111"/>
      <c r="J576" s="115"/>
      <c r="K576" s="108"/>
      <c r="L576" s="98"/>
      <c r="M576" s="116"/>
      <c r="N576" s="111"/>
      <c r="O576" s="115"/>
      <c r="P576" s="108"/>
      <c r="Q576" s="98"/>
      <c r="R576" s="116"/>
      <c r="S576" s="83"/>
      <c r="T576" s="83"/>
      <c r="U576" s="83"/>
      <c r="V576" s="83"/>
      <c r="W576" s="83"/>
      <c r="X576" s="83"/>
      <c r="Y576" s="83"/>
      <c r="Z576" s="83"/>
    </row>
    <row r="577" ht="15.75" customHeight="1">
      <c r="A577" s="118"/>
      <c r="B577" s="118"/>
      <c r="C577" s="94"/>
      <c r="D577" s="111"/>
      <c r="E577" s="115"/>
      <c r="F577" s="108"/>
      <c r="G577" s="98"/>
      <c r="H577" s="116"/>
      <c r="I577" s="111"/>
      <c r="J577" s="115"/>
      <c r="K577" s="108"/>
      <c r="L577" s="98"/>
      <c r="M577" s="116"/>
      <c r="N577" s="111"/>
      <c r="O577" s="115"/>
      <c r="P577" s="108"/>
      <c r="Q577" s="98"/>
      <c r="R577" s="116"/>
      <c r="S577" s="83"/>
      <c r="T577" s="83"/>
      <c r="U577" s="83"/>
      <c r="V577" s="83"/>
      <c r="W577" s="83"/>
      <c r="X577" s="83"/>
      <c r="Y577" s="83"/>
      <c r="Z577" s="83"/>
    </row>
    <row r="578" ht="15.75" customHeight="1">
      <c r="A578" s="118"/>
      <c r="B578" s="118"/>
      <c r="C578" s="94"/>
      <c r="D578" s="111"/>
      <c r="E578" s="115"/>
      <c r="F578" s="108"/>
      <c r="G578" s="98"/>
      <c r="H578" s="116"/>
      <c r="I578" s="111"/>
      <c r="J578" s="115"/>
      <c r="K578" s="108"/>
      <c r="L578" s="98"/>
      <c r="M578" s="116"/>
      <c r="N578" s="111"/>
      <c r="O578" s="115"/>
      <c r="P578" s="108"/>
      <c r="Q578" s="98"/>
      <c r="R578" s="116"/>
      <c r="S578" s="83"/>
      <c r="T578" s="83"/>
      <c r="U578" s="83"/>
      <c r="V578" s="83"/>
      <c r="W578" s="83"/>
      <c r="X578" s="83"/>
      <c r="Y578" s="83"/>
      <c r="Z578" s="83"/>
    </row>
    <row r="579" ht="15.75" customHeight="1">
      <c r="A579" s="118"/>
      <c r="B579" s="118"/>
      <c r="C579" s="94"/>
      <c r="D579" s="111"/>
      <c r="E579" s="115"/>
      <c r="F579" s="108"/>
      <c r="G579" s="98"/>
      <c r="H579" s="116"/>
      <c r="I579" s="111"/>
      <c r="J579" s="115"/>
      <c r="K579" s="108"/>
      <c r="L579" s="98"/>
      <c r="M579" s="116"/>
      <c r="N579" s="111"/>
      <c r="O579" s="115"/>
      <c r="P579" s="108"/>
      <c r="Q579" s="98"/>
      <c r="R579" s="116"/>
      <c r="S579" s="83"/>
      <c r="T579" s="83"/>
      <c r="U579" s="83"/>
      <c r="V579" s="83"/>
      <c r="W579" s="83"/>
      <c r="X579" s="83"/>
      <c r="Y579" s="83"/>
      <c r="Z579" s="83"/>
    </row>
    <row r="580" ht="15.75" customHeight="1">
      <c r="A580" s="118"/>
      <c r="B580" s="118"/>
      <c r="C580" s="94"/>
      <c r="D580" s="111"/>
      <c r="E580" s="115"/>
      <c r="F580" s="108"/>
      <c r="G580" s="98"/>
      <c r="H580" s="116"/>
      <c r="I580" s="111"/>
      <c r="J580" s="115"/>
      <c r="K580" s="108"/>
      <c r="L580" s="98"/>
      <c r="M580" s="116"/>
      <c r="N580" s="111"/>
      <c r="O580" s="115"/>
      <c r="P580" s="108"/>
      <c r="Q580" s="98"/>
      <c r="R580" s="116"/>
      <c r="S580" s="83"/>
      <c r="T580" s="83"/>
      <c r="U580" s="83"/>
      <c r="V580" s="83"/>
      <c r="W580" s="83"/>
      <c r="X580" s="83"/>
      <c r="Y580" s="83"/>
      <c r="Z580" s="83"/>
    </row>
    <row r="581" ht="15.75" customHeight="1">
      <c r="A581" s="118"/>
      <c r="B581" s="118"/>
      <c r="C581" s="94"/>
      <c r="D581" s="111"/>
      <c r="E581" s="115"/>
      <c r="F581" s="108"/>
      <c r="G581" s="98"/>
      <c r="H581" s="116"/>
      <c r="I581" s="111"/>
      <c r="J581" s="115"/>
      <c r="K581" s="108"/>
      <c r="L581" s="98"/>
      <c r="M581" s="116"/>
      <c r="N581" s="111"/>
      <c r="O581" s="115"/>
      <c r="P581" s="108"/>
      <c r="Q581" s="98"/>
      <c r="R581" s="116"/>
      <c r="S581" s="83"/>
      <c r="T581" s="83"/>
      <c r="U581" s="83"/>
      <c r="V581" s="83"/>
      <c r="W581" s="83"/>
      <c r="X581" s="83"/>
      <c r="Y581" s="83"/>
      <c r="Z581" s="83"/>
    </row>
    <row r="582" ht="15.75" customHeight="1">
      <c r="A582" s="118"/>
      <c r="B582" s="118"/>
      <c r="C582" s="94"/>
      <c r="D582" s="111"/>
      <c r="E582" s="115"/>
      <c r="F582" s="108"/>
      <c r="G582" s="98"/>
      <c r="H582" s="116"/>
      <c r="I582" s="111"/>
      <c r="J582" s="115"/>
      <c r="K582" s="108"/>
      <c r="L582" s="98"/>
      <c r="M582" s="116"/>
      <c r="N582" s="111"/>
      <c r="O582" s="115"/>
      <c r="P582" s="108"/>
      <c r="Q582" s="98"/>
      <c r="R582" s="116"/>
      <c r="S582" s="83"/>
      <c r="T582" s="83"/>
      <c r="U582" s="83"/>
      <c r="V582" s="83"/>
      <c r="W582" s="83"/>
      <c r="X582" s="83"/>
      <c r="Y582" s="83"/>
      <c r="Z582" s="83"/>
    </row>
    <row r="583" ht="15.75" customHeight="1">
      <c r="A583" s="118"/>
      <c r="B583" s="118"/>
      <c r="C583" s="94"/>
      <c r="D583" s="111"/>
      <c r="E583" s="115"/>
      <c r="F583" s="108"/>
      <c r="G583" s="98"/>
      <c r="H583" s="116"/>
      <c r="I583" s="111"/>
      <c r="J583" s="115"/>
      <c r="K583" s="108"/>
      <c r="L583" s="98"/>
      <c r="M583" s="116"/>
      <c r="N583" s="111"/>
      <c r="O583" s="115"/>
      <c r="P583" s="108"/>
      <c r="Q583" s="98"/>
      <c r="R583" s="116"/>
      <c r="S583" s="83"/>
      <c r="T583" s="83"/>
      <c r="U583" s="83"/>
      <c r="V583" s="83"/>
      <c r="W583" s="83"/>
      <c r="X583" s="83"/>
      <c r="Y583" s="83"/>
      <c r="Z583" s="83"/>
    </row>
    <row r="584" ht="15.75" customHeight="1">
      <c r="A584" s="118"/>
      <c r="B584" s="118"/>
      <c r="C584" s="94"/>
      <c r="D584" s="111"/>
      <c r="E584" s="115"/>
      <c r="F584" s="108"/>
      <c r="G584" s="98"/>
      <c r="H584" s="116"/>
      <c r="I584" s="111"/>
      <c r="J584" s="115"/>
      <c r="K584" s="108"/>
      <c r="L584" s="98"/>
      <c r="M584" s="116"/>
      <c r="N584" s="111"/>
      <c r="O584" s="115"/>
      <c r="P584" s="108"/>
      <c r="Q584" s="98"/>
      <c r="R584" s="116"/>
      <c r="S584" s="83"/>
      <c r="T584" s="83"/>
      <c r="U584" s="83"/>
      <c r="V584" s="83"/>
      <c r="W584" s="83"/>
      <c r="X584" s="83"/>
      <c r="Y584" s="83"/>
      <c r="Z584" s="83"/>
    </row>
    <row r="585" ht="15.75" customHeight="1">
      <c r="A585" s="118"/>
      <c r="B585" s="118"/>
      <c r="C585" s="94"/>
      <c r="D585" s="111"/>
      <c r="E585" s="115"/>
      <c r="F585" s="108"/>
      <c r="G585" s="98"/>
      <c r="H585" s="116"/>
      <c r="I585" s="111"/>
      <c r="J585" s="115"/>
      <c r="K585" s="108"/>
      <c r="L585" s="98"/>
      <c r="M585" s="116"/>
      <c r="N585" s="111"/>
      <c r="O585" s="115"/>
      <c r="P585" s="108"/>
      <c r="Q585" s="98"/>
      <c r="R585" s="116"/>
      <c r="S585" s="83"/>
      <c r="T585" s="83"/>
      <c r="U585" s="83"/>
      <c r="V585" s="83"/>
      <c r="W585" s="83"/>
      <c r="X585" s="83"/>
      <c r="Y585" s="83"/>
      <c r="Z585" s="83"/>
    </row>
    <row r="586" ht="15.75" customHeight="1">
      <c r="A586" s="118"/>
      <c r="B586" s="118"/>
      <c r="C586" s="94"/>
      <c r="D586" s="111"/>
      <c r="E586" s="115"/>
      <c r="F586" s="108"/>
      <c r="G586" s="98"/>
      <c r="H586" s="116"/>
      <c r="I586" s="111"/>
      <c r="J586" s="115"/>
      <c r="K586" s="108"/>
      <c r="L586" s="98"/>
      <c r="M586" s="116"/>
      <c r="N586" s="111"/>
      <c r="O586" s="115"/>
      <c r="P586" s="108"/>
      <c r="Q586" s="98"/>
      <c r="R586" s="116"/>
      <c r="S586" s="83"/>
      <c r="T586" s="83"/>
      <c r="U586" s="83"/>
      <c r="V586" s="83"/>
      <c r="W586" s="83"/>
      <c r="X586" s="83"/>
      <c r="Y586" s="83"/>
      <c r="Z586" s="83"/>
    </row>
    <row r="587" ht="15.75" customHeight="1">
      <c r="A587" s="118"/>
      <c r="B587" s="118"/>
      <c r="C587" s="94"/>
      <c r="D587" s="111"/>
      <c r="E587" s="115"/>
      <c r="F587" s="108"/>
      <c r="G587" s="98"/>
      <c r="H587" s="116"/>
      <c r="I587" s="111"/>
      <c r="J587" s="115"/>
      <c r="K587" s="108"/>
      <c r="L587" s="98"/>
      <c r="M587" s="116"/>
      <c r="N587" s="111"/>
      <c r="O587" s="115"/>
      <c r="P587" s="108"/>
      <c r="Q587" s="98"/>
      <c r="R587" s="116"/>
      <c r="S587" s="83"/>
      <c r="T587" s="83"/>
      <c r="U587" s="83"/>
      <c r="V587" s="83"/>
      <c r="W587" s="83"/>
      <c r="X587" s="83"/>
      <c r="Y587" s="83"/>
      <c r="Z587" s="83"/>
    </row>
    <row r="588" ht="15.75" customHeight="1">
      <c r="A588" s="118"/>
      <c r="B588" s="118"/>
      <c r="C588" s="94"/>
      <c r="D588" s="111"/>
      <c r="E588" s="115"/>
      <c r="F588" s="108"/>
      <c r="G588" s="98"/>
      <c r="H588" s="116"/>
      <c r="I588" s="111"/>
      <c r="J588" s="115"/>
      <c r="K588" s="108"/>
      <c r="L588" s="98"/>
      <c r="M588" s="116"/>
      <c r="N588" s="111"/>
      <c r="O588" s="115"/>
      <c r="P588" s="108"/>
      <c r="Q588" s="98"/>
      <c r="R588" s="116"/>
      <c r="S588" s="83"/>
      <c r="T588" s="83"/>
      <c r="U588" s="83"/>
      <c r="V588" s="83"/>
      <c r="W588" s="83"/>
      <c r="X588" s="83"/>
      <c r="Y588" s="83"/>
      <c r="Z588" s="83"/>
    </row>
    <row r="589" ht="15.75" customHeight="1">
      <c r="A589" s="118"/>
      <c r="B589" s="118"/>
      <c r="C589" s="94"/>
      <c r="D589" s="111"/>
      <c r="E589" s="115"/>
      <c r="F589" s="108"/>
      <c r="G589" s="98"/>
      <c r="H589" s="116"/>
      <c r="I589" s="111"/>
      <c r="J589" s="115"/>
      <c r="K589" s="108"/>
      <c r="L589" s="98"/>
      <c r="M589" s="116"/>
      <c r="N589" s="111"/>
      <c r="O589" s="115"/>
      <c r="P589" s="108"/>
      <c r="Q589" s="98"/>
      <c r="R589" s="116"/>
      <c r="S589" s="83"/>
      <c r="T589" s="83"/>
      <c r="U589" s="83"/>
      <c r="V589" s="83"/>
      <c r="W589" s="83"/>
      <c r="X589" s="83"/>
      <c r="Y589" s="83"/>
      <c r="Z589" s="83"/>
    </row>
    <row r="590" ht="15.75" customHeight="1">
      <c r="A590" s="118"/>
      <c r="B590" s="118"/>
      <c r="C590" s="94"/>
      <c r="D590" s="111"/>
      <c r="E590" s="115"/>
      <c r="F590" s="108"/>
      <c r="G590" s="98"/>
      <c r="H590" s="116"/>
      <c r="I590" s="111"/>
      <c r="J590" s="115"/>
      <c r="K590" s="108"/>
      <c r="L590" s="98"/>
      <c r="M590" s="116"/>
      <c r="N590" s="111"/>
      <c r="O590" s="115"/>
      <c r="P590" s="108"/>
      <c r="Q590" s="98"/>
      <c r="R590" s="116"/>
      <c r="S590" s="83"/>
      <c r="T590" s="83"/>
      <c r="U590" s="83"/>
      <c r="V590" s="83"/>
      <c r="W590" s="83"/>
      <c r="X590" s="83"/>
      <c r="Y590" s="83"/>
      <c r="Z590" s="83"/>
    </row>
    <row r="591" ht="15.75" customHeight="1">
      <c r="A591" s="118"/>
      <c r="B591" s="118"/>
      <c r="C591" s="94"/>
      <c r="D591" s="111"/>
      <c r="E591" s="115"/>
      <c r="F591" s="108"/>
      <c r="G591" s="98"/>
      <c r="H591" s="116"/>
      <c r="I591" s="111"/>
      <c r="J591" s="115"/>
      <c r="K591" s="108"/>
      <c r="L591" s="98"/>
      <c r="M591" s="116"/>
      <c r="N591" s="111"/>
      <c r="O591" s="115"/>
      <c r="P591" s="108"/>
      <c r="Q591" s="98"/>
      <c r="R591" s="116"/>
      <c r="S591" s="83"/>
      <c r="T591" s="83"/>
      <c r="U591" s="83"/>
      <c r="V591" s="83"/>
      <c r="W591" s="83"/>
      <c r="X591" s="83"/>
      <c r="Y591" s="83"/>
      <c r="Z591" s="83"/>
    </row>
    <row r="592" ht="15.75" customHeight="1">
      <c r="A592" s="118"/>
      <c r="B592" s="118"/>
      <c r="C592" s="94"/>
      <c r="D592" s="111"/>
      <c r="E592" s="115"/>
      <c r="F592" s="108"/>
      <c r="G592" s="98"/>
      <c r="H592" s="116"/>
      <c r="I592" s="111"/>
      <c r="J592" s="115"/>
      <c r="K592" s="108"/>
      <c r="L592" s="98"/>
      <c r="M592" s="116"/>
      <c r="N592" s="111"/>
      <c r="O592" s="115"/>
      <c r="P592" s="108"/>
      <c r="Q592" s="98"/>
      <c r="R592" s="116"/>
      <c r="S592" s="83"/>
      <c r="T592" s="83"/>
      <c r="U592" s="83"/>
      <c r="V592" s="83"/>
      <c r="W592" s="83"/>
      <c r="X592" s="83"/>
      <c r="Y592" s="83"/>
      <c r="Z592" s="83"/>
    </row>
    <row r="593" ht="15.75" customHeight="1">
      <c r="A593" s="118"/>
      <c r="B593" s="118"/>
      <c r="C593" s="94"/>
      <c r="D593" s="111"/>
      <c r="E593" s="115"/>
      <c r="F593" s="108"/>
      <c r="G593" s="98"/>
      <c r="H593" s="116"/>
      <c r="I593" s="111"/>
      <c r="J593" s="115"/>
      <c r="K593" s="108"/>
      <c r="L593" s="98"/>
      <c r="M593" s="116"/>
      <c r="N593" s="111"/>
      <c r="O593" s="115"/>
      <c r="P593" s="108"/>
      <c r="Q593" s="98"/>
      <c r="R593" s="116"/>
      <c r="S593" s="83"/>
      <c r="T593" s="83"/>
      <c r="U593" s="83"/>
      <c r="V593" s="83"/>
      <c r="W593" s="83"/>
      <c r="X593" s="83"/>
      <c r="Y593" s="83"/>
      <c r="Z593" s="83"/>
    </row>
    <row r="594" ht="15.75" customHeight="1">
      <c r="A594" s="118"/>
      <c r="B594" s="118"/>
      <c r="C594" s="94"/>
      <c r="D594" s="111"/>
      <c r="E594" s="115"/>
      <c r="F594" s="108"/>
      <c r="G594" s="98"/>
      <c r="H594" s="116"/>
      <c r="I594" s="111"/>
      <c r="J594" s="115"/>
      <c r="K594" s="108"/>
      <c r="L594" s="98"/>
      <c r="M594" s="116"/>
      <c r="N594" s="111"/>
      <c r="O594" s="115"/>
      <c r="P594" s="108"/>
      <c r="Q594" s="98"/>
      <c r="R594" s="116"/>
      <c r="S594" s="83"/>
      <c r="T594" s="83"/>
      <c r="U594" s="83"/>
      <c r="V594" s="83"/>
      <c r="W594" s="83"/>
      <c r="X594" s="83"/>
      <c r="Y594" s="83"/>
      <c r="Z594" s="83"/>
    </row>
    <row r="595" ht="15.75" customHeight="1">
      <c r="A595" s="118"/>
      <c r="B595" s="118"/>
      <c r="C595" s="94"/>
      <c r="D595" s="111"/>
      <c r="E595" s="115"/>
      <c r="F595" s="108"/>
      <c r="G595" s="98"/>
      <c r="H595" s="116"/>
      <c r="I595" s="111"/>
      <c r="J595" s="115"/>
      <c r="K595" s="108"/>
      <c r="L595" s="98"/>
      <c r="M595" s="116"/>
      <c r="N595" s="111"/>
      <c r="O595" s="115"/>
      <c r="P595" s="108"/>
      <c r="Q595" s="98"/>
      <c r="R595" s="116"/>
      <c r="S595" s="83"/>
      <c r="T595" s="83"/>
      <c r="U595" s="83"/>
      <c r="V595" s="83"/>
      <c r="W595" s="83"/>
      <c r="X595" s="83"/>
      <c r="Y595" s="83"/>
      <c r="Z595" s="83"/>
    </row>
    <row r="596" ht="15.75" customHeight="1">
      <c r="A596" s="118"/>
      <c r="B596" s="118"/>
      <c r="C596" s="94"/>
      <c r="D596" s="111"/>
      <c r="E596" s="115"/>
      <c r="F596" s="108"/>
      <c r="G596" s="98"/>
      <c r="H596" s="116"/>
      <c r="I596" s="111"/>
      <c r="J596" s="115"/>
      <c r="K596" s="108"/>
      <c r="L596" s="98"/>
      <c r="M596" s="116"/>
      <c r="N596" s="111"/>
      <c r="O596" s="115"/>
      <c r="P596" s="108"/>
      <c r="Q596" s="98"/>
      <c r="R596" s="116"/>
      <c r="S596" s="83"/>
      <c r="T596" s="83"/>
      <c r="U596" s="83"/>
      <c r="V596" s="83"/>
      <c r="W596" s="83"/>
      <c r="X596" s="83"/>
      <c r="Y596" s="83"/>
      <c r="Z596" s="83"/>
    </row>
    <row r="597" ht="15.75" customHeight="1">
      <c r="A597" s="118"/>
      <c r="B597" s="118"/>
      <c r="C597" s="94"/>
      <c r="D597" s="111"/>
      <c r="E597" s="115"/>
      <c r="F597" s="108"/>
      <c r="G597" s="98"/>
      <c r="H597" s="116"/>
      <c r="I597" s="111"/>
      <c r="J597" s="115"/>
      <c r="K597" s="108"/>
      <c r="L597" s="98"/>
      <c r="M597" s="116"/>
      <c r="N597" s="111"/>
      <c r="O597" s="115"/>
      <c r="P597" s="108"/>
      <c r="Q597" s="98"/>
      <c r="R597" s="116"/>
      <c r="S597" s="83"/>
      <c r="T597" s="83"/>
      <c r="U597" s="83"/>
      <c r="V597" s="83"/>
      <c r="W597" s="83"/>
      <c r="X597" s="83"/>
      <c r="Y597" s="83"/>
      <c r="Z597" s="83"/>
    </row>
    <row r="598" ht="15.75" customHeight="1">
      <c r="A598" s="118"/>
      <c r="B598" s="118"/>
      <c r="C598" s="94"/>
      <c r="D598" s="111"/>
      <c r="E598" s="115"/>
      <c r="F598" s="108"/>
      <c r="G598" s="98"/>
      <c r="H598" s="116"/>
      <c r="I598" s="111"/>
      <c r="J598" s="115"/>
      <c r="K598" s="108"/>
      <c r="L598" s="98"/>
      <c r="M598" s="116"/>
      <c r="N598" s="111"/>
      <c r="O598" s="115"/>
      <c r="P598" s="108"/>
      <c r="Q598" s="98"/>
      <c r="R598" s="116"/>
      <c r="S598" s="83"/>
      <c r="T598" s="83"/>
      <c r="U598" s="83"/>
      <c r="V598" s="83"/>
      <c r="W598" s="83"/>
      <c r="X598" s="83"/>
      <c r="Y598" s="83"/>
      <c r="Z598" s="83"/>
    </row>
    <row r="599" ht="15.75" customHeight="1">
      <c r="A599" s="118"/>
      <c r="B599" s="118"/>
      <c r="C599" s="94"/>
      <c r="D599" s="111"/>
      <c r="E599" s="115"/>
      <c r="F599" s="108"/>
      <c r="G599" s="98"/>
      <c r="H599" s="116"/>
      <c r="I599" s="111"/>
      <c r="J599" s="115"/>
      <c r="K599" s="108"/>
      <c r="L599" s="98"/>
      <c r="M599" s="116"/>
      <c r="N599" s="111"/>
      <c r="O599" s="115"/>
      <c r="P599" s="108"/>
      <c r="Q599" s="98"/>
      <c r="R599" s="116"/>
      <c r="S599" s="83"/>
      <c r="T599" s="83"/>
      <c r="U599" s="83"/>
      <c r="V599" s="83"/>
      <c r="W599" s="83"/>
      <c r="X599" s="83"/>
      <c r="Y599" s="83"/>
      <c r="Z599" s="83"/>
    </row>
    <row r="600" ht="15.75" customHeight="1">
      <c r="A600" s="118"/>
      <c r="B600" s="118"/>
      <c r="C600" s="94"/>
      <c r="D600" s="111"/>
      <c r="E600" s="115"/>
      <c r="F600" s="108"/>
      <c r="G600" s="98"/>
      <c r="H600" s="116"/>
      <c r="I600" s="111"/>
      <c r="J600" s="115"/>
      <c r="K600" s="108"/>
      <c r="L600" s="98"/>
      <c r="M600" s="116"/>
      <c r="N600" s="111"/>
      <c r="O600" s="115"/>
      <c r="P600" s="108"/>
      <c r="Q600" s="98"/>
      <c r="R600" s="116"/>
      <c r="S600" s="83"/>
      <c r="T600" s="83"/>
      <c r="U600" s="83"/>
      <c r="V600" s="83"/>
      <c r="W600" s="83"/>
      <c r="X600" s="83"/>
      <c r="Y600" s="83"/>
      <c r="Z600" s="83"/>
    </row>
    <row r="601" ht="15.75" customHeight="1">
      <c r="A601" s="118"/>
      <c r="B601" s="118"/>
      <c r="C601" s="94"/>
      <c r="D601" s="111"/>
      <c r="E601" s="115"/>
      <c r="F601" s="108"/>
      <c r="G601" s="98"/>
      <c r="H601" s="116"/>
      <c r="I601" s="111"/>
      <c r="J601" s="115"/>
      <c r="K601" s="108"/>
      <c r="L601" s="98"/>
      <c r="M601" s="116"/>
      <c r="N601" s="111"/>
      <c r="O601" s="115"/>
      <c r="P601" s="108"/>
      <c r="Q601" s="98"/>
      <c r="R601" s="116"/>
      <c r="S601" s="83"/>
      <c r="T601" s="83"/>
      <c r="U601" s="83"/>
      <c r="V601" s="83"/>
      <c r="W601" s="83"/>
      <c r="X601" s="83"/>
      <c r="Y601" s="83"/>
      <c r="Z601" s="83"/>
    </row>
    <row r="602" ht="15.75" customHeight="1">
      <c r="A602" s="118"/>
      <c r="B602" s="118"/>
      <c r="C602" s="94"/>
      <c r="D602" s="111"/>
      <c r="E602" s="115"/>
      <c r="F602" s="108"/>
      <c r="G602" s="98"/>
      <c r="H602" s="116"/>
      <c r="I602" s="111"/>
      <c r="J602" s="115"/>
      <c r="K602" s="108"/>
      <c r="L602" s="98"/>
      <c r="M602" s="116"/>
      <c r="N602" s="111"/>
      <c r="O602" s="115"/>
      <c r="P602" s="108"/>
      <c r="Q602" s="98"/>
      <c r="R602" s="116"/>
      <c r="S602" s="83"/>
      <c r="T602" s="83"/>
      <c r="U602" s="83"/>
      <c r="V602" s="83"/>
      <c r="W602" s="83"/>
      <c r="X602" s="83"/>
      <c r="Y602" s="83"/>
      <c r="Z602" s="83"/>
    </row>
    <row r="603" ht="15.75" customHeight="1">
      <c r="A603" s="118"/>
      <c r="B603" s="118"/>
      <c r="C603" s="94"/>
      <c r="D603" s="111"/>
      <c r="E603" s="115"/>
      <c r="F603" s="108"/>
      <c r="G603" s="98"/>
      <c r="H603" s="116"/>
      <c r="I603" s="111"/>
      <c r="J603" s="115"/>
      <c r="K603" s="108"/>
      <c r="L603" s="98"/>
      <c r="M603" s="116"/>
      <c r="N603" s="111"/>
      <c r="O603" s="115"/>
      <c r="P603" s="108"/>
      <c r="Q603" s="98"/>
      <c r="R603" s="116"/>
      <c r="S603" s="83"/>
      <c r="T603" s="83"/>
      <c r="U603" s="83"/>
      <c r="V603" s="83"/>
      <c r="W603" s="83"/>
      <c r="X603" s="83"/>
      <c r="Y603" s="83"/>
      <c r="Z603" s="83"/>
    </row>
    <row r="604" ht="15.75" customHeight="1">
      <c r="A604" s="118"/>
      <c r="B604" s="118"/>
      <c r="C604" s="94"/>
      <c r="D604" s="111"/>
      <c r="E604" s="115"/>
      <c r="F604" s="108"/>
      <c r="G604" s="98"/>
      <c r="H604" s="116"/>
      <c r="I604" s="111"/>
      <c r="J604" s="115"/>
      <c r="K604" s="108"/>
      <c r="L604" s="98"/>
      <c r="M604" s="116"/>
      <c r="N604" s="111"/>
      <c r="O604" s="115"/>
      <c r="P604" s="108"/>
      <c r="Q604" s="98"/>
      <c r="R604" s="116"/>
      <c r="S604" s="83"/>
      <c r="T604" s="83"/>
      <c r="U604" s="83"/>
      <c r="V604" s="83"/>
      <c r="W604" s="83"/>
      <c r="X604" s="83"/>
      <c r="Y604" s="83"/>
      <c r="Z604" s="83"/>
    </row>
    <row r="605" ht="15.75" customHeight="1">
      <c r="A605" s="118"/>
      <c r="B605" s="118"/>
      <c r="C605" s="94"/>
      <c r="D605" s="111"/>
      <c r="E605" s="115"/>
      <c r="F605" s="108"/>
      <c r="G605" s="98"/>
      <c r="H605" s="116"/>
      <c r="I605" s="111"/>
      <c r="J605" s="115"/>
      <c r="K605" s="108"/>
      <c r="L605" s="98"/>
      <c r="M605" s="116"/>
      <c r="N605" s="111"/>
      <c r="O605" s="115"/>
      <c r="P605" s="108"/>
      <c r="Q605" s="98"/>
      <c r="R605" s="116"/>
      <c r="S605" s="83"/>
      <c r="T605" s="83"/>
      <c r="U605" s="83"/>
      <c r="V605" s="83"/>
      <c r="W605" s="83"/>
      <c r="X605" s="83"/>
      <c r="Y605" s="83"/>
      <c r="Z605" s="83"/>
    </row>
    <row r="606" ht="15.75" customHeight="1">
      <c r="A606" s="118"/>
      <c r="B606" s="118"/>
      <c r="C606" s="94"/>
      <c r="D606" s="111"/>
      <c r="E606" s="115"/>
      <c r="F606" s="108"/>
      <c r="G606" s="98"/>
      <c r="H606" s="116"/>
      <c r="I606" s="111"/>
      <c r="J606" s="115"/>
      <c r="K606" s="108"/>
      <c r="L606" s="98"/>
      <c r="M606" s="116"/>
      <c r="N606" s="111"/>
      <c r="O606" s="115"/>
      <c r="P606" s="108"/>
      <c r="Q606" s="98"/>
      <c r="R606" s="116"/>
      <c r="S606" s="83"/>
      <c r="T606" s="83"/>
      <c r="U606" s="83"/>
      <c r="V606" s="83"/>
      <c r="W606" s="83"/>
      <c r="X606" s="83"/>
      <c r="Y606" s="83"/>
      <c r="Z606" s="83"/>
    </row>
    <row r="607" ht="15.75" customHeight="1">
      <c r="A607" s="118"/>
      <c r="B607" s="118"/>
      <c r="C607" s="94"/>
      <c r="D607" s="111"/>
      <c r="E607" s="115"/>
      <c r="F607" s="108"/>
      <c r="G607" s="98"/>
      <c r="H607" s="116"/>
      <c r="I607" s="111"/>
      <c r="J607" s="115"/>
      <c r="K607" s="108"/>
      <c r="L607" s="98"/>
      <c r="M607" s="116"/>
      <c r="N607" s="111"/>
      <c r="O607" s="115"/>
      <c r="P607" s="108"/>
      <c r="Q607" s="98"/>
      <c r="R607" s="116"/>
      <c r="S607" s="83"/>
      <c r="T607" s="83"/>
      <c r="U607" s="83"/>
      <c r="V607" s="83"/>
      <c r="W607" s="83"/>
      <c r="X607" s="83"/>
      <c r="Y607" s="83"/>
      <c r="Z607" s="83"/>
    </row>
    <row r="608" ht="15.75" customHeight="1">
      <c r="A608" s="118"/>
      <c r="B608" s="118"/>
      <c r="C608" s="94"/>
      <c r="D608" s="111"/>
      <c r="E608" s="115"/>
      <c r="F608" s="108"/>
      <c r="G608" s="98"/>
      <c r="H608" s="116"/>
      <c r="I608" s="111"/>
      <c r="J608" s="115"/>
      <c r="K608" s="108"/>
      <c r="L608" s="98"/>
      <c r="M608" s="116"/>
      <c r="N608" s="111"/>
      <c r="O608" s="115"/>
      <c r="P608" s="108"/>
      <c r="Q608" s="98"/>
      <c r="R608" s="116"/>
      <c r="S608" s="83"/>
      <c r="T608" s="83"/>
      <c r="U608" s="83"/>
      <c r="V608" s="83"/>
      <c r="W608" s="83"/>
      <c r="X608" s="83"/>
      <c r="Y608" s="83"/>
      <c r="Z608" s="83"/>
    </row>
    <row r="609" ht="15.75" customHeight="1">
      <c r="A609" s="118"/>
      <c r="B609" s="118"/>
      <c r="C609" s="94"/>
      <c r="D609" s="111"/>
      <c r="E609" s="115"/>
      <c r="F609" s="108"/>
      <c r="G609" s="98"/>
      <c r="H609" s="116"/>
      <c r="I609" s="111"/>
      <c r="J609" s="115"/>
      <c r="K609" s="108"/>
      <c r="L609" s="98"/>
      <c r="M609" s="116"/>
      <c r="N609" s="111"/>
      <c r="O609" s="115"/>
      <c r="P609" s="108"/>
      <c r="Q609" s="98"/>
      <c r="R609" s="116"/>
      <c r="S609" s="83"/>
      <c r="T609" s="83"/>
      <c r="U609" s="83"/>
      <c r="V609" s="83"/>
      <c r="W609" s="83"/>
      <c r="X609" s="83"/>
      <c r="Y609" s="83"/>
      <c r="Z609" s="83"/>
    </row>
    <row r="610" ht="15.75" customHeight="1">
      <c r="A610" s="118"/>
      <c r="B610" s="118"/>
      <c r="C610" s="94"/>
      <c r="D610" s="111"/>
      <c r="E610" s="115"/>
      <c r="F610" s="108"/>
      <c r="G610" s="98"/>
      <c r="H610" s="116"/>
      <c r="I610" s="111"/>
      <c r="J610" s="115"/>
      <c r="K610" s="108"/>
      <c r="L610" s="98"/>
      <c r="M610" s="116"/>
      <c r="N610" s="111"/>
      <c r="O610" s="115"/>
      <c r="P610" s="108"/>
      <c r="Q610" s="98"/>
      <c r="R610" s="116"/>
      <c r="S610" s="83"/>
      <c r="T610" s="83"/>
      <c r="U610" s="83"/>
      <c r="V610" s="83"/>
      <c r="W610" s="83"/>
      <c r="X610" s="83"/>
      <c r="Y610" s="83"/>
      <c r="Z610" s="83"/>
    </row>
    <row r="611" ht="15.75" customHeight="1">
      <c r="A611" s="118"/>
      <c r="B611" s="118"/>
      <c r="C611" s="94"/>
      <c r="D611" s="111"/>
      <c r="E611" s="115"/>
      <c r="F611" s="108"/>
      <c r="G611" s="98"/>
      <c r="H611" s="116"/>
      <c r="I611" s="111"/>
      <c r="J611" s="115"/>
      <c r="K611" s="108"/>
      <c r="L611" s="98"/>
      <c r="M611" s="116"/>
      <c r="N611" s="111"/>
      <c r="O611" s="115"/>
      <c r="P611" s="108"/>
      <c r="Q611" s="98"/>
      <c r="R611" s="116"/>
      <c r="S611" s="83"/>
      <c r="T611" s="83"/>
      <c r="U611" s="83"/>
      <c r="V611" s="83"/>
      <c r="W611" s="83"/>
      <c r="X611" s="83"/>
      <c r="Y611" s="83"/>
      <c r="Z611" s="83"/>
    </row>
    <row r="612" ht="15.75" customHeight="1">
      <c r="A612" s="118"/>
      <c r="B612" s="118"/>
      <c r="C612" s="94"/>
      <c r="D612" s="111"/>
      <c r="E612" s="115"/>
      <c r="F612" s="108"/>
      <c r="G612" s="98"/>
      <c r="H612" s="116"/>
      <c r="I612" s="111"/>
      <c r="J612" s="115"/>
      <c r="K612" s="108"/>
      <c r="L612" s="98"/>
      <c r="M612" s="116"/>
      <c r="N612" s="111"/>
      <c r="O612" s="115"/>
      <c r="P612" s="108"/>
      <c r="Q612" s="98"/>
      <c r="R612" s="116"/>
      <c r="S612" s="83"/>
      <c r="T612" s="83"/>
      <c r="U612" s="83"/>
      <c r="V612" s="83"/>
      <c r="W612" s="83"/>
      <c r="X612" s="83"/>
      <c r="Y612" s="83"/>
      <c r="Z612" s="83"/>
    </row>
    <row r="613" ht="15.75" customHeight="1">
      <c r="A613" s="118"/>
      <c r="B613" s="118"/>
      <c r="C613" s="94"/>
      <c r="D613" s="111"/>
      <c r="E613" s="115"/>
      <c r="F613" s="108"/>
      <c r="G613" s="98"/>
      <c r="H613" s="116"/>
      <c r="I613" s="111"/>
      <c r="J613" s="115"/>
      <c r="K613" s="108"/>
      <c r="L613" s="98"/>
      <c r="M613" s="116"/>
      <c r="N613" s="111"/>
      <c r="O613" s="115"/>
      <c r="P613" s="108"/>
      <c r="Q613" s="98"/>
      <c r="R613" s="116"/>
      <c r="S613" s="83"/>
      <c r="T613" s="83"/>
      <c r="U613" s="83"/>
      <c r="V613" s="83"/>
      <c r="W613" s="83"/>
      <c r="X613" s="83"/>
      <c r="Y613" s="83"/>
      <c r="Z613" s="83"/>
    </row>
    <row r="614" ht="15.75" customHeight="1">
      <c r="A614" s="118"/>
      <c r="B614" s="118"/>
      <c r="C614" s="94"/>
      <c r="D614" s="111"/>
      <c r="E614" s="115"/>
      <c r="F614" s="108"/>
      <c r="G614" s="98"/>
      <c r="H614" s="116"/>
      <c r="I614" s="111"/>
      <c r="J614" s="115"/>
      <c r="K614" s="108"/>
      <c r="L614" s="98"/>
      <c r="M614" s="116"/>
      <c r="N614" s="111"/>
      <c r="O614" s="115"/>
      <c r="P614" s="108"/>
      <c r="Q614" s="98"/>
      <c r="R614" s="116"/>
      <c r="S614" s="83"/>
      <c r="T614" s="83"/>
      <c r="U614" s="83"/>
      <c r="V614" s="83"/>
      <c r="W614" s="83"/>
      <c r="X614" s="83"/>
      <c r="Y614" s="83"/>
      <c r="Z614" s="83"/>
    </row>
    <row r="615" ht="15.75" customHeight="1">
      <c r="A615" s="118"/>
      <c r="B615" s="118"/>
      <c r="C615" s="94"/>
      <c r="D615" s="111"/>
      <c r="E615" s="115"/>
      <c r="F615" s="108"/>
      <c r="G615" s="98"/>
      <c r="H615" s="116"/>
      <c r="I615" s="111"/>
      <c r="J615" s="115"/>
      <c r="K615" s="108"/>
      <c r="L615" s="98"/>
      <c r="M615" s="116"/>
      <c r="N615" s="111"/>
      <c r="O615" s="115"/>
      <c r="P615" s="108"/>
      <c r="Q615" s="98"/>
      <c r="R615" s="116"/>
      <c r="S615" s="83"/>
      <c r="T615" s="83"/>
      <c r="U615" s="83"/>
      <c r="V615" s="83"/>
      <c r="W615" s="83"/>
      <c r="X615" s="83"/>
      <c r="Y615" s="83"/>
      <c r="Z615" s="83"/>
    </row>
    <row r="616" ht="15.75" customHeight="1">
      <c r="A616" s="118"/>
      <c r="B616" s="118"/>
      <c r="C616" s="94"/>
      <c r="D616" s="111"/>
      <c r="E616" s="115"/>
      <c r="F616" s="108"/>
      <c r="G616" s="98"/>
      <c r="H616" s="116"/>
      <c r="I616" s="111"/>
      <c r="J616" s="115"/>
      <c r="K616" s="108"/>
      <c r="L616" s="98"/>
      <c r="M616" s="116"/>
      <c r="N616" s="111"/>
      <c r="O616" s="115"/>
      <c r="P616" s="108"/>
      <c r="Q616" s="98"/>
      <c r="R616" s="116"/>
      <c r="S616" s="83"/>
      <c r="T616" s="83"/>
      <c r="U616" s="83"/>
      <c r="V616" s="83"/>
      <c r="W616" s="83"/>
      <c r="X616" s="83"/>
      <c r="Y616" s="83"/>
      <c r="Z616" s="83"/>
    </row>
    <row r="617" ht="15.75" customHeight="1">
      <c r="A617" s="118"/>
      <c r="B617" s="118"/>
      <c r="C617" s="94"/>
      <c r="D617" s="111"/>
      <c r="E617" s="115"/>
      <c r="F617" s="108"/>
      <c r="G617" s="98"/>
      <c r="H617" s="116"/>
      <c r="I617" s="111"/>
      <c r="J617" s="115"/>
      <c r="K617" s="108"/>
      <c r="L617" s="98"/>
      <c r="M617" s="116"/>
      <c r="N617" s="111"/>
      <c r="O617" s="115"/>
      <c r="P617" s="108"/>
      <c r="Q617" s="98"/>
      <c r="R617" s="116"/>
      <c r="S617" s="83"/>
      <c r="T617" s="83"/>
      <c r="U617" s="83"/>
      <c r="V617" s="83"/>
      <c r="W617" s="83"/>
      <c r="X617" s="83"/>
      <c r="Y617" s="83"/>
      <c r="Z617" s="83"/>
    </row>
    <row r="618" ht="15.75" customHeight="1">
      <c r="A618" s="118"/>
      <c r="B618" s="118"/>
      <c r="C618" s="94"/>
      <c r="D618" s="111"/>
      <c r="E618" s="115"/>
      <c r="F618" s="108"/>
      <c r="G618" s="98"/>
      <c r="H618" s="116"/>
      <c r="I618" s="111"/>
      <c r="J618" s="115"/>
      <c r="K618" s="108"/>
      <c r="L618" s="98"/>
      <c r="M618" s="116"/>
      <c r="N618" s="111"/>
      <c r="O618" s="115"/>
      <c r="P618" s="108"/>
      <c r="Q618" s="98"/>
      <c r="R618" s="116"/>
      <c r="S618" s="83"/>
      <c r="T618" s="83"/>
      <c r="U618" s="83"/>
      <c r="V618" s="83"/>
      <c r="W618" s="83"/>
      <c r="X618" s="83"/>
      <c r="Y618" s="83"/>
      <c r="Z618" s="83"/>
    </row>
    <row r="619" ht="15.75" customHeight="1">
      <c r="A619" s="118"/>
      <c r="B619" s="118"/>
      <c r="C619" s="94"/>
      <c r="D619" s="111"/>
      <c r="E619" s="115"/>
      <c r="F619" s="108"/>
      <c r="G619" s="98"/>
      <c r="H619" s="116"/>
      <c r="I619" s="111"/>
      <c r="J619" s="115"/>
      <c r="K619" s="108"/>
      <c r="L619" s="98"/>
      <c r="M619" s="116"/>
      <c r="N619" s="111"/>
      <c r="O619" s="115"/>
      <c r="P619" s="108"/>
      <c r="Q619" s="98"/>
      <c r="R619" s="116"/>
      <c r="S619" s="83"/>
      <c r="T619" s="83"/>
      <c r="U619" s="83"/>
      <c r="V619" s="83"/>
      <c r="W619" s="83"/>
      <c r="X619" s="83"/>
      <c r="Y619" s="83"/>
      <c r="Z619" s="83"/>
    </row>
    <row r="620" ht="15.75" customHeight="1">
      <c r="A620" s="118"/>
      <c r="B620" s="118"/>
      <c r="C620" s="94"/>
      <c r="D620" s="111"/>
      <c r="E620" s="115"/>
      <c r="F620" s="108"/>
      <c r="G620" s="98"/>
      <c r="H620" s="116"/>
      <c r="I620" s="111"/>
      <c r="J620" s="115"/>
      <c r="K620" s="108"/>
      <c r="L620" s="98"/>
      <c r="M620" s="116"/>
      <c r="N620" s="111"/>
      <c r="O620" s="115"/>
      <c r="P620" s="108"/>
      <c r="Q620" s="98"/>
      <c r="R620" s="116"/>
      <c r="S620" s="83"/>
      <c r="T620" s="83"/>
      <c r="U620" s="83"/>
      <c r="V620" s="83"/>
      <c r="W620" s="83"/>
      <c r="X620" s="83"/>
      <c r="Y620" s="83"/>
      <c r="Z620" s="83"/>
    </row>
    <row r="621" ht="15.75" customHeight="1">
      <c r="A621" s="118"/>
      <c r="B621" s="118"/>
      <c r="C621" s="94"/>
      <c r="D621" s="111"/>
      <c r="E621" s="115"/>
      <c r="F621" s="108"/>
      <c r="G621" s="98"/>
      <c r="H621" s="116"/>
      <c r="I621" s="111"/>
      <c r="J621" s="115"/>
      <c r="K621" s="108"/>
      <c r="L621" s="98"/>
      <c r="M621" s="116"/>
      <c r="N621" s="111"/>
      <c r="O621" s="115"/>
      <c r="P621" s="108"/>
      <c r="Q621" s="98"/>
      <c r="R621" s="116"/>
      <c r="S621" s="83"/>
      <c r="T621" s="83"/>
      <c r="U621" s="83"/>
      <c r="V621" s="83"/>
      <c r="W621" s="83"/>
      <c r="X621" s="83"/>
      <c r="Y621" s="83"/>
      <c r="Z621" s="83"/>
    </row>
    <row r="622" ht="15.75" customHeight="1">
      <c r="A622" s="118"/>
      <c r="B622" s="118"/>
      <c r="C622" s="94"/>
      <c r="D622" s="111"/>
      <c r="E622" s="115"/>
      <c r="F622" s="108"/>
      <c r="G622" s="98"/>
      <c r="H622" s="116"/>
      <c r="I622" s="111"/>
      <c r="J622" s="115"/>
      <c r="K622" s="108"/>
      <c r="L622" s="98"/>
      <c r="M622" s="116"/>
      <c r="N622" s="111"/>
      <c r="O622" s="115"/>
      <c r="P622" s="108"/>
      <c r="Q622" s="98"/>
      <c r="R622" s="116"/>
      <c r="S622" s="83"/>
      <c r="T622" s="83"/>
      <c r="U622" s="83"/>
      <c r="V622" s="83"/>
      <c r="W622" s="83"/>
      <c r="X622" s="83"/>
      <c r="Y622" s="83"/>
      <c r="Z622" s="83"/>
    </row>
    <row r="623" ht="15.75" customHeight="1">
      <c r="A623" s="118"/>
      <c r="B623" s="118"/>
      <c r="C623" s="94"/>
      <c r="D623" s="111"/>
      <c r="E623" s="115"/>
      <c r="F623" s="108"/>
      <c r="G623" s="98"/>
      <c r="H623" s="116"/>
      <c r="I623" s="111"/>
      <c r="J623" s="115"/>
      <c r="K623" s="108"/>
      <c r="L623" s="98"/>
      <c r="M623" s="116"/>
      <c r="N623" s="111"/>
      <c r="O623" s="115"/>
      <c r="P623" s="108"/>
      <c r="Q623" s="98"/>
      <c r="R623" s="116"/>
      <c r="S623" s="83"/>
      <c r="T623" s="83"/>
      <c r="U623" s="83"/>
      <c r="V623" s="83"/>
      <c r="W623" s="83"/>
      <c r="X623" s="83"/>
      <c r="Y623" s="83"/>
      <c r="Z623" s="83"/>
    </row>
    <row r="624" ht="15.75" customHeight="1">
      <c r="A624" s="118"/>
      <c r="B624" s="118"/>
      <c r="C624" s="94"/>
      <c r="D624" s="111"/>
      <c r="E624" s="115"/>
      <c r="F624" s="108"/>
      <c r="G624" s="98"/>
      <c r="H624" s="116"/>
      <c r="I624" s="111"/>
      <c r="J624" s="115"/>
      <c r="K624" s="108"/>
      <c r="L624" s="98"/>
      <c r="M624" s="116"/>
      <c r="N624" s="111"/>
      <c r="O624" s="115"/>
      <c r="P624" s="108"/>
      <c r="Q624" s="98"/>
      <c r="R624" s="116"/>
      <c r="S624" s="83"/>
      <c r="T624" s="83"/>
      <c r="U624" s="83"/>
      <c r="V624" s="83"/>
      <c r="W624" s="83"/>
      <c r="X624" s="83"/>
      <c r="Y624" s="83"/>
      <c r="Z624" s="83"/>
    </row>
    <row r="625" ht="15.75" customHeight="1">
      <c r="A625" s="118"/>
      <c r="B625" s="118"/>
      <c r="C625" s="94"/>
      <c r="D625" s="111"/>
      <c r="E625" s="115"/>
      <c r="F625" s="108"/>
      <c r="G625" s="98"/>
      <c r="H625" s="116"/>
      <c r="I625" s="111"/>
      <c r="J625" s="115"/>
      <c r="K625" s="108"/>
      <c r="L625" s="98"/>
      <c r="M625" s="116"/>
      <c r="N625" s="111"/>
      <c r="O625" s="115"/>
      <c r="P625" s="108"/>
      <c r="Q625" s="98"/>
      <c r="R625" s="116"/>
      <c r="S625" s="83"/>
      <c r="T625" s="83"/>
      <c r="U625" s="83"/>
      <c r="V625" s="83"/>
      <c r="W625" s="83"/>
      <c r="X625" s="83"/>
      <c r="Y625" s="83"/>
      <c r="Z625" s="83"/>
    </row>
    <row r="626" ht="15.75" customHeight="1">
      <c r="A626" s="118"/>
      <c r="B626" s="118"/>
      <c r="C626" s="94"/>
      <c r="D626" s="111"/>
      <c r="E626" s="115"/>
      <c r="F626" s="108"/>
      <c r="G626" s="98"/>
      <c r="H626" s="116"/>
      <c r="I626" s="111"/>
      <c r="J626" s="115"/>
      <c r="K626" s="108"/>
      <c r="L626" s="98"/>
      <c r="M626" s="116"/>
      <c r="N626" s="111"/>
      <c r="O626" s="115"/>
      <c r="P626" s="108"/>
      <c r="Q626" s="98"/>
      <c r="R626" s="116"/>
      <c r="S626" s="83"/>
      <c r="T626" s="83"/>
      <c r="U626" s="83"/>
      <c r="V626" s="83"/>
      <c r="W626" s="83"/>
      <c r="X626" s="83"/>
      <c r="Y626" s="83"/>
      <c r="Z626" s="83"/>
    </row>
    <row r="627" ht="15.75" customHeight="1">
      <c r="A627" s="118"/>
      <c r="B627" s="118"/>
      <c r="C627" s="94"/>
      <c r="D627" s="111"/>
      <c r="E627" s="115"/>
      <c r="F627" s="108"/>
      <c r="G627" s="98"/>
      <c r="H627" s="116"/>
      <c r="I627" s="111"/>
      <c r="J627" s="115"/>
      <c r="K627" s="108"/>
      <c r="L627" s="98"/>
      <c r="M627" s="116"/>
      <c r="N627" s="111"/>
      <c r="O627" s="115"/>
      <c r="P627" s="108"/>
      <c r="Q627" s="98"/>
      <c r="R627" s="116"/>
      <c r="S627" s="83"/>
      <c r="T627" s="83"/>
      <c r="U627" s="83"/>
      <c r="V627" s="83"/>
      <c r="W627" s="83"/>
      <c r="X627" s="83"/>
      <c r="Y627" s="83"/>
      <c r="Z627" s="83"/>
    </row>
    <row r="628" ht="15.75" customHeight="1">
      <c r="A628" s="118"/>
      <c r="B628" s="118"/>
      <c r="C628" s="94"/>
      <c r="D628" s="111"/>
      <c r="E628" s="115"/>
      <c r="F628" s="108"/>
      <c r="G628" s="98"/>
      <c r="H628" s="116"/>
      <c r="I628" s="111"/>
      <c r="J628" s="115"/>
      <c r="K628" s="108"/>
      <c r="L628" s="98"/>
      <c r="M628" s="116"/>
      <c r="N628" s="111"/>
      <c r="O628" s="115"/>
      <c r="P628" s="108"/>
      <c r="Q628" s="98"/>
      <c r="R628" s="116"/>
      <c r="S628" s="83"/>
      <c r="T628" s="83"/>
      <c r="U628" s="83"/>
      <c r="V628" s="83"/>
      <c r="W628" s="83"/>
      <c r="X628" s="83"/>
      <c r="Y628" s="83"/>
      <c r="Z628" s="83"/>
    </row>
    <row r="629" ht="15.75" customHeight="1">
      <c r="A629" s="118"/>
      <c r="B629" s="118"/>
      <c r="C629" s="94"/>
      <c r="D629" s="111"/>
      <c r="E629" s="115"/>
      <c r="F629" s="108"/>
      <c r="G629" s="98"/>
      <c r="H629" s="116"/>
      <c r="I629" s="111"/>
      <c r="J629" s="115"/>
      <c r="K629" s="108"/>
      <c r="L629" s="98"/>
      <c r="M629" s="116"/>
      <c r="N629" s="111"/>
      <c r="O629" s="115"/>
      <c r="P629" s="108"/>
      <c r="Q629" s="98"/>
      <c r="R629" s="116"/>
      <c r="S629" s="83"/>
      <c r="T629" s="83"/>
      <c r="U629" s="83"/>
      <c r="V629" s="83"/>
      <c r="W629" s="83"/>
      <c r="X629" s="83"/>
      <c r="Y629" s="83"/>
      <c r="Z629" s="83"/>
    </row>
    <row r="630" ht="15.75" customHeight="1">
      <c r="A630" s="118"/>
      <c r="B630" s="118"/>
      <c r="C630" s="94"/>
      <c r="D630" s="111"/>
      <c r="E630" s="115"/>
      <c r="F630" s="108"/>
      <c r="G630" s="98"/>
      <c r="H630" s="116"/>
      <c r="I630" s="111"/>
      <c r="J630" s="115"/>
      <c r="K630" s="108"/>
      <c r="L630" s="98"/>
      <c r="M630" s="116"/>
      <c r="N630" s="111"/>
      <c r="O630" s="115"/>
      <c r="P630" s="108"/>
      <c r="Q630" s="98"/>
      <c r="R630" s="116"/>
      <c r="S630" s="83"/>
      <c r="T630" s="83"/>
      <c r="U630" s="83"/>
      <c r="V630" s="83"/>
      <c r="W630" s="83"/>
      <c r="X630" s="83"/>
      <c r="Y630" s="83"/>
      <c r="Z630" s="83"/>
    </row>
    <row r="631" ht="15.75" customHeight="1">
      <c r="A631" s="118"/>
      <c r="B631" s="118"/>
      <c r="C631" s="94"/>
      <c r="D631" s="111"/>
      <c r="E631" s="115"/>
      <c r="F631" s="108"/>
      <c r="G631" s="98"/>
      <c r="H631" s="116"/>
      <c r="I631" s="111"/>
      <c r="J631" s="115"/>
      <c r="K631" s="108"/>
      <c r="L631" s="98"/>
      <c r="M631" s="116"/>
      <c r="N631" s="111"/>
      <c r="O631" s="115"/>
      <c r="P631" s="108"/>
      <c r="Q631" s="98"/>
      <c r="R631" s="116"/>
      <c r="S631" s="83"/>
      <c r="T631" s="83"/>
      <c r="U631" s="83"/>
      <c r="V631" s="83"/>
      <c r="W631" s="83"/>
      <c r="X631" s="83"/>
      <c r="Y631" s="83"/>
      <c r="Z631" s="83"/>
    </row>
    <row r="632" ht="15.75" customHeight="1">
      <c r="A632" s="118"/>
      <c r="B632" s="118"/>
      <c r="C632" s="94"/>
      <c r="D632" s="111"/>
      <c r="E632" s="115"/>
      <c r="F632" s="108"/>
      <c r="G632" s="98"/>
      <c r="H632" s="116"/>
      <c r="I632" s="111"/>
      <c r="J632" s="115"/>
      <c r="K632" s="108"/>
      <c r="L632" s="98"/>
      <c r="M632" s="116"/>
      <c r="N632" s="111"/>
      <c r="O632" s="115"/>
      <c r="P632" s="108"/>
      <c r="Q632" s="98"/>
      <c r="R632" s="116"/>
      <c r="S632" s="83"/>
      <c r="T632" s="83"/>
      <c r="U632" s="83"/>
      <c r="V632" s="83"/>
      <c r="W632" s="83"/>
      <c r="X632" s="83"/>
      <c r="Y632" s="83"/>
      <c r="Z632" s="83"/>
    </row>
    <row r="633" ht="15.75" customHeight="1">
      <c r="A633" s="118"/>
      <c r="B633" s="118"/>
      <c r="C633" s="94"/>
      <c r="D633" s="111"/>
      <c r="E633" s="115"/>
      <c r="F633" s="108"/>
      <c r="G633" s="98"/>
      <c r="H633" s="116"/>
      <c r="I633" s="111"/>
      <c r="J633" s="115"/>
      <c r="K633" s="108"/>
      <c r="L633" s="98"/>
      <c r="M633" s="116"/>
      <c r="N633" s="111"/>
      <c r="O633" s="115"/>
      <c r="P633" s="108"/>
      <c r="Q633" s="98"/>
      <c r="R633" s="116"/>
      <c r="S633" s="83"/>
      <c r="T633" s="83"/>
      <c r="U633" s="83"/>
      <c r="V633" s="83"/>
      <c r="W633" s="83"/>
      <c r="X633" s="83"/>
      <c r="Y633" s="83"/>
      <c r="Z633" s="83"/>
    </row>
    <row r="634" ht="15.75" customHeight="1">
      <c r="A634" s="118"/>
      <c r="B634" s="118"/>
      <c r="C634" s="94"/>
      <c r="D634" s="111"/>
      <c r="E634" s="115"/>
      <c r="F634" s="108"/>
      <c r="G634" s="98"/>
      <c r="H634" s="116"/>
      <c r="I634" s="111"/>
      <c r="J634" s="115"/>
      <c r="K634" s="108"/>
      <c r="L634" s="98"/>
      <c r="M634" s="116"/>
      <c r="N634" s="111"/>
      <c r="O634" s="115"/>
      <c r="P634" s="108"/>
      <c r="Q634" s="98"/>
      <c r="R634" s="116"/>
      <c r="S634" s="83"/>
      <c r="T634" s="83"/>
      <c r="U634" s="83"/>
      <c r="V634" s="83"/>
      <c r="W634" s="83"/>
      <c r="X634" s="83"/>
      <c r="Y634" s="83"/>
      <c r="Z634" s="83"/>
    </row>
    <row r="635" ht="15.75" customHeight="1">
      <c r="A635" s="118"/>
      <c r="B635" s="118"/>
      <c r="C635" s="94"/>
      <c r="D635" s="111"/>
      <c r="E635" s="115"/>
      <c r="F635" s="108"/>
      <c r="G635" s="98"/>
      <c r="H635" s="116"/>
      <c r="I635" s="111"/>
      <c r="J635" s="115"/>
      <c r="K635" s="108"/>
      <c r="L635" s="98"/>
      <c r="M635" s="116"/>
      <c r="N635" s="111"/>
      <c r="O635" s="115"/>
      <c r="P635" s="108"/>
      <c r="Q635" s="98"/>
      <c r="R635" s="116"/>
      <c r="S635" s="83"/>
      <c r="T635" s="83"/>
      <c r="U635" s="83"/>
      <c r="V635" s="83"/>
      <c r="W635" s="83"/>
      <c r="X635" s="83"/>
      <c r="Y635" s="83"/>
      <c r="Z635" s="83"/>
    </row>
    <row r="636" ht="15.75" customHeight="1">
      <c r="A636" s="118"/>
      <c r="B636" s="118"/>
      <c r="C636" s="94"/>
      <c r="D636" s="111"/>
      <c r="E636" s="115"/>
      <c r="F636" s="108"/>
      <c r="G636" s="98"/>
      <c r="H636" s="116"/>
      <c r="I636" s="111"/>
      <c r="J636" s="115"/>
      <c r="K636" s="108"/>
      <c r="L636" s="98"/>
      <c r="M636" s="116"/>
      <c r="N636" s="111"/>
      <c r="O636" s="115"/>
      <c r="P636" s="108"/>
      <c r="Q636" s="98"/>
      <c r="R636" s="116"/>
      <c r="S636" s="83"/>
      <c r="T636" s="83"/>
      <c r="U636" s="83"/>
      <c r="V636" s="83"/>
      <c r="W636" s="83"/>
      <c r="X636" s="83"/>
      <c r="Y636" s="83"/>
      <c r="Z636" s="83"/>
    </row>
    <row r="637" ht="15.75" customHeight="1">
      <c r="A637" s="118"/>
      <c r="B637" s="118"/>
      <c r="C637" s="94"/>
      <c r="D637" s="111"/>
      <c r="E637" s="115"/>
      <c r="F637" s="108"/>
      <c r="G637" s="98"/>
      <c r="H637" s="116"/>
      <c r="I637" s="111"/>
      <c r="J637" s="115"/>
      <c r="K637" s="108"/>
      <c r="L637" s="98"/>
      <c r="M637" s="116"/>
      <c r="N637" s="111"/>
      <c r="O637" s="115"/>
      <c r="P637" s="108"/>
      <c r="Q637" s="98"/>
      <c r="R637" s="116"/>
      <c r="S637" s="83"/>
      <c r="T637" s="83"/>
      <c r="U637" s="83"/>
      <c r="V637" s="83"/>
      <c r="W637" s="83"/>
      <c r="X637" s="83"/>
      <c r="Y637" s="83"/>
      <c r="Z637" s="83"/>
    </row>
    <row r="638" ht="15.75" customHeight="1">
      <c r="A638" s="118"/>
      <c r="B638" s="118"/>
      <c r="C638" s="94"/>
      <c r="D638" s="111"/>
      <c r="E638" s="115"/>
      <c r="F638" s="108"/>
      <c r="G638" s="98"/>
      <c r="H638" s="116"/>
      <c r="I638" s="111"/>
      <c r="J638" s="115"/>
      <c r="K638" s="108"/>
      <c r="L638" s="98"/>
      <c r="M638" s="116"/>
      <c r="N638" s="111"/>
      <c r="O638" s="115"/>
      <c r="P638" s="108"/>
      <c r="Q638" s="98"/>
      <c r="R638" s="116"/>
      <c r="S638" s="83"/>
      <c r="T638" s="83"/>
      <c r="U638" s="83"/>
      <c r="V638" s="83"/>
      <c r="W638" s="83"/>
      <c r="X638" s="83"/>
      <c r="Y638" s="83"/>
      <c r="Z638" s="83"/>
    </row>
    <row r="639" ht="15.75" customHeight="1">
      <c r="A639" s="118"/>
      <c r="B639" s="118"/>
      <c r="C639" s="94"/>
      <c r="D639" s="111"/>
      <c r="E639" s="115"/>
      <c r="F639" s="108"/>
      <c r="G639" s="98"/>
      <c r="H639" s="116"/>
      <c r="I639" s="111"/>
      <c r="J639" s="115"/>
      <c r="K639" s="108"/>
      <c r="L639" s="98"/>
      <c r="M639" s="116"/>
      <c r="N639" s="111"/>
      <c r="O639" s="115"/>
      <c r="P639" s="108"/>
      <c r="Q639" s="98"/>
      <c r="R639" s="116"/>
      <c r="S639" s="83"/>
      <c r="T639" s="83"/>
      <c r="U639" s="83"/>
      <c r="V639" s="83"/>
      <c r="W639" s="83"/>
      <c r="X639" s="83"/>
      <c r="Y639" s="83"/>
      <c r="Z639" s="83"/>
    </row>
    <row r="640" ht="15.75" customHeight="1">
      <c r="A640" s="118"/>
      <c r="B640" s="118"/>
      <c r="C640" s="94"/>
      <c r="D640" s="111"/>
      <c r="E640" s="115"/>
      <c r="F640" s="108"/>
      <c r="G640" s="98"/>
      <c r="H640" s="116"/>
      <c r="I640" s="111"/>
      <c r="J640" s="115"/>
      <c r="K640" s="108"/>
      <c r="L640" s="98"/>
      <c r="M640" s="116"/>
      <c r="N640" s="111"/>
      <c r="O640" s="115"/>
      <c r="P640" s="108"/>
      <c r="Q640" s="98"/>
      <c r="R640" s="116"/>
      <c r="S640" s="83"/>
      <c r="T640" s="83"/>
      <c r="U640" s="83"/>
      <c r="V640" s="83"/>
      <c r="W640" s="83"/>
      <c r="X640" s="83"/>
      <c r="Y640" s="83"/>
      <c r="Z640" s="83"/>
    </row>
    <row r="641" ht="15.75" customHeight="1">
      <c r="A641" s="118"/>
      <c r="B641" s="118"/>
      <c r="C641" s="94"/>
      <c r="D641" s="111"/>
      <c r="E641" s="115"/>
      <c r="F641" s="108"/>
      <c r="G641" s="98"/>
      <c r="H641" s="116"/>
      <c r="I641" s="111"/>
      <c r="J641" s="115"/>
      <c r="K641" s="108"/>
      <c r="L641" s="98"/>
      <c r="M641" s="116"/>
      <c r="N641" s="111"/>
      <c r="O641" s="115"/>
      <c r="P641" s="108"/>
      <c r="Q641" s="98"/>
      <c r="R641" s="116"/>
      <c r="S641" s="83"/>
      <c r="T641" s="83"/>
      <c r="U641" s="83"/>
      <c r="V641" s="83"/>
      <c r="W641" s="83"/>
      <c r="X641" s="83"/>
      <c r="Y641" s="83"/>
      <c r="Z641" s="83"/>
    </row>
    <row r="642" ht="15.75" customHeight="1">
      <c r="A642" s="118"/>
      <c r="B642" s="118"/>
      <c r="C642" s="94"/>
      <c r="D642" s="111"/>
      <c r="E642" s="115"/>
      <c r="F642" s="108"/>
      <c r="G642" s="98"/>
      <c r="H642" s="116"/>
      <c r="I642" s="111"/>
      <c r="J642" s="115"/>
      <c r="K642" s="108"/>
      <c r="L642" s="98"/>
      <c r="M642" s="116"/>
      <c r="N642" s="111"/>
      <c r="O642" s="115"/>
      <c r="P642" s="108"/>
      <c r="Q642" s="98"/>
      <c r="R642" s="116"/>
      <c r="S642" s="83"/>
      <c r="T642" s="83"/>
      <c r="U642" s="83"/>
      <c r="V642" s="83"/>
      <c r="W642" s="83"/>
      <c r="X642" s="83"/>
      <c r="Y642" s="83"/>
      <c r="Z642" s="83"/>
    </row>
    <row r="643" ht="15.75" customHeight="1">
      <c r="A643" s="118"/>
      <c r="B643" s="118"/>
      <c r="C643" s="94"/>
      <c r="D643" s="111"/>
      <c r="E643" s="115"/>
      <c r="F643" s="108"/>
      <c r="G643" s="98"/>
      <c r="H643" s="116"/>
      <c r="I643" s="111"/>
      <c r="J643" s="115"/>
      <c r="K643" s="108"/>
      <c r="L643" s="98"/>
      <c r="M643" s="116"/>
      <c r="N643" s="111"/>
      <c r="O643" s="115"/>
      <c r="P643" s="108"/>
      <c r="Q643" s="98"/>
      <c r="R643" s="116"/>
      <c r="S643" s="83"/>
      <c r="T643" s="83"/>
      <c r="U643" s="83"/>
      <c r="V643" s="83"/>
      <c r="W643" s="83"/>
      <c r="X643" s="83"/>
      <c r="Y643" s="83"/>
      <c r="Z643" s="83"/>
    </row>
    <row r="644" ht="15.75" customHeight="1">
      <c r="A644" s="118"/>
      <c r="B644" s="118"/>
      <c r="C644" s="94"/>
      <c r="D644" s="111"/>
      <c r="E644" s="115"/>
      <c r="F644" s="108"/>
      <c r="G644" s="98"/>
      <c r="H644" s="116"/>
      <c r="I644" s="111"/>
      <c r="J644" s="115"/>
      <c r="K644" s="108"/>
      <c r="L644" s="98"/>
      <c r="M644" s="116"/>
      <c r="N644" s="111"/>
      <c r="O644" s="115"/>
      <c r="P644" s="108"/>
      <c r="Q644" s="98"/>
      <c r="R644" s="116"/>
      <c r="S644" s="83"/>
      <c r="T644" s="83"/>
      <c r="U644" s="83"/>
      <c r="V644" s="83"/>
      <c r="W644" s="83"/>
      <c r="X644" s="83"/>
      <c r="Y644" s="83"/>
      <c r="Z644" s="83"/>
    </row>
    <row r="645" ht="15.75" customHeight="1">
      <c r="A645" s="118"/>
      <c r="B645" s="118"/>
      <c r="C645" s="94"/>
      <c r="D645" s="111"/>
      <c r="E645" s="115"/>
      <c r="F645" s="108"/>
      <c r="G645" s="98"/>
      <c r="H645" s="116"/>
      <c r="I645" s="111"/>
      <c r="J645" s="115"/>
      <c r="K645" s="108"/>
      <c r="L645" s="98"/>
      <c r="M645" s="116"/>
      <c r="N645" s="111"/>
      <c r="O645" s="115"/>
      <c r="P645" s="108"/>
      <c r="Q645" s="98"/>
      <c r="R645" s="116"/>
      <c r="S645" s="83"/>
      <c r="T645" s="83"/>
      <c r="U645" s="83"/>
      <c r="V645" s="83"/>
      <c r="W645" s="83"/>
      <c r="X645" s="83"/>
      <c r="Y645" s="83"/>
      <c r="Z645" s="83"/>
    </row>
    <row r="646" ht="15.75" customHeight="1">
      <c r="A646" s="118"/>
      <c r="B646" s="118"/>
      <c r="C646" s="94"/>
      <c r="D646" s="111"/>
      <c r="E646" s="115"/>
      <c r="F646" s="108"/>
      <c r="G646" s="98"/>
      <c r="H646" s="116"/>
      <c r="I646" s="111"/>
      <c r="J646" s="115"/>
      <c r="K646" s="108"/>
      <c r="L646" s="98"/>
      <c r="M646" s="116"/>
      <c r="N646" s="111"/>
      <c r="O646" s="115"/>
      <c r="P646" s="108"/>
      <c r="Q646" s="98"/>
      <c r="R646" s="116"/>
      <c r="S646" s="83"/>
      <c r="T646" s="83"/>
      <c r="U646" s="83"/>
      <c r="V646" s="83"/>
      <c r="W646" s="83"/>
      <c r="X646" s="83"/>
      <c r="Y646" s="83"/>
      <c r="Z646" s="83"/>
    </row>
    <row r="647" ht="15.75" customHeight="1">
      <c r="A647" s="118"/>
      <c r="B647" s="118"/>
      <c r="C647" s="94"/>
      <c r="D647" s="111"/>
      <c r="E647" s="115"/>
      <c r="F647" s="108"/>
      <c r="G647" s="98"/>
      <c r="H647" s="116"/>
      <c r="I647" s="111"/>
      <c r="J647" s="115"/>
      <c r="K647" s="108"/>
      <c r="L647" s="98"/>
      <c r="M647" s="116"/>
      <c r="N647" s="111"/>
      <c r="O647" s="115"/>
      <c r="P647" s="108"/>
      <c r="Q647" s="98"/>
      <c r="R647" s="116"/>
      <c r="S647" s="83"/>
      <c r="T647" s="83"/>
      <c r="U647" s="83"/>
      <c r="V647" s="83"/>
      <c r="W647" s="83"/>
      <c r="X647" s="83"/>
      <c r="Y647" s="83"/>
      <c r="Z647" s="83"/>
    </row>
    <row r="648" ht="15.75" customHeight="1">
      <c r="A648" s="118"/>
      <c r="B648" s="118"/>
      <c r="C648" s="94"/>
      <c r="D648" s="111"/>
      <c r="E648" s="115"/>
      <c r="F648" s="108"/>
      <c r="G648" s="98"/>
      <c r="H648" s="116"/>
      <c r="I648" s="111"/>
      <c r="J648" s="115"/>
      <c r="K648" s="108"/>
      <c r="L648" s="98"/>
      <c r="M648" s="116"/>
      <c r="N648" s="111"/>
      <c r="O648" s="115"/>
      <c r="P648" s="108"/>
      <c r="Q648" s="98"/>
      <c r="R648" s="116"/>
      <c r="S648" s="83"/>
      <c r="T648" s="83"/>
      <c r="U648" s="83"/>
      <c r="V648" s="83"/>
      <c r="W648" s="83"/>
      <c r="X648" s="83"/>
      <c r="Y648" s="83"/>
      <c r="Z648" s="83"/>
    </row>
    <row r="649" ht="15.75" customHeight="1">
      <c r="A649" s="118"/>
      <c r="B649" s="118"/>
      <c r="C649" s="94"/>
      <c r="D649" s="111"/>
      <c r="E649" s="115"/>
      <c r="F649" s="108"/>
      <c r="G649" s="98"/>
      <c r="H649" s="116"/>
      <c r="I649" s="111"/>
      <c r="J649" s="115"/>
      <c r="K649" s="108"/>
      <c r="L649" s="98"/>
      <c r="M649" s="116"/>
      <c r="N649" s="111"/>
      <c r="O649" s="115"/>
      <c r="P649" s="108"/>
      <c r="Q649" s="98"/>
      <c r="R649" s="116"/>
      <c r="S649" s="83"/>
      <c r="T649" s="83"/>
      <c r="U649" s="83"/>
      <c r="V649" s="83"/>
      <c r="W649" s="83"/>
      <c r="X649" s="83"/>
      <c r="Y649" s="83"/>
      <c r="Z649" s="83"/>
    </row>
    <row r="650" ht="15.75" customHeight="1">
      <c r="A650" s="118"/>
      <c r="B650" s="118"/>
      <c r="C650" s="94"/>
      <c r="D650" s="111"/>
      <c r="E650" s="115"/>
      <c r="F650" s="108"/>
      <c r="G650" s="98"/>
      <c r="H650" s="116"/>
      <c r="I650" s="111"/>
      <c r="J650" s="115"/>
      <c r="K650" s="108"/>
      <c r="L650" s="98"/>
      <c r="M650" s="116"/>
      <c r="N650" s="111"/>
      <c r="O650" s="115"/>
      <c r="P650" s="108"/>
      <c r="Q650" s="98"/>
      <c r="R650" s="116"/>
      <c r="S650" s="83"/>
      <c r="T650" s="83"/>
      <c r="U650" s="83"/>
      <c r="V650" s="83"/>
      <c r="W650" s="83"/>
      <c r="X650" s="83"/>
      <c r="Y650" s="83"/>
      <c r="Z650" s="83"/>
    </row>
    <row r="651" ht="15.75" customHeight="1">
      <c r="A651" s="118"/>
      <c r="B651" s="118"/>
      <c r="C651" s="94"/>
      <c r="D651" s="111"/>
      <c r="E651" s="115"/>
      <c r="F651" s="108"/>
      <c r="G651" s="98"/>
      <c r="H651" s="116"/>
      <c r="I651" s="111"/>
      <c r="J651" s="115"/>
      <c r="K651" s="108"/>
      <c r="L651" s="98"/>
      <c r="M651" s="116"/>
      <c r="N651" s="111"/>
      <c r="O651" s="115"/>
      <c r="P651" s="108"/>
      <c r="Q651" s="98"/>
      <c r="R651" s="116"/>
      <c r="S651" s="83"/>
      <c r="T651" s="83"/>
      <c r="U651" s="83"/>
      <c r="V651" s="83"/>
      <c r="W651" s="83"/>
      <c r="X651" s="83"/>
      <c r="Y651" s="83"/>
      <c r="Z651" s="83"/>
    </row>
    <row r="652" ht="15.75" customHeight="1">
      <c r="A652" s="118"/>
      <c r="B652" s="118"/>
      <c r="C652" s="94"/>
      <c r="D652" s="111"/>
      <c r="E652" s="115"/>
      <c r="F652" s="108"/>
      <c r="G652" s="98"/>
      <c r="H652" s="116"/>
      <c r="I652" s="111"/>
      <c r="J652" s="115"/>
      <c r="K652" s="108"/>
      <c r="L652" s="98"/>
      <c r="M652" s="116"/>
      <c r="N652" s="111"/>
      <c r="O652" s="115"/>
      <c r="P652" s="108"/>
      <c r="Q652" s="98"/>
      <c r="R652" s="116"/>
      <c r="S652" s="83"/>
      <c r="T652" s="83"/>
      <c r="U652" s="83"/>
      <c r="V652" s="83"/>
      <c r="W652" s="83"/>
      <c r="X652" s="83"/>
      <c r="Y652" s="83"/>
      <c r="Z652" s="83"/>
    </row>
    <row r="653" ht="15.75" customHeight="1">
      <c r="A653" s="118"/>
      <c r="B653" s="118"/>
      <c r="C653" s="94"/>
      <c r="D653" s="111"/>
      <c r="E653" s="115"/>
      <c r="F653" s="108"/>
      <c r="G653" s="98"/>
      <c r="H653" s="116"/>
      <c r="I653" s="111"/>
      <c r="J653" s="115"/>
      <c r="K653" s="108"/>
      <c r="L653" s="98"/>
      <c r="M653" s="116"/>
      <c r="N653" s="111"/>
      <c r="O653" s="115"/>
      <c r="P653" s="108"/>
      <c r="Q653" s="98"/>
      <c r="R653" s="116"/>
      <c r="S653" s="83"/>
      <c r="T653" s="83"/>
      <c r="U653" s="83"/>
      <c r="V653" s="83"/>
      <c r="W653" s="83"/>
      <c r="X653" s="83"/>
      <c r="Y653" s="83"/>
      <c r="Z653" s="83"/>
    </row>
    <row r="654" ht="15.75" customHeight="1">
      <c r="A654" s="118"/>
      <c r="B654" s="118"/>
      <c r="C654" s="94"/>
      <c r="D654" s="111"/>
      <c r="E654" s="115"/>
      <c r="F654" s="108"/>
      <c r="G654" s="98"/>
      <c r="H654" s="116"/>
      <c r="I654" s="111"/>
      <c r="J654" s="115"/>
      <c r="K654" s="108"/>
      <c r="L654" s="98"/>
      <c r="M654" s="116"/>
      <c r="N654" s="111"/>
      <c r="O654" s="115"/>
      <c r="P654" s="108"/>
      <c r="Q654" s="98"/>
      <c r="R654" s="116"/>
      <c r="S654" s="83"/>
      <c r="T654" s="83"/>
      <c r="U654" s="83"/>
      <c r="V654" s="83"/>
      <c r="W654" s="83"/>
      <c r="X654" s="83"/>
      <c r="Y654" s="83"/>
      <c r="Z654" s="83"/>
    </row>
    <row r="655" ht="15.75" customHeight="1">
      <c r="A655" s="118"/>
      <c r="B655" s="118"/>
      <c r="C655" s="94"/>
      <c r="D655" s="111"/>
      <c r="E655" s="115"/>
      <c r="F655" s="108"/>
      <c r="G655" s="98"/>
      <c r="H655" s="116"/>
      <c r="I655" s="111"/>
      <c r="J655" s="115"/>
      <c r="K655" s="108"/>
      <c r="L655" s="98"/>
      <c r="M655" s="116"/>
      <c r="N655" s="111"/>
      <c r="O655" s="115"/>
      <c r="P655" s="108"/>
      <c r="Q655" s="98"/>
      <c r="R655" s="116"/>
      <c r="S655" s="83"/>
      <c r="T655" s="83"/>
      <c r="U655" s="83"/>
      <c r="V655" s="83"/>
      <c r="W655" s="83"/>
      <c r="X655" s="83"/>
      <c r="Y655" s="83"/>
      <c r="Z655" s="83"/>
    </row>
    <row r="656" ht="15.75" customHeight="1">
      <c r="A656" s="118"/>
      <c r="B656" s="118"/>
      <c r="C656" s="94"/>
      <c r="D656" s="111"/>
      <c r="E656" s="115"/>
      <c r="F656" s="108"/>
      <c r="G656" s="98"/>
      <c r="H656" s="116"/>
      <c r="I656" s="111"/>
      <c r="J656" s="115"/>
      <c r="K656" s="108"/>
      <c r="L656" s="98"/>
      <c r="M656" s="116"/>
      <c r="N656" s="111"/>
      <c r="O656" s="115"/>
      <c r="P656" s="108"/>
      <c r="Q656" s="98"/>
      <c r="R656" s="116"/>
      <c r="S656" s="83"/>
      <c r="T656" s="83"/>
      <c r="U656" s="83"/>
      <c r="V656" s="83"/>
      <c r="W656" s="83"/>
      <c r="X656" s="83"/>
      <c r="Y656" s="83"/>
      <c r="Z656" s="83"/>
    </row>
    <row r="657" ht="15.75" customHeight="1">
      <c r="A657" s="118"/>
      <c r="B657" s="118"/>
      <c r="C657" s="94"/>
      <c r="D657" s="111"/>
      <c r="E657" s="115"/>
      <c r="F657" s="108"/>
      <c r="G657" s="98"/>
      <c r="H657" s="116"/>
      <c r="I657" s="111"/>
      <c r="J657" s="115"/>
      <c r="K657" s="108"/>
      <c r="L657" s="98"/>
      <c r="M657" s="116"/>
      <c r="N657" s="111"/>
      <c r="O657" s="115"/>
      <c r="P657" s="108"/>
      <c r="Q657" s="98"/>
      <c r="R657" s="116"/>
      <c r="S657" s="83"/>
      <c r="T657" s="83"/>
      <c r="U657" s="83"/>
      <c r="V657" s="83"/>
      <c r="W657" s="83"/>
      <c r="X657" s="83"/>
      <c r="Y657" s="83"/>
      <c r="Z657" s="83"/>
    </row>
    <row r="658" ht="15.75" customHeight="1">
      <c r="A658" s="118"/>
      <c r="B658" s="118"/>
      <c r="C658" s="94"/>
      <c r="D658" s="111"/>
      <c r="E658" s="115"/>
      <c r="F658" s="108"/>
      <c r="G658" s="98"/>
      <c r="H658" s="116"/>
      <c r="I658" s="111"/>
      <c r="J658" s="115"/>
      <c r="K658" s="108"/>
      <c r="L658" s="98"/>
      <c r="M658" s="116"/>
      <c r="N658" s="111"/>
      <c r="O658" s="115"/>
      <c r="P658" s="108"/>
      <c r="Q658" s="98"/>
      <c r="R658" s="116"/>
      <c r="S658" s="83"/>
      <c r="T658" s="83"/>
      <c r="U658" s="83"/>
      <c r="V658" s="83"/>
      <c r="W658" s="83"/>
      <c r="X658" s="83"/>
      <c r="Y658" s="83"/>
      <c r="Z658" s="83"/>
    </row>
    <row r="659" ht="15.75" customHeight="1">
      <c r="A659" s="118"/>
      <c r="B659" s="118"/>
      <c r="C659" s="94"/>
      <c r="D659" s="111"/>
      <c r="E659" s="115"/>
      <c r="F659" s="108"/>
      <c r="G659" s="98"/>
      <c r="H659" s="116"/>
      <c r="I659" s="111"/>
      <c r="J659" s="115"/>
      <c r="K659" s="108"/>
      <c r="L659" s="98"/>
      <c r="M659" s="116"/>
      <c r="N659" s="111"/>
      <c r="O659" s="115"/>
      <c r="P659" s="108"/>
      <c r="Q659" s="98"/>
      <c r="R659" s="116"/>
      <c r="S659" s="83"/>
      <c r="T659" s="83"/>
      <c r="U659" s="83"/>
      <c r="V659" s="83"/>
      <c r="W659" s="83"/>
      <c r="X659" s="83"/>
      <c r="Y659" s="83"/>
      <c r="Z659" s="83"/>
    </row>
    <row r="660" ht="15.75" customHeight="1">
      <c r="A660" s="118"/>
      <c r="B660" s="118"/>
      <c r="C660" s="94"/>
      <c r="D660" s="111"/>
      <c r="E660" s="115"/>
      <c r="F660" s="108"/>
      <c r="G660" s="98"/>
      <c r="H660" s="116"/>
      <c r="I660" s="111"/>
      <c r="J660" s="115"/>
      <c r="K660" s="108"/>
      <c r="L660" s="98"/>
      <c r="M660" s="116"/>
      <c r="N660" s="111"/>
      <c r="O660" s="115"/>
      <c r="P660" s="108"/>
      <c r="Q660" s="98"/>
      <c r="R660" s="116"/>
      <c r="S660" s="83"/>
      <c r="T660" s="83"/>
      <c r="U660" s="83"/>
      <c r="V660" s="83"/>
      <c r="W660" s="83"/>
      <c r="X660" s="83"/>
      <c r="Y660" s="83"/>
      <c r="Z660" s="83"/>
    </row>
    <row r="661" ht="15.75" customHeight="1">
      <c r="A661" s="118"/>
      <c r="B661" s="118"/>
      <c r="C661" s="94"/>
      <c r="D661" s="111"/>
      <c r="E661" s="115"/>
      <c r="F661" s="108"/>
      <c r="G661" s="98"/>
      <c r="H661" s="116"/>
      <c r="I661" s="111"/>
      <c r="J661" s="115"/>
      <c r="K661" s="108"/>
      <c r="L661" s="98"/>
      <c r="M661" s="116"/>
      <c r="N661" s="111"/>
      <c r="O661" s="115"/>
      <c r="P661" s="108"/>
      <c r="Q661" s="98"/>
      <c r="R661" s="116"/>
      <c r="S661" s="83"/>
      <c r="T661" s="83"/>
      <c r="U661" s="83"/>
      <c r="V661" s="83"/>
      <c r="W661" s="83"/>
      <c r="X661" s="83"/>
      <c r="Y661" s="83"/>
      <c r="Z661" s="83"/>
    </row>
    <row r="662" ht="15.75" customHeight="1">
      <c r="A662" s="118"/>
      <c r="B662" s="118"/>
      <c r="C662" s="94"/>
      <c r="D662" s="111"/>
      <c r="E662" s="115"/>
      <c r="F662" s="108"/>
      <c r="G662" s="98"/>
      <c r="H662" s="116"/>
      <c r="I662" s="111"/>
      <c r="J662" s="115"/>
      <c r="K662" s="108"/>
      <c r="L662" s="98"/>
      <c r="M662" s="116"/>
      <c r="N662" s="111"/>
      <c r="O662" s="115"/>
      <c r="P662" s="108"/>
      <c r="Q662" s="98"/>
      <c r="R662" s="116"/>
      <c r="S662" s="83"/>
      <c r="T662" s="83"/>
      <c r="U662" s="83"/>
      <c r="V662" s="83"/>
      <c r="W662" s="83"/>
      <c r="X662" s="83"/>
      <c r="Y662" s="83"/>
      <c r="Z662" s="83"/>
    </row>
    <row r="663" ht="15.75" customHeight="1">
      <c r="A663" s="118"/>
      <c r="B663" s="118"/>
      <c r="C663" s="94"/>
      <c r="D663" s="111"/>
      <c r="E663" s="115"/>
      <c r="F663" s="108"/>
      <c r="G663" s="98"/>
      <c r="H663" s="116"/>
      <c r="I663" s="111"/>
      <c r="J663" s="115"/>
      <c r="K663" s="108"/>
      <c r="L663" s="98"/>
      <c r="M663" s="116"/>
      <c r="N663" s="111"/>
      <c r="O663" s="115"/>
      <c r="P663" s="108"/>
      <c r="Q663" s="98"/>
      <c r="R663" s="116"/>
      <c r="S663" s="83"/>
      <c r="T663" s="83"/>
      <c r="U663" s="83"/>
      <c r="V663" s="83"/>
      <c r="W663" s="83"/>
      <c r="X663" s="83"/>
      <c r="Y663" s="83"/>
      <c r="Z663" s="83"/>
    </row>
    <row r="664" ht="15.75" customHeight="1">
      <c r="A664" s="118"/>
      <c r="B664" s="118"/>
      <c r="C664" s="94"/>
      <c r="D664" s="111"/>
      <c r="E664" s="115"/>
      <c r="F664" s="108"/>
      <c r="G664" s="98"/>
      <c r="H664" s="116"/>
      <c r="I664" s="111"/>
      <c r="J664" s="115"/>
      <c r="K664" s="108"/>
      <c r="L664" s="98"/>
      <c r="M664" s="116"/>
      <c r="N664" s="111"/>
      <c r="O664" s="115"/>
      <c r="P664" s="108"/>
      <c r="Q664" s="98"/>
      <c r="R664" s="116"/>
      <c r="S664" s="83"/>
      <c r="T664" s="83"/>
      <c r="U664" s="83"/>
      <c r="V664" s="83"/>
      <c r="W664" s="83"/>
      <c r="X664" s="83"/>
      <c r="Y664" s="83"/>
      <c r="Z664" s="83"/>
    </row>
    <row r="665" ht="15.75" customHeight="1">
      <c r="A665" s="118"/>
      <c r="B665" s="118"/>
      <c r="C665" s="94"/>
      <c r="D665" s="111"/>
      <c r="E665" s="115"/>
      <c r="F665" s="108"/>
      <c r="G665" s="98"/>
      <c r="H665" s="116"/>
      <c r="I665" s="111"/>
      <c r="J665" s="115"/>
      <c r="K665" s="108"/>
      <c r="L665" s="98"/>
      <c r="M665" s="116"/>
      <c r="N665" s="111"/>
      <c r="O665" s="115"/>
      <c r="P665" s="108"/>
      <c r="Q665" s="98"/>
      <c r="R665" s="116"/>
      <c r="S665" s="83"/>
      <c r="T665" s="83"/>
      <c r="U665" s="83"/>
      <c r="V665" s="83"/>
      <c r="W665" s="83"/>
      <c r="X665" s="83"/>
      <c r="Y665" s="83"/>
      <c r="Z665" s="83"/>
    </row>
    <row r="666" ht="15.75" customHeight="1">
      <c r="A666" s="118"/>
      <c r="B666" s="118"/>
      <c r="C666" s="94"/>
      <c r="D666" s="111"/>
      <c r="E666" s="115"/>
      <c r="F666" s="108"/>
      <c r="G666" s="98"/>
      <c r="H666" s="116"/>
      <c r="I666" s="111"/>
      <c r="J666" s="115"/>
      <c r="K666" s="108"/>
      <c r="L666" s="98"/>
      <c r="M666" s="116"/>
      <c r="N666" s="111"/>
      <c r="O666" s="115"/>
      <c r="P666" s="108"/>
      <c r="Q666" s="98"/>
      <c r="R666" s="116"/>
      <c r="S666" s="83"/>
      <c r="T666" s="83"/>
      <c r="U666" s="83"/>
      <c r="V666" s="83"/>
      <c r="W666" s="83"/>
      <c r="X666" s="83"/>
      <c r="Y666" s="83"/>
      <c r="Z666" s="83"/>
    </row>
    <row r="667" ht="15.75" customHeight="1">
      <c r="A667" s="118"/>
      <c r="B667" s="118"/>
      <c r="C667" s="94"/>
      <c r="D667" s="111"/>
      <c r="E667" s="115"/>
      <c r="F667" s="108"/>
      <c r="G667" s="98"/>
      <c r="H667" s="116"/>
      <c r="I667" s="111"/>
      <c r="J667" s="115"/>
      <c r="K667" s="108"/>
      <c r="L667" s="98"/>
      <c r="M667" s="116"/>
      <c r="N667" s="111"/>
      <c r="O667" s="115"/>
      <c r="P667" s="108"/>
      <c r="Q667" s="98"/>
      <c r="R667" s="116"/>
      <c r="S667" s="83"/>
      <c r="T667" s="83"/>
      <c r="U667" s="83"/>
      <c r="V667" s="83"/>
      <c r="W667" s="83"/>
      <c r="X667" s="83"/>
      <c r="Y667" s="83"/>
      <c r="Z667" s="83"/>
    </row>
    <row r="668" ht="15.75" customHeight="1">
      <c r="A668" s="118"/>
      <c r="B668" s="118"/>
      <c r="C668" s="94"/>
      <c r="D668" s="111"/>
      <c r="E668" s="115"/>
      <c r="F668" s="108"/>
      <c r="G668" s="98"/>
      <c r="H668" s="116"/>
      <c r="I668" s="111"/>
      <c r="J668" s="115"/>
      <c r="K668" s="108"/>
      <c r="L668" s="98"/>
      <c r="M668" s="116"/>
      <c r="N668" s="111"/>
      <c r="O668" s="115"/>
      <c r="P668" s="108"/>
      <c r="Q668" s="98"/>
      <c r="R668" s="116"/>
      <c r="S668" s="83"/>
      <c r="T668" s="83"/>
      <c r="U668" s="83"/>
      <c r="V668" s="83"/>
      <c r="W668" s="83"/>
      <c r="X668" s="83"/>
      <c r="Y668" s="83"/>
      <c r="Z668" s="83"/>
    </row>
    <row r="669" ht="15.75" customHeight="1">
      <c r="A669" s="118"/>
      <c r="B669" s="118"/>
      <c r="C669" s="94"/>
      <c r="D669" s="111"/>
      <c r="E669" s="115"/>
      <c r="F669" s="108"/>
      <c r="G669" s="98"/>
      <c r="H669" s="116"/>
      <c r="I669" s="111"/>
      <c r="J669" s="115"/>
      <c r="K669" s="108"/>
      <c r="L669" s="98"/>
      <c r="M669" s="116"/>
      <c r="N669" s="111"/>
      <c r="O669" s="115"/>
      <c r="P669" s="108"/>
      <c r="Q669" s="98"/>
      <c r="R669" s="116"/>
      <c r="S669" s="83"/>
      <c r="T669" s="83"/>
      <c r="U669" s="83"/>
      <c r="V669" s="83"/>
      <c r="W669" s="83"/>
      <c r="X669" s="83"/>
      <c r="Y669" s="83"/>
      <c r="Z669" s="83"/>
    </row>
    <row r="670" ht="15.75" customHeight="1">
      <c r="A670" s="118"/>
      <c r="B670" s="118"/>
      <c r="C670" s="94"/>
      <c r="D670" s="111"/>
      <c r="E670" s="115"/>
      <c r="F670" s="108"/>
      <c r="G670" s="98"/>
      <c r="H670" s="116"/>
      <c r="I670" s="111"/>
      <c r="J670" s="115"/>
      <c r="K670" s="108"/>
      <c r="L670" s="98"/>
      <c r="M670" s="116"/>
      <c r="N670" s="111"/>
      <c r="O670" s="115"/>
      <c r="P670" s="108"/>
      <c r="Q670" s="98"/>
      <c r="R670" s="116"/>
      <c r="S670" s="83"/>
      <c r="T670" s="83"/>
      <c r="U670" s="83"/>
      <c r="V670" s="83"/>
      <c r="W670" s="83"/>
      <c r="X670" s="83"/>
      <c r="Y670" s="83"/>
      <c r="Z670" s="83"/>
    </row>
    <row r="671" ht="15.75" customHeight="1">
      <c r="A671" s="118"/>
      <c r="B671" s="118"/>
      <c r="C671" s="94"/>
      <c r="D671" s="111"/>
      <c r="E671" s="115"/>
      <c r="F671" s="108"/>
      <c r="G671" s="98"/>
      <c r="H671" s="116"/>
      <c r="I671" s="111"/>
      <c r="J671" s="115"/>
      <c r="K671" s="108"/>
      <c r="L671" s="98"/>
      <c r="M671" s="116"/>
      <c r="N671" s="111"/>
      <c r="O671" s="115"/>
      <c r="P671" s="108"/>
      <c r="Q671" s="98"/>
      <c r="R671" s="116"/>
      <c r="S671" s="83"/>
      <c r="T671" s="83"/>
      <c r="U671" s="83"/>
      <c r="V671" s="83"/>
      <c r="W671" s="83"/>
      <c r="X671" s="83"/>
      <c r="Y671" s="83"/>
      <c r="Z671" s="83"/>
    </row>
    <row r="672" ht="15.75" customHeight="1">
      <c r="A672" s="118"/>
      <c r="B672" s="118"/>
      <c r="C672" s="94"/>
      <c r="D672" s="111"/>
      <c r="E672" s="115"/>
      <c r="F672" s="108"/>
      <c r="G672" s="98"/>
      <c r="H672" s="116"/>
      <c r="I672" s="111"/>
      <c r="J672" s="115"/>
      <c r="K672" s="108"/>
      <c r="L672" s="98"/>
      <c r="M672" s="116"/>
      <c r="N672" s="111"/>
      <c r="O672" s="115"/>
      <c r="P672" s="108"/>
      <c r="Q672" s="98"/>
      <c r="R672" s="116"/>
      <c r="S672" s="83"/>
      <c r="T672" s="83"/>
      <c r="U672" s="83"/>
      <c r="V672" s="83"/>
      <c r="W672" s="83"/>
      <c r="X672" s="83"/>
      <c r="Y672" s="83"/>
      <c r="Z672" s="83"/>
    </row>
    <row r="673" ht="15.75" customHeight="1">
      <c r="A673" s="118"/>
      <c r="B673" s="118"/>
      <c r="C673" s="94"/>
      <c r="D673" s="111"/>
      <c r="E673" s="115"/>
      <c r="F673" s="108"/>
      <c r="G673" s="98"/>
      <c r="H673" s="116"/>
      <c r="I673" s="111"/>
      <c r="J673" s="115"/>
      <c r="K673" s="108"/>
      <c r="L673" s="98"/>
      <c r="M673" s="116"/>
      <c r="N673" s="111"/>
      <c r="O673" s="115"/>
      <c r="P673" s="108"/>
      <c r="Q673" s="98"/>
      <c r="R673" s="116"/>
      <c r="S673" s="83"/>
      <c r="T673" s="83"/>
      <c r="U673" s="83"/>
      <c r="V673" s="83"/>
      <c r="W673" s="83"/>
      <c r="X673" s="83"/>
      <c r="Y673" s="83"/>
      <c r="Z673" s="83"/>
    </row>
    <row r="674" ht="15.75" customHeight="1">
      <c r="A674" s="118"/>
      <c r="B674" s="118"/>
      <c r="C674" s="94"/>
      <c r="D674" s="111"/>
      <c r="E674" s="115"/>
      <c r="F674" s="108"/>
      <c r="G674" s="98"/>
      <c r="H674" s="116"/>
      <c r="I674" s="111"/>
      <c r="J674" s="115"/>
      <c r="K674" s="108"/>
      <c r="L674" s="98"/>
      <c r="M674" s="116"/>
      <c r="N674" s="111"/>
      <c r="O674" s="115"/>
      <c r="P674" s="108"/>
      <c r="Q674" s="98"/>
      <c r="R674" s="116"/>
      <c r="S674" s="83"/>
      <c r="T674" s="83"/>
      <c r="U674" s="83"/>
      <c r="V674" s="83"/>
      <c r="W674" s="83"/>
      <c r="X674" s="83"/>
      <c r="Y674" s="83"/>
      <c r="Z674" s="83"/>
    </row>
    <row r="675" ht="15.75" customHeight="1">
      <c r="A675" s="118"/>
      <c r="B675" s="118"/>
      <c r="C675" s="94"/>
      <c r="D675" s="111"/>
      <c r="E675" s="115"/>
      <c r="F675" s="108"/>
      <c r="G675" s="98"/>
      <c r="H675" s="116"/>
      <c r="I675" s="111"/>
      <c r="J675" s="115"/>
      <c r="K675" s="108"/>
      <c r="L675" s="98"/>
      <c r="M675" s="116"/>
      <c r="N675" s="111"/>
      <c r="O675" s="115"/>
      <c r="P675" s="108"/>
      <c r="Q675" s="98"/>
      <c r="R675" s="116"/>
      <c r="S675" s="83"/>
      <c r="T675" s="83"/>
      <c r="U675" s="83"/>
      <c r="V675" s="83"/>
      <c r="W675" s="83"/>
      <c r="X675" s="83"/>
      <c r="Y675" s="83"/>
      <c r="Z675" s="83"/>
    </row>
    <row r="676" ht="15.75" customHeight="1">
      <c r="A676" s="118"/>
      <c r="B676" s="118"/>
      <c r="C676" s="94"/>
      <c r="D676" s="111"/>
      <c r="E676" s="115"/>
      <c r="F676" s="108"/>
      <c r="G676" s="98"/>
      <c r="H676" s="116"/>
      <c r="I676" s="111"/>
      <c r="J676" s="115"/>
      <c r="K676" s="108"/>
      <c r="L676" s="98"/>
      <c r="M676" s="116"/>
      <c r="N676" s="111"/>
      <c r="O676" s="115"/>
      <c r="P676" s="108"/>
      <c r="Q676" s="98"/>
      <c r="R676" s="116"/>
      <c r="S676" s="83"/>
      <c r="T676" s="83"/>
      <c r="U676" s="83"/>
      <c r="V676" s="83"/>
      <c r="W676" s="83"/>
      <c r="X676" s="83"/>
      <c r="Y676" s="83"/>
      <c r="Z676" s="83"/>
    </row>
    <row r="677" ht="15.75" customHeight="1">
      <c r="A677" s="118"/>
      <c r="B677" s="118"/>
      <c r="C677" s="94"/>
      <c r="D677" s="111"/>
      <c r="E677" s="115"/>
      <c r="F677" s="108"/>
      <c r="G677" s="98"/>
      <c r="H677" s="116"/>
      <c r="I677" s="111"/>
      <c r="J677" s="115"/>
      <c r="K677" s="108"/>
      <c r="L677" s="98"/>
      <c r="M677" s="116"/>
      <c r="N677" s="111"/>
      <c r="O677" s="115"/>
      <c r="P677" s="108"/>
      <c r="Q677" s="98"/>
      <c r="R677" s="116"/>
      <c r="S677" s="83"/>
      <c r="T677" s="83"/>
      <c r="U677" s="83"/>
      <c r="V677" s="83"/>
      <c r="W677" s="83"/>
      <c r="X677" s="83"/>
      <c r="Y677" s="83"/>
      <c r="Z677" s="83"/>
    </row>
    <row r="678" ht="15.75" customHeight="1">
      <c r="A678" s="118"/>
      <c r="B678" s="118"/>
      <c r="C678" s="94"/>
      <c r="D678" s="111"/>
      <c r="E678" s="115"/>
      <c r="F678" s="108"/>
      <c r="G678" s="98"/>
      <c r="H678" s="116"/>
      <c r="I678" s="111"/>
      <c r="J678" s="115"/>
      <c r="K678" s="108"/>
      <c r="L678" s="98"/>
      <c r="M678" s="116"/>
      <c r="N678" s="111"/>
      <c r="O678" s="115"/>
      <c r="P678" s="108"/>
      <c r="Q678" s="98"/>
      <c r="R678" s="116"/>
      <c r="S678" s="83"/>
      <c r="T678" s="83"/>
      <c r="U678" s="83"/>
      <c r="V678" s="83"/>
      <c r="W678" s="83"/>
      <c r="X678" s="83"/>
      <c r="Y678" s="83"/>
      <c r="Z678" s="83"/>
    </row>
    <row r="679" ht="15.75" customHeight="1">
      <c r="A679" s="118"/>
      <c r="B679" s="118"/>
      <c r="C679" s="94"/>
      <c r="D679" s="111"/>
      <c r="E679" s="115"/>
      <c r="F679" s="108"/>
      <c r="G679" s="98"/>
      <c r="H679" s="116"/>
      <c r="I679" s="111"/>
      <c r="J679" s="115"/>
      <c r="K679" s="108"/>
      <c r="L679" s="98"/>
      <c r="M679" s="116"/>
      <c r="N679" s="111"/>
      <c r="O679" s="115"/>
      <c r="P679" s="108"/>
      <c r="Q679" s="98"/>
      <c r="R679" s="116"/>
      <c r="S679" s="83"/>
      <c r="T679" s="83"/>
      <c r="U679" s="83"/>
      <c r="V679" s="83"/>
      <c r="W679" s="83"/>
      <c r="X679" s="83"/>
      <c r="Y679" s="83"/>
      <c r="Z679" s="83"/>
    </row>
    <row r="680" ht="15.75" customHeight="1">
      <c r="A680" s="118"/>
      <c r="B680" s="118"/>
      <c r="C680" s="94"/>
      <c r="D680" s="111"/>
      <c r="E680" s="115"/>
      <c r="F680" s="108"/>
      <c r="G680" s="98"/>
      <c r="H680" s="116"/>
      <c r="I680" s="111"/>
      <c r="J680" s="115"/>
      <c r="K680" s="108"/>
      <c r="L680" s="98"/>
      <c r="M680" s="116"/>
      <c r="N680" s="111"/>
      <c r="O680" s="115"/>
      <c r="P680" s="108"/>
      <c r="Q680" s="98"/>
      <c r="R680" s="116"/>
      <c r="S680" s="83"/>
      <c r="T680" s="83"/>
      <c r="U680" s="83"/>
      <c r="V680" s="83"/>
      <c r="W680" s="83"/>
      <c r="X680" s="83"/>
      <c r="Y680" s="83"/>
      <c r="Z680" s="83"/>
    </row>
    <row r="681" ht="15.75" customHeight="1">
      <c r="A681" s="118"/>
      <c r="B681" s="118"/>
      <c r="C681" s="94"/>
      <c r="D681" s="111"/>
      <c r="E681" s="115"/>
      <c r="F681" s="108"/>
      <c r="G681" s="98"/>
      <c r="H681" s="116"/>
      <c r="I681" s="111"/>
      <c r="J681" s="115"/>
      <c r="K681" s="108"/>
      <c r="L681" s="98"/>
      <c r="M681" s="116"/>
      <c r="N681" s="111"/>
      <c r="O681" s="115"/>
      <c r="P681" s="108"/>
      <c r="Q681" s="98"/>
      <c r="R681" s="116"/>
      <c r="S681" s="83"/>
      <c r="T681" s="83"/>
      <c r="U681" s="83"/>
      <c r="V681" s="83"/>
      <c r="W681" s="83"/>
      <c r="X681" s="83"/>
      <c r="Y681" s="83"/>
      <c r="Z681" s="83"/>
    </row>
    <row r="682" ht="15.75" customHeight="1">
      <c r="A682" s="118"/>
      <c r="B682" s="118"/>
      <c r="C682" s="94"/>
      <c r="D682" s="111"/>
      <c r="E682" s="115"/>
      <c r="F682" s="108"/>
      <c r="G682" s="98"/>
      <c r="H682" s="116"/>
      <c r="I682" s="111"/>
      <c r="J682" s="115"/>
      <c r="K682" s="108"/>
      <c r="L682" s="98"/>
      <c r="M682" s="116"/>
      <c r="N682" s="111"/>
      <c r="O682" s="115"/>
      <c r="P682" s="108"/>
      <c r="Q682" s="98"/>
      <c r="R682" s="116"/>
      <c r="S682" s="83"/>
      <c r="T682" s="83"/>
      <c r="U682" s="83"/>
      <c r="V682" s="83"/>
      <c r="W682" s="83"/>
      <c r="X682" s="83"/>
      <c r="Y682" s="83"/>
      <c r="Z682" s="83"/>
    </row>
    <row r="683" ht="15.75" customHeight="1">
      <c r="A683" s="118"/>
      <c r="B683" s="118"/>
      <c r="C683" s="94"/>
      <c r="D683" s="111"/>
      <c r="E683" s="115"/>
      <c r="F683" s="108"/>
      <c r="G683" s="98"/>
      <c r="H683" s="116"/>
      <c r="I683" s="111"/>
      <c r="J683" s="115"/>
      <c r="K683" s="108"/>
      <c r="L683" s="98"/>
      <c r="M683" s="116"/>
      <c r="N683" s="111"/>
      <c r="O683" s="115"/>
      <c r="P683" s="108"/>
      <c r="Q683" s="98"/>
      <c r="R683" s="116"/>
      <c r="S683" s="83"/>
      <c r="T683" s="83"/>
      <c r="U683" s="83"/>
      <c r="V683" s="83"/>
      <c r="W683" s="83"/>
      <c r="X683" s="83"/>
      <c r="Y683" s="83"/>
      <c r="Z683" s="83"/>
    </row>
    <row r="684" ht="15.75" customHeight="1">
      <c r="A684" s="118"/>
      <c r="B684" s="118"/>
      <c r="C684" s="94"/>
      <c r="D684" s="111"/>
      <c r="E684" s="115"/>
      <c r="F684" s="108"/>
      <c r="G684" s="98"/>
      <c r="H684" s="116"/>
      <c r="I684" s="111"/>
      <c r="J684" s="115"/>
      <c r="K684" s="108"/>
      <c r="L684" s="98"/>
      <c r="M684" s="116"/>
      <c r="N684" s="111"/>
      <c r="O684" s="115"/>
      <c r="P684" s="108"/>
      <c r="Q684" s="98"/>
      <c r="R684" s="116"/>
      <c r="S684" s="83"/>
      <c r="T684" s="83"/>
      <c r="U684" s="83"/>
      <c r="V684" s="83"/>
      <c r="W684" s="83"/>
      <c r="X684" s="83"/>
      <c r="Y684" s="83"/>
      <c r="Z684" s="83"/>
    </row>
    <row r="685" ht="15.75" customHeight="1">
      <c r="A685" s="118"/>
      <c r="B685" s="118"/>
      <c r="C685" s="94"/>
      <c r="D685" s="111"/>
      <c r="E685" s="115"/>
      <c r="F685" s="108"/>
      <c r="G685" s="98"/>
      <c r="H685" s="116"/>
      <c r="I685" s="111"/>
      <c r="J685" s="115"/>
      <c r="K685" s="108"/>
      <c r="L685" s="98"/>
      <c r="M685" s="116"/>
      <c r="N685" s="111"/>
      <c r="O685" s="115"/>
      <c r="P685" s="108"/>
      <c r="Q685" s="98"/>
      <c r="R685" s="116"/>
      <c r="S685" s="83"/>
      <c r="T685" s="83"/>
      <c r="U685" s="83"/>
      <c r="V685" s="83"/>
      <c r="W685" s="83"/>
      <c r="X685" s="83"/>
      <c r="Y685" s="83"/>
      <c r="Z685" s="83"/>
    </row>
    <row r="686" ht="15.75" customHeight="1">
      <c r="A686" s="118"/>
      <c r="B686" s="118"/>
      <c r="C686" s="94"/>
      <c r="D686" s="111"/>
      <c r="E686" s="115"/>
      <c r="F686" s="108"/>
      <c r="G686" s="98"/>
      <c r="H686" s="116"/>
      <c r="I686" s="111"/>
      <c r="J686" s="115"/>
      <c r="K686" s="108"/>
      <c r="L686" s="98"/>
      <c r="M686" s="116"/>
      <c r="N686" s="111"/>
      <c r="O686" s="115"/>
      <c r="P686" s="108"/>
      <c r="Q686" s="98"/>
      <c r="R686" s="116"/>
      <c r="S686" s="83"/>
      <c r="T686" s="83"/>
      <c r="U686" s="83"/>
      <c r="V686" s="83"/>
      <c r="W686" s="83"/>
      <c r="X686" s="83"/>
      <c r="Y686" s="83"/>
      <c r="Z686" s="83"/>
    </row>
    <row r="687" ht="15.75" customHeight="1">
      <c r="A687" s="118"/>
      <c r="B687" s="118"/>
      <c r="C687" s="94"/>
      <c r="D687" s="111"/>
      <c r="E687" s="115"/>
      <c r="F687" s="108"/>
      <c r="G687" s="98"/>
      <c r="H687" s="116"/>
      <c r="I687" s="111"/>
      <c r="J687" s="115"/>
      <c r="K687" s="108"/>
      <c r="L687" s="98"/>
      <c r="M687" s="116"/>
      <c r="N687" s="111"/>
      <c r="O687" s="115"/>
      <c r="P687" s="108"/>
      <c r="Q687" s="98"/>
      <c r="R687" s="116"/>
      <c r="S687" s="83"/>
      <c r="T687" s="83"/>
      <c r="U687" s="83"/>
      <c r="V687" s="83"/>
      <c r="W687" s="83"/>
      <c r="X687" s="83"/>
      <c r="Y687" s="83"/>
      <c r="Z687" s="83"/>
    </row>
    <row r="688" ht="15.75" customHeight="1">
      <c r="A688" s="118"/>
      <c r="B688" s="118"/>
      <c r="C688" s="94"/>
      <c r="D688" s="111"/>
      <c r="E688" s="115"/>
      <c r="F688" s="108"/>
      <c r="G688" s="98"/>
      <c r="H688" s="116"/>
      <c r="I688" s="111"/>
      <c r="J688" s="115"/>
      <c r="K688" s="108"/>
      <c r="L688" s="98"/>
      <c r="M688" s="116"/>
      <c r="N688" s="111"/>
      <c r="O688" s="115"/>
      <c r="P688" s="108"/>
      <c r="Q688" s="98"/>
      <c r="R688" s="116"/>
      <c r="S688" s="83"/>
      <c r="T688" s="83"/>
      <c r="U688" s="83"/>
      <c r="V688" s="83"/>
      <c r="W688" s="83"/>
      <c r="X688" s="83"/>
      <c r="Y688" s="83"/>
      <c r="Z688" s="83"/>
    </row>
    <row r="689" ht="15.75" customHeight="1">
      <c r="A689" s="118"/>
      <c r="B689" s="118"/>
      <c r="C689" s="94"/>
      <c r="D689" s="111"/>
      <c r="E689" s="115"/>
      <c r="F689" s="108"/>
      <c r="G689" s="98"/>
      <c r="H689" s="116"/>
      <c r="I689" s="111"/>
      <c r="J689" s="115"/>
      <c r="K689" s="108"/>
      <c r="L689" s="98"/>
      <c r="M689" s="116"/>
      <c r="N689" s="111"/>
      <c r="O689" s="115"/>
      <c r="P689" s="108"/>
      <c r="Q689" s="98"/>
      <c r="R689" s="116"/>
      <c r="S689" s="83"/>
      <c r="T689" s="83"/>
      <c r="U689" s="83"/>
      <c r="V689" s="83"/>
      <c r="W689" s="83"/>
      <c r="X689" s="83"/>
      <c r="Y689" s="83"/>
      <c r="Z689" s="83"/>
    </row>
    <row r="690" ht="15.75" customHeight="1">
      <c r="A690" s="118"/>
      <c r="B690" s="118"/>
      <c r="C690" s="94"/>
      <c r="D690" s="111"/>
      <c r="E690" s="115"/>
      <c r="F690" s="108"/>
      <c r="G690" s="98"/>
      <c r="H690" s="116"/>
      <c r="I690" s="111"/>
      <c r="J690" s="115"/>
      <c r="K690" s="108"/>
      <c r="L690" s="98"/>
      <c r="M690" s="116"/>
      <c r="N690" s="111"/>
      <c r="O690" s="115"/>
      <c r="P690" s="108"/>
      <c r="Q690" s="98"/>
      <c r="R690" s="116"/>
      <c r="S690" s="83"/>
      <c r="T690" s="83"/>
      <c r="U690" s="83"/>
      <c r="V690" s="83"/>
      <c r="W690" s="83"/>
      <c r="X690" s="83"/>
      <c r="Y690" s="83"/>
      <c r="Z690" s="83"/>
    </row>
    <row r="691" ht="15.75" customHeight="1">
      <c r="A691" s="118"/>
      <c r="B691" s="118"/>
      <c r="C691" s="94"/>
      <c r="D691" s="111"/>
      <c r="E691" s="115"/>
      <c r="F691" s="108"/>
      <c r="G691" s="98"/>
      <c r="H691" s="116"/>
      <c r="I691" s="111"/>
      <c r="J691" s="115"/>
      <c r="K691" s="108"/>
      <c r="L691" s="98"/>
      <c r="M691" s="116"/>
      <c r="N691" s="111"/>
      <c r="O691" s="115"/>
      <c r="P691" s="108"/>
      <c r="Q691" s="98"/>
      <c r="R691" s="116"/>
      <c r="S691" s="83"/>
      <c r="T691" s="83"/>
      <c r="U691" s="83"/>
      <c r="V691" s="83"/>
      <c r="W691" s="83"/>
      <c r="X691" s="83"/>
      <c r="Y691" s="83"/>
      <c r="Z691" s="83"/>
    </row>
    <row r="692" ht="15.75" customHeight="1">
      <c r="A692" s="118"/>
      <c r="B692" s="118"/>
      <c r="C692" s="94"/>
      <c r="D692" s="111"/>
      <c r="E692" s="115"/>
      <c r="F692" s="108"/>
      <c r="G692" s="98"/>
      <c r="H692" s="116"/>
      <c r="I692" s="111"/>
      <c r="J692" s="115"/>
      <c r="K692" s="108"/>
      <c r="L692" s="98"/>
      <c r="M692" s="116"/>
      <c r="N692" s="111"/>
      <c r="O692" s="115"/>
      <c r="P692" s="108"/>
      <c r="Q692" s="98"/>
      <c r="R692" s="116"/>
      <c r="S692" s="83"/>
      <c r="T692" s="83"/>
      <c r="U692" s="83"/>
      <c r="V692" s="83"/>
      <c r="W692" s="83"/>
      <c r="X692" s="83"/>
      <c r="Y692" s="83"/>
      <c r="Z692" s="83"/>
    </row>
    <row r="693" ht="15.75" customHeight="1">
      <c r="A693" s="118"/>
      <c r="B693" s="118"/>
      <c r="C693" s="94"/>
      <c r="D693" s="111"/>
      <c r="E693" s="115"/>
      <c r="F693" s="108"/>
      <c r="G693" s="98"/>
      <c r="H693" s="116"/>
      <c r="I693" s="111"/>
      <c r="J693" s="115"/>
      <c r="K693" s="108"/>
      <c r="L693" s="98"/>
      <c r="M693" s="116"/>
      <c r="N693" s="111"/>
      <c r="O693" s="115"/>
      <c r="P693" s="108"/>
      <c r="Q693" s="98"/>
      <c r="R693" s="116"/>
      <c r="S693" s="83"/>
      <c r="T693" s="83"/>
      <c r="U693" s="83"/>
      <c r="V693" s="83"/>
      <c r="W693" s="83"/>
      <c r="X693" s="83"/>
      <c r="Y693" s="83"/>
      <c r="Z693" s="83"/>
    </row>
    <row r="694" ht="15.75" customHeight="1">
      <c r="A694" s="118"/>
      <c r="B694" s="118"/>
      <c r="C694" s="94"/>
      <c r="D694" s="111"/>
      <c r="E694" s="115"/>
      <c r="F694" s="108"/>
      <c r="G694" s="98"/>
      <c r="H694" s="116"/>
      <c r="I694" s="111"/>
      <c r="J694" s="115"/>
      <c r="K694" s="108"/>
      <c r="L694" s="98"/>
      <c r="M694" s="116"/>
      <c r="N694" s="111"/>
      <c r="O694" s="115"/>
      <c r="P694" s="108"/>
      <c r="Q694" s="98"/>
      <c r="R694" s="116"/>
      <c r="S694" s="83"/>
      <c r="T694" s="83"/>
      <c r="U694" s="83"/>
      <c r="V694" s="83"/>
      <c r="W694" s="83"/>
      <c r="X694" s="83"/>
      <c r="Y694" s="83"/>
      <c r="Z694" s="83"/>
    </row>
    <row r="695" ht="15.75" customHeight="1">
      <c r="A695" s="118"/>
      <c r="B695" s="118"/>
      <c r="C695" s="94"/>
      <c r="D695" s="111"/>
      <c r="E695" s="115"/>
      <c r="F695" s="108"/>
      <c r="G695" s="98"/>
      <c r="H695" s="116"/>
      <c r="I695" s="111"/>
      <c r="J695" s="115"/>
      <c r="K695" s="108"/>
      <c r="L695" s="98"/>
      <c r="M695" s="116"/>
      <c r="N695" s="111"/>
      <c r="O695" s="115"/>
      <c r="P695" s="108"/>
      <c r="Q695" s="98"/>
      <c r="R695" s="116"/>
      <c r="S695" s="83"/>
      <c r="T695" s="83"/>
      <c r="U695" s="83"/>
      <c r="V695" s="83"/>
      <c r="W695" s="83"/>
      <c r="X695" s="83"/>
      <c r="Y695" s="83"/>
      <c r="Z695" s="83"/>
    </row>
    <row r="696" ht="15.75" customHeight="1">
      <c r="A696" s="118"/>
      <c r="B696" s="118"/>
      <c r="C696" s="94"/>
      <c r="D696" s="111"/>
      <c r="E696" s="115"/>
      <c r="F696" s="108"/>
      <c r="G696" s="98"/>
      <c r="H696" s="116"/>
      <c r="I696" s="111"/>
      <c r="J696" s="115"/>
      <c r="K696" s="108"/>
      <c r="L696" s="98"/>
      <c r="M696" s="116"/>
      <c r="N696" s="111"/>
      <c r="O696" s="115"/>
      <c r="P696" s="108"/>
      <c r="Q696" s="98"/>
      <c r="R696" s="116"/>
      <c r="S696" s="83"/>
      <c r="T696" s="83"/>
      <c r="U696" s="83"/>
      <c r="V696" s="83"/>
      <c r="W696" s="83"/>
      <c r="X696" s="83"/>
      <c r="Y696" s="83"/>
      <c r="Z696" s="83"/>
    </row>
    <row r="697" ht="15.75" customHeight="1">
      <c r="A697" s="118"/>
      <c r="B697" s="118"/>
      <c r="C697" s="94"/>
      <c r="D697" s="111"/>
      <c r="E697" s="115"/>
      <c r="F697" s="108"/>
      <c r="G697" s="98"/>
      <c r="H697" s="116"/>
      <c r="I697" s="111"/>
      <c r="J697" s="115"/>
      <c r="K697" s="108"/>
      <c r="L697" s="98"/>
      <c r="M697" s="116"/>
      <c r="N697" s="111"/>
      <c r="O697" s="115"/>
      <c r="P697" s="108"/>
      <c r="Q697" s="98"/>
      <c r="R697" s="116"/>
      <c r="S697" s="83"/>
      <c r="T697" s="83"/>
      <c r="U697" s="83"/>
      <c r="V697" s="83"/>
      <c r="W697" s="83"/>
      <c r="X697" s="83"/>
      <c r="Y697" s="83"/>
      <c r="Z697" s="83"/>
    </row>
    <row r="698" ht="15.75" customHeight="1">
      <c r="A698" s="118"/>
      <c r="B698" s="118"/>
      <c r="C698" s="94"/>
      <c r="D698" s="111"/>
      <c r="E698" s="115"/>
      <c r="F698" s="108"/>
      <c r="G698" s="98"/>
      <c r="H698" s="116"/>
      <c r="I698" s="111"/>
      <c r="J698" s="115"/>
      <c r="K698" s="108"/>
      <c r="L698" s="98"/>
      <c r="M698" s="116"/>
      <c r="N698" s="111"/>
      <c r="O698" s="115"/>
      <c r="P698" s="108"/>
      <c r="Q698" s="98"/>
      <c r="R698" s="116"/>
      <c r="S698" s="83"/>
      <c r="T698" s="83"/>
      <c r="U698" s="83"/>
      <c r="V698" s="83"/>
      <c r="W698" s="83"/>
      <c r="X698" s="83"/>
      <c r="Y698" s="83"/>
      <c r="Z698" s="83"/>
    </row>
    <row r="699" ht="15.75" customHeight="1">
      <c r="A699" s="118"/>
      <c r="B699" s="118"/>
      <c r="C699" s="94"/>
      <c r="D699" s="111"/>
      <c r="E699" s="115"/>
      <c r="F699" s="108"/>
      <c r="G699" s="98"/>
      <c r="H699" s="116"/>
      <c r="I699" s="111"/>
      <c r="J699" s="115"/>
      <c r="K699" s="108"/>
      <c r="L699" s="98"/>
      <c r="M699" s="116"/>
      <c r="N699" s="111"/>
      <c r="O699" s="115"/>
      <c r="P699" s="108"/>
      <c r="Q699" s="98"/>
      <c r="R699" s="116"/>
      <c r="S699" s="83"/>
      <c r="T699" s="83"/>
      <c r="U699" s="83"/>
      <c r="V699" s="83"/>
      <c r="W699" s="83"/>
      <c r="X699" s="83"/>
      <c r="Y699" s="83"/>
      <c r="Z699" s="83"/>
    </row>
    <row r="700" ht="15.75" customHeight="1">
      <c r="A700" s="118"/>
      <c r="B700" s="118"/>
      <c r="C700" s="94"/>
      <c r="D700" s="111"/>
      <c r="E700" s="115"/>
      <c r="F700" s="108"/>
      <c r="G700" s="98"/>
      <c r="H700" s="116"/>
      <c r="I700" s="111"/>
      <c r="J700" s="115"/>
      <c r="K700" s="108"/>
      <c r="L700" s="98"/>
      <c r="M700" s="116"/>
      <c r="N700" s="111"/>
      <c r="O700" s="115"/>
      <c r="P700" s="108"/>
      <c r="Q700" s="98"/>
      <c r="R700" s="116"/>
      <c r="S700" s="83"/>
      <c r="T700" s="83"/>
      <c r="U700" s="83"/>
      <c r="V700" s="83"/>
      <c r="W700" s="83"/>
      <c r="X700" s="83"/>
      <c r="Y700" s="83"/>
      <c r="Z700" s="83"/>
    </row>
    <row r="701" ht="15.75" customHeight="1">
      <c r="A701" s="118"/>
      <c r="B701" s="118"/>
      <c r="C701" s="94"/>
      <c r="D701" s="111"/>
      <c r="E701" s="115"/>
      <c r="F701" s="108"/>
      <c r="G701" s="98"/>
      <c r="H701" s="116"/>
      <c r="I701" s="111"/>
      <c r="J701" s="115"/>
      <c r="K701" s="108"/>
      <c r="L701" s="98"/>
      <c r="M701" s="116"/>
      <c r="N701" s="111"/>
      <c r="O701" s="115"/>
      <c r="P701" s="108"/>
      <c r="Q701" s="98"/>
      <c r="R701" s="116"/>
      <c r="S701" s="83"/>
      <c r="T701" s="83"/>
      <c r="U701" s="83"/>
      <c r="V701" s="83"/>
      <c r="W701" s="83"/>
      <c r="X701" s="83"/>
      <c r="Y701" s="83"/>
      <c r="Z701" s="83"/>
    </row>
    <row r="702" ht="15.75" customHeight="1">
      <c r="A702" s="118"/>
      <c r="B702" s="118"/>
      <c r="C702" s="94"/>
      <c r="D702" s="111"/>
      <c r="E702" s="115"/>
      <c r="F702" s="108"/>
      <c r="G702" s="98"/>
      <c r="H702" s="116"/>
      <c r="I702" s="111"/>
      <c r="J702" s="115"/>
      <c r="K702" s="108"/>
      <c r="L702" s="98"/>
      <c r="M702" s="116"/>
      <c r="N702" s="111"/>
      <c r="O702" s="115"/>
      <c r="P702" s="108"/>
      <c r="Q702" s="98"/>
      <c r="R702" s="116"/>
      <c r="S702" s="83"/>
      <c r="T702" s="83"/>
      <c r="U702" s="83"/>
      <c r="V702" s="83"/>
      <c r="W702" s="83"/>
      <c r="X702" s="83"/>
      <c r="Y702" s="83"/>
      <c r="Z702" s="83"/>
    </row>
    <row r="703" ht="15.75" customHeight="1">
      <c r="A703" s="118"/>
      <c r="B703" s="118"/>
      <c r="C703" s="94"/>
      <c r="D703" s="111"/>
      <c r="E703" s="115"/>
      <c r="F703" s="108"/>
      <c r="G703" s="98"/>
      <c r="H703" s="116"/>
      <c r="I703" s="111"/>
      <c r="J703" s="115"/>
      <c r="K703" s="108"/>
      <c r="L703" s="98"/>
      <c r="M703" s="116"/>
      <c r="N703" s="111"/>
      <c r="O703" s="115"/>
      <c r="P703" s="108"/>
      <c r="Q703" s="98"/>
      <c r="R703" s="116"/>
      <c r="S703" s="83"/>
      <c r="T703" s="83"/>
      <c r="U703" s="83"/>
      <c r="V703" s="83"/>
      <c r="W703" s="83"/>
      <c r="X703" s="83"/>
      <c r="Y703" s="83"/>
      <c r="Z703" s="83"/>
    </row>
    <row r="704" ht="15.75" customHeight="1">
      <c r="A704" s="118"/>
      <c r="B704" s="118"/>
      <c r="C704" s="94"/>
      <c r="D704" s="111"/>
      <c r="E704" s="115"/>
      <c r="F704" s="108"/>
      <c r="G704" s="98"/>
      <c r="H704" s="116"/>
      <c r="I704" s="111"/>
      <c r="J704" s="115"/>
      <c r="K704" s="108"/>
      <c r="L704" s="98"/>
      <c r="M704" s="116"/>
      <c r="N704" s="111"/>
      <c r="O704" s="115"/>
      <c r="P704" s="108"/>
      <c r="Q704" s="98"/>
      <c r="R704" s="116"/>
      <c r="S704" s="83"/>
      <c r="T704" s="83"/>
      <c r="U704" s="83"/>
      <c r="V704" s="83"/>
      <c r="W704" s="83"/>
      <c r="X704" s="83"/>
      <c r="Y704" s="83"/>
      <c r="Z704" s="83"/>
    </row>
    <row r="705" ht="15.75" customHeight="1">
      <c r="A705" s="118"/>
      <c r="B705" s="118"/>
      <c r="C705" s="94"/>
      <c r="D705" s="111"/>
      <c r="E705" s="115"/>
      <c r="F705" s="108"/>
      <c r="G705" s="98"/>
      <c r="H705" s="116"/>
      <c r="I705" s="111"/>
      <c r="J705" s="115"/>
      <c r="K705" s="108"/>
      <c r="L705" s="98"/>
      <c r="M705" s="116"/>
      <c r="N705" s="111"/>
      <c r="O705" s="115"/>
      <c r="P705" s="108"/>
      <c r="Q705" s="98"/>
      <c r="R705" s="116"/>
      <c r="S705" s="83"/>
      <c r="T705" s="83"/>
      <c r="U705" s="83"/>
      <c r="V705" s="83"/>
      <c r="W705" s="83"/>
      <c r="X705" s="83"/>
      <c r="Y705" s="83"/>
      <c r="Z705" s="83"/>
    </row>
    <row r="706" ht="15.75" customHeight="1">
      <c r="A706" s="118"/>
      <c r="B706" s="118"/>
      <c r="C706" s="94"/>
      <c r="D706" s="111"/>
      <c r="E706" s="115"/>
      <c r="F706" s="108"/>
      <c r="G706" s="98"/>
      <c r="H706" s="116"/>
      <c r="I706" s="111"/>
      <c r="J706" s="115"/>
      <c r="K706" s="108"/>
      <c r="L706" s="98"/>
      <c r="M706" s="116"/>
      <c r="N706" s="111"/>
      <c r="O706" s="115"/>
      <c r="P706" s="108"/>
      <c r="Q706" s="98"/>
      <c r="R706" s="116"/>
      <c r="S706" s="83"/>
      <c r="T706" s="83"/>
      <c r="U706" s="83"/>
      <c r="V706" s="83"/>
      <c r="W706" s="83"/>
      <c r="X706" s="83"/>
      <c r="Y706" s="83"/>
      <c r="Z706" s="83"/>
    </row>
    <row r="707" ht="15.75" customHeight="1">
      <c r="A707" s="118"/>
      <c r="B707" s="118"/>
      <c r="C707" s="94"/>
      <c r="D707" s="111"/>
      <c r="E707" s="115"/>
      <c r="F707" s="108"/>
      <c r="G707" s="98"/>
      <c r="H707" s="116"/>
      <c r="I707" s="111"/>
      <c r="J707" s="115"/>
      <c r="K707" s="108"/>
      <c r="L707" s="98"/>
      <c r="M707" s="116"/>
      <c r="N707" s="111"/>
      <c r="O707" s="115"/>
      <c r="P707" s="108"/>
      <c r="Q707" s="98"/>
      <c r="R707" s="116"/>
      <c r="S707" s="83"/>
      <c r="T707" s="83"/>
      <c r="U707" s="83"/>
      <c r="V707" s="83"/>
      <c r="W707" s="83"/>
      <c r="X707" s="83"/>
      <c r="Y707" s="83"/>
      <c r="Z707" s="83"/>
    </row>
    <row r="708" ht="15.75" customHeight="1">
      <c r="A708" s="118"/>
      <c r="B708" s="118"/>
      <c r="C708" s="94"/>
      <c r="D708" s="111"/>
      <c r="E708" s="115"/>
      <c r="F708" s="108"/>
      <c r="G708" s="98"/>
      <c r="H708" s="116"/>
      <c r="I708" s="111"/>
      <c r="J708" s="115"/>
      <c r="K708" s="108"/>
      <c r="L708" s="98"/>
      <c r="M708" s="116"/>
      <c r="N708" s="111"/>
      <c r="O708" s="115"/>
      <c r="P708" s="108"/>
      <c r="Q708" s="98"/>
      <c r="R708" s="116"/>
      <c r="S708" s="83"/>
      <c r="T708" s="83"/>
      <c r="U708" s="83"/>
      <c r="V708" s="83"/>
      <c r="W708" s="83"/>
      <c r="X708" s="83"/>
      <c r="Y708" s="83"/>
      <c r="Z708" s="83"/>
    </row>
    <row r="709" ht="15.75" customHeight="1">
      <c r="A709" s="118"/>
      <c r="B709" s="118"/>
      <c r="C709" s="94"/>
      <c r="D709" s="111"/>
      <c r="E709" s="115"/>
      <c r="F709" s="108"/>
      <c r="G709" s="98"/>
      <c r="H709" s="116"/>
      <c r="I709" s="111"/>
      <c r="J709" s="115"/>
      <c r="K709" s="108"/>
      <c r="L709" s="98"/>
      <c r="M709" s="116"/>
      <c r="N709" s="111"/>
      <c r="O709" s="115"/>
      <c r="P709" s="108"/>
      <c r="Q709" s="98"/>
      <c r="R709" s="116"/>
      <c r="S709" s="83"/>
      <c r="T709" s="83"/>
      <c r="U709" s="83"/>
      <c r="V709" s="83"/>
      <c r="W709" s="83"/>
      <c r="X709" s="83"/>
      <c r="Y709" s="83"/>
      <c r="Z709" s="83"/>
    </row>
    <row r="710" ht="15.75" customHeight="1">
      <c r="A710" s="118"/>
      <c r="B710" s="118"/>
      <c r="C710" s="94"/>
      <c r="D710" s="111"/>
      <c r="E710" s="115"/>
      <c r="F710" s="108"/>
      <c r="G710" s="98"/>
      <c r="H710" s="116"/>
      <c r="I710" s="111"/>
      <c r="J710" s="115"/>
      <c r="K710" s="108"/>
      <c r="L710" s="98"/>
      <c r="M710" s="116"/>
      <c r="N710" s="111"/>
      <c r="O710" s="115"/>
      <c r="P710" s="108"/>
      <c r="Q710" s="98"/>
      <c r="R710" s="116"/>
      <c r="S710" s="83"/>
      <c r="T710" s="83"/>
      <c r="U710" s="83"/>
      <c r="V710" s="83"/>
      <c r="W710" s="83"/>
      <c r="X710" s="83"/>
      <c r="Y710" s="83"/>
      <c r="Z710" s="83"/>
    </row>
    <row r="711" ht="15.75" customHeight="1">
      <c r="A711" s="118"/>
      <c r="B711" s="118"/>
      <c r="C711" s="94"/>
      <c r="D711" s="111"/>
      <c r="E711" s="115"/>
      <c r="F711" s="108"/>
      <c r="G711" s="98"/>
      <c r="H711" s="116"/>
      <c r="I711" s="111"/>
      <c r="J711" s="115"/>
      <c r="K711" s="108"/>
      <c r="L711" s="98"/>
      <c r="M711" s="116"/>
      <c r="N711" s="111"/>
      <c r="O711" s="115"/>
      <c r="P711" s="108"/>
      <c r="Q711" s="98"/>
      <c r="R711" s="116"/>
      <c r="S711" s="83"/>
      <c r="T711" s="83"/>
      <c r="U711" s="83"/>
      <c r="V711" s="83"/>
      <c r="W711" s="83"/>
      <c r="X711" s="83"/>
      <c r="Y711" s="83"/>
      <c r="Z711" s="83"/>
    </row>
    <row r="712" ht="15.75" customHeight="1">
      <c r="A712" s="118"/>
      <c r="B712" s="118"/>
      <c r="C712" s="94"/>
      <c r="D712" s="111"/>
      <c r="E712" s="115"/>
      <c r="F712" s="108"/>
      <c r="G712" s="98"/>
      <c r="H712" s="116"/>
      <c r="I712" s="111"/>
      <c r="J712" s="115"/>
      <c r="K712" s="108"/>
      <c r="L712" s="98"/>
      <c r="M712" s="116"/>
      <c r="N712" s="111"/>
      <c r="O712" s="115"/>
      <c r="P712" s="108"/>
      <c r="Q712" s="98"/>
      <c r="R712" s="116"/>
      <c r="S712" s="83"/>
      <c r="T712" s="83"/>
      <c r="U712" s="83"/>
      <c r="V712" s="83"/>
      <c r="W712" s="83"/>
      <c r="X712" s="83"/>
      <c r="Y712" s="83"/>
      <c r="Z712" s="83"/>
    </row>
    <row r="713" ht="15.75" customHeight="1">
      <c r="A713" s="118"/>
      <c r="B713" s="118"/>
      <c r="C713" s="94"/>
      <c r="D713" s="111"/>
      <c r="E713" s="115"/>
      <c r="F713" s="108"/>
      <c r="G713" s="98"/>
      <c r="H713" s="116"/>
      <c r="I713" s="111"/>
      <c r="J713" s="115"/>
      <c r="K713" s="108"/>
      <c r="L713" s="98"/>
      <c r="M713" s="116"/>
      <c r="N713" s="111"/>
      <c r="O713" s="115"/>
      <c r="P713" s="108"/>
      <c r="Q713" s="98"/>
      <c r="R713" s="116"/>
      <c r="S713" s="83"/>
      <c r="T713" s="83"/>
      <c r="U713" s="83"/>
      <c r="V713" s="83"/>
      <c r="W713" s="83"/>
      <c r="X713" s="83"/>
      <c r="Y713" s="83"/>
      <c r="Z713" s="83"/>
    </row>
    <row r="714" ht="15.75" customHeight="1">
      <c r="A714" s="118"/>
      <c r="B714" s="118"/>
      <c r="C714" s="94"/>
      <c r="D714" s="111"/>
      <c r="E714" s="115"/>
      <c r="F714" s="108"/>
      <c r="G714" s="98"/>
      <c r="H714" s="116"/>
      <c r="I714" s="111"/>
      <c r="J714" s="115"/>
      <c r="K714" s="108"/>
      <c r="L714" s="98"/>
      <c r="M714" s="116"/>
      <c r="N714" s="111"/>
      <c r="O714" s="115"/>
      <c r="P714" s="108"/>
      <c r="Q714" s="98"/>
      <c r="R714" s="116"/>
      <c r="S714" s="83"/>
      <c r="T714" s="83"/>
      <c r="U714" s="83"/>
      <c r="V714" s="83"/>
      <c r="W714" s="83"/>
      <c r="X714" s="83"/>
      <c r="Y714" s="83"/>
      <c r="Z714" s="83"/>
    </row>
    <row r="715" ht="15.75" customHeight="1">
      <c r="A715" s="118"/>
      <c r="B715" s="118"/>
      <c r="C715" s="94"/>
      <c r="D715" s="111"/>
      <c r="E715" s="115"/>
      <c r="F715" s="108"/>
      <c r="G715" s="98"/>
      <c r="H715" s="116"/>
      <c r="I715" s="111"/>
      <c r="J715" s="115"/>
      <c r="K715" s="108"/>
      <c r="L715" s="98"/>
      <c r="M715" s="116"/>
      <c r="N715" s="111"/>
      <c r="O715" s="115"/>
      <c r="P715" s="108"/>
      <c r="Q715" s="98"/>
      <c r="R715" s="116"/>
      <c r="S715" s="83"/>
      <c r="T715" s="83"/>
      <c r="U715" s="83"/>
      <c r="V715" s="83"/>
      <c r="W715" s="83"/>
      <c r="X715" s="83"/>
      <c r="Y715" s="83"/>
      <c r="Z715" s="83"/>
    </row>
    <row r="716" ht="15.75" customHeight="1">
      <c r="A716" s="118"/>
      <c r="B716" s="118"/>
      <c r="C716" s="94"/>
      <c r="D716" s="111"/>
      <c r="E716" s="115"/>
      <c r="F716" s="108"/>
      <c r="G716" s="98"/>
      <c r="H716" s="116"/>
      <c r="I716" s="111"/>
      <c r="J716" s="115"/>
      <c r="K716" s="108"/>
      <c r="L716" s="98"/>
      <c r="M716" s="116"/>
      <c r="N716" s="111"/>
      <c r="O716" s="115"/>
      <c r="P716" s="108"/>
      <c r="Q716" s="98"/>
      <c r="R716" s="116"/>
      <c r="S716" s="83"/>
      <c r="T716" s="83"/>
      <c r="U716" s="83"/>
      <c r="V716" s="83"/>
      <c r="W716" s="83"/>
      <c r="X716" s="83"/>
      <c r="Y716" s="83"/>
      <c r="Z716" s="83"/>
    </row>
    <row r="717" ht="15.75" customHeight="1">
      <c r="A717" s="118"/>
      <c r="B717" s="118"/>
      <c r="C717" s="94"/>
      <c r="D717" s="111"/>
      <c r="E717" s="115"/>
      <c r="F717" s="108"/>
      <c r="G717" s="98"/>
      <c r="H717" s="116"/>
      <c r="I717" s="111"/>
      <c r="J717" s="115"/>
      <c r="K717" s="108"/>
      <c r="L717" s="98"/>
      <c r="M717" s="116"/>
      <c r="N717" s="111"/>
      <c r="O717" s="115"/>
      <c r="P717" s="108"/>
      <c r="Q717" s="98"/>
      <c r="R717" s="116"/>
      <c r="S717" s="83"/>
      <c r="T717" s="83"/>
      <c r="U717" s="83"/>
      <c r="V717" s="83"/>
      <c r="W717" s="83"/>
      <c r="X717" s="83"/>
      <c r="Y717" s="83"/>
      <c r="Z717" s="83"/>
    </row>
    <row r="718" ht="15.75" customHeight="1">
      <c r="A718" s="118"/>
      <c r="B718" s="118"/>
      <c r="C718" s="94"/>
      <c r="D718" s="111"/>
      <c r="E718" s="115"/>
      <c r="F718" s="108"/>
      <c r="G718" s="98"/>
      <c r="H718" s="116"/>
      <c r="I718" s="111"/>
      <c r="J718" s="115"/>
      <c r="K718" s="108"/>
      <c r="L718" s="98"/>
      <c r="M718" s="116"/>
      <c r="N718" s="111"/>
      <c r="O718" s="115"/>
      <c r="P718" s="108"/>
      <c r="Q718" s="98"/>
      <c r="R718" s="116"/>
      <c r="S718" s="83"/>
      <c r="T718" s="83"/>
      <c r="U718" s="83"/>
      <c r="V718" s="83"/>
      <c r="W718" s="83"/>
      <c r="X718" s="83"/>
      <c r="Y718" s="83"/>
      <c r="Z718" s="83"/>
    </row>
    <row r="719" ht="15.75" customHeight="1">
      <c r="A719" s="118"/>
      <c r="B719" s="118"/>
      <c r="C719" s="94"/>
      <c r="D719" s="111"/>
      <c r="E719" s="115"/>
      <c r="F719" s="108"/>
      <c r="G719" s="98"/>
      <c r="H719" s="116"/>
      <c r="I719" s="111"/>
      <c r="J719" s="115"/>
      <c r="K719" s="108"/>
      <c r="L719" s="98"/>
      <c r="M719" s="116"/>
      <c r="N719" s="111"/>
      <c r="O719" s="115"/>
      <c r="P719" s="108"/>
      <c r="Q719" s="98"/>
      <c r="R719" s="116"/>
      <c r="S719" s="83"/>
      <c r="T719" s="83"/>
      <c r="U719" s="83"/>
      <c r="V719" s="83"/>
      <c r="W719" s="83"/>
      <c r="X719" s="83"/>
      <c r="Y719" s="83"/>
      <c r="Z719" s="83"/>
    </row>
    <row r="720" ht="15.75" customHeight="1">
      <c r="A720" s="118"/>
      <c r="B720" s="118"/>
      <c r="C720" s="94"/>
      <c r="D720" s="111"/>
      <c r="E720" s="115"/>
      <c r="F720" s="108"/>
      <c r="G720" s="98"/>
      <c r="H720" s="116"/>
      <c r="I720" s="111"/>
      <c r="J720" s="115"/>
      <c r="K720" s="108"/>
      <c r="L720" s="98"/>
      <c r="M720" s="116"/>
      <c r="N720" s="111"/>
      <c r="O720" s="115"/>
      <c r="P720" s="108"/>
      <c r="Q720" s="98"/>
      <c r="R720" s="116"/>
      <c r="S720" s="83"/>
      <c r="T720" s="83"/>
      <c r="U720" s="83"/>
      <c r="V720" s="83"/>
      <c r="W720" s="83"/>
      <c r="X720" s="83"/>
      <c r="Y720" s="83"/>
      <c r="Z720" s="83"/>
    </row>
    <row r="721" ht="15.75" customHeight="1">
      <c r="A721" s="118"/>
      <c r="B721" s="118"/>
      <c r="C721" s="94"/>
      <c r="D721" s="111"/>
      <c r="E721" s="115"/>
      <c r="F721" s="108"/>
      <c r="G721" s="98"/>
      <c r="H721" s="116"/>
      <c r="I721" s="111"/>
      <c r="J721" s="115"/>
      <c r="K721" s="108"/>
      <c r="L721" s="98"/>
      <c r="M721" s="116"/>
      <c r="N721" s="111"/>
      <c r="O721" s="115"/>
      <c r="P721" s="108"/>
      <c r="Q721" s="98"/>
      <c r="R721" s="116"/>
      <c r="S721" s="83"/>
      <c r="T721" s="83"/>
      <c r="U721" s="83"/>
      <c r="V721" s="83"/>
      <c r="W721" s="83"/>
      <c r="X721" s="83"/>
      <c r="Y721" s="83"/>
      <c r="Z721" s="83"/>
    </row>
    <row r="722" ht="15.75" customHeight="1">
      <c r="A722" s="118"/>
      <c r="B722" s="118"/>
      <c r="C722" s="94"/>
      <c r="D722" s="111"/>
      <c r="E722" s="115"/>
      <c r="F722" s="108"/>
      <c r="G722" s="98"/>
      <c r="H722" s="116"/>
      <c r="I722" s="111"/>
      <c r="J722" s="115"/>
      <c r="K722" s="108"/>
      <c r="L722" s="98"/>
      <c r="M722" s="116"/>
      <c r="N722" s="111"/>
      <c r="O722" s="115"/>
      <c r="P722" s="108"/>
      <c r="Q722" s="98"/>
      <c r="R722" s="116"/>
      <c r="S722" s="83"/>
      <c r="T722" s="83"/>
      <c r="U722" s="83"/>
      <c r="V722" s="83"/>
      <c r="W722" s="83"/>
      <c r="X722" s="83"/>
      <c r="Y722" s="83"/>
      <c r="Z722" s="83"/>
    </row>
    <row r="723" ht="15.75" customHeight="1">
      <c r="A723" s="118"/>
      <c r="B723" s="118"/>
      <c r="C723" s="94"/>
      <c r="D723" s="111"/>
      <c r="E723" s="115"/>
      <c r="F723" s="108"/>
      <c r="G723" s="98"/>
      <c r="H723" s="116"/>
      <c r="I723" s="111"/>
      <c r="J723" s="115"/>
      <c r="K723" s="108"/>
      <c r="L723" s="98"/>
      <c r="M723" s="116"/>
      <c r="N723" s="111"/>
      <c r="O723" s="115"/>
      <c r="P723" s="108"/>
      <c r="Q723" s="98"/>
      <c r="R723" s="116"/>
      <c r="S723" s="83"/>
      <c r="T723" s="83"/>
      <c r="U723" s="83"/>
      <c r="V723" s="83"/>
      <c r="W723" s="83"/>
      <c r="X723" s="83"/>
      <c r="Y723" s="83"/>
      <c r="Z723" s="83"/>
    </row>
    <row r="724" ht="15.75" customHeight="1">
      <c r="A724" s="118"/>
      <c r="B724" s="118"/>
      <c r="C724" s="94"/>
      <c r="D724" s="111"/>
      <c r="E724" s="115"/>
      <c r="F724" s="108"/>
      <c r="G724" s="98"/>
      <c r="H724" s="116"/>
      <c r="I724" s="111"/>
      <c r="J724" s="115"/>
      <c r="K724" s="108"/>
      <c r="L724" s="98"/>
      <c r="M724" s="116"/>
      <c r="N724" s="111"/>
      <c r="O724" s="115"/>
      <c r="P724" s="108"/>
      <c r="Q724" s="98"/>
      <c r="R724" s="116"/>
      <c r="S724" s="83"/>
      <c r="T724" s="83"/>
      <c r="U724" s="83"/>
      <c r="V724" s="83"/>
      <c r="W724" s="83"/>
      <c r="X724" s="83"/>
      <c r="Y724" s="83"/>
      <c r="Z724" s="83"/>
    </row>
    <row r="725" ht="15.75" customHeight="1">
      <c r="A725" s="118"/>
      <c r="B725" s="118"/>
      <c r="C725" s="94"/>
      <c r="D725" s="111"/>
      <c r="E725" s="115"/>
      <c r="F725" s="108"/>
      <c r="G725" s="98"/>
      <c r="H725" s="116"/>
      <c r="I725" s="111"/>
      <c r="J725" s="115"/>
      <c r="K725" s="108"/>
      <c r="L725" s="98"/>
      <c r="M725" s="116"/>
      <c r="N725" s="111"/>
      <c r="O725" s="115"/>
      <c r="P725" s="108"/>
      <c r="Q725" s="98"/>
      <c r="R725" s="116"/>
      <c r="S725" s="83"/>
      <c r="T725" s="83"/>
      <c r="U725" s="83"/>
      <c r="V725" s="83"/>
      <c r="W725" s="83"/>
      <c r="X725" s="83"/>
      <c r="Y725" s="83"/>
      <c r="Z725" s="83"/>
    </row>
    <row r="726" ht="15.75" customHeight="1">
      <c r="A726" s="118"/>
      <c r="B726" s="118"/>
      <c r="C726" s="94"/>
      <c r="D726" s="111"/>
      <c r="E726" s="115"/>
      <c r="F726" s="108"/>
      <c r="G726" s="98"/>
      <c r="H726" s="116"/>
      <c r="I726" s="111"/>
      <c r="J726" s="115"/>
      <c r="K726" s="108"/>
      <c r="L726" s="98"/>
      <c r="M726" s="116"/>
      <c r="N726" s="111"/>
      <c r="O726" s="115"/>
      <c r="P726" s="108"/>
      <c r="Q726" s="98"/>
      <c r="R726" s="116"/>
      <c r="S726" s="83"/>
      <c r="T726" s="83"/>
      <c r="U726" s="83"/>
      <c r="V726" s="83"/>
      <c r="W726" s="83"/>
      <c r="X726" s="83"/>
      <c r="Y726" s="83"/>
      <c r="Z726" s="83"/>
    </row>
    <row r="727" ht="15.75" customHeight="1">
      <c r="A727" s="118"/>
      <c r="B727" s="118"/>
      <c r="C727" s="94"/>
      <c r="D727" s="111"/>
      <c r="E727" s="115"/>
      <c r="F727" s="108"/>
      <c r="G727" s="98"/>
      <c r="H727" s="116"/>
      <c r="I727" s="111"/>
      <c r="J727" s="115"/>
      <c r="K727" s="108"/>
      <c r="L727" s="98"/>
      <c r="M727" s="116"/>
      <c r="N727" s="111"/>
      <c r="O727" s="115"/>
      <c r="P727" s="108"/>
      <c r="Q727" s="98"/>
      <c r="R727" s="116"/>
      <c r="S727" s="83"/>
      <c r="T727" s="83"/>
      <c r="U727" s="83"/>
      <c r="V727" s="83"/>
      <c r="W727" s="83"/>
      <c r="X727" s="83"/>
      <c r="Y727" s="83"/>
      <c r="Z727" s="83"/>
    </row>
    <row r="728" ht="15.75" customHeight="1">
      <c r="A728" s="118"/>
      <c r="B728" s="118"/>
      <c r="C728" s="94"/>
      <c r="D728" s="111"/>
      <c r="E728" s="115"/>
      <c r="F728" s="108"/>
      <c r="G728" s="98"/>
      <c r="H728" s="116"/>
      <c r="I728" s="111"/>
      <c r="J728" s="115"/>
      <c r="K728" s="108"/>
      <c r="L728" s="98"/>
      <c r="M728" s="116"/>
      <c r="N728" s="111"/>
      <c r="O728" s="115"/>
      <c r="P728" s="108"/>
      <c r="Q728" s="98"/>
      <c r="R728" s="116"/>
      <c r="S728" s="83"/>
      <c r="T728" s="83"/>
      <c r="U728" s="83"/>
      <c r="V728" s="83"/>
      <c r="W728" s="83"/>
      <c r="X728" s="83"/>
      <c r="Y728" s="83"/>
      <c r="Z728" s="83"/>
    </row>
    <row r="729" ht="15.75" customHeight="1">
      <c r="A729" s="118"/>
      <c r="B729" s="118"/>
      <c r="C729" s="94"/>
      <c r="D729" s="111"/>
      <c r="E729" s="115"/>
      <c r="F729" s="108"/>
      <c r="G729" s="98"/>
      <c r="H729" s="116"/>
      <c r="I729" s="111"/>
      <c r="J729" s="115"/>
      <c r="K729" s="108"/>
      <c r="L729" s="98"/>
      <c r="M729" s="116"/>
      <c r="N729" s="111"/>
      <c r="O729" s="115"/>
      <c r="P729" s="108"/>
      <c r="Q729" s="98"/>
      <c r="R729" s="116"/>
      <c r="S729" s="83"/>
      <c r="T729" s="83"/>
      <c r="U729" s="83"/>
      <c r="V729" s="83"/>
      <c r="W729" s="83"/>
      <c r="X729" s="83"/>
      <c r="Y729" s="83"/>
      <c r="Z729" s="83"/>
    </row>
    <row r="730" ht="15.75" customHeight="1">
      <c r="A730" s="118"/>
      <c r="B730" s="118"/>
      <c r="C730" s="94"/>
      <c r="D730" s="111"/>
      <c r="E730" s="115"/>
      <c r="F730" s="108"/>
      <c r="G730" s="98"/>
      <c r="H730" s="116"/>
      <c r="I730" s="111"/>
      <c r="J730" s="115"/>
      <c r="K730" s="108"/>
      <c r="L730" s="98"/>
      <c r="M730" s="116"/>
      <c r="N730" s="111"/>
      <c r="O730" s="115"/>
      <c r="P730" s="108"/>
      <c r="Q730" s="98"/>
      <c r="R730" s="116"/>
      <c r="S730" s="83"/>
      <c r="T730" s="83"/>
      <c r="U730" s="83"/>
      <c r="V730" s="83"/>
      <c r="W730" s="83"/>
      <c r="X730" s="83"/>
      <c r="Y730" s="83"/>
      <c r="Z730" s="83"/>
    </row>
    <row r="731" ht="15.75" customHeight="1">
      <c r="A731" s="118"/>
      <c r="B731" s="118"/>
      <c r="C731" s="94"/>
      <c r="D731" s="111"/>
      <c r="E731" s="115"/>
      <c r="F731" s="108"/>
      <c r="G731" s="98"/>
      <c r="H731" s="116"/>
      <c r="I731" s="111"/>
      <c r="J731" s="115"/>
      <c r="K731" s="108"/>
      <c r="L731" s="98"/>
      <c r="M731" s="116"/>
      <c r="N731" s="111"/>
      <c r="O731" s="115"/>
      <c r="P731" s="108"/>
      <c r="Q731" s="98"/>
      <c r="R731" s="116"/>
      <c r="S731" s="83"/>
      <c r="T731" s="83"/>
      <c r="U731" s="83"/>
      <c r="V731" s="83"/>
      <c r="W731" s="83"/>
      <c r="X731" s="83"/>
      <c r="Y731" s="83"/>
      <c r="Z731" s="83"/>
    </row>
    <row r="732" ht="15.75" customHeight="1">
      <c r="A732" s="118"/>
      <c r="B732" s="118"/>
      <c r="C732" s="94"/>
      <c r="D732" s="111"/>
      <c r="E732" s="115"/>
      <c r="F732" s="108"/>
      <c r="G732" s="98"/>
      <c r="H732" s="116"/>
      <c r="I732" s="111"/>
      <c r="J732" s="115"/>
      <c r="K732" s="108"/>
      <c r="L732" s="98"/>
      <c r="M732" s="116"/>
      <c r="N732" s="111"/>
      <c r="O732" s="115"/>
      <c r="P732" s="108"/>
      <c r="Q732" s="98"/>
      <c r="R732" s="116"/>
      <c r="S732" s="83"/>
      <c r="T732" s="83"/>
      <c r="U732" s="83"/>
      <c r="V732" s="83"/>
      <c r="W732" s="83"/>
      <c r="X732" s="83"/>
      <c r="Y732" s="83"/>
      <c r="Z732" s="83"/>
    </row>
    <row r="733" ht="15.75" customHeight="1">
      <c r="A733" s="118"/>
      <c r="B733" s="118"/>
      <c r="C733" s="94"/>
      <c r="D733" s="111"/>
      <c r="E733" s="115"/>
      <c r="F733" s="108"/>
      <c r="G733" s="98"/>
      <c r="H733" s="116"/>
      <c r="I733" s="111"/>
      <c r="J733" s="115"/>
      <c r="K733" s="108"/>
      <c r="L733" s="98"/>
      <c r="M733" s="116"/>
      <c r="N733" s="111"/>
      <c r="O733" s="115"/>
      <c r="P733" s="108"/>
      <c r="Q733" s="98"/>
      <c r="R733" s="116"/>
      <c r="S733" s="83"/>
      <c r="T733" s="83"/>
      <c r="U733" s="83"/>
      <c r="V733" s="83"/>
      <c r="W733" s="83"/>
      <c r="X733" s="83"/>
      <c r="Y733" s="83"/>
      <c r="Z733" s="83"/>
    </row>
    <row r="734" ht="15.75" customHeight="1">
      <c r="A734" s="118"/>
      <c r="B734" s="118"/>
      <c r="C734" s="94"/>
      <c r="D734" s="111"/>
      <c r="E734" s="115"/>
      <c r="F734" s="108"/>
      <c r="G734" s="98"/>
      <c r="H734" s="116"/>
      <c r="I734" s="111"/>
      <c r="J734" s="115"/>
      <c r="K734" s="108"/>
      <c r="L734" s="98"/>
      <c r="M734" s="116"/>
      <c r="N734" s="111"/>
      <c r="O734" s="115"/>
      <c r="P734" s="108"/>
      <c r="Q734" s="98"/>
      <c r="R734" s="116"/>
      <c r="S734" s="83"/>
      <c r="T734" s="83"/>
      <c r="U734" s="83"/>
      <c r="V734" s="83"/>
      <c r="W734" s="83"/>
      <c r="X734" s="83"/>
      <c r="Y734" s="83"/>
      <c r="Z734" s="83"/>
    </row>
    <row r="735" ht="15.75" customHeight="1">
      <c r="A735" s="118"/>
      <c r="B735" s="118"/>
      <c r="C735" s="94"/>
      <c r="D735" s="111"/>
      <c r="E735" s="115"/>
      <c r="F735" s="108"/>
      <c r="G735" s="98"/>
      <c r="H735" s="116"/>
      <c r="I735" s="111"/>
      <c r="J735" s="115"/>
      <c r="K735" s="108"/>
      <c r="L735" s="98"/>
      <c r="M735" s="116"/>
      <c r="N735" s="111"/>
      <c r="O735" s="115"/>
      <c r="P735" s="108"/>
      <c r="Q735" s="98"/>
      <c r="R735" s="116"/>
      <c r="S735" s="83"/>
      <c r="T735" s="83"/>
      <c r="U735" s="83"/>
      <c r="V735" s="83"/>
      <c r="W735" s="83"/>
      <c r="X735" s="83"/>
      <c r="Y735" s="83"/>
      <c r="Z735" s="83"/>
    </row>
    <row r="736" ht="15.75" customHeight="1">
      <c r="A736" s="118"/>
      <c r="B736" s="118"/>
      <c r="C736" s="94"/>
      <c r="D736" s="111"/>
      <c r="E736" s="115"/>
      <c r="F736" s="108"/>
      <c r="G736" s="98"/>
      <c r="H736" s="116"/>
      <c r="I736" s="111"/>
      <c r="J736" s="115"/>
      <c r="K736" s="108"/>
      <c r="L736" s="98"/>
      <c r="M736" s="116"/>
      <c r="N736" s="111"/>
      <c r="O736" s="115"/>
      <c r="P736" s="108"/>
      <c r="Q736" s="98"/>
      <c r="R736" s="116"/>
      <c r="S736" s="83"/>
      <c r="T736" s="83"/>
      <c r="U736" s="83"/>
      <c r="V736" s="83"/>
      <c r="W736" s="83"/>
      <c r="X736" s="83"/>
      <c r="Y736" s="83"/>
      <c r="Z736" s="83"/>
    </row>
    <row r="737" ht="15.75" customHeight="1">
      <c r="A737" s="118"/>
      <c r="B737" s="118"/>
      <c r="C737" s="94"/>
      <c r="D737" s="111"/>
      <c r="E737" s="115"/>
      <c r="F737" s="108"/>
      <c r="G737" s="98"/>
      <c r="H737" s="116"/>
      <c r="I737" s="111"/>
      <c r="J737" s="115"/>
      <c r="K737" s="108"/>
      <c r="L737" s="98"/>
      <c r="M737" s="116"/>
      <c r="N737" s="111"/>
      <c r="O737" s="115"/>
      <c r="P737" s="108"/>
      <c r="Q737" s="98"/>
      <c r="R737" s="116"/>
      <c r="S737" s="83"/>
      <c r="T737" s="83"/>
      <c r="U737" s="83"/>
      <c r="V737" s="83"/>
      <c r="W737" s="83"/>
      <c r="X737" s="83"/>
      <c r="Y737" s="83"/>
      <c r="Z737" s="83"/>
    </row>
    <row r="738" ht="15.75" customHeight="1">
      <c r="A738" s="118"/>
      <c r="B738" s="118"/>
      <c r="C738" s="94"/>
      <c r="D738" s="111"/>
      <c r="E738" s="115"/>
      <c r="F738" s="108"/>
      <c r="G738" s="98"/>
      <c r="H738" s="116"/>
      <c r="I738" s="111"/>
      <c r="J738" s="115"/>
      <c r="K738" s="108"/>
      <c r="L738" s="98"/>
      <c r="M738" s="116"/>
      <c r="N738" s="111"/>
      <c r="O738" s="115"/>
      <c r="P738" s="108"/>
      <c r="Q738" s="98"/>
      <c r="R738" s="116"/>
      <c r="S738" s="83"/>
      <c r="T738" s="83"/>
      <c r="U738" s="83"/>
      <c r="V738" s="83"/>
      <c r="W738" s="83"/>
      <c r="X738" s="83"/>
      <c r="Y738" s="83"/>
      <c r="Z738" s="83"/>
    </row>
    <row r="739" ht="15.75" customHeight="1">
      <c r="A739" s="118"/>
      <c r="B739" s="118"/>
      <c r="C739" s="94"/>
      <c r="D739" s="111"/>
      <c r="E739" s="115"/>
      <c r="F739" s="108"/>
      <c r="G739" s="98"/>
      <c r="H739" s="116"/>
      <c r="I739" s="111"/>
      <c r="J739" s="115"/>
      <c r="K739" s="108"/>
      <c r="L739" s="98"/>
      <c r="M739" s="116"/>
      <c r="N739" s="111"/>
      <c r="O739" s="115"/>
      <c r="P739" s="108"/>
      <c r="Q739" s="98"/>
      <c r="R739" s="116"/>
      <c r="S739" s="83"/>
      <c r="T739" s="83"/>
      <c r="U739" s="83"/>
      <c r="V739" s="83"/>
      <c r="W739" s="83"/>
      <c r="X739" s="83"/>
      <c r="Y739" s="83"/>
      <c r="Z739" s="83"/>
    </row>
    <row r="740" ht="15.75" customHeight="1">
      <c r="A740" s="118"/>
      <c r="B740" s="118"/>
      <c r="C740" s="94"/>
      <c r="D740" s="111"/>
      <c r="E740" s="115"/>
      <c r="F740" s="108"/>
      <c r="G740" s="98"/>
      <c r="H740" s="116"/>
      <c r="I740" s="111"/>
      <c r="J740" s="115"/>
      <c r="K740" s="108"/>
      <c r="L740" s="98"/>
      <c r="M740" s="116"/>
      <c r="N740" s="111"/>
      <c r="O740" s="115"/>
      <c r="P740" s="108"/>
      <c r="Q740" s="98"/>
      <c r="R740" s="116"/>
      <c r="S740" s="83"/>
      <c r="T740" s="83"/>
      <c r="U740" s="83"/>
      <c r="V740" s="83"/>
      <c r="W740" s="83"/>
      <c r="X740" s="83"/>
      <c r="Y740" s="83"/>
      <c r="Z740" s="83"/>
    </row>
    <row r="741" ht="15.75" customHeight="1">
      <c r="A741" s="118"/>
      <c r="B741" s="118"/>
      <c r="C741" s="94"/>
      <c r="D741" s="111"/>
      <c r="E741" s="115"/>
      <c r="F741" s="108"/>
      <c r="G741" s="98"/>
      <c r="H741" s="116"/>
      <c r="I741" s="111"/>
      <c r="J741" s="115"/>
      <c r="K741" s="108"/>
      <c r="L741" s="98"/>
      <c r="M741" s="116"/>
      <c r="N741" s="111"/>
      <c r="O741" s="115"/>
      <c r="P741" s="108"/>
      <c r="Q741" s="98"/>
      <c r="R741" s="116"/>
      <c r="S741" s="83"/>
      <c r="T741" s="83"/>
      <c r="U741" s="83"/>
      <c r="V741" s="83"/>
      <c r="W741" s="83"/>
      <c r="X741" s="83"/>
      <c r="Y741" s="83"/>
      <c r="Z741" s="83"/>
    </row>
    <row r="742" ht="15.75" customHeight="1">
      <c r="A742" s="118"/>
      <c r="B742" s="118"/>
      <c r="C742" s="94"/>
      <c r="D742" s="111"/>
      <c r="E742" s="115"/>
      <c r="F742" s="108"/>
      <c r="G742" s="98"/>
      <c r="H742" s="116"/>
      <c r="I742" s="111"/>
      <c r="J742" s="115"/>
      <c r="K742" s="108"/>
      <c r="L742" s="98"/>
      <c r="M742" s="116"/>
      <c r="N742" s="111"/>
      <c r="O742" s="115"/>
      <c r="P742" s="108"/>
      <c r="Q742" s="98"/>
      <c r="R742" s="116"/>
      <c r="S742" s="83"/>
      <c r="T742" s="83"/>
      <c r="U742" s="83"/>
      <c r="V742" s="83"/>
      <c r="W742" s="83"/>
      <c r="X742" s="83"/>
      <c r="Y742" s="83"/>
      <c r="Z742" s="83"/>
    </row>
    <row r="743" ht="15.75" customHeight="1">
      <c r="A743" s="118"/>
      <c r="B743" s="118"/>
      <c r="C743" s="94"/>
      <c r="D743" s="111"/>
      <c r="E743" s="115"/>
      <c r="F743" s="108"/>
      <c r="G743" s="98"/>
      <c r="H743" s="116"/>
      <c r="I743" s="111"/>
      <c r="J743" s="115"/>
      <c r="K743" s="108"/>
      <c r="L743" s="98"/>
      <c r="M743" s="116"/>
      <c r="N743" s="111"/>
      <c r="O743" s="115"/>
      <c r="P743" s="108"/>
      <c r="Q743" s="98"/>
      <c r="R743" s="116"/>
      <c r="S743" s="83"/>
      <c r="T743" s="83"/>
      <c r="U743" s="83"/>
      <c r="V743" s="83"/>
      <c r="W743" s="83"/>
      <c r="X743" s="83"/>
      <c r="Y743" s="83"/>
      <c r="Z743" s="83"/>
    </row>
    <row r="744" ht="15.75" customHeight="1">
      <c r="A744" s="118"/>
      <c r="B744" s="118"/>
      <c r="C744" s="94"/>
      <c r="D744" s="111"/>
      <c r="E744" s="115"/>
      <c r="F744" s="108"/>
      <c r="G744" s="98"/>
      <c r="H744" s="116"/>
      <c r="I744" s="111"/>
      <c r="J744" s="115"/>
      <c r="K744" s="108"/>
      <c r="L744" s="98"/>
      <c r="M744" s="116"/>
      <c r="N744" s="111"/>
      <c r="O744" s="115"/>
      <c r="P744" s="108"/>
      <c r="Q744" s="98"/>
      <c r="R744" s="116"/>
      <c r="S744" s="83"/>
      <c r="T744" s="83"/>
      <c r="U744" s="83"/>
      <c r="V744" s="83"/>
      <c r="W744" s="83"/>
      <c r="X744" s="83"/>
      <c r="Y744" s="83"/>
      <c r="Z744" s="83"/>
    </row>
    <row r="745" ht="15.75" customHeight="1">
      <c r="A745" s="118"/>
      <c r="B745" s="118"/>
      <c r="C745" s="94"/>
      <c r="D745" s="111"/>
      <c r="E745" s="115"/>
      <c r="F745" s="108"/>
      <c r="G745" s="98"/>
      <c r="H745" s="116"/>
      <c r="I745" s="111"/>
      <c r="J745" s="115"/>
      <c r="K745" s="108"/>
      <c r="L745" s="98"/>
      <c r="M745" s="116"/>
      <c r="N745" s="111"/>
      <c r="O745" s="115"/>
      <c r="P745" s="108"/>
      <c r="Q745" s="98"/>
      <c r="R745" s="116"/>
      <c r="S745" s="83"/>
      <c r="T745" s="83"/>
      <c r="U745" s="83"/>
      <c r="V745" s="83"/>
      <c r="W745" s="83"/>
      <c r="X745" s="83"/>
      <c r="Y745" s="83"/>
      <c r="Z745" s="83"/>
    </row>
    <row r="746" ht="15.75" customHeight="1">
      <c r="A746" s="118"/>
      <c r="B746" s="118"/>
      <c r="C746" s="94"/>
      <c r="D746" s="111"/>
      <c r="E746" s="115"/>
      <c r="F746" s="108"/>
      <c r="G746" s="98"/>
      <c r="H746" s="116"/>
      <c r="I746" s="111"/>
      <c r="J746" s="115"/>
      <c r="K746" s="108"/>
      <c r="L746" s="98"/>
      <c r="M746" s="116"/>
      <c r="N746" s="111"/>
      <c r="O746" s="115"/>
      <c r="P746" s="108"/>
      <c r="Q746" s="98"/>
      <c r="R746" s="116"/>
      <c r="S746" s="83"/>
      <c r="T746" s="83"/>
      <c r="U746" s="83"/>
      <c r="V746" s="83"/>
      <c r="W746" s="83"/>
      <c r="X746" s="83"/>
      <c r="Y746" s="83"/>
      <c r="Z746" s="83"/>
    </row>
    <row r="747" ht="15.75" customHeight="1">
      <c r="A747" s="118"/>
      <c r="B747" s="118"/>
      <c r="C747" s="94"/>
      <c r="D747" s="111"/>
      <c r="E747" s="115"/>
      <c r="F747" s="108"/>
      <c r="G747" s="98"/>
      <c r="H747" s="116"/>
      <c r="I747" s="111"/>
      <c r="J747" s="115"/>
      <c r="K747" s="108"/>
      <c r="L747" s="98"/>
      <c r="M747" s="116"/>
      <c r="N747" s="111"/>
      <c r="O747" s="115"/>
      <c r="P747" s="108"/>
      <c r="Q747" s="98"/>
      <c r="R747" s="116"/>
      <c r="S747" s="83"/>
      <c r="T747" s="83"/>
      <c r="U747" s="83"/>
      <c r="V747" s="83"/>
      <c r="W747" s="83"/>
      <c r="X747" s="83"/>
      <c r="Y747" s="83"/>
      <c r="Z747" s="83"/>
    </row>
    <row r="748" ht="15.75" customHeight="1">
      <c r="A748" s="118"/>
      <c r="B748" s="118"/>
      <c r="C748" s="94"/>
      <c r="D748" s="111"/>
      <c r="E748" s="115"/>
      <c r="F748" s="108"/>
      <c r="G748" s="98"/>
      <c r="H748" s="116"/>
      <c r="I748" s="111"/>
      <c r="J748" s="115"/>
      <c r="K748" s="108"/>
      <c r="L748" s="98"/>
      <c r="M748" s="116"/>
      <c r="N748" s="111"/>
      <c r="O748" s="115"/>
      <c r="P748" s="108"/>
      <c r="Q748" s="98"/>
      <c r="R748" s="116"/>
      <c r="S748" s="83"/>
      <c r="T748" s="83"/>
      <c r="U748" s="83"/>
      <c r="V748" s="83"/>
      <c r="W748" s="83"/>
      <c r="X748" s="83"/>
      <c r="Y748" s="83"/>
      <c r="Z748" s="83"/>
    </row>
    <row r="749" ht="15.75" customHeight="1">
      <c r="A749" s="118"/>
      <c r="B749" s="118"/>
      <c r="C749" s="94"/>
      <c r="D749" s="111"/>
      <c r="E749" s="115"/>
      <c r="F749" s="108"/>
      <c r="G749" s="98"/>
      <c r="H749" s="116"/>
      <c r="I749" s="111"/>
      <c r="J749" s="115"/>
      <c r="K749" s="108"/>
      <c r="L749" s="98"/>
      <c r="M749" s="116"/>
      <c r="N749" s="111"/>
      <c r="O749" s="115"/>
      <c r="P749" s="108"/>
      <c r="Q749" s="98"/>
      <c r="R749" s="116"/>
      <c r="S749" s="83"/>
      <c r="T749" s="83"/>
      <c r="U749" s="83"/>
      <c r="V749" s="83"/>
      <c r="W749" s="83"/>
      <c r="X749" s="83"/>
      <c r="Y749" s="83"/>
      <c r="Z749" s="83"/>
    </row>
    <row r="750" ht="15.75" customHeight="1">
      <c r="A750" s="118"/>
      <c r="B750" s="118"/>
      <c r="C750" s="94"/>
      <c r="D750" s="111"/>
      <c r="E750" s="115"/>
      <c r="F750" s="108"/>
      <c r="G750" s="98"/>
      <c r="H750" s="116"/>
      <c r="I750" s="111"/>
      <c r="J750" s="115"/>
      <c r="K750" s="108"/>
      <c r="L750" s="98"/>
      <c r="M750" s="116"/>
      <c r="N750" s="111"/>
      <c r="O750" s="115"/>
      <c r="P750" s="108"/>
      <c r="Q750" s="98"/>
      <c r="R750" s="116"/>
      <c r="S750" s="83"/>
      <c r="T750" s="83"/>
      <c r="U750" s="83"/>
      <c r="V750" s="83"/>
      <c r="W750" s="83"/>
      <c r="X750" s="83"/>
      <c r="Y750" s="83"/>
      <c r="Z750" s="83"/>
    </row>
    <row r="751" ht="15.75" customHeight="1">
      <c r="A751" s="118"/>
      <c r="B751" s="118"/>
      <c r="C751" s="94"/>
      <c r="D751" s="111"/>
      <c r="E751" s="115"/>
      <c r="F751" s="108"/>
      <c r="G751" s="98"/>
      <c r="H751" s="116"/>
      <c r="I751" s="111"/>
      <c r="J751" s="115"/>
      <c r="K751" s="108"/>
      <c r="L751" s="98"/>
      <c r="M751" s="116"/>
      <c r="N751" s="111"/>
      <c r="O751" s="115"/>
      <c r="P751" s="108"/>
      <c r="Q751" s="98"/>
      <c r="R751" s="116"/>
      <c r="S751" s="83"/>
      <c r="T751" s="83"/>
      <c r="U751" s="83"/>
      <c r="V751" s="83"/>
      <c r="W751" s="83"/>
      <c r="X751" s="83"/>
      <c r="Y751" s="83"/>
      <c r="Z751" s="83"/>
    </row>
    <row r="752" ht="15.75" customHeight="1">
      <c r="A752" s="118"/>
      <c r="B752" s="118"/>
      <c r="C752" s="94"/>
      <c r="D752" s="111"/>
      <c r="E752" s="115"/>
      <c r="F752" s="108"/>
      <c r="G752" s="98"/>
      <c r="H752" s="116"/>
      <c r="I752" s="111"/>
      <c r="J752" s="115"/>
      <c r="K752" s="108"/>
      <c r="L752" s="98"/>
      <c r="M752" s="116"/>
      <c r="N752" s="111"/>
      <c r="O752" s="115"/>
      <c r="P752" s="108"/>
      <c r="Q752" s="98"/>
      <c r="R752" s="116"/>
      <c r="S752" s="83"/>
      <c r="T752" s="83"/>
      <c r="U752" s="83"/>
      <c r="V752" s="83"/>
      <c r="W752" s="83"/>
      <c r="X752" s="83"/>
      <c r="Y752" s="83"/>
      <c r="Z752" s="83"/>
    </row>
    <row r="753" ht="15.75" customHeight="1">
      <c r="A753" s="118"/>
      <c r="B753" s="118"/>
      <c r="C753" s="94"/>
      <c r="D753" s="111"/>
      <c r="E753" s="115"/>
      <c r="F753" s="108"/>
      <c r="G753" s="98"/>
      <c r="H753" s="116"/>
      <c r="I753" s="111"/>
      <c r="J753" s="115"/>
      <c r="K753" s="108"/>
      <c r="L753" s="98"/>
      <c r="M753" s="116"/>
      <c r="N753" s="111"/>
      <c r="O753" s="115"/>
      <c r="P753" s="108"/>
      <c r="Q753" s="98"/>
      <c r="R753" s="116"/>
      <c r="S753" s="83"/>
      <c r="T753" s="83"/>
      <c r="U753" s="83"/>
      <c r="V753" s="83"/>
      <c r="W753" s="83"/>
      <c r="X753" s="83"/>
      <c r="Y753" s="83"/>
      <c r="Z753" s="83"/>
    </row>
    <row r="754" ht="15.75" customHeight="1">
      <c r="A754" s="118"/>
      <c r="B754" s="118"/>
      <c r="C754" s="94"/>
      <c r="D754" s="111"/>
      <c r="E754" s="115"/>
      <c r="F754" s="108"/>
      <c r="G754" s="98"/>
      <c r="H754" s="116"/>
      <c r="I754" s="111"/>
      <c r="J754" s="115"/>
      <c r="K754" s="108"/>
      <c r="L754" s="98"/>
      <c r="M754" s="116"/>
      <c r="N754" s="111"/>
      <c r="O754" s="115"/>
      <c r="P754" s="108"/>
      <c r="Q754" s="98"/>
      <c r="R754" s="116"/>
      <c r="S754" s="83"/>
      <c r="T754" s="83"/>
      <c r="U754" s="83"/>
      <c r="V754" s="83"/>
      <c r="W754" s="83"/>
      <c r="X754" s="83"/>
      <c r="Y754" s="83"/>
      <c r="Z754" s="83"/>
    </row>
    <row r="755" ht="15.75" customHeight="1">
      <c r="A755" s="118"/>
      <c r="B755" s="118"/>
      <c r="C755" s="94"/>
      <c r="D755" s="111"/>
      <c r="E755" s="115"/>
      <c r="F755" s="108"/>
      <c r="G755" s="98"/>
      <c r="H755" s="116"/>
      <c r="I755" s="111"/>
      <c r="J755" s="115"/>
      <c r="K755" s="108"/>
      <c r="L755" s="98"/>
      <c r="M755" s="116"/>
      <c r="N755" s="111"/>
      <c r="O755" s="115"/>
      <c r="P755" s="108"/>
      <c r="Q755" s="98"/>
      <c r="R755" s="116"/>
      <c r="S755" s="83"/>
      <c r="T755" s="83"/>
      <c r="U755" s="83"/>
      <c r="V755" s="83"/>
      <c r="W755" s="83"/>
      <c r="X755" s="83"/>
      <c r="Y755" s="83"/>
      <c r="Z755" s="83"/>
    </row>
    <row r="756" ht="15.75" customHeight="1">
      <c r="A756" s="118"/>
      <c r="B756" s="118"/>
      <c r="C756" s="94"/>
      <c r="D756" s="111"/>
      <c r="E756" s="115"/>
      <c r="F756" s="108"/>
      <c r="G756" s="98"/>
      <c r="H756" s="116"/>
      <c r="I756" s="111"/>
      <c r="J756" s="115"/>
      <c r="K756" s="108"/>
      <c r="L756" s="98"/>
      <c r="M756" s="116"/>
      <c r="N756" s="111"/>
      <c r="O756" s="115"/>
      <c r="P756" s="108"/>
      <c r="Q756" s="98"/>
      <c r="R756" s="116"/>
      <c r="S756" s="83"/>
      <c r="T756" s="83"/>
      <c r="U756" s="83"/>
      <c r="V756" s="83"/>
      <c r="W756" s="83"/>
      <c r="X756" s="83"/>
      <c r="Y756" s="83"/>
      <c r="Z756" s="83"/>
    </row>
    <row r="757" ht="15.75" customHeight="1">
      <c r="A757" s="118"/>
      <c r="B757" s="118"/>
      <c r="C757" s="94"/>
      <c r="D757" s="111"/>
      <c r="E757" s="115"/>
      <c r="F757" s="108"/>
      <c r="G757" s="98"/>
      <c r="H757" s="116"/>
      <c r="I757" s="111"/>
      <c r="J757" s="115"/>
      <c r="K757" s="108"/>
      <c r="L757" s="98"/>
      <c r="M757" s="116"/>
      <c r="N757" s="111"/>
      <c r="O757" s="115"/>
      <c r="P757" s="108"/>
      <c r="Q757" s="98"/>
      <c r="R757" s="116"/>
      <c r="S757" s="83"/>
      <c r="T757" s="83"/>
      <c r="U757" s="83"/>
      <c r="V757" s="83"/>
      <c r="W757" s="83"/>
      <c r="X757" s="83"/>
      <c r="Y757" s="83"/>
      <c r="Z757" s="83"/>
    </row>
    <row r="758" ht="15.75" customHeight="1">
      <c r="A758" s="118"/>
      <c r="B758" s="118"/>
      <c r="C758" s="94"/>
      <c r="D758" s="111"/>
      <c r="E758" s="115"/>
      <c r="F758" s="108"/>
      <c r="G758" s="98"/>
      <c r="H758" s="116"/>
      <c r="I758" s="111"/>
      <c r="J758" s="115"/>
      <c r="K758" s="108"/>
      <c r="L758" s="98"/>
      <c r="M758" s="116"/>
      <c r="N758" s="111"/>
      <c r="O758" s="115"/>
      <c r="P758" s="108"/>
      <c r="Q758" s="98"/>
      <c r="R758" s="116"/>
      <c r="S758" s="83"/>
      <c r="T758" s="83"/>
      <c r="U758" s="83"/>
      <c r="V758" s="83"/>
      <c r="W758" s="83"/>
      <c r="X758" s="83"/>
      <c r="Y758" s="83"/>
      <c r="Z758" s="83"/>
    </row>
    <row r="759" ht="15.75" customHeight="1">
      <c r="A759" s="118"/>
      <c r="B759" s="118"/>
      <c r="C759" s="94"/>
      <c r="D759" s="111"/>
      <c r="E759" s="115"/>
      <c r="F759" s="108"/>
      <c r="G759" s="98"/>
      <c r="H759" s="116"/>
      <c r="I759" s="111"/>
      <c r="J759" s="115"/>
      <c r="K759" s="108"/>
      <c r="L759" s="98"/>
      <c r="M759" s="116"/>
      <c r="N759" s="111"/>
      <c r="O759" s="115"/>
      <c r="P759" s="108"/>
      <c r="Q759" s="98"/>
      <c r="R759" s="116"/>
      <c r="S759" s="83"/>
      <c r="T759" s="83"/>
      <c r="U759" s="83"/>
      <c r="V759" s="83"/>
      <c r="W759" s="83"/>
      <c r="X759" s="83"/>
      <c r="Y759" s="83"/>
      <c r="Z759" s="83"/>
    </row>
    <row r="760" ht="15.75" customHeight="1">
      <c r="A760" s="118"/>
      <c r="B760" s="118"/>
      <c r="C760" s="94"/>
      <c r="D760" s="111"/>
      <c r="E760" s="115"/>
      <c r="F760" s="108"/>
      <c r="G760" s="98"/>
      <c r="H760" s="116"/>
      <c r="I760" s="111"/>
      <c r="J760" s="115"/>
      <c r="K760" s="108"/>
      <c r="L760" s="98"/>
      <c r="M760" s="116"/>
      <c r="N760" s="111"/>
      <c r="O760" s="115"/>
      <c r="P760" s="108"/>
      <c r="Q760" s="98"/>
      <c r="R760" s="116"/>
      <c r="S760" s="83"/>
      <c r="T760" s="83"/>
      <c r="U760" s="83"/>
      <c r="V760" s="83"/>
      <c r="W760" s="83"/>
      <c r="X760" s="83"/>
      <c r="Y760" s="83"/>
      <c r="Z760" s="83"/>
    </row>
    <row r="761" ht="15.75" customHeight="1">
      <c r="A761" s="118"/>
      <c r="B761" s="118"/>
      <c r="C761" s="94"/>
      <c r="D761" s="111"/>
      <c r="E761" s="115"/>
      <c r="F761" s="108"/>
      <c r="G761" s="98"/>
      <c r="H761" s="116"/>
      <c r="I761" s="111"/>
      <c r="J761" s="115"/>
      <c r="K761" s="108"/>
      <c r="L761" s="98"/>
      <c r="M761" s="116"/>
      <c r="N761" s="111"/>
      <c r="O761" s="115"/>
      <c r="P761" s="108"/>
      <c r="Q761" s="98"/>
      <c r="R761" s="116"/>
      <c r="S761" s="83"/>
      <c r="T761" s="83"/>
      <c r="U761" s="83"/>
      <c r="V761" s="83"/>
      <c r="W761" s="83"/>
      <c r="X761" s="83"/>
      <c r="Y761" s="83"/>
      <c r="Z761" s="83"/>
    </row>
    <row r="762" ht="15.75" customHeight="1">
      <c r="A762" s="118"/>
      <c r="B762" s="118"/>
      <c r="C762" s="94"/>
      <c r="D762" s="111"/>
      <c r="E762" s="115"/>
      <c r="F762" s="108"/>
      <c r="G762" s="98"/>
      <c r="H762" s="116"/>
      <c r="I762" s="111"/>
      <c r="J762" s="115"/>
      <c r="K762" s="108"/>
      <c r="L762" s="98"/>
      <c r="M762" s="116"/>
      <c r="N762" s="111"/>
      <c r="O762" s="115"/>
      <c r="P762" s="108"/>
      <c r="Q762" s="98"/>
      <c r="R762" s="116"/>
      <c r="S762" s="83"/>
      <c r="T762" s="83"/>
      <c r="U762" s="83"/>
      <c r="V762" s="83"/>
      <c r="W762" s="83"/>
      <c r="X762" s="83"/>
      <c r="Y762" s="83"/>
      <c r="Z762" s="83"/>
    </row>
    <row r="763" ht="15.75" customHeight="1">
      <c r="A763" s="118"/>
      <c r="B763" s="118"/>
      <c r="C763" s="94"/>
      <c r="D763" s="111"/>
      <c r="E763" s="115"/>
      <c r="F763" s="108"/>
      <c r="G763" s="98"/>
      <c r="H763" s="116"/>
      <c r="I763" s="111"/>
      <c r="J763" s="115"/>
      <c r="K763" s="108"/>
      <c r="L763" s="98"/>
      <c r="M763" s="116"/>
      <c r="N763" s="111"/>
      <c r="O763" s="115"/>
      <c r="P763" s="108"/>
      <c r="Q763" s="98"/>
      <c r="R763" s="116"/>
      <c r="S763" s="83"/>
      <c r="T763" s="83"/>
      <c r="U763" s="83"/>
      <c r="V763" s="83"/>
      <c r="W763" s="83"/>
      <c r="X763" s="83"/>
      <c r="Y763" s="83"/>
      <c r="Z763" s="83"/>
    </row>
    <row r="764" ht="15.75" customHeight="1">
      <c r="A764" s="118"/>
      <c r="B764" s="118"/>
      <c r="C764" s="94"/>
      <c r="D764" s="111"/>
      <c r="E764" s="115"/>
      <c r="F764" s="108"/>
      <c r="G764" s="98"/>
      <c r="H764" s="116"/>
      <c r="I764" s="111"/>
      <c r="J764" s="115"/>
      <c r="K764" s="108"/>
      <c r="L764" s="98"/>
      <c r="M764" s="116"/>
      <c r="N764" s="111"/>
      <c r="O764" s="115"/>
      <c r="P764" s="108"/>
      <c r="Q764" s="98"/>
      <c r="R764" s="116"/>
      <c r="S764" s="83"/>
      <c r="T764" s="83"/>
      <c r="U764" s="83"/>
      <c r="V764" s="83"/>
      <c r="W764" s="83"/>
      <c r="X764" s="83"/>
      <c r="Y764" s="83"/>
      <c r="Z764" s="83"/>
    </row>
    <row r="765" ht="15.75" customHeight="1">
      <c r="A765" s="118"/>
      <c r="B765" s="118"/>
      <c r="C765" s="94"/>
      <c r="D765" s="111"/>
      <c r="E765" s="115"/>
      <c r="F765" s="108"/>
      <c r="G765" s="98"/>
      <c r="H765" s="116"/>
      <c r="I765" s="111"/>
      <c r="J765" s="115"/>
      <c r="K765" s="108"/>
      <c r="L765" s="98"/>
      <c r="M765" s="116"/>
      <c r="N765" s="111"/>
      <c r="O765" s="115"/>
      <c r="P765" s="108"/>
      <c r="Q765" s="98"/>
      <c r="R765" s="116"/>
      <c r="S765" s="83"/>
      <c r="T765" s="83"/>
      <c r="U765" s="83"/>
      <c r="V765" s="83"/>
      <c r="W765" s="83"/>
      <c r="X765" s="83"/>
      <c r="Y765" s="83"/>
      <c r="Z765" s="83"/>
    </row>
    <row r="766" ht="15.75" customHeight="1">
      <c r="A766" s="118"/>
      <c r="B766" s="118"/>
      <c r="C766" s="94"/>
      <c r="D766" s="111"/>
      <c r="E766" s="115"/>
      <c r="F766" s="108"/>
      <c r="G766" s="98"/>
      <c r="H766" s="116"/>
      <c r="I766" s="111"/>
      <c r="J766" s="115"/>
      <c r="K766" s="108"/>
      <c r="L766" s="98"/>
      <c r="M766" s="116"/>
      <c r="N766" s="111"/>
      <c r="O766" s="115"/>
      <c r="P766" s="108"/>
      <c r="Q766" s="98"/>
      <c r="R766" s="116"/>
      <c r="S766" s="83"/>
      <c r="T766" s="83"/>
      <c r="U766" s="83"/>
      <c r="V766" s="83"/>
      <c r="W766" s="83"/>
      <c r="X766" s="83"/>
      <c r="Y766" s="83"/>
      <c r="Z766" s="83"/>
    </row>
    <row r="767" ht="15.75" customHeight="1">
      <c r="A767" s="118"/>
      <c r="B767" s="118"/>
      <c r="C767" s="94"/>
      <c r="D767" s="111"/>
      <c r="E767" s="115"/>
      <c r="F767" s="108"/>
      <c r="G767" s="98"/>
      <c r="H767" s="116"/>
      <c r="I767" s="111"/>
      <c r="J767" s="115"/>
      <c r="K767" s="108"/>
      <c r="L767" s="98"/>
      <c r="M767" s="116"/>
      <c r="N767" s="111"/>
      <c r="O767" s="115"/>
      <c r="P767" s="108"/>
      <c r="Q767" s="98"/>
      <c r="R767" s="116"/>
      <c r="S767" s="83"/>
      <c r="T767" s="83"/>
      <c r="U767" s="83"/>
      <c r="V767" s="83"/>
      <c r="W767" s="83"/>
      <c r="X767" s="83"/>
      <c r="Y767" s="83"/>
      <c r="Z767" s="83"/>
    </row>
    <row r="768" ht="15.75" customHeight="1">
      <c r="A768" s="118"/>
      <c r="B768" s="118"/>
      <c r="C768" s="94"/>
      <c r="D768" s="111"/>
      <c r="E768" s="115"/>
      <c r="F768" s="108"/>
      <c r="G768" s="98"/>
      <c r="H768" s="116"/>
      <c r="I768" s="111"/>
      <c r="J768" s="115"/>
      <c r="K768" s="108"/>
      <c r="L768" s="98"/>
      <c r="M768" s="116"/>
      <c r="N768" s="111"/>
      <c r="O768" s="115"/>
      <c r="P768" s="108"/>
      <c r="Q768" s="98"/>
      <c r="R768" s="116"/>
      <c r="S768" s="83"/>
      <c r="T768" s="83"/>
      <c r="U768" s="83"/>
      <c r="V768" s="83"/>
      <c r="W768" s="83"/>
      <c r="X768" s="83"/>
      <c r="Y768" s="83"/>
      <c r="Z768" s="83"/>
    </row>
    <row r="769" ht="15.75" customHeight="1">
      <c r="A769" s="118"/>
      <c r="B769" s="118"/>
      <c r="C769" s="94"/>
      <c r="D769" s="111"/>
      <c r="E769" s="115"/>
      <c r="F769" s="108"/>
      <c r="G769" s="98"/>
      <c r="H769" s="116"/>
      <c r="I769" s="111"/>
      <c r="J769" s="115"/>
      <c r="K769" s="108"/>
      <c r="L769" s="98"/>
      <c r="M769" s="116"/>
      <c r="N769" s="111"/>
      <c r="O769" s="115"/>
      <c r="P769" s="108"/>
      <c r="Q769" s="98"/>
      <c r="R769" s="116"/>
      <c r="S769" s="83"/>
      <c r="T769" s="83"/>
      <c r="U769" s="83"/>
      <c r="V769" s="83"/>
      <c r="W769" s="83"/>
      <c r="X769" s="83"/>
      <c r="Y769" s="83"/>
      <c r="Z769" s="83"/>
    </row>
    <row r="770" ht="15.75" customHeight="1">
      <c r="A770" s="118"/>
      <c r="B770" s="118"/>
      <c r="C770" s="94"/>
      <c r="D770" s="111"/>
      <c r="E770" s="115"/>
      <c r="F770" s="108"/>
      <c r="G770" s="98"/>
      <c r="H770" s="116"/>
      <c r="I770" s="111"/>
      <c r="J770" s="115"/>
      <c r="K770" s="108"/>
      <c r="L770" s="98"/>
      <c r="M770" s="116"/>
      <c r="N770" s="111"/>
      <c r="O770" s="115"/>
      <c r="P770" s="108"/>
      <c r="Q770" s="98"/>
      <c r="R770" s="116"/>
      <c r="S770" s="83"/>
      <c r="T770" s="83"/>
      <c r="U770" s="83"/>
      <c r="V770" s="83"/>
      <c r="W770" s="83"/>
      <c r="X770" s="83"/>
      <c r="Y770" s="83"/>
      <c r="Z770" s="83"/>
    </row>
    <row r="771" ht="15.75" customHeight="1">
      <c r="A771" s="118"/>
      <c r="B771" s="118"/>
      <c r="C771" s="94"/>
      <c r="D771" s="111"/>
      <c r="E771" s="115"/>
      <c r="F771" s="108"/>
      <c r="G771" s="98"/>
      <c r="H771" s="116"/>
      <c r="I771" s="111"/>
      <c r="J771" s="115"/>
      <c r="K771" s="108"/>
      <c r="L771" s="98"/>
      <c r="M771" s="116"/>
      <c r="N771" s="111"/>
      <c r="O771" s="115"/>
      <c r="P771" s="108"/>
      <c r="Q771" s="98"/>
      <c r="R771" s="116"/>
      <c r="S771" s="83"/>
      <c r="T771" s="83"/>
      <c r="U771" s="83"/>
      <c r="V771" s="83"/>
      <c r="W771" s="83"/>
      <c r="X771" s="83"/>
      <c r="Y771" s="83"/>
      <c r="Z771" s="83"/>
    </row>
    <row r="772" ht="15.75" customHeight="1">
      <c r="A772" s="118"/>
      <c r="B772" s="118"/>
      <c r="C772" s="94"/>
      <c r="D772" s="111"/>
      <c r="E772" s="115"/>
      <c r="F772" s="108"/>
      <c r="G772" s="98"/>
      <c r="H772" s="116"/>
      <c r="I772" s="111"/>
      <c r="J772" s="115"/>
      <c r="K772" s="108"/>
      <c r="L772" s="98"/>
      <c r="M772" s="116"/>
      <c r="N772" s="111"/>
      <c r="O772" s="115"/>
      <c r="P772" s="108"/>
      <c r="Q772" s="98"/>
      <c r="R772" s="116"/>
      <c r="S772" s="83"/>
      <c r="T772" s="83"/>
      <c r="U772" s="83"/>
      <c r="V772" s="83"/>
      <c r="W772" s="83"/>
      <c r="X772" s="83"/>
      <c r="Y772" s="83"/>
      <c r="Z772" s="83"/>
    </row>
    <row r="773" ht="15.75" customHeight="1">
      <c r="A773" s="118"/>
      <c r="B773" s="118"/>
      <c r="C773" s="94"/>
      <c r="D773" s="111"/>
      <c r="E773" s="115"/>
      <c r="F773" s="108"/>
      <c r="G773" s="98"/>
      <c r="H773" s="116"/>
      <c r="I773" s="111"/>
      <c r="J773" s="115"/>
      <c r="K773" s="108"/>
      <c r="L773" s="98"/>
      <c r="M773" s="116"/>
      <c r="N773" s="111"/>
      <c r="O773" s="115"/>
      <c r="P773" s="108"/>
      <c r="Q773" s="98"/>
      <c r="R773" s="116"/>
      <c r="S773" s="83"/>
      <c r="T773" s="83"/>
      <c r="U773" s="83"/>
      <c r="V773" s="83"/>
      <c r="W773" s="83"/>
      <c r="X773" s="83"/>
      <c r="Y773" s="83"/>
      <c r="Z773" s="83"/>
    </row>
    <row r="774" ht="15.75" customHeight="1">
      <c r="A774" s="118"/>
      <c r="B774" s="118"/>
      <c r="C774" s="94"/>
      <c r="D774" s="111"/>
      <c r="E774" s="115"/>
      <c r="F774" s="108"/>
      <c r="G774" s="98"/>
      <c r="H774" s="116"/>
      <c r="I774" s="111"/>
      <c r="J774" s="115"/>
      <c r="K774" s="108"/>
      <c r="L774" s="98"/>
      <c r="M774" s="116"/>
      <c r="N774" s="111"/>
      <c r="O774" s="115"/>
      <c r="P774" s="108"/>
      <c r="Q774" s="98"/>
      <c r="R774" s="116"/>
      <c r="S774" s="83"/>
      <c r="T774" s="83"/>
      <c r="U774" s="83"/>
      <c r="V774" s="83"/>
      <c r="W774" s="83"/>
      <c r="X774" s="83"/>
      <c r="Y774" s="83"/>
      <c r="Z774" s="83"/>
    </row>
    <row r="775" ht="15.75" customHeight="1">
      <c r="A775" s="118"/>
      <c r="B775" s="118"/>
      <c r="C775" s="94"/>
      <c r="D775" s="111"/>
      <c r="E775" s="115"/>
      <c r="F775" s="108"/>
      <c r="G775" s="98"/>
      <c r="H775" s="116"/>
      <c r="I775" s="111"/>
      <c r="J775" s="115"/>
      <c r="K775" s="108"/>
      <c r="L775" s="98"/>
      <c r="M775" s="116"/>
      <c r="N775" s="111"/>
      <c r="O775" s="115"/>
      <c r="P775" s="108"/>
      <c r="Q775" s="98"/>
      <c r="R775" s="116"/>
      <c r="S775" s="83"/>
      <c r="T775" s="83"/>
      <c r="U775" s="83"/>
      <c r="V775" s="83"/>
      <c r="W775" s="83"/>
      <c r="X775" s="83"/>
      <c r="Y775" s="83"/>
      <c r="Z775" s="83"/>
    </row>
    <row r="776" ht="15.75" customHeight="1">
      <c r="A776" s="118"/>
      <c r="B776" s="118"/>
      <c r="C776" s="94"/>
      <c r="D776" s="111"/>
      <c r="E776" s="115"/>
      <c r="F776" s="108"/>
      <c r="G776" s="98"/>
      <c r="H776" s="116"/>
      <c r="I776" s="111"/>
      <c r="J776" s="115"/>
      <c r="K776" s="108"/>
      <c r="L776" s="98"/>
      <c r="M776" s="116"/>
      <c r="N776" s="111"/>
      <c r="O776" s="115"/>
      <c r="P776" s="108"/>
      <c r="Q776" s="98"/>
      <c r="R776" s="116"/>
      <c r="S776" s="83"/>
      <c r="T776" s="83"/>
      <c r="U776" s="83"/>
      <c r="V776" s="83"/>
      <c r="W776" s="83"/>
      <c r="X776" s="83"/>
      <c r="Y776" s="83"/>
      <c r="Z776" s="83"/>
    </row>
    <row r="777" ht="15.75" customHeight="1">
      <c r="A777" s="118"/>
      <c r="B777" s="118"/>
      <c r="C777" s="94"/>
      <c r="D777" s="111"/>
      <c r="E777" s="115"/>
      <c r="F777" s="108"/>
      <c r="G777" s="98"/>
      <c r="H777" s="116"/>
      <c r="I777" s="111"/>
      <c r="J777" s="115"/>
      <c r="K777" s="108"/>
      <c r="L777" s="98"/>
      <c r="M777" s="116"/>
      <c r="N777" s="111"/>
      <c r="O777" s="115"/>
      <c r="P777" s="108"/>
      <c r="Q777" s="98"/>
      <c r="R777" s="116"/>
      <c r="S777" s="83"/>
      <c r="T777" s="83"/>
      <c r="U777" s="83"/>
      <c r="V777" s="83"/>
      <c r="W777" s="83"/>
      <c r="X777" s="83"/>
      <c r="Y777" s="83"/>
      <c r="Z777" s="83"/>
    </row>
    <row r="778" ht="15.75" customHeight="1">
      <c r="A778" s="118"/>
      <c r="B778" s="118"/>
      <c r="C778" s="94"/>
      <c r="D778" s="111"/>
      <c r="E778" s="115"/>
      <c r="F778" s="108"/>
      <c r="G778" s="98"/>
      <c r="H778" s="116"/>
      <c r="I778" s="111"/>
      <c r="J778" s="115"/>
      <c r="K778" s="108"/>
      <c r="L778" s="98"/>
      <c r="M778" s="116"/>
      <c r="N778" s="111"/>
      <c r="O778" s="115"/>
      <c r="P778" s="108"/>
      <c r="Q778" s="98"/>
      <c r="R778" s="116"/>
      <c r="S778" s="83"/>
      <c r="T778" s="83"/>
      <c r="U778" s="83"/>
      <c r="V778" s="83"/>
      <c r="W778" s="83"/>
      <c r="X778" s="83"/>
      <c r="Y778" s="83"/>
      <c r="Z778" s="83"/>
    </row>
    <row r="779" ht="15.75" customHeight="1">
      <c r="A779" s="118"/>
      <c r="B779" s="118"/>
      <c r="C779" s="94"/>
      <c r="D779" s="111"/>
      <c r="E779" s="115"/>
      <c r="F779" s="108"/>
      <c r="G779" s="98"/>
      <c r="H779" s="116"/>
      <c r="I779" s="111"/>
      <c r="J779" s="115"/>
      <c r="K779" s="108"/>
      <c r="L779" s="98"/>
      <c r="M779" s="116"/>
      <c r="N779" s="111"/>
      <c r="O779" s="115"/>
      <c r="P779" s="108"/>
      <c r="Q779" s="98"/>
      <c r="R779" s="116"/>
      <c r="S779" s="83"/>
      <c r="T779" s="83"/>
      <c r="U779" s="83"/>
      <c r="V779" s="83"/>
      <c r="W779" s="83"/>
      <c r="X779" s="83"/>
      <c r="Y779" s="83"/>
      <c r="Z779" s="83"/>
    </row>
    <row r="780" ht="15.75" customHeight="1">
      <c r="A780" s="118"/>
      <c r="B780" s="118"/>
      <c r="C780" s="94"/>
      <c r="D780" s="111"/>
      <c r="E780" s="115"/>
      <c r="F780" s="108"/>
      <c r="G780" s="98"/>
      <c r="H780" s="116"/>
      <c r="I780" s="111"/>
      <c r="J780" s="115"/>
      <c r="K780" s="108"/>
      <c r="L780" s="98"/>
      <c r="M780" s="116"/>
      <c r="N780" s="111"/>
      <c r="O780" s="115"/>
      <c r="P780" s="108"/>
      <c r="Q780" s="98"/>
      <c r="R780" s="116"/>
      <c r="S780" s="83"/>
      <c r="T780" s="83"/>
      <c r="U780" s="83"/>
      <c r="V780" s="83"/>
      <c r="W780" s="83"/>
      <c r="X780" s="83"/>
      <c r="Y780" s="83"/>
      <c r="Z780" s="83"/>
    </row>
    <row r="781" ht="15.75" customHeight="1">
      <c r="A781" s="118"/>
      <c r="B781" s="118"/>
      <c r="C781" s="94"/>
      <c r="D781" s="111"/>
      <c r="E781" s="115"/>
      <c r="F781" s="108"/>
      <c r="G781" s="98"/>
      <c r="H781" s="116"/>
      <c r="I781" s="111"/>
      <c r="J781" s="115"/>
      <c r="K781" s="108"/>
      <c r="L781" s="98"/>
      <c r="M781" s="116"/>
      <c r="N781" s="111"/>
      <c r="O781" s="115"/>
      <c r="P781" s="108"/>
      <c r="Q781" s="98"/>
      <c r="R781" s="116"/>
      <c r="S781" s="83"/>
      <c r="T781" s="83"/>
      <c r="U781" s="83"/>
      <c r="V781" s="83"/>
      <c r="W781" s="83"/>
      <c r="X781" s="83"/>
      <c r="Y781" s="83"/>
      <c r="Z781" s="83"/>
    </row>
    <row r="782" ht="15.75" customHeight="1">
      <c r="A782" s="118"/>
      <c r="B782" s="118"/>
      <c r="C782" s="94"/>
      <c r="D782" s="111"/>
      <c r="E782" s="115"/>
      <c r="F782" s="108"/>
      <c r="G782" s="98"/>
      <c r="H782" s="116"/>
      <c r="I782" s="111"/>
      <c r="J782" s="115"/>
      <c r="K782" s="108"/>
      <c r="L782" s="98"/>
      <c r="M782" s="116"/>
      <c r="N782" s="111"/>
      <c r="O782" s="115"/>
      <c r="P782" s="108"/>
      <c r="Q782" s="98"/>
      <c r="R782" s="116"/>
      <c r="S782" s="83"/>
      <c r="T782" s="83"/>
      <c r="U782" s="83"/>
      <c r="V782" s="83"/>
      <c r="W782" s="83"/>
      <c r="X782" s="83"/>
      <c r="Y782" s="83"/>
      <c r="Z782" s="83"/>
    </row>
    <row r="783" ht="15.75" customHeight="1">
      <c r="A783" s="118"/>
      <c r="B783" s="118"/>
      <c r="C783" s="94"/>
      <c r="D783" s="111"/>
      <c r="E783" s="115"/>
      <c r="F783" s="108"/>
      <c r="G783" s="98"/>
      <c r="H783" s="116"/>
      <c r="I783" s="111"/>
      <c r="J783" s="115"/>
      <c r="K783" s="108"/>
      <c r="L783" s="98"/>
      <c r="M783" s="116"/>
      <c r="N783" s="111"/>
      <c r="O783" s="115"/>
      <c r="P783" s="108"/>
      <c r="Q783" s="98"/>
      <c r="R783" s="116"/>
      <c r="S783" s="83"/>
      <c r="T783" s="83"/>
      <c r="U783" s="83"/>
      <c r="V783" s="83"/>
      <c r="W783" s="83"/>
      <c r="X783" s="83"/>
      <c r="Y783" s="83"/>
      <c r="Z783" s="83"/>
    </row>
    <row r="784" ht="15.75" customHeight="1">
      <c r="A784" s="118"/>
      <c r="B784" s="118"/>
      <c r="C784" s="94"/>
      <c r="D784" s="111"/>
      <c r="E784" s="115"/>
      <c r="F784" s="108"/>
      <c r="G784" s="98"/>
      <c r="H784" s="116"/>
      <c r="I784" s="111"/>
      <c r="J784" s="115"/>
      <c r="K784" s="108"/>
      <c r="L784" s="98"/>
      <c r="M784" s="116"/>
      <c r="N784" s="111"/>
      <c r="O784" s="115"/>
      <c r="P784" s="108"/>
      <c r="Q784" s="98"/>
      <c r="R784" s="116"/>
      <c r="S784" s="83"/>
      <c r="T784" s="83"/>
      <c r="U784" s="83"/>
      <c r="V784" s="83"/>
      <c r="W784" s="83"/>
      <c r="X784" s="83"/>
      <c r="Y784" s="83"/>
      <c r="Z784" s="83"/>
    </row>
    <row r="785" ht="15.75" customHeight="1">
      <c r="A785" s="118"/>
      <c r="B785" s="118"/>
      <c r="C785" s="94"/>
      <c r="D785" s="111"/>
      <c r="E785" s="115"/>
      <c r="F785" s="108"/>
      <c r="G785" s="98"/>
      <c r="H785" s="116"/>
      <c r="I785" s="111"/>
      <c r="J785" s="115"/>
      <c r="K785" s="108"/>
      <c r="L785" s="98"/>
      <c r="M785" s="116"/>
      <c r="N785" s="111"/>
      <c r="O785" s="115"/>
      <c r="P785" s="108"/>
      <c r="Q785" s="98"/>
      <c r="R785" s="116"/>
      <c r="S785" s="83"/>
      <c r="T785" s="83"/>
      <c r="U785" s="83"/>
      <c r="V785" s="83"/>
      <c r="W785" s="83"/>
      <c r="X785" s="83"/>
      <c r="Y785" s="83"/>
      <c r="Z785" s="83"/>
    </row>
    <row r="786" ht="15.75" customHeight="1">
      <c r="A786" s="118"/>
      <c r="B786" s="118"/>
      <c r="C786" s="94"/>
      <c r="D786" s="111"/>
      <c r="E786" s="115"/>
      <c r="F786" s="108"/>
      <c r="G786" s="98"/>
      <c r="H786" s="116"/>
      <c r="I786" s="111"/>
      <c r="J786" s="115"/>
      <c r="K786" s="108"/>
      <c r="L786" s="98"/>
      <c r="M786" s="116"/>
      <c r="N786" s="111"/>
      <c r="O786" s="115"/>
      <c r="P786" s="108"/>
      <c r="Q786" s="98"/>
      <c r="R786" s="116"/>
      <c r="S786" s="83"/>
      <c r="T786" s="83"/>
      <c r="U786" s="83"/>
      <c r="V786" s="83"/>
      <c r="W786" s="83"/>
      <c r="X786" s="83"/>
      <c r="Y786" s="83"/>
      <c r="Z786" s="83"/>
    </row>
    <row r="787" ht="15.75" customHeight="1">
      <c r="A787" s="118"/>
      <c r="B787" s="118"/>
      <c r="C787" s="94"/>
      <c r="D787" s="111"/>
      <c r="E787" s="115"/>
      <c r="F787" s="108"/>
      <c r="G787" s="98"/>
      <c r="H787" s="116"/>
      <c r="I787" s="111"/>
      <c r="J787" s="115"/>
      <c r="K787" s="108"/>
      <c r="L787" s="98"/>
      <c r="M787" s="116"/>
      <c r="N787" s="111"/>
      <c r="O787" s="115"/>
      <c r="P787" s="108"/>
      <c r="Q787" s="98"/>
      <c r="R787" s="116"/>
      <c r="S787" s="83"/>
      <c r="T787" s="83"/>
      <c r="U787" s="83"/>
      <c r="V787" s="83"/>
      <c r="W787" s="83"/>
      <c r="X787" s="83"/>
      <c r="Y787" s="83"/>
      <c r="Z787" s="83"/>
    </row>
    <row r="788" ht="15.75" customHeight="1">
      <c r="A788" s="118"/>
      <c r="B788" s="118"/>
      <c r="C788" s="94"/>
      <c r="D788" s="111"/>
      <c r="E788" s="115"/>
      <c r="F788" s="108"/>
      <c r="G788" s="98"/>
      <c r="H788" s="116"/>
      <c r="I788" s="111"/>
      <c r="J788" s="115"/>
      <c r="K788" s="108"/>
      <c r="L788" s="98"/>
      <c r="M788" s="116"/>
      <c r="N788" s="111"/>
      <c r="O788" s="115"/>
      <c r="P788" s="108"/>
      <c r="Q788" s="98"/>
      <c r="R788" s="116"/>
      <c r="S788" s="83"/>
      <c r="T788" s="83"/>
      <c r="U788" s="83"/>
      <c r="V788" s="83"/>
      <c r="W788" s="83"/>
      <c r="X788" s="83"/>
      <c r="Y788" s="83"/>
      <c r="Z788" s="83"/>
    </row>
    <row r="789" ht="15.75" customHeight="1">
      <c r="A789" s="118"/>
      <c r="B789" s="118"/>
      <c r="C789" s="94"/>
      <c r="D789" s="111"/>
      <c r="E789" s="115"/>
      <c r="F789" s="108"/>
      <c r="G789" s="98"/>
      <c r="H789" s="116"/>
      <c r="I789" s="111"/>
      <c r="J789" s="115"/>
      <c r="K789" s="108"/>
      <c r="L789" s="98"/>
      <c r="M789" s="116"/>
      <c r="N789" s="111"/>
      <c r="O789" s="115"/>
      <c r="P789" s="108"/>
      <c r="Q789" s="98"/>
      <c r="R789" s="116"/>
      <c r="S789" s="83"/>
      <c r="T789" s="83"/>
      <c r="U789" s="83"/>
      <c r="V789" s="83"/>
      <c r="W789" s="83"/>
      <c r="X789" s="83"/>
      <c r="Y789" s="83"/>
      <c r="Z789" s="83"/>
    </row>
    <row r="790" ht="15.75" customHeight="1">
      <c r="A790" s="118"/>
      <c r="B790" s="118"/>
      <c r="C790" s="94"/>
      <c r="D790" s="111"/>
      <c r="E790" s="115"/>
      <c r="F790" s="108"/>
      <c r="G790" s="98"/>
      <c r="H790" s="116"/>
      <c r="I790" s="111"/>
      <c r="J790" s="115"/>
      <c r="K790" s="108"/>
      <c r="L790" s="98"/>
      <c r="M790" s="116"/>
      <c r="N790" s="111"/>
      <c r="O790" s="115"/>
      <c r="P790" s="108"/>
      <c r="Q790" s="98"/>
      <c r="R790" s="116"/>
      <c r="S790" s="83"/>
      <c r="T790" s="83"/>
      <c r="U790" s="83"/>
      <c r="V790" s="83"/>
      <c r="W790" s="83"/>
      <c r="X790" s="83"/>
      <c r="Y790" s="83"/>
      <c r="Z790" s="83"/>
    </row>
    <row r="791" ht="15.75" customHeight="1">
      <c r="A791" s="118"/>
      <c r="B791" s="118"/>
      <c r="C791" s="94"/>
      <c r="D791" s="111"/>
      <c r="E791" s="115"/>
      <c r="F791" s="108"/>
      <c r="G791" s="98"/>
      <c r="H791" s="116"/>
      <c r="I791" s="111"/>
      <c r="J791" s="115"/>
      <c r="K791" s="108"/>
      <c r="L791" s="98"/>
      <c r="M791" s="116"/>
      <c r="N791" s="111"/>
      <c r="O791" s="115"/>
      <c r="P791" s="108"/>
      <c r="Q791" s="98"/>
      <c r="R791" s="116"/>
      <c r="S791" s="83"/>
      <c r="T791" s="83"/>
      <c r="U791" s="83"/>
      <c r="V791" s="83"/>
      <c r="W791" s="83"/>
      <c r="X791" s="83"/>
      <c r="Y791" s="83"/>
      <c r="Z791" s="83"/>
    </row>
    <row r="792" ht="15.75" customHeight="1">
      <c r="A792" s="118"/>
      <c r="B792" s="118"/>
      <c r="C792" s="94"/>
      <c r="D792" s="111"/>
      <c r="E792" s="115"/>
      <c r="F792" s="108"/>
      <c r="G792" s="98"/>
      <c r="H792" s="116"/>
      <c r="I792" s="111"/>
      <c r="J792" s="115"/>
      <c r="K792" s="108"/>
      <c r="L792" s="98"/>
      <c r="M792" s="116"/>
      <c r="N792" s="111"/>
      <c r="O792" s="115"/>
      <c r="P792" s="108"/>
      <c r="Q792" s="98"/>
      <c r="R792" s="116"/>
      <c r="S792" s="83"/>
      <c r="T792" s="83"/>
      <c r="U792" s="83"/>
      <c r="V792" s="83"/>
      <c r="W792" s="83"/>
      <c r="X792" s="83"/>
      <c r="Y792" s="83"/>
      <c r="Z792" s="83"/>
    </row>
    <row r="793" ht="15.75" customHeight="1">
      <c r="A793" s="118"/>
      <c r="B793" s="118"/>
      <c r="C793" s="94"/>
      <c r="D793" s="111"/>
      <c r="E793" s="115"/>
      <c r="F793" s="108"/>
      <c r="G793" s="98"/>
      <c r="H793" s="116"/>
      <c r="I793" s="111"/>
      <c r="J793" s="115"/>
      <c r="K793" s="108"/>
      <c r="L793" s="98"/>
      <c r="M793" s="116"/>
      <c r="N793" s="111"/>
      <c r="O793" s="115"/>
      <c r="P793" s="108"/>
      <c r="Q793" s="98"/>
      <c r="R793" s="116"/>
      <c r="S793" s="83"/>
      <c r="T793" s="83"/>
      <c r="U793" s="83"/>
      <c r="V793" s="83"/>
      <c r="W793" s="83"/>
      <c r="X793" s="83"/>
      <c r="Y793" s="83"/>
      <c r="Z793" s="83"/>
    </row>
    <row r="794" ht="15.75" customHeight="1">
      <c r="A794" s="118"/>
      <c r="B794" s="118"/>
      <c r="C794" s="94"/>
      <c r="D794" s="111"/>
      <c r="E794" s="115"/>
      <c r="F794" s="108"/>
      <c r="G794" s="98"/>
      <c r="H794" s="116"/>
      <c r="I794" s="111"/>
      <c r="J794" s="115"/>
      <c r="K794" s="108"/>
      <c r="L794" s="98"/>
      <c r="M794" s="116"/>
      <c r="N794" s="111"/>
      <c r="O794" s="115"/>
      <c r="P794" s="108"/>
      <c r="Q794" s="98"/>
      <c r="R794" s="116"/>
      <c r="S794" s="83"/>
      <c r="T794" s="83"/>
      <c r="U794" s="83"/>
      <c r="V794" s="83"/>
      <c r="W794" s="83"/>
      <c r="X794" s="83"/>
      <c r="Y794" s="83"/>
      <c r="Z794" s="83"/>
    </row>
    <row r="795" ht="15.75" customHeight="1">
      <c r="A795" s="118"/>
      <c r="B795" s="118"/>
      <c r="C795" s="94"/>
      <c r="D795" s="111"/>
      <c r="E795" s="115"/>
      <c r="F795" s="108"/>
      <c r="G795" s="98"/>
      <c r="H795" s="116"/>
      <c r="I795" s="111"/>
      <c r="J795" s="115"/>
      <c r="K795" s="108"/>
      <c r="L795" s="98"/>
      <c r="M795" s="116"/>
      <c r="N795" s="111"/>
      <c r="O795" s="115"/>
      <c r="P795" s="108"/>
      <c r="Q795" s="98"/>
      <c r="R795" s="116"/>
      <c r="S795" s="83"/>
      <c r="T795" s="83"/>
      <c r="U795" s="83"/>
      <c r="V795" s="83"/>
      <c r="W795" s="83"/>
      <c r="X795" s="83"/>
      <c r="Y795" s="83"/>
      <c r="Z795" s="83"/>
    </row>
    <row r="796" ht="15.75" customHeight="1">
      <c r="A796" s="118"/>
      <c r="B796" s="118"/>
      <c r="C796" s="94"/>
      <c r="D796" s="111"/>
      <c r="E796" s="115"/>
      <c r="F796" s="108"/>
      <c r="G796" s="98"/>
      <c r="H796" s="116"/>
      <c r="I796" s="111"/>
      <c r="J796" s="115"/>
      <c r="K796" s="108"/>
      <c r="L796" s="98"/>
      <c r="M796" s="116"/>
      <c r="N796" s="111"/>
      <c r="O796" s="115"/>
      <c r="P796" s="108"/>
      <c r="Q796" s="98"/>
      <c r="R796" s="116"/>
      <c r="S796" s="83"/>
      <c r="T796" s="83"/>
      <c r="U796" s="83"/>
      <c r="V796" s="83"/>
      <c r="W796" s="83"/>
      <c r="X796" s="83"/>
      <c r="Y796" s="83"/>
      <c r="Z796" s="83"/>
    </row>
    <row r="797" ht="15.75" customHeight="1">
      <c r="A797" s="118"/>
      <c r="B797" s="118"/>
      <c r="C797" s="94"/>
      <c r="D797" s="111"/>
      <c r="E797" s="115"/>
      <c r="F797" s="108"/>
      <c r="G797" s="98"/>
      <c r="H797" s="116"/>
      <c r="I797" s="111"/>
      <c r="J797" s="115"/>
      <c r="K797" s="108"/>
      <c r="L797" s="98"/>
      <c r="M797" s="116"/>
      <c r="N797" s="111"/>
      <c r="O797" s="115"/>
      <c r="P797" s="108"/>
      <c r="Q797" s="98"/>
      <c r="R797" s="116"/>
      <c r="S797" s="83"/>
      <c r="T797" s="83"/>
      <c r="U797" s="83"/>
      <c r="V797" s="83"/>
      <c r="W797" s="83"/>
      <c r="X797" s="83"/>
      <c r="Y797" s="83"/>
      <c r="Z797" s="83"/>
    </row>
    <row r="798" ht="15.75" customHeight="1">
      <c r="A798" s="118"/>
      <c r="B798" s="118"/>
      <c r="C798" s="94"/>
      <c r="D798" s="111"/>
      <c r="E798" s="115"/>
      <c r="F798" s="108"/>
      <c r="G798" s="98"/>
      <c r="H798" s="116"/>
      <c r="I798" s="111"/>
      <c r="J798" s="115"/>
      <c r="K798" s="108"/>
      <c r="L798" s="98"/>
      <c r="M798" s="116"/>
      <c r="N798" s="111"/>
      <c r="O798" s="115"/>
      <c r="P798" s="108"/>
      <c r="Q798" s="98"/>
      <c r="R798" s="116"/>
      <c r="S798" s="83"/>
      <c r="T798" s="83"/>
      <c r="U798" s="83"/>
      <c r="V798" s="83"/>
      <c r="W798" s="83"/>
      <c r="X798" s="83"/>
      <c r="Y798" s="83"/>
      <c r="Z798" s="83"/>
    </row>
    <row r="799" ht="15.75" customHeight="1">
      <c r="A799" s="118"/>
      <c r="B799" s="118"/>
      <c r="C799" s="94"/>
      <c r="D799" s="111"/>
      <c r="E799" s="115"/>
      <c r="F799" s="108"/>
      <c r="G799" s="98"/>
      <c r="H799" s="116"/>
      <c r="I799" s="111"/>
      <c r="J799" s="115"/>
      <c r="K799" s="108"/>
      <c r="L799" s="98"/>
      <c r="M799" s="116"/>
      <c r="N799" s="111"/>
      <c r="O799" s="115"/>
      <c r="P799" s="108"/>
      <c r="Q799" s="98"/>
      <c r="R799" s="116"/>
      <c r="S799" s="83"/>
      <c r="T799" s="83"/>
      <c r="U799" s="83"/>
      <c r="V799" s="83"/>
      <c r="W799" s="83"/>
      <c r="X799" s="83"/>
      <c r="Y799" s="83"/>
      <c r="Z799" s="83"/>
    </row>
    <row r="800" ht="15.75" customHeight="1">
      <c r="A800" s="118"/>
      <c r="B800" s="118"/>
      <c r="C800" s="94"/>
      <c r="D800" s="111"/>
      <c r="E800" s="115"/>
      <c r="F800" s="108"/>
      <c r="G800" s="98"/>
      <c r="H800" s="116"/>
      <c r="I800" s="111"/>
      <c r="J800" s="115"/>
      <c r="K800" s="108"/>
      <c r="L800" s="98"/>
      <c r="M800" s="116"/>
      <c r="N800" s="111"/>
      <c r="O800" s="115"/>
      <c r="P800" s="108"/>
      <c r="Q800" s="98"/>
      <c r="R800" s="116"/>
      <c r="S800" s="83"/>
      <c r="T800" s="83"/>
      <c r="U800" s="83"/>
      <c r="V800" s="83"/>
      <c r="W800" s="83"/>
      <c r="X800" s="83"/>
      <c r="Y800" s="83"/>
      <c r="Z800" s="83"/>
    </row>
    <row r="801" ht="15.75" customHeight="1">
      <c r="A801" s="118"/>
      <c r="B801" s="118"/>
      <c r="C801" s="94"/>
      <c r="D801" s="111"/>
      <c r="E801" s="115"/>
      <c r="F801" s="108"/>
      <c r="G801" s="98"/>
      <c r="H801" s="116"/>
      <c r="I801" s="111"/>
      <c r="J801" s="115"/>
      <c r="K801" s="108"/>
      <c r="L801" s="98"/>
      <c r="M801" s="116"/>
      <c r="N801" s="111"/>
      <c r="O801" s="115"/>
      <c r="P801" s="108"/>
      <c r="Q801" s="98"/>
      <c r="R801" s="116"/>
      <c r="S801" s="83"/>
      <c r="T801" s="83"/>
      <c r="U801" s="83"/>
      <c r="V801" s="83"/>
      <c r="W801" s="83"/>
      <c r="X801" s="83"/>
      <c r="Y801" s="83"/>
      <c r="Z801" s="83"/>
    </row>
    <row r="802" ht="15.75" customHeight="1">
      <c r="A802" s="118"/>
      <c r="B802" s="118"/>
      <c r="C802" s="94"/>
      <c r="D802" s="111"/>
      <c r="E802" s="115"/>
      <c r="F802" s="108"/>
      <c r="G802" s="98"/>
      <c r="H802" s="116"/>
      <c r="I802" s="111"/>
      <c r="J802" s="115"/>
      <c r="K802" s="108"/>
      <c r="L802" s="98"/>
      <c r="M802" s="116"/>
      <c r="N802" s="111"/>
      <c r="O802" s="115"/>
      <c r="P802" s="108"/>
      <c r="Q802" s="98"/>
      <c r="R802" s="116"/>
      <c r="S802" s="83"/>
      <c r="T802" s="83"/>
      <c r="U802" s="83"/>
      <c r="V802" s="83"/>
      <c r="W802" s="83"/>
      <c r="X802" s="83"/>
      <c r="Y802" s="83"/>
      <c r="Z802" s="83"/>
    </row>
    <row r="803" ht="15.75" customHeight="1">
      <c r="A803" s="118"/>
      <c r="B803" s="118"/>
      <c r="C803" s="94"/>
      <c r="D803" s="111"/>
      <c r="E803" s="115"/>
      <c r="F803" s="108"/>
      <c r="G803" s="98"/>
      <c r="H803" s="116"/>
      <c r="I803" s="111"/>
      <c r="J803" s="115"/>
      <c r="K803" s="108"/>
      <c r="L803" s="98"/>
      <c r="M803" s="116"/>
      <c r="N803" s="111"/>
      <c r="O803" s="115"/>
      <c r="P803" s="108"/>
      <c r="Q803" s="98"/>
      <c r="R803" s="116"/>
      <c r="S803" s="83"/>
      <c r="T803" s="83"/>
      <c r="U803" s="83"/>
      <c r="V803" s="83"/>
      <c r="W803" s="83"/>
      <c r="X803" s="83"/>
      <c r="Y803" s="83"/>
      <c r="Z803" s="83"/>
    </row>
    <row r="804" ht="15.75" customHeight="1">
      <c r="A804" s="118"/>
      <c r="B804" s="118"/>
      <c r="C804" s="94"/>
      <c r="D804" s="111"/>
      <c r="E804" s="115"/>
      <c r="F804" s="108"/>
      <c r="G804" s="98"/>
      <c r="H804" s="116"/>
      <c r="I804" s="111"/>
      <c r="J804" s="115"/>
      <c r="K804" s="108"/>
      <c r="L804" s="98"/>
      <c r="M804" s="116"/>
      <c r="N804" s="111"/>
      <c r="O804" s="115"/>
      <c r="P804" s="108"/>
      <c r="Q804" s="98"/>
      <c r="R804" s="116"/>
      <c r="S804" s="83"/>
      <c r="T804" s="83"/>
      <c r="U804" s="83"/>
      <c r="V804" s="83"/>
      <c r="W804" s="83"/>
      <c r="X804" s="83"/>
      <c r="Y804" s="83"/>
      <c r="Z804" s="83"/>
    </row>
    <row r="805" ht="15.75" customHeight="1">
      <c r="A805" s="118"/>
      <c r="B805" s="118"/>
      <c r="C805" s="94"/>
      <c r="D805" s="111"/>
      <c r="E805" s="115"/>
      <c r="F805" s="108"/>
      <c r="G805" s="98"/>
      <c r="H805" s="116"/>
      <c r="I805" s="111"/>
      <c r="J805" s="115"/>
      <c r="K805" s="108"/>
      <c r="L805" s="98"/>
      <c r="M805" s="116"/>
      <c r="N805" s="111"/>
      <c r="O805" s="115"/>
      <c r="P805" s="108"/>
      <c r="Q805" s="98"/>
      <c r="R805" s="116"/>
      <c r="S805" s="83"/>
      <c r="T805" s="83"/>
      <c r="U805" s="83"/>
      <c r="V805" s="83"/>
      <c r="W805" s="83"/>
      <c r="X805" s="83"/>
      <c r="Y805" s="83"/>
      <c r="Z805" s="83"/>
    </row>
    <row r="806" ht="15.75" customHeight="1">
      <c r="A806" s="118"/>
      <c r="B806" s="118"/>
      <c r="C806" s="94"/>
      <c r="D806" s="111"/>
      <c r="E806" s="115"/>
      <c r="F806" s="108"/>
      <c r="G806" s="98"/>
      <c r="H806" s="116"/>
      <c r="I806" s="111"/>
      <c r="J806" s="115"/>
      <c r="K806" s="108"/>
      <c r="L806" s="98"/>
      <c r="M806" s="116"/>
      <c r="N806" s="111"/>
      <c r="O806" s="115"/>
      <c r="P806" s="108"/>
      <c r="Q806" s="98"/>
      <c r="R806" s="116"/>
      <c r="S806" s="83"/>
      <c r="T806" s="83"/>
      <c r="U806" s="83"/>
      <c r="V806" s="83"/>
      <c r="W806" s="83"/>
      <c r="X806" s="83"/>
      <c r="Y806" s="83"/>
      <c r="Z806" s="83"/>
    </row>
    <row r="807" ht="15.75" customHeight="1">
      <c r="A807" s="118"/>
      <c r="B807" s="118"/>
      <c r="C807" s="94"/>
      <c r="D807" s="111"/>
      <c r="E807" s="115"/>
      <c r="F807" s="108"/>
      <c r="G807" s="98"/>
      <c r="H807" s="116"/>
      <c r="I807" s="111"/>
      <c r="J807" s="115"/>
      <c r="K807" s="108"/>
      <c r="L807" s="98"/>
      <c r="M807" s="116"/>
      <c r="N807" s="111"/>
      <c r="O807" s="115"/>
      <c r="P807" s="108"/>
      <c r="Q807" s="98"/>
      <c r="R807" s="116"/>
      <c r="S807" s="83"/>
      <c r="T807" s="83"/>
      <c r="U807" s="83"/>
      <c r="V807" s="83"/>
      <c r="W807" s="83"/>
      <c r="X807" s="83"/>
      <c r="Y807" s="83"/>
      <c r="Z807" s="83"/>
    </row>
    <row r="808" ht="15.75" customHeight="1">
      <c r="A808" s="118"/>
      <c r="B808" s="118"/>
      <c r="C808" s="94"/>
      <c r="D808" s="111"/>
      <c r="E808" s="115"/>
      <c r="F808" s="108"/>
      <c r="G808" s="98"/>
      <c r="H808" s="116"/>
      <c r="I808" s="111"/>
      <c r="J808" s="115"/>
      <c r="K808" s="108"/>
      <c r="L808" s="98"/>
      <c r="M808" s="116"/>
      <c r="N808" s="111"/>
      <c r="O808" s="115"/>
      <c r="P808" s="108"/>
      <c r="Q808" s="98"/>
      <c r="R808" s="116"/>
      <c r="S808" s="83"/>
      <c r="T808" s="83"/>
      <c r="U808" s="83"/>
      <c r="V808" s="83"/>
      <c r="W808" s="83"/>
      <c r="X808" s="83"/>
      <c r="Y808" s="83"/>
      <c r="Z808" s="83"/>
    </row>
    <row r="809" ht="15.75" customHeight="1">
      <c r="A809" s="118"/>
      <c r="B809" s="118"/>
      <c r="C809" s="94"/>
      <c r="D809" s="111"/>
      <c r="E809" s="115"/>
      <c r="F809" s="108"/>
      <c r="G809" s="98"/>
      <c r="H809" s="116"/>
      <c r="I809" s="111"/>
      <c r="J809" s="115"/>
      <c r="K809" s="108"/>
      <c r="L809" s="98"/>
      <c r="M809" s="116"/>
      <c r="N809" s="111"/>
      <c r="O809" s="115"/>
      <c r="P809" s="108"/>
      <c r="Q809" s="98"/>
      <c r="R809" s="116"/>
      <c r="S809" s="83"/>
      <c r="T809" s="83"/>
      <c r="U809" s="83"/>
      <c r="V809" s="83"/>
      <c r="W809" s="83"/>
      <c r="X809" s="83"/>
      <c r="Y809" s="83"/>
      <c r="Z809" s="83"/>
    </row>
    <row r="810" ht="15.75" customHeight="1">
      <c r="A810" s="118"/>
      <c r="B810" s="118"/>
      <c r="C810" s="94"/>
      <c r="D810" s="111"/>
      <c r="E810" s="115"/>
      <c r="F810" s="108"/>
      <c r="G810" s="98"/>
      <c r="H810" s="116"/>
      <c r="I810" s="111"/>
      <c r="J810" s="115"/>
      <c r="K810" s="108"/>
      <c r="L810" s="98"/>
      <c r="M810" s="116"/>
      <c r="N810" s="111"/>
      <c r="O810" s="115"/>
      <c r="P810" s="108"/>
      <c r="Q810" s="98"/>
      <c r="R810" s="116"/>
      <c r="S810" s="83"/>
      <c r="T810" s="83"/>
      <c r="U810" s="83"/>
      <c r="V810" s="83"/>
      <c r="W810" s="83"/>
      <c r="X810" s="83"/>
      <c r="Y810" s="83"/>
      <c r="Z810" s="83"/>
    </row>
    <row r="811" ht="15.75" customHeight="1">
      <c r="A811" s="118"/>
      <c r="B811" s="118"/>
      <c r="C811" s="94"/>
      <c r="D811" s="111"/>
      <c r="E811" s="115"/>
      <c r="F811" s="108"/>
      <c r="G811" s="98"/>
      <c r="H811" s="116"/>
      <c r="I811" s="111"/>
      <c r="J811" s="115"/>
      <c r="K811" s="108"/>
      <c r="L811" s="98"/>
      <c r="M811" s="116"/>
      <c r="N811" s="111"/>
      <c r="O811" s="115"/>
      <c r="P811" s="108"/>
      <c r="Q811" s="98"/>
      <c r="R811" s="116"/>
      <c r="S811" s="83"/>
      <c r="T811" s="83"/>
      <c r="U811" s="83"/>
      <c r="V811" s="83"/>
      <c r="W811" s="83"/>
      <c r="X811" s="83"/>
      <c r="Y811" s="83"/>
      <c r="Z811" s="83"/>
    </row>
    <row r="812" ht="15.75" customHeight="1">
      <c r="A812" s="118"/>
      <c r="B812" s="118"/>
      <c r="C812" s="94"/>
      <c r="D812" s="111"/>
      <c r="E812" s="115"/>
      <c r="F812" s="108"/>
      <c r="G812" s="98"/>
      <c r="H812" s="116"/>
      <c r="I812" s="111"/>
      <c r="J812" s="115"/>
      <c r="K812" s="108"/>
      <c r="L812" s="98"/>
      <c r="M812" s="116"/>
      <c r="N812" s="111"/>
      <c r="O812" s="115"/>
      <c r="P812" s="108"/>
      <c r="Q812" s="98"/>
      <c r="R812" s="116"/>
      <c r="S812" s="83"/>
      <c r="T812" s="83"/>
      <c r="U812" s="83"/>
      <c r="V812" s="83"/>
      <c r="W812" s="83"/>
      <c r="X812" s="83"/>
      <c r="Y812" s="83"/>
      <c r="Z812" s="83"/>
    </row>
    <row r="813" ht="15.75" customHeight="1">
      <c r="A813" s="118"/>
      <c r="B813" s="118"/>
      <c r="C813" s="94"/>
      <c r="D813" s="111"/>
      <c r="E813" s="115"/>
      <c r="F813" s="108"/>
      <c r="G813" s="98"/>
      <c r="H813" s="116"/>
      <c r="I813" s="111"/>
      <c r="J813" s="115"/>
      <c r="K813" s="108"/>
      <c r="L813" s="98"/>
      <c r="M813" s="116"/>
      <c r="N813" s="111"/>
      <c r="O813" s="115"/>
      <c r="P813" s="108"/>
      <c r="Q813" s="98"/>
      <c r="R813" s="116"/>
      <c r="S813" s="83"/>
      <c r="T813" s="83"/>
      <c r="U813" s="83"/>
      <c r="V813" s="83"/>
      <c r="W813" s="83"/>
      <c r="X813" s="83"/>
      <c r="Y813" s="83"/>
      <c r="Z813" s="83"/>
    </row>
    <row r="814" ht="15.75" customHeight="1">
      <c r="A814" s="118"/>
      <c r="B814" s="118"/>
      <c r="C814" s="94"/>
      <c r="D814" s="111"/>
      <c r="E814" s="115"/>
      <c r="F814" s="108"/>
      <c r="G814" s="98"/>
      <c r="H814" s="116"/>
      <c r="I814" s="111"/>
      <c r="J814" s="115"/>
      <c r="K814" s="108"/>
      <c r="L814" s="98"/>
      <c r="M814" s="116"/>
      <c r="N814" s="111"/>
      <c r="O814" s="115"/>
      <c r="P814" s="108"/>
      <c r="Q814" s="98"/>
      <c r="R814" s="116"/>
      <c r="S814" s="83"/>
      <c r="T814" s="83"/>
      <c r="U814" s="83"/>
      <c r="V814" s="83"/>
      <c r="W814" s="83"/>
      <c r="X814" s="83"/>
      <c r="Y814" s="83"/>
      <c r="Z814" s="83"/>
    </row>
    <row r="815" ht="15.75" customHeight="1">
      <c r="A815" s="118"/>
      <c r="B815" s="118"/>
      <c r="C815" s="94"/>
      <c r="D815" s="111"/>
      <c r="E815" s="115"/>
      <c r="F815" s="108"/>
      <c r="G815" s="98"/>
      <c r="H815" s="116"/>
      <c r="I815" s="111"/>
      <c r="J815" s="115"/>
      <c r="K815" s="108"/>
      <c r="L815" s="98"/>
      <c r="M815" s="116"/>
      <c r="N815" s="111"/>
      <c r="O815" s="115"/>
      <c r="P815" s="108"/>
      <c r="Q815" s="98"/>
      <c r="R815" s="116"/>
      <c r="S815" s="83"/>
      <c r="T815" s="83"/>
      <c r="U815" s="83"/>
      <c r="V815" s="83"/>
      <c r="W815" s="83"/>
      <c r="X815" s="83"/>
      <c r="Y815" s="83"/>
      <c r="Z815" s="83"/>
    </row>
    <row r="816" ht="15.75" customHeight="1">
      <c r="A816" s="118"/>
      <c r="B816" s="118"/>
      <c r="C816" s="94"/>
      <c r="D816" s="111"/>
      <c r="E816" s="115"/>
      <c r="F816" s="108"/>
      <c r="G816" s="98"/>
      <c r="H816" s="116"/>
      <c r="I816" s="111"/>
      <c r="J816" s="115"/>
      <c r="K816" s="108"/>
      <c r="L816" s="98"/>
      <c r="M816" s="116"/>
      <c r="N816" s="111"/>
      <c r="O816" s="115"/>
      <c r="P816" s="108"/>
      <c r="Q816" s="98"/>
      <c r="R816" s="116"/>
      <c r="S816" s="83"/>
      <c r="T816" s="83"/>
      <c r="U816" s="83"/>
      <c r="V816" s="83"/>
      <c r="W816" s="83"/>
      <c r="X816" s="83"/>
      <c r="Y816" s="83"/>
      <c r="Z816" s="83"/>
    </row>
    <row r="817" ht="15.75" customHeight="1">
      <c r="A817" s="118"/>
      <c r="B817" s="118"/>
      <c r="C817" s="94"/>
      <c r="D817" s="111"/>
      <c r="E817" s="115"/>
      <c r="F817" s="108"/>
      <c r="G817" s="98"/>
      <c r="H817" s="116"/>
      <c r="I817" s="111"/>
      <c r="J817" s="115"/>
      <c r="K817" s="108"/>
      <c r="L817" s="98"/>
      <c r="M817" s="116"/>
      <c r="N817" s="111"/>
      <c r="O817" s="115"/>
      <c r="P817" s="108"/>
      <c r="Q817" s="98"/>
      <c r="R817" s="116"/>
      <c r="S817" s="83"/>
      <c r="T817" s="83"/>
      <c r="U817" s="83"/>
      <c r="V817" s="83"/>
      <c r="W817" s="83"/>
      <c r="X817" s="83"/>
      <c r="Y817" s="83"/>
      <c r="Z817" s="83"/>
    </row>
    <row r="818" ht="15.75" customHeight="1">
      <c r="A818" s="118"/>
      <c r="B818" s="118"/>
      <c r="C818" s="94"/>
      <c r="D818" s="111"/>
      <c r="E818" s="115"/>
      <c r="F818" s="108"/>
      <c r="G818" s="98"/>
      <c r="H818" s="116"/>
      <c r="I818" s="111"/>
      <c r="J818" s="115"/>
      <c r="K818" s="108"/>
      <c r="L818" s="98"/>
      <c r="M818" s="116"/>
      <c r="N818" s="111"/>
      <c r="O818" s="115"/>
      <c r="P818" s="108"/>
      <c r="Q818" s="98"/>
      <c r="R818" s="116"/>
      <c r="S818" s="83"/>
      <c r="T818" s="83"/>
      <c r="U818" s="83"/>
      <c r="V818" s="83"/>
      <c r="W818" s="83"/>
      <c r="X818" s="83"/>
      <c r="Y818" s="83"/>
      <c r="Z818" s="83"/>
    </row>
    <row r="819" ht="15.75" customHeight="1">
      <c r="A819" s="118"/>
      <c r="B819" s="118"/>
      <c r="C819" s="94"/>
      <c r="D819" s="111"/>
      <c r="E819" s="115"/>
      <c r="F819" s="108"/>
      <c r="G819" s="98"/>
      <c r="H819" s="116"/>
      <c r="I819" s="111"/>
      <c r="J819" s="115"/>
      <c r="K819" s="108"/>
      <c r="L819" s="98"/>
      <c r="M819" s="116"/>
      <c r="N819" s="111"/>
      <c r="O819" s="115"/>
      <c r="P819" s="108"/>
      <c r="Q819" s="98"/>
      <c r="R819" s="116"/>
      <c r="S819" s="83"/>
      <c r="T819" s="83"/>
      <c r="U819" s="83"/>
      <c r="V819" s="83"/>
      <c r="W819" s="83"/>
      <c r="X819" s="83"/>
      <c r="Y819" s="83"/>
      <c r="Z819" s="83"/>
    </row>
    <row r="820" ht="15.75" customHeight="1">
      <c r="A820" s="118"/>
      <c r="B820" s="118"/>
      <c r="C820" s="94"/>
      <c r="D820" s="111"/>
      <c r="E820" s="115"/>
      <c r="F820" s="108"/>
      <c r="G820" s="98"/>
      <c r="H820" s="116"/>
      <c r="I820" s="111"/>
      <c r="J820" s="115"/>
      <c r="K820" s="108"/>
      <c r="L820" s="98"/>
      <c r="M820" s="116"/>
      <c r="N820" s="111"/>
      <c r="O820" s="115"/>
      <c r="P820" s="108"/>
      <c r="Q820" s="98"/>
      <c r="R820" s="116"/>
      <c r="S820" s="83"/>
      <c r="T820" s="83"/>
      <c r="U820" s="83"/>
      <c r="V820" s="83"/>
      <c r="W820" s="83"/>
      <c r="X820" s="83"/>
      <c r="Y820" s="83"/>
      <c r="Z820" s="83"/>
    </row>
    <row r="821" ht="15.75" customHeight="1">
      <c r="A821" s="118"/>
      <c r="B821" s="118"/>
      <c r="C821" s="94"/>
      <c r="D821" s="111"/>
      <c r="E821" s="115"/>
      <c r="F821" s="108"/>
      <c r="G821" s="98"/>
      <c r="H821" s="116"/>
      <c r="I821" s="111"/>
      <c r="J821" s="115"/>
      <c r="K821" s="108"/>
      <c r="L821" s="98"/>
      <c r="M821" s="116"/>
      <c r="N821" s="111"/>
      <c r="O821" s="115"/>
      <c r="P821" s="108"/>
      <c r="Q821" s="98"/>
      <c r="R821" s="116"/>
      <c r="S821" s="83"/>
      <c r="T821" s="83"/>
      <c r="U821" s="83"/>
      <c r="V821" s="83"/>
      <c r="W821" s="83"/>
      <c r="X821" s="83"/>
      <c r="Y821" s="83"/>
      <c r="Z821" s="83"/>
    </row>
    <row r="822" ht="15.75" customHeight="1">
      <c r="A822" s="118"/>
      <c r="B822" s="118"/>
      <c r="C822" s="94"/>
      <c r="D822" s="111"/>
      <c r="E822" s="115"/>
      <c r="F822" s="108"/>
      <c r="G822" s="98"/>
      <c r="H822" s="116"/>
      <c r="I822" s="111"/>
      <c r="J822" s="115"/>
      <c r="K822" s="108"/>
      <c r="L822" s="98"/>
      <c r="M822" s="116"/>
      <c r="N822" s="111"/>
      <c r="O822" s="115"/>
      <c r="P822" s="108"/>
      <c r="Q822" s="98"/>
      <c r="R822" s="116"/>
      <c r="S822" s="83"/>
      <c r="T822" s="83"/>
      <c r="U822" s="83"/>
      <c r="V822" s="83"/>
      <c r="W822" s="83"/>
      <c r="X822" s="83"/>
      <c r="Y822" s="83"/>
      <c r="Z822" s="83"/>
    </row>
    <row r="823" ht="15.75" customHeight="1">
      <c r="A823" s="118"/>
      <c r="B823" s="118"/>
      <c r="C823" s="94"/>
      <c r="D823" s="111"/>
      <c r="E823" s="115"/>
      <c r="F823" s="108"/>
      <c r="G823" s="98"/>
      <c r="H823" s="116"/>
      <c r="I823" s="111"/>
      <c r="J823" s="115"/>
      <c r="K823" s="108"/>
      <c r="L823" s="98"/>
      <c r="M823" s="116"/>
      <c r="N823" s="111"/>
      <c r="O823" s="115"/>
      <c r="P823" s="108"/>
      <c r="Q823" s="98"/>
      <c r="R823" s="116"/>
      <c r="S823" s="83"/>
      <c r="T823" s="83"/>
      <c r="U823" s="83"/>
      <c r="V823" s="83"/>
      <c r="W823" s="83"/>
      <c r="X823" s="83"/>
      <c r="Y823" s="83"/>
      <c r="Z823" s="83"/>
    </row>
    <row r="824" ht="15.75" customHeight="1">
      <c r="A824" s="118"/>
      <c r="B824" s="118"/>
      <c r="C824" s="94"/>
      <c r="D824" s="111"/>
      <c r="E824" s="115"/>
      <c r="F824" s="108"/>
      <c r="G824" s="98"/>
      <c r="H824" s="116"/>
      <c r="I824" s="111"/>
      <c r="J824" s="115"/>
      <c r="K824" s="108"/>
      <c r="L824" s="98"/>
      <c r="M824" s="116"/>
      <c r="N824" s="111"/>
      <c r="O824" s="115"/>
      <c r="P824" s="108"/>
      <c r="Q824" s="98"/>
      <c r="R824" s="116"/>
      <c r="S824" s="83"/>
      <c r="T824" s="83"/>
      <c r="U824" s="83"/>
      <c r="V824" s="83"/>
      <c r="W824" s="83"/>
      <c r="X824" s="83"/>
      <c r="Y824" s="83"/>
      <c r="Z824" s="83"/>
    </row>
    <row r="825" ht="15.75" customHeight="1">
      <c r="A825" s="118"/>
      <c r="B825" s="118"/>
      <c r="C825" s="94"/>
      <c r="D825" s="111"/>
      <c r="E825" s="115"/>
      <c r="F825" s="108"/>
      <c r="G825" s="98"/>
      <c r="H825" s="116"/>
      <c r="I825" s="111"/>
      <c r="J825" s="115"/>
      <c r="K825" s="108"/>
      <c r="L825" s="98"/>
      <c r="M825" s="116"/>
      <c r="N825" s="111"/>
      <c r="O825" s="115"/>
      <c r="P825" s="108"/>
      <c r="Q825" s="98"/>
      <c r="R825" s="116"/>
      <c r="S825" s="83"/>
      <c r="T825" s="83"/>
      <c r="U825" s="83"/>
      <c r="V825" s="83"/>
      <c r="W825" s="83"/>
      <c r="X825" s="83"/>
      <c r="Y825" s="83"/>
      <c r="Z825" s="83"/>
    </row>
    <row r="826" ht="15.75" customHeight="1">
      <c r="A826" s="118"/>
      <c r="B826" s="118"/>
      <c r="C826" s="94"/>
      <c r="D826" s="111"/>
      <c r="E826" s="115"/>
      <c r="F826" s="108"/>
      <c r="G826" s="98"/>
      <c r="H826" s="116"/>
      <c r="I826" s="111"/>
      <c r="J826" s="115"/>
      <c r="K826" s="108"/>
      <c r="L826" s="98"/>
      <c r="M826" s="116"/>
      <c r="N826" s="111"/>
      <c r="O826" s="115"/>
      <c r="P826" s="108"/>
      <c r="Q826" s="98"/>
      <c r="R826" s="116"/>
      <c r="S826" s="83"/>
      <c r="T826" s="83"/>
      <c r="U826" s="83"/>
      <c r="V826" s="83"/>
      <c r="W826" s="83"/>
      <c r="X826" s="83"/>
      <c r="Y826" s="83"/>
      <c r="Z826" s="83"/>
    </row>
    <row r="827" ht="15.75" customHeight="1">
      <c r="A827" s="118"/>
      <c r="B827" s="118"/>
      <c r="C827" s="94"/>
      <c r="D827" s="111"/>
      <c r="E827" s="115"/>
      <c r="F827" s="108"/>
      <c r="G827" s="98"/>
      <c r="H827" s="116"/>
      <c r="I827" s="111"/>
      <c r="J827" s="115"/>
      <c r="K827" s="108"/>
      <c r="L827" s="98"/>
      <c r="M827" s="116"/>
      <c r="N827" s="111"/>
      <c r="O827" s="115"/>
      <c r="P827" s="108"/>
      <c r="Q827" s="98"/>
      <c r="R827" s="116"/>
      <c r="S827" s="83"/>
      <c r="T827" s="83"/>
      <c r="U827" s="83"/>
      <c r="V827" s="83"/>
      <c r="W827" s="83"/>
      <c r="X827" s="83"/>
      <c r="Y827" s="83"/>
      <c r="Z827" s="83"/>
    </row>
    <row r="828" ht="15.75" customHeight="1">
      <c r="A828" s="118"/>
      <c r="B828" s="118"/>
      <c r="C828" s="94"/>
      <c r="D828" s="111"/>
      <c r="E828" s="115"/>
      <c r="F828" s="108"/>
      <c r="G828" s="98"/>
      <c r="H828" s="116"/>
      <c r="I828" s="111"/>
      <c r="J828" s="115"/>
      <c r="K828" s="108"/>
      <c r="L828" s="98"/>
      <c r="M828" s="116"/>
      <c r="N828" s="111"/>
      <c r="O828" s="115"/>
      <c r="P828" s="108"/>
      <c r="Q828" s="98"/>
      <c r="R828" s="116"/>
      <c r="S828" s="83"/>
      <c r="T828" s="83"/>
      <c r="U828" s="83"/>
      <c r="V828" s="83"/>
      <c r="W828" s="83"/>
      <c r="X828" s="83"/>
      <c r="Y828" s="83"/>
      <c r="Z828" s="83"/>
    </row>
    <row r="829" ht="15.75" customHeight="1">
      <c r="A829" s="118"/>
      <c r="B829" s="118"/>
      <c r="C829" s="94"/>
      <c r="D829" s="111"/>
      <c r="E829" s="115"/>
      <c r="F829" s="108"/>
      <c r="G829" s="98"/>
      <c r="H829" s="116"/>
      <c r="I829" s="111"/>
      <c r="J829" s="115"/>
      <c r="K829" s="108"/>
      <c r="L829" s="98"/>
      <c r="M829" s="116"/>
      <c r="N829" s="111"/>
      <c r="O829" s="115"/>
      <c r="P829" s="108"/>
      <c r="Q829" s="98"/>
      <c r="R829" s="116"/>
      <c r="S829" s="83"/>
      <c r="T829" s="83"/>
      <c r="U829" s="83"/>
      <c r="V829" s="83"/>
      <c r="W829" s="83"/>
      <c r="X829" s="83"/>
      <c r="Y829" s="83"/>
      <c r="Z829" s="83"/>
    </row>
    <row r="830" ht="15.75" customHeight="1">
      <c r="A830" s="118"/>
      <c r="B830" s="118"/>
      <c r="C830" s="94"/>
      <c r="D830" s="111"/>
      <c r="E830" s="115"/>
      <c r="F830" s="108"/>
      <c r="G830" s="98"/>
      <c r="H830" s="116"/>
      <c r="I830" s="111"/>
      <c r="J830" s="115"/>
      <c r="K830" s="108"/>
      <c r="L830" s="98"/>
      <c r="M830" s="116"/>
      <c r="N830" s="111"/>
      <c r="O830" s="115"/>
      <c r="P830" s="108"/>
      <c r="Q830" s="98"/>
      <c r="R830" s="116"/>
      <c r="S830" s="83"/>
      <c r="T830" s="83"/>
      <c r="U830" s="83"/>
      <c r="V830" s="83"/>
      <c r="W830" s="83"/>
      <c r="X830" s="83"/>
      <c r="Y830" s="83"/>
      <c r="Z830" s="83"/>
    </row>
    <row r="831" ht="15.75" customHeight="1">
      <c r="A831" s="118"/>
      <c r="B831" s="118"/>
      <c r="C831" s="94"/>
      <c r="D831" s="111"/>
      <c r="E831" s="115"/>
      <c r="F831" s="108"/>
      <c r="G831" s="98"/>
      <c r="H831" s="116"/>
      <c r="I831" s="111"/>
      <c r="J831" s="115"/>
      <c r="K831" s="108"/>
      <c r="L831" s="98"/>
      <c r="M831" s="116"/>
      <c r="N831" s="111"/>
      <c r="O831" s="115"/>
      <c r="P831" s="108"/>
      <c r="Q831" s="98"/>
      <c r="R831" s="116"/>
      <c r="S831" s="83"/>
      <c r="T831" s="83"/>
      <c r="U831" s="83"/>
      <c r="V831" s="83"/>
      <c r="W831" s="83"/>
      <c r="X831" s="83"/>
      <c r="Y831" s="83"/>
      <c r="Z831" s="83"/>
    </row>
    <row r="832" ht="15.75" customHeight="1">
      <c r="A832" s="118"/>
      <c r="B832" s="118"/>
      <c r="C832" s="94"/>
      <c r="D832" s="111"/>
      <c r="E832" s="115"/>
      <c r="F832" s="108"/>
      <c r="G832" s="98"/>
      <c r="H832" s="116"/>
      <c r="I832" s="111"/>
      <c r="J832" s="115"/>
      <c r="K832" s="108"/>
      <c r="L832" s="98"/>
      <c r="M832" s="116"/>
      <c r="N832" s="111"/>
      <c r="O832" s="115"/>
      <c r="P832" s="108"/>
      <c r="Q832" s="98"/>
      <c r="R832" s="116"/>
      <c r="S832" s="83"/>
      <c r="T832" s="83"/>
      <c r="U832" s="83"/>
      <c r="V832" s="83"/>
      <c r="W832" s="83"/>
      <c r="X832" s="83"/>
      <c r="Y832" s="83"/>
      <c r="Z832" s="83"/>
    </row>
    <row r="833" ht="15.75" customHeight="1">
      <c r="A833" s="118"/>
      <c r="B833" s="118"/>
      <c r="C833" s="94"/>
      <c r="D833" s="111"/>
      <c r="E833" s="115"/>
      <c r="F833" s="108"/>
      <c r="G833" s="98"/>
      <c r="H833" s="116"/>
      <c r="I833" s="111"/>
      <c r="J833" s="115"/>
      <c r="K833" s="108"/>
      <c r="L833" s="98"/>
      <c r="M833" s="116"/>
      <c r="N833" s="111"/>
      <c r="O833" s="115"/>
      <c r="P833" s="108"/>
      <c r="Q833" s="98"/>
      <c r="R833" s="116"/>
      <c r="S833" s="83"/>
      <c r="T833" s="83"/>
      <c r="U833" s="83"/>
      <c r="V833" s="83"/>
      <c r="W833" s="83"/>
      <c r="X833" s="83"/>
      <c r="Y833" s="83"/>
      <c r="Z833" s="83"/>
    </row>
    <row r="834" ht="15.75" customHeight="1">
      <c r="A834" s="118"/>
      <c r="B834" s="118"/>
      <c r="C834" s="94"/>
      <c r="D834" s="111"/>
      <c r="E834" s="115"/>
      <c r="F834" s="108"/>
      <c r="G834" s="98"/>
      <c r="H834" s="116"/>
      <c r="I834" s="111"/>
      <c r="J834" s="115"/>
      <c r="K834" s="108"/>
      <c r="L834" s="98"/>
      <c r="M834" s="116"/>
      <c r="N834" s="111"/>
      <c r="O834" s="115"/>
      <c r="P834" s="108"/>
      <c r="Q834" s="98"/>
      <c r="R834" s="116"/>
      <c r="S834" s="83"/>
      <c r="T834" s="83"/>
      <c r="U834" s="83"/>
      <c r="V834" s="83"/>
      <c r="W834" s="83"/>
      <c r="X834" s="83"/>
      <c r="Y834" s="83"/>
      <c r="Z834" s="83"/>
    </row>
    <row r="835" ht="15.75" customHeight="1">
      <c r="A835" s="118"/>
      <c r="B835" s="118"/>
      <c r="C835" s="94"/>
      <c r="D835" s="111"/>
      <c r="E835" s="115"/>
      <c r="F835" s="108"/>
      <c r="G835" s="98"/>
      <c r="H835" s="116"/>
      <c r="I835" s="111"/>
      <c r="J835" s="115"/>
      <c r="K835" s="108"/>
      <c r="L835" s="98"/>
      <c r="M835" s="116"/>
      <c r="N835" s="111"/>
      <c r="O835" s="115"/>
      <c r="P835" s="108"/>
      <c r="Q835" s="98"/>
      <c r="R835" s="116"/>
      <c r="S835" s="83"/>
      <c r="T835" s="83"/>
      <c r="U835" s="83"/>
      <c r="V835" s="83"/>
      <c r="W835" s="83"/>
      <c r="X835" s="83"/>
      <c r="Y835" s="83"/>
      <c r="Z835" s="83"/>
    </row>
    <row r="836" ht="15.75" customHeight="1">
      <c r="A836" s="118"/>
      <c r="B836" s="118"/>
      <c r="C836" s="94"/>
      <c r="D836" s="111"/>
      <c r="E836" s="115"/>
      <c r="F836" s="108"/>
      <c r="G836" s="98"/>
      <c r="H836" s="116"/>
      <c r="I836" s="111"/>
      <c r="J836" s="115"/>
      <c r="K836" s="108"/>
      <c r="L836" s="98"/>
      <c r="M836" s="116"/>
      <c r="N836" s="111"/>
      <c r="O836" s="115"/>
      <c r="P836" s="108"/>
      <c r="Q836" s="98"/>
      <c r="R836" s="116"/>
      <c r="S836" s="83"/>
      <c r="T836" s="83"/>
      <c r="U836" s="83"/>
      <c r="V836" s="83"/>
      <c r="W836" s="83"/>
      <c r="X836" s="83"/>
      <c r="Y836" s="83"/>
      <c r="Z836" s="83"/>
    </row>
    <row r="837" ht="15.75" customHeight="1">
      <c r="A837" s="118"/>
      <c r="B837" s="118"/>
      <c r="C837" s="94"/>
      <c r="D837" s="111"/>
      <c r="E837" s="115"/>
      <c r="F837" s="108"/>
      <c r="G837" s="98"/>
      <c r="H837" s="116"/>
      <c r="I837" s="111"/>
      <c r="J837" s="115"/>
      <c r="K837" s="108"/>
      <c r="L837" s="98"/>
      <c r="M837" s="116"/>
      <c r="N837" s="111"/>
      <c r="O837" s="115"/>
      <c r="P837" s="108"/>
      <c r="Q837" s="98"/>
      <c r="R837" s="116"/>
      <c r="S837" s="83"/>
      <c r="T837" s="83"/>
      <c r="U837" s="83"/>
      <c r="V837" s="83"/>
      <c r="W837" s="83"/>
      <c r="X837" s="83"/>
      <c r="Y837" s="83"/>
      <c r="Z837" s="83"/>
    </row>
    <row r="838" ht="15.75" customHeight="1">
      <c r="A838" s="118"/>
      <c r="B838" s="118"/>
      <c r="C838" s="94"/>
      <c r="D838" s="111"/>
      <c r="E838" s="115"/>
      <c r="F838" s="108"/>
      <c r="G838" s="98"/>
      <c r="H838" s="116"/>
      <c r="I838" s="111"/>
      <c r="J838" s="115"/>
      <c r="K838" s="108"/>
      <c r="L838" s="98"/>
      <c r="M838" s="116"/>
      <c r="N838" s="111"/>
      <c r="O838" s="115"/>
      <c r="P838" s="108"/>
      <c r="Q838" s="98"/>
      <c r="R838" s="116"/>
      <c r="S838" s="83"/>
      <c r="T838" s="83"/>
      <c r="U838" s="83"/>
      <c r="V838" s="83"/>
      <c r="W838" s="83"/>
      <c r="X838" s="83"/>
      <c r="Y838" s="83"/>
      <c r="Z838" s="83"/>
    </row>
    <row r="839" ht="15.75" customHeight="1">
      <c r="A839" s="118"/>
      <c r="B839" s="118"/>
      <c r="C839" s="94"/>
      <c r="D839" s="111"/>
      <c r="E839" s="115"/>
      <c r="F839" s="108"/>
      <c r="G839" s="98"/>
      <c r="H839" s="116"/>
      <c r="I839" s="111"/>
      <c r="J839" s="115"/>
      <c r="K839" s="108"/>
      <c r="L839" s="98"/>
      <c r="M839" s="116"/>
      <c r="N839" s="111"/>
      <c r="O839" s="115"/>
      <c r="P839" s="108"/>
      <c r="Q839" s="98"/>
      <c r="R839" s="116"/>
      <c r="S839" s="83"/>
      <c r="T839" s="83"/>
      <c r="U839" s="83"/>
      <c r="V839" s="83"/>
      <c r="W839" s="83"/>
      <c r="X839" s="83"/>
      <c r="Y839" s="83"/>
      <c r="Z839" s="83"/>
    </row>
    <row r="840" ht="15.75" customHeight="1">
      <c r="A840" s="118"/>
      <c r="B840" s="118"/>
      <c r="C840" s="94"/>
      <c r="D840" s="111"/>
      <c r="E840" s="115"/>
      <c r="F840" s="108"/>
      <c r="G840" s="98"/>
      <c r="H840" s="116"/>
      <c r="I840" s="111"/>
      <c r="J840" s="115"/>
      <c r="K840" s="108"/>
      <c r="L840" s="98"/>
      <c r="M840" s="116"/>
      <c r="N840" s="111"/>
      <c r="O840" s="115"/>
      <c r="P840" s="108"/>
      <c r="Q840" s="98"/>
      <c r="R840" s="116"/>
      <c r="S840" s="83"/>
      <c r="T840" s="83"/>
      <c r="U840" s="83"/>
      <c r="V840" s="83"/>
      <c r="W840" s="83"/>
      <c r="X840" s="83"/>
      <c r="Y840" s="83"/>
      <c r="Z840" s="83"/>
    </row>
    <row r="841" ht="15.75" customHeight="1">
      <c r="A841" s="118"/>
      <c r="B841" s="118"/>
      <c r="C841" s="94"/>
      <c r="D841" s="111"/>
      <c r="E841" s="115"/>
      <c r="F841" s="108"/>
      <c r="G841" s="98"/>
      <c r="H841" s="116"/>
      <c r="I841" s="111"/>
      <c r="J841" s="115"/>
      <c r="K841" s="108"/>
      <c r="L841" s="98"/>
      <c r="M841" s="116"/>
      <c r="N841" s="111"/>
      <c r="O841" s="115"/>
      <c r="P841" s="108"/>
      <c r="Q841" s="98"/>
      <c r="R841" s="116"/>
      <c r="S841" s="83"/>
      <c r="T841" s="83"/>
      <c r="U841" s="83"/>
      <c r="V841" s="83"/>
      <c r="W841" s="83"/>
      <c r="X841" s="83"/>
      <c r="Y841" s="83"/>
      <c r="Z841" s="83"/>
    </row>
    <row r="842" ht="15.75" customHeight="1">
      <c r="A842" s="118"/>
      <c r="B842" s="118"/>
      <c r="C842" s="94"/>
      <c r="D842" s="111"/>
      <c r="E842" s="115"/>
      <c r="F842" s="108"/>
      <c r="G842" s="98"/>
      <c r="H842" s="116"/>
      <c r="I842" s="111"/>
      <c r="J842" s="115"/>
      <c r="K842" s="108"/>
      <c r="L842" s="98"/>
      <c r="M842" s="116"/>
      <c r="N842" s="111"/>
      <c r="O842" s="115"/>
      <c r="P842" s="108"/>
      <c r="Q842" s="98"/>
      <c r="R842" s="116"/>
      <c r="S842" s="83"/>
      <c r="T842" s="83"/>
      <c r="U842" s="83"/>
      <c r="V842" s="83"/>
      <c r="W842" s="83"/>
      <c r="X842" s="83"/>
      <c r="Y842" s="83"/>
      <c r="Z842" s="83"/>
    </row>
    <row r="843" ht="15.75" customHeight="1">
      <c r="A843" s="118"/>
      <c r="B843" s="118"/>
      <c r="C843" s="94"/>
      <c r="D843" s="111"/>
      <c r="E843" s="115"/>
      <c r="F843" s="108"/>
      <c r="G843" s="98"/>
      <c r="H843" s="116"/>
      <c r="I843" s="111"/>
      <c r="J843" s="115"/>
      <c r="K843" s="108"/>
      <c r="L843" s="98"/>
      <c r="M843" s="116"/>
      <c r="N843" s="111"/>
      <c r="O843" s="115"/>
      <c r="P843" s="108"/>
      <c r="Q843" s="98"/>
      <c r="R843" s="116"/>
      <c r="S843" s="83"/>
      <c r="T843" s="83"/>
      <c r="U843" s="83"/>
      <c r="V843" s="83"/>
      <c r="W843" s="83"/>
      <c r="X843" s="83"/>
      <c r="Y843" s="83"/>
      <c r="Z843" s="83"/>
    </row>
    <row r="844" ht="15.75" customHeight="1">
      <c r="A844" s="118"/>
      <c r="B844" s="118"/>
      <c r="C844" s="94"/>
      <c r="D844" s="111"/>
      <c r="E844" s="115"/>
      <c r="F844" s="108"/>
      <c r="G844" s="98"/>
      <c r="H844" s="116"/>
      <c r="I844" s="111"/>
      <c r="J844" s="115"/>
      <c r="K844" s="108"/>
      <c r="L844" s="98"/>
      <c r="M844" s="116"/>
      <c r="N844" s="111"/>
      <c r="O844" s="115"/>
      <c r="P844" s="108"/>
      <c r="Q844" s="98"/>
      <c r="R844" s="116"/>
      <c r="S844" s="83"/>
      <c r="T844" s="83"/>
      <c r="U844" s="83"/>
      <c r="V844" s="83"/>
      <c r="W844" s="83"/>
      <c r="X844" s="83"/>
      <c r="Y844" s="83"/>
      <c r="Z844" s="83"/>
    </row>
    <row r="845" ht="15.75" customHeight="1">
      <c r="A845" s="118"/>
      <c r="B845" s="118"/>
      <c r="C845" s="94"/>
      <c r="D845" s="111"/>
      <c r="E845" s="115"/>
      <c r="F845" s="108"/>
      <c r="G845" s="98"/>
      <c r="H845" s="116"/>
      <c r="I845" s="111"/>
      <c r="J845" s="115"/>
      <c r="K845" s="108"/>
      <c r="L845" s="98"/>
      <c r="M845" s="116"/>
      <c r="N845" s="111"/>
      <c r="O845" s="115"/>
      <c r="P845" s="108"/>
      <c r="Q845" s="98"/>
      <c r="R845" s="116"/>
      <c r="S845" s="83"/>
      <c r="T845" s="83"/>
      <c r="U845" s="83"/>
      <c r="V845" s="83"/>
      <c r="W845" s="83"/>
      <c r="X845" s="83"/>
      <c r="Y845" s="83"/>
      <c r="Z845" s="83"/>
    </row>
    <row r="846" ht="15.75" customHeight="1">
      <c r="A846" s="118"/>
      <c r="B846" s="118"/>
      <c r="C846" s="94"/>
      <c r="D846" s="111"/>
      <c r="E846" s="115"/>
      <c r="F846" s="108"/>
      <c r="G846" s="98"/>
      <c r="H846" s="116"/>
      <c r="I846" s="111"/>
      <c r="J846" s="115"/>
      <c r="K846" s="108"/>
      <c r="L846" s="98"/>
      <c r="M846" s="116"/>
      <c r="N846" s="111"/>
      <c r="O846" s="115"/>
      <c r="P846" s="108"/>
      <c r="Q846" s="98"/>
      <c r="R846" s="116"/>
      <c r="S846" s="83"/>
      <c r="T846" s="83"/>
      <c r="U846" s="83"/>
      <c r="V846" s="83"/>
      <c r="W846" s="83"/>
      <c r="X846" s="83"/>
      <c r="Y846" s="83"/>
      <c r="Z846" s="83"/>
    </row>
    <row r="847" ht="15.75" customHeight="1">
      <c r="A847" s="118"/>
      <c r="B847" s="118"/>
      <c r="C847" s="94"/>
      <c r="D847" s="111"/>
      <c r="E847" s="115"/>
      <c r="F847" s="108"/>
      <c r="G847" s="98"/>
      <c r="H847" s="116"/>
      <c r="I847" s="111"/>
      <c r="J847" s="115"/>
      <c r="K847" s="108"/>
      <c r="L847" s="98"/>
      <c r="M847" s="116"/>
      <c r="N847" s="111"/>
      <c r="O847" s="115"/>
      <c r="P847" s="108"/>
      <c r="Q847" s="98"/>
      <c r="R847" s="116"/>
      <c r="S847" s="83"/>
      <c r="T847" s="83"/>
      <c r="U847" s="83"/>
      <c r="V847" s="83"/>
      <c r="W847" s="83"/>
      <c r="X847" s="83"/>
      <c r="Y847" s="83"/>
      <c r="Z847" s="83"/>
    </row>
    <row r="848" ht="15.75" customHeight="1">
      <c r="A848" s="118"/>
      <c r="B848" s="118"/>
      <c r="C848" s="94"/>
      <c r="D848" s="111"/>
      <c r="E848" s="115"/>
      <c r="F848" s="108"/>
      <c r="G848" s="98"/>
      <c r="H848" s="116"/>
      <c r="I848" s="111"/>
      <c r="J848" s="115"/>
      <c r="K848" s="108"/>
      <c r="L848" s="98"/>
      <c r="M848" s="116"/>
      <c r="N848" s="111"/>
      <c r="O848" s="115"/>
      <c r="P848" s="108"/>
      <c r="Q848" s="98"/>
      <c r="R848" s="116"/>
      <c r="S848" s="83"/>
      <c r="T848" s="83"/>
      <c r="U848" s="83"/>
      <c r="V848" s="83"/>
      <c r="W848" s="83"/>
      <c r="X848" s="83"/>
      <c r="Y848" s="83"/>
      <c r="Z848" s="83"/>
    </row>
    <row r="849" ht="15.75" customHeight="1">
      <c r="A849" s="118"/>
      <c r="B849" s="118"/>
      <c r="C849" s="94"/>
      <c r="D849" s="111"/>
      <c r="E849" s="115"/>
      <c r="F849" s="108"/>
      <c r="G849" s="98"/>
      <c r="H849" s="116"/>
      <c r="I849" s="111"/>
      <c r="J849" s="115"/>
      <c r="K849" s="108"/>
      <c r="L849" s="98"/>
      <c r="M849" s="116"/>
      <c r="N849" s="111"/>
      <c r="O849" s="115"/>
      <c r="P849" s="108"/>
      <c r="Q849" s="98"/>
      <c r="R849" s="116"/>
      <c r="S849" s="83"/>
      <c r="T849" s="83"/>
      <c r="U849" s="83"/>
      <c r="V849" s="83"/>
      <c r="W849" s="83"/>
      <c r="X849" s="83"/>
      <c r="Y849" s="83"/>
      <c r="Z849" s="83"/>
    </row>
    <row r="850" ht="15.75" customHeight="1">
      <c r="A850" s="118"/>
      <c r="B850" s="118"/>
      <c r="C850" s="94"/>
      <c r="D850" s="111"/>
      <c r="E850" s="115"/>
      <c r="F850" s="108"/>
      <c r="G850" s="98"/>
      <c r="H850" s="116"/>
      <c r="I850" s="111"/>
      <c r="J850" s="115"/>
      <c r="K850" s="108"/>
      <c r="L850" s="98"/>
      <c r="M850" s="116"/>
      <c r="N850" s="111"/>
      <c r="O850" s="115"/>
      <c r="P850" s="108"/>
      <c r="Q850" s="98"/>
      <c r="R850" s="116"/>
      <c r="S850" s="83"/>
      <c r="T850" s="83"/>
      <c r="U850" s="83"/>
      <c r="V850" s="83"/>
      <c r="W850" s="83"/>
      <c r="X850" s="83"/>
      <c r="Y850" s="83"/>
      <c r="Z850" s="83"/>
    </row>
    <row r="851" ht="15.75" customHeight="1">
      <c r="A851" s="118"/>
      <c r="B851" s="118"/>
      <c r="C851" s="94"/>
      <c r="D851" s="111"/>
      <c r="E851" s="115"/>
      <c r="F851" s="108"/>
      <c r="G851" s="98"/>
      <c r="H851" s="116"/>
      <c r="I851" s="111"/>
      <c r="J851" s="115"/>
      <c r="K851" s="108"/>
      <c r="L851" s="98"/>
      <c r="M851" s="116"/>
      <c r="N851" s="111"/>
      <c r="O851" s="115"/>
      <c r="P851" s="108"/>
      <c r="Q851" s="98"/>
      <c r="R851" s="116"/>
      <c r="S851" s="83"/>
      <c r="T851" s="83"/>
      <c r="U851" s="83"/>
      <c r="V851" s="83"/>
      <c r="W851" s="83"/>
      <c r="X851" s="83"/>
      <c r="Y851" s="83"/>
      <c r="Z851" s="83"/>
    </row>
    <row r="852" ht="15.75" customHeight="1">
      <c r="A852" s="118"/>
      <c r="B852" s="118"/>
      <c r="C852" s="94"/>
      <c r="D852" s="111"/>
      <c r="E852" s="115"/>
      <c r="F852" s="108"/>
      <c r="G852" s="98"/>
      <c r="H852" s="116"/>
      <c r="I852" s="111"/>
      <c r="J852" s="115"/>
      <c r="K852" s="108"/>
      <c r="L852" s="98"/>
      <c r="M852" s="116"/>
      <c r="N852" s="111"/>
      <c r="O852" s="115"/>
      <c r="P852" s="108"/>
      <c r="Q852" s="98"/>
      <c r="R852" s="116"/>
      <c r="S852" s="83"/>
      <c r="T852" s="83"/>
      <c r="U852" s="83"/>
      <c r="V852" s="83"/>
      <c r="W852" s="83"/>
      <c r="X852" s="83"/>
      <c r="Y852" s="83"/>
      <c r="Z852" s="83"/>
    </row>
    <row r="853" ht="15.75" customHeight="1">
      <c r="A853" s="118"/>
      <c r="B853" s="118"/>
      <c r="C853" s="94"/>
      <c r="D853" s="111"/>
      <c r="E853" s="115"/>
      <c r="F853" s="108"/>
      <c r="G853" s="98"/>
      <c r="H853" s="116"/>
      <c r="I853" s="111"/>
      <c r="J853" s="115"/>
      <c r="K853" s="108"/>
      <c r="L853" s="98"/>
      <c r="M853" s="116"/>
      <c r="N853" s="111"/>
      <c r="O853" s="115"/>
      <c r="P853" s="108"/>
      <c r="Q853" s="98"/>
      <c r="R853" s="116"/>
      <c r="S853" s="83"/>
      <c r="T853" s="83"/>
      <c r="U853" s="83"/>
      <c r="V853" s="83"/>
      <c r="W853" s="83"/>
      <c r="X853" s="83"/>
      <c r="Y853" s="83"/>
      <c r="Z853" s="83"/>
    </row>
    <row r="854" ht="15.75" customHeight="1">
      <c r="A854" s="118"/>
      <c r="B854" s="118"/>
      <c r="C854" s="94"/>
      <c r="D854" s="111"/>
      <c r="E854" s="115"/>
      <c r="F854" s="108"/>
      <c r="G854" s="98"/>
      <c r="H854" s="116"/>
      <c r="I854" s="111"/>
      <c r="J854" s="115"/>
      <c r="K854" s="108"/>
      <c r="L854" s="98"/>
      <c r="M854" s="116"/>
      <c r="N854" s="111"/>
      <c r="O854" s="115"/>
      <c r="P854" s="108"/>
      <c r="Q854" s="98"/>
      <c r="R854" s="116"/>
      <c r="S854" s="83"/>
      <c r="T854" s="83"/>
      <c r="U854" s="83"/>
      <c r="V854" s="83"/>
      <c r="W854" s="83"/>
      <c r="X854" s="83"/>
      <c r="Y854" s="83"/>
      <c r="Z854" s="83"/>
    </row>
    <row r="855" ht="15.75" customHeight="1">
      <c r="A855" s="118"/>
      <c r="B855" s="118"/>
      <c r="C855" s="94"/>
      <c r="D855" s="111"/>
      <c r="E855" s="115"/>
      <c r="F855" s="108"/>
      <c r="G855" s="98"/>
      <c r="H855" s="116"/>
      <c r="I855" s="111"/>
      <c r="J855" s="115"/>
      <c r="K855" s="108"/>
      <c r="L855" s="98"/>
      <c r="M855" s="116"/>
      <c r="N855" s="111"/>
      <c r="O855" s="115"/>
      <c r="P855" s="108"/>
      <c r="Q855" s="98"/>
      <c r="R855" s="116"/>
      <c r="S855" s="83"/>
      <c r="T855" s="83"/>
      <c r="U855" s="83"/>
      <c r="V855" s="83"/>
      <c r="W855" s="83"/>
      <c r="X855" s="83"/>
      <c r="Y855" s="83"/>
      <c r="Z855" s="83"/>
    </row>
    <row r="856" ht="15.75" customHeight="1">
      <c r="A856" s="118"/>
      <c r="B856" s="118"/>
      <c r="C856" s="94"/>
      <c r="D856" s="111"/>
      <c r="E856" s="115"/>
      <c r="F856" s="108"/>
      <c r="G856" s="98"/>
      <c r="H856" s="116"/>
      <c r="I856" s="111"/>
      <c r="J856" s="115"/>
      <c r="K856" s="108"/>
      <c r="L856" s="98"/>
      <c r="M856" s="116"/>
      <c r="N856" s="111"/>
      <c r="O856" s="115"/>
      <c r="P856" s="108"/>
      <c r="Q856" s="98"/>
      <c r="R856" s="116"/>
      <c r="S856" s="83"/>
      <c r="T856" s="83"/>
      <c r="U856" s="83"/>
      <c r="V856" s="83"/>
      <c r="W856" s="83"/>
      <c r="X856" s="83"/>
      <c r="Y856" s="83"/>
      <c r="Z856" s="83"/>
    </row>
    <row r="857" ht="15.75" customHeight="1">
      <c r="A857" s="118"/>
      <c r="B857" s="118"/>
      <c r="C857" s="94"/>
      <c r="D857" s="111"/>
      <c r="E857" s="115"/>
      <c r="F857" s="108"/>
      <c r="G857" s="98"/>
      <c r="H857" s="116"/>
      <c r="I857" s="111"/>
      <c r="J857" s="115"/>
      <c r="K857" s="108"/>
      <c r="L857" s="98"/>
      <c r="M857" s="116"/>
      <c r="N857" s="111"/>
      <c r="O857" s="115"/>
      <c r="P857" s="108"/>
      <c r="Q857" s="98"/>
      <c r="R857" s="116"/>
      <c r="S857" s="83"/>
      <c r="T857" s="83"/>
      <c r="U857" s="83"/>
      <c r="V857" s="83"/>
      <c r="W857" s="83"/>
      <c r="X857" s="83"/>
      <c r="Y857" s="83"/>
      <c r="Z857" s="83"/>
    </row>
    <row r="858" ht="15.75" customHeight="1">
      <c r="A858" s="118"/>
      <c r="B858" s="118"/>
      <c r="C858" s="94"/>
      <c r="D858" s="111"/>
      <c r="E858" s="115"/>
      <c r="F858" s="108"/>
      <c r="G858" s="98"/>
      <c r="H858" s="116"/>
      <c r="I858" s="111"/>
      <c r="J858" s="115"/>
      <c r="K858" s="108"/>
      <c r="L858" s="98"/>
      <c r="M858" s="116"/>
      <c r="N858" s="111"/>
      <c r="O858" s="115"/>
      <c r="P858" s="108"/>
      <c r="Q858" s="98"/>
      <c r="R858" s="116"/>
      <c r="S858" s="83"/>
      <c r="T858" s="83"/>
      <c r="U858" s="83"/>
      <c r="V858" s="83"/>
      <c r="W858" s="83"/>
      <c r="X858" s="83"/>
      <c r="Y858" s="83"/>
      <c r="Z858" s="83"/>
    </row>
    <row r="859" ht="15.75" customHeight="1">
      <c r="A859" s="118"/>
      <c r="B859" s="118"/>
      <c r="C859" s="94"/>
      <c r="D859" s="111"/>
      <c r="E859" s="115"/>
      <c r="F859" s="108"/>
      <c r="G859" s="98"/>
      <c r="H859" s="116"/>
      <c r="I859" s="111"/>
      <c r="J859" s="115"/>
      <c r="K859" s="108"/>
      <c r="L859" s="98"/>
      <c r="M859" s="116"/>
      <c r="N859" s="111"/>
      <c r="O859" s="115"/>
      <c r="P859" s="108"/>
      <c r="Q859" s="98"/>
      <c r="R859" s="116"/>
      <c r="S859" s="83"/>
      <c r="T859" s="83"/>
      <c r="U859" s="83"/>
      <c r="V859" s="83"/>
      <c r="W859" s="83"/>
      <c r="X859" s="83"/>
      <c r="Y859" s="83"/>
      <c r="Z859" s="83"/>
    </row>
    <row r="860" ht="15.75" customHeight="1">
      <c r="A860" s="118"/>
      <c r="B860" s="118"/>
      <c r="C860" s="94"/>
      <c r="D860" s="111"/>
      <c r="E860" s="115"/>
      <c r="F860" s="108"/>
      <c r="G860" s="98"/>
      <c r="H860" s="116"/>
      <c r="I860" s="111"/>
      <c r="J860" s="115"/>
      <c r="K860" s="108"/>
      <c r="L860" s="98"/>
      <c r="M860" s="116"/>
      <c r="N860" s="111"/>
      <c r="O860" s="115"/>
      <c r="P860" s="108"/>
      <c r="Q860" s="98"/>
      <c r="R860" s="116"/>
      <c r="S860" s="83"/>
      <c r="T860" s="83"/>
      <c r="U860" s="83"/>
      <c r="V860" s="83"/>
      <c r="W860" s="83"/>
      <c r="X860" s="83"/>
      <c r="Y860" s="83"/>
      <c r="Z860" s="83"/>
    </row>
    <row r="861" ht="15.75" customHeight="1">
      <c r="A861" s="118"/>
      <c r="B861" s="118"/>
      <c r="C861" s="94"/>
      <c r="D861" s="111"/>
      <c r="E861" s="115"/>
      <c r="F861" s="108"/>
      <c r="G861" s="98"/>
      <c r="H861" s="116"/>
      <c r="I861" s="111"/>
      <c r="J861" s="115"/>
      <c r="K861" s="108"/>
      <c r="L861" s="98"/>
      <c r="M861" s="116"/>
      <c r="N861" s="111"/>
      <c r="O861" s="115"/>
      <c r="P861" s="108"/>
      <c r="Q861" s="98"/>
      <c r="R861" s="116"/>
      <c r="S861" s="83"/>
      <c r="T861" s="83"/>
      <c r="U861" s="83"/>
      <c r="V861" s="83"/>
      <c r="W861" s="83"/>
      <c r="X861" s="83"/>
      <c r="Y861" s="83"/>
      <c r="Z861" s="83"/>
    </row>
    <row r="862" ht="15.75" customHeight="1">
      <c r="A862" s="118"/>
      <c r="B862" s="118"/>
      <c r="C862" s="94"/>
      <c r="D862" s="111"/>
      <c r="E862" s="115"/>
      <c r="F862" s="108"/>
      <c r="G862" s="98"/>
      <c r="H862" s="116"/>
      <c r="I862" s="111"/>
      <c r="J862" s="115"/>
      <c r="K862" s="108"/>
      <c r="L862" s="98"/>
      <c r="M862" s="116"/>
      <c r="N862" s="111"/>
      <c r="O862" s="115"/>
      <c r="P862" s="108"/>
      <c r="Q862" s="98"/>
      <c r="R862" s="116"/>
      <c r="S862" s="83"/>
      <c r="T862" s="83"/>
      <c r="U862" s="83"/>
      <c r="V862" s="83"/>
      <c r="W862" s="83"/>
      <c r="X862" s="83"/>
      <c r="Y862" s="83"/>
      <c r="Z862" s="83"/>
    </row>
    <row r="863" ht="15.75" customHeight="1">
      <c r="A863" s="118"/>
      <c r="B863" s="118"/>
      <c r="C863" s="94"/>
      <c r="D863" s="111"/>
      <c r="E863" s="115"/>
      <c r="F863" s="108"/>
      <c r="G863" s="98"/>
      <c r="H863" s="116"/>
      <c r="I863" s="111"/>
      <c r="J863" s="115"/>
      <c r="K863" s="108"/>
      <c r="L863" s="98"/>
      <c r="M863" s="116"/>
      <c r="N863" s="111"/>
      <c r="O863" s="115"/>
      <c r="P863" s="108"/>
      <c r="Q863" s="98"/>
      <c r="R863" s="116"/>
      <c r="S863" s="83"/>
      <c r="T863" s="83"/>
      <c r="U863" s="83"/>
      <c r="V863" s="83"/>
      <c r="W863" s="83"/>
      <c r="X863" s="83"/>
      <c r="Y863" s="83"/>
      <c r="Z863" s="83"/>
    </row>
    <row r="864" ht="15.75" customHeight="1">
      <c r="A864" s="118"/>
      <c r="B864" s="118"/>
      <c r="C864" s="94"/>
      <c r="D864" s="111"/>
      <c r="E864" s="115"/>
      <c r="F864" s="108"/>
      <c r="G864" s="98"/>
      <c r="H864" s="116"/>
      <c r="I864" s="111"/>
      <c r="J864" s="115"/>
      <c r="K864" s="108"/>
      <c r="L864" s="98"/>
      <c r="M864" s="116"/>
      <c r="N864" s="111"/>
      <c r="O864" s="115"/>
      <c r="P864" s="108"/>
      <c r="Q864" s="98"/>
      <c r="R864" s="116"/>
      <c r="S864" s="83"/>
      <c r="T864" s="83"/>
      <c r="U864" s="83"/>
      <c r="V864" s="83"/>
      <c r="W864" s="83"/>
      <c r="X864" s="83"/>
      <c r="Y864" s="83"/>
      <c r="Z864" s="83"/>
    </row>
    <row r="865" ht="15.75" customHeight="1">
      <c r="A865" s="118"/>
      <c r="B865" s="118"/>
      <c r="C865" s="94"/>
      <c r="D865" s="111"/>
      <c r="E865" s="115"/>
      <c r="F865" s="108"/>
      <c r="G865" s="98"/>
      <c r="H865" s="116"/>
      <c r="I865" s="111"/>
      <c r="J865" s="115"/>
      <c r="K865" s="108"/>
      <c r="L865" s="98"/>
      <c r="M865" s="116"/>
      <c r="N865" s="111"/>
      <c r="O865" s="115"/>
      <c r="P865" s="108"/>
      <c r="Q865" s="98"/>
      <c r="R865" s="116"/>
      <c r="S865" s="83"/>
      <c r="T865" s="83"/>
      <c r="U865" s="83"/>
      <c r="V865" s="83"/>
      <c r="W865" s="83"/>
      <c r="X865" s="83"/>
      <c r="Y865" s="83"/>
      <c r="Z865" s="83"/>
    </row>
    <row r="866" ht="15.75" customHeight="1">
      <c r="A866" s="118"/>
      <c r="B866" s="118"/>
      <c r="C866" s="94"/>
      <c r="D866" s="111"/>
      <c r="E866" s="115"/>
      <c r="F866" s="108"/>
      <c r="G866" s="98"/>
      <c r="H866" s="116"/>
      <c r="I866" s="111"/>
      <c r="J866" s="115"/>
      <c r="K866" s="108"/>
      <c r="L866" s="98"/>
      <c r="M866" s="116"/>
      <c r="N866" s="111"/>
      <c r="O866" s="115"/>
      <c r="P866" s="108"/>
      <c r="Q866" s="98"/>
      <c r="R866" s="116"/>
      <c r="S866" s="83"/>
      <c r="T866" s="83"/>
      <c r="U866" s="83"/>
      <c r="V866" s="83"/>
      <c r="W866" s="83"/>
      <c r="X866" s="83"/>
      <c r="Y866" s="83"/>
      <c r="Z866" s="83"/>
    </row>
    <row r="867" ht="15.75" customHeight="1">
      <c r="A867" s="118"/>
      <c r="B867" s="118"/>
      <c r="C867" s="94"/>
      <c r="D867" s="111"/>
      <c r="E867" s="115"/>
      <c r="F867" s="108"/>
      <c r="G867" s="98"/>
      <c r="H867" s="116"/>
      <c r="I867" s="111"/>
      <c r="J867" s="115"/>
      <c r="K867" s="108"/>
      <c r="L867" s="98"/>
      <c r="M867" s="116"/>
      <c r="N867" s="111"/>
      <c r="O867" s="115"/>
      <c r="P867" s="108"/>
      <c r="Q867" s="98"/>
      <c r="R867" s="116"/>
      <c r="S867" s="83"/>
      <c r="T867" s="83"/>
      <c r="U867" s="83"/>
      <c r="V867" s="83"/>
      <c r="W867" s="83"/>
      <c r="X867" s="83"/>
      <c r="Y867" s="83"/>
      <c r="Z867" s="83"/>
    </row>
    <row r="868" ht="15.75" customHeight="1">
      <c r="A868" s="118"/>
      <c r="B868" s="118"/>
      <c r="C868" s="94"/>
      <c r="D868" s="111"/>
      <c r="E868" s="115"/>
      <c r="F868" s="108"/>
      <c r="G868" s="98"/>
      <c r="H868" s="116"/>
      <c r="I868" s="111"/>
      <c r="J868" s="115"/>
      <c r="K868" s="108"/>
      <c r="L868" s="98"/>
      <c r="M868" s="116"/>
      <c r="N868" s="111"/>
      <c r="O868" s="115"/>
      <c r="P868" s="108"/>
      <c r="Q868" s="98"/>
      <c r="R868" s="116"/>
      <c r="S868" s="83"/>
      <c r="T868" s="83"/>
      <c r="U868" s="83"/>
      <c r="V868" s="83"/>
      <c r="W868" s="83"/>
      <c r="X868" s="83"/>
      <c r="Y868" s="83"/>
      <c r="Z868" s="83"/>
    </row>
    <row r="869" ht="15.75" customHeight="1">
      <c r="A869" s="118"/>
      <c r="B869" s="118"/>
      <c r="C869" s="94"/>
      <c r="D869" s="111"/>
      <c r="E869" s="115"/>
      <c r="F869" s="108"/>
      <c r="G869" s="98"/>
      <c r="H869" s="116"/>
      <c r="I869" s="111"/>
      <c r="J869" s="115"/>
      <c r="K869" s="108"/>
      <c r="L869" s="98"/>
      <c r="M869" s="116"/>
      <c r="N869" s="111"/>
      <c r="O869" s="115"/>
      <c r="P869" s="108"/>
      <c r="Q869" s="98"/>
      <c r="R869" s="116"/>
      <c r="S869" s="83"/>
      <c r="T869" s="83"/>
      <c r="U869" s="83"/>
      <c r="V869" s="83"/>
      <c r="W869" s="83"/>
      <c r="X869" s="83"/>
      <c r="Y869" s="83"/>
      <c r="Z869" s="83"/>
    </row>
    <row r="870" ht="15.75" customHeight="1">
      <c r="A870" s="118"/>
      <c r="B870" s="118"/>
      <c r="C870" s="94"/>
      <c r="D870" s="111"/>
      <c r="E870" s="115"/>
      <c r="F870" s="108"/>
      <c r="G870" s="98"/>
      <c r="H870" s="116"/>
      <c r="I870" s="111"/>
      <c r="J870" s="115"/>
      <c r="K870" s="108"/>
      <c r="L870" s="98"/>
      <c r="M870" s="116"/>
      <c r="N870" s="111"/>
      <c r="O870" s="115"/>
      <c r="P870" s="108"/>
      <c r="Q870" s="98"/>
      <c r="R870" s="116"/>
      <c r="S870" s="83"/>
      <c r="T870" s="83"/>
      <c r="U870" s="83"/>
      <c r="V870" s="83"/>
      <c r="W870" s="83"/>
      <c r="X870" s="83"/>
      <c r="Y870" s="83"/>
      <c r="Z870" s="83"/>
    </row>
    <row r="871" ht="15.75" customHeight="1">
      <c r="A871" s="118"/>
      <c r="B871" s="118"/>
      <c r="C871" s="94"/>
      <c r="D871" s="111"/>
      <c r="E871" s="115"/>
      <c r="F871" s="108"/>
      <c r="G871" s="98"/>
      <c r="H871" s="116"/>
      <c r="I871" s="111"/>
      <c r="J871" s="115"/>
      <c r="K871" s="108"/>
      <c r="L871" s="98"/>
      <c r="M871" s="116"/>
      <c r="N871" s="111"/>
      <c r="O871" s="115"/>
      <c r="P871" s="108"/>
      <c r="Q871" s="98"/>
      <c r="R871" s="116"/>
      <c r="S871" s="83"/>
      <c r="T871" s="83"/>
      <c r="U871" s="83"/>
      <c r="V871" s="83"/>
      <c r="W871" s="83"/>
      <c r="X871" s="83"/>
      <c r="Y871" s="83"/>
      <c r="Z871" s="83"/>
    </row>
    <row r="872" ht="15.75" customHeight="1">
      <c r="A872" s="118"/>
      <c r="B872" s="118"/>
      <c r="C872" s="94"/>
      <c r="D872" s="111"/>
      <c r="E872" s="115"/>
      <c r="F872" s="108"/>
      <c r="G872" s="98"/>
      <c r="H872" s="116"/>
      <c r="I872" s="111"/>
      <c r="J872" s="115"/>
      <c r="K872" s="108"/>
      <c r="L872" s="98"/>
      <c r="M872" s="116"/>
      <c r="N872" s="111"/>
      <c r="O872" s="115"/>
      <c r="P872" s="108"/>
      <c r="Q872" s="98"/>
      <c r="R872" s="116"/>
      <c r="S872" s="83"/>
      <c r="T872" s="83"/>
      <c r="U872" s="83"/>
      <c r="V872" s="83"/>
      <c r="W872" s="83"/>
      <c r="X872" s="83"/>
      <c r="Y872" s="83"/>
      <c r="Z872" s="83"/>
    </row>
    <row r="873" ht="15.75" customHeight="1">
      <c r="A873" s="118"/>
      <c r="B873" s="118"/>
      <c r="C873" s="94"/>
      <c r="D873" s="111"/>
      <c r="E873" s="115"/>
      <c r="F873" s="108"/>
      <c r="G873" s="98"/>
      <c r="H873" s="116"/>
      <c r="I873" s="111"/>
      <c r="J873" s="115"/>
      <c r="K873" s="108"/>
      <c r="L873" s="98"/>
      <c r="M873" s="116"/>
      <c r="N873" s="111"/>
      <c r="O873" s="115"/>
      <c r="P873" s="108"/>
      <c r="Q873" s="98"/>
      <c r="R873" s="116"/>
      <c r="S873" s="83"/>
      <c r="T873" s="83"/>
      <c r="U873" s="83"/>
      <c r="V873" s="83"/>
      <c r="W873" s="83"/>
      <c r="X873" s="83"/>
      <c r="Y873" s="83"/>
      <c r="Z873" s="83"/>
    </row>
    <row r="874" ht="15.75" customHeight="1">
      <c r="A874" s="118"/>
      <c r="B874" s="118"/>
      <c r="C874" s="94"/>
      <c r="D874" s="111"/>
      <c r="E874" s="115"/>
      <c r="F874" s="108"/>
      <c r="G874" s="98"/>
      <c r="H874" s="116"/>
      <c r="I874" s="111"/>
      <c r="J874" s="115"/>
      <c r="K874" s="108"/>
      <c r="L874" s="98"/>
      <c r="M874" s="116"/>
      <c r="N874" s="111"/>
      <c r="O874" s="115"/>
      <c r="P874" s="108"/>
      <c r="Q874" s="98"/>
      <c r="R874" s="116"/>
      <c r="S874" s="83"/>
      <c r="T874" s="83"/>
      <c r="U874" s="83"/>
      <c r="V874" s="83"/>
      <c r="W874" s="83"/>
      <c r="X874" s="83"/>
      <c r="Y874" s="83"/>
      <c r="Z874" s="83"/>
    </row>
    <row r="875" ht="15.75" customHeight="1">
      <c r="A875" s="118"/>
      <c r="B875" s="118"/>
      <c r="C875" s="94"/>
      <c r="D875" s="111"/>
      <c r="E875" s="115"/>
      <c r="F875" s="108"/>
      <c r="G875" s="98"/>
      <c r="H875" s="116"/>
      <c r="I875" s="111"/>
      <c r="J875" s="115"/>
      <c r="K875" s="108"/>
      <c r="L875" s="98"/>
      <c r="M875" s="116"/>
      <c r="N875" s="111"/>
      <c r="O875" s="115"/>
      <c r="P875" s="108"/>
      <c r="Q875" s="98"/>
      <c r="R875" s="116"/>
      <c r="S875" s="83"/>
      <c r="T875" s="83"/>
      <c r="U875" s="83"/>
      <c r="V875" s="83"/>
      <c r="W875" s="83"/>
      <c r="X875" s="83"/>
      <c r="Y875" s="83"/>
      <c r="Z875" s="83"/>
    </row>
    <row r="876" ht="15.75" customHeight="1">
      <c r="A876" s="118"/>
      <c r="B876" s="118"/>
      <c r="C876" s="94"/>
      <c r="D876" s="111"/>
      <c r="E876" s="115"/>
      <c r="F876" s="108"/>
      <c r="G876" s="98"/>
      <c r="H876" s="116"/>
      <c r="I876" s="111"/>
      <c r="J876" s="115"/>
      <c r="K876" s="108"/>
      <c r="L876" s="98"/>
      <c r="M876" s="116"/>
      <c r="N876" s="111"/>
      <c r="O876" s="115"/>
      <c r="P876" s="108"/>
      <c r="Q876" s="98"/>
      <c r="R876" s="116"/>
      <c r="S876" s="83"/>
      <c r="T876" s="83"/>
      <c r="U876" s="83"/>
      <c r="V876" s="83"/>
      <c r="W876" s="83"/>
      <c r="X876" s="83"/>
      <c r="Y876" s="83"/>
      <c r="Z876" s="83"/>
    </row>
    <row r="877" ht="15.75" customHeight="1">
      <c r="A877" s="118"/>
      <c r="B877" s="118"/>
      <c r="C877" s="94"/>
      <c r="D877" s="111"/>
      <c r="E877" s="115"/>
      <c r="F877" s="108"/>
      <c r="G877" s="98"/>
      <c r="H877" s="116"/>
      <c r="I877" s="111"/>
      <c r="J877" s="115"/>
      <c r="K877" s="108"/>
      <c r="L877" s="98"/>
      <c r="M877" s="116"/>
      <c r="N877" s="111"/>
      <c r="O877" s="115"/>
      <c r="P877" s="108"/>
      <c r="Q877" s="98"/>
      <c r="R877" s="116"/>
      <c r="S877" s="83"/>
      <c r="T877" s="83"/>
      <c r="U877" s="83"/>
      <c r="V877" s="83"/>
      <c r="W877" s="83"/>
      <c r="X877" s="83"/>
      <c r="Y877" s="83"/>
      <c r="Z877" s="83"/>
    </row>
    <row r="878" ht="15.75" customHeight="1">
      <c r="A878" s="118"/>
      <c r="B878" s="118"/>
      <c r="C878" s="94"/>
      <c r="D878" s="111"/>
      <c r="E878" s="115"/>
      <c r="F878" s="108"/>
      <c r="G878" s="98"/>
      <c r="H878" s="116"/>
      <c r="I878" s="111"/>
      <c r="J878" s="115"/>
      <c r="K878" s="108"/>
      <c r="L878" s="98"/>
      <c r="M878" s="116"/>
      <c r="N878" s="111"/>
      <c r="O878" s="115"/>
      <c r="P878" s="108"/>
      <c r="Q878" s="98"/>
      <c r="R878" s="116"/>
      <c r="S878" s="83"/>
      <c r="T878" s="83"/>
      <c r="U878" s="83"/>
      <c r="V878" s="83"/>
      <c r="W878" s="83"/>
      <c r="X878" s="83"/>
      <c r="Y878" s="83"/>
      <c r="Z878" s="83"/>
    </row>
    <row r="879" ht="15.75" customHeight="1">
      <c r="A879" s="118"/>
      <c r="B879" s="118"/>
      <c r="C879" s="94"/>
      <c r="D879" s="111"/>
      <c r="E879" s="115"/>
      <c r="F879" s="108"/>
      <c r="G879" s="98"/>
      <c r="H879" s="116"/>
      <c r="I879" s="111"/>
      <c r="J879" s="115"/>
      <c r="K879" s="108"/>
      <c r="L879" s="98"/>
      <c r="M879" s="116"/>
      <c r="N879" s="111"/>
      <c r="O879" s="115"/>
      <c r="P879" s="108"/>
      <c r="Q879" s="98"/>
      <c r="R879" s="116"/>
      <c r="S879" s="83"/>
      <c r="T879" s="83"/>
      <c r="U879" s="83"/>
      <c r="V879" s="83"/>
      <c r="W879" s="83"/>
      <c r="X879" s="83"/>
      <c r="Y879" s="83"/>
      <c r="Z879" s="83"/>
    </row>
    <row r="880" ht="15.75" customHeight="1">
      <c r="A880" s="118"/>
      <c r="B880" s="118"/>
      <c r="C880" s="94"/>
      <c r="D880" s="111"/>
      <c r="E880" s="115"/>
      <c r="F880" s="108"/>
      <c r="G880" s="98"/>
      <c r="H880" s="116"/>
      <c r="I880" s="111"/>
      <c r="J880" s="115"/>
      <c r="K880" s="108"/>
      <c r="L880" s="98"/>
      <c r="M880" s="116"/>
      <c r="N880" s="111"/>
      <c r="O880" s="115"/>
      <c r="P880" s="108"/>
      <c r="Q880" s="98"/>
      <c r="R880" s="116"/>
      <c r="S880" s="83"/>
      <c r="T880" s="83"/>
      <c r="U880" s="83"/>
      <c r="V880" s="83"/>
      <c r="W880" s="83"/>
      <c r="X880" s="83"/>
      <c r="Y880" s="83"/>
      <c r="Z880" s="83"/>
    </row>
    <row r="881" ht="15.75" customHeight="1">
      <c r="A881" s="118"/>
      <c r="B881" s="118"/>
      <c r="C881" s="94"/>
      <c r="D881" s="111"/>
      <c r="E881" s="115"/>
      <c r="F881" s="108"/>
      <c r="G881" s="98"/>
      <c r="H881" s="116"/>
      <c r="I881" s="111"/>
      <c r="J881" s="115"/>
      <c r="K881" s="108"/>
      <c r="L881" s="98"/>
      <c r="M881" s="116"/>
      <c r="N881" s="111"/>
      <c r="O881" s="115"/>
      <c r="P881" s="108"/>
      <c r="Q881" s="98"/>
      <c r="R881" s="116"/>
      <c r="S881" s="83"/>
      <c r="T881" s="83"/>
      <c r="U881" s="83"/>
      <c r="V881" s="83"/>
      <c r="W881" s="83"/>
      <c r="X881" s="83"/>
      <c r="Y881" s="83"/>
      <c r="Z881" s="83"/>
    </row>
    <row r="882" ht="15.75" customHeight="1">
      <c r="A882" s="118"/>
      <c r="B882" s="118"/>
      <c r="C882" s="94"/>
      <c r="D882" s="111"/>
      <c r="E882" s="115"/>
      <c r="F882" s="108"/>
      <c r="G882" s="98"/>
      <c r="H882" s="116"/>
      <c r="I882" s="111"/>
      <c r="J882" s="115"/>
      <c r="K882" s="108"/>
      <c r="L882" s="98"/>
      <c r="M882" s="116"/>
      <c r="N882" s="111"/>
      <c r="O882" s="115"/>
      <c r="P882" s="108"/>
      <c r="Q882" s="98"/>
      <c r="R882" s="116"/>
      <c r="S882" s="83"/>
      <c r="T882" s="83"/>
      <c r="U882" s="83"/>
      <c r="V882" s="83"/>
      <c r="W882" s="83"/>
      <c r="X882" s="83"/>
      <c r="Y882" s="83"/>
      <c r="Z882" s="83"/>
    </row>
    <row r="883" ht="15.75" customHeight="1">
      <c r="A883" s="118"/>
      <c r="B883" s="118"/>
      <c r="C883" s="94"/>
      <c r="D883" s="111"/>
      <c r="E883" s="115"/>
      <c r="F883" s="108"/>
      <c r="G883" s="98"/>
      <c r="H883" s="116"/>
      <c r="I883" s="111"/>
      <c r="J883" s="115"/>
      <c r="K883" s="108"/>
      <c r="L883" s="98"/>
      <c r="M883" s="116"/>
      <c r="N883" s="111"/>
      <c r="O883" s="115"/>
      <c r="P883" s="108"/>
      <c r="Q883" s="98"/>
      <c r="R883" s="116"/>
      <c r="S883" s="83"/>
      <c r="T883" s="83"/>
      <c r="U883" s="83"/>
      <c r="V883" s="83"/>
      <c r="W883" s="83"/>
      <c r="X883" s="83"/>
      <c r="Y883" s="83"/>
      <c r="Z883" s="83"/>
    </row>
    <row r="884" ht="15.75" customHeight="1">
      <c r="A884" s="118"/>
      <c r="B884" s="118"/>
      <c r="C884" s="94"/>
      <c r="D884" s="111"/>
      <c r="E884" s="115"/>
      <c r="F884" s="108"/>
      <c r="G884" s="98"/>
      <c r="H884" s="116"/>
      <c r="I884" s="111"/>
      <c r="J884" s="115"/>
      <c r="K884" s="108"/>
      <c r="L884" s="98"/>
      <c r="M884" s="116"/>
      <c r="N884" s="111"/>
      <c r="O884" s="115"/>
      <c r="P884" s="108"/>
      <c r="Q884" s="98"/>
      <c r="R884" s="116"/>
      <c r="S884" s="83"/>
      <c r="T884" s="83"/>
      <c r="U884" s="83"/>
      <c r="V884" s="83"/>
      <c r="W884" s="83"/>
      <c r="X884" s="83"/>
      <c r="Y884" s="83"/>
      <c r="Z884" s="83"/>
    </row>
    <row r="885" ht="15.75" customHeight="1">
      <c r="A885" s="118"/>
      <c r="B885" s="118"/>
      <c r="C885" s="94"/>
      <c r="D885" s="111"/>
      <c r="E885" s="115"/>
      <c r="F885" s="108"/>
      <c r="G885" s="98"/>
      <c r="H885" s="116"/>
      <c r="I885" s="111"/>
      <c r="J885" s="115"/>
      <c r="K885" s="108"/>
      <c r="L885" s="98"/>
      <c r="M885" s="116"/>
      <c r="N885" s="111"/>
      <c r="O885" s="115"/>
      <c r="P885" s="108"/>
      <c r="Q885" s="98"/>
      <c r="R885" s="116"/>
      <c r="S885" s="83"/>
      <c r="T885" s="83"/>
      <c r="U885" s="83"/>
      <c r="V885" s="83"/>
      <c r="W885" s="83"/>
      <c r="X885" s="83"/>
      <c r="Y885" s="83"/>
      <c r="Z885" s="83"/>
    </row>
    <row r="886" ht="15.75" customHeight="1">
      <c r="A886" s="118"/>
      <c r="B886" s="118"/>
      <c r="C886" s="94"/>
      <c r="D886" s="111"/>
      <c r="E886" s="115"/>
      <c r="F886" s="108"/>
      <c r="G886" s="98"/>
      <c r="H886" s="116"/>
      <c r="I886" s="111"/>
      <c r="J886" s="115"/>
      <c r="K886" s="108"/>
      <c r="L886" s="98"/>
      <c r="M886" s="116"/>
      <c r="N886" s="111"/>
      <c r="O886" s="115"/>
      <c r="P886" s="108"/>
      <c r="Q886" s="98"/>
      <c r="R886" s="116"/>
      <c r="S886" s="83"/>
      <c r="T886" s="83"/>
      <c r="U886" s="83"/>
      <c r="V886" s="83"/>
      <c r="W886" s="83"/>
      <c r="X886" s="83"/>
      <c r="Y886" s="83"/>
      <c r="Z886" s="83"/>
    </row>
    <row r="887" ht="15.75" customHeight="1">
      <c r="A887" s="118"/>
      <c r="B887" s="118"/>
      <c r="C887" s="94"/>
      <c r="D887" s="111"/>
      <c r="E887" s="115"/>
      <c r="F887" s="108"/>
      <c r="G887" s="98"/>
      <c r="H887" s="116"/>
      <c r="I887" s="111"/>
      <c r="J887" s="115"/>
      <c r="K887" s="108"/>
      <c r="L887" s="98"/>
      <c r="M887" s="116"/>
      <c r="N887" s="111"/>
      <c r="O887" s="115"/>
      <c r="P887" s="108"/>
      <c r="Q887" s="98"/>
      <c r="R887" s="116"/>
      <c r="S887" s="83"/>
      <c r="T887" s="83"/>
      <c r="U887" s="83"/>
      <c r="V887" s="83"/>
      <c r="W887" s="83"/>
      <c r="X887" s="83"/>
      <c r="Y887" s="83"/>
      <c r="Z887" s="83"/>
    </row>
    <row r="888" ht="15.75" customHeight="1">
      <c r="A888" s="118"/>
      <c r="B888" s="118"/>
      <c r="C888" s="94"/>
      <c r="D888" s="111"/>
      <c r="E888" s="115"/>
      <c r="F888" s="108"/>
      <c r="G888" s="98"/>
      <c r="H888" s="116"/>
      <c r="I888" s="111"/>
      <c r="J888" s="115"/>
      <c r="K888" s="108"/>
      <c r="L888" s="98"/>
      <c r="M888" s="116"/>
      <c r="N888" s="111"/>
      <c r="O888" s="115"/>
      <c r="P888" s="108"/>
      <c r="Q888" s="98"/>
      <c r="R888" s="116"/>
      <c r="S888" s="83"/>
      <c r="T888" s="83"/>
      <c r="U888" s="83"/>
      <c r="V888" s="83"/>
      <c r="W888" s="83"/>
      <c r="X888" s="83"/>
      <c r="Y888" s="83"/>
      <c r="Z888" s="83"/>
    </row>
    <row r="889" ht="15.75" customHeight="1">
      <c r="A889" s="118"/>
      <c r="B889" s="118"/>
      <c r="C889" s="94"/>
      <c r="D889" s="111"/>
      <c r="E889" s="115"/>
      <c r="F889" s="108"/>
      <c r="G889" s="98"/>
      <c r="H889" s="116"/>
      <c r="I889" s="111"/>
      <c r="J889" s="115"/>
      <c r="K889" s="108"/>
      <c r="L889" s="98"/>
      <c r="M889" s="116"/>
      <c r="N889" s="111"/>
      <c r="O889" s="115"/>
      <c r="P889" s="108"/>
      <c r="Q889" s="98"/>
      <c r="R889" s="116"/>
      <c r="S889" s="83"/>
      <c r="T889" s="83"/>
      <c r="U889" s="83"/>
      <c r="V889" s="83"/>
      <c r="W889" s="83"/>
      <c r="X889" s="83"/>
      <c r="Y889" s="83"/>
      <c r="Z889" s="83"/>
    </row>
    <row r="890" ht="15.75" customHeight="1">
      <c r="A890" s="118"/>
      <c r="B890" s="118"/>
      <c r="C890" s="94"/>
      <c r="D890" s="111"/>
      <c r="E890" s="115"/>
      <c r="F890" s="108"/>
      <c r="G890" s="98"/>
      <c r="H890" s="116"/>
      <c r="I890" s="111"/>
      <c r="J890" s="115"/>
      <c r="K890" s="108"/>
      <c r="L890" s="98"/>
      <c r="M890" s="116"/>
      <c r="N890" s="111"/>
      <c r="O890" s="115"/>
      <c r="P890" s="108"/>
      <c r="Q890" s="98"/>
      <c r="R890" s="116"/>
      <c r="S890" s="83"/>
      <c r="T890" s="83"/>
      <c r="U890" s="83"/>
      <c r="V890" s="83"/>
      <c r="W890" s="83"/>
      <c r="X890" s="83"/>
      <c r="Y890" s="83"/>
      <c r="Z890" s="83"/>
    </row>
    <row r="891" ht="15.75" customHeight="1">
      <c r="A891" s="118"/>
      <c r="B891" s="118"/>
      <c r="C891" s="94"/>
      <c r="D891" s="111"/>
      <c r="E891" s="115"/>
      <c r="F891" s="108"/>
      <c r="G891" s="98"/>
      <c r="H891" s="116"/>
      <c r="I891" s="111"/>
      <c r="J891" s="115"/>
      <c r="K891" s="108"/>
      <c r="L891" s="98"/>
      <c r="M891" s="116"/>
      <c r="N891" s="111"/>
      <c r="O891" s="115"/>
      <c r="P891" s="108"/>
      <c r="Q891" s="98"/>
      <c r="R891" s="116"/>
      <c r="S891" s="83"/>
      <c r="T891" s="83"/>
      <c r="U891" s="83"/>
      <c r="V891" s="83"/>
      <c r="W891" s="83"/>
      <c r="X891" s="83"/>
      <c r="Y891" s="83"/>
      <c r="Z891" s="83"/>
    </row>
    <row r="892" ht="15.75" customHeight="1">
      <c r="A892" s="118"/>
      <c r="B892" s="118"/>
      <c r="C892" s="94"/>
      <c r="D892" s="111"/>
      <c r="E892" s="115"/>
      <c r="F892" s="108"/>
      <c r="G892" s="98"/>
      <c r="H892" s="116"/>
      <c r="I892" s="111"/>
      <c r="J892" s="115"/>
      <c r="K892" s="108"/>
      <c r="L892" s="98"/>
      <c r="M892" s="116"/>
      <c r="N892" s="111"/>
      <c r="O892" s="115"/>
      <c r="P892" s="108"/>
      <c r="Q892" s="98"/>
      <c r="R892" s="116"/>
      <c r="S892" s="83"/>
      <c r="T892" s="83"/>
      <c r="U892" s="83"/>
      <c r="V892" s="83"/>
      <c r="W892" s="83"/>
      <c r="X892" s="83"/>
      <c r="Y892" s="83"/>
      <c r="Z892" s="83"/>
    </row>
    <row r="893" ht="15.75" customHeight="1">
      <c r="A893" s="118"/>
      <c r="B893" s="118"/>
      <c r="C893" s="94"/>
      <c r="D893" s="111"/>
      <c r="E893" s="115"/>
      <c r="F893" s="108"/>
      <c r="G893" s="98"/>
      <c r="H893" s="116"/>
      <c r="I893" s="111"/>
      <c r="J893" s="115"/>
      <c r="K893" s="108"/>
      <c r="L893" s="98"/>
      <c r="M893" s="116"/>
      <c r="N893" s="111"/>
      <c r="O893" s="115"/>
      <c r="P893" s="108"/>
      <c r="Q893" s="98"/>
      <c r="R893" s="116"/>
      <c r="S893" s="83"/>
      <c r="T893" s="83"/>
      <c r="U893" s="83"/>
      <c r="V893" s="83"/>
      <c r="W893" s="83"/>
      <c r="X893" s="83"/>
      <c r="Y893" s="83"/>
      <c r="Z893" s="83"/>
    </row>
    <row r="894" ht="15.75" customHeight="1">
      <c r="A894" s="118"/>
      <c r="B894" s="118"/>
      <c r="C894" s="94"/>
      <c r="D894" s="111"/>
      <c r="E894" s="115"/>
      <c r="F894" s="108"/>
      <c r="G894" s="98"/>
      <c r="H894" s="116"/>
      <c r="I894" s="111"/>
      <c r="J894" s="115"/>
      <c r="K894" s="108"/>
      <c r="L894" s="98"/>
      <c r="M894" s="116"/>
      <c r="N894" s="111"/>
      <c r="O894" s="115"/>
      <c r="P894" s="108"/>
      <c r="Q894" s="98"/>
      <c r="R894" s="116"/>
      <c r="S894" s="83"/>
      <c r="T894" s="83"/>
      <c r="U894" s="83"/>
      <c r="V894" s="83"/>
      <c r="W894" s="83"/>
      <c r="X894" s="83"/>
      <c r="Y894" s="83"/>
      <c r="Z894" s="83"/>
    </row>
    <row r="895" ht="15.75" customHeight="1">
      <c r="A895" s="118"/>
      <c r="B895" s="118"/>
      <c r="C895" s="94"/>
      <c r="D895" s="111"/>
      <c r="E895" s="115"/>
      <c r="F895" s="108"/>
      <c r="G895" s="98"/>
      <c r="H895" s="116"/>
      <c r="I895" s="111"/>
      <c r="J895" s="115"/>
      <c r="K895" s="108"/>
      <c r="L895" s="98"/>
      <c r="M895" s="116"/>
      <c r="N895" s="111"/>
      <c r="O895" s="115"/>
      <c r="P895" s="108"/>
      <c r="Q895" s="98"/>
      <c r="R895" s="116"/>
      <c r="S895" s="83"/>
      <c r="T895" s="83"/>
      <c r="U895" s="83"/>
      <c r="V895" s="83"/>
      <c r="W895" s="83"/>
      <c r="X895" s="83"/>
      <c r="Y895" s="83"/>
      <c r="Z895" s="83"/>
    </row>
    <row r="896" ht="15.75" customHeight="1">
      <c r="A896" s="118"/>
      <c r="B896" s="118"/>
      <c r="C896" s="94"/>
      <c r="D896" s="111"/>
      <c r="E896" s="115"/>
      <c r="F896" s="108"/>
      <c r="G896" s="98"/>
      <c r="H896" s="116"/>
      <c r="I896" s="111"/>
      <c r="J896" s="115"/>
      <c r="K896" s="108"/>
      <c r="L896" s="98"/>
      <c r="M896" s="116"/>
      <c r="N896" s="111"/>
      <c r="O896" s="115"/>
      <c r="P896" s="108"/>
      <c r="Q896" s="98"/>
      <c r="R896" s="116"/>
      <c r="S896" s="83"/>
      <c r="T896" s="83"/>
      <c r="U896" s="83"/>
      <c r="V896" s="83"/>
      <c r="W896" s="83"/>
      <c r="X896" s="83"/>
      <c r="Y896" s="83"/>
      <c r="Z896" s="83"/>
    </row>
    <row r="897" ht="15.75" customHeight="1">
      <c r="A897" s="118"/>
      <c r="B897" s="118"/>
      <c r="C897" s="94"/>
      <c r="D897" s="111"/>
      <c r="E897" s="115"/>
      <c r="F897" s="108"/>
      <c r="G897" s="98"/>
      <c r="H897" s="116"/>
      <c r="I897" s="111"/>
      <c r="J897" s="115"/>
      <c r="K897" s="108"/>
      <c r="L897" s="98"/>
      <c r="M897" s="116"/>
      <c r="N897" s="111"/>
      <c r="O897" s="115"/>
      <c r="P897" s="108"/>
      <c r="Q897" s="98"/>
      <c r="R897" s="116"/>
      <c r="S897" s="83"/>
      <c r="T897" s="83"/>
      <c r="U897" s="83"/>
      <c r="V897" s="83"/>
      <c r="W897" s="83"/>
      <c r="X897" s="83"/>
      <c r="Y897" s="83"/>
      <c r="Z897" s="83"/>
    </row>
    <row r="898" ht="15.75" customHeight="1">
      <c r="A898" s="118"/>
      <c r="B898" s="118"/>
      <c r="C898" s="94"/>
      <c r="D898" s="111"/>
      <c r="E898" s="115"/>
      <c r="F898" s="108"/>
      <c r="G898" s="98"/>
      <c r="H898" s="116"/>
      <c r="I898" s="111"/>
      <c r="J898" s="115"/>
      <c r="K898" s="108"/>
      <c r="L898" s="98"/>
      <c r="M898" s="116"/>
      <c r="N898" s="111"/>
      <c r="O898" s="115"/>
      <c r="P898" s="108"/>
      <c r="Q898" s="98"/>
      <c r="R898" s="116"/>
      <c r="S898" s="83"/>
      <c r="T898" s="83"/>
      <c r="U898" s="83"/>
      <c r="V898" s="83"/>
      <c r="W898" s="83"/>
      <c r="X898" s="83"/>
      <c r="Y898" s="83"/>
      <c r="Z898" s="83"/>
    </row>
    <row r="899" ht="15.75" customHeight="1">
      <c r="A899" s="118"/>
      <c r="B899" s="118"/>
      <c r="C899" s="94"/>
      <c r="D899" s="111"/>
      <c r="E899" s="115"/>
      <c r="F899" s="108"/>
      <c r="G899" s="98"/>
      <c r="H899" s="116"/>
      <c r="I899" s="111"/>
      <c r="J899" s="115"/>
      <c r="K899" s="108"/>
      <c r="L899" s="98"/>
      <c r="M899" s="116"/>
      <c r="N899" s="111"/>
      <c r="O899" s="115"/>
      <c r="P899" s="108"/>
      <c r="Q899" s="98"/>
      <c r="R899" s="116"/>
      <c r="S899" s="83"/>
      <c r="T899" s="83"/>
      <c r="U899" s="83"/>
      <c r="V899" s="83"/>
      <c r="W899" s="83"/>
      <c r="X899" s="83"/>
      <c r="Y899" s="83"/>
      <c r="Z899" s="83"/>
    </row>
    <row r="900" ht="15.75" customHeight="1">
      <c r="A900" s="118"/>
      <c r="B900" s="118"/>
      <c r="C900" s="94"/>
      <c r="D900" s="111"/>
      <c r="E900" s="115"/>
      <c r="F900" s="108"/>
      <c r="G900" s="98"/>
      <c r="H900" s="116"/>
      <c r="I900" s="111"/>
      <c r="J900" s="115"/>
      <c r="K900" s="108"/>
      <c r="L900" s="98"/>
      <c r="M900" s="116"/>
      <c r="N900" s="111"/>
      <c r="O900" s="115"/>
      <c r="P900" s="108"/>
      <c r="Q900" s="98"/>
      <c r="R900" s="116"/>
      <c r="S900" s="83"/>
      <c r="T900" s="83"/>
      <c r="U900" s="83"/>
      <c r="V900" s="83"/>
      <c r="W900" s="83"/>
      <c r="X900" s="83"/>
      <c r="Y900" s="83"/>
      <c r="Z900" s="83"/>
    </row>
    <row r="901" ht="15.75" customHeight="1">
      <c r="A901" s="118"/>
      <c r="B901" s="118"/>
      <c r="C901" s="94"/>
      <c r="D901" s="111"/>
      <c r="E901" s="115"/>
      <c r="F901" s="108"/>
      <c r="G901" s="98"/>
      <c r="H901" s="116"/>
      <c r="I901" s="111"/>
      <c r="J901" s="115"/>
      <c r="K901" s="108"/>
      <c r="L901" s="98"/>
      <c r="M901" s="116"/>
      <c r="N901" s="111"/>
      <c r="O901" s="115"/>
      <c r="P901" s="108"/>
      <c r="Q901" s="98"/>
      <c r="R901" s="116"/>
      <c r="S901" s="83"/>
      <c r="T901" s="83"/>
      <c r="U901" s="83"/>
      <c r="V901" s="83"/>
      <c r="W901" s="83"/>
      <c r="X901" s="83"/>
      <c r="Y901" s="83"/>
      <c r="Z901" s="83"/>
    </row>
    <row r="902" ht="15.75" customHeight="1">
      <c r="A902" s="118"/>
      <c r="B902" s="118"/>
      <c r="C902" s="94"/>
      <c r="D902" s="111"/>
      <c r="E902" s="115"/>
      <c r="F902" s="108"/>
      <c r="G902" s="98"/>
      <c r="H902" s="116"/>
      <c r="I902" s="111"/>
      <c r="J902" s="115"/>
      <c r="K902" s="108"/>
      <c r="L902" s="98"/>
      <c r="M902" s="116"/>
      <c r="N902" s="111"/>
      <c r="O902" s="115"/>
      <c r="P902" s="108"/>
      <c r="Q902" s="98"/>
      <c r="R902" s="116"/>
      <c r="S902" s="83"/>
      <c r="T902" s="83"/>
      <c r="U902" s="83"/>
      <c r="V902" s="83"/>
      <c r="W902" s="83"/>
      <c r="X902" s="83"/>
      <c r="Y902" s="83"/>
      <c r="Z902" s="83"/>
    </row>
    <row r="903" ht="15.75" customHeight="1">
      <c r="A903" s="118"/>
      <c r="B903" s="118"/>
      <c r="C903" s="94"/>
      <c r="D903" s="111"/>
      <c r="E903" s="115"/>
      <c r="F903" s="108"/>
      <c r="G903" s="98"/>
      <c r="H903" s="116"/>
      <c r="I903" s="111"/>
      <c r="J903" s="115"/>
      <c r="K903" s="108"/>
      <c r="L903" s="98"/>
      <c r="M903" s="116"/>
      <c r="N903" s="111"/>
      <c r="O903" s="115"/>
      <c r="P903" s="108"/>
      <c r="Q903" s="98"/>
      <c r="R903" s="116"/>
      <c r="S903" s="83"/>
      <c r="T903" s="83"/>
      <c r="U903" s="83"/>
      <c r="V903" s="83"/>
      <c r="W903" s="83"/>
      <c r="X903" s="83"/>
      <c r="Y903" s="83"/>
      <c r="Z903" s="83"/>
    </row>
    <row r="904" ht="15.75" customHeight="1">
      <c r="A904" s="118"/>
      <c r="B904" s="118"/>
      <c r="C904" s="94"/>
      <c r="D904" s="111"/>
      <c r="E904" s="115"/>
      <c r="F904" s="108"/>
      <c r="G904" s="98"/>
      <c r="H904" s="116"/>
      <c r="I904" s="111"/>
      <c r="J904" s="115"/>
      <c r="K904" s="108"/>
      <c r="L904" s="98"/>
      <c r="M904" s="116"/>
      <c r="N904" s="111"/>
      <c r="O904" s="115"/>
      <c r="P904" s="108"/>
      <c r="Q904" s="98"/>
      <c r="R904" s="116"/>
      <c r="S904" s="83"/>
      <c r="T904" s="83"/>
      <c r="U904" s="83"/>
      <c r="V904" s="83"/>
      <c r="W904" s="83"/>
      <c r="X904" s="83"/>
      <c r="Y904" s="83"/>
      <c r="Z904" s="83"/>
    </row>
    <row r="905" ht="15.75" customHeight="1">
      <c r="A905" s="118"/>
      <c r="B905" s="118"/>
      <c r="C905" s="94"/>
      <c r="D905" s="111"/>
      <c r="E905" s="115"/>
      <c r="F905" s="108"/>
      <c r="G905" s="98"/>
      <c r="H905" s="116"/>
      <c r="I905" s="111"/>
      <c r="J905" s="115"/>
      <c r="K905" s="108"/>
      <c r="L905" s="98"/>
      <c r="M905" s="116"/>
      <c r="N905" s="111"/>
      <c r="O905" s="115"/>
      <c r="P905" s="108"/>
      <c r="Q905" s="98"/>
      <c r="R905" s="116"/>
      <c r="S905" s="83"/>
      <c r="T905" s="83"/>
      <c r="U905" s="83"/>
      <c r="V905" s="83"/>
      <c r="W905" s="83"/>
      <c r="X905" s="83"/>
      <c r="Y905" s="83"/>
      <c r="Z905" s="83"/>
    </row>
    <row r="906" ht="15.75" customHeight="1">
      <c r="A906" s="118"/>
      <c r="B906" s="118"/>
      <c r="C906" s="94"/>
      <c r="D906" s="111"/>
      <c r="E906" s="115"/>
      <c r="F906" s="108"/>
      <c r="G906" s="98"/>
      <c r="H906" s="116"/>
      <c r="I906" s="111"/>
      <c r="J906" s="115"/>
      <c r="K906" s="108"/>
      <c r="L906" s="98"/>
      <c r="M906" s="116"/>
      <c r="N906" s="111"/>
      <c r="O906" s="115"/>
      <c r="P906" s="108"/>
      <c r="Q906" s="98"/>
      <c r="R906" s="116"/>
      <c r="S906" s="83"/>
      <c r="T906" s="83"/>
      <c r="U906" s="83"/>
      <c r="V906" s="83"/>
      <c r="W906" s="83"/>
      <c r="X906" s="83"/>
      <c r="Y906" s="83"/>
      <c r="Z906" s="83"/>
    </row>
    <row r="907" ht="15.75" customHeight="1">
      <c r="A907" s="118"/>
      <c r="B907" s="118"/>
      <c r="C907" s="94"/>
      <c r="D907" s="111"/>
      <c r="E907" s="115"/>
      <c r="F907" s="108"/>
      <c r="G907" s="98"/>
      <c r="H907" s="116"/>
      <c r="I907" s="111"/>
      <c r="J907" s="115"/>
      <c r="K907" s="108"/>
      <c r="L907" s="98"/>
      <c r="M907" s="116"/>
      <c r="N907" s="111"/>
      <c r="O907" s="115"/>
      <c r="P907" s="108"/>
      <c r="Q907" s="98"/>
      <c r="R907" s="116"/>
      <c r="S907" s="83"/>
      <c r="T907" s="83"/>
      <c r="U907" s="83"/>
      <c r="V907" s="83"/>
      <c r="W907" s="83"/>
      <c r="X907" s="83"/>
      <c r="Y907" s="83"/>
      <c r="Z907" s="83"/>
    </row>
    <row r="908" ht="15.75" customHeight="1">
      <c r="A908" s="118"/>
      <c r="B908" s="118"/>
      <c r="C908" s="94"/>
      <c r="D908" s="111"/>
      <c r="E908" s="115"/>
      <c r="F908" s="108"/>
      <c r="G908" s="98"/>
      <c r="H908" s="116"/>
      <c r="I908" s="111"/>
      <c r="J908" s="115"/>
      <c r="K908" s="108"/>
      <c r="L908" s="98"/>
      <c r="M908" s="116"/>
      <c r="N908" s="111"/>
      <c r="O908" s="115"/>
      <c r="P908" s="108"/>
      <c r="Q908" s="98"/>
      <c r="R908" s="116"/>
      <c r="S908" s="83"/>
      <c r="T908" s="83"/>
      <c r="U908" s="83"/>
      <c r="V908" s="83"/>
      <c r="W908" s="83"/>
      <c r="X908" s="83"/>
      <c r="Y908" s="83"/>
      <c r="Z908" s="83"/>
    </row>
    <row r="909" ht="15.75" customHeight="1">
      <c r="A909" s="118"/>
      <c r="B909" s="118"/>
      <c r="C909" s="94"/>
      <c r="D909" s="111"/>
      <c r="E909" s="115"/>
      <c r="F909" s="108"/>
      <c r="G909" s="98"/>
      <c r="H909" s="116"/>
      <c r="I909" s="111"/>
      <c r="J909" s="115"/>
      <c r="K909" s="108"/>
      <c r="L909" s="98"/>
      <c r="M909" s="116"/>
      <c r="N909" s="111"/>
      <c r="O909" s="115"/>
      <c r="P909" s="108"/>
      <c r="Q909" s="98"/>
      <c r="R909" s="116"/>
      <c r="S909" s="83"/>
      <c r="T909" s="83"/>
      <c r="U909" s="83"/>
      <c r="V909" s="83"/>
      <c r="W909" s="83"/>
      <c r="X909" s="83"/>
      <c r="Y909" s="83"/>
      <c r="Z909" s="83"/>
    </row>
    <row r="910" ht="15.75" customHeight="1">
      <c r="A910" s="118"/>
      <c r="B910" s="118"/>
      <c r="C910" s="94"/>
      <c r="D910" s="111"/>
      <c r="E910" s="115"/>
      <c r="F910" s="108"/>
      <c r="G910" s="98"/>
      <c r="H910" s="116"/>
      <c r="I910" s="111"/>
      <c r="J910" s="115"/>
      <c r="K910" s="108"/>
      <c r="L910" s="98"/>
      <c r="M910" s="116"/>
      <c r="N910" s="111"/>
      <c r="O910" s="115"/>
      <c r="P910" s="108"/>
      <c r="Q910" s="98"/>
      <c r="R910" s="116"/>
      <c r="S910" s="83"/>
      <c r="T910" s="83"/>
      <c r="U910" s="83"/>
      <c r="V910" s="83"/>
      <c r="W910" s="83"/>
      <c r="X910" s="83"/>
      <c r="Y910" s="83"/>
      <c r="Z910" s="83"/>
    </row>
    <row r="911" ht="15.75" customHeight="1">
      <c r="A911" s="118"/>
      <c r="B911" s="118"/>
      <c r="C911" s="94"/>
      <c r="D911" s="111"/>
      <c r="E911" s="115"/>
      <c r="F911" s="108"/>
      <c r="G911" s="98"/>
      <c r="H911" s="116"/>
      <c r="I911" s="111"/>
      <c r="J911" s="115"/>
      <c r="K911" s="108"/>
      <c r="L911" s="98"/>
      <c r="M911" s="116"/>
      <c r="N911" s="111"/>
      <c r="O911" s="115"/>
      <c r="P911" s="108"/>
      <c r="Q911" s="98"/>
      <c r="R911" s="116"/>
      <c r="S911" s="83"/>
      <c r="T911" s="83"/>
      <c r="U911" s="83"/>
      <c r="V911" s="83"/>
      <c r="W911" s="83"/>
      <c r="X911" s="83"/>
      <c r="Y911" s="83"/>
      <c r="Z911" s="83"/>
    </row>
    <row r="912" ht="15.75" customHeight="1">
      <c r="A912" s="118"/>
      <c r="B912" s="118"/>
      <c r="C912" s="94"/>
      <c r="D912" s="111"/>
      <c r="E912" s="115"/>
      <c r="F912" s="108"/>
      <c r="G912" s="98"/>
      <c r="H912" s="116"/>
      <c r="I912" s="111"/>
      <c r="J912" s="115"/>
      <c r="K912" s="108"/>
      <c r="L912" s="98"/>
      <c r="M912" s="116"/>
      <c r="N912" s="111"/>
      <c r="O912" s="115"/>
      <c r="P912" s="108"/>
      <c r="Q912" s="98"/>
      <c r="R912" s="116"/>
      <c r="S912" s="83"/>
      <c r="T912" s="83"/>
      <c r="U912" s="83"/>
      <c r="V912" s="83"/>
      <c r="W912" s="83"/>
      <c r="X912" s="83"/>
      <c r="Y912" s="83"/>
      <c r="Z912" s="83"/>
    </row>
    <row r="913" ht="15.75" customHeight="1">
      <c r="A913" s="118"/>
      <c r="B913" s="118"/>
      <c r="C913" s="94"/>
      <c r="D913" s="111"/>
      <c r="E913" s="115"/>
      <c r="F913" s="108"/>
      <c r="G913" s="98"/>
      <c r="H913" s="116"/>
      <c r="I913" s="111"/>
      <c r="J913" s="115"/>
      <c r="K913" s="108"/>
      <c r="L913" s="98"/>
      <c r="M913" s="116"/>
      <c r="N913" s="111"/>
      <c r="O913" s="115"/>
      <c r="P913" s="108"/>
      <c r="Q913" s="98"/>
      <c r="R913" s="116"/>
      <c r="S913" s="83"/>
      <c r="T913" s="83"/>
      <c r="U913" s="83"/>
      <c r="V913" s="83"/>
      <c r="W913" s="83"/>
      <c r="X913" s="83"/>
      <c r="Y913" s="83"/>
      <c r="Z913" s="83"/>
    </row>
    <row r="914" ht="15.75" customHeight="1">
      <c r="A914" s="118"/>
      <c r="B914" s="118"/>
      <c r="C914" s="94"/>
      <c r="D914" s="111"/>
      <c r="E914" s="115"/>
      <c r="F914" s="108"/>
      <c r="G914" s="98"/>
      <c r="H914" s="116"/>
      <c r="I914" s="111"/>
      <c r="J914" s="115"/>
      <c r="K914" s="108"/>
      <c r="L914" s="98"/>
      <c r="M914" s="116"/>
      <c r="N914" s="111"/>
      <c r="O914" s="115"/>
      <c r="P914" s="108"/>
      <c r="Q914" s="98"/>
      <c r="R914" s="116"/>
      <c r="S914" s="83"/>
      <c r="T914" s="83"/>
      <c r="U914" s="83"/>
      <c r="V914" s="83"/>
      <c r="W914" s="83"/>
      <c r="X914" s="83"/>
      <c r="Y914" s="83"/>
      <c r="Z914" s="83"/>
    </row>
    <row r="915" ht="15.75" customHeight="1">
      <c r="A915" s="118"/>
      <c r="B915" s="118"/>
      <c r="C915" s="94"/>
      <c r="D915" s="111"/>
      <c r="E915" s="115"/>
      <c r="F915" s="108"/>
      <c r="G915" s="98"/>
      <c r="H915" s="116"/>
      <c r="I915" s="111"/>
      <c r="J915" s="115"/>
      <c r="K915" s="108"/>
      <c r="L915" s="98"/>
      <c r="M915" s="116"/>
      <c r="N915" s="111"/>
      <c r="O915" s="115"/>
      <c r="P915" s="108"/>
      <c r="Q915" s="98"/>
      <c r="R915" s="116"/>
      <c r="S915" s="83"/>
      <c r="T915" s="83"/>
      <c r="U915" s="83"/>
      <c r="V915" s="83"/>
      <c r="W915" s="83"/>
      <c r="X915" s="83"/>
      <c r="Y915" s="83"/>
      <c r="Z915" s="83"/>
    </row>
    <row r="916" ht="15.75" customHeight="1">
      <c r="A916" s="118"/>
      <c r="B916" s="118"/>
      <c r="C916" s="94"/>
      <c r="D916" s="111"/>
      <c r="E916" s="115"/>
      <c r="F916" s="108"/>
      <c r="G916" s="98"/>
      <c r="H916" s="116"/>
      <c r="I916" s="111"/>
      <c r="J916" s="115"/>
      <c r="K916" s="108"/>
      <c r="L916" s="98"/>
      <c r="M916" s="116"/>
      <c r="N916" s="111"/>
      <c r="O916" s="115"/>
      <c r="P916" s="108"/>
      <c r="Q916" s="98"/>
      <c r="R916" s="116"/>
      <c r="S916" s="83"/>
      <c r="T916" s="83"/>
      <c r="U916" s="83"/>
      <c r="V916" s="83"/>
      <c r="W916" s="83"/>
      <c r="X916" s="83"/>
      <c r="Y916" s="83"/>
      <c r="Z916" s="83"/>
    </row>
    <row r="917" ht="15.75" customHeight="1">
      <c r="A917" s="118"/>
      <c r="B917" s="118"/>
      <c r="C917" s="94"/>
      <c r="D917" s="111"/>
      <c r="E917" s="115"/>
      <c r="F917" s="108"/>
      <c r="G917" s="98"/>
      <c r="H917" s="116"/>
      <c r="I917" s="111"/>
      <c r="J917" s="115"/>
      <c r="K917" s="108"/>
      <c r="L917" s="98"/>
      <c r="M917" s="116"/>
      <c r="N917" s="111"/>
      <c r="O917" s="115"/>
      <c r="P917" s="108"/>
      <c r="Q917" s="98"/>
      <c r="R917" s="116"/>
      <c r="S917" s="83"/>
      <c r="T917" s="83"/>
      <c r="U917" s="83"/>
      <c r="V917" s="83"/>
      <c r="W917" s="83"/>
      <c r="X917" s="83"/>
      <c r="Y917" s="83"/>
      <c r="Z917" s="83"/>
    </row>
    <row r="918" ht="15.75" customHeight="1">
      <c r="A918" s="118"/>
      <c r="B918" s="118"/>
      <c r="C918" s="94"/>
      <c r="D918" s="111"/>
      <c r="E918" s="115"/>
      <c r="F918" s="108"/>
      <c r="G918" s="98"/>
      <c r="H918" s="116"/>
      <c r="I918" s="111"/>
      <c r="J918" s="115"/>
      <c r="K918" s="108"/>
      <c r="L918" s="98"/>
      <c r="M918" s="116"/>
      <c r="N918" s="111"/>
      <c r="O918" s="115"/>
      <c r="P918" s="108"/>
      <c r="Q918" s="98"/>
      <c r="R918" s="116"/>
      <c r="S918" s="83"/>
      <c r="T918" s="83"/>
      <c r="U918" s="83"/>
      <c r="V918" s="83"/>
      <c r="W918" s="83"/>
      <c r="X918" s="83"/>
      <c r="Y918" s="83"/>
      <c r="Z918" s="83"/>
    </row>
    <row r="919" ht="15.75" customHeight="1">
      <c r="A919" s="118"/>
      <c r="B919" s="118"/>
      <c r="C919" s="94"/>
      <c r="D919" s="111"/>
      <c r="E919" s="115"/>
      <c r="F919" s="108"/>
      <c r="G919" s="98"/>
      <c r="H919" s="116"/>
      <c r="I919" s="111"/>
      <c r="J919" s="115"/>
      <c r="K919" s="108"/>
      <c r="L919" s="98"/>
      <c r="M919" s="116"/>
      <c r="N919" s="111"/>
      <c r="O919" s="115"/>
      <c r="P919" s="108"/>
      <c r="Q919" s="98"/>
      <c r="R919" s="116"/>
      <c r="S919" s="83"/>
      <c r="T919" s="83"/>
      <c r="U919" s="83"/>
      <c r="V919" s="83"/>
      <c r="W919" s="83"/>
      <c r="X919" s="83"/>
      <c r="Y919" s="83"/>
      <c r="Z919" s="83"/>
    </row>
    <row r="920" ht="15.75" customHeight="1">
      <c r="A920" s="118"/>
      <c r="B920" s="118"/>
      <c r="C920" s="94"/>
      <c r="D920" s="111"/>
      <c r="E920" s="115"/>
      <c r="F920" s="108"/>
      <c r="G920" s="98"/>
      <c r="H920" s="116"/>
      <c r="I920" s="111"/>
      <c r="J920" s="115"/>
      <c r="K920" s="108"/>
      <c r="L920" s="98"/>
      <c r="M920" s="116"/>
      <c r="N920" s="111"/>
      <c r="O920" s="115"/>
      <c r="P920" s="108"/>
      <c r="Q920" s="98"/>
      <c r="R920" s="116"/>
      <c r="S920" s="83"/>
      <c r="T920" s="83"/>
      <c r="U920" s="83"/>
      <c r="V920" s="83"/>
      <c r="W920" s="83"/>
      <c r="X920" s="83"/>
      <c r="Y920" s="83"/>
      <c r="Z920" s="83"/>
    </row>
    <row r="921" ht="15.75" customHeight="1">
      <c r="A921" s="118"/>
      <c r="B921" s="118"/>
      <c r="C921" s="94"/>
      <c r="D921" s="111"/>
      <c r="E921" s="115"/>
      <c r="F921" s="108"/>
      <c r="G921" s="98"/>
      <c r="H921" s="116"/>
      <c r="I921" s="111"/>
      <c r="J921" s="115"/>
      <c r="K921" s="108"/>
      <c r="L921" s="98"/>
      <c r="M921" s="116"/>
      <c r="N921" s="111"/>
      <c r="O921" s="115"/>
      <c r="P921" s="108"/>
      <c r="Q921" s="98"/>
      <c r="R921" s="116"/>
      <c r="S921" s="83"/>
      <c r="T921" s="83"/>
      <c r="U921" s="83"/>
      <c r="V921" s="83"/>
      <c r="W921" s="83"/>
      <c r="X921" s="83"/>
      <c r="Y921" s="83"/>
      <c r="Z921" s="83"/>
    </row>
    <row r="922" ht="15.75" customHeight="1">
      <c r="A922" s="118"/>
      <c r="B922" s="118"/>
      <c r="C922" s="94"/>
      <c r="D922" s="111"/>
      <c r="E922" s="115"/>
      <c r="F922" s="108"/>
      <c r="G922" s="98"/>
      <c r="H922" s="116"/>
      <c r="I922" s="111"/>
      <c r="J922" s="115"/>
      <c r="K922" s="108"/>
      <c r="L922" s="98"/>
      <c r="M922" s="116"/>
      <c r="N922" s="111"/>
      <c r="O922" s="115"/>
      <c r="P922" s="108"/>
      <c r="Q922" s="98"/>
      <c r="R922" s="116"/>
      <c r="S922" s="83"/>
      <c r="T922" s="83"/>
      <c r="U922" s="83"/>
      <c r="V922" s="83"/>
      <c r="W922" s="83"/>
      <c r="X922" s="83"/>
      <c r="Y922" s="83"/>
      <c r="Z922" s="83"/>
    </row>
    <row r="923" ht="15.75" customHeight="1">
      <c r="A923" s="118"/>
      <c r="B923" s="118"/>
      <c r="C923" s="94"/>
      <c r="D923" s="111"/>
      <c r="E923" s="115"/>
      <c r="F923" s="108"/>
      <c r="G923" s="98"/>
      <c r="H923" s="116"/>
      <c r="I923" s="111"/>
      <c r="J923" s="115"/>
      <c r="K923" s="108"/>
      <c r="L923" s="98"/>
      <c r="M923" s="116"/>
      <c r="N923" s="111"/>
      <c r="O923" s="115"/>
      <c r="P923" s="108"/>
      <c r="Q923" s="98"/>
      <c r="R923" s="116"/>
      <c r="S923" s="83"/>
      <c r="T923" s="83"/>
      <c r="U923" s="83"/>
      <c r="V923" s="83"/>
      <c r="W923" s="83"/>
      <c r="X923" s="83"/>
      <c r="Y923" s="83"/>
      <c r="Z923" s="83"/>
    </row>
    <row r="924" ht="15.75" customHeight="1">
      <c r="A924" s="118"/>
      <c r="B924" s="118"/>
      <c r="C924" s="94"/>
      <c r="D924" s="111"/>
      <c r="E924" s="115"/>
      <c r="F924" s="108"/>
      <c r="G924" s="98"/>
      <c r="H924" s="116"/>
      <c r="I924" s="111"/>
      <c r="J924" s="115"/>
      <c r="K924" s="108"/>
      <c r="L924" s="98"/>
      <c r="M924" s="116"/>
      <c r="N924" s="111"/>
      <c r="O924" s="115"/>
      <c r="P924" s="108"/>
      <c r="Q924" s="98"/>
      <c r="R924" s="116"/>
      <c r="S924" s="83"/>
      <c r="T924" s="83"/>
      <c r="U924" s="83"/>
      <c r="V924" s="83"/>
      <c r="W924" s="83"/>
      <c r="X924" s="83"/>
      <c r="Y924" s="83"/>
      <c r="Z924" s="83"/>
    </row>
    <row r="925" ht="15.75" customHeight="1">
      <c r="A925" s="118"/>
      <c r="B925" s="118"/>
      <c r="C925" s="94"/>
      <c r="D925" s="111"/>
      <c r="E925" s="115"/>
      <c r="F925" s="108"/>
      <c r="G925" s="98"/>
      <c r="H925" s="116"/>
      <c r="I925" s="111"/>
      <c r="J925" s="115"/>
      <c r="K925" s="108"/>
      <c r="L925" s="98"/>
      <c r="M925" s="116"/>
      <c r="N925" s="111"/>
      <c r="O925" s="115"/>
      <c r="P925" s="108"/>
      <c r="Q925" s="98"/>
      <c r="R925" s="116"/>
      <c r="S925" s="83"/>
      <c r="T925" s="83"/>
      <c r="U925" s="83"/>
      <c r="V925" s="83"/>
      <c r="W925" s="83"/>
      <c r="X925" s="83"/>
      <c r="Y925" s="83"/>
      <c r="Z925" s="83"/>
    </row>
    <row r="926" ht="15.75" customHeight="1">
      <c r="A926" s="118"/>
      <c r="B926" s="118"/>
      <c r="C926" s="94"/>
      <c r="D926" s="111"/>
      <c r="E926" s="115"/>
      <c r="F926" s="108"/>
      <c r="G926" s="98"/>
      <c r="H926" s="116"/>
      <c r="I926" s="111"/>
      <c r="J926" s="115"/>
      <c r="K926" s="108"/>
      <c r="L926" s="98"/>
      <c r="M926" s="116"/>
      <c r="N926" s="111"/>
      <c r="O926" s="115"/>
      <c r="P926" s="108"/>
      <c r="Q926" s="98"/>
      <c r="R926" s="116"/>
      <c r="S926" s="83"/>
      <c r="T926" s="83"/>
      <c r="U926" s="83"/>
      <c r="V926" s="83"/>
      <c r="W926" s="83"/>
      <c r="X926" s="83"/>
      <c r="Y926" s="83"/>
      <c r="Z926" s="83"/>
    </row>
    <row r="927" ht="15.75" customHeight="1">
      <c r="A927" s="118"/>
      <c r="B927" s="118"/>
      <c r="C927" s="94"/>
      <c r="D927" s="111"/>
      <c r="E927" s="115"/>
      <c r="F927" s="108"/>
      <c r="G927" s="98"/>
      <c r="H927" s="116"/>
      <c r="I927" s="111"/>
      <c r="J927" s="115"/>
      <c r="K927" s="108"/>
      <c r="L927" s="98"/>
      <c r="M927" s="116"/>
      <c r="N927" s="111"/>
      <c r="O927" s="115"/>
      <c r="P927" s="108"/>
      <c r="Q927" s="98"/>
      <c r="R927" s="116"/>
      <c r="S927" s="83"/>
      <c r="T927" s="83"/>
      <c r="U927" s="83"/>
      <c r="V927" s="83"/>
      <c r="W927" s="83"/>
      <c r="X927" s="83"/>
      <c r="Y927" s="83"/>
      <c r="Z927" s="83"/>
    </row>
    <row r="928" ht="15.75" customHeight="1">
      <c r="A928" s="118"/>
      <c r="B928" s="118"/>
      <c r="C928" s="94"/>
      <c r="D928" s="111"/>
      <c r="E928" s="115"/>
      <c r="F928" s="108"/>
      <c r="G928" s="98"/>
      <c r="H928" s="116"/>
      <c r="I928" s="111"/>
      <c r="J928" s="115"/>
      <c r="K928" s="108"/>
      <c r="L928" s="98"/>
      <c r="M928" s="116"/>
      <c r="N928" s="111"/>
      <c r="O928" s="115"/>
      <c r="P928" s="108"/>
      <c r="Q928" s="98"/>
      <c r="R928" s="116"/>
      <c r="S928" s="83"/>
      <c r="T928" s="83"/>
      <c r="U928" s="83"/>
      <c r="V928" s="83"/>
      <c r="W928" s="83"/>
      <c r="X928" s="83"/>
      <c r="Y928" s="83"/>
      <c r="Z928" s="83"/>
    </row>
    <row r="929" ht="15.75" customHeight="1">
      <c r="A929" s="118"/>
      <c r="B929" s="118"/>
      <c r="C929" s="94"/>
      <c r="D929" s="111"/>
      <c r="E929" s="115"/>
      <c r="F929" s="108"/>
      <c r="G929" s="98"/>
      <c r="H929" s="116"/>
      <c r="I929" s="111"/>
      <c r="J929" s="115"/>
      <c r="K929" s="108"/>
      <c r="L929" s="98"/>
      <c r="M929" s="116"/>
      <c r="N929" s="111"/>
      <c r="O929" s="115"/>
      <c r="P929" s="108"/>
      <c r="Q929" s="98"/>
      <c r="R929" s="116"/>
      <c r="S929" s="83"/>
      <c r="T929" s="83"/>
      <c r="U929" s="83"/>
      <c r="V929" s="83"/>
      <c r="W929" s="83"/>
      <c r="X929" s="83"/>
      <c r="Y929" s="83"/>
      <c r="Z929" s="83"/>
    </row>
    <row r="930" ht="15.75" customHeight="1">
      <c r="A930" s="118"/>
      <c r="B930" s="118"/>
      <c r="C930" s="94"/>
      <c r="D930" s="111"/>
      <c r="E930" s="115"/>
      <c r="F930" s="108"/>
      <c r="G930" s="98"/>
      <c r="H930" s="116"/>
      <c r="I930" s="111"/>
      <c r="J930" s="115"/>
      <c r="K930" s="108"/>
      <c r="L930" s="98"/>
      <c r="M930" s="116"/>
      <c r="N930" s="111"/>
      <c r="O930" s="115"/>
      <c r="P930" s="108"/>
      <c r="Q930" s="98"/>
      <c r="R930" s="116"/>
      <c r="S930" s="83"/>
      <c r="T930" s="83"/>
      <c r="U930" s="83"/>
      <c r="V930" s="83"/>
      <c r="W930" s="83"/>
      <c r="X930" s="83"/>
      <c r="Y930" s="83"/>
      <c r="Z930" s="83"/>
    </row>
    <row r="931" ht="15.75" customHeight="1">
      <c r="A931" s="118"/>
      <c r="B931" s="118"/>
      <c r="C931" s="94"/>
      <c r="D931" s="111"/>
      <c r="E931" s="115"/>
      <c r="F931" s="108"/>
      <c r="G931" s="98"/>
      <c r="H931" s="116"/>
      <c r="I931" s="111"/>
      <c r="J931" s="115"/>
      <c r="K931" s="108"/>
      <c r="L931" s="98"/>
      <c r="M931" s="116"/>
      <c r="N931" s="111"/>
      <c r="O931" s="115"/>
      <c r="P931" s="108"/>
      <c r="Q931" s="98"/>
      <c r="R931" s="116"/>
      <c r="S931" s="83"/>
      <c r="T931" s="83"/>
      <c r="U931" s="83"/>
      <c r="V931" s="83"/>
      <c r="W931" s="83"/>
      <c r="X931" s="83"/>
      <c r="Y931" s="83"/>
      <c r="Z931" s="83"/>
    </row>
    <row r="932" ht="15.75" customHeight="1">
      <c r="A932" s="118"/>
      <c r="B932" s="118"/>
      <c r="C932" s="94"/>
      <c r="D932" s="111"/>
      <c r="E932" s="115"/>
      <c r="F932" s="108"/>
      <c r="G932" s="98"/>
      <c r="H932" s="116"/>
      <c r="I932" s="111"/>
      <c r="J932" s="115"/>
      <c r="K932" s="108"/>
      <c r="L932" s="98"/>
      <c r="M932" s="116"/>
      <c r="N932" s="111"/>
      <c r="O932" s="115"/>
      <c r="P932" s="108"/>
      <c r="Q932" s="98"/>
      <c r="R932" s="116"/>
      <c r="S932" s="83"/>
      <c r="T932" s="83"/>
      <c r="U932" s="83"/>
      <c r="V932" s="83"/>
      <c r="W932" s="83"/>
      <c r="X932" s="83"/>
      <c r="Y932" s="83"/>
      <c r="Z932" s="83"/>
    </row>
    <row r="933" ht="15.75" customHeight="1">
      <c r="A933" s="118"/>
      <c r="B933" s="118"/>
      <c r="C933" s="94"/>
      <c r="D933" s="111"/>
      <c r="E933" s="115"/>
      <c r="F933" s="108"/>
      <c r="G933" s="98"/>
      <c r="H933" s="116"/>
      <c r="I933" s="111"/>
      <c r="J933" s="115"/>
      <c r="K933" s="108"/>
      <c r="L933" s="98"/>
      <c r="M933" s="116"/>
      <c r="N933" s="111"/>
      <c r="O933" s="115"/>
      <c r="P933" s="108"/>
      <c r="Q933" s="98"/>
      <c r="R933" s="116"/>
      <c r="S933" s="83"/>
      <c r="T933" s="83"/>
      <c r="U933" s="83"/>
      <c r="V933" s="83"/>
      <c r="W933" s="83"/>
      <c r="X933" s="83"/>
      <c r="Y933" s="83"/>
      <c r="Z933" s="83"/>
    </row>
    <row r="934" ht="15.75" customHeight="1">
      <c r="A934" s="118"/>
      <c r="B934" s="118"/>
      <c r="C934" s="94"/>
      <c r="D934" s="111"/>
      <c r="E934" s="115"/>
      <c r="F934" s="108"/>
      <c r="G934" s="98"/>
      <c r="H934" s="116"/>
      <c r="I934" s="111"/>
      <c r="J934" s="115"/>
      <c r="K934" s="108"/>
      <c r="L934" s="98"/>
      <c r="M934" s="116"/>
      <c r="N934" s="111"/>
      <c r="O934" s="115"/>
      <c r="P934" s="108"/>
      <c r="Q934" s="98"/>
      <c r="R934" s="116"/>
      <c r="S934" s="83"/>
      <c r="T934" s="83"/>
      <c r="U934" s="83"/>
      <c r="V934" s="83"/>
      <c r="W934" s="83"/>
      <c r="X934" s="83"/>
      <c r="Y934" s="83"/>
      <c r="Z934" s="83"/>
    </row>
    <row r="935" ht="15.75" customHeight="1">
      <c r="A935" s="118"/>
      <c r="B935" s="118"/>
      <c r="C935" s="94"/>
      <c r="D935" s="111"/>
      <c r="E935" s="115"/>
      <c r="F935" s="108"/>
      <c r="G935" s="98"/>
      <c r="H935" s="116"/>
      <c r="I935" s="111"/>
      <c r="J935" s="115"/>
      <c r="K935" s="108"/>
      <c r="L935" s="98"/>
      <c r="M935" s="116"/>
      <c r="N935" s="111"/>
      <c r="O935" s="115"/>
      <c r="P935" s="108"/>
      <c r="Q935" s="98"/>
      <c r="R935" s="116"/>
      <c r="S935" s="83"/>
      <c r="T935" s="83"/>
      <c r="U935" s="83"/>
      <c r="V935" s="83"/>
      <c r="W935" s="83"/>
      <c r="X935" s="83"/>
      <c r="Y935" s="83"/>
      <c r="Z935" s="83"/>
    </row>
    <row r="936" ht="15.75" customHeight="1">
      <c r="A936" s="118"/>
      <c r="B936" s="118"/>
      <c r="C936" s="94"/>
      <c r="D936" s="111"/>
      <c r="E936" s="115"/>
      <c r="F936" s="108"/>
      <c r="G936" s="98"/>
      <c r="H936" s="116"/>
      <c r="I936" s="111"/>
      <c r="J936" s="115"/>
      <c r="K936" s="108"/>
      <c r="L936" s="98"/>
      <c r="M936" s="116"/>
      <c r="N936" s="111"/>
      <c r="O936" s="115"/>
      <c r="P936" s="108"/>
      <c r="Q936" s="98"/>
      <c r="R936" s="116"/>
      <c r="S936" s="83"/>
      <c r="T936" s="83"/>
      <c r="U936" s="83"/>
      <c r="V936" s="83"/>
      <c r="W936" s="83"/>
      <c r="X936" s="83"/>
      <c r="Y936" s="83"/>
      <c r="Z936" s="83"/>
    </row>
    <row r="937" ht="15.75" customHeight="1">
      <c r="A937" s="118"/>
      <c r="B937" s="118"/>
      <c r="C937" s="94"/>
      <c r="D937" s="111"/>
      <c r="E937" s="115"/>
      <c r="F937" s="108"/>
      <c r="G937" s="98"/>
      <c r="H937" s="116"/>
      <c r="I937" s="111"/>
      <c r="J937" s="115"/>
      <c r="K937" s="108"/>
      <c r="L937" s="98"/>
      <c r="M937" s="116"/>
      <c r="N937" s="111"/>
      <c r="O937" s="115"/>
      <c r="P937" s="108"/>
      <c r="Q937" s="98"/>
      <c r="R937" s="116"/>
      <c r="S937" s="83"/>
      <c r="T937" s="83"/>
      <c r="U937" s="83"/>
      <c r="V937" s="83"/>
      <c r="W937" s="83"/>
      <c r="X937" s="83"/>
      <c r="Y937" s="83"/>
      <c r="Z937" s="83"/>
    </row>
    <row r="938" ht="15.75" customHeight="1">
      <c r="A938" s="118"/>
      <c r="B938" s="118"/>
      <c r="C938" s="94"/>
      <c r="D938" s="111"/>
      <c r="E938" s="115"/>
      <c r="F938" s="108"/>
      <c r="G938" s="98"/>
      <c r="H938" s="116"/>
      <c r="I938" s="111"/>
      <c r="J938" s="115"/>
      <c r="K938" s="108"/>
      <c r="L938" s="98"/>
      <c r="M938" s="116"/>
      <c r="N938" s="111"/>
      <c r="O938" s="115"/>
      <c r="P938" s="108"/>
      <c r="Q938" s="98"/>
      <c r="R938" s="116"/>
      <c r="S938" s="83"/>
      <c r="T938" s="83"/>
      <c r="U938" s="83"/>
      <c r="V938" s="83"/>
      <c r="W938" s="83"/>
      <c r="X938" s="83"/>
      <c r="Y938" s="83"/>
      <c r="Z938" s="83"/>
    </row>
    <row r="939" ht="15.75" customHeight="1">
      <c r="A939" s="118"/>
      <c r="B939" s="118"/>
      <c r="C939" s="94"/>
      <c r="D939" s="111"/>
      <c r="E939" s="115"/>
      <c r="F939" s="108"/>
      <c r="G939" s="98"/>
      <c r="H939" s="116"/>
      <c r="I939" s="111"/>
      <c r="J939" s="115"/>
      <c r="K939" s="108"/>
      <c r="L939" s="98"/>
      <c r="M939" s="116"/>
      <c r="N939" s="111"/>
      <c r="O939" s="115"/>
      <c r="P939" s="108"/>
      <c r="Q939" s="98"/>
      <c r="R939" s="116"/>
      <c r="S939" s="83"/>
      <c r="T939" s="83"/>
      <c r="U939" s="83"/>
      <c r="V939" s="83"/>
      <c r="W939" s="83"/>
      <c r="X939" s="83"/>
      <c r="Y939" s="83"/>
      <c r="Z939" s="83"/>
    </row>
    <row r="940" ht="15.75" customHeight="1">
      <c r="A940" s="118"/>
      <c r="B940" s="118"/>
      <c r="C940" s="94"/>
      <c r="D940" s="111"/>
      <c r="E940" s="115"/>
      <c r="F940" s="108"/>
      <c r="G940" s="98"/>
      <c r="H940" s="116"/>
      <c r="I940" s="111"/>
      <c r="J940" s="115"/>
      <c r="K940" s="108"/>
      <c r="L940" s="98"/>
      <c r="M940" s="116"/>
      <c r="N940" s="111"/>
      <c r="O940" s="115"/>
      <c r="P940" s="108"/>
      <c r="Q940" s="98"/>
      <c r="R940" s="116"/>
      <c r="S940" s="83"/>
      <c r="T940" s="83"/>
      <c r="U940" s="83"/>
      <c r="V940" s="83"/>
      <c r="W940" s="83"/>
      <c r="X940" s="83"/>
      <c r="Y940" s="83"/>
      <c r="Z940" s="83"/>
    </row>
    <row r="941" ht="15.75" customHeight="1">
      <c r="A941" s="118"/>
      <c r="B941" s="118"/>
      <c r="C941" s="94"/>
      <c r="D941" s="111"/>
      <c r="E941" s="115"/>
      <c r="F941" s="108"/>
      <c r="G941" s="98"/>
      <c r="H941" s="116"/>
      <c r="I941" s="111"/>
      <c r="J941" s="115"/>
      <c r="K941" s="108"/>
      <c r="L941" s="98"/>
      <c r="M941" s="116"/>
      <c r="N941" s="111"/>
      <c r="O941" s="115"/>
      <c r="P941" s="108"/>
      <c r="Q941" s="98"/>
      <c r="R941" s="116"/>
      <c r="S941" s="83"/>
      <c r="T941" s="83"/>
      <c r="U941" s="83"/>
      <c r="V941" s="83"/>
      <c r="W941" s="83"/>
      <c r="X941" s="83"/>
      <c r="Y941" s="83"/>
      <c r="Z941" s="83"/>
    </row>
    <row r="942" ht="15.75" customHeight="1">
      <c r="A942" s="118"/>
      <c r="B942" s="118"/>
      <c r="C942" s="94"/>
      <c r="D942" s="111"/>
      <c r="E942" s="115"/>
      <c r="F942" s="108"/>
      <c r="G942" s="98"/>
      <c r="H942" s="116"/>
      <c r="I942" s="111"/>
      <c r="J942" s="115"/>
      <c r="K942" s="108"/>
      <c r="L942" s="98"/>
      <c r="M942" s="116"/>
      <c r="N942" s="111"/>
      <c r="O942" s="115"/>
      <c r="P942" s="108"/>
      <c r="Q942" s="98"/>
      <c r="R942" s="116"/>
      <c r="S942" s="83"/>
      <c r="T942" s="83"/>
      <c r="U942" s="83"/>
      <c r="V942" s="83"/>
      <c r="W942" s="83"/>
      <c r="X942" s="83"/>
      <c r="Y942" s="83"/>
      <c r="Z942" s="83"/>
    </row>
    <row r="943" ht="15.75" customHeight="1">
      <c r="A943" s="118"/>
      <c r="B943" s="118"/>
      <c r="C943" s="94"/>
      <c r="D943" s="111"/>
      <c r="E943" s="115"/>
      <c r="F943" s="108"/>
      <c r="G943" s="98"/>
      <c r="H943" s="116"/>
      <c r="I943" s="111"/>
      <c r="J943" s="115"/>
      <c r="K943" s="108"/>
      <c r="L943" s="98"/>
      <c r="M943" s="116"/>
      <c r="N943" s="111"/>
      <c r="O943" s="115"/>
      <c r="P943" s="108"/>
      <c r="Q943" s="98"/>
      <c r="R943" s="116"/>
      <c r="S943" s="83"/>
      <c r="T943" s="83"/>
      <c r="U943" s="83"/>
      <c r="V943" s="83"/>
      <c r="W943" s="83"/>
      <c r="X943" s="83"/>
      <c r="Y943" s="83"/>
      <c r="Z943" s="83"/>
    </row>
    <row r="944" ht="15.75" customHeight="1">
      <c r="A944" s="118"/>
      <c r="B944" s="118"/>
      <c r="C944" s="94"/>
      <c r="D944" s="111"/>
      <c r="E944" s="115"/>
      <c r="F944" s="108"/>
      <c r="G944" s="98"/>
      <c r="H944" s="116"/>
      <c r="I944" s="111"/>
      <c r="J944" s="115"/>
      <c r="K944" s="108"/>
      <c r="L944" s="98"/>
      <c r="M944" s="116"/>
      <c r="N944" s="111"/>
      <c r="O944" s="115"/>
      <c r="P944" s="108"/>
      <c r="Q944" s="98"/>
      <c r="R944" s="116"/>
      <c r="S944" s="83"/>
      <c r="T944" s="83"/>
      <c r="U944" s="83"/>
      <c r="V944" s="83"/>
      <c r="W944" s="83"/>
      <c r="X944" s="83"/>
      <c r="Y944" s="83"/>
      <c r="Z944" s="83"/>
    </row>
    <row r="945" ht="15.75" customHeight="1">
      <c r="A945" s="118"/>
      <c r="B945" s="118"/>
      <c r="C945" s="94"/>
      <c r="D945" s="111"/>
      <c r="E945" s="115"/>
      <c r="F945" s="108"/>
      <c r="G945" s="98"/>
      <c r="H945" s="116"/>
      <c r="I945" s="111"/>
      <c r="J945" s="115"/>
      <c r="K945" s="108"/>
      <c r="L945" s="98"/>
      <c r="M945" s="116"/>
      <c r="N945" s="111"/>
      <c r="O945" s="115"/>
      <c r="P945" s="108"/>
      <c r="Q945" s="98"/>
      <c r="R945" s="116"/>
      <c r="S945" s="83"/>
      <c r="T945" s="83"/>
      <c r="U945" s="83"/>
      <c r="V945" s="83"/>
      <c r="W945" s="83"/>
      <c r="X945" s="83"/>
      <c r="Y945" s="83"/>
      <c r="Z945" s="83"/>
    </row>
    <row r="946" ht="15.75" customHeight="1">
      <c r="A946" s="118"/>
      <c r="B946" s="118"/>
      <c r="C946" s="94"/>
      <c r="D946" s="111"/>
      <c r="E946" s="115"/>
      <c r="F946" s="108"/>
      <c r="G946" s="98"/>
      <c r="H946" s="116"/>
      <c r="I946" s="111"/>
      <c r="J946" s="115"/>
      <c r="K946" s="108"/>
      <c r="L946" s="98"/>
      <c r="M946" s="116"/>
      <c r="N946" s="111"/>
      <c r="O946" s="115"/>
      <c r="P946" s="108"/>
      <c r="Q946" s="98"/>
      <c r="R946" s="116"/>
      <c r="S946" s="83"/>
      <c r="T946" s="83"/>
      <c r="U946" s="83"/>
      <c r="V946" s="83"/>
      <c r="W946" s="83"/>
      <c r="X946" s="83"/>
      <c r="Y946" s="83"/>
      <c r="Z946" s="83"/>
    </row>
    <row r="947" ht="15.75" customHeight="1">
      <c r="A947" s="118"/>
      <c r="B947" s="118"/>
      <c r="C947" s="94"/>
      <c r="D947" s="111"/>
      <c r="E947" s="115"/>
      <c r="F947" s="108"/>
      <c r="G947" s="98"/>
      <c r="H947" s="116"/>
      <c r="I947" s="111"/>
      <c r="J947" s="115"/>
      <c r="K947" s="108"/>
      <c r="L947" s="98"/>
      <c r="M947" s="116"/>
      <c r="N947" s="111"/>
      <c r="O947" s="115"/>
      <c r="P947" s="108"/>
      <c r="Q947" s="98"/>
      <c r="R947" s="116"/>
      <c r="S947" s="83"/>
      <c r="T947" s="83"/>
      <c r="U947" s="83"/>
      <c r="V947" s="83"/>
      <c r="W947" s="83"/>
      <c r="X947" s="83"/>
      <c r="Y947" s="83"/>
      <c r="Z947" s="83"/>
    </row>
    <row r="948" ht="15.75" customHeight="1">
      <c r="A948" s="118"/>
      <c r="B948" s="118"/>
      <c r="C948" s="94"/>
      <c r="D948" s="111"/>
      <c r="E948" s="115"/>
      <c r="F948" s="108"/>
      <c r="G948" s="98"/>
      <c r="H948" s="116"/>
      <c r="I948" s="111"/>
      <c r="J948" s="115"/>
      <c r="K948" s="108"/>
      <c r="L948" s="98"/>
      <c r="M948" s="116"/>
      <c r="N948" s="111"/>
      <c r="O948" s="115"/>
      <c r="P948" s="108"/>
      <c r="Q948" s="98"/>
      <c r="R948" s="116"/>
      <c r="S948" s="83"/>
      <c r="T948" s="83"/>
      <c r="U948" s="83"/>
      <c r="V948" s="83"/>
      <c r="W948" s="83"/>
      <c r="X948" s="83"/>
      <c r="Y948" s="83"/>
      <c r="Z948" s="83"/>
    </row>
    <row r="949" ht="15.75" customHeight="1">
      <c r="A949" s="118"/>
      <c r="B949" s="118"/>
      <c r="C949" s="94"/>
      <c r="D949" s="111"/>
      <c r="E949" s="115"/>
      <c r="F949" s="108"/>
      <c r="G949" s="98"/>
      <c r="H949" s="116"/>
      <c r="I949" s="111"/>
      <c r="J949" s="115"/>
      <c r="K949" s="108"/>
      <c r="L949" s="98"/>
      <c r="M949" s="116"/>
      <c r="N949" s="111"/>
      <c r="O949" s="115"/>
      <c r="P949" s="108"/>
      <c r="Q949" s="98"/>
      <c r="R949" s="116"/>
      <c r="S949" s="83"/>
      <c r="T949" s="83"/>
      <c r="U949" s="83"/>
      <c r="V949" s="83"/>
      <c r="W949" s="83"/>
      <c r="X949" s="83"/>
      <c r="Y949" s="83"/>
      <c r="Z949" s="83"/>
    </row>
    <row r="950" ht="15.75" customHeight="1">
      <c r="A950" s="118"/>
      <c r="B950" s="118"/>
      <c r="C950" s="94"/>
      <c r="D950" s="111"/>
      <c r="E950" s="115"/>
      <c r="F950" s="108"/>
      <c r="G950" s="98"/>
      <c r="H950" s="116"/>
      <c r="I950" s="111"/>
      <c r="J950" s="115"/>
      <c r="K950" s="108"/>
      <c r="L950" s="98"/>
      <c r="M950" s="116"/>
      <c r="N950" s="111"/>
      <c r="O950" s="115"/>
      <c r="P950" s="108"/>
      <c r="Q950" s="98"/>
      <c r="R950" s="116"/>
      <c r="S950" s="83"/>
      <c r="T950" s="83"/>
      <c r="U950" s="83"/>
      <c r="V950" s="83"/>
      <c r="W950" s="83"/>
      <c r="X950" s="83"/>
      <c r="Y950" s="83"/>
      <c r="Z950" s="83"/>
    </row>
    <row r="951" ht="15.75" customHeight="1">
      <c r="A951" s="118"/>
      <c r="B951" s="118"/>
      <c r="C951" s="94"/>
      <c r="D951" s="111"/>
      <c r="E951" s="115"/>
      <c r="F951" s="108"/>
      <c r="G951" s="98"/>
      <c r="H951" s="116"/>
      <c r="I951" s="111"/>
      <c r="J951" s="115"/>
      <c r="K951" s="108"/>
      <c r="L951" s="98"/>
      <c r="M951" s="116"/>
      <c r="N951" s="111"/>
      <c r="O951" s="115"/>
      <c r="P951" s="108"/>
      <c r="Q951" s="98"/>
      <c r="R951" s="116"/>
      <c r="S951" s="83"/>
      <c r="T951" s="83"/>
      <c r="U951" s="83"/>
      <c r="V951" s="83"/>
      <c r="W951" s="83"/>
      <c r="X951" s="83"/>
      <c r="Y951" s="83"/>
      <c r="Z951" s="83"/>
    </row>
    <row r="952" ht="15.75" customHeight="1">
      <c r="A952" s="118"/>
      <c r="B952" s="118"/>
      <c r="C952" s="94"/>
      <c r="D952" s="111"/>
      <c r="E952" s="115"/>
      <c r="F952" s="108"/>
      <c r="G952" s="98"/>
      <c r="H952" s="116"/>
      <c r="I952" s="111"/>
      <c r="J952" s="115"/>
      <c r="K952" s="108"/>
      <c r="L952" s="98"/>
      <c r="M952" s="116"/>
      <c r="N952" s="111"/>
      <c r="O952" s="115"/>
      <c r="P952" s="108"/>
      <c r="Q952" s="98"/>
      <c r="R952" s="116"/>
      <c r="S952" s="83"/>
      <c r="T952" s="83"/>
      <c r="U952" s="83"/>
      <c r="V952" s="83"/>
      <c r="W952" s="83"/>
      <c r="X952" s="83"/>
      <c r="Y952" s="83"/>
      <c r="Z952" s="83"/>
    </row>
    <row r="953" ht="15.75" customHeight="1">
      <c r="A953" s="118"/>
      <c r="B953" s="118"/>
      <c r="C953" s="94"/>
      <c r="D953" s="111"/>
      <c r="E953" s="115"/>
      <c r="F953" s="108"/>
      <c r="G953" s="98"/>
      <c r="H953" s="116"/>
      <c r="I953" s="111"/>
      <c r="J953" s="115"/>
      <c r="K953" s="108"/>
      <c r="L953" s="98"/>
      <c r="M953" s="116"/>
      <c r="N953" s="111"/>
      <c r="O953" s="115"/>
      <c r="P953" s="108"/>
      <c r="Q953" s="98"/>
      <c r="R953" s="116"/>
      <c r="S953" s="83"/>
      <c r="T953" s="83"/>
      <c r="U953" s="83"/>
      <c r="V953" s="83"/>
      <c r="W953" s="83"/>
      <c r="X953" s="83"/>
      <c r="Y953" s="83"/>
      <c r="Z953" s="83"/>
    </row>
    <row r="954" ht="15.75" customHeight="1">
      <c r="A954" s="118"/>
      <c r="B954" s="118"/>
      <c r="C954" s="94"/>
      <c r="D954" s="111"/>
      <c r="E954" s="115"/>
      <c r="F954" s="108"/>
      <c r="G954" s="98"/>
      <c r="H954" s="116"/>
      <c r="I954" s="111"/>
      <c r="J954" s="115"/>
      <c r="K954" s="108"/>
      <c r="L954" s="98"/>
      <c r="M954" s="116"/>
      <c r="N954" s="111"/>
      <c r="O954" s="115"/>
      <c r="P954" s="108"/>
      <c r="Q954" s="98"/>
      <c r="R954" s="116"/>
      <c r="S954" s="83"/>
      <c r="T954" s="83"/>
      <c r="U954" s="83"/>
      <c r="V954" s="83"/>
      <c r="W954" s="83"/>
      <c r="X954" s="83"/>
      <c r="Y954" s="83"/>
      <c r="Z954" s="83"/>
    </row>
    <row r="955" ht="15.75" customHeight="1">
      <c r="A955" s="118"/>
      <c r="B955" s="118"/>
      <c r="C955" s="94"/>
      <c r="D955" s="111"/>
      <c r="E955" s="115"/>
      <c r="F955" s="108"/>
      <c r="G955" s="98"/>
      <c r="H955" s="116"/>
      <c r="I955" s="111"/>
      <c r="J955" s="115"/>
      <c r="K955" s="108"/>
      <c r="L955" s="98"/>
      <c r="M955" s="116"/>
      <c r="N955" s="111"/>
      <c r="O955" s="115"/>
      <c r="P955" s="108"/>
      <c r="Q955" s="98"/>
      <c r="R955" s="116"/>
      <c r="S955" s="83"/>
      <c r="T955" s="83"/>
      <c r="U955" s="83"/>
      <c r="V955" s="83"/>
      <c r="W955" s="83"/>
      <c r="X955" s="83"/>
      <c r="Y955" s="83"/>
      <c r="Z955" s="83"/>
    </row>
    <row r="956" ht="15.75" customHeight="1">
      <c r="A956" s="118"/>
      <c r="B956" s="118"/>
      <c r="C956" s="94"/>
      <c r="D956" s="111"/>
      <c r="E956" s="115"/>
      <c r="F956" s="108"/>
      <c r="G956" s="98"/>
      <c r="H956" s="116"/>
      <c r="I956" s="111"/>
      <c r="J956" s="115"/>
      <c r="K956" s="108"/>
      <c r="L956" s="98"/>
      <c r="M956" s="116"/>
      <c r="N956" s="111"/>
      <c r="O956" s="115"/>
      <c r="P956" s="108"/>
      <c r="Q956" s="98"/>
      <c r="R956" s="116"/>
      <c r="S956" s="83"/>
      <c r="T956" s="83"/>
      <c r="U956" s="83"/>
      <c r="V956" s="83"/>
      <c r="W956" s="83"/>
      <c r="X956" s="83"/>
      <c r="Y956" s="83"/>
      <c r="Z956" s="83"/>
    </row>
    <row r="957" ht="15.75" customHeight="1">
      <c r="A957" s="118"/>
      <c r="B957" s="118"/>
      <c r="C957" s="94"/>
      <c r="D957" s="111"/>
      <c r="E957" s="115"/>
      <c r="F957" s="108"/>
      <c r="G957" s="98"/>
      <c r="H957" s="116"/>
      <c r="I957" s="111"/>
      <c r="J957" s="115"/>
      <c r="K957" s="108"/>
      <c r="L957" s="98"/>
      <c r="M957" s="116"/>
      <c r="N957" s="111"/>
      <c r="O957" s="115"/>
      <c r="P957" s="108"/>
      <c r="Q957" s="98"/>
      <c r="R957" s="116"/>
      <c r="S957" s="83"/>
      <c r="T957" s="83"/>
      <c r="U957" s="83"/>
      <c r="V957" s="83"/>
      <c r="W957" s="83"/>
      <c r="X957" s="83"/>
      <c r="Y957" s="83"/>
      <c r="Z957" s="83"/>
    </row>
    <row r="958" ht="15.75" customHeight="1">
      <c r="A958" s="118"/>
      <c r="B958" s="118"/>
      <c r="C958" s="94"/>
      <c r="D958" s="111"/>
      <c r="E958" s="115"/>
      <c r="F958" s="108"/>
      <c r="G958" s="98"/>
      <c r="H958" s="116"/>
      <c r="I958" s="111"/>
      <c r="J958" s="115"/>
      <c r="K958" s="108"/>
      <c r="L958" s="98"/>
      <c r="M958" s="116"/>
      <c r="N958" s="111"/>
      <c r="O958" s="115"/>
      <c r="P958" s="108"/>
      <c r="Q958" s="98"/>
      <c r="R958" s="116"/>
      <c r="S958" s="83"/>
      <c r="T958" s="83"/>
      <c r="U958" s="83"/>
      <c r="V958" s="83"/>
      <c r="W958" s="83"/>
      <c r="X958" s="83"/>
      <c r="Y958" s="83"/>
      <c r="Z958" s="83"/>
    </row>
    <row r="959" ht="15.75" customHeight="1">
      <c r="A959" s="118"/>
      <c r="B959" s="118"/>
      <c r="C959" s="94"/>
      <c r="D959" s="111"/>
      <c r="E959" s="115"/>
      <c r="F959" s="108"/>
      <c r="G959" s="98"/>
      <c r="H959" s="116"/>
      <c r="I959" s="111"/>
      <c r="J959" s="115"/>
      <c r="K959" s="108"/>
      <c r="L959" s="98"/>
      <c r="M959" s="116"/>
      <c r="N959" s="111"/>
      <c r="O959" s="115"/>
      <c r="P959" s="108"/>
      <c r="Q959" s="98"/>
      <c r="R959" s="116"/>
      <c r="S959" s="83"/>
      <c r="T959" s="83"/>
      <c r="U959" s="83"/>
      <c r="V959" s="83"/>
      <c r="W959" s="83"/>
      <c r="X959" s="83"/>
      <c r="Y959" s="83"/>
      <c r="Z959" s="83"/>
    </row>
    <row r="960" ht="15.75" customHeight="1">
      <c r="A960" s="118"/>
      <c r="B960" s="118"/>
      <c r="C960" s="94"/>
      <c r="D960" s="111"/>
      <c r="E960" s="115"/>
      <c r="F960" s="108"/>
      <c r="G960" s="98"/>
      <c r="H960" s="116"/>
      <c r="I960" s="111"/>
      <c r="J960" s="115"/>
      <c r="K960" s="108"/>
      <c r="L960" s="98"/>
      <c r="M960" s="116"/>
      <c r="N960" s="111"/>
      <c r="O960" s="115"/>
      <c r="P960" s="108"/>
      <c r="Q960" s="98"/>
      <c r="R960" s="116"/>
      <c r="S960" s="83"/>
      <c r="T960" s="83"/>
      <c r="U960" s="83"/>
      <c r="V960" s="83"/>
      <c r="W960" s="83"/>
      <c r="X960" s="83"/>
      <c r="Y960" s="83"/>
      <c r="Z960" s="83"/>
    </row>
    <row r="961" ht="15.75" customHeight="1">
      <c r="A961" s="118"/>
      <c r="B961" s="118"/>
      <c r="C961" s="94"/>
      <c r="D961" s="111"/>
      <c r="E961" s="115"/>
      <c r="F961" s="108"/>
      <c r="G961" s="98"/>
      <c r="H961" s="116"/>
      <c r="I961" s="111"/>
      <c r="J961" s="115"/>
      <c r="K961" s="108"/>
      <c r="L961" s="98"/>
      <c r="M961" s="116"/>
      <c r="N961" s="111"/>
      <c r="O961" s="115"/>
      <c r="P961" s="108"/>
      <c r="Q961" s="98"/>
      <c r="R961" s="116"/>
      <c r="S961" s="83"/>
      <c r="T961" s="83"/>
      <c r="U961" s="83"/>
      <c r="V961" s="83"/>
      <c r="W961" s="83"/>
      <c r="X961" s="83"/>
      <c r="Y961" s="83"/>
      <c r="Z961" s="83"/>
    </row>
    <row r="962" ht="15.75" customHeight="1">
      <c r="A962" s="118"/>
      <c r="B962" s="118"/>
      <c r="C962" s="94"/>
      <c r="D962" s="111"/>
      <c r="E962" s="115"/>
      <c r="F962" s="108"/>
      <c r="G962" s="98"/>
      <c r="H962" s="116"/>
      <c r="I962" s="111"/>
      <c r="J962" s="115"/>
      <c r="K962" s="108"/>
      <c r="L962" s="98"/>
      <c r="M962" s="116"/>
      <c r="N962" s="111"/>
      <c r="O962" s="115"/>
      <c r="P962" s="108"/>
      <c r="Q962" s="98"/>
      <c r="R962" s="116"/>
      <c r="S962" s="83"/>
      <c r="T962" s="83"/>
      <c r="U962" s="83"/>
      <c r="V962" s="83"/>
      <c r="W962" s="83"/>
      <c r="X962" s="83"/>
      <c r="Y962" s="83"/>
      <c r="Z962" s="83"/>
    </row>
    <row r="963" ht="15.75" customHeight="1">
      <c r="A963" s="118"/>
      <c r="B963" s="118"/>
      <c r="C963" s="94"/>
      <c r="D963" s="111"/>
      <c r="E963" s="115"/>
      <c r="F963" s="108"/>
      <c r="G963" s="98"/>
      <c r="H963" s="116"/>
      <c r="I963" s="111"/>
      <c r="J963" s="115"/>
      <c r="K963" s="108"/>
      <c r="L963" s="98"/>
      <c r="M963" s="116"/>
      <c r="N963" s="111"/>
      <c r="O963" s="115"/>
      <c r="P963" s="108"/>
      <c r="Q963" s="98"/>
      <c r="R963" s="116"/>
      <c r="S963" s="83"/>
      <c r="T963" s="83"/>
      <c r="U963" s="83"/>
      <c r="V963" s="83"/>
      <c r="W963" s="83"/>
      <c r="X963" s="83"/>
      <c r="Y963" s="83"/>
      <c r="Z963" s="83"/>
    </row>
    <row r="964" ht="15.75" customHeight="1">
      <c r="A964" s="118"/>
      <c r="B964" s="118"/>
      <c r="C964" s="94"/>
      <c r="D964" s="111"/>
      <c r="E964" s="115"/>
      <c r="F964" s="108"/>
      <c r="G964" s="98"/>
      <c r="H964" s="116"/>
      <c r="I964" s="111"/>
      <c r="J964" s="115"/>
      <c r="K964" s="108"/>
      <c r="L964" s="98"/>
      <c r="M964" s="116"/>
      <c r="N964" s="111"/>
      <c r="O964" s="115"/>
      <c r="P964" s="108"/>
      <c r="Q964" s="98"/>
      <c r="R964" s="116"/>
      <c r="S964" s="83"/>
      <c r="T964" s="83"/>
      <c r="U964" s="83"/>
      <c r="V964" s="83"/>
      <c r="W964" s="83"/>
      <c r="X964" s="83"/>
      <c r="Y964" s="83"/>
      <c r="Z964" s="83"/>
    </row>
    <row r="965" ht="15.75" customHeight="1">
      <c r="A965" s="118"/>
      <c r="B965" s="118"/>
      <c r="C965" s="94"/>
      <c r="D965" s="111"/>
      <c r="E965" s="115"/>
      <c r="F965" s="108"/>
      <c r="G965" s="98"/>
      <c r="H965" s="116"/>
      <c r="I965" s="111"/>
      <c r="J965" s="115"/>
      <c r="K965" s="108"/>
      <c r="L965" s="98"/>
      <c r="M965" s="116"/>
      <c r="N965" s="111"/>
      <c r="O965" s="115"/>
      <c r="P965" s="108"/>
      <c r="Q965" s="98"/>
      <c r="R965" s="116"/>
      <c r="S965" s="83"/>
      <c r="T965" s="83"/>
      <c r="U965" s="83"/>
      <c r="V965" s="83"/>
      <c r="W965" s="83"/>
      <c r="X965" s="83"/>
      <c r="Y965" s="83"/>
      <c r="Z965" s="83"/>
    </row>
    <row r="966" ht="15.75" customHeight="1">
      <c r="A966" s="118"/>
      <c r="B966" s="118"/>
      <c r="C966" s="94"/>
      <c r="D966" s="111"/>
      <c r="E966" s="115"/>
      <c r="F966" s="108"/>
      <c r="G966" s="98"/>
      <c r="H966" s="116"/>
      <c r="I966" s="111"/>
      <c r="J966" s="115"/>
      <c r="K966" s="108"/>
      <c r="L966" s="98"/>
      <c r="M966" s="116"/>
      <c r="N966" s="111"/>
      <c r="O966" s="115"/>
      <c r="P966" s="108"/>
      <c r="Q966" s="98"/>
      <c r="R966" s="116"/>
      <c r="S966" s="83"/>
      <c r="T966" s="83"/>
      <c r="U966" s="83"/>
      <c r="V966" s="83"/>
      <c r="W966" s="83"/>
      <c r="X966" s="83"/>
      <c r="Y966" s="83"/>
      <c r="Z966" s="83"/>
    </row>
    <row r="967" ht="15.75" customHeight="1">
      <c r="A967" s="118"/>
      <c r="B967" s="118"/>
      <c r="C967" s="94"/>
      <c r="D967" s="111"/>
      <c r="E967" s="115"/>
      <c r="F967" s="108"/>
      <c r="G967" s="98"/>
      <c r="H967" s="116"/>
      <c r="I967" s="111"/>
      <c r="J967" s="115"/>
      <c r="K967" s="108"/>
      <c r="L967" s="98"/>
      <c r="M967" s="116"/>
      <c r="N967" s="111"/>
      <c r="O967" s="115"/>
      <c r="P967" s="108"/>
      <c r="Q967" s="98"/>
      <c r="R967" s="116"/>
      <c r="S967" s="83"/>
      <c r="T967" s="83"/>
      <c r="U967" s="83"/>
      <c r="V967" s="83"/>
      <c r="W967" s="83"/>
      <c r="X967" s="83"/>
      <c r="Y967" s="83"/>
      <c r="Z967" s="83"/>
    </row>
    <row r="968" ht="15.75" customHeight="1">
      <c r="A968" s="118"/>
      <c r="B968" s="118"/>
      <c r="C968" s="94"/>
      <c r="D968" s="111"/>
      <c r="E968" s="115"/>
      <c r="F968" s="108"/>
      <c r="G968" s="98"/>
      <c r="H968" s="116"/>
      <c r="I968" s="111"/>
      <c r="J968" s="115"/>
      <c r="K968" s="108"/>
      <c r="L968" s="98"/>
      <c r="M968" s="116"/>
      <c r="N968" s="111"/>
      <c r="O968" s="115"/>
      <c r="P968" s="108"/>
      <c r="Q968" s="98"/>
      <c r="R968" s="116"/>
      <c r="S968" s="83"/>
      <c r="T968" s="83"/>
      <c r="U968" s="83"/>
      <c r="V968" s="83"/>
      <c r="W968" s="83"/>
      <c r="X968" s="83"/>
      <c r="Y968" s="83"/>
      <c r="Z968" s="83"/>
    </row>
    <row r="969" ht="15.75" customHeight="1">
      <c r="A969" s="118"/>
      <c r="B969" s="118"/>
      <c r="C969" s="94"/>
      <c r="D969" s="111"/>
      <c r="E969" s="115"/>
      <c r="F969" s="108"/>
      <c r="G969" s="98"/>
      <c r="H969" s="116"/>
      <c r="I969" s="111"/>
      <c r="J969" s="115"/>
      <c r="K969" s="108"/>
      <c r="L969" s="98"/>
      <c r="M969" s="116"/>
      <c r="N969" s="111"/>
      <c r="O969" s="115"/>
      <c r="P969" s="108"/>
      <c r="Q969" s="98"/>
      <c r="R969" s="116"/>
      <c r="S969" s="83"/>
      <c r="T969" s="83"/>
      <c r="U969" s="83"/>
      <c r="V969" s="83"/>
      <c r="W969" s="83"/>
      <c r="X969" s="83"/>
      <c r="Y969" s="83"/>
      <c r="Z969" s="83"/>
    </row>
    <row r="970" ht="15.75" customHeight="1">
      <c r="A970" s="118"/>
      <c r="B970" s="118"/>
      <c r="C970" s="94"/>
      <c r="D970" s="111"/>
      <c r="E970" s="115"/>
      <c r="F970" s="108"/>
      <c r="G970" s="98"/>
      <c r="H970" s="116"/>
      <c r="I970" s="111"/>
      <c r="J970" s="115"/>
      <c r="K970" s="108"/>
      <c r="L970" s="98"/>
      <c r="M970" s="116"/>
      <c r="N970" s="111"/>
      <c r="O970" s="115"/>
      <c r="P970" s="108"/>
      <c r="Q970" s="98"/>
      <c r="R970" s="116"/>
      <c r="S970" s="83"/>
      <c r="T970" s="83"/>
      <c r="U970" s="83"/>
      <c r="V970" s="83"/>
      <c r="W970" s="83"/>
      <c r="X970" s="83"/>
      <c r="Y970" s="83"/>
      <c r="Z970" s="83"/>
    </row>
    <row r="971" ht="15.75" customHeight="1">
      <c r="A971" s="118"/>
      <c r="B971" s="118"/>
      <c r="C971" s="94"/>
      <c r="D971" s="111"/>
      <c r="E971" s="115"/>
      <c r="F971" s="108"/>
      <c r="G971" s="98"/>
      <c r="H971" s="116"/>
      <c r="I971" s="111"/>
      <c r="J971" s="115"/>
      <c r="K971" s="108"/>
      <c r="L971" s="98"/>
      <c r="M971" s="116"/>
      <c r="N971" s="111"/>
      <c r="O971" s="115"/>
      <c r="P971" s="108"/>
      <c r="Q971" s="98"/>
      <c r="R971" s="116"/>
      <c r="S971" s="83"/>
      <c r="T971" s="83"/>
      <c r="U971" s="83"/>
      <c r="V971" s="83"/>
      <c r="W971" s="83"/>
      <c r="X971" s="83"/>
      <c r="Y971" s="83"/>
      <c r="Z971" s="83"/>
    </row>
    <row r="972" ht="15.75" customHeight="1">
      <c r="A972" s="118"/>
      <c r="B972" s="118"/>
      <c r="C972" s="94"/>
      <c r="D972" s="111"/>
      <c r="E972" s="115"/>
      <c r="F972" s="108"/>
      <c r="G972" s="98"/>
      <c r="H972" s="116"/>
      <c r="I972" s="111"/>
      <c r="J972" s="115"/>
      <c r="K972" s="108"/>
      <c r="L972" s="98"/>
      <c r="M972" s="116"/>
      <c r="N972" s="111"/>
      <c r="O972" s="115"/>
      <c r="P972" s="108"/>
      <c r="Q972" s="98"/>
      <c r="R972" s="116"/>
      <c r="S972" s="83"/>
      <c r="T972" s="83"/>
      <c r="U972" s="83"/>
      <c r="V972" s="83"/>
      <c r="W972" s="83"/>
      <c r="X972" s="83"/>
      <c r="Y972" s="83"/>
      <c r="Z972" s="83"/>
    </row>
    <row r="973" ht="15.75" customHeight="1">
      <c r="A973" s="118"/>
      <c r="B973" s="118"/>
      <c r="C973" s="94"/>
      <c r="D973" s="111"/>
      <c r="E973" s="115"/>
      <c r="F973" s="108"/>
      <c r="G973" s="98"/>
      <c r="H973" s="116"/>
      <c r="I973" s="111"/>
      <c r="J973" s="115"/>
      <c r="K973" s="108"/>
      <c r="L973" s="98"/>
      <c r="M973" s="116"/>
      <c r="N973" s="111"/>
      <c r="O973" s="115"/>
      <c r="P973" s="108"/>
      <c r="Q973" s="98"/>
      <c r="R973" s="116"/>
      <c r="S973" s="83"/>
      <c r="T973" s="83"/>
      <c r="U973" s="83"/>
      <c r="V973" s="83"/>
      <c r="W973" s="83"/>
      <c r="X973" s="83"/>
      <c r="Y973" s="83"/>
      <c r="Z973" s="83"/>
    </row>
    <row r="974" ht="15.75" customHeight="1">
      <c r="A974" s="118"/>
      <c r="B974" s="118"/>
      <c r="C974" s="94"/>
      <c r="D974" s="111"/>
      <c r="E974" s="115"/>
      <c r="F974" s="108"/>
      <c r="G974" s="98"/>
      <c r="H974" s="116"/>
      <c r="I974" s="111"/>
      <c r="J974" s="115"/>
      <c r="K974" s="108"/>
      <c r="L974" s="98"/>
      <c r="M974" s="116"/>
      <c r="N974" s="111"/>
      <c r="O974" s="115"/>
      <c r="P974" s="108"/>
      <c r="Q974" s="98"/>
      <c r="R974" s="116"/>
      <c r="S974" s="83"/>
      <c r="T974" s="83"/>
      <c r="U974" s="83"/>
      <c r="V974" s="83"/>
      <c r="W974" s="83"/>
      <c r="X974" s="83"/>
      <c r="Y974" s="83"/>
      <c r="Z974" s="83"/>
    </row>
    <row r="975" ht="15.75" customHeight="1">
      <c r="A975" s="118"/>
      <c r="B975" s="118"/>
      <c r="C975" s="94"/>
      <c r="D975" s="111"/>
      <c r="E975" s="115"/>
      <c r="F975" s="108"/>
      <c r="G975" s="98"/>
      <c r="H975" s="116"/>
      <c r="I975" s="111"/>
      <c r="J975" s="115"/>
      <c r="K975" s="108"/>
      <c r="L975" s="98"/>
      <c r="M975" s="116"/>
      <c r="N975" s="111"/>
      <c r="O975" s="115"/>
      <c r="P975" s="108"/>
      <c r="Q975" s="98"/>
      <c r="R975" s="116"/>
      <c r="S975" s="83"/>
      <c r="T975" s="83"/>
      <c r="U975" s="83"/>
      <c r="V975" s="83"/>
      <c r="W975" s="83"/>
      <c r="X975" s="83"/>
      <c r="Y975" s="83"/>
      <c r="Z975" s="83"/>
    </row>
    <row r="976" ht="15.75" customHeight="1">
      <c r="A976" s="118"/>
      <c r="B976" s="118"/>
      <c r="C976" s="94"/>
      <c r="D976" s="111"/>
      <c r="E976" s="115"/>
      <c r="F976" s="108"/>
      <c r="G976" s="98"/>
      <c r="H976" s="116"/>
      <c r="I976" s="111"/>
      <c r="J976" s="115"/>
      <c r="K976" s="108"/>
      <c r="L976" s="98"/>
      <c r="M976" s="116"/>
      <c r="N976" s="111"/>
      <c r="O976" s="115"/>
      <c r="P976" s="108"/>
      <c r="Q976" s="98"/>
      <c r="R976" s="116"/>
      <c r="S976" s="83"/>
      <c r="T976" s="83"/>
      <c r="U976" s="83"/>
      <c r="V976" s="83"/>
      <c r="W976" s="83"/>
      <c r="X976" s="83"/>
      <c r="Y976" s="83"/>
      <c r="Z976" s="83"/>
    </row>
    <row r="977" ht="15.75" customHeight="1">
      <c r="A977" s="118"/>
      <c r="B977" s="118"/>
      <c r="C977" s="94"/>
      <c r="D977" s="111"/>
      <c r="E977" s="115"/>
      <c r="F977" s="108"/>
      <c r="G977" s="98"/>
      <c r="H977" s="116"/>
      <c r="I977" s="111"/>
      <c r="J977" s="115"/>
      <c r="K977" s="108"/>
      <c r="L977" s="98"/>
      <c r="M977" s="116"/>
      <c r="N977" s="111"/>
      <c r="O977" s="115"/>
      <c r="P977" s="108"/>
      <c r="Q977" s="98"/>
      <c r="R977" s="116"/>
      <c r="S977" s="83"/>
      <c r="T977" s="83"/>
      <c r="U977" s="83"/>
      <c r="V977" s="83"/>
      <c r="W977" s="83"/>
      <c r="X977" s="83"/>
      <c r="Y977" s="83"/>
      <c r="Z977" s="83"/>
    </row>
    <row r="978" ht="15.75" customHeight="1">
      <c r="A978" s="118"/>
      <c r="B978" s="118"/>
      <c r="C978" s="94"/>
      <c r="D978" s="111"/>
      <c r="E978" s="115"/>
      <c r="F978" s="108"/>
      <c r="G978" s="98"/>
      <c r="H978" s="116"/>
      <c r="I978" s="111"/>
      <c r="J978" s="115"/>
      <c r="K978" s="108"/>
      <c r="L978" s="98"/>
      <c r="M978" s="116"/>
      <c r="N978" s="111"/>
      <c r="O978" s="115"/>
      <c r="P978" s="108"/>
      <c r="Q978" s="98"/>
      <c r="R978" s="116"/>
      <c r="S978" s="83"/>
      <c r="T978" s="83"/>
      <c r="U978" s="83"/>
      <c r="V978" s="83"/>
      <c r="W978" s="83"/>
      <c r="X978" s="83"/>
      <c r="Y978" s="83"/>
      <c r="Z978" s="83"/>
    </row>
    <row r="979" ht="15.75" customHeight="1">
      <c r="A979" s="118"/>
      <c r="B979" s="118"/>
      <c r="C979" s="94"/>
      <c r="D979" s="111"/>
      <c r="E979" s="115"/>
      <c r="F979" s="108"/>
      <c r="G979" s="98"/>
      <c r="H979" s="116"/>
      <c r="I979" s="111"/>
      <c r="J979" s="115"/>
      <c r="K979" s="108"/>
      <c r="L979" s="98"/>
      <c r="M979" s="116"/>
      <c r="N979" s="111"/>
      <c r="O979" s="115"/>
      <c r="P979" s="108"/>
      <c r="Q979" s="98"/>
      <c r="R979" s="116"/>
      <c r="S979" s="83"/>
      <c r="T979" s="83"/>
      <c r="U979" s="83"/>
      <c r="V979" s="83"/>
      <c r="W979" s="83"/>
      <c r="X979" s="83"/>
      <c r="Y979" s="83"/>
      <c r="Z979" s="83"/>
    </row>
    <row r="980" ht="15.75" customHeight="1">
      <c r="A980" s="118"/>
      <c r="B980" s="118"/>
      <c r="C980" s="94"/>
      <c r="D980" s="111"/>
      <c r="E980" s="115"/>
      <c r="F980" s="108"/>
      <c r="G980" s="98"/>
      <c r="H980" s="116"/>
      <c r="I980" s="111"/>
      <c r="J980" s="115"/>
      <c r="K980" s="108"/>
      <c r="L980" s="98"/>
      <c r="M980" s="116"/>
      <c r="N980" s="111"/>
      <c r="O980" s="115"/>
      <c r="P980" s="108"/>
      <c r="Q980" s="98"/>
      <c r="R980" s="116"/>
      <c r="S980" s="83"/>
      <c r="T980" s="83"/>
      <c r="U980" s="83"/>
      <c r="V980" s="83"/>
      <c r="W980" s="83"/>
      <c r="X980" s="83"/>
      <c r="Y980" s="83"/>
      <c r="Z980" s="83"/>
    </row>
    <row r="981" ht="15.75" customHeight="1">
      <c r="A981" s="118"/>
      <c r="B981" s="118"/>
      <c r="C981" s="94"/>
      <c r="D981" s="111"/>
      <c r="E981" s="115"/>
      <c r="F981" s="108"/>
      <c r="G981" s="98"/>
      <c r="H981" s="116"/>
      <c r="I981" s="111"/>
      <c r="J981" s="115"/>
      <c r="K981" s="108"/>
      <c r="L981" s="98"/>
      <c r="M981" s="116"/>
      <c r="N981" s="111"/>
      <c r="O981" s="115"/>
      <c r="P981" s="108"/>
      <c r="Q981" s="98"/>
      <c r="R981" s="116"/>
      <c r="S981" s="83"/>
      <c r="T981" s="83"/>
      <c r="U981" s="83"/>
      <c r="V981" s="83"/>
      <c r="W981" s="83"/>
      <c r="X981" s="83"/>
      <c r="Y981" s="83"/>
      <c r="Z981" s="83"/>
    </row>
    <row r="982" ht="15.75" customHeight="1">
      <c r="A982" s="118"/>
      <c r="B982" s="118"/>
      <c r="C982" s="94"/>
      <c r="D982" s="111"/>
      <c r="E982" s="115"/>
      <c r="F982" s="108"/>
      <c r="G982" s="98"/>
      <c r="H982" s="116"/>
      <c r="I982" s="111"/>
      <c r="J982" s="115"/>
      <c r="K982" s="108"/>
      <c r="L982" s="98"/>
      <c r="M982" s="116"/>
      <c r="N982" s="111"/>
      <c r="O982" s="115"/>
      <c r="P982" s="108"/>
      <c r="Q982" s="98"/>
      <c r="R982" s="116"/>
      <c r="S982" s="83"/>
      <c r="T982" s="83"/>
      <c r="U982" s="83"/>
      <c r="V982" s="83"/>
      <c r="W982" s="83"/>
      <c r="X982" s="83"/>
      <c r="Y982" s="83"/>
      <c r="Z982" s="83"/>
    </row>
    <row r="983" ht="15.75" customHeight="1">
      <c r="A983" s="118"/>
      <c r="B983" s="118"/>
      <c r="C983" s="94"/>
      <c r="D983" s="111"/>
      <c r="E983" s="115"/>
      <c r="F983" s="108"/>
      <c r="G983" s="98"/>
      <c r="H983" s="116"/>
      <c r="I983" s="111"/>
      <c r="J983" s="115"/>
      <c r="K983" s="108"/>
      <c r="L983" s="98"/>
      <c r="M983" s="116"/>
      <c r="N983" s="111"/>
      <c r="O983" s="115"/>
      <c r="P983" s="108"/>
      <c r="Q983" s="98"/>
      <c r="R983" s="116"/>
      <c r="S983" s="83"/>
      <c r="T983" s="83"/>
      <c r="U983" s="83"/>
      <c r="V983" s="83"/>
      <c r="W983" s="83"/>
      <c r="X983" s="83"/>
      <c r="Y983" s="83"/>
      <c r="Z983" s="83"/>
    </row>
    <row r="984" ht="15.75" customHeight="1">
      <c r="A984" s="118"/>
      <c r="B984" s="118"/>
      <c r="C984" s="94"/>
      <c r="D984" s="111"/>
      <c r="E984" s="115"/>
      <c r="F984" s="108"/>
      <c r="G984" s="98"/>
      <c r="H984" s="116"/>
      <c r="I984" s="111"/>
      <c r="J984" s="115"/>
      <c r="K984" s="108"/>
      <c r="L984" s="98"/>
      <c r="M984" s="116"/>
      <c r="N984" s="111"/>
      <c r="O984" s="115"/>
      <c r="P984" s="108"/>
      <c r="Q984" s="98"/>
      <c r="R984" s="116"/>
      <c r="S984" s="83"/>
      <c r="T984" s="83"/>
      <c r="U984" s="83"/>
      <c r="V984" s="83"/>
      <c r="W984" s="83"/>
      <c r="X984" s="83"/>
      <c r="Y984" s="83"/>
      <c r="Z984" s="83"/>
    </row>
    <row r="985" ht="15.75" customHeight="1">
      <c r="A985" s="118"/>
      <c r="B985" s="118"/>
      <c r="C985" s="94"/>
      <c r="D985" s="111"/>
      <c r="E985" s="115"/>
      <c r="F985" s="108"/>
      <c r="G985" s="98"/>
      <c r="H985" s="116"/>
      <c r="I985" s="111"/>
      <c r="J985" s="115"/>
      <c r="K985" s="108"/>
      <c r="L985" s="98"/>
      <c r="M985" s="116"/>
      <c r="N985" s="111"/>
      <c r="O985" s="115"/>
      <c r="P985" s="108"/>
      <c r="Q985" s="98"/>
      <c r="R985" s="116"/>
      <c r="S985" s="83"/>
      <c r="T985" s="83"/>
      <c r="U985" s="83"/>
      <c r="V985" s="83"/>
      <c r="W985" s="83"/>
      <c r="X985" s="83"/>
      <c r="Y985" s="83"/>
      <c r="Z985" s="83"/>
    </row>
    <row r="986" ht="15.75" customHeight="1">
      <c r="A986" s="118"/>
      <c r="B986" s="118"/>
      <c r="C986" s="94"/>
      <c r="D986" s="111"/>
      <c r="E986" s="115"/>
      <c r="F986" s="108"/>
      <c r="G986" s="98"/>
      <c r="H986" s="116"/>
      <c r="I986" s="111"/>
      <c r="J986" s="115"/>
      <c r="K986" s="108"/>
      <c r="L986" s="98"/>
      <c r="M986" s="116"/>
      <c r="N986" s="111"/>
      <c r="O986" s="115"/>
      <c r="P986" s="108"/>
      <c r="Q986" s="98"/>
      <c r="R986" s="116"/>
      <c r="S986" s="83"/>
      <c r="T986" s="83"/>
      <c r="U986" s="83"/>
      <c r="V986" s="83"/>
      <c r="W986" s="83"/>
      <c r="X986" s="83"/>
      <c r="Y986" s="83"/>
      <c r="Z986" s="83"/>
    </row>
    <row r="987" ht="15.75" customHeight="1">
      <c r="A987" s="118"/>
      <c r="B987" s="118"/>
      <c r="C987" s="94"/>
      <c r="D987" s="111"/>
      <c r="E987" s="115"/>
      <c r="F987" s="108"/>
      <c r="G987" s="98"/>
      <c r="H987" s="116"/>
      <c r="I987" s="111"/>
      <c r="J987" s="115"/>
      <c r="K987" s="108"/>
      <c r="L987" s="98"/>
      <c r="M987" s="116"/>
      <c r="N987" s="111"/>
      <c r="O987" s="115"/>
      <c r="P987" s="108"/>
      <c r="Q987" s="98"/>
      <c r="R987" s="116"/>
      <c r="S987" s="83"/>
      <c r="T987" s="83"/>
      <c r="U987" s="83"/>
      <c r="V987" s="83"/>
      <c r="W987" s="83"/>
      <c r="X987" s="83"/>
      <c r="Y987" s="83"/>
      <c r="Z987" s="83"/>
    </row>
    <row r="988" ht="15.75" customHeight="1">
      <c r="A988" s="118"/>
      <c r="B988" s="118"/>
      <c r="C988" s="94"/>
      <c r="D988" s="111"/>
      <c r="E988" s="115"/>
      <c r="F988" s="108"/>
      <c r="G988" s="98"/>
      <c r="H988" s="116"/>
      <c r="I988" s="111"/>
      <c r="J988" s="115"/>
      <c r="K988" s="108"/>
      <c r="L988" s="98"/>
      <c r="M988" s="116"/>
      <c r="N988" s="111"/>
      <c r="O988" s="115"/>
      <c r="P988" s="108"/>
      <c r="Q988" s="98"/>
      <c r="R988" s="116"/>
      <c r="S988" s="83"/>
      <c r="T988" s="83"/>
      <c r="U988" s="83"/>
      <c r="V988" s="83"/>
      <c r="W988" s="83"/>
      <c r="X988" s="83"/>
      <c r="Y988" s="83"/>
      <c r="Z988" s="83"/>
    </row>
    <row r="989" ht="15.75" customHeight="1">
      <c r="A989" s="118"/>
      <c r="B989" s="118"/>
      <c r="C989" s="94"/>
      <c r="D989" s="111"/>
      <c r="E989" s="115"/>
      <c r="F989" s="108"/>
      <c r="G989" s="98"/>
      <c r="H989" s="116"/>
      <c r="I989" s="111"/>
      <c r="J989" s="115"/>
      <c r="K989" s="108"/>
      <c r="L989" s="98"/>
      <c r="M989" s="116"/>
      <c r="N989" s="111"/>
      <c r="O989" s="115"/>
      <c r="P989" s="108"/>
      <c r="Q989" s="98"/>
      <c r="R989" s="116"/>
      <c r="S989" s="83"/>
      <c r="T989" s="83"/>
      <c r="U989" s="83"/>
      <c r="V989" s="83"/>
      <c r="W989" s="83"/>
      <c r="X989" s="83"/>
      <c r="Y989" s="83"/>
      <c r="Z989" s="83"/>
    </row>
    <row r="990" ht="15.75" customHeight="1">
      <c r="A990" s="118"/>
      <c r="B990" s="118"/>
      <c r="C990" s="94"/>
      <c r="D990" s="111"/>
      <c r="E990" s="115"/>
      <c r="F990" s="108"/>
      <c r="G990" s="98"/>
      <c r="H990" s="116"/>
      <c r="I990" s="111"/>
      <c r="J990" s="115"/>
      <c r="K990" s="108"/>
      <c r="L990" s="98"/>
      <c r="M990" s="116"/>
      <c r="N990" s="111"/>
      <c r="O990" s="115"/>
      <c r="P990" s="108"/>
      <c r="Q990" s="98"/>
      <c r="R990" s="116"/>
      <c r="S990" s="83"/>
      <c r="T990" s="83"/>
      <c r="U990" s="83"/>
      <c r="V990" s="83"/>
      <c r="W990" s="83"/>
      <c r="X990" s="83"/>
      <c r="Y990" s="83"/>
      <c r="Z990" s="83"/>
    </row>
    <row r="991" ht="15.75" customHeight="1">
      <c r="A991" s="118"/>
      <c r="B991" s="118"/>
      <c r="C991" s="94"/>
      <c r="D991" s="111"/>
      <c r="E991" s="115"/>
      <c r="F991" s="108"/>
      <c r="G991" s="98"/>
      <c r="H991" s="116"/>
      <c r="I991" s="111"/>
      <c r="J991" s="115"/>
      <c r="K991" s="108"/>
      <c r="L991" s="98"/>
      <c r="M991" s="116"/>
      <c r="N991" s="111"/>
      <c r="O991" s="115"/>
      <c r="P991" s="108"/>
      <c r="Q991" s="98"/>
      <c r="R991" s="116"/>
      <c r="S991" s="83"/>
      <c r="T991" s="83"/>
      <c r="U991" s="83"/>
      <c r="V991" s="83"/>
      <c r="W991" s="83"/>
      <c r="X991" s="83"/>
      <c r="Y991" s="83"/>
      <c r="Z991" s="83"/>
    </row>
    <row r="992" ht="15.75" customHeight="1">
      <c r="A992" s="118"/>
      <c r="B992" s="118"/>
      <c r="C992" s="94"/>
      <c r="D992" s="111"/>
      <c r="E992" s="115"/>
      <c r="F992" s="108"/>
      <c r="G992" s="98"/>
      <c r="H992" s="116"/>
      <c r="I992" s="111"/>
      <c r="J992" s="115"/>
      <c r="K992" s="108"/>
      <c r="L992" s="98"/>
      <c r="M992" s="116"/>
      <c r="N992" s="111"/>
      <c r="O992" s="115"/>
      <c r="P992" s="108"/>
      <c r="Q992" s="98"/>
      <c r="R992" s="116"/>
      <c r="S992" s="83"/>
      <c r="T992" s="83"/>
      <c r="U992" s="83"/>
      <c r="V992" s="83"/>
      <c r="W992" s="83"/>
      <c r="X992" s="83"/>
      <c r="Y992" s="83"/>
      <c r="Z992" s="83"/>
    </row>
    <row r="993" ht="15.75" customHeight="1">
      <c r="A993" s="118"/>
      <c r="B993" s="118"/>
      <c r="C993" s="94"/>
      <c r="D993" s="111"/>
      <c r="E993" s="115"/>
      <c r="F993" s="108"/>
      <c r="G993" s="98"/>
      <c r="H993" s="116"/>
      <c r="I993" s="111"/>
      <c r="J993" s="115"/>
      <c r="K993" s="108"/>
      <c r="L993" s="98"/>
      <c r="M993" s="116"/>
      <c r="N993" s="111"/>
      <c r="O993" s="115"/>
      <c r="P993" s="108"/>
      <c r="Q993" s="98"/>
      <c r="R993" s="116"/>
      <c r="S993" s="83"/>
      <c r="T993" s="83"/>
      <c r="U993" s="83"/>
      <c r="V993" s="83"/>
      <c r="W993" s="83"/>
      <c r="X993" s="83"/>
      <c r="Y993" s="83"/>
      <c r="Z993" s="83"/>
    </row>
    <row r="994" ht="15.75" customHeight="1">
      <c r="A994" s="118"/>
      <c r="B994" s="118"/>
      <c r="C994" s="94"/>
      <c r="D994" s="111"/>
      <c r="E994" s="115"/>
      <c r="F994" s="108"/>
      <c r="G994" s="98"/>
      <c r="H994" s="116"/>
      <c r="I994" s="111"/>
      <c r="J994" s="115"/>
      <c r="K994" s="108"/>
      <c r="L994" s="98"/>
      <c r="M994" s="116"/>
      <c r="N994" s="111"/>
      <c r="O994" s="115"/>
      <c r="P994" s="108"/>
      <c r="Q994" s="98"/>
      <c r="R994" s="116"/>
      <c r="S994" s="83"/>
      <c r="T994" s="83"/>
      <c r="U994" s="83"/>
      <c r="V994" s="83"/>
      <c r="W994" s="83"/>
      <c r="X994" s="83"/>
      <c r="Y994" s="83"/>
      <c r="Z994" s="83"/>
    </row>
    <row r="995" ht="15.75" customHeight="1">
      <c r="A995" s="118"/>
      <c r="B995" s="118"/>
      <c r="C995" s="94"/>
      <c r="D995" s="111"/>
      <c r="E995" s="115"/>
      <c r="F995" s="108"/>
      <c r="G995" s="98"/>
      <c r="H995" s="116"/>
      <c r="I995" s="111"/>
      <c r="J995" s="115"/>
      <c r="K995" s="108"/>
      <c r="L995" s="98"/>
      <c r="M995" s="116"/>
      <c r="N995" s="111"/>
      <c r="O995" s="115"/>
      <c r="P995" s="108"/>
      <c r="Q995" s="98"/>
      <c r="R995" s="116"/>
      <c r="S995" s="83"/>
      <c r="T995" s="83"/>
      <c r="U995" s="83"/>
      <c r="V995" s="83"/>
      <c r="W995" s="83"/>
      <c r="X995" s="83"/>
      <c r="Y995" s="83"/>
      <c r="Z995" s="83"/>
    </row>
    <row r="996" ht="15.75" customHeight="1">
      <c r="A996" s="118"/>
      <c r="B996" s="118"/>
      <c r="C996" s="94"/>
      <c r="D996" s="111"/>
      <c r="E996" s="115"/>
      <c r="F996" s="108"/>
      <c r="G996" s="98"/>
      <c r="H996" s="116"/>
      <c r="I996" s="111"/>
      <c r="J996" s="115"/>
      <c r="K996" s="108"/>
      <c r="L996" s="98"/>
      <c r="M996" s="116"/>
      <c r="N996" s="111"/>
      <c r="O996" s="115"/>
      <c r="P996" s="108"/>
      <c r="Q996" s="98"/>
      <c r="R996" s="116"/>
      <c r="S996" s="83"/>
      <c r="T996" s="83"/>
      <c r="U996" s="83"/>
      <c r="V996" s="83"/>
      <c r="W996" s="83"/>
      <c r="X996" s="83"/>
      <c r="Y996" s="83"/>
      <c r="Z996" s="83"/>
    </row>
    <row r="997" ht="15.75" customHeight="1">
      <c r="A997" s="118"/>
      <c r="B997" s="118"/>
      <c r="C997" s="94"/>
      <c r="D997" s="111"/>
      <c r="E997" s="115"/>
      <c r="F997" s="108"/>
      <c r="G997" s="98"/>
      <c r="H997" s="116"/>
      <c r="I997" s="111"/>
      <c r="J997" s="115"/>
      <c r="K997" s="108"/>
      <c r="L997" s="98"/>
      <c r="M997" s="116"/>
      <c r="N997" s="111"/>
      <c r="O997" s="115"/>
      <c r="P997" s="108"/>
      <c r="Q997" s="98"/>
      <c r="R997" s="116"/>
      <c r="S997" s="83"/>
      <c r="T997" s="83"/>
      <c r="U997" s="83"/>
      <c r="V997" s="83"/>
      <c r="W997" s="83"/>
      <c r="X997" s="83"/>
      <c r="Y997" s="83"/>
      <c r="Z997" s="83"/>
    </row>
    <row r="998" ht="15.75" customHeight="1">
      <c r="A998" s="118"/>
      <c r="B998" s="118"/>
      <c r="C998" s="94"/>
      <c r="D998" s="111"/>
      <c r="E998" s="115"/>
      <c r="F998" s="108"/>
      <c r="G998" s="98"/>
      <c r="H998" s="116"/>
      <c r="I998" s="111"/>
      <c r="J998" s="115"/>
      <c r="K998" s="108"/>
      <c r="L998" s="98"/>
      <c r="M998" s="116"/>
      <c r="N998" s="111"/>
      <c r="O998" s="115"/>
      <c r="P998" s="108"/>
      <c r="Q998" s="98"/>
      <c r="R998" s="116"/>
      <c r="S998" s="83"/>
      <c r="T998" s="83"/>
      <c r="U998" s="83"/>
      <c r="V998" s="83"/>
      <c r="W998" s="83"/>
      <c r="X998" s="83"/>
      <c r="Y998" s="83"/>
      <c r="Z998" s="83"/>
    </row>
    <row r="999" ht="15.75" customHeight="1">
      <c r="A999" s="118"/>
      <c r="B999" s="118"/>
      <c r="C999" s="94"/>
      <c r="D999" s="111"/>
      <c r="E999" s="115"/>
      <c r="F999" s="108"/>
      <c r="G999" s="98"/>
      <c r="H999" s="116"/>
      <c r="I999" s="111"/>
      <c r="J999" s="115"/>
      <c r="K999" s="108"/>
      <c r="L999" s="98"/>
      <c r="M999" s="116"/>
      <c r="N999" s="111"/>
      <c r="O999" s="115"/>
      <c r="P999" s="108"/>
      <c r="Q999" s="98"/>
      <c r="R999" s="116"/>
      <c r="S999" s="83"/>
      <c r="T999" s="83"/>
      <c r="U999" s="83"/>
      <c r="V999" s="83"/>
      <c r="W999" s="83"/>
      <c r="X999" s="83"/>
      <c r="Y999" s="83"/>
      <c r="Z999" s="83"/>
    </row>
    <row r="1000" ht="15.75" customHeight="1">
      <c r="A1000" s="118"/>
      <c r="B1000" s="118"/>
      <c r="C1000" s="94"/>
      <c r="D1000" s="111"/>
      <c r="E1000" s="115"/>
      <c r="F1000" s="108"/>
      <c r="G1000" s="98"/>
      <c r="H1000" s="116"/>
      <c r="I1000" s="111"/>
      <c r="J1000" s="115"/>
      <c r="K1000" s="108"/>
      <c r="L1000" s="98"/>
      <c r="M1000" s="116"/>
      <c r="N1000" s="111"/>
      <c r="O1000" s="115"/>
      <c r="P1000" s="108"/>
      <c r="Q1000" s="98"/>
      <c r="R1000" s="116"/>
      <c r="S1000" s="83"/>
      <c r="T1000" s="83"/>
      <c r="U1000" s="83"/>
      <c r="V1000" s="83"/>
      <c r="W1000" s="83"/>
      <c r="X1000" s="83"/>
      <c r="Y1000" s="83"/>
      <c r="Z1000" s="83"/>
    </row>
    <row r="1001" ht="15.75" customHeight="1">
      <c r="A1001" s="118"/>
      <c r="B1001" s="118"/>
      <c r="C1001" s="94"/>
      <c r="D1001" s="111"/>
      <c r="E1001" s="115"/>
      <c r="F1001" s="108"/>
      <c r="G1001" s="98"/>
      <c r="H1001" s="116"/>
      <c r="I1001" s="111"/>
      <c r="J1001" s="115"/>
      <c r="K1001" s="108"/>
      <c r="L1001" s="98"/>
      <c r="M1001" s="116"/>
      <c r="N1001" s="111"/>
      <c r="O1001" s="115"/>
      <c r="P1001" s="108"/>
      <c r="Q1001" s="98"/>
      <c r="R1001" s="116"/>
      <c r="S1001" s="83"/>
      <c r="T1001" s="83"/>
      <c r="U1001" s="83"/>
      <c r="V1001" s="83"/>
      <c r="W1001" s="83"/>
      <c r="X1001" s="83"/>
      <c r="Y1001" s="83"/>
      <c r="Z1001" s="83"/>
    </row>
    <row r="1002" ht="15.75" customHeight="1">
      <c r="A1002" s="118"/>
      <c r="B1002" s="118"/>
      <c r="C1002" s="94"/>
      <c r="D1002" s="111"/>
      <c r="E1002" s="115"/>
      <c r="F1002" s="108"/>
      <c r="G1002" s="98"/>
      <c r="H1002" s="116"/>
      <c r="I1002" s="111"/>
      <c r="J1002" s="115"/>
      <c r="K1002" s="108"/>
      <c r="L1002" s="98"/>
      <c r="M1002" s="116"/>
      <c r="N1002" s="111"/>
      <c r="O1002" s="115"/>
      <c r="P1002" s="108"/>
      <c r="Q1002" s="98"/>
      <c r="R1002" s="116"/>
      <c r="S1002" s="83"/>
      <c r="T1002" s="83"/>
      <c r="U1002" s="83"/>
      <c r="V1002" s="83"/>
      <c r="W1002" s="83"/>
      <c r="X1002" s="83"/>
      <c r="Y1002" s="83"/>
      <c r="Z1002" s="83"/>
    </row>
    <row r="1003" ht="15.75" customHeight="1">
      <c r="A1003" s="118"/>
      <c r="B1003" s="118"/>
      <c r="C1003" s="94"/>
      <c r="D1003" s="111"/>
      <c r="E1003" s="115"/>
      <c r="F1003" s="108"/>
      <c r="G1003" s="98"/>
      <c r="H1003" s="116"/>
      <c r="I1003" s="111"/>
      <c r="J1003" s="115"/>
      <c r="K1003" s="108"/>
      <c r="L1003" s="98"/>
      <c r="M1003" s="116"/>
      <c r="N1003" s="111"/>
      <c r="O1003" s="115"/>
      <c r="P1003" s="108"/>
      <c r="Q1003" s="98"/>
      <c r="R1003" s="116"/>
      <c r="S1003" s="83"/>
      <c r="T1003" s="83"/>
      <c r="U1003" s="83"/>
      <c r="V1003" s="83"/>
      <c r="W1003" s="83"/>
      <c r="X1003" s="83"/>
      <c r="Y1003" s="83"/>
      <c r="Z1003" s="83"/>
    </row>
    <row r="1004" ht="15.75" customHeight="1">
      <c r="A1004" s="118"/>
      <c r="B1004" s="118"/>
      <c r="C1004" s="94"/>
      <c r="D1004" s="111"/>
      <c r="E1004" s="115"/>
      <c r="F1004" s="108"/>
      <c r="G1004" s="98"/>
      <c r="H1004" s="116"/>
      <c r="I1004" s="111"/>
      <c r="J1004" s="115"/>
      <c r="K1004" s="108"/>
      <c r="L1004" s="98"/>
      <c r="M1004" s="116"/>
      <c r="N1004" s="111"/>
      <c r="O1004" s="115"/>
      <c r="P1004" s="108"/>
      <c r="Q1004" s="98"/>
      <c r="R1004" s="116"/>
      <c r="S1004" s="83"/>
      <c r="T1004" s="83"/>
      <c r="U1004" s="83"/>
      <c r="V1004" s="83"/>
      <c r="W1004" s="83"/>
      <c r="X1004" s="83"/>
      <c r="Y1004" s="83"/>
      <c r="Z1004" s="83"/>
    </row>
    <row r="1005" ht="15.75" customHeight="1">
      <c r="A1005" s="118"/>
      <c r="B1005" s="118"/>
      <c r="C1005" s="94"/>
      <c r="D1005" s="111"/>
      <c r="E1005" s="115"/>
      <c r="F1005" s="108"/>
      <c r="G1005" s="98"/>
      <c r="H1005" s="116"/>
      <c r="I1005" s="111"/>
      <c r="J1005" s="115"/>
      <c r="K1005" s="108"/>
      <c r="L1005" s="98"/>
      <c r="M1005" s="116"/>
      <c r="N1005" s="111"/>
      <c r="O1005" s="115"/>
      <c r="P1005" s="108"/>
      <c r="Q1005" s="98"/>
      <c r="R1005" s="116"/>
      <c r="S1005" s="83"/>
      <c r="T1005" s="83"/>
      <c r="U1005" s="83"/>
      <c r="V1005" s="83"/>
      <c r="W1005" s="83"/>
      <c r="X1005" s="83"/>
      <c r="Y1005" s="83"/>
      <c r="Z1005" s="83"/>
    </row>
    <row r="1006" ht="15.75" customHeight="1">
      <c r="A1006" s="118"/>
      <c r="B1006" s="118"/>
      <c r="C1006" s="94"/>
      <c r="D1006" s="111"/>
      <c r="E1006" s="115"/>
      <c r="F1006" s="108"/>
      <c r="G1006" s="98"/>
      <c r="H1006" s="116"/>
      <c r="I1006" s="111"/>
      <c r="J1006" s="115"/>
      <c r="K1006" s="108"/>
      <c r="L1006" s="98"/>
      <c r="M1006" s="116"/>
      <c r="N1006" s="111"/>
      <c r="O1006" s="115"/>
      <c r="P1006" s="108"/>
      <c r="Q1006" s="98"/>
      <c r="R1006" s="116"/>
      <c r="S1006" s="83"/>
      <c r="T1006" s="83"/>
      <c r="U1006" s="83"/>
      <c r="V1006" s="83"/>
      <c r="W1006" s="83"/>
      <c r="X1006" s="83"/>
      <c r="Y1006" s="83"/>
      <c r="Z1006" s="83"/>
    </row>
    <row r="1007" ht="15.75" customHeight="1">
      <c r="A1007" s="118"/>
      <c r="B1007" s="118"/>
      <c r="C1007" s="94"/>
      <c r="D1007" s="111"/>
      <c r="E1007" s="115"/>
      <c r="F1007" s="108"/>
      <c r="G1007" s="98"/>
      <c r="H1007" s="116"/>
      <c r="I1007" s="111"/>
      <c r="J1007" s="115"/>
      <c r="K1007" s="108"/>
      <c r="L1007" s="98"/>
      <c r="M1007" s="116"/>
      <c r="N1007" s="111"/>
      <c r="O1007" s="115"/>
      <c r="P1007" s="108"/>
      <c r="Q1007" s="98"/>
      <c r="R1007" s="116"/>
      <c r="S1007" s="83"/>
      <c r="T1007" s="83"/>
      <c r="U1007" s="83"/>
      <c r="V1007" s="83"/>
      <c r="W1007" s="83"/>
      <c r="X1007" s="83"/>
      <c r="Y1007" s="83"/>
      <c r="Z1007" s="83"/>
    </row>
    <row r="1008" ht="15.75" customHeight="1">
      <c r="A1008" s="118"/>
      <c r="B1008" s="118"/>
      <c r="C1008" s="94"/>
      <c r="D1008" s="111"/>
      <c r="E1008" s="115"/>
      <c r="F1008" s="108"/>
      <c r="G1008" s="98"/>
      <c r="H1008" s="116"/>
      <c r="I1008" s="111"/>
      <c r="J1008" s="115"/>
      <c r="K1008" s="108"/>
      <c r="L1008" s="98"/>
      <c r="M1008" s="116"/>
      <c r="N1008" s="111"/>
      <c r="O1008" s="115"/>
      <c r="P1008" s="108"/>
      <c r="Q1008" s="98"/>
      <c r="R1008" s="116"/>
      <c r="S1008" s="83"/>
      <c r="T1008" s="83"/>
      <c r="U1008" s="83"/>
      <c r="V1008" s="83"/>
      <c r="W1008" s="83"/>
      <c r="X1008" s="83"/>
      <c r="Y1008" s="83"/>
      <c r="Z1008" s="83"/>
    </row>
    <row r="1009" ht="15.75" customHeight="1">
      <c r="A1009" s="118"/>
      <c r="B1009" s="118"/>
      <c r="C1009" s="94"/>
      <c r="D1009" s="111"/>
      <c r="E1009" s="115"/>
      <c r="F1009" s="108"/>
      <c r="G1009" s="98"/>
      <c r="H1009" s="116"/>
      <c r="I1009" s="111"/>
      <c r="J1009" s="115"/>
      <c r="K1009" s="108"/>
      <c r="L1009" s="98"/>
      <c r="M1009" s="116"/>
      <c r="N1009" s="111"/>
      <c r="O1009" s="115"/>
      <c r="P1009" s="108"/>
      <c r="Q1009" s="98"/>
      <c r="R1009" s="116"/>
      <c r="S1009" s="83"/>
      <c r="T1009" s="83"/>
      <c r="U1009" s="83"/>
      <c r="V1009" s="83"/>
      <c r="W1009" s="83"/>
      <c r="X1009" s="83"/>
      <c r="Y1009" s="83"/>
      <c r="Z1009" s="83"/>
    </row>
    <row r="1010" ht="15.75" customHeight="1">
      <c r="A1010" s="118"/>
      <c r="B1010" s="118"/>
      <c r="C1010" s="94"/>
      <c r="D1010" s="111"/>
      <c r="E1010" s="115"/>
      <c r="F1010" s="108"/>
      <c r="G1010" s="98"/>
      <c r="H1010" s="116"/>
      <c r="I1010" s="111"/>
      <c r="J1010" s="115"/>
      <c r="K1010" s="108"/>
      <c r="L1010" s="98"/>
      <c r="M1010" s="116"/>
      <c r="N1010" s="111"/>
      <c r="O1010" s="115"/>
      <c r="P1010" s="108"/>
      <c r="Q1010" s="98"/>
      <c r="R1010" s="116"/>
      <c r="S1010" s="83"/>
      <c r="T1010" s="83"/>
      <c r="U1010" s="83"/>
      <c r="V1010" s="83"/>
      <c r="W1010" s="83"/>
      <c r="X1010" s="83"/>
      <c r="Y1010" s="83"/>
      <c r="Z1010" s="83"/>
    </row>
    <row r="1011" ht="15.75" customHeight="1">
      <c r="A1011" s="118"/>
      <c r="B1011" s="118"/>
      <c r="C1011" s="94"/>
      <c r="D1011" s="111"/>
      <c r="E1011" s="115"/>
      <c r="F1011" s="108"/>
      <c r="G1011" s="98"/>
      <c r="H1011" s="116"/>
      <c r="I1011" s="111"/>
      <c r="J1011" s="115"/>
      <c r="K1011" s="108"/>
      <c r="L1011" s="98"/>
      <c r="M1011" s="116"/>
      <c r="N1011" s="111"/>
      <c r="O1011" s="115"/>
      <c r="P1011" s="108"/>
      <c r="Q1011" s="98"/>
      <c r="R1011" s="116"/>
      <c r="S1011" s="83"/>
      <c r="T1011" s="83"/>
      <c r="U1011" s="83"/>
      <c r="V1011" s="83"/>
      <c r="W1011" s="83"/>
      <c r="X1011" s="83"/>
      <c r="Y1011" s="83"/>
      <c r="Z1011" s="83"/>
    </row>
    <row r="1012" ht="15.75" customHeight="1">
      <c r="A1012" s="118"/>
      <c r="B1012" s="118"/>
      <c r="C1012" s="94"/>
      <c r="D1012" s="111"/>
      <c r="E1012" s="115"/>
      <c r="F1012" s="108"/>
      <c r="G1012" s="98"/>
      <c r="H1012" s="116"/>
      <c r="I1012" s="111"/>
      <c r="J1012" s="115"/>
      <c r="K1012" s="108"/>
      <c r="L1012" s="98"/>
      <c r="M1012" s="116"/>
      <c r="N1012" s="111"/>
      <c r="O1012" s="115"/>
      <c r="P1012" s="108"/>
      <c r="Q1012" s="98"/>
      <c r="R1012" s="116"/>
      <c r="S1012" s="83"/>
      <c r="T1012" s="83"/>
      <c r="U1012" s="83"/>
      <c r="V1012" s="83"/>
      <c r="W1012" s="83"/>
      <c r="X1012" s="83"/>
      <c r="Y1012" s="83"/>
      <c r="Z1012" s="83"/>
    </row>
    <row r="1013" ht="15.75" customHeight="1">
      <c r="A1013" s="118"/>
      <c r="B1013" s="118"/>
      <c r="C1013" s="94"/>
      <c r="D1013" s="111"/>
      <c r="E1013" s="115"/>
      <c r="F1013" s="108"/>
      <c r="G1013" s="98"/>
      <c r="H1013" s="116"/>
      <c r="I1013" s="111"/>
      <c r="J1013" s="115"/>
      <c r="K1013" s="108"/>
      <c r="L1013" s="98"/>
      <c r="M1013" s="116"/>
      <c r="N1013" s="111"/>
      <c r="O1013" s="115"/>
      <c r="P1013" s="108"/>
      <c r="Q1013" s="98"/>
      <c r="R1013" s="116"/>
      <c r="S1013" s="83"/>
      <c r="T1013" s="83"/>
      <c r="U1013" s="83"/>
      <c r="V1013" s="83"/>
      <c r="W1013" s="83"/>
      <c r="X1013" s="83"/>
      <c r="Y1013" s="83"/>
      <c r="Z1013" s="83"/>
    </row>
    <row r="1014" ht="15.75" customHeight="1">
      <c r="A1014" s="118"/>
      <c r="B1014" s="118"/>
      <c r="C1014" s="94"/>
      <c r="D1014" s="111"/>
      <c r="E1014" s="115"/>
      <c r="F1014" s="108"/>
      <c r="G1014" s="98"/>
      <c r="H1014" s="116"/>
      <c r="I1014" s="111"/>
      <c r="J1014" s="115"/>
      <c r="K1014" s="108"/>
      <c r="L1014" s="98"/>
      <c r="M1014" s="116"/>
      <c r="N1014" s="111"/>
      <c r="O1014" s="115"/>
      <c r="P1014" s="108"/>
      <c r="Q1014" s="98"/>
      <c r="R1014" s="116"/>
      <c r="S1014" s="83"/>
      <c r="T1014" s="83"/>
      <c r="U1014" s="83"/>
      <c r="V1014" s="83"/>
      <c r="W1014" s="83"/>
      <c r="X1014" s="83"/>
      <c r="Y1014" s="83"/>
      <c r="Z1014" s="83"/>
    </row>
    <row r="1015" ht="15.75" customHeight="1">
      <c r="A1015" s="118"/>
      <c r="B1015" s="118"/>
      <c r="C1015" s="94"/>
      <c r="D1015" s="111"/>
      <c r="E1015" s="115"/>
      <c r="F1015" s="108"/>
      <c r="G1015" s="98"/>
      <c r="H1015" s="116"/>
      <c r="I1015" s="111"/>
      <c r="J1015" s="115"/>
      <c r="K1015" s="108"/>
      <c r="L1015" s="98"/>
      <c r="M1015" s="116"/>
      <c r="N1015" s="111"/>
      <c r="O1015" s="115"/>
      <c r="P1015" s="108"/>
      <c r="Q1015" s="98"/>
      <c r="R1015" s="116"/>
      <c r="S1015" s="83"/>
      <c r="T1015" s="83"/>
      <c r="U1015" s="83"/>
      <c r="V1015" s="83"/>
      <c r="W1015" s="83"/>
      <c r="X1015" s="83"/>
      <c r="Y1015" s="83"/>
      <c r="Z1015" s="83"/>
    </row>
    <row r="1016" ht="15.75" customHeight="1">
      <c r="A1016" s="118"/>
      <c r="B1016" s="118"/>
      <c r="C1016" s="94"/>
      <c r="D1016" s="111"/>
      <c r="E1016" s="115"/>
      <c r="F1016" s="108"/>
      <c r="G1016" s="98"/>
      <c r="H1016" s="116"/>
      <c r="I1016" s="111"/>
      <c r="J1016" s="115"/>
      <c r="K1016" s="108"/>
      <c r="L1016" s="98"/>
      <c r="M1016" s="116"/>
      <c r="N1016" s="111"/>
      <c r="O1016" s="115"/>
      <c r="P1016" s="108"/>
      <c r="Q1016" s="98"/>
      <c r="R1016" s="116"/>
      <c r="S1016" s="83"/>
      <c r="T1016" s="83"/>
      <c r="U1016" s="83"/>
      <c r="V1016" s="83"/>
      <c r="W1016" s="83"/>
      <c r="X1016" s="83"/>
      <c r="Y1016" s="83"/>
      <c r="Z1016" s="83"/>
    </row>
  </sheetData>
  <autoFilter ref="$A$2:$R$125">
    <sortState ref="A2:R125">
      <sortCondition ref="A2:A125"/>
    </sortState>
  </autoFilter>
  <mergeCells count="3">
    <mergeCell ref="D1:H1"/>
    <mergeCell ref="I1:M1"/>
    <mergeCell ref="N1:R1"/>
  </mergeCells>
  <conditionalFormatting sqref="D1:R1016">
    <cfRule type="containsBlanks" dxfId="0" priority="1">
      <formula>LEN(TRIM(D1))=0</formula>
    </cfRule>
  </conditionalFormatting>
  <conditionalFormatting sqref="A1:A1016">
    <cfRule type="expression" dxfId="2" priority="2">
      <formula>AND(NOT(ISBLANK(A1)), COUNTIF($A:$A, "=" &amp; A1)&gt;1)</formula>
    </cfRule>
  </conditionalFormatting>
  <conditionalFormatting sqref="C3:C1016">
    <cfRule type="expression" dxfId="1" priority="3">
      <formula>COUNTA(D3:R3)/3 &gt; 1</formula>
    </cfRule>
  </conditionalFormatting>
  <hyperlinks>
    <hyperlink r:id="rId2" ref="A26"/>
    <hyperlink r:id="rId3" ref="A73"/>
    <hyperlink r:id="rId4" ref="A88"/>
    <hyperlink r:id="rId5" ref="A97"/>
    <hyperlink r:id="rId6" ref="A99"/>
    <hyperlink r:id="rId7" ref="A103"/>
    <hyperlink r:id="rId8" ref="A118"/>
    <hyperlink r:id="rId9" ref="A124"/>
  </hyperlinks>
  <drawing r:id="rId10"/>
  <legacyDrawing r:id="rId1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2.63"/>
    <col customWidth="1" min="2" max="2" width="31.5"/>
    <col customWidth="1" min="3" max="3" width="4.13"/>
    <col customWidth="1" min="4" max="4" width="9.63"/>
    <col customWidth="1" min="5" max="5" width="8.5"/>
    <col customWidth="1" min="6" max="6" width="9.13"/>
    <col customWidth="1" min="7" max="7" width="4.75"/>
    <col customWidth="1" min="8" max="8" width="5.75"/>
    <col customWidth="1" min="9" max="9" width="7.38"/>
    <col customWidth="1" min="10" max="10" width="6.25"/>
    <col customWidth="1" min="11" max="11" width="6.63"/>
    <col customWidth="1" min="12" max="12" width="5.0"/>
    <col customWidth="1" min="13" max="13" width="5.63"/>
    <col customWidth="1" min="14" max="14" width="7.25"/>
    <col customWidth="1" min="15" max="15" width="6.25"/>
    <col customWidth="1" min="16" max="16" width="6.63"/>
    <col customWidth="1" min="17" max="17" width="5.0"/>
    <col customWidth="1" min="18" max="18" width="5.63"/>
  </cols>
  <sheetData>
    <row r="1">
      <c r="A1" s="5" t="s">
        <v>1169</v>
      </c>
      <c r="B1" s="5" t="s">
        <v>1170</v>
      </c>
      <c r="C1" s="157" t="s">
        <v>1171</v>
      </c>
      <c r="D1" s="79" t="s">
        <v>1172</v>
      </c>
      <c r="E1" s="80"/>
      <c r="F1" s="80"/>
      <c r="G1" s="80"/>
      <c r="H1" s="81"/>
      <c r="I1" s="158" t="s">
        <v>1173</v>
      </c>
      <c r="J1" s="80"/>
      <c r="K1" s="80"/>
      <c r="L1" s="80"/>
      <c r="M1" s="81"/>
      <c r="N1" s="158" t="s">
        <v>674</v>
      </c>
      <c r="O1" s="80"/>
      <c r="P1" s="80"/>
      <c r="Q1" s="80"/>
      <c r="R1" s="81"/>
      <c r="S1" s="159"/>
      <c r="T1" s="159"/>
      <c r="U1" s="159"/>
      <c r="V1" s="159"/>
      <c r="W1" s="159"/>
      <c r="X1" s="159"/>
      <c r="Y1" s="159"/>
      <c r="Z1" s="159"/>
    </row>
    <row r="2">
      <c r="A2" s="5"/>
      <c r="B2" s="5"/>
      <c r="C2" s="157"/>
      <c r="D2" s="160" t="s">
        <v>9</v>
      </c>
      <c r="E2" s="161" t="s">
        <v>10</v>
      </c>
      <c r="F2" s="161" t="s">
        <v>11</v>
      </c>
      <c r="G2" s="161" t="s">
        <v>12</v>
      </c>
      <c r="H2" s="162" t="s">
        <v>13</v>
      </c>
      <c r="I2" s="160" t="s">
        <v>9</v>
      </c>
      <c r="J2" s="161" t="s">
        <v>10</v>
      </c>
      <c r="K2" s="161" t="s">
        <v>11</v>
      </c>
      <c r="L2" s="161" t="s">
        <v>12</v>
      </c>
      <c r="M2" s="162" t="s">
        <v>13</v>
      </c>
      <c r="N2" s="160" t="s">
        <v>9</v>
      </c>
      <c r="O2" s="161" t="s">
        <v>10</v>
      </c>
      <c r="P2" s="161" t="s">
        <v>11</v>
      </c>
      <c r="Q2" s="161" t="s">
        <v>12</v>
      </c>
      <c r="R2" s="162" t="s">
        <v>13</v>
      </c>
      <c r="S2" s="159"/>
      <c r="T2" s="159"/>
      <c r="U2" s="159"/>
      <c r="V2" s="159"/>
      <c r="W2" s="159"/>
      <c r="X2" s="159"/>
      <c r="Y2" s="159"/>
      <c r="Z2" s="159"/>
    </row>
    <row r="3">
      <c r="A3" s="163" t="s">
        <v>958</v>
      </c>
      <c r="B3" s="164"/>
      <c r="C3" s="165">
        <f t="shared" ref="C3:C81" si="1">SUM(
IFERROR(SUM(D3:R3)/(COUNTA(D3:R3)/3),0),
)</f>
        <v>2.5</v>
      </c>
      <c r="D3" s="86">
        <v>4.0</v>
      </c>
      <c r="E3" s="11">
        <v>4.0</v>
      </c>
      <c r="F3" s="166">
        <v>4.0</v>
      </c>
      <c r="G3" s="33"/>
      <c r="H3" s="87">
        <v>4.0</v>
      </c>
      <c r="I3" s="10">
        <v>-2.0</v>
      </c>
      <c r="J3" s="11">
        <v>-2.0</v>
      </c>
      <c r="K3" s="166">
        <v>-2.0</v>
      </c>
      <c r="L3" s="33"/>
      <c r="M3" s="128">
        <v>-4.0</v>
      </c>
      <c r="N3" s="86">
        <v>1.0</v>
      </c>
      <c r="O3" s="11">
        <v>1.0</v>
      </c>
      <c r="P3" s="167">
        <v>1.0</v>
      </c>
      <c r="Q3" s="161"/>
      <c r="R3" s="87">
        <v>1.0</v>
      </c>
      <c r="S3" s="159"/>
      <c r="T3" s="159"/>
      <c r="U3" s="159"/>
      <c r="V3" s="159"/>
      <c r="W3" s="159"/>
      <c r="X3" s="159"/>
      <c r="Y3" s="159"/>
      <c r="Z3" s="159"/>
    </row>
    <row r="4">
      <c r="A4" s="168" t="s">
        <v>1174</v>
      </c>
      <c r="B4" s="169"/>
      <c r="C4" s="165">
        <f t="shared" si="1"/>
        <v>3.75</v>
      </c>
      <c r="D4" s="170">
        <v>4.0</v>
      </c>
      <c r="E4" s="96">
        <v>4.0</v>
      </c>
      <c r="F4" s="166">
        <v>4.0</v>
      </c>
      <c r="G4" s="33"/>
      <c r="H4" s="128">
        <v>4.0</v>
      </c>
      <c r="I4" s="167">
        <v>-2.0</v>
      </c>
      <c r="J4" s="96">
        <v>-2.0</v>
      </c>
      <c r="K4" s="166">
        <v>-2.0</v>
      </c>
      <c r="L4" s="33"/>
      <c r="M4" s="128">
        <v>-2.0</v>
      </c>
      <c r="N4" s="171">
        <v>2.0</v>
      </c>
      <c r="O4" s="96">
        <v>1.0</v>
      </c>
      <c r="P4" s="167">
        <v>2.0</v>
      </c>
      <c r="Q4" s="161"/>
      <c r="R4" s="128">
        <v>2.0</v>
      </c>
      <c r="S4" s="159"/>
      <c r="T4" s="159"/>
      <c r="U4" s="159"/>
      <c r="V4" s="159"/>
      <c r="W4" s="159"/>
      <c r="X4" s="159"/>
      <c r="Y4" s="159"/>
      <c r="Z4" s="159"/>
    </row>
    <row r="5">
      <c r="A5" s="168" t="s">
        <v>1175</v>
      </c>
      <c r="B5" s="169"/>
      <c r="C5" s="165">
        <f t="shared" si="1"/>
        <v>4.75</v>
      </c>
      <c r="D5" s="170">
        <v>4.0</v>
      </c>
      <c r="E5" s="96">
        <v>4.0</v>
      </c>
      <c r="F5" s="166">
        <v>4.0</v>
      </c>
      <c r="G5" s="33"/>
      <c r="H5" s="128">
        <v>4.0</v>
      </c>
      <c r="I5" s="167">
        <v>-2.0</v>
      </c>
      <c r="J5" s="96">
        <v>-2.0</v>
      </c>
      <c r="K5" s="166">
        <v>-2.0</v>
      </c>
      <c r="L5" s="33"/>
      <c r="M5" s="128">
        <v>-2.0</v>
      </c>
      <c r="N5" s="171">
        <v>3.0</v>
      </c>
      <c r="O5" s="96">
        <v>2.0</v>
      </c>
      <c r="P5" s="167">
        <v>3.0</v>
      </c>
      <c r="Q5" s="161"/>
      <c r="R5" s="128">
        <v>3.0</v>
      </c>
      <c r="S5" s="159"/>
      <c r="T5" s="159"/>
      <c r="U5" s="159"/>
      <c r="V5" s="159"/>
      <c r="W5" s="159"/>
      <c r="X5" s="159"/>
      <c r="Y5" s="159"/>
      <c r="Z5" s="159"/>
    </row>
    <row r="6">
      <c r="A6" s="172" t="s">
        <v>1176</v>
      </c>
      <c r="B6" s="114"/>
      <c r="C6" s="165">
        <f t="shared" si="1"/>
        <v>5.333333333</v>
      </c>
      <c r="D6" s="170">
        <v>4.0</v>
      </c>
      <c r="E6" s="167">
        <v>4.0</v>
      </c>
      <c r="F6" s="167">
        <v>4.0</v>
      </c>
      <c r="G6" s="161"/>
      <c r="H6" s="162"/>
      <c r="I6" s="167">
        <v>-2.0</v>
      </c>
      <c r="J6" s="167">
        <v>-2.0</v>
      </c>
      <c r="K6" s="167">
        <v>-2.0</v>
      </c>
      <c r="L6" s="161"/>
      <c r="M6" s="162"/>
      <c r="N6" s="170">
        <v>4.0</v>
      </c>
      <c r="O6" s="167">
        <v>3.0</v>
      </c>
      <c r="P6" s="167">
        <v>3.0</v>
      </c>
      <c r="Q6" s="161"/>
      <c r="R6" s="162"/>
      <c r="S6" s="159"/>
      <c r="T6" s="159"/>
      <c r="U6" s="159"/>
      <c r="V6" s="159"/>
      <c r="W6" s="159"/>
      <c r="X6" s="159"/>
      <c r="Y6" s="159"/>
      <c r="Z6" s="159"/>
    </row>
    <row r="7">
      <c r="A7" s="163" t="s">
        <v>1177</v>
      </c>
      <c r="B7" s="164"/>
      <c r="C7" s="165">
        <f t="shared" si="1"/>
        <v>3.5</v>
      </c>
      <c r="D7" s="86">
        <v>4.0</v>
      </c>
      <c r="E7" s="11">
        <v>4.0</v>
      </c>
      <c r="F7" s="166">
        <v>4.0</v>
      </c>
      <c r="G7" s="33"/>
      <c r="H7" s="87">
        <v>4.0</v>
      </c>
      <c r="I7" s="86">
        <v>-2.0</v>
      </c>
      <c r="J7" s="11">
        <v>-2.0</v>
      </c>
      <c r="K7" s="166">
        <v>-2.0</v>
      </c>
      <c r="L7" s="33"/>
      <c r="M7" s="87">
        <v>-2.0</v>
      </c>
      <c r="N7" s="86">
        <v>1.0</v>
      </c>
      <c r="O7" s="11">
        <v>2.0</v>
      </c>
      <c r="P7" s="167">
        <v>2.0</v>
      </c>
      <c r="Q7" s="161"/>
      <c r="R7" s="87">
        <v>1.0</v>
      </c>
      <c r="S7" s="159"/>
      <c r="T7" s="159"/>
      <c r="U7" s="159"/>
      <c r="V7" s="159"/>
      <c r="W7" s="159"/>
      <c r="X7" s="159"/>
      <c r="Y7" s="159"/>
      <c r="Z7" s="159"/>
    </row>
    <row r="8">
      <c r="A8" s="172" t="s">
        <v>1178</v>
      </c>
      <c r="B8" s="137"/>
      <c r="C8" s="165">
        <f t="shared" si="1"/>
        <v>3.5</v>
      </c>
      <c r="D8" s="86">
        <v>4.0</v>
      </c>
      <c r="E8" s="96">
        <v>4.0</v>
      </c>
      <c r="F8" s="166">
        <v>4.0</v>
      </c>
      <c r="G8" s="161"/>
      <c r="H8" s="87">
        <v>4.0</v>
      </c>
      <c r="I8" s="86">
        <v>-2.0</v>
      </c>
      <c r="J8" s="96">
        <v>-2.0</v>
      </c>
      <c r="K8" s="167">
        <v>-2.0</v>
      </c>
      <c r="L8" s="161"/>
      <c r="M8" s="87">
        <v>-2.0</v>
      </c>
      <c r="N8" s="170">
        <v>1.0</v>
      </c>
      <c r="O8" s="96">
        <v>2.0</v>
      </c>
      <c r="P8" s="167">
        <v>2.0</v>
      </c>
      <c r="Q8" s="161"/>
      <c r="R8" s="87">
        <v>1.0</v>
      </c>
      <c r="S8" s="159"/>
      <c r="T8" s="159"/>
      <c r="U8" s="159"/>
      <c r="V8" s="159"/>
      <c r="W8" s="159"/>
      <c r="X8" s="159"/>
      <c r="Y8" s="159"/>
      <c r="Z8" s="159"/>
    </row>
    <row r="9">
      <c r="A9" s="172" t="s">
        <v>1179</v>
      </c>
      <c r="B9" s="114"/>
      <c r="C9" s="165">
        <f t="shared" si="1"/>
        <v>4.333333333</v>
      </c>
      <c r="D9" s="86">
        <v>4.0</v>
      </c>
      <c r="E9" s="167">
        <v>4.0</v>
      </c>
      <c r="F9" s="167">
        <v>4.0</v>
      </c>
      <c r="G9" s="161"/>
      <c r="H9" s="162"/>
      <c r="I9" s="86">
        <v>-2.0</v>
      </c>
      <c r="J9" s="167">
        <v>-2.0</v>
      </c>
      <c r="K9" s="167">
        <v>-2.0</v>
      </c>
      <c r="L9" s="161"/>
      <c r="M9" s="162"/>
      <c r="N9" s="170">
        <v>3.0</v>
      </c>
      <c r="O9" s="167">
        <v>2.0</v>
      </c>
      <c r="P9" s="167">
        <v>2.0</v>
      </c>
      <c r="Q9" s="161"/>
      <c r="R9" s="162"/>
      <c r="S9" s="159"/>
      <c r="T9" s="159"/>
      <c r="U9" s="159"/>
      <c r="V9" s="159"/>
      <c r="W9" s="159"/>
      <c r="X9" s="159"/>
      <c r="Y9" s="159"/>
      <c r="Z9" s="159"/>
    </row>
    <row r="10">
      <c r="A10" s="172" t="s">
        <v>1180</v>
      </c>
      <c r="B10" s="114"/>
      <c r="C10" s="165">
        <f t="shared" si="1"/>
        <v>4.666666667</v>
      </c>
      <c r="D10" s="171">
        <v>5.0</v>
      </c>
      <c r="E10" s="167">
        <v>4.0</v>
      </c>
      <c r="F10" s="167">
        <v>4.0</v>
      </c>
      <c r="G10" s="161"/>
      <c r="H10" s="162"/>
      <c r="I10" s="86">
        <v>-2.0</v>
      </c>
      <c r="J10" s="167">
        <v>-2.0</v>
      </c>
      <c r="K10" s="167">
        <v>-2.0</v>
      </c>
      <c r="L10" s="161"/>
      <c r="M10" s="162"/>
      <c r="N10" s="170">
        <v>2.0</v>
      </c>
      <c r="O10" s="167">
        <v>3.0</v>
      </c>
      <c r="P10" s="167">
        <v>2.0</v>
      </c>
      <c r="Q10" s="161"/>
      <c r="R10" s="162"/>
      <c r="S10" s="159"/>
      <c r="T10" s="159"/>
      <c r="U10" s="159"/>
      <c r="V10" s="159"/>
      <c r="W10" s="159"/>
      <c r="X10" s="159"/>
      <c r="Y10" s="159"/>
      <c r="Z10" s="159"/>
    </row>
    <row r="11">
      <c r="A11" s="172" t="s">
        <v>1181</v>
      </c>
      <c r="B11" s="114"/>
      <c r="C11" s="165">
        <f t="shared" si="1"/>
        <v>4.333333333</v>
      </c>
      <c r="D11" s="171">
        <v>5.0</v>
      </c>
      <c r="E11" s="167">
        <v>4.0</v>
      </c>
      <c r="F11" s="167">
        <v>4.0</v>
      </c>
      <c r="G11" s="161"/>
      <c r="H11" s="162"/>
      <c r="I11" s="86">
        <v>-2.0</v>
      </c>
      <c r="J11" s="167">
        <v>-2.0</v>
      </c>
      <c r="K11" s="167">
        <v>-2.0</v>
      </c>
      <c r="L11" s="161"/>
      <c r="M11" s="162"/>
      <c r="N11" s="170">
        <v>2.0</v>
      </c>
      <c r="O11" s="167">
        <v>2.0</v>
      </c>
      <c r="P11" s="167">
        <v>2.0</v>
      </c>
      <c r="Q11" s="161"/>
      <c r="R11" s="162"/>
      <c r="S11" s="159"/>
      <c r="T11" s="159"/>
      <c r="U11" s="159"/>
      <c r="V11" s="159"/>
      <c r="W11" s="159"/>
      <c r="X11" s="159"/>
      <c r="Y11" s="159"/>
      <c r="Z11" s="159"/>
    </row>
    <row r="12">
      <c r="A12" s="163" t="s">
        <v>962</v>
      </c>
      <c r="B12" s="164"/>
      <c r="C12" s="165">
        <f t="shared" si="1"/>
        <v>3.25</v>
      </c>
      <c r="D12" s="86">
        <v>4.0</v>
      </c>
      <c r="E12" s="11">
        <v>4.0</v>
      </c>
      <c r="F12" s="166">
        <v>4.0</v>
      </c>
      <c r="G12" s="33"/>
      <c r="H12" s="87">
        <v>4.0</v>
      </c>
      <c r="I12" s="86">
        <v>-2.0</v>
      </c>
      <c r="J12" s="11">
        <v>-2.0</v>
      </c>
      <c r="K12" s="166">
        <v>-2.0</v>
      </c>
      <c r="L12" s="33"/>
      <c r="M12" s="87">
        <v>-2.0</v>
      </c>
      <c r="N12" s="86">
        <v>1.0</v>
      </c>
      <c r="O12" s="11">
        <v>1.0</v>
      </c>
      <c r="P12" s="167">
        <v>1.0</v>
      </c>
      <c r="Q12" s="161"/>
      <c r="R12" s="87">
        <v>2.0</v>
      </c>
      <c r="S12" s="159"/>
      <c r="T12" s="159"/>
      <c r="U12" s="159"/>
      <c r="V12" s="159"/>
      <c r="W12" s="159"/>
      <c r="X12" s="159"/>
      <c r="Y12" s="159"/>
      <c r="Z12" s="159"/>
    </row>
    <row r="13">
      <c r="A13" s="168" t="s">
        <v>1182</v>
      </c>
      <c r="B13" s="169"/>
      <c r="C13" s="165">
        <f t="shared" si="1"/>
        <v>4</v>
      </c>
      <c r="D13" s="86">
        <v>4.0</v>
      </c>
      <c r="E13" s="96">
        <v>4.0</v>
      </c>
      <c r="F13" s="166">
        <v>4.0</v>
      </c>
      <c r="G13" s="33"/>
      <c r="H13" s="128">
        <v>4.0</v>
      </c>
      <c r="I13" s="86">
        <v>-2.0</v>
      </c>
      <c r="J13" s="96">
        <v>-2.0</v>
      </c>
      <c r="K13" s="166">
        <v>-2.0</v>
      </c>
      <c r="L13" s="33"/>
      <c r="M13" s="128">
        <v>-2.0</v>
      </c>
      <c r="N13" s="171">
        <v>2.0</v>
      </c>
      <c r="O13" s="96">
        <v>2.0</v>
      </c>
      <c r="P13" s="167">
        <v>2.0</v>
      </c>
      <c r="Q13" s="161"/>
      <c r="R13" s="128">
        <v>2.0</v>
      </c>
      <c r="S13" s="159"/>
      <c r="T13" s="159"/>
      <c r="U13" s="159"/>
      <c r="V13" s="159"/>
      <c r="W13" s="159"/>
      <c r="X13" s="159"/>
      <c r="Y13" s="159"/>
      <c r="Z13" s="159"/>
    </row>
    <row r="14">
      <c r="A14" s="163" t="s">
        <v>1183</v>
      </c>
      <c r="B14" s="164"/>
      <c r="C14" s="165">
        <f t="shared" si="1"/>
        <v>4.25</v>
      </c>
      <c r="D14" s="86">
        <v>4.0</v>
      </c>
      <c r="E14" s="11">
        <v>4.0</v>
      </c>
      <c r="F14" s="166">
        <v>4.0</v>
      </c>
      <c r="G14" s="33"/>
      <c r="H14" s="87">
        <v>4.0</v>
      </c>
      <c r="I14" s="86">
        <v>-2.0</v>
      </c>
      <c r="J14" s="11">
        <v>-2.0</v>
      </c>
      <c r="K14" s="166">
        <v>-2.0</v>
      </c>
      <c r="L14" s="33"/>
      <c r="M14" s="87">
        <v>-2.0</v>
      </c>
      <c r="N14" s="86">
        <v>2.0</v>
      </c>
      <c r="O14" s="11">
        <v>2.0</v>
      </c>
      <c r="P14" s="167">
        <v>3.0</v>
      </c>
      <c r="Q14" s="161"/>
      <c r="R14" s="87">
        <v>2.0</v>
      </c>
      <c r="S14" s="159"/>
      <c r="T14" s="159"/>
      <c r="U14" s="159"/>
      <c r="V14" s="159"/>
      <c r="W14" s="159"/>
      <c r="X14" s="159"/>
      <c r="Y14" s="159"/>
      <c r="Z14" s="159"/>
    </row>
    <row r="15">
      <c r="A15" s="168" t="s">
        <v>1184</v>
      </c>
      <c r="B15" s="164"/>
      <c r="C15" s="165">
        <f t="shared" si="1"/>
        <v>5.333333333</v>
      </c>
      <c r="D15" s="86">
        <v>4.0</v>
      </c>
      <c r="E15" s="96">
        <v>4.0</v>
      </c>
      <c r="F15" s="166">
        <v>4.0</v>
      </c>
      <c r="G15" s="33"/>
      <c r="H15" s="128"/>
      <c r="I15" s="86">
        <v>-2.0</v>
      </c>
      <c r="J15" s="11">
        <v>-2.0</v>
      </c>
      <c r="K15" s="166">
        <v>-2.0</v>
      </c>
      <c r="L15" s="33"/>
      <c r="M15" s="128"/>
      <c r="N15" s="171">
        <v>4.0</v>
      </c>
      <c r="O15" s="96">
        <v>3.0</v>
      </c>
      <c r="P15" s="167">
        <v>3.0</v>
      </c>
      <c r="Q15" s="161"/>
      <c r="R15" s="128"/>
      <c r="S15" s="159"/>
      <c r="T15" s="159"/>
      <c r="U15" s="159"/>
      <c r="V15" s="159"/>
      <c r="W15" s="159"/>
      <c r="X15" s="159"/>
      <c r="Y15" s="159"/>
      <c r="Z15" s="159"/>
    </row>
    <row r="16">
      <c r="A16" s="168" t="s">
        <v>1185</v>
      </c>
      <c r="B16" s="164"/>
      <c r="C16" s="165">
        <f t="shared" si="1"/>
        <v>5.333333333</v>
      </c>
      <c r="D16" s="86">
        <v>4.0</v>
      </c>
      <c r="E16" s="96">
        <v>4.0</v>
      </c>
      <c r="F16" s="166">
        <v>4.0</v>
      </c>
      <c r="G16" s="33"/>
      <c r="H16" s="128"/>
      <c r="I16" s="86">
        <v>-2.0</v>
      </c>
      <c r="J16" s="11">
        <v>-2.0</v>
      </c>
      <c r="K16" s="166">
        <v>-2.0</v>
      </c>
      <c r="L16" s="33"/>
      <c r="M16" s="148"/>
      <c r="N16" s="171">
        <v>4.0</v>
      </c>
      <c r="O16" s="96">
        <v>3.0</v>
      </c>
      <c r="P16" s="167">
        <v>3.0</v>
      </c>
      <c r="Q16" s="161"/>
      <c r="R16" s="128"/>
      <c r="S16" s="159"/>
      <c r="T16" s="159"/>
      <c r="U16" s="159"/>
      <c r="V16" s="159"/>
      <c r="W16" s="159"/>
      <c r="X16" s="159"/>
      <c r="Y16" s="159"/>
      <c r="Z16" s="159"/>
    </row>
    <row r="17">
      <c r="A17" s="168" t="s">
        <v>965</v>
      </c>
      <c r="B17" s="164"/>
      <c r="C17" s="165">
        <f t="shared" si="1"/>
        <v>4</v>
      </c>
      <c r="D17" s="86">
        <v>4.0</v>
      </c>
      <c r="E17" s="96">
        <v>4.0</v>
      </c>
      <c r="F17" s="166">
        <v>4.0</v>
      </c>
      <c r="G17" s="33"/>
      <c r="H17" s="128">
        <v>4.0</v>
      </c>
      <c r="I17" s="86">
        <v>-2.0</v>
      </c>
      <c r="J17" s="96">
        <v>-2.0</v>
      </c>
      <c r="K17" s="166">
        <v>-2.0</v>
      </c>
      <c r="L17" s="33"/>
      <c r="M17" s="148">
        <v>-2.0</v>
      </c>
      <c r="N17" s="171">
        <v>2.0</v>
      </c>
      <c r="O17" s="96">
        <v>2.0</v>
      </c>
      <c r="P17" s="167">
        <v>2.0</v>
      </c>
      <c r="Q17" s="161"/>
      <c r="R17" s="128">
        <v>2.0</v>
      </c>
      <c r="S17" s="159"/>
      <c r="T17" s="159"/>
      <c r="U17" s="159"/>
      <c r="V17" s="159"/>
      <c r="W17" s="159"/>
      <c r="X17" s="159"/>
      <c r="Y17" s="159"/>
      <c r="Z17" s="159"/>
    </row>
    <row r="18">
      <c r="A18" s="163" t="s">
        <v>1186</v>
      </c>
      <c r="B18" s="164"/>
      <c r="C18" s="165">
        <f t="shared" si="1"/>
        <v>5</v>
      </c>
      <c r="D18" s="86">
        <v>4.0</v>
      </c>
      <c r="E18" s="11">
        <v>4.0</v>
      </c>
      <c r="F18" s="166">
        <v>4.0</v>
      </c>
      <c r="G18" s="33"/>
      <c r="H18" s="87">
        <v>4.0</v>
      </c>
      <c r="I18" s="86">
        <v>-2.0</v>
      </c>
      <c r="J18" s="11">
        <v>-2.0</v>
      </c>
      <c r="K18" s="166">
        <v>-2.0</v>
      </c>
      <c r="L18" s="33"/>
      <c r="M18" s="87">
        <v>-2.0</v>
      </c>
      <c r="N18" s="86">
        <v>3.0</v>
      </c>
      <c r="O18" s="11">
        <v>3.0</v>
      </c>
      <c r="P18" s="167">
        <v>3.0</v>
      </c>
      <c r="Q18" s="161"/>
      <c r="R18" s="87">
        <v>3.0</v>
      </c>
      <c r="S18" s="159"/>
      <c r="T18" s="159"/>
      <c r="U18" s="159"/>
      <c r="V18" s="159"/>
      <c r="W18" s="159"/>
      <c r="X18" s="159"/>
      <c r="Y18" s="159"/>
      <c r="Z18" s="159"/>
    </row>
    <row r="19">
      <c r="A19" s="168" t="s">
        <v>1187</v>
      </c>
      <c r="B19" s="164"/>
      <c r="C19" s="165">
        <f t="shared" si="1"/>
        <v>4.75</v>
      </c>
      <c r="D19" s="86">
        <v>4.0</v>
      </c>
      <c r="E19" s="96">
        <v>4.0</v>
      </c>
      <c r="F19" s="166">
        <v>4.0</v>
      </c>
      <c r="G19" s="33"/>
      <c r="H19" s="128">
        <v>4.0</v>
      </c>
      <c r="I19" s="86">
        <v>-2.0</v>
      </c>
      <c r="J19" s="96">
        <v>-2.0</v>
      </c>
      <c r="K19" s="166">
        <v>-2.0</v>
      </c>
      <c r="L19" s="33"/>
      <c r="M19" s="128">
        <v>-2.0</v>
      </c>
      <c r="N19" s="171">
        <v>3.0</v>
      </c>
      <c r="O19" s="96">
        <v>3.0</v>
      </c>
      <c r="P19" s="167">
        <v>2.0</v>
      </c>
      <c r="Q19" s="161"/>
      <c r="R19" s="128">
        <v>3.0</v>
      </c>
      <c r="S19" s="159"/>
      <c r="T19" s="159"/>
      <c r="U19" s="159"/>
      <c r="V19" s="159"/>
      <c r="W19" s="159"/>
      <c r="X19" s="159"/>
      <c r="Y19" s="159"/>
      <c r="Z19" s="159"/>
    </row>
    <row r="20">
      <c r="A20" s="168" t="s">
        <v>1188</v>
      </c>
      <c r="B20" s="164"/>
      <c r="C20" s="165">
        <f t="shared" si="1"/>
        <v>6</v>
      </c>
      <c r="D20" s="86">
        <v>4.0</v>
      </c>
      <c r="E20" s="96">
        <v>4.0</v>
      </c>
      <c r="F20" s="166">
        <v>4.0</v>
      </c>
      <c r="G20" s="33"/>
      <c r="H20" s="128">
        <v>4.0</v>
      </c>
      <c r="I20" s="86">
        <v>-2.0</v>
      </c>
      <c r="J20" s="96">
        <v>-2.0</v>
      </c>
      <c r="K20" s="166">
        <v>-2.0</v>
      </c>
      <c r="L20" s="33"/>
      <c r="M20" s="128">
        <v>-2.0</v>
      </c>
      <c r="N20" s="171">
        <v>4.0</v>
      </c>
      <c r="O20" s="96">
        <v>4.0</v>
      </c>
      <c r="P20" s="167">
        <v>4.0</v>
      </c>
      <c r="Q20" s="161"/>
      <c r="R20" s="128">
        <v>4.0</v>
      </c>
      <c r="S20" s="159"/>
      <c r="T20" s="159"/>
      <c r="U20" s="159"/>
      <c r="V20" s="159"/>
      <c r="W20" s="159"/>
      <c r="X20" s="159"/>
      <c r="Y20" s="159"/>
      <c r="Z20" s="159"/>
    </row>
    <row r="21">
      <c r="A21" s="168" t="s">
        <v>1189</v>
      </c>
      <c r="B21" s="164"/>
      <c r="C21" s="165">
        <f t="shared" si="1"/>
        <v>7</v>
      </c>
      <c r="D21" s="86">
        <v>4.0</v>
      </c>
      <c r="E21" s="96">
        <v>4.0</v>
      </c>
      <c r="F21" s="166">
        <v>4.0</v>
      </c>
      <c r="G21" s="33"/>
      <c r="H21" s="128">
        <v>4.0</v>
      </c>
      <c r="I21" s="86">
        <v>-2.0</v>
      </c>
      <c r="J21" s="11">
        <v>-2.0</v>
      </c>
      <c r="K21" s="166">
        <v>-2.0</v>
      </c>
      <c r="L21" s="33"/>
      <c r="M21" s="173">
        <v>-2.0</v>
      </c>
      <c r="N21" s="171">
        <v>5.0</v>
      </c>
      <c r="O21" s="96">
        <v>5.0</v>
      </c>
      <c r="P21" s="167">
        <v>5.0</v>
      </c>
      <c r="Q21" s="161"/>
      <c r="R21" s="128">
        <v>5.0</v>
      </c>
      <c r="S21" s="159"/>
      <c r="T21" s="159"/>
      <c r="U21" s="159"/>
      <c r="V21" s="159"/>
      <c r="W21" s="159"/>
      <c r="X21" s="159"/>
      <c r="Y21" s="159"/>
      <c r="Z21" s="159"/>
    </row>
    <row r="22">
      <c r="A22" s="134" t="s">
        <v>1190</v>
      </c>
      <c r="B22" s="133" t="s">
        <v>1191</v>
      </c>
      <c r="C22" s="165">
        <f t="shared" si="1"/>
        <v>5.75</v>
      </c>
      <c r="D22" s="86">
        <v>4.0</v>
      </c>
      <c r="E22" s="96">
        <v>4.0</v>
      </c>
      <c r="F22" s="166">
        <v>4.0</v>
      </c>
      <c r="G22" s="161"/>
      <c r="H22" s="173">
        <v>4.0</v>
      </c>
      <c r="I22" s="86">
        <v>-3.0</v>
      </c>
      <c r="J22" s="96">
        <v>-2.0</v>
      </c>
      <c r="K22" s="166">
        <v>-2.0</v>
      </c>
      <c r="L22" s="161"/>
      <c r="M22" s="173">
        <v>-2.0</v>
      </c>
      <c r="N22" s="170">
        <v>3.0</v>
      </c>
      <c r="O22" s="96">
        <v>4.0</v>
      </c>
      <c r="P22" s="167">
        <v>4.0</v>
      </c>
      <c r="Q22" s="161"/>
      <c r="R22" s="173">
        <v>5.0</v>
      </c>
      <c r="S22" s="159"/>
      <c r="T22" s="159"/>
      <c r="U22" s="159"/>
      <c r="V22" s="159"/>
      <c r="W22" s="159"/>
      <c r="X22" s="159"/>
      <c r="Y22" s="159"/>
      <c r="Z22" s="159"/>
    </row>
    <row r="23">
      <c r="A23" s="164" t="s">
        <v>1192</v>
      </c>
      <c r="B23" s="164" t="s">
        <v>1193</v>
      </c>
      <c r="C23" s="165">
        <f t="shared" si="1"/>
        <v>5</v>
      </c>
      <c r="D23" s="86">
        <v>4.0</v>
      </c>
      <c r="E23" s="11">
        <v>4.0</v>
      </c>
      <c r="F23" s="166">
        <v>4.0</v>
      </c>
      <c r="G23" s="33"/>
      <c r="H23" s="87">
        <v>4.0</v>
      </c>
      <c r="I23" s="86">
        <v>-3.0</v>
      </c>
      <c r="J23" s="11">
        <v>-3.0</v>
      </c>
      <c r="K23" s="166">
        <v>-3.0</v>
      </c>
      <c r="L23" s="33"/>
      <c r="M23" s="87">
        <v>-3.0</v>
      </c>
      <c r="N23" s="86">
        <v>4.0</v>
      </c>
      <c r="O23" s="11">
        <v>4.0</v>
      </c>
      <c r="P23" s="167">
        <v>4.0</v>
      </c>
      <c r="Q23" s="161"/>
      <c r="R23" s="87">
        <v>4.0</v>
      </c>
      <c r="S23" s="159"/>
      <c r="T23" s="159"/>
      <c r="U23" s="159"/>
      <c r="V23" s="159"/>
      <c r="W23" s="159"/>
      <c r="X23" s="159"/>
      <c r="Y23" s="159"/>
      <c r="Z23" s="159"/>
    </row>
    <row r="24">
      <c r="A24" s="140" t="s">
        <v>1194</v>
      </c>
      <c r="B24" s="137" t="s">
        <v>1195</v>
      </c>
      <c r="C24" s="165">
        <f t="shared" si="1"/>
        <v>3.5</v>
      </c>
      <c r="D24" s="86">
        <v>4.0</v>
      </c>
      <c r="E24" s="167">
        <v>4.0</v>
      </c>
      <c r="F24" s="167">
        <v>4.0</v>
      </c>
      <c r="G24" s="161"/>
      <c r="H24" s="173">
        <v>4.0</v>
      </c>
      <c r="I24" s="86">
        <v>-3.0</v>
      </c>
      <c r="J24" s="167">
        <v>-3.0</v>
      </c>
      <c r="K24" s="167">
        <v>-2.0</v>
      </c>
      <c r="L24" s="161"/>
      <c r="M24" s="173">
        <v>-3.0</v>
      </c>
      <c r="N24" s="170">
        <v>2.0</v>
      </c>
      <c r="O24" s="167">
        <v>3.0</v>
      </c>
      <c r="P24" s="167">
        <v>2.0</v>
      </c>
      <c r="Q24" s="161"/>
      <c r="R24" s="173">
        <v>2.0</v>
      </c>
      <c r="S24" s="159"/>
      <c r="T24" s="159"/>
      <c r="U24" s="159"/>
      <c r="V24" s="159"/>
      <c r="W24" s="159"/>
      <c r="X24" s="159"/>
      <c r="Y24" s="159"/>
      <c r="Z24" s="159"/>
    </row>
    <row r="25">
      <c r="A25" s="164" t="s">
        <v>1196</v>
      </c>
      <c r="B25" s="164" t="s">
        <v>1197</v>
      </c>
      <c r="C25" s="165">
        <f t="shared" si="1"/>
        <v>6.5</v>
      </c>
      <c r="D25" s="86">
        <v>5.0</v>
      </c>
      <c r="E25" s="11">
        <v>4.0</v>
      </c>
      <c r="F25" s="166">
        <v>4.0</v>
      </c>
      <c r="G25" s="33"/>
      <c r="H25" s="87">
        <v>4.0</v>
      </c>
      <c r="I25" s="86">
        <v>-2.0</v>
      </c>
      <c r="J25" s="11">
        <v>-3.0</v>
      </c>
      <c r="K25" s="166">
        <v>-2.0</v>
      </c>
      <c r="L25" s="33"/>
      <c r="M25" s="87">
        <v>-3.0</v>
      </c>
      <c r="N25" s="86">
        <v>4.0</v>
      </c>
      <c r="O25" s="11">
        <v>5.0</v>
      </c>
      <c r="P25" s="167">
        <v>5.0</v>
      </c>
      <c r="Q25" s="161"/>
      <c r="R25" s="87">
        <v>5.0</v>
      </c>
      <c r="S25" s="159"/>
      <c r="T25" s="159"/>
      <c r="U25" s="159"/>
      <c r="V25" s="159"/>
      <c r="W25" s="159"/>
      <c r="X25" s="159"/>
      <c r="Y25" s="159"/>
      <c r="Z25" s="159"/>
    </row>
    <row r="26">
      <c r="A26" s="164" t="s">
        <v>1198</v>
      </c>
      <c r="B26" s="164" t="s">
        <v>1199</v>
      </c>
      <c r="C26" s="165">
        <f t="shared" si="1"/>
        <v>4.25</v>
      </c>
      <c r="D26" s="86">
        <v>4.0</v>
      </c>
      <c r="E26" s="11">
        <v>4.0</v>
      </c>
      <c r="F26" s="166">
        <v>4.0</v>
      </c>
      <c r="G26" s="33"/>
      <c r="H26" s="87">
        <v>4.0</v>
      </c>
      <c r="I26" s="86">
        <v>-3.0</v>
      </c>
      <c r="J26" s="11">
        <v>-3.0</v>
      </c>
      <c r="K26" s="166">
        <v>-3.0</v>
      </c>
      <c r="L26" s="33"/>
      <c r="M26" s="87">
        <v>-3.0</v>
      </c>
      <c r="N26" s="86">
        <v>4.0</v>
      </c>
      <c r="O26" s="11">
        <v>3.0</v>
      </c>
      <c r="P26" s="167">
        <v>3.0</v>
      </c>
      <c r="Q26" s="161"/>
      <c r="R26" s="87">
        <v>3.0</v>
      </c>
      <c r="S26" s="159"/>
      <c r="T26" s="159"/>
      <c r="U26" s="159"/>
      <c r="V26" s="159"/>
      <c r="W26" s="159"/>
      <c r="X26" s="159"/>
      <c r="Y26" s="159"/>
      <c r="Z26" s="159"/>
    </row>
    <row r="27">
      <c r="A27" s="134" t="s">
        <v>1200</v>
      </c>
      <c r="B27" s="137" t="s">
        <v>1201</v>
      </c>
      <c r="C27" s="165">
        <f t="shared" si="1"/>
        <v>4</v>
      </c>
      <c r="D27" s="170">
        <v>2.0</v>
      </c>
      <c r="E27" s="167">
        <v>2.0</v>
      </c>
      <c r="F27" s="167">
        <v>2.0</v>
      </c>
      <c r="G27" s="161"/>
      <c r="H27" s="162"/>
      <c r="I27" s="86">
        <v>-3.0</v>
      </c>
      <c r="J27" s="167">
        <v>-3.0</v>
      </c>
      <c r="K27" s="167">
        <v>-1.0</v>
      </c>
      <c r="L27" s="161"/>
      <c r="M27" s="162"/>
      <c r="N27" s="170">
        <v>4.0</v>
      </c>
      <c r="O27" s="167">
        <v>4.0</v>
      </c>
      <c r="P27" s="167">
        <v>5.0</v>
      </c>
      <c r="Q27" s="161"/>
      <c r="R27" s="162"/>
      <c r="S27" s="159"/>
      <c r="T27" s="159"/>
      <c r="U27" s="159"/>
      <c r="V27" s="159"/>
      <c r="W27" s="159"/>
      <c r="X27" s="159"/>
      <c r="Y27" s="159"/>
      <c r="Z27" s="159"/>
    </row>
    <row r="28">
      <c r="A28" s="134" t="s">
        <v>1202</v>
      </c>
      <c r="B28" s="137" t="s">
        <v>1203</v>
      </c>
      <c r="C28" s="165">
        <f t="shared" si="1"/>
        <v>6</v>
      </c>
      <c r="D28" s="170">
        <v>4.0</v>
      </c>
      <c r="E28" s="167">
        <v>4.0</v>
      </c>
      <c r="F28" s="167">
        <v>4.0</v>
      </c>
      <c r="G28" s="161"/>
      <c r="H28" s="162"/>
      <c r="I28" s="170">
        <v>-2.0</v>
      </c>
      <c r="J28" s="167">
        <v>-3.0</v>
      </c>
      <c r="K28" s="167">
        <v>-1.0</v>
      </c>
      <c r="L28" s="161"/>
      <c r="M28" s="162"/>
      <c r="N28" s="170">
        <v>4.0</v>
      </c>
      <c r="O28" s="167">
        <v>4.0</v>
      </c>
      <c r="P28" s="167">
        <v>4.0</v>
      </c>
      <c r="Q28" s="161"/>
      <c r="R28" s="162"/>
      <c r="S28" s="159"/>
      <c r="T28" s="159"/>
      <c r="U28" s="159"/>
      <c r="V28" s="159"/>
      <c r="W28" s="159"/>
      <c r="X28" s="159"/>
      <c r="Y28" s="159"/>
      <c r="Z28" s="159"/>
    </row>
    <row r="29">
      <c r="A29" s="164" t="s">
        <v>1204</v>
      </c>
      <c r="B29" s="164" t="s">
        <v>1205</v>
      </c>
      <c r="C29" s="165">
        <f t="shared" si="1"/>
        <v>4.5</v>
      </c>
      <c r="D29" s="86">
        <v>4.0</v>
      </c>
      <c r="E29" s="11">
        <v>4.0</v>
      </c>
      <c r="F29" s="166">
        <v>4.0</v>
      </c>
      <c r="G29" s="33"/>
      <c r="H29" s="87">
        <v>4.0</v>
      </c>
      <c r="I29" s="86">
        <v>-3.0</v>
      </c>
      <c r="J29" s="11">
        <v>-3.0</v>
      </c>
      <c r="K29" s="166">
        <v>-3.0</v>
      </c>
      <c r="L29" s="33"/>
      <c r="M29" s="87">
        <v>-3.0</v>
      </c>
      <c r="N29" s="86">
        <v>4.0</v>
      </c>
      <c r="O29" s="11">
        <v>4.0</v>
      </c>
      <c r="P29" s="167">
        <v>3.0</v>
      </c>
      <c r="Q29" s="161"/>
      <c r="R29" s="87">
        <v>3.0</v>
      </c>
      <c r="S29" s="159"/>
      <c r="T29" s="159"/>
      <c r="U29" s="159"/>
      <c r="V29" s="159"/>
      <c r="W29" s="159"/>
      <c r="X29" s="159"/>
      <c r="Y29" s="159"/>
      <c r="Z29" s="159"/>
    </row>
    <row r="30" ht="15.75" customHeight="1">
      <c r="A30" s="164" t="s">
        <v>1206</v>
      </c>
      <c r="B30" s="164" t="s">
        <v>1207</v>
      </c>
      <c r="C30" s="165">
        <f t="shared" si="1"/>
        <v>3.25</v>
      </c>
      <c r="D30" s="86">
        <v>2.0</v>
      </c>
      <c r="E30" s="11">
        <v>4.0</v>
      </c>
      <c r="F30" s="166">
        <v>4.0</v>
      </c>
      <c r="G30" s="33"/>
      <c r="H30" s="87">
        <v>4.0</v>
      </c>
      <c r="I30" s="86">
        <v>-3.0</v>
      </c>
      <c r="J30" s="11">
        <v>-4.0</v>
      </c>
      <c r="K30" s="166">
        <v>-3.0</v>
      </c>
      <c r="L30" s="33"/>
      <c r="M30" s="87">
        <v>-3.0</v>
      </c>
      <c r="N30" s="86">
        <v>3.0</v>
      </c>
      <c r="O30" s="11">
        <v>3.0</v>
      </c>
      <c r="P30" s="167">
        <v>3.0</v>
      </c>
      <c r="Q30" s="161"/>
      <c r="R30" s="87">
        <v>3.0</v>
      </c>
      <c r="S30" s="159"/>
      <c r="T30" s="159"/>
      <c r="U30" s="159"/>
      <c r="V30" s="159"/>
      <c r="W30" s="159"/>
      <c r="X30" s="159"/>
      <c r="Y30" s="159"/>
      <c r="Z30" s="159"/>
    </row>
    <row r="31" ht="15.75" customHeight="1">
      <c r="A31" s="164" t="s">
        <v>1208</v>
      </c>
      <c r="B31" s="164" t="s">
        <v>1209</v>
      </c>
      <c r="C31" s="165">
        <f t="shared" si="1"/>
        <v>5.5</v>
      </c>
      <c r="D31" s="86">
        <v>4.0</v>
      </c>
      <c r="E31" s="11">
        <v>4.0</v>
      </c>
      <c r="F31" s="166">
        <v>4.0</v>
      </c>
      <c r="G31" s="33"/>
      <c r="H31" s="87">
        <v>4.0</v>
      </c>
      <c r="I31" s="86">
        <v>-3.0</v>
      </c>
      <c r="J31" s="11">
        <v>-3.0</v>
      </c>
      <c r="K31" s="166">
        <v>-3.0</v>
      </c>
      <c r="L31" s="33"/>
      <c r="M31" s="87">
        <v>-3.0</v>
      </c>
      <c r="N31" s="86">
        <v>4.0</v>
      </c>
      <c r="O31" s="11">
        <v>5.0</v>
      </c>
      <c r="P31" s="167">
        <v>4.0</v>
      </c>
      <c r="Q31" s="161"/>
      <c r="R31" s="87">
        <v>5.0</v>
      </c>
      <c r="S31" s="159"/>
      <c r="T31" s="159"/>
      <c r="U31" s="159"/>
      <c r="V31" s="159"/>
      <c r="W31" s="159"/>
      <c r="X31" s="159"/>
      <c r="Y31" s="159"/>
      <c r="Z31" s="159"/>
    </row>
    <row r="32" ht="15.75" customHeight="1">
      <c r="A32" s="164" t="s">
        <v>1210</v>
      </c>
      <c r="B32" s="164" t="s">
        <v>1211</v>
      </c>
      <c r="C32" s="165">
        <f t="shared" si="1"/>
        <v>4.25</v>
      </c>
      <c r="D32" s="86">
        <v>4.0</v>
      </c>
      <c r="E32" s="11">
        <v>4.0</v>
      </c>
      <c r="F32" s="166">
        <v>4.0</v>
      </c>
      <c r="G32" s="33"/>
      <c r="H32" s="87">
        <v>4.0</v>
      </c>
      <c r="I32" s="86">
        <v>-3.0</v>
      </c>
      <c r="J32" s="11">
        <v>-3.0</v>
      </c>
      <c r="K32" s="166">
        <v>-3.0</v>
      </c>
      <c r="L32" s="33"/>
      <c r="M32" s="87">
        <v>-3.0</v>
      </c>
      <c r="N32" s="86">
        <v>4.0</v>
      </c>
      <c r="O32" s="11">
        <v>3.0</v>
      </c>
      <c r="P32" s="167">
        <v>3.0</v>
      </c>
      <c r="Q32" s="161"/>
      <c r="R32" s="87">
        <v>3.0</v>
      </c>
      <c r="S32" s="159"/>
      <c r="T32" s="159"/>
      <c r="U32" s="159"/>
      <c r="V32" s="159"/>
      <c r="W32" s="159"/>
      <c r="X32" s="159"/>
      <c r="Y32" s="159"/>
      <c r="Z32" s="159"/>
    </row>
    <row r="33" ht="15.75" customHeight="1">
      <c r="A33" s="134" t="s">
        <v>1212</v>
      </c>
      <c r="B33" s="137" t="s">
        <v>1213</v>
      </c>
      <c r="C33" s="165">
        <f t="shared" si="1"/>
        <v>5.75</v>
      </c>
      <c r="D33" s="170">
        <v>4.0</v>
      </c>
      <c r="E33" s="167">
        <v>4.0</v>
      </c>
      <c r="F33" s="167">
        <v>4.0</v>
      </c>
      <c r="G33" s="161"/>
      <c r="H33" s="173">
        <v>4.0</v>
      </c>
      <c r="I33" s="170">
        <v>-2.0</v>
      </c>
      <c r="J33" s="167">
        <v>-2.0</v>
      </c>
      <c r="K33" s="167">
        <v>-2.0</v>
      </c>
      <c r="L33" s="161"/>
      <c r="M33" s="173">
        <v>-3.0</v>
      </c>
      <c r="N33" s="170">
        <v>3.0</v>
      </c>
      <c r="O33" s="167">
        <v>4.0</v>
      </c>
      <c r="P33" s="167">
        <v>4.0</v>
      </c>
      <c r="Q33" s="161"/>
      <c r="R33" s="173">
        <v>5.0</v>
      </c>
      <c r="S33" s="159"/>
      <c r="T33" s="159"/>
      <c r="U33" s="159"/>
      <c r="V33" s="159"/>
      <c r="W33" s="159"/>
      <c r="X33" s="159"/>
      <c r="Y33" s="159"/>
      <c r="Z33" s="159"/>
    </row>
    <row r="34" ht="15.75" customHeight="1">
      <c r="A34" s="164" t="s">
        <v>1214</v>
      </c>
      <c r="B34" s="164" t="s">
        <v>1215</v>
      </c>
      <c r="C34" s="165">
        <f t="shared" si="1"/>
        <v>4</v>
      </c>
      <c r="D34" s="86">
        <v>4.0</v>
      </c>
      <c r="E34" s="11">
        <v>4.0</v>
      </c>
      <c r="F34" s="166">
        <v>4.0</v>
      </c>
      <c r="G34" s="33"/>
      <c r="H34" s="87">
        <v>4.0</v>
      </c>
      <c r="I34" s="86">
        <v>-3.0</v>
      </c>
      <c r="J34" s="11">
        <v>-3.0</v>
      </c>
      <c r="K34" s="166">
        <v>-3.0</v>
      </c>
      <c r="L34" s="33"/>
      <c r="M34" s="87">
        <v>-3.0</v>
      </c>
      <c r="N34" s="86">
        <v>3.0</v>
      </c>
      <c r="O34" s="11">
        <v>3.0</v>
      </c>
      <c r="P34" s="167">
        <v>3.0</v>
      </c>
      <c r="Q34" s="161"/>
      <c r="R34" s="87">
        <v>3.0</v>
      </c>
      <c r="S34" s="159"/>
      <c r="T34" s="159"/>
      <c r="U34" s="159"/>
      <c r="V34" s="159"/>
      <c r="W34" s="159"/>
      <c r="X34" s="159"/>
      <c r="Y34" s="159"/>
      <c r="Z34" s="159"/>
    </row>
    <row r="35" ht="15.75" customHeight="1">
      <c r="A35" s="134" t="s">
        <v>1216</v>
      </c>
      <c r="B35" s="137" t="s">
        <v>1217</v>
      </c>
      <c r="C35" s="165">
        <f t="shared" si="1"/>
        <v>5</v>
      </c>
      <c r="D35" s="170">
        <v>4.0</v>
      </c>
      <c r="E35" s="161"/>
      <c r="F35" s="167">
        <v>4.0</v>
      </c>
      <c r="G35" s="161"/>
      <c r="H35" s="162"/>
      <c r="I35" s="86">
        <v>-3.0</v>
      </c>
      <c r="J35" s="161"/>
      <c r="K35" s="167">
        <v>-1.0</v>
      </c>
      <c r="L35" s="161"/>
      <c r="M35" s="162"/>
      <c r="N35" s="170">
        <v>4.0</v>
      </c>
      <c r="O35" s="161"/>
      <c r="P35" s="167">
        <v>2.0</v>
      </c>
      <c r="Q35" s="161"/>
      <c r="R35" s="162"/>
      <c r="S35" s="159"/>
      <c r="T35" s="159"/>
      <c r="U35" s="159"/>
      <c r="V35" s="159"/>
      <c r="W35" s="159"/>
      <c r="X35" s="159"/>
      <c r="Y35" s="159"/>
      <c r="Z35" s="159"/>
    </row>
    <row r="36" ht="15.75" customHeight="1">
      <c r="A36" s="164" t="s">
        <v>1218</v>
      </c>
      <c r="B36" s="164" t="s">
        <v>1219</v>
      </c>
      <c r="C36" s="165">
        <f t="shared" si="1"/>
        <v>4</v>
      </c>
      <c r="D36" s="86">
        <v>4.0</v>
      </c>
      <c r="E36" s="11">
        <v>4.0</v>
      </c>
      <c r="F36" s="166">
        <v>4.0</v>
      </c>
      <c r="G36" s="33"/>
      <c r="H36" s="87">
        <v>4.0</v>
      </c>
      <c r="I36" s="86">
        <v>-3.0</v>
      </c>
      <c r="J36" s="11">
        <v>-3.0</v>
      </c>
      <c r="K36" s="166">
        <v>-3.0</v>
      </c>
      <c r="L36" s="33"/>
      <c r="M36" s="87">
        <v>-3.0</v>
      </c>
      <c r="N36" s="86">
        <v>3.0</v>
      </c>
      <c r="O36" s="11">
        <v>3.0</v>
      </c>
      <c r="P36" s="167">
        <v>3.0</v>
      </c>
      <c r="Q36" s="161"/>
      <c r="R36" s="87">
        <v>3.0</v>
      </c>
      <c r="S36" s="159"/>
      <c r="T36" s="159"/>
      <c r="U36" s="159"/>
      <c r="V36" s="159"/>
      <c r="W36" s="159"/>
      <c r="X36" s="159"/>
      <c r="Y36" s="159"/>
      <c r="Z36" s="159"/>
    </row>
    <row r="37" ht="15.75" customHeight="1">
      <c r="A37" s="164" t="s">
        <v>541</v>
      </c>
      <c r="B37" s="164" t="s">
        <v>1220</v>
      </c>
      <c r="C37" s="165">
        <f t="shared" si="1"/>
        <v>5.25</v>
      </c>
      <c r="D37" s="86">
        <v>2.0</v>
      </c>
      <c r="E37" s="11">
        <v>4.0</v>
      </c>
      <c r="F37" s="166">
        <v>4.0</v>
      </c>
      <c r="G37" s="33"/>
      <c r="H37" s="87">
        <v>4.0</v>
      </c>
      <c r="I37" s="86">
        <v>-2.0</v>
      </c>
      <c r="J37" s="11">
        <v>-3.0</v>
      </c>
      <c r="K37" s="166">
        <v>-2.0</v>
      </c>
      <c r="L37" s="33"/>
      <c r="M37" s="87">
        <v>-3.0</v>
      </c>
      <c r="N37" s="86">
        <v>5.0</v>
      </c>
      <c r="O37" s="11">
        <v>5.0</v>
      </c>
      <c r="P37" s="167">
        <v>4.0</v>
      </c>
      <c r="Q37" s="161"/>
      <c r="R37" s="87">
        <v>3.0</v>
      </c>
      <c r="S37" s="159"/>
      <c r="T37" s="159"/>
      <c r="U37" s="159"/>
      <c r="V37" s="159"/>
      <c r="W37" s="159"/>
      <c r="X37" s="159"/>
      <c r="Y37" s="159"/>
      <c r="Z37" s="159"/>
    </row>
    <row r="38" ht="15.75" customHeight="1">
      <c r="A38" s="164" t="s">
        <v>1221</v>
      </c>
      <c r="B38" s="164" t="s">
        <v>1222</v>
      </c>
      <c r="C38" s="165">
        <f t="shared" si="1"/>
        <v>7</v>
      </c>
      <c r="D38" s="86">
        <v>4.0</v>
      </c>
      <c r="E38" s="11">
        <v>4.0</v>
      </c>
      <c r="F38" s="166">
        <v>4.0</v>
      </c>
      <c r="G38" s="33"/>
      <c r="H38" s="87">
        <v>4.0</v>
      </c>
      <c r="I38" s="86">
        <v>-2.0</v>
      </c>
      <c r="J38" s="11">
        <v>-2.0</v>
      </c>
      <c r="K38" s="166">
        <v>-2.0</v>
      </c>
      <c r="L38" s="33"/>
      <c r="M38" s="87">
        <v>-2.0</v>
      </c>
      <c r="N38" s="86">
        <v>5.0</v>
      </c>
      <c r="O38" s="11">
        <v>5.0</v>
      </c>
      <c r="P38" s="167">
        <v>5.0</v>
      </c>
      <c r="Q38" s="161"/>
      <c r="R38" s="87">
        <v>5.0</v>
      </c>
      <c r="S38" s="159"/>
      <c r="T38" s="159"/>
      <c r="U38" s="159"/>
      <c r="V38" s="159"/>
      <c r="W38" s="159"/>
      <c r="X38" s="159"/>
      <c r="Y38" s="159"/>
      <c r="Z38" s="159"/>
    </row>
    <row r="39" ht="15.75" customHeight="1">
      <c r="A39" s="134" t="s">
        <v>1223</v>
      </c>
      <c r="B39" s="114"/>
      <c r="C39" s="165">
        <f t="shared" si="1"/>
        <v>1.666666667</v>
      </c>
      <c r="D39" s="170">
        <v>2.0</v>
      </c>
      <c r="E39" s="167">
        <v>2.0</v>
      </c>
      <c r="F39" s="167">
        <v>2.0</v>
      </c>
      <c r="G39" s="161"/>
      <c r="H39" s="162"/>
      <c r="I39" s="170">
        <v>-2.0</v>
      </c>
      <c r="J39" s="167">
        <v>-2.0</v>
      </c>
      <c r="K39" s="167">
        <v>-2.0</v>
      </c>
      <c r="L39" s="161"/>
      <c r="M39" s="162"/>
      <c r="N39" s="170">
        <v>3.0</v>
      </c>
      <c r="O39" s="167">
        <v>1.0</v>
      </c>
      <c r="P39" s="167">
        <v>1.0</v>
      </c>
      <c r="Q39" s="161"/>
      <c r="R39" s="162"/>
      <c r="S39" s="159"/>
      <c r="T39" s="159"/>
      <c r="U39" s="159"/>
      <c r="V39" s="159"/>
      <c r="W39" s="159"/>
      <c r="X39" s="159"/>
      <c r="Y39" s="159"/>
      <c r="Z39" s="159"/>
    </row>
    <row r="40" ht="15.75" customHeight="1">
      <c r="A40" s="140" t="s">
        <v>1224</v>
      </c>
      <c r="B40" s="137" t="s">
        <v>1225</v>
      </c>
      <c r="C40" s="165">
        <f t="shared" si="1"/>
        <v>6</v>
      </c>
      <c r="D40" s="170">
        <v>4.0</v>
      </c>
      <c r="E40" s="167">
        <v>4.0</v>
      </c>
      <c r="F40" s="167">
        <v>4.0</v>
      </c>
      <c r="G40" s="161"/>
      <c r="H40" s="173">
        <v>4.0</v>
      </c>
      <c r="I40" s="170">
        <v>-2.0</v>
      </c>
      <c r="J40" s="167">
        <v>-2.0</v>
      </c>
      <c r="K40" s="167">
        <v>-2.0</v>
      </c>
      <c r="L40" s="161"/>
      <c r="M40" s="173">
        <v>-2.0</v>
      </c>
      <c r="N40" s="170">
        <v>5.0</v>
      </c>
      <c r="O40" s="167">
        <v>5.0</v>
      </c>
      <c r="P40" s="167">
        <v>3.0</v>
      </c>
      <c r="Q40" s="161"/>
      <c r="R40" s="173">
        <v>3.0</v>
      </c>
      <c r="S40" s="159"/>
      <c r="T40" s="159"/>
      <c r="U40" s="159"/>
      <c r="V40" s="159"/>
      <c r="W40" s="159"/>
      <c r="X40" s="159"/>
      <c r="Y40" s="159"/>
      <c r="Z40" s="159"/>
    </row>
    <row r="41" ht="15.75" customHeight="1">
      <c r="A41" s="164" t="s">
        <v>1226</v>
      </c>
      <c r="B41" s="164" t="s">
        <v>1227</v>
      </c>
      <c r="C41" s="165">
        <f t="shared" si="1"/>
        <v>4.5</v>
      </c>
      <c r="D41" s="86">
        <v>4.0</v>
      </c>
      <c r="E41" s="11">
        <v>4.0</v>
      </c>
      <c r="F41" s="166">
        <v>4.0</v>
      </c>
      <c r="G41" s="33"/>
      <c r="H41" s="87">
        <v>4.0</v>
      </c>
      <c r="I41" s="86">
        <v>-2.0</v>
      </c>
      <c r="J41" s="11">
        <v>-2.0</v>
      </c>
      <c r="K41" s="166">
        <v>-2.0</v>
      </c>
      <c r="L41" s="33"/>
      <c r="M41" s="87">
        <v>-2.0</v>
      </c>
      <c r="N41" s="86">
        <v>4.0</v>
      </c>
      <c r="O41" s="11">
        <v>2.0</v>
      </c>
      <c r="P41" s="167">
        <v>2.0</v>
      </c>
      <c r="Q41" s="161"/>
      <c r="R41" s="87">
        <v>2.0</v>
      </c>
      <c r="S41" s="159"/>
      <c r="T41" s="159"/>
      <c r="U41" s="159"/>
      <c r="V41" s="159"/>
      <c r="W41" s="159"/>
      <c r="X41" s="159"/>
      <c r="Y41" s="159"/>
      <c r="Z41" s="159"/>
    </row>
    <row r="42" ht="15.75" customHeight="1">
      <c r="A42" s="164" t="s">
        <v>1228</v>
      </c>
      <c r="B42" s="164" t="s">
        <v>1229</v>
      </c>
      <c r="C42" s="165">
        <f t="shared" si="1"/>
        <v>4.5</v>
      </c>
      <c r="D42" s="86">
        <v>4.0</v>
      </c>
      <c r="E42" s="11">
        <v>4.0</v>
      </c>
      <c r="F42" s="166">
        <v>4.0</v>
      </c>
      <c r="G42" s="33"/>
      <c r="H42" s="87">
        <v>4.0</v>
      </c>
      <c r="I42" s="86">
        <v>-3.0</v>
      </c>
      <c r="J42" s="11">
        <v>-3.0</v>
      </c>
      <c r="K42" s="166">
        <v>-3.0</v>
      </c>
      <c r="L42" s="33"/>
      <c r="M42" s="87">
        <v>-3.0</v>
      </c>
      <c r="N42" s="86">
        <v>3.0</v>
      </c>
      <c r="O42" s="11">
        <v>4.0</v>
      </c>
      <c r="P42" s="167">
        <v>4.0</v>
      </c>
      <c r="Q42" s="161"/>
      <c r="R42" s="87">
        <v>3.0</v>
      </c>
      <c r="S42" s="159"/>
      <c r="T42" s="159"/>
      <c r="U42" s="159"/>
      <c r="V42" s="159"/>
      <c r="W42" s="159"/>
      <c r="X42" s="159"/>
      <c r="Y42" s="159"/>
      <c r="Z42" s="159"/>
    </row>
    <row r="43" ht="15.75" customHeight="1">
      <c r="A43" s="134" t="s">
        <v>1230</v>
      </c>
      <c r="B43" s="137" t="s">
        <v>1231</v>
      </c>
      <c r="C43" s="165">
        <f t="shared" si="1"/>
        <v>4.75</v>
      </c>
      <c r="D43" s="170">
        <v>4.0</v>
      </c>
      <c r="E43" s="96">
        <v>4.0</v>
      </c>
      <c r="F43" s="166">
        <v>4.0</v>
      </c>
      <c r="G43" s="161"/>
      <c r="H43" s="87">
        <v>4.0</v>
      </c>
      <c r="I43" s="170">
        <v>-2.0</v>
      </c>
      <c r="J43" s="96">
        <v>-2.0</v>
      </c>
      <c r="K43" s="167">
        <v>-2.0</v>
      </c>
      <c r="L43" s="161"/>
      <c r="M43" s="87">
        <v>-3.0</v>
      </c>
      <c r="N43" s="170">
        <v>3.0</v>
      </c>
      <c r="O43" s="96">
        <v>4.0</v>
      </c>
      <c r="P43" s="167">
        <v>3.0</v>
      </c>
      <c r="Q43" s="161"/>
      <c r="R43" s="87">
        <v>2.0</v>
      </c>
      <c r="S43" s="159"/>
      <c r="T43" s="159"/>
      <c r="U43" s="159"/>
      <c r="V43" s="159"/>
      <c r="W43" s="159"/>
      <c r="X43" s="159"/>
      <c r="Y43" s="159"/>
      <c r="Z43" s="159"/>
    </row>
    <row r="44" ht="15.75" customHeight="1">
      <c r="A44" s="164" t="s">
        <v>1232</v>
      </c>
      <c r="B44" s="164" t="s">
        <v>1233</v>
      </c>
      <c r="C44" s="165">
        <f t="shared" si="1"/>
        <v>4.25</v>
      </c>
      <c r="D44" s="86">
        <v>4.0</v>
      </c>
      <c r="E44" s="11">
        <v>4.0</v>
      </c>
      <c r="F44" s="166">
        <v>4.0</v>
      </c>
      <c r="G44" s="33"/>
      <c r="H44" s="87">
        <v>4.0</v>
      </c>
      <c r="I44" s="86">
        <v>-3.0</v>
      </c>
      <c r="J44" s="11">
        <v>-2.0</v>
      </c>
      <c r="K44" s="166">
        <v>-2.0</v>
      </c>
      <c r="L44" s="33"/>
      <c r="M44" s="87">
        <v>-2.0</v>
      </c>
      <c r="N44" s="86">
        <v>4.0</v>
      </c>
      <c r="O44" s="11">
        <v>2.0</v>
      </c>
      <c r="P44" s="167">
        <v>2.0</v>
      </c>
      <c r="Q44" s="161"/>
      <c r="R44" s="87">
        <v>2.0</v>
      </c>
      <c r="S44" s="159"/>
      <c r="T44" s="159"/>
      <c r="U44" s="159"/>
      <c r="V44" s="159"/>
      <c r="W44" s="159"/>
      <c r="X44" s="159"/>
      <c r="Y44" s="159"/>
      <c r="Z44" s="159"/>
    </row>
    <row r="45" ht="15.75" customHeight="1">
      <c r="A45" s="164" t="s">
        <v>1234</v>
      </c>
      <c r="B45" s="164" t="s">
        <v>1235</v>
      </c>
      <c r="C45" s="165">
        <f t="shared" si="1"/>
        <v>4</v>
      </c>
      <c r="D45" s="174">
        <v>4.0</v>
      </c>
      <c r="E45" s="11">
        <v>4.0</v>
      </c>
      <c r="F45" s="166">
        <v>4.0</v>
      </c>
      <c r="G45" s="175"/>
      <c r="H45" s="87">
        <v>4.0</v>
      </c>
      <c r="I45" s="174">
        <v>-2.0</v>
      </c>
      <c r="J45" s="11">
        <v>-2.0</v>
      </c>
      <c r="K45" s="176">
        <v>-2.0</v>
      </c>
      <c r="L45" s="175"/>
      <c r="M45" s="87">
        <v>-2.0</v>
      </c>
      <c r="N45" s="174">
        <v>3.0</v>
      </c>
      <c r="O45" s="11">
        <v>1.0</v>
      </c>
      <c r="P45" s="177">
        <v>2.0</v>
      </c>
      <c r="Q45" s="178"/>
      <c r="R45" s="179">
        <v>2.0</v>
      </c>
      <c r="S45" s="159"/>
      <c r="T45" s="159"/>
      <c r="U45" s="159"/>
      <c r="V45" s="159"/>
      <c r="W45" s="159"/>
      <c r="X45" s="159"/>
      <c r="Y45" s="159"/>
      <c r="Z45" s="159"/>
    </row>
    <row r="46" ht="15.75" customHeight="1">
      <c r="A46" s="134" t="s">
        <v>1236</v>
      </c>
      <c r="B46" s="137" t="s">
        <v>1237</v>
      </c>
      <c r="C46" s="165">
        <f t="shared" si="1"/>
        <v>3</v>
      </c>
      <c r="D46" s="170">
        <v>4.0</v>
      </c>
      <c r="E46" s="96">
        <v>4.0</v>
      </c>
      <c r="F46" s="166">
        <v>4.0</v>
      </c>
      <c r="G46" s="161"/>
      <c r="H46" s="173">
        <v>4.0</v>
      </c>
      <c r="I46" s="170">
        <v>-2.0</v>
      </c>
      <c r="J46" s="96">
        <v>-2.0</v>
      </c>
      <c r="K46" s="176">
        <v>-2.0</v>
      </c>
      <c r="L46" s="161"/>
      <c r="M46" s="173">
        <v>-3.0</v>
      </c>
      <c r="N46" s="170">
        <v>2.0</v>
      </c>
      <c r="O46" s="96">
        <v>1.0</v>
      </c>
      <c r="P46" s="167">
        <v>1.0</v>
      </c>
      <c r="Q46" s="161"/>
      <c r="R46" s="173">
        <v>1.0</v>
      </c>
      <c r="S46" s="159"/>
      <c r="T46" s="159"/>
      <c r="U46" s="159"/>
      <c r="V46" s="159"/>
      <c r="W46" s="159"/>
      <c r="X46" s="159"/>
      <c r="Y46" s="159"/>
      <c r="Z46" s="159"/>
    </row>
    <row r="47" ht="15.75" customHeight="1">
      <c r="A47" s="169" t="s">
        <v>1238</v>
      </c>
      <c r="B47" s="137" t="s">
        <v>1239</v>
      </c>
      <c r="C47" s="165">
        <f t="shared" si="1"/>
        <v>4.75</v>
      </c>
      <c r="D47" s="170">
        <v>5.0</v>
      </c>
      <c r="E47" s="96">
        <v>4.0</v>
      </c>
      <c r="F47" s="166">
        <v>4.0</v>
      </c>
      <c r="G47" s="161"/>
      <c r="H47" s="173">
        <v>4.0</v>
      </c>
      <c r="I47" s="170">
        <v>-2.0</v>
      </c>
      <c r="J47" s="96">
        <v>-2.0</v>
      </c>
      <c r="K47" s="176">
        <v>-2.0</v>
      </c>
      <c r="L47" s="161"/>
      <c r="M47" s="173">
        <v>-3.0</v>
      </c>
      <c r="N47" s="170">
        <v>3.0</v>
      </c>
      <c r="O47" s="96">
        <v>2.0</v>
      </c>
      <c r="P47" s="167">
        <v>3.0</v>
      </c>
      <c r="Q47" s="161"/>
      <c r="R47" s="173">
        <v>3.0</v>
      </c>
      <c r="S47" s="159"/>
      <c r="T47" s="159"/>
      <c r="U47" s="159"/>
      <c r="V47" s="159"/>
      <c r="W47" s="159"/>
      <c r="X47" s="159"/>
      <c r="Y47" s="159"/>
      <c r="Z47" s="159"/>
    </row>
    <row r="48" ht="15.75" customHeight="1">
      <c r="A48" s="134" t="s">
        <v>1240</v>
      </c>
      <c r="B48" s="137" t="s">
        <v>1241</v>
      </c>
      <c r="C48" s="165">
        <f t="shared" si="1"/>
        <v>3.5</v>
      </c>
      <c r="D48" s="170">
        <v>4.0</v>
      </c>
      <c r="E48" s="96">
        <v>4.0</v>
      </c>
      <c r="F48" s="166">
        <v>4.0</v>
      </c>
      <c r="G48" s="161"/>
      <c r="H48" s="173">
        <v>4.0</v>
      </c>
      <c r="I48" s="170">
        <v>-2.0</v>
      </c>
      <c r="J48" s="96">
        <v>-2.0</v>
      </c>
      <c r="K48" s="176">
        <v>-2.0</v>
      </c>
      <c r="L48" s="161"/>
      <c r="M48" s="173">
        <v>-3.0</v>
      </c>
      <c r="N48" s="170">
        <v>2.0</v>
      </c>
      <c r="O48" s="96">
        <v>1.0</v>
      </c>
      <c r="P48" s="167">
        <v>2.0</v>
      </c>
      <c r="Q48" s="161"/>
      <c r="R48" s="173">
        <v>2.0</v>
      </c>
      <c r="S48" s="159"/>
      <c r="T48" s="159"/>
      <c r="U48" s="159"/>
      <c r="V48" s="159"/>
      <c r="W48" s="159"/>
      <c r="X48" s="159"/>
      <c r="Y48" s="159"/>
      <c r="Z48" s="159"/>
    </row>
    <row r="49" ht="15.75" customHeight="1">
      <c r="A49" s="164" t="s">
        <v>1242</v>
      </c>
      <c r="B49" s="164" t="s">
        <v>1243</v>
      </c>
      <c r="C49" s="165">
        <f t="shared" si="1"/>
        <v>4.75</v>
      </c>
      <c r="D49" s="86">
        <v>2.0</v>
      </c>
      <c r="E49" s="11">
        <v>4.0</v>
      </c>
      <c r="F49" s="166">
        <v>4.0</v>
      </c>
      <c r="G49" s="33"/>
      <c r="H49" s="87">
        <v>4.0</v>
      </c>
      <c r="I49" s="86">
        <v>-2.0</v>
      </c>
      <c r="J49" s="11">
        <v>-2.0</v>
      </c>
      <c r="K49" s="176">
        <v>-2.0</v>
      </c>
      <c r="L49" s="33"/>
      <c r="M49" s="87">
        <v>-2.0</v>
      </c>
      <c r="N49" s="86">
        <v>4.0</v>
      </c>
      <c r="O49" s="96">
        <v>3.0</v>
      </c>
      <c r="P49" s="167">
        <v>3.0</v>
      </c>
      <c r="Q49" s="161"/>
      <c r="R49" s="87">
        <v>3.0</v>
      </c>
      <c r="S49" s="159"/>
      <c r="T49" s="159"/>
      <c r="U49" s="159"/>
      <c r="V49" s="159"/>
      <c r="W49" s="159"/>
      <c r="X49" s="159"/>
      <c r="Y49" s="159"/>
      <c r="Z49" s="159"/>
    </row>
    <row r="50" ht="15.75" customHeight="1">
      <c r="A50" s="169" t="s">
        <v>1244</v>
      </c>
      <c r="B50" s="164" t="s">
        <v>1243</v>
      </c>
      <c r="C50" s="165">
        <f t="shared" si="1"/>
        <v>4.666666667</v>
      </c>
      <c r="D50" s="171">
        <v>2.0</v>
      </c>
      <c r="E50" s="96">
        <v>4.0</v>
      </c>
      <c r="F50" s="166">
        <v>4.0</v>
      </c>
      <c r="G50" s="33"/>
      <c r="H50" s="87"/>
      <c r="I50" s="171">
        <v>-2.0</v>
      </c>
      <c r="J50" s="11">
        <v>-2.0</v>
      </c>
      <c r="K50" s="166">
        <v>-2.0</v>
      </c>
      <c r="L50" s="33"/>
      <c r="M50" s="87"/>
      <c r="N50" s="171">
        <v>3.0</v>
      </c>
      <c r="O50" s="96">
        <v>4.0</v>
      </c>
      <c r="P50" s="167">
        <v>3.0</v>
      </c>
      <c r="Q50" s="161"/>
      <c r="R50" s="87"/>
      <c r="S50" s="159"/>
      <c r="T50" s="159"/>
      <c r="U50" s="159"/>
      <c r="V50" s="159"/>
      <c r="W50" s="159"/>
      <c r="X50" s="159"/>
      <c r="Y50" s="159"/>
      <c r="Z50" s="159"/>
    </row>
    <row r="51" ht="15.75" customHeight="1">
      <c r="A51" s="169" t="s">
        <v>1245</v>
      </c>
      <c r="B51" s="164" t="s">
        <v>1243</v>
      </c>
      <c r="C51" s="165">
        <f t="shared" si="1"/>
        <v>5.666666667</v>
      </c>
      <c r="D51" s="171">
        <v>2.0</v>
      </c>
      <c r="E51" s="96">
        <v>4.0</v>
      </c>
      <c r="F51" s="166">
        <v>4.0</v>
      </c>
      <c r="G51" s="33"/>
      <c r="H51" s="87"/>
      <c r="I51" s="171">
        <v>-2.0</v>
      </c>
      <c r="J51" s="11">
        <v>-2.0</v>
      </c>
      <c r="K51" s="166">
        <v>-2.0</v>
      </c>
      <c r="L51" s="33"/>
      <c r="M51" s="87"/>
      <c r="N51" s="171">
        <v>4.0</v>
      </c>
      <c r="O51" s="96">
        <v>5.0</v>
      </c>
      <c r="P51" s="167">
        <v>4.0</v>
      </c>
      <c r="Q51" s="161"/>
      <c r="R51" s="87"/>
      <c r="S51" s="159"/>
      <c r="T51" s="159"/>
      <c r="U51" s="159"/>
      <c r="V51" s="159"/>
      <c r="W51" s="159"/>
      <c r="X51" s="159"/>
      <c r="Y51" s="159"/>
      <c r="Z51" s="159"/>
    </row>
    <row r="52" ht="15.75" customHeight="1">
      <c r="A52" s="164" t="s">
        <v>1246</v>
      </c>
      <c r="B52" s="164" t="s">
        <v>1247</v>
      </c>
      <c r="C52" s="165">
        <f t="shared" si="1"/>
        <v>5</v>
      </c>
      <c r="D52" s="86">
        <v>4.0</v>
      </c>
      <c r="E52" s="11">
        <v>4.0</v>
      </c>
      <c r="F52" s="166">
        <v>4.0</v>
      </c>
      <c r="G52" s="33"/>
      <c r="H52" s="87">
        <v>4.0</v>
      </c>
      <c r="I52" s="86">
        <v>-3.0</v>
      </c>
      <c r="J52" s="11">
        <v>-3.0</v>
      </c>
      <c r="K52" s="166">
        <v>-3.0</v>
      </c>
      <c r="L52" s="33"/>
      <c r="M52" s="87">
        <v>-3.0</v>
      </c>
      <c r="N52" s="86">
        <v>5.0</v>
      </c>
      <c r="O52" s="11">
        <v>4.0</v>
      </c>
      <c r="P52" s="167">
        <v>4.0</v>
      </c>
      <c r="Q52" s="161"/>
      <c r="R52" s="87">
        <v>3.0</v>
      </c>
      <c r="S52" s="159"/>
      <c r="T52" s="159"/>
      <c r="U52" s="159"/>
      <c r="V52" s="159"/>
      <c r="W52" s="159"/>
      <c r="X52" s="159"/>
      <c r="Y52" s="159"/>
      <c r="Z52" s="159"/>
    </row>
    <row r="53" ht="15.75" customHeight="1">
      <c r="A53" s="134" t="s">
        <v>1237</v>
      </c>
      <c r="B53" s="114"/>
      <c r="C53" s="165">
        <f t="shared" si="1"/>
        <v>3.333333333</v>
      </c>
      <c r="D53" s="170">
        <v>5.0</v>
      </c>
      <c r="E53" s="167">
        <v>4.0</v>
      </c>
      <c r="F53" s="167">
        <v>3.0</v>
      </c>
      <c r="G53" s="161"/>
      <c r="H53" s="162"/>
      <c r="I53" s="170">
        <v>-2.0</v>
      </c>
      <c r="J53" s="167">
        <v>-2.0</v>
      </c>
      <c r="K53" s="167">
        <v>-2.0</v>
      </c>
      <c r="L53" s="161"/>
      <c r="M53" s="162"/>
      <c r="N53" s="170">
        <v>2.0</v>
      </c>
      <c r="O53" s="167">
        <v>1.0</v>
      </c>
      <c r="P53" s="167">
        <v>1.0</v>
      </c>
      <c r="Q53" s="161"/>
      <c r="R53" s="162"/>
      <c r="S53" s="159"/>
      <c r="T53" s="159"/>
      <c r="U53" s="159"/>
      <c r="V53" s="159"/>
      <c r="W53" s="159"/>
      <c r="X53" s="159"/>
      <c r="Y53" s="159"/>
      <c r="Z53" s="159"/>
    </row>
    <row r="54" ht="15.75" customHeight="1">
      <c r="A54" s="140" t="s">
        <v>1248</v>
      </c>
      <c r="B54" s="134" t="s">
        <v>1249</v>
      </c>
      <c r="C54" s="165">
        <f t="shared" si="1"/>
        <v>4</v>
      </c>
      <c r="D54" s="170">
        <v>4.0</v>
      </c>
      <c r="E54" s="167">
        <v>4.0</v>
      </c>
      <c r="F54" s="167">
        <v>4.0</v>
      </c>
      <c r="G54" s="161"/>
      <c r="H54" s="162"/>
      <c r="I54" s="170">
        <v>-3.0</v>
      </c>
      <c r="J54" s="167">
        <v>-4.0</v>
      </c>
      <c r="K54" s="167">
        <v>-2.0</v>
      </c>
      <c r="L54" s="161"/>
      <c r="M54" s="162"/>
      <c r="N54" s="170">
        <v>4.0</v>
      </c>
      <c r="O54" s="167">
        <v>3.0</v>
      </c>
      <c r="P54" s="167">
        <v>2.0</v>
      </c>
      <c r="Q54" s="161"/>
      <c r="R54" s="162"/>
      <c r="S54" s="159"/>
      <c r="T54" s="159"/>
      <c r="U54" s="159"/>
      <c r="V54" s="159"/>
      <c r="W54" s="159"/>
      <c r="X54" s="159"/>
      <c r="Y54" s="159"/>
      <c r="Z54" s="159"/>
    </row>
    <row r="55" ht="15.75" customHeight="1">
      <c r="A55" s="164" t="s">
        <v>1076</v>
      </c>
      <c r="B55" s="164" t="s">
        <v>1077</v>
      </c>
      <c r="C55" s="165">
        <f t="shared" si="1"/>
        <v>3.5</v>
      </c>
      <c r="D55" s="86">
        <v>4.0</v>
      </c>
      <c r="E55" s="11">
        <v>4.0</v>
      </c>
      <c r="F55" s="166">
        <v>4.0</v>
      </c>
      <c r="G55" s="33"/>
      <c r="H55" s="87">
        <v>4.0</v>
      </c>
      <c r="I55" s="86">
        <v>-2.0</v>
      </c>
      <c r="J55" s="11">
        <v>-2.0</v>
      </c>
      <c r="K55" s="166">
        <v>-2.0</v>
      </c>
      <c r="L55" s="33"/>
      <c r="M55" s="87">
        <v>-2.0</v>
      </c>
      <c r="N55" s="86">
        <v>1.0</v>
      </c>
      <c r="O55" s="11">
        <v>2.0</v>
      </c>
      <c r="P55" s="167">
        <v>2.0</v>
      </c>
      <c r="Q55" s="161"/>
      <c r="R55" s="87">
        <v>1.0</v>
      </c>
      <c r="S55" s="159"/>
      <c r="T55" s="159"/>
      <c r="U55" s="159"/>
      <c r="V55" s="159"/>
      <c r="W55" s="159"/>
      <c r="X55" s="159"/>
      <c r="Y55" s="159"/>
      <c r="Z55" s="159"/>
    </row>
    <row r="56" ht="15.75" customHeight="1">
      <c r="A56" s="134" t="s">
        <v>1250</v>
      </c>
      <c r="B56" s="114"/>
      <c r="C56" s="165">
        <f t="shared" si="1"/>
        <v>4.333333333</v>
      </c>
      <c r="D56" s="170">
        <v>4.0</v>
      </c>
      <c r="E56" s="167">
        <v>4.0</v>
      </c>
      <c r="F56" s="167">
        <v>4.0</v>
      </c>
      <c r="G56" s="161"/>
      <c r="H56" s="162"/>
      <c r="I56" s="170">
        <v>-2.0</v>
      </c>
      <c r="J56" s="167">
        <v>-2.0</v>
      </c>
      <c r="K56" s="167">
        <v>-2.0</v>
      </c>
      <c r="L56" s="161"/>
      <c r="M56" s="162"/>
      <c r="N56" s="170">
        <v>2.0</v>
      </c>
      <c r="O56" s="167">
        <v>3.0</v>
      </c>
      <c r="P56" s="167">
        <v>2.0</v>
      </c>
      <c r="Q56" s="161"/>
      <c r="R56" s="162"/>
      <c r="S56" s="159"/>
      <c r="T56" s="159"/>
      <c r="U56" s="159"/>
      <c r="V56" s="159"/>
      <c r="W56" s="159"/>
      <c r="X56" s="159"/>
      <c r="Y56" s="159"/>
      <c r="Z56" s="159"/>
    </row>
    <row r="57" ht="15.75" customHeight="1">
      <c r="A57" s="164" t="s">
        <v>1078</v>
      </c>
      <c r="B57" s="164" t="s">
        <v>1077</v>
      </c>
      <c r="C57" s="165">
        <f t="shared" si="1"/>
        <v>4.5</v>
      </c>
      <c r="D57" s="86">
        <v>4.0</v>
      </c>
      <c r="E57" s="11">
        <v>4.0</v>
      </c>
      <c r="F57" s="166">
        <v>4.0</v>
      </c>
      <c r="G57" s="33"/>
      <c r="H57" s="87">
        <v>4.0</v>
      </c>
      <c r="I57" s="86">
        <v>-2.0</v>
      </c>
      <c r="J57" s="11">
        <v>-2.0</v>
      </c>
      <c r="K57" s="166">
        <v>-2.0</v>
      </c>
      <c r="L57" s="33"/>
      <c r="M57" s="87">
        <v>-2.0</v>
      </c>
      <c r="N57" s="86">
        <v>2.0</v>
      </c>
      <c r="O57" s="11">
        <v>3.0</v>
      </c>
      <c r="P57" s="167">
        <v>3.0</v>
      </c>
      <c r="Q57" s="161"/>
      <c r="R57" s="87">
        <v>2.0</v>
      </c>
      <c r="S57" s="159"/>
      <c r="T57" s="159"/>
      <c r="U57" s="159"/>
      <c r="V57" s="159"/>
      <c r="W57" s="159"/>
      <c r="X57" s="159"/>
      <c r="Y57" s="159"/>
      <c r="Z57" s="159"/>
    </row>
    <row r="58" ht="15.75" customHeight="1">
      <c r="A58" s="164" t="s">
        <v>1079</v>
      </c>
      <c r="B58" s="164" t="s">
        <v>1077</v>
      </c>
      <c r="C58" s="165">
        <f t="shared" si="1"/>
        <v>5.25</v>
      </c>
      <c r="D58" s="86">
        <v>4.0</v>
      </c>
      <c r="E58" s="11">
        <v>4.0</v>
      </c>
      <c r="F58" s="166">
        <v>4.0</v>
      </c>
      <c r="G58" s="33"/>
      <c r="H58" s="87">
        <v>4.0</v>
      </c>
      <c r="I58" s="86">
        <v>-2.0</v>
      </c>
      <c r="J58" s="11">
        <v>-2.0</v>
      </c>
      <c r="K58" s="166">
        <v>-2.0</v>
      </c>
      <c r="L58" s="33"/>
      <c r="M58" s="87">
        <v>-2.0</v>
      </c>
      <c r="N58" s="86">
        <v>3.0</v>
      </c>
      <c r="O58" s="11">
        <v>4.0</v>
      </c>
      <c r="P58" s="167">
        <v>3.0</v>
      </c>
      <c r="Q58" s="161"/>
      <c r="R58" s="87">
        <v>3.0</v>
      </c>
      <c r="S58" s="159"/>
      <c r="T58" s="159"/>
      <c r="U58" s="159"/>
      <c r="V58" s="159"/>
      <c r="W58" s="159"/>
      <c r="X58" s="159"/>
      <c r="Y58" s="159"/>
      <c r="Z58" s="159"/>
    </row>
    <row r="59" ht="15.75" customHeight="1">
      <c r="A59" s="164" t="s">
        <v>1080</v>
      </c>
      <c r="B59" s="164" t="s">
        <v>1077</v>
      </c>
      <c r="C59" s="165">
        <f t="shared" si="1"/>
        <v>6</v>
      </c>
      <c r="D59" s="86">
        <v>4.0</v>
      </c>
      <c r="E59" s="11">
        <v>4.0</v>
      </c>
      <c r="F59" s="166">
        <v>4.0</v>
      </c>
      <c r="G59" s="33"/>
      <c r="H59" s="87">
        <v>4.0</v>
      </c>
      <c r="I59" s="86">
        <v>-2.0</v>
      </c>
      <c r="J59" s="11">
        <v>-2.0</v>
      </c>
      <c r="K59" s="166">
        <v>-2.0</v>
      </c>
      <c r="L59" s="33"/>
      <c r="M59" s="87">
        <v>-2.0</v>
      </c>
      <c r="N59" s="86">
        <v>4.0</v>
      </c>
      <c r="O59" s="11">
        <v>5.0</v>
      </c>
      <c r="P59" s="167">
        <v>4.0</v>
      </c>
      <c r="Q59" s="161"/>
      <c r="R59" s="87">
        <v>3.0</v>
      </c>
      <c r="S59" s="159"/>
      <c r="T59" s="159"/>
      <c r="U59" s="159"/>
      <c r="V59" s="159"/>
      <c r="W59" s="159"/>
      <c r="X59" s="159"/>
      <c r="Y59" s="159"/>
      <c r="Z59" s="159"/>
    </row>
    <row r="60" ht="15.75" customHeight="1">
      <c r="A60" s="169" t="s">
        <v>1251</v>
      </c>
      <c r="B60" s="164" t="s">
        <v>1077</v>
      </c>
      <c r="C60" s="165">
        <f t="shared" si="1"/>
        <v>6.5</v>
      </c>
      <c r="D60" s="171">
        <v>4.0</v>
      </c>
      <c r="E60" s="96">
        <v>4.0</v>
      </c>
      <c r="F60" s="166">
        <v>4.0</v>
      </c>
      <c r="G60" s="33"/>
      <c r="H60" s="128">
        <v>4.0</v>
      </c>
      <c r="I60" s="171">
        <v>-2.0</v>
      </c>
      <c r="J60" s="96">
        <v>-2.0</v>
      </c>
      <c r="K60" s="166">
        <v>-2.0</v>
      </c>
      <c r="L60" s="33"/>
      <c r="M60" s="128">
        <v>-2.0</v>
      </c>
      <c r="N60" s="171">
        <v>5.0</v>
      </c>
      <c r="O60" s="96">
        <v>5.0</v>
      </c>
      <c r="P60" s="167">
        <v>4.0</v>
      </c>
      <c r="Q60" s="161"/>
      <c r="R60" s="128">
        <v>4.0</v>
      </c>
      <c r="S60" s="159"/>
      <c r="T60" s="159"/>
      <c r="U60" s="159"/>
      <c r="V60" s="159"/>
      <c r="W60" s="159"/>
      <c r="X60" s="159"/>
      <c r="Y60" s="159"/>
      <c r="Z60" s="159"/>
    </row>
    <row r="61" ht="15.75" customHeight="1">
      <c r="A61" s="164" t="s">
        <v>1252</v>
      </c>
      <c r="B61" s="164" t="s">
        <v>1253</v>
      </c>
      <c r="C61" s="165">
        <f t="shared" si="1"/>
        <v>4</v>
      </c>
      <c r="D61" s="86">
        <v>4.0</v>
      </c>
      <c r="E61" s="11">
        <v>4.0</v>
      </c>
      <c r="F61" s="166">
        <v>4.0</v>
      </c>
      <c r="G61" s="33"/>
      <c r="H61" s="87">
        <v>4.0</v>
      </c>
      <c r="I61" s="86">
        <v>-3.0</v>
      </c>
      <c r="J61" s="11">
        <v>-3.0</v>
      </c>
      <c r="K61" s="166">
        <v>-3.0</v>
      </c>
      <c r="L61" s="33"/>
      <c r="M61" s="87">
        <v>-3.0</v>
      </c>
      <c r="N61" s="86">
        <v>3.0</v>
      </c>
      <c r="O61" s="11">
        <v>3.0</v>
      </c>
      <c r="P61" s="167">
        <v>3.0</v>
      </c>
      <c r="Q61" s="161"/>
      <c r="R61" s="87">
        <v>3.0</v>
      </c>
      <c r="S61" s="159"/>
      <c r="T61" s="159"/>
      <c r="U61" s="159"/>
      <c r="V61" s="159"/>
      <c r="W61" s="159"/>
      <c r="X61" s="159"/>
      <c r="Y61" s="159"/>
      <c r="Z61" s="159"/>
    </row>
    <row r="62" ht="15.75" customHeight="1">
      <c r="A62" s="134" t="s">
        <v>1254</v>
      </c>
      <c r="B62" s="137"/>
      <c r="C62" s="165">
        <f t="shared" si="1"/>
        <v>2.25</v>
      </c>
      <c r="D62" s="86">
        <v>4.0</v>
      </c>
      <c r="E62" s="167">
        <v>2.0</v>
      </c>
      <c r="F62" s="166">
        <v>2.0</v>
      </c>
      <c r="G62" s="161"/>
      <c r="H62" s="173">
        <v>2.0</v>
      </c>
      <c r="I62" s="167">
        <v>-2.0</v>
      </c>
      <c r="J62" s="167">
        <v>-2.0</v>
      </c>
      <c r="K62" s="167">
        <v>-2.0</v>
      </c>
      <c r="L62" s="161"/>
      <c r="M62" s="173">
        <v>-2.0</v>
      </c>
      <c r="N62" s="167">
        <v>2.0</v>
      </c>
      <c r="O62" s="167">
        <v>2.0</v>
      </c>
      <c r="P62" s="167">
        <v>2.0</v>
      </c>
      <c r="Q62" s="161"/>
      <c r="R62" s="167">
        <v>1.0</v>
      </c>
      <c r="S62" s="159"/>
      <c r="T62" s="159"/>
      <c r="U62" s="159"/>
      <c r="V62" s="159"/>
      <c r="W62" s="159"/>
      <c r="X62" s="159"/>
      <c r="Y62" s="159"/>
      <c r="Z62" s="159"/>
    </row>
    <row r="63" ht="15.75" customHeight="1">
      <c r="A63" s="134" t="s">
        <v>1255</v>
      </c>
      <c r="B63" s="137"/>
      <c r="C63" s="165">
        <f t="shared" si="1"/>
        <v>2.75</v>
      </c>
      <c r="D63" s="86">
        <v>4.0</v>
      </c>
      <c r="E63" s="96">
        <v>4.0</v>
      </c>
      <c r="F63" s="166">
        <v>2.0</v>
      </c>
      <c r="G63" s="161"/>
      <c r="H63" s="173">
        <v>2.0</v>
      </c>
      <c r="I63" s="167">
        <v>-2.0</v>
      </c>
      <c r="J63" s="96">
        <v>-2.0</v>
      </c>
      <c r="K63" s="167">
        <v>-2.0</v>
      </c>
      <c r="L63" s="161"/>
      <c r="M63" s="173">
        <v>-2.0</v>
      </c>
      <c r="N63" s="167">
        <v>1.0</v>
      </c>
      <c r="O63" s="96">
        <v>3.0</v>
      </c>
      <c r="P63" s="167">
        <v>2.0</v>
      </c>
      <c r="Q63" s="161"/>
      <c r="R63" s="167">
        <v>1.0</v>
      </c>
      <c r="S63" s="159"/>
      <c r="T63" s="159"/>
      <c r="U63" s="159"/>
      <c r="V63" s="159"/>
      <c r="W63" s="159"/>
      <c r="X63" s="159"/>
      <c r="Y63" s="159"/>
      <c r="Z63" s="159"/>
    </row>
    <row r="64" ht="15.75" customHeight="1">
      <c r="A64" s="134" t="s">
        <v>1256</v>
      </c>
      <c r="B64" s="137"/>
      <c r="C64" s="165">
        <f t="shared" si="1"/>
        <v>3.25</v>
      </c>
      <c r="D64" s="86">
        <v>4.0</v>
      </c>
      <c r="E64" s="167">
        <v>2.0</v>
      </c>
      <c r="F64" s="166">
        <v>2.0</v>
      </c>
      <c r="G64" s="161"/>
      <c r="H64" s="173">
        <v>2.0</v>
      </c>
      <c r="I64" s="167">
        <v>-2.0</v>
      </c>
      <c r="J64" s="167">
        <v>-2.0</v>
      </c>
      <c r="K64" s="167">
        <v>-2.0</v>
      </c>
      <c r="L64" s="161"/>
      <c r="M64" s="173">
        <v>-2.0</v>
      </c>
      <c r="N64" s="167">
        <v>3.0</v>
      </c>
      <c r="O64" s="167">
        <v>3.0</v>
      </c>
      <c r="P64" s="167">
        <v>3.0</v>
      </c>
      <c r="Q64" s="161"/>
      <c r="R64" s="167">
        <v>2.0</v>
      </c>
      <c r="S64" s="159"/>
      <c r="T64" s="159"/>
      <c r="U64" s="159"/>
      <c r="V64" s="159"/>
      <c r="W64" s="159"/>
      <c r="X64" s="159"/>
      <c r="Y64" s="159"/>
      <c r="Z64" s="159"/>
    </row>
    <row r="65" ht="15.75" customHeight="1">
      <c r="A65" s="134" t="s">
        <v>1257</v>
      </c>
      <c r="B65" s="137"/>
      <c r="C65" s="165">
        <f t="shared" si="1"/>
        <v>2.75</v>
      </c>
      <c r="D65" s="86">
        <v>4.0</v>
      </c>
      <c r="E65" s="167">
        <v>2.0</v>
      </c>
      <c r="F65" s="166">
        <v>2.0</v>
      </c>
      <c r="G65" s="161"/>
      <c r="H65" s="173">
        <v>2.0</v>
      </c>
      <c r="I65" s="167">
        <v>-2.0</v>
      </c>
      <c r="J65" s="167">
        <v>-2.0</v>
      </c>
      <c r="K65" s="167">
        <v>-2.0</v>
      </c>
      <c r="L65" s="161"/>
      <c r="M65" s="173">
        <v>-2.0</v>
      </c>
      <c r="N65" s="167">
        <v>2.0</v>
      </c>
      <c r="O65" s="167">
        <v>2.0</v>
      </c>
      <c r="P65" s="167">
        <v>3.0</v>
      </c>
      <c r="Q65" s="161"/>
      <c r="R65" s="167">
        <v>2.0</v>
      </c>
      <c r="S65" s="159"/>
      <c r="T65" s="159"/>
      <c r="U65" s="159"/>
      <c r="V65" s="159"/>
      <c r="W65" s="159"/>
      <c r="X65" s="159"/>
      <c r="Y65" s="159"/>
      <c r="Z65" s="159"/>
    </row>
    <row r="66" ht="15.75" customHeight="1">
      <c r="A66" s="134" t="s">
        <v>1258</v>
      </c>
      <c r="B66" s="137"/>
      <c r="C66" s="165">
        <f t="shared" si="1"/>
        <v>3.75</v>
      </c>
      <c r="D66" s="86">
        <v>4.0</v>
      </c>
      <c r="E66" s="167">
        <v>2.0</v>
      </c>
      <c r="F66" s="166">
        <v>2.0</v>
      </c>
      <c r="G66" s="161"/>
      <c r="H66" s="173">
        <v>2.0</v>
      </c>
      <c r="I66" s="167">
        <v>-2.0</v>
      </c>
      <c r="J66" s="167">
        <v>-2.0</v>
      </c>
      <c r="K66" s="167">
        <v>-2.0</v>
      </c>
      <c r="L66" s="161"/>
      <c r="M66" s="173">
        <v>-2.0</v>
      </c>
      <c r="N66" s="167">
        <v>3.0</v>
      </c>
      <c r="O66" s="167">
        <v>4.0</v>
      </c>
      <c r="P66" s="167">
        <v>3.0</v>
      </c>
      <c r="Q66" s="161"/>
      <c r="R66" s="167">
        <v>3.0</v>
      </c>
      <c r="S66" s="159"/>
      <c r="T66" s="159"/>
      <c r="U66" s="159"/>
      <c r="V66" s="159"/>
      <c r="W66" s="159"/>
      <c r="X66" s="159"/>
      <c r="Y66" s="159"/>
      <c r="Z66" s="159"/>
    </row>
    <row r="67" ht="15.75" customHeight="1">
      <c r="A67" s="134" t="s">
        <v>1259</v>
      </c>
      <c r="B67" s="137" t="s">
        <v>1260</v>
      </c>
      <c r="C67" s="165">
        <f t="shared" si="1"/>
        <v>2</v>
      </c>
      <c r="D67" s="170">
        <v>2.0</v>
      </c>
      <c r="E67" s="167">
        <v>2.0</v>
      </c>
      <c r="F67" s="167">
        <v>2.0</v>
      </c>
      <c r="G67" s="161"/>
      <c r="H67" s="162"/>
      <c r="I67" s="167">
        <v>-2.0</v>
      </c>
      <c r="J67" s="167">
        <v>-2.0</v>
      </c>
      <c r="K67" s="167">
        <v>-2.0</v>
      </c>
      <c r="L67" s="161"/>
      <c r="M67" s="162"/>
      <c r="N67" s="167">
        <v>2.0</v>
      </c>
      <c r="O67" s="167">
        <v>2.0</v>
      </c>
      <c r="P67" s="167">
        <v>2.0</v>
      </c>
      <c r="Q67" s="161"/>
      <c r="R67" s="161"/>
      <c r="S67" s="159"/>
      <c r="T67" s="159"/>
      <c r="U67" s="159"/>
      <c r="V67" s="159"/>
      <c r="W67" s="159"/>
      <c r="X67" s="159"/>
      <c r="Y67" s="159"/>
      <c r="Z67" s="159"/>
    </row>
    <row r="68" ht="15.75" customHeight="1">
      <c r="A68" s="134" t="s">
        <v>858</v>
      </c>
      <c r="B68" s="137" t="s">
        <v>1261</v>
      </c>
      <c r="C68" s="165">
        <f t="shared" si="1"/>
        <v>4.333333333</v>
      </c>
      <c r="D68" s="170">
        <v>4.0</v>
      </c>
      <c r="E68" s="167">
        <v>4.0</v>
      </c>
      <c r="F68" s="167">
        <v>4.0</v>
      </c>
      <c r="G68" s="161"/>
      <c r="H68" s="162"/>
      <c r="I68" s="167">
        <v>-2.0</v>
      </c>
      <c r="J68" s="167">
        <v>-2.0</v>
      </c>
      <c r="K68" s="167">
        <v>-2.0</v>
      </c>
      <c r="L68" s="161"/>
      <c r="M68" s="162"/>
      <c r="N68" s="167">
        <v>3.0</v>
      </c>
      <c r="O68" s="167">
        <v>2.0</v>
      </c>
      <c r="P68" s="167">
        <v>2.0</v>
      </c>
      <c r="Q68" s="161"/>
      <c r="R68" s="161"/>
      <c r="S68" s="159"/>
      <c r="T68" s="159"/>
      <c r="U68" s="159"/>
      <c r="V68" s="159"/>
      <c r="W68" s="159"/>
      <c r="X68" s="159"/>
      <c r="Y68" s="159"/>
      <c r="Z68" s="159"/>
    </row>
    <row r="69" ht="15.75" customHeight="1">
      <c r="A69" s="134" t="s">
        <v>1262</v>
      </c>
      <c r="B69" s="137" t="s">
        <v>1263</v>
      </c>
      <c r="C69" s="165">
        <f t="shared" si="1"/>
        <v>3.25</v>
      </c>
      <c r="D69" s="167">
        <v>4.0</v>
      </c>
      <c r="E69" s="96">
        <v>4.0</v>
      </c>
      <c r="F69" s="166">
        <v>4.0</v>
      </c>
      <c r="G69" s="161"/>
      <c r="H69" s="167">
        <v>4.0</v>
      </c>
      <c r="I69" s="167">
        <v>-3.0</v>
      </c>
      <c r="J69" s="96">
        <v>-3.0</v>
      </c>
      <c r="K69" s="167">
        <v>-3.0</v>
      </c>
      <c r="L69" s="161"/>
      <c r="M69" s="167">
        <v>-3.0</v>
      </c>
      <c r="N69" s="167">
        <v>2.0</v>
      </c>
      <c r="O69" s="96">
        <v>2.0</v>
      </c>
      <c r="P69" s="167">
        <v>2.0</v>
      </c>
      <c r="Q69" s="161"/>
      <c r="R69" s="167">
        <v>3.0</v>
      </c>
      <c r="S69" s="159"/>
      <c r="T69" s="159"/>
      <c r="U69" s="159"/>
      <c r="V69" s="159"/>
      <c r="W69" s="159"/>
      <c r="X69" s="159"/>
      <c r="Y69" s="159"/>
      <c r="Z69" s="159"/>
    </row>
    <row r="70" ht="15.75" customHeight="1">
      <c r="A70" s="134" t="s">
        <v>1264</v>
      </c>
      <c r="B70" s="137" t="s">
        <v>1265</v>
      </c>
      <c r="C70" s="165">
        <f t="shared" si="1"/>
        <v>5.25</v>
      </c>
      <c r="D70" s="167">
        <v>4.0</v>
      </c>
      <c r="E70" s="96">
        <v>4.0</v>
      </c>
      <c r="F70" s="166">
        <v>4.0</v>
      </c>
      <c r="G70" s="161"/>
      <c r="H70" s="167">
        <v>4.0</v>
      </c>
      <c r="I70" s="167">
        <v>-2.0</v>
      </c>
      <c r="J70" s="96">
        <v>-2.0</v>
      </c>
      <c r="K70" s="167">
        <v>-2.0</v>
      </c>
      <c r="L70" s="161"/>
      <c r="M70" s="167">
        <v>-2.0</v>
      </c>
      <c r="N70" s="167">
        <v>4.0</v>
      </c>
      <c r="O70" s="96">
        <v>3.0</v>
      </c>
      <c r="P70" s="167">
        <v>3.0</v>
      </c>
      <c r="Q70" s="161"/>
      <c r="R70" s="167">
        <v>3.0</v>
      </c>
      <c r="S70" s="159"/>
      <c r="T70" s="159"/>
      <c r="U70" s="159"/>
      <c r="V70" s="159"/>
      <c r="W70" s="159"/>
      <c r="X70" s="159"/>
      <c r="Y70" s="159"/>
      <c r="Z70" s="159"/>
    </row>
    <row r="71" ht="15.75" customHeight="1">
      <c r="A71" s="164" t="s">
        <v>1266</v>
      </c>
      <c r="B71" s="164" t="s">
        <v>1267</v>
      </c>
      <c r="C71" s="165">
        <f t="shared" si="1"/>
        <v>4.25</v>
      </c>
      <c r="D71" s="10">
        <v>4.0</v>
      </c>
      <c r="E71" s="11">
        <v>4.0</v>
      </c>
      <c r="F71" s="166">
        <v>4.0</v>
      </c>
      <c r="G71" s="33"/>
      <c r="H71" s="14">
        <v>4.0</v>
      </c>
      <c r="I71" s="10">
        <v>-3.0</v>
      </c>
      <c r="J71" s="11">
        <v>-3.0</v>
      </c>
      <c r="K71" s="166">
        <v>-3.0</v>
      </c>
      <c r="L71" s="33"/>
      <c r="M71" s="14">
        <v>-3.0</v>
      </c>
      <c r="N71" s="10">
        <v>4.0</v>
      </c>
      <c r="O71" s="11">
        <v>3.0</v>
      </c>
      <c r="P71" s="167">
        <v>3.0</v>
      </c>
      <c r="Q71" s="161"/>
      <c r="R71" s="14">
        <v>3.0</v>
      </c>
      <c r="S71" s="159"/>
      <c r="T71" s="159"/>
      <c r="U71" s="159"/>
      <c r="V71" s="159"/>
      <c r="W71" s="159"/>
      <c r="X71" s="159"/>
      <c r="Y71" s="159"/>
      <c r="Z71" s="159"/>
    </row>
    <row r="72" ht="15.75" customHeight="1">
      <c r="A72" s="134" t="s">
        <v>1268</v>
      </c>
      <c r="B72" s="137" t="s">
        <v>1269</v>
      </c>
      <c r="C72" s="165">
        <f t="shared" si="1"/>
        <v>4</v>
      </c>
      <c r="D72" s="10">
        <v>4.0</v>
      </c>
      <c r="E72" s="167">
        <v>4.0</v>
      </c>
      <c r="F72" s="167">
        <v>4.0</v>
      </c>
      <c r="G72" s="161"/>
      <c r="H72" s="161"/>
      <c r="I72" s="167">
        <v>-3.0</v>
      </c>
      <c r="J72" s="167">
        <v>-3.0</v>
      </c>
      <c r="K72" s="167">
        <v>-2.0</v>
      </c>
      <c r="L72" s="161"/>
      <c r="M72" s="161"/>
      <c r="N72" s="167">
        <v>4.0</v>
      </c>
      <c r="O72" s="167">
        <v>2.0</v>
      </c>
      <c r="P72" s="167">
        <v>2.0</v>
      </c>
      <c r="Q72" s="161"/>
      <c r="R72" s="161"/>
      <c r="S72" s="159"/>
      <c r="T72" s="159"/>
      <c r="U72" s="159"/>
      <c r="V72" s="159"/>
      <c r="W72" s="159"/>
      <c r="X72" s="159"/>
      <c r="Y72" s="159"/>
      <c r="Z72" s="159"/>
    </row>
    <row r="73" ht="15.75" customHeight="1">
      <c r="A73" s="164" t="s">
        <v>1270</v>
      </c>
      <c r="B73" s="164" t="s">
        <v>1271</v>
      </c>
      <c r="C73" s="165">
        <f t="shared" si="1"/>
        <v>4</v>
      </c>
      <c r="D73" s="10">
        <v>4.0</v>
      </c>
      <c r="E73" s="11">
        <v>4.0</v>
      </c>
      <c r="F73" s="166">
        <v>4.0</v>
      </c>
      <c r="G73" s="33"/>
      <c r="H73" s="14">
        <v>4.0</v>
      </c>
      <c r="I73" s="10">
        <v>-3.0</v>
      </c>
      <c r="J73" s="11">
        <v>-3.0</v>
      </c>
      <c r="K73" s="166">
        <v>-3.0</v>
      </c>
      <c r="L73" s="33"/>
      <c r="M73" s="14">
        <v>-3.0</v>
      </c>
      <c r="N73" s="10">
        <v>2.0</v>
      </c>
      <c r="O73" s="11">
        <v>4.0</v>
      </c>
      <c r="P73" s="167">
        <v>3.0</v>
      </c>
      <c r="Q73" s="161"/>
      <c r="R73" s="14">
        <v>3.0</v>
      </c>
      <c r="S73" s="159"/>
      <c r="T73" s="159"/>
      <c r="U73" s="159"/>
      <c r="V73" s="159"/>
      <c r="W73" s="159"/>
      <c r="X73" s="159"/>
      <c r="Y73" s="159"/>
      <c r="Z73" s="159"/>
    </row>
    <row r="74" ht="15.75" customHeight="1">
      <c r="A74" s="134" t="s">
        <v>1272</v>
      </c>
      <c r="B74" s="137" t="s">
        <v>1273</v>
      </c>
      <c r="C74" s="165">
        <f t="shared" si="1"/>
        <v>4</v>
      </c>
      <c r="D74" s="10">
        <v>4.0</v>
      </c>
      <c r="E74" s="96">
        <v>4.0</v>
      </c>
      <c r="F74" s="166">
        <v>4.0</v>
      </c>
      <c r="G74" s="161"/>
      <c r="H74" s="167">
        <v>4.0</v>
      </c>
      <c r="I74" s="167">
        <v>-2.0</v>
      </c>
      <c r="J74" s="96">
        <v>-3.0</v>
      </c>
      <c r="K74" s="167">
        <v>-3.0</v>
      </c>
      <c r="L74" s="161"/>
      <c r="M74" s="167">
        <v>-3.0</v>
      </c>
      <c r="N74" s="167">
        <v>4.0</v>
      </c>
      <c r="O74" s="96">
        <v>2.0</v>
      </c>
      <c r="P74" s="167">
        <v>2.0</v>
      </c>
      <c r="Q74" s="161"/>
      <c r="R74" s="167">
        <v>3.0</v>
      </c>
      <c r="S74" s="159"/>
      <c r="T74" s="159"/>
      <c r="U74" s="159"/>
      <c r="V74" s="159"/>
      <c r="W74" s="159"/>
      <c r="X74" s="159"/>
      <c r="Y74" s="159"/>
      <c r="Z74" s="159"/>
    </row>
    <row r="75" ht="15.75" customHeight="1">
      <c r="A75" s="164" t="s">
        <v>1274</v>
      </c>
      <c r="B75" s="164" t="s">
        <v>1275</v>
      </c>
      <c r="C75" s="165">
        <f t="shared" si="1"/>
        <v>4</v>
      </c>
      <c r="D75" s="10">
        <v>4.0</v>
      </c>
      <c r="E75" s="11">
        <v>4.0</v>
      </c>
      <c r="F75" s="166">
        <v>4.0</v>
      </c>
      <c r="G75" s="33"/>
      <c r="H75" s="14">
        <v>4.0</v>
      </c>
      <c r="I75" s="10">
        <v>-3.0</v>
      </c>
      <c r="J75" s="11">
        <v>-3.0</v>
      </c>
      <c r="K75" s="166">
        <v>-3.0</v>
      </c>
      <c r="L75" s="33"/>
      <c r="M75" s="14">
        <v>-3.0</v>
      </c>
      <c r="N75" s="10">
        <v>2.0</v>
      </c>
      <c r="O75" s="11">
        <v>4.0</v>
      </c>
      <c r="P75" s="167">
        <v>3.0</v>
      </c>
      <c r="Q75" s="161"/>
      <c r="R75" s="14">
        <v>3.0</v>
      </c>
      <c r="S75" s="159"/>
      <c r="T75" s="159"/>
      <c r="U75" s="159"/>
      <c r="V75" s="159"/>
      <c r="W75" s="159"/>
      <c r="X75" s="159"/>
      <c r="Y75" s="159"/>
      <c r="Z75" s="159"/>
    </row>
    <row r="76" ht="15.75" customHeight="1">
      <c r="A76" s="180" t="s">
        <v>908</v>
      </c>
      <c r="B76" s="134" t="s">
        <v>1276</v>
      </c>
      <c r="C76" s="165">
        <f t="shared" si="1"/>
        <v>2.5</v>
      </c>
      <c r="D76" s="167">
        <v>2.0</v>
      </c>
      <c r="E76" s="167">
        <v>1.0</v>
      </c>
      <c r="F76" s="167">
        <v>2.0</v>
      </c>
      <c r="G76" s="161"/>
      <c r="H76" s="167">
        <v>1.0</v>
      </c>
      <c r="I76" s="167">
        <v>-2.0</v>
      </c>
      <c r="J76" s="167">
        <v>-2.0</v>
      </c>
      <c r="K76" s="167">
        <v>-2.0</v>
      </c>
      <c r="L76" s="161"/>
      <c r="M76" s="167">
        <v>-2.0</v>
      </c>
      <c r="N76" s="167">
        <v>3.0</v>
      </c>
      <c r="O76" s="167">
        <v>3.0</v>
      </c>
      <c r="P76" s="167">
        <v>3.0</v>
      </c>
      <c r="Q76" s="161"/>
      <c r="R76" s="167">
        <v>3.0</v>
      </c>
      <c r="S76" s="159"/>
      <c r="T76" s="159"/>
      <c r="U76" s="159"/>
      <c r="V76" s="159"/>
      <c r="W76" s="159"/>
      <c r="X76" s="159"/>
      <c r="Y76" s="159"/>
      <c r="Z76" s="159"/>
    </row>
    <row r="77" ht="15.75" customHeight="1">
      <c r="A77" s="134" t="s">
        <v>1277</v>
      </c>
      <c r="B77" s="134" t="s">
        <v>1278</v>
      </c>
      <c r="C77" s="165">
        <f t="shared" si="1"/>
        <v>1</v>
      </c>
      <c r="D77" s="167">
        <v>2.0</v>
      </c>
      <c r="E77" s="96">
        <v>2.0</v>
      </c>
      <c r="F77" s="167">
        <v>2.0</v>
      </c>
      <c r="G77" s="161"/>
      <c r="H77" s="167">
        <v>2.0</v>
      </c>
      <c r="I77" s="167">
        <v>-2.0</v>
      </c>
      <c r="J77" s="96">
        <v>-2.0</v>
      </c>
      <c r="K77" s="167">
        <v>-2.0</v>
      </c>
      <c r="L77" s="161"/>
      <c r="M77" s="167">
        <v>-2.0</v>
      </c>
      <c r="N77" s="167">
        <v>1.0</v>
      </c>
      <c r="O77" s="96">
        <v>1.0</v>
      </c>
      <c r="P77" s="167">
        <v>1.0</v>
      </c>
      <c r="Q77" s="161"/>
      <c r="R77" s="167">
        <v>1.0</v>
      </c>
      <c r="S77" s="159"/>
      <c r="T77" s="159"/>
      <c r="U77" s="159"/>
      <c r="V77" s="159"/>
      <c r="W77" s="159"/>
      <c r="X77" s="159"/>
      <c r="Y77" s="159"/>
      <c r="Z77" s="159"/>
    </row>
    <row r="78" ht="15.75" customHeight="1">
      <c r="A78" s="134" t="s">
        <v>1279</v>
      </c>
      <c r="B78" s="134" t="s">
        <v>1280</v>
      </c>
      <c r="C78" s="165">
        <f t="shared" si="1"/>
        <v>2</v>
      </c>
      <c r="D78" s="167">
        <v>2.0</v>
      </c>
      <c r="E78" s="96">
        <v>2.0</v>
      </c>
      <c r="F78" s="167">
        <v>2.0</v>
      </c>
      <c r="G78" s="161"/>
      <c r="H78" s="167">
        <v>2.0</v>
      </c>
      <c r="I78" s="167">
        <v>-2.0</v>
      </c>
      <c r="J78" s="96">
        <v>-2.0</v>
      </c>
      <c r="K78" s="167">
        <v>-2.0</v>
      </c>
      <c r="L78" s="161"/>
      <c r="M78" s="167">
        <v>-2.0</v>
      </c>
      <c r="N78" s="167">
        <v>2.0</v>
      </c>
      <c r="O78" s="96">
        <v>2.0</v>
      </c>
      <c r="P78" s="167">
        <v>2.0</v>
      </c>
      <c r="Q78" s="161"/>
      <c r="R78" s="167">
        <v>2.0</v>
      </c>
      <c r="S78" s="159"/>
      <c r="T78" s="159"/>
      <c r="U78" s="159"/>
      <c r="V78" s="159"/>
      <c r="W78" s="159"/>
      <c r="X78" s="159"/>
      <c r="Y78" s="159"/>
      <c r="Z78" s="159"/>
    </row>
    <row r="79" ht="15.75" customHeight="1">
      <c r="A79" s="134" t="s">
        <v>1281</v>
      </c>
      <c r="B79" s="137" t="s">
        <v>1237</v>
      </c>
      <c r="C79" s="165">
        <f t="shared" si="1"/>
        <v>2.75</v>
      </c>
      <c r="D79" s="167">
        <v>4.0</v>
      </c>
      <c r="E79" s="167">
        <v>4.0</v>
      </c>
      <c r="F79" s="167">
        <v>4.0</v>
      </c>
      <c r="G79" s="161"/>
      <c r="H79" s="167">
        <v>4.0</v>
      </c>
      <c r="I79" s="167">
        <v>-2.0</v>
      </c>
      <c r="J79" s="167">
        <v>-2.0</v>
      </c>
      <c r="K79" s="167">
        <v>-2.0</v>
      </c>
      <c r="L79" s="161"/>
      <c r="M79" s="167">
        <v>-3.0</v>
      </c>
      <c r="N79" s="167">
        <v>1.0</v>
      </c>
      <c r="O79" s="167">
        <v>1.0</v>
      </c>
      <c r="P79" s="167">
        <v>1.0</v>
      </c>
      <c r="Q79" s="161"/>
      <c r="R79" s="167">
        <v>1.0</v>
      </c>
      <c r="S79" s="159"/>
      <c r="T79" s="159"/>
      <c r="U79" s="159"/>
      <c r="V79" s="159"/>
      <c r="W79" s="159"/>
      <c r="X79" s="159"/>
      <c r="Y79" s="159"/>
      <c r="Z79" s="159"/>
    </row>
    <row r="80" ht="15.75" customHeight="1">
      <c r="A80" s="164" t="s">
        <v>1282</v>
      </c>
      <c r="B80" s="164" t="s">
        <v>1283</v>
      </c>
      <c r="C80" s="165">
        <f t="shared" si="1"/>
        <v>3.75</v>
      </c>
      <c r="D80" s="10">
        <v>4.0</v>
      </c>
      <c r="E80" s="11">
        <v>4.0</v>
      </c>
      <c r="F80" s="166">
        <v>4.0</v>
      </c>
      <c r="G80" s="33"/>
      <c r="H80" s="14">
        <v>4.0</v>
      </c>
      <c r="I80" s="10">
        <v>-3.0</v>
      </c>
      <c r="J80" s="11">
        <v>-3.0</v>
      </c>
      <c r="K80" s="166">
        <v>-3.0</v>
      </c>
      <c r="L80" s="33"/>
      <c r="M80" s="14">
        <v>-3.0</v>
      </c>
      <c r="N80" s="10">
        <v>3.0</v>
      </c>
      <c r="O80" s="11">
        <v>3.0</v>
      </c>
      <c r="P80" s="167">
        <v>2.0</v>
      </c>
      <c r="Q80" s="161"/>
      <c r="R80" s="14">
        <v>3.0</v>
      </c>
      <c r="S80" s="159"/>
      <c r="T80" s="159"/>
      <c r="U80" s="159"/>
      <c r="V80" s="159"/>
      <c r="W80" s="159"/>
      <c r="X80" s="159"/>
      <c r="Y80" s="159"/>
      <c r="Z80" s="159"/>
    </row>
    <row r="81" ht="15.75" customHeight="1">
      <c r="A81" s="164" t="s">
        <v>1284</v>
      </c>
      <c r="B81" s="164" t="s">
        <v>1285</v>
      </c>
      <c r="C81" s="165">
        <f t="shared" si="1"/>
        <v>3.5</v>
      </c>
      <c r="D81" s="10">
        <v>4.0</v>
      </c>
      <c r="E81" s="11">
        <v>4.0</v>
      </c>
      <c r="F81" s="166">
        <v>4.0</v>
      </c>
      <c r="G81" s="33"/>
      <c r="H81" s="14">
        <v>4.0</v>
      </c>
      <c r="I81" s="10">
        <v>-2.0</v>
      </c>
      <c r="J81" s="11">
        <v>-2.0</v>
      </c>
      <c r="K81" s="167">
        <v>-2.0</v>
      </c>
      <c r="L81" s="33"/>
      <c r="M81" s="14">
        <v>-2.0</v>
      </c>
      <c r="N81" s="10">
        <v>2.0</v>
      </c>
      <c r="O81" s="11">
        <v>2.0</v>
      </c>
      <c r="P81" s="167">
        <v>1.0</v>
      </c>
      <c r="Q81" s="161"/>
      <c r="R81" s="14">
        <v>1.0</v>
      </c>
      <c r="S81" s="159"/>
      <c r="T81" s="159"/>
      <c r="U81" s="159"/>
      <c r="V81" s="159"/>
      <c r="W81" s="159"/>
      <c r="X81" s="159"/>
      <c r="Y81" s="159"/>
      <c r="Z81" s="159"/>
    </row>
    <row r="82" ht="15.75" customHeight="1">
      <c r="A82" s="140"/>
      <c r="B82" s="114"/>
      <c r="C82" s="165"/>
      <c r="D82" s="161"/>
      <c r="E82" s="161"/>
      <c r="F82" s="161"/>
      <c r="G82" s="161"/>
      <c r="H82" s="161"/>
      <c r="I82" s="161"/>
      <c r="J82" s="161"/>
      <c r="K82" s="161"/>
      <c r="L82" s="161"/>
      <c r="M82" s="161"/>
      <c r="N82" s="161"/>
      <c r="O82" s="161"/>
      <c r="P82" s="161"/>
      <c r="Q82" s="161"/>
      <c r="R82" s="161"/>
      <c r="S82" s="159"/>
      <c r="T82" s="159"/>
      <c r="U82" s="159"/>
      <c r="V82" s="159"/>
      <c r="W82" s="159"/>
      <c r="X82" s="159"/>
      <c r="Y82" s="159"/>
      <c r="Z82" s="159"/>
    </row>
    <row r="83" ht="15.75" customHeight="1">
      <c r="A83" s="140"/>
      <c r="B83" s="114"/>
      <c r="C83" s="165"/>
      <c r="D83" s="161"/>
      <c r="E83" s="161"/>
      <c r="F83" s="161"/>
      <c r="G83" s="161"/>
      <c r="H83" s="161"/>
      <c r="I83" s="161"/>
      <c r="J83" s="161"/>
      <c r="K83" s="161"/>
      <c r="L83" s="161"/>
      <c r="M83" s="161"/>
      <c r="N83" s="161"/>
      <c r="O83" s="161"/>
      <c r="P83" s="161"/>
      <c r="Q83" s="161"/>
      <c r="R83" s="161"/>
      <c r="S83" s="159"/>
      <c r="T83" s="159"/>
      <c r="U83" s="159"/>
      <c r="V83" s="159"/>
      <c r="W83" s="159"/>
      <c r="X83" s="159"/>
      <c r="Y83" s="159"/>
      <c r="Z83" s="159"/>
    </row>
    <row r="84" ht="15.75" customHeight="1">
      <c r="A84" s="140"/>
      <c r="B84" s="114"/>
      <c r="C84" s="165"/>
      <c r="D84" s="161"/>
      <c r="E84" s="161"/>
      <c r="F84" s="161"/>
      <c r="G84" s="161"/>
      <c r="H84" s="161"/>
      <c r="I84" s="161"/>
      <c r="J84" s="161"/>
      <c r="K84" s="161"/>
      <c r="L84" s="161"/>
      <c r="M84" s="161"/>
      <c r="N84" s="161"/>
      <c r="O84" s="161"/>
      <c r="P84" s="161"/>
      <c r="Q84" s="161"/>
      <c r="R84" s="161"/>
      <c r="S84" s="159"/>
      <c r="T84" s="159"/>
      <c r="U84" s="159"/>
      <c r="V84" s="159"/>
      <c r="W84" s="159"/>
      <c r="X84" s="159"/>
      <c r="Y84" s="159"/>
      <c r="Z84" s="159"/>
    </row>
    <row r="85" ht="15.75" customHeight="1">
      <c r="A85" s="140"/>
      <c r="B85" s="114"/>
      <c r="C85" s="165"/>
      <c r="D85" s="161"/>
      <c r="E85" s="161"/>
      <c r="F85" s="161"/>
      <c r="G85" s="161"/>
      <c r="H85" s="161"/>
      <c r="I85" s="161"/>
      <c r="J85" s="161"/>
      <c r="K85" s="161"/>
      <c r="L85" s="161"/>
      <c r="M85" s="161"/>
      <c r="N85" s="161"/>
      <c r="O85" s="161"/>
      <c r="P85" s="161"/>
      <c r="Q85" s="161"/>
      <c r="R85" s="161"/>
      <c r="S85" s="159"/>
      <c r="T85" s="159"/>
      <c r="U85" s="159"/>
      <c r="V85" s="159"/>
      <c r="W85" s="159"/>
      <c r="X85" s="159"/>
      <c r="Y85" s="159"/>
      <c r="Z85" s="159"/>
    </row>
    <row r="86" ht="15.75" customHeight="1">
      <c r="A86" s="140"/>
      <c r="B86" s="114"/>
      <c r="C86" s="165"/>
      <c r="D86" s="161"/>
      <c r="E86" s="161"/>
      <c r="F86" s="161"/>
      <c r="G86" s="161"/>
      <c r="H86" s="161"/>
      <c r="I86" s="161"/>
      <c r="J86" s="161"/>
      <c r="K86" s="161"/>
      <c r="L86" s="161"/>
      <c r="M86" s="161"/>
      <c r="N86" s="161"/>
      <c r="O86" s="161"/>
      <c r="P86" s="161"/>
      <c r="Q86" s="161"/>
      <c r="R86" s="161"/>
      <c r="S86" s="159"/>
      <c r="T86" s="159"/>
      <c r="U86" s="159"/>
      <c r="V86" s="159"/>
      <c r="W86" s="159"/>
      <c r="X86" s="159"/>
      <c r="Y86" s="159"/>
      <c r="Z86" s="159"/>
    </row>
    <row r="87" ht="15.75" customHeight="1">
      <c r="A87" s="140"/>
      <c r="B87" s="114"/>
      <c r="C87" s="165"/>
      <c r="D87" s="161"/>
      <c r="E87" s="161"/>
      <c r="F87" s="161"/>
      <c r="G87" s="161"/>
      <c r="H87" s="161"/>
      <c r="I87" s="161"/>
      <c r="J87" s="161"/>
      <c r="K87" s="161"/>
      <c r="L87" s="161"/>
      <c r="M87" s="161"/>
      <c r="N87" s="161"/>
      <c r="O87" s="161"/>
      <c r="P87" s="161"/>
      <c r="Q87" s="161"/>
      <c r="R87" s="161"/>
      <c r="S87" s="159"/>
      <c r="T87" s="159"/>
      <c r="U87" s="159"/>
      <c r="V87" s="159"/>
      <c r="W87" s="159"/>
      <c r="X87" s="159"/>
      <c r="Y87" s="159"/>
      <c r="Z87" s="159"/>
    </row>
    <row r="88" ht="15.75" customHeight="1">
      <c r="A88" s="140"/>
      <c r="B88" s="114"/>
      <c r="C88" s="165"/>
      <c r="D88" s="161"/>
      <c r="E88" s="161"/>
      <c r="F88" s="161"/>
      <c r="G88" s="161"/>
      <c r="H88" s="161"/>
      <c r="I88" s="161"/>
      <c r="J88" s="161"/>
      <c r="K88" s="161"/>
      <c r="L88" s="161"/>
      <c r="M88" s="161"/>
      <c r="N88" s="161"/>
      <c r="O88" s="161"/>
      <c r="P88" s="161"/>
      <c r="Q88" s="161"/>
      <c r="R88" s="161"/>
      <c r="S88" s="159"/>
      <c r="T88" s="159"/>
      <c r="U88" s="159"/>
      <c r="V88" s="159"/>
      <c r="W88" s="159"/>
      <c r="X88" s="159"/>
      <c r="Y88" s="159"/>
      <c r="Z88" s="159"/>
    </row>
    <row r="89" ht="15.75" customHeight="1">
      <c r="A89" s="140"/>
      <c r="B89" s="114"/>
      <c r="C89" s="165"/>
      <c r="D89" s="161"/>
      <c r="E89" s="161"/>
      <c r="F89" s="161"/>
      <c r="G89" s="161"/>
      <c r="H89" s="161"/>
      <c r="I89" s="161"/>
      <c r="J89" s="161"/>
      <c r="K89" s="161"/>
      <c r="L89" s="161"/>
      <c r="M89" s="161"/>
      <c r="N89" s="161"/>
      <c r="O89" s="161"/>
      <c r="P89" s="161"/>
      <c r="Q89" s="161"/>
      <c r="R89" s="161"/>
      <c r="S89" s="159"/>
      <c r="T89" s="159"/>
      <c r="U89" s="159"/>
      <c r="V89" s="159"/>
      <c r="W89" s="159"/>
      <c r="X89" s="159"/>
      <c r="Y89" s="159"/>
      <c r="Z89" s="159"/>
    </row>
    <row r="90" ht="15.75" customHeight="1">
      <c r="A90" s="140"/>
      <c r="B90" s="114"/>
      <c r="C90" s="165"/>
      <c r="D90" s="161"/>
      <c r="E90" s="161"/>
      <c r="F90" s="161"/>
      <c r="G90" s="161"/>
      <c r="H90" s="161"/>
      <c r="I90" s="161"/>
      <c r="J90" s="161"/>
      <c r="K90" s="161"/>
      <c r="L90" s="161"/>
      <c r="M90" s="161"/>
      <c r="N90" s="161"/>
      <c r="O90" s="161"/>
      <c r="P90" s="161"/>
      <c r="Q90" s="161"/>
      <c r="R90" s="161"/>
      <c r="S90" s="159"/>
      <c r="T90" s="159"/>
      <c r="U90" s="159"/>
      <c r="V90" s="159"/>
      <c r="W90" s="159"/>
      <c r="X90" s="159"/>
      <c r="Y90" s="159"/>
      <c r="Z90" s="159"/>
    </row>
    <row r="91" ht="15.75" customHeight="1">
      <c r="A91" s="140"/>
      <c r="B91" s="114"/>
      <c r="C91" s="165"/>
      <c r="D91" s="161"/>
      <c r="E91" s="161"/>
      <c r="F91" s="161"/>
      <c r="G91" s="161"/>
      <c r="H91" s="161"/>
      <c r="I91" s="161"/>
      <c r="J91" s="161"/>
      <c r="K91" s="161"/>
      <c r="L91" s="161"/>
      <c r="M91" s="161"/>
      <c r="N91" s="161"/>
      <c r="O91" s="161"/>
      <c r="P91" s="161"/>
      <c r="Q91" s="161"/>
      <c r="R91" s="161"/>
      <c r="S91" s="159"/>
      <c r="T91" s="159"/>
      <c r="U91" s="159"/>
      <c r="V91" s="159"/>
      <c r="W91" s="159"/>
      <c r="X91" s="159"/>
      <c r="Y91" s="159"/>
      <c r="Z91" s="159"/>
    </row>
    <row r="92" ht="15.75" customHeight="1">
      <c r="A92" s="140"/>
      <c r="B92" s="114"/>
      <c r="C92" s="165"/>
      <c r="D92" s="161"/>
      <c r="E92" s="161"/>
      <c r="F92" s="161"/>
      <c r="G92" s="161"/>
      <c r="H92" s="161"/>
      <c r="I92" s="161"/>
      <c r="J92" s="161"/>
      <c r="K92" s="161"/>
      <c r="L92" s="161"/>
      <c r="M92" s="161"/>
      <c r="N92" s="161"/>
      <c r="O92" s="161"/>
      <c r="P92" s="161"/>
      <c r="Q92" s="161"/>
      <c r="R92" s="161"/>
      <c r="S92" s="159"/>
      <c r="T92" s="159"/>
      <c r="U92" s="159"/>
      <c r="V92" s="159"/>
      <c r="W92" s="159"/>
      <c r="X92" s="159"/>
      <c r="Y92" s="159"/>
      <c r="Z92" s="159"/>
    </row>
    <row r="93" ht="15.75" customHeight="1">
      <c r="A93" s="140"/>
      <c r="B93" s="114"/>
      <c r="C93" s="165"/>
      <c r="D93" s="161"/>
      <c r="E93" s="161"/>
      <c r="F93" s="161"/>
      <c r="G93" s="161"/>
      <c r="H93" s="161"/>
      <c r="I93" s="161"/>
      <c r="J93" s="161"/>
      <c r="K93" s="161"/>
      <c r="L93" s="161"/>
      <c r="M93" s="161"/>
      <c r="N93" s="161"/>
      <c r="O93" s="161"/>
      <c r="P93" s="161"/>
      <c r="Q93" s="161"/>
      <c r="R93" s="161"/>
      <c r="S93" s="159"/>
      <c r="T93" s="159"/>
      <c r="U93" s="159"/>
      <c r="V93" s="159"/>
      <c r="W93" s="159"/>
      <c r="X93" s="159"/>
      <c r="Y93" s="159"/>
      <c r="Z93" s="159"/>
    </row>
    <row r="94" ht="15.75" customHeight="1">
      <c r="A94" s="140"/>
      <c r="B94" s="114"/>
      <c r="C94" s="165"/>
      <c r="D94" s="161"/>
      <c r="E94" s="161"/>
      <c r="F94" s="161"/>
      <c r="G94" s="161"/>
      <c r="H94" s="161"/>
      <c r="I94" s="161"/>
      <c r="J94" s="161"/>
      <c r="K94" s="161"/>
      <c r="L94" s="161"/>
      <c r="M94" s="161"/>
      <c r="N94" s="161"/>
      <c r="O94" s="161"/>
      <c r="P94" s="161"/>
      <c r="Q94" s="161"/>
      <c r="R94" s="161"/>
      <c r="S94" s="159"/>
      <c r="T94" s="159"/>
      <c r="U94" s="159"/>
      <c r="V94" s="159"/>
      <c r="W94" s="159"/>
      <c r="X94" s="159"/>
      <c r="Y94" s="159"/>
      <c r="Z94" s="159"/>
    </row>
    <row r="95" ht="15.75" customHeight="1">
      <c r="A95" s="140"/>
      <c r="B95" s="114"/>
      <c r="C95" s="165"/>
      <c r="D95" s="161"/>
      <c r="E95" s="161"/>
      <c r="F95" s="161"/>
      <c r="G95" s="161"/>
      <c r="H95" s="161"/>
      <c r="I95" s="161"/>
      <c r="J95" s="161"/>
      <c r="K95" s="161"/>
      <c r="L95" s="161"/>
      <c r="M95" s="161"/>
      <c r="N95" s="161"/>
      <c r="O95" s="161"/>
      <c r="P95" s="161"/>
      <c r="Q95" s="161"/>
      <c r="R95" s="161"/>
      <c r="S95" s="159"/>
      <c r="T95" s="159"/>
      <c r="U95" s="159"/>
      <c r="V95" s="159"/>
      <c r="W95" s="159"/>
      <c r="X95" s="159"/>
      <c r="Y95" s="159"/>
      <c r="Z95" s="159"/>
    </row>
    <row r="96" ht="15.75" customHeight="1">
      <c r="A96" s="140"/>
      <c r="B96" s="114"/>
      <c r="C96" s="165"/>
      <c r="D96" s="161"/>
      <c r="E96" s="161"/>
      <c r="F96" s="161"/>
      <c r="G96" s="161"/>
      <c r="H96" s="161"/>
      <c r="I96" s="161"/>
      <c r="J96" s="161"/>
      <c r="K96" s="161"/>
      <c r="L96" s="161"/>
      <c r="M96" s="161"/>
      <c r="N96" s="161"/>
      <c r="O96" s="161"/>
      <c r="P96" s="161"/>
      <c r="Q96" s="161"/>
      <c r="R96" s="161"/>
      <c r="S96" s="159"/>
      <c r="T96" s="159"/>
      <c r="U96" s="159"/>
      <c r="V96" s="159"/>
      <c r="W96" s="159"/>
      <c r="X96" s="159"/>
      <c r="Y96" s="159"/>
      <c r="Z96" s="159"/>
    </row>
    <row r="97" ht="15.75" customHeight="1">
      <c r="A97" s="140"/>
      <c r="B97" s="114"/>
      <c r="C97" s="165"/>
      <c r="D97" s="161"/>
      <c r="E97" s="161"/>
      <c r="F97" s="161"/>
      <c r="G97" s="161"/>
      <c r="H97" s="161"/>
      <c r="I97" s="161"/>
      <c r="J97" s="161"/>
      <c r="K97" s="161"/>
      <c r="L97" s="161"/>
      <c r="M97" s="161"/>
      <c r="N97" s="161"/>
      <c r="O97" s="161"/>
      <c r="P97" s="161"/>
      <c r="Q97" s="161"/>
      <c r="R97" s="161"/>
      <c r="S97" s="159"/>
      <c r="T97" s="159"/>
      <c r="U97" s="159"/>
      <c r="V97" s="159"/>
      <c r="W97" s="159"/>
      <c r="X97" s="159"/>
      <c r="Y97" s="159"/>
      <c r="Z97" s="159"/>
    </row>
    <row r="98" ht="15.75" customHeight="1">
      <c r="A98" s="140"/>
      <c r="B98" s="114"/>
      <c r="C98" s="165"/>
      <c r="D98" s="161"/>
      <c r="E98" s="161"/>
      <c r="F98" s="161"/>
      <c r="G98" s="161"/>
      <c r="H98" s="161"/>
      <c r="I98" s="161"/>
      <c r="J98" s="161"/>
      <c r="K98" s="161"/>
      <c r="L98" s="161"/>
      <c r="M98" s="161"/>
      <c r="N98" s="161"/>
      <c r="O98" s="161"/>
      <c r="P98" s="161"/>
      <c r="Q98" s="161"/>
      <c r="R98" s="161"/>
      <c r="S98" s="159"/>
      <c r="T98" s="159"/>
      <c r="U98" s="159"/>
      <c r="V98" s="159"/>
      <c r="W98" s="159"/>
      <c r="X98" s="159"/>
      <c r="Y98" s="159"/>
      <c r="Z98" s="159"/>
    </row>
    <row r="99" ht="15.75" customHeight="1">
      <c r="A99" s="140"/>
      <c r="B99" s="114"/>
      <c r="C99" s="165"/>
      <c r="D99" s="161"/>
      <c r="E99" s="161"/>
      <c r="F99" s="161"/>
      <c r="G99" s="161"/>
      <c r="H99" s="161"/>
      <c r="I99" s="161"/>
      <c r="J99" s="161"/>
      <c r="K99" s="161"/>
      <c r="L99" s="161"/>
      <c r="M99" s="161"/>
      <c r="N99" s="161"/>
      <c r="O99" s="161"/>
      <c r="P99" s="161"/>
      <c r="Q99" s="161"/>
      <c r="R99" s="161"/>
      <c r="S99" s="159"/>
      <c r="T99" s="159"/>
      <c r="U99" s="159"/>
      <c r="V99" s="159"/>
      <c r="W99" s="159"/>
      <c r="X99" s="159"/>
      <c r="Y99" s="159"/>
      <c r="Z99" s="159"/>
    </row>
    <row r="100" ht="15.75" customHeight="1">
      <c r="A100" s="140"/>
      <c r="B100" s="114"/>
      <c r="C100" s="165"/>
      <c r="D100" s="161"/>
      <c r="E100" s="161"/>
      <c r="F100" s="161"/>
      <c r="G100" s="161"/>
      <c r="H100" s="161"/>
      <c r="I100" s="161"/>
      <c r="J100" s="161"/>
      <c r="K100" s="161"/>
      <c r="L100" s="161"/>
      <c r="M100" s="161"/>
      <c r="N100" s="161"/>
      <c r="O100" s="161"/>
      <c r="P100" s="161"/>
      <c r="Q100" s="161"/>
      <c r="R100" s="161"/>
      <c r="S100" s="159"/>
      <c r="T100" s="159"/>
      <c r="U100" s="159"/>
      <c r="V100" s="159"/>
      <c r="W100" s="159"/>
      <c r="X100" s="159"/>
      <c r="Y100" s="159"/>
      <c r="Z100" s="159"/>
    </row>
    <row r="101" ht="15.75" customHeight="1">
      <c r="A101" s="140"/>
      <c r="B101" s="114"/>
      <c r="C101" s="165"/>
      <c r="D101" s="161"/>
      <c r="E101" s="161"/>
      <c r="F101" s="161"/>
      <c r="G101" s="161"/>
      <c r="H101" s="161"/>
      <c r="I101" s="161"/>
      <c r="J101" s="161"/>
      <c r="K101" s="161"/>
      <c r="L101" s="161"/>
      <c r="M101" s="161"/>
      <c r="N101" s="161"/>
      <c r="O101" s="161"/>
      <c r="P101" s="161"/>
      <c r="Q101" s="161"/>
      <c r="R101" s="161"/>
      <c r="S101" s="159"/>
      <c r="T101" s="159"/>
      <c r="U101" s="159"/>
      <c r="V101" s="159"/>
      <c r="W101" s="159"/>
      <c r="X101" s="159"/>
      <c r="Y101" s="159"/>
      <c r="Z101" s="159"/>
    </row>
    <row r="102" ht="15.75" customHeight="1">
      <c r="A102" s="140"/>
      <c r="B102" s="114"/>
      <c r="C102" s="165"/>
      <c r="D102" s="161"/>
      <c r="E102" s="161"/>
      <c r="F102" s="161"/>
      <c r="G102" s="161"/>
      <c r="H102" s="161"/>
      <c r="I102" s="161"/>
      <c r="J102" s="161"/>
      <c r="K102" s="161"/>
      <c r="L102" s="161"/>
      <c r="M102" s="161"/>
      <c r="N102" s="161"/>
      <c r="O102" s="161"/>
      <c r="P102" s="161"/>
      <c r="Q102" s="161"/>
      <c r="R102" s="161"/>
      <c r="S102" s="159"/>
      <c r="T102" s="159"/>
      <c r="U102" s="159"/>
      <c r="V102" s="159"/>
      <c r="W102" s="159"/>
      <c r="X102" s="159"/>
      <c r="Y102" s="159"/>
      <c r="Z102" s="159"/>
    </row>
    <row r="103" ht="15.75" customHeight="1">
      <c r="A103" s="140"/>
      <c r="B103" s="114"/>
      <c r="C103" s="165"/>
      <c r="D103" s="161"/>
      <c r="E103" s="161"/>
      <c r="F103" s="161"/>
      <c r="G103" s="161"/>
      <c r="H103" s="161"/>
      <c r="I103" s="161"/>
      <c r="J103" s="161"/>
      <c r="K103" s="161"/>
      <c r="L103" s="161"/>
      <c r="M103" s="161"/>
      <c r="N103" s="161"/>
      <c r="O103" s="161"/>
      <c r="P103" s="161"/>
      <c r="Q103" s="161"/>
      <c r="R103" s="161"/>
      <c r="S103" s="159"/>
      <c r="T103" s="159"/>
      <c r="U103" s="159"/>
      <c r="V103" s="159"/>
      <c r="W103" s="159"/>
      <c r="X103" s="159"/>
      <c r="Y103" s="159"/>
      <c r="Z103" s="159"/>
    </row>
    <row r="104" ht="15.75" customHeight="1">
      <c r="A104" s="140"/>
      <c r="B104" s="114"/>
      <c r="C104" s="165"/>
      <c r="D104" s="161"/>
      <c r="E104" s="161"/>
      <c r="F104" s="161"/>
      <c r="G104" s="161"/>
      <c r="H104" s="161"/>
      <c r="I104" s="161"/>
      <c r="J104" s="161"/>
      <c r="K104" s="161"/>
      <c r="L104" s="161"/>
      <c r="M104" s="161"/>
      <c r="N104" s="161"/>
      <c r="O104" s="161"/>
      <c r="P104" s="161"/>
      <c r="Q104" s="161"/>
      <c r="R104" s="161"/>
      <c r="S104" s="159"/>
      <c r="T104" s="159"/>
      <c r="U104" s="159"/>
      <c r="V104" s="159"/>
      <c r="W104" s="159"/>
      <c r="X104" s="159"/>
      <c r="Y104" s="159"/>
      <c r="Z104" s="159"/>
    </row>
    <row r="105" ht="15.75" customHeight="1">
      <c r="A105" s="140"/>
      <c r="B105" s="114"/>
      <c r="C105" s="165"/>
      <c r="D105" s="161"/>
      <c r="E105" s="161"/>
      <c r="F105" s="161"/>
      <c r="G105" s="161"/>
      <c r="H105" s="161"/>
      <c r="I105" s="161"/>
      <c r="J105" s="161"/>
      <c r="K105" s="161"/>
      <c r="L105" s="161"/>
      <c r="M105" s="161"/>
      <c r="N105" s="161"/>
      <c r="O105" s="161"/>
      <c r="P105" s="161"/>
      <c r="Q105" s="161"/>
      <c r="R105" s="161"/>
      <c r="S105" s="159"/>
      <c r="T105" s="159"/>
      <c r="U105" s="159"/>
      <c r="V105" s="159"/>
      <c r="W105" s="159"/>
      <c r="X105" s="159"/>
      <c r="Y105" s="159"/>
      <c r="Z105" s="159"/>
    </row>
    <row r="106" ht="15.75" customHeight="1">
      <c r="A106" s="140"/>
      <c r="B106" s="114"/>
      <c r="C106" s="165"/>
      <c r="D106" s="161"/>
      <c r="E106" s="161"/>
      <c r="F106" s="161"/>
      <c r="G106" s="161"/>
      <c r="H106" s="161"/>
      <c r="I106" s="161"/>
      <c r="J106" s="161"/>
      <c r="K106" s="161"/>
      <c r="L106" s="161"/>
      <c r="M106" s="161"/>
      <c r="N106" s="161"/>
      <c r="O106" s="161"/>
      <c r="P106" s="161"/>
      <c r="Q106" s="161"/>
      <c r="R106" s="161"/>
      <c r="S106" s="159"/>
      <c r="T106" s="159"/>
      <c r="U106" s="159"/>
      <c r="V106" s="159"/>
      <c r="W106" s="159"/>
      <c r="X106" s="159"/>
      <c r="Y106" s="159"/>
      <c r="Z106" s="159"/>
    </row>
    <row r="107" ht="15.75" customHeight="1">
      <c r="A107" s="140"/>
      <c r="B107" s="114"/>
      <c r="C107" s="165"/>
      <c r="D107" s="161"/>
      <c r="E107" s="161"/>
      <c r="F107" s="161"/>
      <c r="G107" s="161"/>
      <c r="H107" s="161"/>
      <c r="I107" s="161"/>
      <c r="J107" s="161"/>
      <c r="K107" s="161"/>
      <c r="L107" s="161"/>
      <c r="M107" s="161"/>
      <c r="N107" s="161"/>
      <c r="O107" s="161"/>
      <c r="P107" s="161"/>
      <c r="Q107" s="161"/>
      <c r="R107" s="161"/>
      <c r="S107" s="159"/>
      <c r="T107" s="159"/>
      <c r="U107" s="159"/>
      <c r="V107" s="159"/>
      <c r="W107" s="159"/>
      <c r="X107" s="159"/>
      <c r="Y107" s="159"/>
      <c r="Z107" s="159"/>
    </row>
    <row r="108" ht="15.75" customHeight="1">
      <c r="A108" s="140"/>
      <c r="B108" s="114"/>
      <c r="C108" s="165"/>
      <c r="D108" s="161"/>
      <c r="E108" s="161"/>
      <c r="F108" s="161"/>
      <c r="G108" s="161"/>
      <c r="H108" s="161"/>
      <c r="I108" s="161"/>
      <c r="J108" s="161"/>
      <c r="K108" s="161"/>
      <c r="L108" s="161"/>
      <c r="M108" s="161"/>
      <c r="N108" s="161"/>
      <c r="O108" s="161"/>
      <c r="P108" s="161"/>
      <c r="Q108" s="161"/>
      <c r="R108" s="161"/>
      <c r="S108" s="159"/>
      <c r="T108" s="159"/>
      <c r="U108" s="159"/>
      <c r="V108" s="159"/>
      <c r="W108" s="159"/>
      <c r="X108" s="159"/>
      <c r="Y108" s="159"/>
      <c r="Z108" s="159"/>
    </row>
    <row r="109" ht="15.75" customHeight="1">
      <c r="A109" s="140"/>
      <c r="B109" s="114"/>
      <c r="C109" s="165"/>
      <c r="D109" s="161"/>
      <c r="E109" s="161"/>
      <c r="F109" s="161"/>
      <c r="G109" s="161"/>
      <c r="H109" s="161"/>
      <c r="I109" s="161"/>
      <c r="J109" s="161"/>
      <c r="K109" s="161"/>
      <c r="L109" s="161"/>
      <c r="M109" s="161"/>
      <c r="N109" s="161"/>
      <c r="O109" s="161"/>
      <c r="P109" s="161"/>
      <c r="Q109" s="161"/>
      <c r="R109" s="161"/>
      <c r="S109" s="159"/>
      <c r="T109" s="159"/>
      <c r="U109" s="159"/>
      <c r="V109" s="159"/>
      <c r="W109" s="159"/>
      <c r="X109" s="159"/>
      <c r="Y109" s="159"/>
      <c r="Z109" s="159"/>
    </row>
    <row r="110" ht="15.75" customHeight="1">
      <c r="A110" s="140"/>
      <c r="B110" s="114"/>
      <c r="C110" s="165"/>
      <c r="D110" s="161"/>
      <c r="E110" s="161"/>
      <c r="F110" s="161"/>
      <c r="G110" s="161"/>
      <c r="H110" s="161"/>
      <c r="I110" s="161"/>
      <c r="J110" s="161"/>
      <c r="K110" s="161"/>
      <c r="L110" s="161"/>
      <c r="M110" s="161"/>
      <c r="N110" s="161"/>
      <c r="O110" s="161"/>
      <c r="P110" s="161"/>
      <c r="Q110" s="161"/>
      <c r="R110" s="161"/>
      <c r="S110" s="159"/>
      <c r="T110" s="159"/>
      <c r="U110" s="159"/>
      <c r="V110" s="159"/>
      <c r="W110" s="159"/>
      <c r="X110" s="159"/>
      <c r="Y110" s="159"/>
      <c r="Z110" s="159"/>
    </row>
    <row r="111" ht="15.75" customHeight="1">
      <c r="A111" s="140"/>
      <c r="B111" s="114"/>
      <c r="C111" s="165"/>
      <c r="D111" s="161"/>
      <c r="E111" s="161"/>
      <c r="F111" s="161"/>
      <c r="G111" s="161"/>
      <c r="H111" s="161"/>
      <c r="I111" s="161"/>
      <c r="J111" s="161"/>
      <c r="K111" s="161"/>
      <c r="L111" s="161"/>
      <c r="M111" s="161"/>
      <c r="N111" s="161"/>
      <c r="O111" s="161"/>
      <c r="P111" s="161"/>
      <c r="Q111" s="161"/>
      <c r="R111" s="161"/>
      <c r="S111" s="159"/>
      <c r="T111" s="159"/>
      <c r="U111" s="159"/>
      <c r="V111" s="159"/>
      <c r="W111" s="159"/>
      <c r="X111" s="159"/>
      <c r="Y111" s="159"/>
      <c r="Z111" s="159"/>
    </row>
    <row r="112" ht="15.75" customHeight="1">
      <c r="A112" s="140"/>
      <c r="B112" s="114"/>
      <c r="C112" s="165"/>
      <c r="D112" s="161"/>
      <c r="E112" s="161"/>
      <c r="F112" s="161"/>
      <c r="G112" s="161"/>
      <c r="H112" s="161"/>
      <c r="I112" s="161"/>
      <c r="J112" s="161"/>
      <c r="K112" s="161"/>
      <c r="L112" s="161"/>
      <c r="M112" s="161"/>
      <c r="N112" s="161"/>
      <c r="O112" s="161"/>
      <c r="P112" s="161"/>
      <c r="Q112" s="161"/>
      <c r="R112" s="161"/>
      <c r="S112" s="159"/>
      <c r="T112" s="159"/>
      <c r="U112" s="159"/>
      <c r="V112" s="159"/>
      <c r="W112" s="159"/>
      <c r="X112" s="159"/>
      <c r="Y112" s="159"/>
      <c r="Z112" s="159"/>
    </row>
    <row r="113" ht="15.75" customHeight="1">
      <c r="A113" s="140"/>
      <c r="B113" s="114"/>
      <c r="C113" s="165"/>
      <c r="D113" s="161"/>
      <c r="E113" s="161"/>
      <c r="F113" s="161"/>
      <c r="G113" s="161"/>
      <c r="H113" s="161"/>
      <c r="I113" s="161"/>
      <c r="J113" s="161"/>
      <c r="K113" s="161"/>
      <c r="L113" s="161"/>
      <c r="M113" s="161"/>
      <c r="N113" s="161"/>
      <c r="O113" s="161"/>
      <c r="P113" s="161"/>
      <c r="Q113" s="161"/>
      <c r="R113" s="161"/>
      <c r="S113" s="159"/>
      <c r="T113" s="159"/>
      <c r="U113" s="159"/>
      <c r="V113" s="159"/>
      <c r="W113" s="159"/>
      <c r="X113" s="159"/>
      <c r="Y113" s="159"/>
      <c r="Z113" s="159"/>
    </row>
    <row r="114" ht="15.75" customHeight="1">
      <c r="A114" s="140"/>
      <c r="B114" s="114"/>
      <c r="C114" s="165"/>
      <c r="D114" s="161"/>
      <c r="E114" s="161"/>
      <c r="F114" s="161"/>
      <c r="G114" s="161"/>
      <c r="H114" s="161"/>
      <c r="I114" s="161"/>
      <c r="J114" s="161"/>
      <c r="K114" s="161"/>
      <c r="L114" s="161"/>
      <c r="M114" s="161"/>
      <c r="N114" s="161"/>
      <c r="O114" s="161"/>
      <c r="P114" s="161"/>
      <c r="Q114" s="161"/>
      <c r="R114" s="161"/>
      <c r="S114" s="159"/>
      <c r="T114" s="159"/>
      <c r="U114" s="159"/>
      <c r="V114" s="159"/>
      <c r="W114" s="159"/>
      <c r="X114" s="159"/>
      <c r="Y114" s="159"/>
      <c r="Z114" s="159"/>
    </row>
    <row r="115" ht="15.75" customHeight="1">
      <c r="A115" s="140"/>
      <c r="B115" s="114"/>
      <c r="C115" s="165"/>
      <c r="D115" s="161"/>
      <c r="E115" s="161"/>
      <c r="F115" s="161"/>
      <c r="G115" s="161"/>
      <c r="H115" s="161"/>
      <c r="I115" s="161"/>
      <c r="J115" s="161"/>
      <c r="K115" s="161"/>
      <c r="L115" s="161"/>
      <c r="M115" s="161"/>
      <c r="N115" s="161"/>
      <c r="O115" s="161"/>
      <c r="P115" s="161"/>
      <c r="Q115" s="161"/>
      <c r="R115" s="161"/>
      <c r="S115" s="159"/>
      <c r="T115" s="159"/>
      <c r="U115" s="159"/>
      <c r="V115" s="159"/>
      <c r="W115" s="159"/>
      <c r="X115" s="159"/>
      <c r="Y115" s="159"/>
      <c r="Z115" s="159"/>
    </row>
    <row r="116" ht="15.75" customHeight="1">
      <c r="A116" s="140"/>
      <c r="B116" s="114"/>
      <c r="C116" s="165"/>
      <c r="D116" s="161"/>
      <c r="E116" s="161"/>
      <c r="F116" s="161"/>
      <c r="G116" s="161"/>
      <c r="H116" s="161"/>
      <c r="I116" s="161"/>
      <c r="J116" s="161"/>
      <c r="K116" s="161"/>
      <c r="L116" s="161"/>
      <c r="M116" s="161"/>
      <c r="N116" s="161"/>
      <c r="O116" s="161"/>
      <c r="P116" s="161"/>
      <c r="Q116" s="161"/>
      <c r="R116" s="161"/>
      <c r="S116" s="159"/>
      <c r="T116" s="159"/>
      <c r="U116" s="159"/>
      <c r="V116" s="159"/>
      <c r="W116" s="159"/>
      <c r="X116" s="159"/>
      <c r="Y116" s="159"/>
      <c r="Z116" s="159"/>
    </row>
    <row r="117" ht="15.75" customHeight="1">
      <c r="A117" s="140"/>
      <c r="B117" s="114"/>
      <c r="C117" s="165"/>
      <c r="D117" s="161"/>
      <c r="E117" s="161"/>
      <c r="F117" s="161"/>
      <c r="G117" s="161"/>
      <c r="H117" s="161"/>
      <c r="I117" s="161"/>
      <c r="J117" s="161"/>
      <c r="K117" s="161"/>
      <c r="L117" s="161"/>
      <c r="M117" s="161"/>
      <c r="N117" s="161"/>
      <c r="O117" s="161"/>
      <c r="P117" s="161"/>
      <c r="Q117" s="161"/>
      <c r="R117" s="161"/>
      <c r="S117" s="159"/>
      <c r="T117" s="159"/>
      <c r="U117" s="159"/>
      <c r="V117" s="159"/>
      <c r="W117" s="159"/>
      <c r="X117" s="159"/>
      <c r="Y117" s="159"/>
      <c r="Z117" s="159"/>
    </row>
    <row r="118" ht="15.75" customHeight="1">
      <c r="A118" s="140"/>
      <c r="B118" s="114"/>
      <c r="C118" s="165"/>
      <c r="D118" s="161"/>
      <c r="E118" s="161"/>
      <c r="F118" s="161"/>
      <c r="G118" s="161"/>
      <c r="H118" s="161"/>
      <c r="I118" s="161"/>
      <c r="J118" s="161"/>
      <c r="K118" s="161"/>
      <c r="L118" s="161"/>
      <c r="M118" s="161"/>
      <c r="N118" s="161"/>
      <c r="O118" s="161"/>
      <c r="P118" s="161"/>
      <c r="Q118" s="161"/>
      <c r="R118" s="161"/>
      <c r="S118" s="159"/>
      <c r="T118" s="159"/>
      <c r="U118" s="159"/>
      <c r="V118" s="159"/>
      <c r="W118" s="159"/>
      <c r="X118" s="159"/>
      <c r="Y118" s="159"/>
      <c r="Z118" s="159"/>
    </row>
    <row r="119" ht="15.75" customHeight="1">
      <c r="A119" s="140"/>
      <c r="B119" s="114"/>
      <c r="C119" s="165"/>
      <c r="D119" s="161"/>
      <c r="E119" s="161"/>
      <c r="F119" s="161"/>
      <c r="G119" s="161"/>
      <c r="H119" s="161"/>
      <c r="I119" s="161"/>
      <c r="J119" s="161"/>
      <c r="K119" s="161"/>
      <c r="L119" s="161"/>
      <c r="M119" s="161"/>
      <c r="N119" s="161"/>
      <c r="O119" s="161"/>
      <c r="P119" s="161"/>
      <c r="Q119" s="161"/>
      <c r="R119" s="161"/>
      <c r="S119" s="159"/>
      <c r="T119" s="159"/>
      <c r="U119" s="159"/>
      <c r="V119" s="159"/>
      <c r="W119" s="159"/>
      <c r="X119" s="159"/>
      <c r="Y119" s="159"/>
      <c r="Z119" s="159"/>
    </row>
    <row r="120" ht="15.75" customHeight="1">
      <c r="A120" s="140"/>
      <c r="B120" s="114"/>
      <c r="C120" s="165"/>
      <c r="D120" s="161"/>
      <c r="E120" s="161"/>
      <c r="F120" s="161"/>
      <c r="G120" s="161"/>
      <c r="H120" s="161"/>
      <c r="I120" s="161"/>
      <c r="J120" s="161"/>
      <c r="K120" s="161"/>
      <c r="L120" s="161"/>
      <c r="M120" s="161"/>
      <c r="N120" s="161"/>
      <c r="O120" s="161"/>
      <c r="P120" s="161"/>
      <c r="Q120" s="161"/>
      <c r="R120" s="161"/>
      <c r="S120" s="159"/>
      <c r="T120" s="159"/>
      <c r="U120" s="159"/>
      <c r="V120" s="159"/>
      <c r="W120" s="159"/>
      <c r="X120" s="159"/>
      <c r="Y120" s="159"/>
      <c r="Z120" s="159"/>
    </row>
    <row r="121" ht="15.75" customHeight="1">
      <c r="A121" s="140"/>
      <c r="B121" s="114"/>
      <c r="C121" s="165"/>
      <c r="D121" s="161"/>
      <c r="E121" s="161"/>
      <c r="F121" s="161"/>
      <c r="G121" s="161"/>
      <c r="H121" s="161"/>
      <c r="I121" s="161"/>
      <c r="J121" s="161"/>
      <c r="K121" s="161"/>
      <c r="L121" s="161"/>
      <c r="M121" s="161"/>
      <c r="N121" s="161"/>
      <c r="O121" s="161"/>
      <c r="P121" s="161"/>
      <c r="Q121" s="161"/>
      <c r="R121" s="161"/>
      <c r="S121" s="159"/>
      <c r="T121" s="159"/>
      <c r="U121" s="159"/>
      <c r="V121" s="159"/>
      <c r="W121" s="159"/>
      <c r="X121" s="159"/>
      <c r="Y121" s="159"/>
      <c r="Z121" s="159"/>
    </row>
    <row r="122" ht="15.75" customHeight="1">
      <c r="A122" s="140"/>
      <c r="B122" s="114"/>
      <c r="C122" s="165"/>
      <c r="D122" s="161"/>
      <c r="E122" s="161"/>
      <c r="F122" s="161"/>
      <c r="G122" s="161"/>
      <c r="H122" s="161"/>
      <c r="I122" s="161"/>
      <c r="J122" s="161"/>
      <c r="K122" s="161"/>
      <c r="L122" s="161"/>
      <c r="M122" s="161"/>
      <c r="N122" s="161"/>
      <c r="O122" s="161"/>
      <c r="P122" s="161"/>
      <c r="Q122" s="161"/>
      <c r="R122" s="161"/>
      <c r="S122" s="159"/>
      <c r="T122" s="159"/>
      <c r="U122" s="159"/>
      <c r="V122" s="159"/>
      <c r="W122" s="159"/>
      <c r="X122" s="159"/>
      <c r="Y122" s="159"/>
      <c r="Z122" s="159"/>
    </row>
    <row r="123" ht="15.75" customHeight="1">
      <c r="A123" s="140"/>
      <c r="B123" s="114"/>
      <c r="C123" s="165"/>
      <c r="D123" s="161"/>
      <c r="E123" s="161"/>
      <c r="F123" s="161"/>
      <c r="G123" s="161"/>
      <c r="H123" s="161"/>
      <c r="I123" s="161"/>
      <c r="J123" s="161"/>
      <c r="K123" s="161"/>
      <c r="L123" s="161"/>
      <c r="M123" s="161"/>
      <c r="N123" s="161"/>
      <c r="O123" s="161"/>
      <c r="P123" s="161"/>
      <c r="Q123" s="161"/>
      <c r="R123" s="161"/>
      <c r="S123" s="159"/>
      <c r="T123" s="159"/>
      <c r="U123" s="159"/>
      <c r="V123" s="159"/>
      <c r="W123" s="159"/>
      <c r="X123" s="159"/>
      <c r="Y123" s="159"/>
      <c r="Z123" s="159"/>
    </row>
    <row r="124" ht="15.75" customHeight="1">
      <c r="A124" s="140"/>
      <c r="B124" s="114"/>
      <c r="C124" s="165"/>
      <c r="D124" s="161"/>
      <c r="E124" s="161"/>
      <c r="F124" s="161"/>
      <c r="G124" s="161"/>
      <c r="H124" s="161"/>
      <c r="I124" s="161"/>
      <c r="J124" s="161"/>
      <c r="K124" s="161"/>
      <c r="L124" s="161"/>
      <c r="M124" s="161"/>
      <c r="N124" s="161"/>
      <c r="O124" s="161"/>
      <c r="P124" s="161"/>
      <c r="Q124" s="161"/>
      <c r="R124" s="161"/>
      <c r="S124" s="159"/>
      <c r="T124" s="159"/>
      <c r="U124" s="159"/>
      <c r="V124" s="159"/>
      <c r="W124" s="159"/>
      <c r="X124" s="159"/>
      <c r="Y124" s="159"/>
      <c r="Z124" s="159"/>
    </row>
    <row r="125" ht="15.75" customHeight="1">
      <c r="A125" s="140"/>
      <c r="B125" s="114"/>
      <c r="C125" s="165"/>
      <c r="D125" s="161"/>
      <c r="E125" s="161"/>
      <c r="F125" s="161"/>
      <c r="G125" s="161"/>
      <c r="H125" s="161"/>
      <c r="I125" s="161"/>
      <c r="J125" s="161"/>
      <c r="K125" s="161"/>
      <c r="L125" s="161"/>
      <c r="M125" s="161"/>
      <c r="N125" s="161"/>
      <c r="O125" s="161"/>
      <c r="P125" s="161"/>
      <c r="Q125" s="161"/>
      <c r="R125" s="161"/>
      <c r="S125" s="159"/>
      <c r="T125" s="159"/>
      <c r="U125" s="159"/>
      <c r="V125" s="159"/>
      <c r="W125" s="159"/>
      <c r="X125" s="159"/>
      <c r="Y125" s="159"/>
      <c r="Z125" s="159"/>
    </row>
    <row r="126" ht="15.75" customHeight="1">
      <c r="A126" s="140"/>
      <c r="B126" s="114"/>
      <c r="C126" s="165"/>
      <c r="D126" s="161"/>
      <c r="E126" s="161"/>
      <c r="F126" s="161"/>
      <c r="G126" s="161"/>
      <c r="H126" s="161"/>
      <c r="I126" s="161"/>
      <c r="J126" s="161"/>
      <c r="K126" s="161"/>
      <c r="L126" s="161"/>
      <c r="M126" s="161"/>
      <c r="N126" s="161"/>
      <c r="O126" s="161"/>
      <c r="P126" s="161"/>
      <c r="Q126" s="161"/>
      <c r="R126" s="161"/>
      <c r="S126" s="159"/>
      <c r="T126" s="159"/>
      <c r="U126" s="159"/>
      <c r="V126" s="159"/>
      <c r="W126" s="159"/>
      <c r="X126" s="159"/>
      <c r="Y126" s="159"/>
      <c r="Z126" s="159"/>
    </row>
    <row r="127" ht="15.75" customHeight="1">
      <c r="A127" s="140"/>
      <c r="B127" s="114"/>
      <c r="C127" s="165"/>
      <c r="D127" s="161"/>
      <c r="E127" s="161"/>
      <c r="F127" s="161"/>
      <c r="G127" s="161"/>
      <c r="H127" s="161"/>
      <c r="I127" s="161"/>
      <c r="J127" s="161"/>
      <c r="K127" s="161"/>
      <c r="L127" s="161"/>
      <c r="M127" s="161"/>
      <c r="N127" s="161"/>
      <c r="O127" s="161"/>
      <c r="P127" s="161"/>
      <c r="Q127" s="161"/>
      <c r="R127" s="161"/>
      <c r="S127" s="159"/>
      <c r="T127" s="159"/>
      <c r="U127" s="159"/>
      <c r="V127" s="159"/>
      <c r="W127" s="159"/>
      <c r="X127" s="159"/>
      <c r="Y127" s="159"/>
      <c r="Z127" s="159"/>
    </row>
    <row r="128" ht="15.75" customHeight="1">
      <c r="A128" s="140"/>
      <c r="B128" s="114"/>
      <c r="C128" s="165"/>
      <c r="D128" s="161"/>
      <c r="E128" s="161"/>
      <c r="F128" s="161"/>
      <c r="G128" s="161"/>
      <c r="H128" s="161"/>
      <c r="I128" s="161"/>
      <c r="J128" s="161"/>
      <c r="K128" s="161"/>
      <c r="L128" s="161"/>
      <c r="M128" s="161"/>
      <c r="N128" s="161"/>
      <c r="O128" s="161"/>
      <c r="P128" s="161"/>
      <c r="Q128" s="161"/>
      <c r="R128" s="161"/>
      <c r="S128" s="159"/>
      <c r="T128" s="159"/>
      <c r="U128" s="159"/>
      <c r="V128" s="159"/>
      <c r="W128" s="159"/>
      <c r="X128" s="159"/>
      <c r="Y128" s="159"/>
      <c r="Z128" s="159"/>
    </row>
    <row r="129" ht="15.75" customHeight="1">
      <c r="A129" s="140"/>
      <c r="B129" s="114"/>
      <c r="C129" s="165"/>
      <c r="D129" s="161"/>
      <c r="E129" s="161"/>
      <c r="F129" s="161"/>
      <c r="G129" s="161"/>
      <c r="H129" s="161"/>
      <c r="I129" s="161"/>
      <c r="J129" s="161"/>
      <c r="K129" s="161"/>
      <c r="L129" s="161"/>
      <c r="M129" s="161"/>
      <c r="N129" s="161"/>
      <c r="O129" s="161"/>
      <c r="P129" s="161"/>
      <c r="Q129" s="161"/>
      <c r="R129" s="161"/>
      <c r="S129" s="159"/>
      <c r="T129" s="159"/>
      <c r="U129" s="159"/>
      <c r="V129" s="159"/>
      <c r="W129" s="159"/>
      <c r="X129" s="159"/>
      <c r="Y129" s="159"/>
      <c r="Z129" s="159"/>
    </row>
    <row r="130" ht="15.75" customHeight="1">
      <c r="A130" s="140"/>
      <c r="B130" s="114"/>
      <c r="C130" s="165"/>
      <c r="D130" s="161"/>
      <c r="E130" s="161"/>
      <c r="F130" s="161"/>
      <c r="G130" s="161"/>
      <c r="H130" s="161"/>
      <c r="I130" s="161"/>
      <c r="J130" s="161"/>
      <c r="K130" s="161"/>
      <c r="L130" s="161"/>
      <c r="M130" s="161"/>
      <c r="N130" s="161"/>
      <c r="O130" s="161"/>
      <c r="P130" s="161"/>
      <c r="Q130" s="161"/>
      <c r="R130" s="161"/>
      <c r="S130" s="159"/>
      <c r="T130" s="159"/>
      <c r="U130" s="159"/>
      <c r="V130" s="159"/>
      <c r="W130" s="159"/>
      <c r="X130" s="159"/>
      <c r="Y130" s="159"/>
      <c r="Z130" s="159"/>
    </row>
    <row r="131" ht="15.75" customHeight="1">
      <c r="A131" s="140"/>
      <c r="B131" s="114"/>
      <c r="C131" s="165"/>
      <c r="D131" s="161"/>
      <c r="E131" s="161"/>
      <c r="F131" s="161"/>
      <c r="G131" s="161"/>
      <c r="H131" s="161"/>
      <c r="I131" s="161"/>
      <c r="J131" s="161"/>
      <c r="K131" s="161"/>
      <c r="L131" s="161"/>
      <c r="M131" s="161"/>
      <c r="N131" s="161"/>
      <c r="O131" s="161"/>
      <c r="P131" s="161"/>
      <c r="Q131" s="161"/>
      <c r="R131" s="161"/>
      <c r="S131" s="159"/>
      <c r="T131" s="159"/>
      <c r="U131" s="159"/>
      <c r="V131" s="159"/>
      <c r="W131" s="159"/>
      <c r="X131" s="159"/>
      <c r="Y131" s="159"/>
      <c r="Z131" s="159"/>
    </row>
    <row r="132" ht="15.75" customHeight="1">
      <c r="A132" s="140"/>
      <c r="B132" s="114"/>
      <c r="C132" s="165"/>
      <c r="D132" s="161"/>
      <c r="E132" s="161"/>
      <c r="F132" s="161"/>
      <c r="G132" s="161"/>
      <c r="H132" s="161"/>
      <c r="I132" s="161"/>
      <c r="J132" s="161"/>
      <c r="K132" s="161"/>
      <c r="L132" s="161"/>
      <c r="M132" s="161"/>
      <c r="N132" s="161"/>
      <c r="O132" s="161"/>
      <c r="P132" s="161"/>
      <c r="Q132" s="161"/>
      <c r="R132" s="161"/>
      <c r="S132" s="159"/>
      <c r="T132" s="159"/>
      <c r="U132" s="159"/>
      <c r="V132" s="159"/>
      <c r="W132" s="159"/>
      <c r="X132" s="159"/>
      <c r="Y132" s="159"/>
      <c r="Z132" s="159"/>
    </row>
    <row r="133" ht="15.75" customHeight="1">
      <c r="A133" s="140"/>
      <c r="B133" s="114"/>
      <c r="C133" s="165"/>
      <c r="D133" s="161"/>
      <c r="E133" s="161"/>
      <c r="F133" s="161"/>
      <c r="G133" s="161"/>
      <c r="H133" s="161"/>
      <c r="I133" s="161"/>
      <c r="J133" s="161"/>
      <c r="K133" s="161"/>
      <c r="L133" s="161"/>
      <c r="M133" s="161"/>
      <c r="N133" s="161"/>
      <c r="O133" s="161"/>
      <c r="P133" s="161"/>
      <c r="Q133" s="161"/>
      <c r="R133" s="161"/>
      <c r="S133" s="159"/>
      <c r="T133" s="159"/>
      <c r="U133" s="159"/>
      <c r="V133" s="159"/>
      <c r="W133" s="159"/>
      <c r="X133" s="159"/>
      <c r="Y133" s="159"/>
      <c r="Z133" s="159"/>
    </row>
    <row r="134" ht="15.75" customHeight="1">
      <c r="A134" s="140"/>
      <c r="B134" s="114"/>
      <c r="C134" s="165"/>
      <c r="D134" s="161"/>
      <c r="E134" s="161"/>
      <c r="F134" s="161"/>
      <c r="G134" s="161"/>
      <c r="H134" s="161"/>
      <c r="I134" s="161"/>
      <c r="J134" s="161"/>
      <c r="K134" s="161"/>
      <c r="L134" s="161"/>
      <c r="M134" s="161"/>
      <c r="N134" s="161"/>
      <c r="O134" s="161"/>
      <c r="P134" s="161"/>
      <c r="Q134" s="161"/>
      <c r="R134" s="161"/>
      <c r="S134" s="159"/>
      <c r="T134" s="159"/>
      <c r="U134" s="159"/>
      <c r="V134" s="159"/>
      <c r="W134" s="159"/>
      <c r="X134" s="159"/>
      <c r="Y134" s="159"/>
      <c r="Z134" s="159"/>
    </row>
    <row r="135" ht="15.75" customHeight="1">
      <c r="A135" s="140"/>
      <c r="B135" s="114"/>
      <c r="C135" s="165"/>
      <c r="D135" s="161"/>
      <c r="E135" s="161"/>
      <c r="F135" s="161"/>
      <c r="G135" s="161"/>
      <c r="H135" s="161"/>
      <c r="I135" s="161"/>
      <c r="J135" s="161"/>
      <c r="K135" s="161"/>
      <c r="L135" s="161"/>
      <c r="M135" s="161"/>
      <c r="N135" s="161"/>
      <c r="O135" s="161"/>
      <c r="P135" s="161"/>
      <c r="Q135" s="161"/>
      <c r="R135" s="161"/>
      <c r="S135" s="159"/>
      <c r="T135" s="159"/>
      <c r="U135" s="159"/>
      <c r="V135" s="159"/>
      <c r="W135" s="159"/>
      <c r="X135" s="159"/>
      <c r="Y135" s="159"/>
      <c r="Z135" s="159"/>
    </row>
    <row r="136" ht="15.75" customHeight="1">
      <c r="A136" s="140"/>
      <c r="B136" s="114"/>
      <c r="C136" s="165"/>
      <c r="D136" s="161"/>
      <c r="E136" s="161"/>
      <c r="F136" s="161"/>
      <c r="G136" s="161"/>
      <c r="H136" s="161"/>
      <c r="I136" s="161"/>
      <c r="J136" s="161"/>
      <c r="K136" s="161"/>
      <c r="L136" s="161"/>
      <c r="M136" s="161"/>
      <c r="N136" s="161"/>
      <c r="O136" s="161"/>
      <c r="P136" s="161"/>
      <c r="Q136" s="161"/>
      <c r="R136" s="161"/>
      <c r="S136" s="159"/>
      <c r="T136" s="159"/>
      <c r="U136" s="159"/>
      <c r="V136" s="159"/>
      <c r="W136" s="159"/>
      <c r="X136" s="159"/>
      <c r="Y136" s="159"/>
      <c r="Z136" s="159"/>
    </row>
    <row r="137" ht="15.75" customHeight="1">
      <c r="A137" s="140"/>
      <c r="B137" s="114"/>
      <c r="C137" s="165"/>
      <c r="D137" s="161"/>
      <c r="E137" s="161"/>
      <c r="F137" s="161"/>
      <c r="G137" s="161"/>
      <c r="H137" s="161"/>
      <c r="I137" s="161"/>
      <c r="J137" s="161"/>
      <c r="K137" s="161"/>
      <c r="L137" s="161"/>
      <c r="M137" s="161"/>
      <c r="N137" s="161"/>
      <c r="O137" s="161"/>
      <c r="P137" s="161"/>
      <c r="Q137" s="161"/>
      <c r="R137" s="161"/>
      <c r="S137" s="159"/>
      <c r="T137" s="159"/>
      <c r="U137" s="159"/>
      <c r="V137" s="159"/>
      <c r="W137" s="159"/>
      <c r="X137" s="159"/>
      <c r="Y137" s="159"/>
      <c r="Z137" s="159"/>
    </row>
    <row r="138" ht="15.75" customHeight="1">
      <c r="A138" s="140"/>
      <c r="B138" s="114"/>
      <c r="C138" s="165"/>
      <c r="D138" s="161"/>
      <c r="E138" s="161"/>
      <c r="F138" s="161"/>
      <c r="G138" s="161"/>
      <c r="H138" s="161"/>
      <c r="I138" s="161"/>
      <c r="J138" s="161"/>
      <c r="K138" s="161"/>
      <c r="L138" s="161"/>
      <c r="M138" s="161"/>
      <c r="N138" s="161"/>
      <c r="O138" s="161"/>
      <c r="P138" s="161"/>
      <c r="Q138" s="161"/>
      <c r="R138" s="161"/>
      <c r="S138" s="159"/>
      <c r="T138" s="159"/>
      <c r="U138" s="159"/>
      <c r="V138" s="159"/>
      <c r="W138" s="159"/>
      <c r="X138" s="159"/>
      <c r="Y138" s="159"/>
      <c r="Z138" s="159"/>
    </row>
    <row r="139" ht="15.75" customHeight="1">
      <c r="A139" s="140"/>
      <c r="B139" s="114"/>
      <c r="C139" s="165"/>
      <c r="D139" s="161"/>
      <c r="E139" s="161"/>
      <c r="F139" s="161"/>
      <c r="G139" s="161"/>
      <c r="H139" s="161"/>
      <c r="I139" s="161"/>
      <c r="J139" s="161"/>
      <c r="K139" s="161"/>
      <c r="L139" s="161"/>
      <c r="M139" s="161"/>
      <c r="N139" s="161"/>
      <c r="O139" s="161"/>
      <c r="P139" s="161"/>
      <c r="Q139" s="161"/>
      <c r="R139" s="161"/>
      <c r="S139" s="159"/>
      <c r="T139" s="159"/>
      <c r="U139" s="159"/>
      <c r="V139" s="159"/>
      <c r="W139" s="159"/>
      <c r="X139" s="159"/>
      <c r="Y139" s="159"/>
      <c r="Z139" s="159"/>
    </row>
    <row r="140" ht="15.75" customHeight="1">
      <c r="A140" s="140"/>
      <c r="B140" s="114"/>
      <c r="C140" s="165"/>
      <c r="D140" s="161"/>
      <c r="E140" s="161"/>
      <c r="F140" s="161"/>
      <c r="G140" s="161"/>
      <c r="H140" s="161"/>
      <c r="I140" s="161"/>
      <c r="J140" s="161"/>
      <c r="K140" s="161"/>
      <c r="L140" s="161"/>
      <c r="M140" s="161"/>
      <c r="N140" s="161"/>
      <c r="O140" s="161"/>
      <c r="P140" s="161"/>
      <c r="Q140" s="161"/>
      <c r="R140" s="161"/>
      <c r="S140" s="159"/>
      <c r="T140" s="159"/>
      <c r="U140" s="159"/>
      <c r="V140" s="159"/>
      <c r="W140" s="159"/>
      <c r="X140" s="159"/>
      <c r="Y140" s="159"/>
      <c r="Z140" s="159"/>
    </row>
    <row r="141" ht="15.75" customHeight="1">
      <c r="A141" s="140"/>
      <c r="B141" s="114"/>
      <c r="C141" s="165"/>
      <c r="D141" s="161"/>
      <c r="E141" s="161"/>
      <c r="F141" s="161"/>
      <c r="G141" s="161"/>
      <c r="H141" s="161"/>
      <c r="I141" s="161"/>
      <c r="J141" s="161"/>
      <c r="K141" s="161"/>
      <c r="L141" s="161"/>
      <c r="M141" s="161"/>
      <c r="N141" s="161"/>
      <c r="O141" s="161"/>
      <c r="P141" s="161"/>
      <c r="Q141" s="161"/>
      <c r="R141" s="161"/>
      <c r="S141" s="159"/>
      <c r="T141" s="159"/>
      <c r="U141" s="159"/>
      <c r="V141" s="159"/>
      <c r="W141" s="159"/>
      <c r="X141" s="159"/>
      <c r="Y141" s="159"/>
      <c r="Z141" s="159"/>
    </row>
    <row r="142" ht="15.75" customHeight="1">
      <c r="A142" s="140"/>
      <c r="B142" s="114"/>
      <c r="C142" s="165"/>
      <c r="D142" s="161"/>
      <c r="E142" s="161"/>
      <c r="F142" s="161"/>
      <c r="G142" s="161"/>
      <c r="H142" s="161"/>
      <c r="I142" s="161"/>
      <c r="J142" s="161"/>
      <c r="K142" s="161"/>
      <c r="L142" s="161"/>
      <c r="M142" s="161"/>
      <c r="N142" s="161"/>
      <c r="O142" s="161"/>
      <c r="P142" s="161"/>
      <c r="Q142" s="161"/>
      <c r="R142" s="161"/>
      <c r="S142" s="159"/>
      <c r="T142" s="159"/>
      <c r="U142" s="159"/>
      <c r="V142" s="159"/>
      <c r="W142" s="159"/>
      <c r="X142" s="159"/>
      <c r="Y142" s="159"/>
      <c r="Z142" s="159"/>
    </row>
    <row r="143" ht="15.75" customHeight="1">
      <c r="A143" s="140"/>
      <c r="B143" s="114"/>
      <c r="C143" s="165"/>
      <c r="D143" s="161"/>
      <c r="E143" s="161"/>
      <c r="F143" s="161"/>
      <c r="G143" s="161"/>
      <c r="H143" s="161"/>
      <c r="I143" s="161"/>
      <c r="J143" s="161"/>
      <c r="K143" s="161"/>
      <c r="L143" s="161"/>
      <c r="M143" s="161"/>
      <c r="N143" s="161"/>
      <c r="O143" s="161"/>
      <c r="P143" s="161"/>
      <c r="Q143" s="161"/>
      <c r="R143" s="161"/>
      <c r="S143" s="159"/>
      <c r="T143" s="159"/>
      <c r="U143" s="159"/>
      <c r="V143" s="159"/>
      <c r="W143" s="159"/>
      <c r="X143" s="159"/>
      <c r="Y143" s="159"/>
      <c r="Z143" s="159"/>
    </row>
    <row r="144" ht="15.75" customHeight="1">
      <c r="A144" s="140"/>
      <c r="B144" s="114"/>
      <c r="C144" s="165"/>
      <c r="D144" s="161"/>
      <c r="E144" s="161"/>
      <c r="F144" s="161"/>
      <c r="G144" s="161"/>
      <c r="H144" s="161"/>
      <c r="I144" s="161"/>
      <c r="J144" s="161"/>
      <c r="K144" s="161"/>
      <c r="L144" s="161"/>
      <c r="M144" s="161"/>
      <c r="N144" s="161"/>
      <c r="O144" s="161"/>
      <c r="P144" s="161"/>
      <c r="Q144" s="161"/>
      <c r="R144" s="161"/>
      <c r="S144" s="159"/>
      <c r="T144" s="159"/>
      <c r="U144" s="159"/>
      <c r="V144" s="159"/>
      <c r="W144" s="159"/>
      <c r="X144" s="159"/>
      <c r="Y144" s="159"/>
      <c r="Z144" s="159"/>
    </row>
    <row r="145" ht="15.75" customHeight="1">
      <c r="A145" s="140"/>
      <c r="B145" s="114"/>
      <c r="C145" s="165"/>
      <c r="D145" s="161"/>
      <c r="E145" s="161"/>
      <c r="F145" s="161"/>
      <c r="G145" s="161"/>
      <c r="H145" s="161"/>
      <c r="I145" s="161"/>
      <c r="J145" s="161"/>
      <c r="K145" s="161"/>
      <c r="L145" s="161"/>
      <c r="M145" s="161"/>
      <c r="N145" s="161"/>
      <c r="O145" s="161"/>
      <c r="P145" s="161"/>
      <c r="Q145" s="161"/>
      <c r="R145" s="161"/>
      <c r="S145" s="159"/>
      <c r="T145" s="159"/>
      <c r="U145" s="159"/>
      <c r="V145" s="159"/>
      <c r="W145" s="159"/>
      <c r="X145" s="159"/>
      <c r="Y145" s="159"/>
      <c r="Z145" s="159"/>
    </row>
    <row r="146" ht="15.75" customHeight="1">
      <c r="A146" s="140"/>
      <c r="B146" s="114"/>
      <c r="C146" s="165"/>
      <c r="D146" s="161"/>
      <c r="E146" s="161"/>
      <c r="F146" s="161"/>
      <c r="G146" s="161"/>
      <c r="H146" s="161"/>
      <c r="I146" s="161"/>
      <c r="J146" s="161"/>
      <c r="K146" s="161"/>
      <c r="L146" s="161"/>
      <c r="M146" s="161"/>
      <c r="N146" s="161"/>
      <c r="O146" s="161"/>
      <c r="P146" s="161"/>
      <c r="Q146" s="161"/>
      <c r="R146" s="161"/>
      <c r="S146" s="159"/>
      <c r="T146" s="159"/>
      <c r="U146" s="159"/>
      <c r="V146" s="159"/>
      <c r="W146" s="159"/>
      <c r="X146" s="159"/>
      <c r="Y146" s="159"/>
      <c r="Z146" s="159"/>
    </row>
    <row r="147" ht="15.75" customHeight="1">
      <c r="A147" s="140"/>
      <c r="B147" s="114"/>
      <c r="C147" s="165"/>
      <c r="D147" s="161"/>
      <c r="E147" s="161"/>
      <c r="F147" s="161"/>
      <c r="G147" s="161"/>
      <c r="H147" s="161"/>
      <c r="I147" s="161"/>
      <c r="J147" s="161"/>
      <c r="K147" s="161"/>
      <c r="L147" s="161"/>
      <c r="M147" s="161"/>
      <c r="N147" s="161"/>
      <c r="O147" s="161"/>
      <c r="P147" s="161"/>
      <c r="Q147" s="161"/>
      <c r="R147" s="161"/>
      <c r="S147" s="159"/>
      <c r="T147" s="159"/>
      <c r="U147" s="159"/>
      <c r="V147" s="159"/>
      <c r="W147" s="159"/>
      <c r="X147" s="159"/>
      <c r="Y147" s="159"/>
      <c r="Z147" s="159"/>
    </row>
    <row r="148" ht="15.75" customHeight="1">
      <c r="A148" s="140"/>
      <c r="B148" s="114"/>
      <c r="C148" s="165"/>
      <c r="D148" s="161"/>
      <c r="E148" s="161"/>
      <c r="F148" s="161"/>
      <c r="G148" s="161"/>
      <c r="H148" s="161"/>
      <c r="I148" s="161"/>
      <c r="J148" s="161"/>
      <c r="K148" s="161"/>
      <c r="L148" s="161"/>
      <c r="M148" s="161"/>
      <c r="N148" s="161"/>
      <c r="O148" s="161"/>
      <c r="P148" s="161"/>
      <c r="Q148" s="161"/>
      <c r="R148" s="161"/>
      <c r="S148" s="159"/>
      <c r="T148" s="159"/>
      <c r="U148" s="159"/>
      <c r="V148" s="159"/>
      <c r="W148" s="159"/>
      <c r="X148" s="159"/>
      <c r="Y148" s="159"/>
      <c r="Z148" s="159"/>
    </row>
    <row r="149" ht="15.75" customHeight="1">
      <c r="A149" s="140"/>
      <c r="B149" s="114"/>
      <c r="C149" s="165"/>
      <c r="D149" s="161"/>
      <c r="E149" s="161"/>
      <c r="F149" s="161"/>
      <c r="G149" s="161"/>
      <c r="H149" s="161"/>
      <c r="I149" s="161"/>
      <c r="J149" s="161"/>
      <c r="K149" s="161"/>
      <c r="L149" s="161"/>
      <c r="M149" s="161"/>
      <c r="N149" s="161"/>
      <c r="O149" s="161"/>
      <c r="P149" s="161"/>
      <c r="Q149" s="161"/>
      <c r="R149" s="161"/>
      <c r="S149" s="159"/>
      <c r="T149" s="159"/>
      <c r="U149" s="159"/>
      <c r="V149" s="159"/>
      <c r="W149" s="159"/>
      <c r="X149" s="159"/>
      <c r="Y149" s="159"/>
      <c r="Z149" s="159"/>
    </row>
    <row r="150" ht="15.75" customHeight="1">
      <c r="A150" s="140"/>
      <c r="B150" s="114"/>
      <c r="C150" s="165"/>
      <c r="D150" s="161"/>
      <c r="E150" s="161"/>
      <c r="F150" s="161"/>
      <c r="G150" s="161"/>
      <c r="H150" s="161"/>
      <c r="I150" s="161"/>
      <c r="J150" s="161"/>
      <c r="K150" s="161"/>
      <c r="L150" s="161"/>
      <c r="M150" s="161"/>
      <c r="N150" s="161"/>
      <c r="O150" s="161"/>
      <c r="P150" s="161"/>
      <c r="Q150" s="161"/>
      <c r="R150" s="161"/>
      <c r="S150" s="159"/>
      <c r="T150" s="159"/>
      <c r="U150" s="159"/>
      <c r="V150" s="159"/>
      <c r="W150" s="159"/>
      <c r="X150" s="159"/>
      <c r="Y150" s="159"/>
      <c r="Z150" s="159"/>
    </row>
    <row r="151" ht="15.75" customHeight="1">
      <c r="A151" s="140"/>
      <c r="B151" s="114"/>
      <c r="C151" s="165"/>
      <c r="D151" s="161"/>
      <c r="E151" s="161"/>
      <c r="F151" s="161"/>
      <c r="G151" s="161"/>
      <c r="H151" s="161"/>
      <c r="I151" s="161"/>
      <c r="J151" s="161"/>
      <c r="K151" s="161"/>
      <c r="L151" s="161"/>
      <c r="M151" s="161"/>
      <c r="N151" s="161"/>
      <c r="O151" s="161"/>
      <c r="P151" s="161"/>
      <c r="Q151" s="161"/>
      <c r="R151" s="161"/>
      <c r="S151" s="159"/>
      <c r="T151" s="159"/>
      <c r="U151" s="159"/>
      <c r="V151" s="159"/>
      <c r="W151" s="159"/>
      <c r="X151" s="159"/>
      <c r="Y151" s="159"/>
      <c r="Z151" s="159"/>
    </row>
    <row r="152" ht="15.75" customHeight="1">
      <c r="A152" s="140"/>
      <c r="B152" s="114"/>
      <c r="C152" s="165"/>
      <c r="D152" s="161"/>
      <c r="E152" s="161"/>
      <c r="F152" s="161"/>
      <c r="G152" s="161"/>
      <c r="H152" s="161"/>
      <c r="I152" s="161"/>
      <c r="J152" s="161"/>
      <c r="K152" s="161"/>
      <c r="L152" s="161"/>
      <c r="M152" s="161"/>
      <c r="N152" s="161"/>
      <c r="O152" s="161"/>
      <c r="P152" s="161"/>
      <c r="Q152" s="161"/>
      <c r="R152" s="161"/>
      <c r="S152" s="159"/>
      <c r="T152" s="159"/>
      <c r="U152" s="159"/>
      <c r="V152" s="159"/>
      <c r="W152" s="159"/>
      <c r="X152" s="159"/>
      <c r="Y152" s="159"/>
      <c r="Z152" s="159"/>
    </row>
    <row r="153" ht="15.75" customHeight="1">
      <c r="A153" s="140"/>
      <c r="B153" s="114"/>
      <c r="C153" s="165"/>
      <c r="D153" s="161"/>
      <c r="E153" s="161"/>
      <c r="F153" s="161"/>
      <c r="G153" s="161"/>
      <c r="H153" s="161"/>
      <c r="I153" s="161"/>
      <c r="J153" s="161"/>
      <c r="K153" s="161"/>
      <c r="L153" s="161"/>
      <c r="M153" s="161"/>
      <c r="N153" s="161"/>
      <c r="O153" s="161"/>
      <c r="P153" s="161"/>
      <c r="Q153" s="161"/>
      <c r="R153" s="161"/>
      <c r="S153" s="159"/>
      <c r="T153" s="159"/>
      <c r="U153" s="159"/>
      <c r="V153" s="159"/>
      <c r="W153" s="159"/>
      <c r="X153" s="159"/>
      <c r="Y153" s="159"/>
      <c r="Z153" s="159"/>
    </row>
    <row r="154" ht="15.75" customHeight="1">
      <c r="A154" s="140"/>
      <c r="B154" s="114"/>
      <c r="C154" s="165"/>
      <c r="D154" s="161"/>
      <c r="E154" s="161"/>
      <c r="F154" s="161"/>
      <c r="G154" s="161"/>
      <c r="H154" s="161"/>
      <c r="I154" s="161"/>
      <c r="J154" s="161"/>
      <c r="K154" s="161"/>
      <c r="L154" s="161"/>
      <c r="M154" s="161"/>
      <c r="N154" s="161"/>
      <c r="O154" s="161"/>
      <c r="P154" s="161"/>
      <c r="Q154" s="161"/>
      <c r="R154" s="161"/>
      <c r="S154" s="159"/>
      <c r="T154" s="159"/>
      <c r="U154" s="159"/>
      <c r="V154" s="159"/>
      <c r="W154" s="159"/>
      <c r="X154" s="159"/>
      <c r="Y154" s="159"/>
      <c r="Z154" s="159"/>
    </row>
    <row r="155" ht="15.75" customHeight="1">
      <c r="A155" s="140"/>
      <c r="B155" s="114"/>
      <c r="C155" s="165"/>
      <c r="D155" s="161"/>
      <c r="E155" s="161"/>
      <c r="F155" s="161"/>
      <c r="G155" s="161"/>
      <c r="H155" s="161"/>
      <c r="I155" s="161"/>
      <c r="J155" s="161"/>
      <c r="K155" s="161"/>
      <c r="L155" s="161"/>
      <c r="M155" s="161"/>
      <c r="N155" s="161"/>
      <c r="O155" s="161"/>
      <c r="P155" s="161"/>
      <c r="Q155" s="161"/>
      <c r="R155" s="161"/>
      <c r="S155" s="159"/>
      <c r="T155" s="159"/>
      <c r="U155" s="159"/>
      <c r="V155" s="159"/>
      <c r="W155" s="159"/>
      <c r="X155" s="159"/>
      <c r="Y155" s="159"/>
      <c r="Z155" s="159"/>
    </row>
    <row r="156" ht="15.75" customHeight="1">
      <c r="A156" s="140"/>
      <c r="B156" s="114"/>
      <c r="C156" s="165"/>
      <c r="D156" s="161"/>
      <c r="E156" s="161"/>
      <c r="F156" s="161"/>
      <c r="G156" s="161"/>
      <c r="H156" s="161"/>
      <c r="I156" s="161"/>
      <c r="J156" s="161"/>
      <c r="K156" s="161"/>
      <c r="L156" s="161"/>
      <c r="M156" s="161"/>
      <c r="N156" s="161"/>
      <c r="O156" s="161"/>
      <c r="P156" s="161"/>
      <c r="Q156" s="161"/>
      <c r="R156" s="161"/>
      <c r="S156" s="159"/>
      <c r="T156" s="159"/>
      <c r="U156" s="159"/>
      <c r="V156" s="159"/>
      <c r="W156" s="159"/>
      <c r="X156" s="159"/>
      <c r="Y156" s="159"/>
      <c r="Z156" s="159"/>
    </row>
    <row r="157" ht="15.75" customHeight="1">
      <c r="A157" s="140"/>
      <c r="B157" s="114"/>
      <c r="C157" s="165"/>
      <c r="D157" s="161"/>
      <c r="E157" s="161"/>
      <c r="F157" s="161"/>
      <c r="G157" s="161"/>
      <c r="H157" s="161"/>
      <c r="I157" s="161"/>
      <c r="J157" s="161"/>
      <c r="K157" s="161"/>
      <c r="L157" s="161"/>
      <c r="M157" s="161"/>
      <c r="N157" s="161"/>
      <c r="O157" s="161"/>
      <c r="P157" s="161"/>
      <c r="Q157" s="161"/>
      <c r="R157" s="161"/>
      <c r="S157" s="159"/>
      <c r="T157" s="159"/>
      <c r="U157" s="159"/>
      <c r="V157" s="159"/>
      <c r="W157" s="159"/>
      <c r="X157" s="159"/>
      <c r="Y157" s="159"/>
      <c r="Z157" s="159"/>
    </row>
    <row r="158" ht="15.75" customHeight="1">
      <c r="A158" s="140"/>
      <c r="B158" s="114"/>
      <c r="C158" s="165"/>
      <c r="D158" s="161"/>
      <c r="E158" s="161"/>
      <c r="F158" s="161"/>
      <c r="G158" s="161"/>
      <c r="H158" s="161"/>
      <c r="I158" s="161"/>
      <c r="J158" s="161"/>
      <c r="K158" s="161"/>
      <c r="L158" s="161"/>
      <c r="M158" s="161"/>
      <c r="N158" s="161"/>
      <c r="O158" s="161"/>
      <c r="P158" s="161"/>
      <c r="Q158" s="161"/>
      <c r="R158" s="161"/>
      <c r="S158" s="159"/>
      <c r="T158" s="159"/>
      <c r="U158" s="159"/>
      <c r="V158" s="159"/>
      <c r="W158" s="159"/>
      <c r="X158" s="159"/>
      <c r="Y158" s="159"/>
      <c r="Z158" s="159"/>
    </row>
    <row r="159" ht="15.75" customHeight="1">
      <c r="A159" s="140"/>
      <c r="B159" s="114"/>
      <c r="C159" s="165"/>
      <c r="D159" s="161"/>
      <c r="E159" s="161"/>
      <c r="F159" s="161"/>
      <c r="G159" s="161"/>
      <c r="H159" s="161"/>
      <c r="I159" s="161"/>
      <c r="J159" s="161"/>
      <c r="K159" s="161"/>
      <c r="L159" s="161"/>
      <c r="M159" s="161"/>
      <c r="N159" s="161"/>
      <c r="O159" s="161"/>
      <c r="P159" s="161"/>
      <c r="Q159" s="161"/>
      <c r="R159" s="161"/>
      <c r="S159" s="159"/>
      <c r="T159" s="159"/>
      <c r="U159" s="159"/>
      <c r="V159" s="159"/>
      <c r="W159" s="159"/>
      <c r="X159" s="159"/>
      <c r="Y159" s="159"/>
      <c r="Z159" s="159"/>
    </row>
    <row r="160" ht="15.75" customHeight="1">
      <c r="A160" s="140"/>
      <c r="B160" s="114"/>
      <c r="C160" s="165"/>
      <c r="D160" s="161"/>
      <c r="E160" s="161"/>
      <c r="F160" s="161"/>
      <c r="G160" s="161"/>
      <c r="H160" s="161"/>
      <c r="I160" s="161"/>
      <c r="J160" s="161"/>
      <c r="K160" s="161"/>
      <c r="L160" s="161"/>
      <c r="M160" s="161"/>
      <c r="N160" s="161"/>
      <c r="O160" s="161"/>
      <c r="P160" s="161"/>
      <c r="Q160" s="161"/>
      <c r="R160" s="161"/>
      <c r="S160" s="159"/>
      <c r="T160" s="159"/>
      <c r="U160" s="159"/>
      <c r="V160" s="159"/>
      <c r="W160" s="159"/>
      <c r="X160" s="159"/>
      <c r="Y160" s="159"/>
      <c r="Z160" s="159"/>
    </row>
    <row r="161" ht="15.75" customHeight="1">
      <c r="A161" s="140"/>
      <c r="B161" s="114"/>
      <c r="C161" s="165"/>
      <c r="D161" s="161"/>
      <c r="E161" s="161"/>
      <c r="F161" s="161"/>
      <c r="G161" s="161"/>
      <c r="H161" s="161"/>
      <c r="I161" s="161"/>
      <c r="J161" s="161"/>
      <c r="K161" s="161"/>
      <c r="L161" s="161"/>
      <c r="M161" s="161"/>
      <c r="N161" s="161"/>
      <c r="O161" s="161"/>
      <c r="P161" s="161"/>
      <c r="Q161" s="161"/>
      <c r="R161" s="161"/>
      <c r="S161" s="159"/>
      <c r="T161" s="159"/>
      <c r="U161" s="159"/>
      <c r="V161" s="159"/>
      <c r="W161" s="159"/>
      <c r="X161" s="159"/>
      <c r="Y161" s="159"/>
      <c r="Z161" s="159"/>
    </row>
    <row r="162" ht="15.75" customHeight="1">
      <c r="A162" s="140"/>
      <c r="B162" s="114"/>
      <c r="C162" s="165"/>
      <c r="D162" s="161"/>
      <c r="E162" s="161"/>
      <c r="F162" s="161"/>
      <c r="G162" s="161"/>
      <c r="H162" s="161"/>
      <c r="I162" s="161"/>
      <c r="J162" s="161"/>
      <c r="K162" s="161"/>
      <c r="L162" s="161"/>
      <c r="M162" s="161"/>
      <c r="N162" s="161"/>
      <c r="O162" s="161"/>
      <c r="P162" s="161"/>
      <c r="Q162" s="161"/>
      <c r="R162" s="161"/>
      <c r="S162" s="159"/>
      <c r="T162" s="159"/>
      <c r="U162" s="159"/>
      <c r="V162" s="159"/>
      <c r="W162" s="159"/>
      <c r="X162" s="159"/>
      <c r="Y162" s="159"/>
      <c r="Z162" s="159"/>
    </row>
    <row r="163" ht="15.75" customHeight="1">
      <c r="A163" s="140"/>
      <c r="B163" s="114"/>
      <c r="C163" s="165"/>
      <c r="D163" s="161"/>
      <c r="E163" s="161"/>
      <c r="F163" s="161"/>
      <c r="G163" s="161"/>
      <c r="H163" s="161"/>
      <c r="I163" s="161"/>
      <c r="J163" s="161"/>
      <c r="K163" s="161"/>
      <c r="L163" s="161"/>
      <c r="M163" s="161"/>
      <c r="N163" s="161"/>
      <c r="O163" s="161"/>
      <c r="P163" s="161"/>
      <c r="Q163" s="161"/>
      <c r="R163" s="161"/>
      <c r="S163" s="159"/>
      <c r="T163" s="159"/>
      <c r="U163" s="159"/>
      <c r="V163" s="159"/>
      <c r="W163" s="159"/>
      <c r="X163" s="159"/>
      <c r="Y163" s="159"/>
      <c r="Z163" s="159"/>
    </row>
    <row r="164" ht="15.75" customHeight="1">
      <c r="A164" s="140"/>
      <c r="B164" s="114"/>
      <c r="C164" s="165"/>
      <c r="D164" s="161"/>
      <c r="E164" s="161"/>
      <c r="F164" s="161"/>
      <c r="G164" s="161"/>
      <c r="H164" s="161"/>
      <c r="I164" s="161"/>
      <c r="J164" s="161"/>
      <c r="K164" s="161"/>
      <c r="L164" s="161"/>
      <c r="M164" s="161"/>
      <c r="N164" s="161"/>
      <c r="O164" s="161"/>
      <c r="P164" s="161"/>
      <c r="Q164" s="161"/>
      <c r="R164" s="161"/>
      <c r="S164" s="159"/>
      <c r="T164" s="159"/>
      <c r="U164" s="159"/>
      <c r="V164" s="159"/>
      <c r="W164" s="159"/>
      <c r="X164" s="159"/>
      <c r="Y164" s="159"/>
      <c r="Z164" s="159"/>
    </row>
    <row r="165" ht="15.75" customHeight="1">
      <c r="A165" s="140"/>
      <c r="B165" s="114"/>
      <c r="C165" s="165"/>
      <c r="D165" s="161"/>
      <c r="E165" s="161"/>
      <c r="F165" s="161"/>
      <c r="G165" s="161"/>
      <c r="H165" s="161"/>
      <c r="I165" s="161"/>
      <c r="J165" s="161"/>
      <c r="K165" s="161"/>
      <c r="L165" s="161"/>
      <c r="M165" s="161"/>
      <c r="N165" s="161"/>
      <c r="O165" s="161"/>
      <c r="P165" s="161"/>
      <c r="Q165" s="161"/>
      <c r="R165" s="161"/>
      <c r="S165" s="159"/>
      <c r="T165" s="159"/>
      <c r="U165" s="159"/>
      <c r="V165" s="159"/>
      <c r="W165" s="159"/>
      <c r="X165" s="159"/>
      <c r="Y165" s="159"/>
      <c r="Z165" s="159"/>
    </row>
    <row r="166" ht="15.75" customHeight="1">
      <c r="A166" s="140"/>
      <c r="B166" s="114"/>
      <c r="C166" s="165"/>
      <c r="D166" s="161"/>
      <c r="E166" s="161"/>
      <c r="F166" s="161"/>
      <c r="G166" s="161"/>
      <c r="H166" s="161"/>
      <c r="I166" s="161"/>
      <c r="J166" s="161"/>
      <c r="K166" s="161"/>
      <c r="L166" s="161"/>
      <c r="M166" s="161"/>
      <c r="N166" s="161"/>
      <c r="O166" s="161"/>
      <c r="P166" s="161"/>
      <c r="Q166" s="161"/>
      <c r="R166" s="161"/>
      <c r="S166" s="159"/>
      <c r="T166" s="159"/>
      <c r="U166" s="159"/>
      <c r="V166" s="159"/>
      <c r="W166" s="159"/>
      <c r="X166" s="159"/>
      <c r="Y166" s="159"/>
      <c r="Z166" s="159"/>
    </row>
    <row r="167" ht="15.75" customHeight="1">
      <c r="A167" s="140"/>
      <c r="B167" s="114"/>
      <c r="C167" s="165"/>
      <c r="D167" s="161"/>
      <c r="E167" s="161"/>
      <c r="F167" s="161"/>
      <c r="G167" s="161"/>
      <c r="H167" s="161"/>
      <c r="I167" s="161"/>
      <c r="J167" s="161"/>
      <c r="K167" s="161"/>
      <c r="L167" s="161"/>
      <c r="M167" s="161"/>
      <c r="N167" s="161"/>
      <c r="O167" s="161"/>
      <c r="P167" s="161"/>
      <c r="Q167" s="161"/>
      <c r="R167" s="161"/>
      <c r="S167" s="159"/>
      <c r="T167" s="159"/>
      <c r="U167" s="159"/>
      <c r="V167" s="159"/>
      <c r="W167" s="159"/>
      <c r="X167" s="159"/>
      <c r="Y167" s="159"/>
      <c r="Z167" s="159"/>
    </row>
    <row r="168" ht="15.75" customHeight="1">
      <c r="A168" s="140"/>
      <c r="B168" s="114"/>
      <c r="C168" s="165"/>
      <c r="D168" s="161"/>
      <c r="E168" s="161"/>
      <c r="F168" s="161"/>
      <c r="G168" s="161"/>
      <c r="H168" s="161"/>
      <c r="I168" s="161"/>
      <c r="J168" s="161"/>
      <c r="K168" s="161"/>
      <c r="L168" s="161"/>
      <c r="M168" s="161"/>
      <c r="N168" s="161"/>
      <c r="O168" s="161"/>
      <c r="P168" s="161"/>
      <c r="Q168" s="161"/>
      <c r="R168" s="161"/>
      <c r="S168" s="159"/>
      <c r="T168" s="159"/>
      <c r="U168" s="159"/>
      <c r="V168" s="159"/>
      <c r="W168" s="159"/>
      <c r="X168" s="159"/>
      <c r="Y168" s="159"/>
      <c r="Z168" s="159"/>
    </row>
    <row r="169" ht="15.75" customHeight="1">
      <c r="A169" s="140"/>
      <c r="B169" s="114"/>
      <c r="C169" s="165"/>
      <c r="D169" s="161"/>
      <c r="E169" s="161"/>
      <c r="F169" s="161"/>
      <c r="G169" s="161"/>
      <c r="H169" s="161"/>
      <c r="I169" s="161"/>
      <c r="J169" s="161"/>
      <c r="K169" s="161"/>
      <c r="L169" s="161"/>
      <c r="M169" s="161"/>
      <c r="N169" s="161"/>
      <c r="O169" s="161"/>
      <c r="P169" s="161"/>
      <c r="Q169" s="161"/>
      <c r="R169" s="161"/>
      <c r="S169" s="159"/>
      <c r="T169" s="159"/>
      <c r="U169" s="159"/>
      <c r="V169" s="159"/>
      <c r="W169" s="159"/>
      <c r="X169" s="159"/>
      <c r="Y169" s="159"/>
      <c r="Z169" s="159"/>
    </row>
    <row r="170" ht="15.75" customHeight="1">
      <c r="A170" s="140"/>
      <c r="B170" s="114"/>
      <c r="C170" s="165"/>
      <c r="D170" s="161"/>
      <c r="E170" s="161"/>
      <c r="F170" s="161"/>
      <c r="G170" s="161"/>
      <c r="H170" s="161"/>
      <c r="I170" s="161"/>
      <c r="J170" s="161"/>
      <c r="K170" s="161"/>
      <c r="L170" s="161"/>
      <c r="M170" s="161"/>
      <c r="N170" s="161"/>
      <c r="O170" s="161"/>
      <c r="P170" s="161"/>
      <c r="Q170" s="161"/>
      <c r="R170" s="161"/>
      <c r="S170" s="159"/>
      <c r="T170" s="159"/>
      <c r="U170" s="159"/>
      <c r="V170" s="159"/>
      <c r="W170" s="159"/>
      <c r="X170" s="159"/>
      <c r="Y170" s="159"/>
      <c r="Z170" s="159"/>
    </row>
    <row r="171" ht="15.75" customHeight="1">
      <c r="A171" s="140"/>
      <c r="B171" s="114"/>
      <c r="C171" s="165"/>
      <c r="D171" s="161"/>
      <c r="E171" s="161"/>
      <c r="F171" s="161"/>
      <c r="G171" s="161"/>
      <c r="H171" s="161"/>
      <c r="I171" s="161"/>
      <c r="J171" s="161"/>
      <c r="K171" s="161"/>
      <c r="L171" s="161"/>
      <c r="M171" s="161"/>
      <c r="N171" s="161"/>
      <c r="O171" s="161"/>
      <c r="P171" s="161"/>
      <c r="Q171" s="161"/>
      <c r="R171" s="161"/>
      <c r="S171" s="159"/>
      <c r="T171" s="159"/>
      <c r="U171" s="159"/>
      <c r="V171" s="159"/>
      <c r="W171" s="159"/>
      <c r="X171" s="159"/>
      <c r="Y171" s="159"/>
      <c r="Z171" s="159"/>
    </row>
    <row r="172" ht="15.75" customHeight="1">
      <c r="A172" s="140"/>
      <c r="B172" s="114"/>
      <c r="C172" s="165"/>
      <c r="D172" s="161"/>
      <c r="E172" s="161"/>
      <c r="F172" s="161"/>
      <c r="G172" s="161"/>
      <c r="H172" s="161"/>
      <c r="I172" s="161"/>
      <c r="J172" s="161"/>
      <c r="K172" s="161"/>
      <c r="L172" s="161"/>
      <c r="M172" s="161"/>
      <c r="N172" s="161"/>
      <c r="O172" s="161"/>
      <c r="P172" s="161"/>
      <c r="Q172" s="161"/>
      <c r="R172" s="161"/>
      <c r="S172" s="159"/>
      <c r="T172" s="159"/>
      <c r="U172" s="159"/>
      <c r="V172" s="159"/>
      <c r="W172" s="159"/>
      <c r="X172" s="159"/>
      <c r="Y172" s="159"/>
      <c r="Z172" s="159"/>
    </row>
    <row r="173" ht="15.75" customHeight="1">
      <c r="A173" s="140"/>
      <c r="B173" s="114"/>
      <c r="C173" s="165"/>
      <c r="D173" s="161"/>
      <c r="E173" s="161"/>
      <c r="F173" s="161"/>
      <c r="G173" s="161"/>
      <c r="H173" s="161"/>
      <c r="I173" s="161"/>
      <c r="J173" s="161"/>
      <c r="K173" s="161"/>
      <c r="L173" s="161"/>
      <c r="M173" s="161"/>
      <c r="N173" s="161"/>
      <c r="O173" s="161"/>
      <c r="P173" s="161"/>
      <c r="Q173" s="161"/>
      <c r="R173" s="161"/>
      <c r="S173" s="159"/>
      <c r="T173" s="159"/>
      <c r="U173" s="159"/>
      <c r="V173" s="159"/>
      <c r="W173" s="159"/>
      <c r="X173" s="159"/>
      <c r="Y173" s="159"/>
      <c r="Z173" s="159"/>
    </row>
    <row r="174" ht="15.75" customHeight="1">
      <c r="A174" s="140"/>
      <c r="B174" s="114"/>
      <c r="C174" s="165"/>
      <c r="D174" s="161"/>
      <c r="E174" s="161"/>
      <c r="F174" s="161"/>
      <c r="G174" s="161"/>
      <c r="H174" s="161"/>
      <c r="I174" s="161"/>
      <c r="J174" s="161"/>
      <c r="K174" s="161"/>
      <c r="L174" s="161"/>
      <c r="M174" s="161"/>
      <c r="N174" s="161"/>
      <c r="O174" s="161"/>
      <c r="P174" s="161"/>
      <c r="Q174" s="161"/>
      <c r="R174" s="161"/>
      <c r="S174" s="159"/>
      <c r="T174" s="159"/>
      <c r="U174" s="159"/>
      <c r="V174" s="159"/>
      <c r="W174" s="159"/>
      <c r="X174" s="159"/>
      <c r="Y174" s="159"/>
      <c r="Z174" s="159"/>
    </row>
    <row r="175" ht="15.75" customHeight="1">
      <c r="A175" s="140"/>
      <c r="B175" s="114"/>
      <c r="C175" s="165"/>
      <c r="D175" s="161"/>
      <c r="E175" s="161"/>
      <c r="F175" s="161"/>
      <c r="G175" s="161"/>
      <c r="H175" s="161"/>
      <c r="I175" s="161"/>
      <c r="J175" s="161"/>
      <c r="K175" s="161"/>
      <c r="L175" s="161"/>
      <c r="M175" s="161"/>
      <c r="N175" s="161"/>
      <c r="O175" s="161"/>
      <c r="P175" s="161"/>
      <c r="Q175" s="161"/>
      <c r="R175" s="161"/>
      <c r="S175" s="159"/>
      <c r="T175" s="159"/>
      <c r="U175" s="159"/>
      <c r="V175" s="159"/>
      <c r="W175" s="159"/>
      <c r="X175" s="159"/>
      <c r="Y175" s="159"/>
      <c r="Z175" s="159"/>
    </row>
    <row r="176" ht="15.75" customHeight="1">
      <c r="A176" s="140"/>
      <c r="B176" s="114"/>
      <c r="C176" s="165"/>
      <c r="D176" s="161"/>
      <c r="E176" s="161"/>
      <c r="F176" s="161"/>
      <c r="G176" s="161"/>
      <c r="H176" s="161"/>
      <c r="I176" s="161"/>
      <c r="J176" s="161"/>
      <c r="K176" s="161"/>
      <c r="L176" s="161"/>
      <c r="M176" s="161"/>
      <c r="N176" s="161"/>
      <c r="O176" s="161"/>
      <c r="P176" s="161"/>
      <c r="Q176" s="161"/>
      <c r="R176" s="161"/>
      <c r="S176" s="159"/>
      <c r="T176" s="159"/>
      <c r="U176" s="159"/>
      <c r="V176" s="159"/>
      <c r="W176" s="159"/>
      <c r="X176" s="159"/>
      <c r="Y176" s="159"/>
      <c r="Z176" s="159"/>
    </row>
    <row r="177" ht="15.75" customHeight="1">
      <c r="A177" s="140"/>
      <c r="B177" s="114"/>
      <c r="C177" s="165"/>
      <c r="D177" s="161"/>
      <c r="E177" s="161"/>
      <c r="F177" s="161"/>
      <c r="G177" s="161"/>
      <c r="H177" s="161"/>
      <c r="I177" s="161"/>
      <c r="J177" s="161"/>
      <c r="K177" s="161"/>
      <c r="L177" s="161"/>
      <c r="M177" s="161"/>
      <c r="N177" s="161"/>
      <c r="O177" s="161"/>
      <c r="P177" s="161"/>
      <c r="Q177" s="161"/>
      <c r="R177" s="161"/>
      <c r="S177" s="159"/>
      <c r="T177" s="159"/>
      <c r="U177" s="159"/>
      <c r="V177" s="159"/>
      <c r="W177" s="159"/>
      <c r="X177" s="159"/>
      <c r="Y177" s="159"/>
      <c r="Z177" s="159"/>
    </row>
    <row r="178" ht="15.75" customHeight="1">
      <c r="A178" s="140"/>
      <c r="B178" s="114"/>
      <c r="C178" s="165"/>
      <c r="D178" s="161"/>
      <c r="E178" s="161"/>
      <c r="F178" s="161"/>
      <c r="G178" s="161"/>
      <c r="H178" s="161"/>
      <c r="I178" s="161"/>
      <c r="J178" s="161"/>
      <c r="K178" s="161"/>
      <c r="L178" s="161"/>
      <c r="M178" s="161"/>
      <c r="N178" s="161"/>
      <c r="O178" s="161"/>
      <c r="P178" s="161"/>
      <c r="Q178" s="161"/>
      <c r="R178" s="161"/>
      <c r="S178" s="159"/>
      <c r="T178" s="159"/>
      <c r="U178" s="159"/>
      <c r="V178" s="159"/>
      <c r="W178" s="159"/>
      <c r="X178" s="159"/>
      <c r="Y178" s="159"/>
      <c r="Z178" s="159"/>
    </row>
    <row r="179" ht="15.75" customHeight="1">
      <c r="A179" s="140"/>
      <c r="B179" s="114"/>
      <c r="C179" s="165"/>
      <c r="D179" s="161"/>
      <c r="E179" s="161"/>
      <c r="F179" s="161"/>
      <c r="G179" s="161"/>
      <c r="H179" s="161"/>
      <c r="I179" s="161"/>
      <c r="J179" s="161"/>
      <c r="K179" s="161"/>
      <c r="L179" s="161"/>
      <c r="M179" s="161"/>
      <c r="N179" s="161"/>
      <c r="O179" s="161"/>
      <c r="P179" s="161"/>
      <c r="Q179" s="161"/>
      <c r="R179" s="161"/>
      <c r="S179" s="159"/>
      <c r="T179" s="159"/>
      <c r="U179" s="159"/>
      <c r="V179" s="159"/>
      <c r="W179" s="159"/>
      <c r="X179" s="159"/>
      <c r="Y179" s="159"/>
      <c r="Z179" s="159"/>
    </row>
    <row r="180" ht="15.75" customHeight="1">
      <c r="A180" s="140"/>
      <c r="B180" s="114"/>
      <c r="C180" s="165"/>
      <c r="D180" s="161"/>
      <c r="E180" s="161"/>
      <c r="F180" s="161"/>
      <c r="G180" s="161"/>
      <c r="H180" s="161"/>
      <c r="I180" s="161"/>
      <c r="J180" s="161"/>
      <c r="K180" s="161"/>
      <c r="L180" s="161"/>
      <c r="M180" s="161"/>
      <c r="N180" s="161"/>
      <c r="O180" s="161"/>
      <c r="P180" s="161"/>
      <c r="Q180" s="161"/>
      <c r="R180" s="161"/>
      <c r="S180" s="159"/>
      <c r="T180" s="159"/>
      <c r="U180" s="159"/>
      <c r="V180" s="159"/>
      <c r="W180" s="159"/>
      <c r="X180" s="159"/>
      <c r="Y180" s="159"/>
      <c r="Z180" s="159"/>
    </row>
    <row r="181" ht="15.75" customHeight="1">
      <c r="A181" s="140"/>
      <c r="B181" s="114"/>
      <c r="C181" s="165"/>
      <c r="D181" s="161"/>
      <c r="E181" s="161"/>
      <c r="F181" s="161"/>
      <c r="G181" s="161"/>
      <c r="H181" s="161"/>
      <c r="I181" s="161"/>
      <c r="J181" s="161"/>
      <c r="K181" s="161"/>
      <c r="L181" s="161"/>
      <c r="M181" s="161"/>
      <c r="N181" s="161"/>
      <c r="O181" s="161"/>
      <c r="P181" s="161"/>
      <c r="Q181" s="161"/>
      <c r="R181" s="161"/>
      <c r="S181" s="159"/>
      <c r="T181" s="159"/>
      <c r="U181" s="159"/>
      <c r="V181" s="159"/>
      <c r="W181" s="159"/>
      <c r="X181" s="159"/>
      <c r="Y181" s="159"/>
      <c r="Z181" s="159"/>
    </row>
    <row r="182" ht="15.75" customHeight="1">
      <c r="A182" s="140"/>
      <c r="B182" s="114"/>
      <c r="C182" s="165"/>
      <c r="D182" s="161"/>
      <c r="E182" s="161"/>
      <c r="F182" s="161"/>
      <c r="G182" s="161"/>
      <c r="H182" s="161"/>
      <c r="I182" s="161"/>
      <c r="J182" s="161"/>
      <c r="K182" s="161"/>
      <c r="L182" s="161"/>
      <c r="M182" s="161"/>
      <c r="N182" s="161"/>
      <c r="O182" s="161"/>
      <c r="P182" s="161"/>
      <c r="Q182" s="161"/>
      <c r="R182" s="161"/>
      <c r="S182" s="159"/>
      <c r="T182" s="159"/>
      <c r="U182" s="159"/>
      <c r="V182" s="159"/>
      <c r="W182" s="159"/>
      <c r="X182" s="159"/>
      <c r="Y182" s="159"/>
      <c r="Z182" s="159"/>
    </row>
    <row r="183" ht="15.75" customHeight="1">
      <c r="A183" s="140"/>
      <c r="B183" s="114"/>
      <c r="C183" s="165"/>
      <c r="D183" s="161"/>
      <c r="E183" s="161"/>
      <c r="F183" s="161"/>
      <c r="G183" s="161"/>
      <c r="H183" s="161"/>
      <c r="I183" s="161"/>
      <c r="J183" s="161"/>
      <c r="K183" s="161"/>
      <c r="L183" s="161"/>
      <c r="M183" s="161"/>
      <c r="N183" s="161"/>
      <c r="O183" s="161"/>
      <c r="P183" s="161"/>
      <c r="Q183" s="161"/>
      <c r="R183" s="161"/>
      <c r="S183" s="159"/>
      <c r="T183" s="159"/>
      <c r="U183" s="159"/>
      <c r="V183" s="159"/>
      <c r="W183" s="159"/>
      <c r="X183" s="159"/>
      <c r="Y183" s="159"/>
      <c r="Z183" s="159"/>
    </row>
    <row r="184" ht="15.75" customHeight="1">
      <c r="A184" s="140"/>
      <c r="B184" s="114"/>
      <c r="C184" s="165"/>
      <c r="D184" s="161"/>
      <c r="E184" s="161"/>
      <c r="F184" s="161"/>
      <c r="G184" s="161"/>
      <c r="H184" s="161"/>
      <c r="I184" s="161"/>
      <c r="J184" s="161"/>
      <c r="K184" s="161"/>
      <c r="L184" s="161"/>
      <c r="M184" s="161"/>
      <c r="N184" s="161"/>
      <c r="O184" s="161"/>
      <c r="P184" s="161"/>
      <c r="Q184" s="161"/>
      <c r="R184" s="161"/>
      <c r="S184" s="159"/>
      <c r="T184" s="159"/>
      <c r="U184" s="159"/>
      <c r="V184" s="159"/>
      <c r="W184" s="159"/>
      <c r="X184" s="159"/>
      <c r="Y184" s="159"/>
      <c r="Z184" s="159"/>
    </row>
    <row r="185" ht="15.75" customHeight="1">
      <c r="A185" s="140"/>
      <c r="B185" s="114"/>
      <c r="C185" s="165"/>
      <c r="D185" s="161"/>
      <c r="E185" s="161"/>
      <c r="F185" s="161"/>
      <c r="G185" s="161"/>
      <c r="H185" s="161"/>
      <c r="I185" s="161"/>
      <c r="J185" s="161"/>
      <c r="K185" s="161"/>
      <c r="L185" s="161"/>
      <c r="M185" s="161"/>
      <c r="N185" s="161"/>
      <c r="O185" s="161"/>
      <c r="P185" s="161"/>
      <c r="Q185" s="161"/>
      <c r="R185" s="161"/>
      <c r="S185" s="159"/>
      <c r="T185" s="159"/>
      <c r="U185" s="159"/>
      <c r="V185" s="159"/>
      <c r="W185" s="159"/>
      <c r="X185" s="159"/>
      <c r="Y185" s="159"/>
      <c r="Z185" s="159"/>
    </row>
    <row r="186" ht="15.75" customHeight="1">
      <c r="A186" s="140"/>
      <c r="B186" s="114"/>
      <c r="C186" s="165"/>
      <c r="D186" s="161"/>
      <c r="E186" s="161"/>
      <c r="F186" s="161"/>
      <c r="G186" s="161"/>
      <c r="H186" s="161"/>
      <c r="I186" s="161"/>
      <c r="J186" s="161"/>
      <c r="K186" s="161"/>
      <c r="L186" s="161"/>
      <c r="M186" s="161"/>
      <c r="N186" s="161"/>
      <c r="O186" s="161"/>
      <c r="P186" s="161"/>
      <c r="Q186" s="161"/>
      <c r="R186" s="161"/>
      <c r="S186" s="159"/>
      <c r="T186" s="159"/>
      <c r="U186" s="159"/>
      <c r="V186" s="159"/>
      <c r="W186" s="159"/>
      <c r="X186" s="159"/>
      <c r="Y186" s="159"/>
      <c r="Z186" s="159"/>
    </row>
    <row r="187" ht="15.75" customHeight="1">
      <c r="A187" s="140"/>
      <c r="B187" s="114"/>
      <c r="C187" s="165"/>
      <c r="D187" s="161"/>
      <c r="E187" s="161"/>
      <c r="F187" s="161"/>
      <c r="G187" s="161"/>
      <c r="H187" s="161"/>
      <c r="I187" s="161"/>
      <c r="J187" s="161"/>
      <c r="K187" s="161"/>
      <c r="L187" s="161"/>
      <c r="M187" s="161"/>
      <c r="N187" s="161"/>
      <c r="O187" s="161"/>
      <c r="P187" s="161"/>
      <c r="Q187" s="161"/>
      <c r="R187" s="161"/>
      <c r="S187" s="159"/>
      <c r="T187" s="159"/>
      <c r="U187" s="159"/>
      <c r="V187" s="159"/>
      <c r="W187" s="159"/>
      <c r="X187" s="159"/>
      <c r="Y187" s="159"/>
      <c r="Z187" s="159"/>
    </row>
    <row r="188" ht="15.75" customHeight="1">
      <c r="A188" s="140"/>
      <c r="B188" s="114"/>
      <c r="C188" s="165"/>
      <c r="D188" s="161"/>
      <c r="E188" s="161"/>
      <c r="F188" s="161"/>
      <c r="G188" s="161"/>
      <c r="H188" s="161"/>
      <c r="I188" s="161"/>
      <c r="J188" s="161"/>
      <c r="K188" s="161"/>
      <c r="L188" s="161"/>
      <c r="M188" s="161"/>
      <c r="N188" s="161"/>
      <c r="O188" s="161"/>
      <c r="P188" s="161"/>
      <c r="Q188" s="161"/>
      <c r="R188" s="161"/>
      <c r="S188" s="159"/>
      <c r="T188" s="159"/>
      <c r="U188" s="159"/>
      <c r="V188" s="159"/>
      <c r="W188" s="159"/>
      <c r="X188" s="159"/>
      <c r="Y188" s="159"/>
      <c r="Z188" s="159"/>
    </row>
    <row r="189" ht="15.75" customHeight="1">
      <c r="A189" s="140"/>
      <c r="B189" s="114"/>
      <c r="C189" s="165"/>
      <c r="D189" s="161"/>
      <c r="E189" s="161"/>
      <c r="F189" s="161"/>
      <c r="G189" s="161"/>
      <c r="H189" s="161"/>
      <c r="I189" s="161"/>
      <c r="J189" s="161"/>
      <c r="K189" s="161"/>
      <c r="L189" s="161"/>
      <c r="M189" s="161"/>
      <c r="N189" s="161"/>
      <c r="O189" s="161"/>
      <c r="P189" s="161"/>
      <c r="Q189" s="161"/>
      <c r="R189" s="161"/>
      <c r="S189" s="159"/>
      <c r="T189" s="159"/>
      <c r="U189" s="159"/>
      <c r="V189" s="159"/>
      <c r="W189" s="159"/>
      <c r="X189" s="159"/>
      <c r="Y189" s="159"/>
      <c r="Z189" s="159"/>
    </row>
    <row r="190" ht="15.75" customHeight="1">
      <c r="A190" s="140"/>
      <c r="B190" s="114"/>
      <c r="C190" s="165"/>
      <c r="D190" s="161"/>
      <c r="E190" s="161"/>
      <c r="F190" s="161"/>
      <c r="G190" s="161"/>
      <c r="H190" s="161"/>
      <c r="I190" s="161"/>
      <c r="J190" s="161"/>
      <c r="K190" s="161"/>
      <c r="L190" s="161"/>
      <c r="M190" s="161"/>
      <c r="N190" s="161"/>
      <c r="O190" s="161"/>
      <c r="P190" s="161"/>
      <c r="Q190" s="161"/>
      <c r="R190" s="161"/>
      <c r="S190" s="159"/>
      <c r="T190" s="159"/>
      <c r="U190" s="159"/>
      <c r="V190" s="159"/>
      <c r="W190" s="159"/>
      <c r="X190" s="159"/>
      <c r="Y190" s="159"/>
      <c r="Z190" s="159"/>
    </row>
    <row r="191" ht="15.75" customHeight="1">
      <c r="A191" s="140"/>
      <c r="B191" s="114"/>
      <c r="C191" s="165"/>
      <c r="D191" s="161"/>
      <c r="E191" s="161"/>
      <c r="F191" s="161"/>
      <c r="G191" s="161"/>
      <c r="H191" s="161"/>
      <c r="I191" s="161"/>
      <c r="J191" s="161"/>
      <c r="K191" s="161"/>
      <c r="L191" s="161"/>
      <c r="M191" s="161"/>
      <c r="N191" s="161"/>
      <c r="O191" s="161"/>
      <c r="P191" s="161"/>
      <c r="Q191" s="161"/>
      <c r="R191" s="161"/>
      <c r="S191" s="159"/>
      <c r="T191" s="159"/>
      <c r="U191" s="159"/>
      <c r="V191" s="159"/>
      <c r="W191" s="159"/>
      <c r="X191" s="159"/>
      <c r="Y191" s="159"/>
      <c r="Z191" s="159"/>
    </row>
    <row r="192" ht="15.75" customHeight="1">
      <c r="A192" s="140"/>
      <c r="B192" s="114"/>
      <c r="C192" s="165"/>
      <c r="D192" s="161"/>
      <c r="E192" s="161"/>
      <c r="F192" s="161"/>
      <c r="G192" s="161"/>
      <c r="H192" s="161"/>
      <c r="I192" s="161"/>
      <c r="J192" s="161"/>
      <c r="K192" s="161"/>
      <c r="L192" s="161"/>
      <c r="M192" s="161"/>
      <c r="N192" s="161"/>
      <c r="O192" s="161"/>
      <c r="P192" s="161"/>
      <c r="Q192" s="161"/>
      <c r="R192" s="161"/>
      <c r="S192" s="159"/>
      <c r="T192" s="159"/>
      <c r="U192" s="159"/>
      <c r="V192" s="159"/>
      <c r="W192" s="159"/>
      <c r="X192" s="159"/>
      <c r="Y192" s="159"/>
      <c r="Z192" s="159"/>
    </row>
    <row r="193" ht="15.75" customHeight="1">
      <c r="A193" s="140"/>
      <c r="B193" s="114"/>
      <c r="C193" s="165"/>
      <c r="D193" s="161"/>
      <c r="E193" s="161"/>
      <c r="F193" s="161"/>
      <c r="G193" s="161"/>
      <c r="H193" s="161"/>
      <c r="I193" s="161"/>
      <c r="J193" s="161"/>
      <c r="K193" s="161"/>
      <c r="L193" s="161"/>
      <c r="M193" s="161"/>
      <c r="N193" s="161"/>
      <c r="O193" s="161"/>
      <c r="P193" s="161"/>
      <c r="Q193" s="161"/>
      <c r="R193" s="161"/>
      <c r="S193" s="159"/>
      <c r="T193" s="159"/>
      <c r="U193" s="159"/>
      <c r="V193" s="159"/>
      <c r="W193" s="159"/>
      <c r="X193" s="159"/>
      <c r="Y193" s="159"/>
      <c r="Z193" s="159"/>
    </row>
    <row r="194" ht="15.75" customHeight="1">
      <c r="A194" s="140"/>
      <c r="B194" s="114"/>
      <c r="C194" s="165"/>
      <c r="D194" s="161"/>
      <c r="E194" s="161"/>
      <c r="F194" s="161"/>
      <c r="G194" s="161"/>
      <c r="H194" s="161"/>
      <c r="I194" s="161"/>
      <c r="J194" s="161"/>
      <c r="K194" s="161"/>
      <c r="L194" s="161"/>
      <c r="M194" s="161"/>
      <c r="N194" s="161"/>
      <c r="O194" s="161"/>
      <c r="P194" s="161"/>
      <c r="Q194" s="161"/>
      <c r="R194" s="161"/>
      <c r="S194" s="159"/>
      <c r="T194" s="159"/>
      <c r="U194" s="159"/>
      <c r="V194" s="159"/>
      <c r="W194" s="159"/>
      <c r="X194" s="159"/>
      <c r="Y194" s="159"/>
      <c r="Z194" s="159"/>
    </row>
    <row r="195" ht="15.75" customHeight="1">
      <c r="A195" s="140"/>
      <c r="B195" s="114"/>
      <c r="C195" s="165"/>
      <c r="D195" s="161"/>
      <c r="E195" s="161"/>
      <c r="F195" s="161"/>
      <c r="G195" s="161"/>
      <c r="H195" s="161"/>
      <c r="I195" s="161"/>
      <c r="J195" s="161"/>
      <c r="K195" s="161"/>
      <c r="L195" s="161"/>
      <c r="M195" s="161"/>
      <c r="N195" s="161"/>
      <c r="O195" s="161"/>
      <c r="P195" s="161"/>
      <c r="Q195" s="161"/>
      <c r="R195" s="161"/>
      <c r="S195" s="159"/>
      <c r="T195" s="159"/>
      <c r="U195" s="159"/>
      <c r="V195" s="159"/>
      <c r="W195" s="159"/>
      <c r="X195" s="159"/>
      <c r="Y195" s="159"/>
      <c r="Z195" s="159"/>
    </row>
    <row r="196" ht="15.75" customHeight="1">
      <c r="A196" s="140"/>
      <c r="B196" s="114"/>
      <c r="C196" s="165"/>
      <c r="D196" s="161"/>
      <c r="E196" s="161"/>
      <c r="F196" s="161"/>
      <c r="G196" s="161"/>
      <c r="H196" s="161"/>
      <c r="I196" s="161"/>
      <c r="J196" s="161"/>
      <c r="K196" s="161"/>
      <c r="L196" s="161"/>
      <c r="M196" s="161"/>
      <c r="N196" s="161"/>
      <c r="O196" s="161"/>
      <c r="P196" s="161"/>
      <c r="Q196" s="161"/>
      <c r="R196" s="161"/>
      <c r="S196" s="159"/>
      <c r="T196" s="159"/>
      <c r="U196" s="159"/>
      <c r="V196" s="159"/>
      <c r="W196" s="159"/>
      <c r="X196" s="159"/>
      <c r="Y196" s="159"/>
      <c r="Z196" s="159"/>
    </row>
    <row r="197" ht="15.75" customHeight="1">
      <c r="A197" s="140"/>
      <c r="B197" s="114"/>
      <c r="C197" s="165"/>
      <c r="D197" s="161"/>
      <c r="E197" s="161"/>
      <c r="F197" s="161"/>
      <c r="G197" s="161"/>
      <c r="H197" s="161"/>
      <c r="I197" s="161"/>
      <c r="J197" s="161"/>
      <c r="K197" s="161"/>
      <c r="L197" s="161"/>
      <c r="M197" s="161"/>
      <c r="N197" s="161"/>
      <c r="O197" s="161"/>
      <c r="P197" s="161"/>
      <c r="Q197" s="161"/>
      <c r="R197" s="161"/>
      <c r="S197" s="159"/>
      <c r="T197" s="159"/>
      <c r="U197" s="159"/>
      <c r="V197" s="159"/>
      <c r="W197" s="159"/>
      <c r="X197" s="159"/>
      <c r="Y197" s="159"/>
      <c r="Z197" s="159"/>
    </row>
    <row r="198" ht="15.75" customHeight="1">
      <c r="A198" s="140"/>
      <c r="B198" s="114"/>
      <c r="C198" s="165"/>
      <c r="D198" s="161"/>
      <c r="E198" s="161"/>
      <c r="F198" s="161"/>
      <c r="G198" s="161"/>
      <c r="H198" s="161"/>
      <c r="I198" s="161"/>
      <c r="J198" s="161"/>
      <c r="K198" s="161"/>
      <c r="L198" s="161"/>
      <c r="M198" s="161"/>
      <c r="N198" s="161"/>
      <c r="O198" s="161"/>
      <c r="P198" s="161"/>
      <c r="Q198" s="161"/>
      <c r="R198" s="161"/>
      <c r="S198" s="159"/>
      <c r="T198" s="159"/>
      <c r="U198" s="159"/>
      <c r="V198" s="159"/>
      <c r="W198" s="159"/>
      <c r="X198" s="159"/>
      <c r="Y198" s="159"/>
      <c r="Z198" s="159"/>
    </row>
    <row r="199" ht="15.75" customHeight="1">
      <c r="A199" s="140"/>
      <c r="B199" s="114"/>
      <c r="C199" s="165"/>
      <c r="D199" s="161"/>
      <c r="E199" s="161"/>
      <c r="F199" s="161"/>
      <c r="G199" s="161"/>
      <c r="H199" s="161"/>
      <c r="I199" s="161"/>
      <c r="J199" s="161"/>
      <c r="K199" s="161"/>
      <c r="L199" s="161"/>
      <c r="M199" s="161"/>
      <c r="N199" s="161"/>
      <c r="O199" s="161"/>
      <c r="P199" s="161"/>
      <c r="Q199" s="161"/>
      <c r="R199" s="161"/>
      <c r="S199" s="159"/>
      <c r="T199" s="159"/>
      <c r="U199" s="159"/>
      <c r="V199" s="159"/>
      <c r="W199" s="159"/>
      <c r="X199" s="159"/>
      <c r="Y199" s="159"/>
      <c r="Z199" s="159"/>
    </row>
    <row r="200" ht="15.75" customHeight="1">
      <c r="A200" s="140"/>
      <c r="B200" s="114"/>
      <c r="C200" s="165"/>
      <c r="D200" s="161"/>
      <c r="E200" s="161"/>
      <c r="F200" s="161"/>
      <c r="G200" s="161"/>
      <c r="H200" s="161"/>
      <c r="I200" s="161"/>
      <c r="J200" s="161"/>
      <c r="K200" s="161"/>
      <c r="L200" s="161"/>
      <c r="M200" s="161"/>
      <c r="N200" s="161"/>
      <c r="O200" s="161"/>
      <c r="P200" s="161"/>
      <c r="Q200" s="161"/>
      <c r="R200" s="161"/>
      <c r="S200" s="159"/>
      <c r="T200" s="159"/>
      <c r="U200" s="159"/>
      <c r="V200" s="159"/>
      <c r="W200" s="159"/>
      <c r="X200" s="159"/>
      <c r="Y200" s="159"/>
      <c r="Z200" s="159"/>
    </row>
    <row r="201" ht="15.75" customHeight="1">
      <c r="A201" s="140"/>
      <c r="B201" s="114"/>
      <c r="C201" s="165"/>
      <c r="D201" s="161"/>
      <c r="E201" s="161"/>
      <c r="F201" s="161"/>
      <c r="G201" s="161"/>
      <c r="H201" s="161"/>
      <c r="I201" s="161"/>
      <c r="J201" s="161"/>
      <c r="K201" s="161"/>
      <c r="L201" s="161"/>
      <c r="M201" s="161"/>
      <c r="N201" s="161"/>
      <c r="O201" s="161"/>
      <c r="P201" s="161"/>
      <c r="Q201" s="161"/>
      <c r="R201" s="161"/>
      <c r="S201" s="159"/>
      <c r="T201" s="159"/>
      <c r="U201" s="159"/>
      <c r="V201" s="159"/>
      <c r="W201" s="159"/>
      <c r="X201" s="159"/>
      <c r="Y201" s="159"/>
      <c r="Z201" s="159"/>
    </row>
    <row r="202" ht="15.75" customHeight="1">
      <c r="A202" s="140"/>
      <c r="B202" s="114"/>
      <c r="C202" s="165"/>
      <c r="D202" s="161"/>
      <c r="E202" s="161"/>
      <c r="F202" s="161"/>
      <c r="G202" s="161"/>
      <c r="H202" s="161"/>
      <c r="I202" s="161"/>
      <c r="J202" s="161"/>
      <c r="K202" s="161"/>
      <c r="L202" s="161"/>
      <c r="M202" s="161"/>
      <c r="N202" s="161"/>
      <c r="O202" s="161"/>
      <c r="P202" s="161"/>
      <c r="Q202" s="161"/>
      <c r="R202" s="161"/>
      <c r="S202" s="159"/>
      <c r="T202" s="159"/>
      <c r="U202" s="159"/>
      <c r="V202" s="159"/>
      <c r="W202" s="159"/>
      <c r="X202" s="159"/>
      <c r="Y202" s="159"/>
      <c r="Z202" s="159"/>
    </row>
    <row r="203" ht="15.75" customHeight="1">
      <c r="A203" s="140"/>
      <c r="B203" s="114"/>
      <c r="C203" s="165"/>
      <c r="D203" s="161"/>
      <c r="E203" s="161"/>
      <c r="F203" s="161"/>
      <c r="G203" s="161"/>
      <c r="H203" s="161"/>
      <c r="I203" s="161"/>
      <c r="J203" s="161"/>
      <c r="K203" s="161"/>
      <c r="L203" s="161"/>
      <c r="M203" s="161"/>
      <c r="N203" s="161"/>
      <c r="O203" s="161"/>
      <c r="P203" s="161"/>
      <c r="Q203" s="161"/>
      <c r="R203" s="161"/>
      <c r="S203" s="159"/>
      <c r="T203" s="159"/>
      <c r="U203" s="159"/>
      <c r="V203" s="159"/>
      <c r="W203" s="159"/>
      <c r="X203" s="159"/>
      <c r="Y203" s="159"/>
      <c r="Z203" s="159"/>
    </row>
    <row r="204" ht="15.75" customHeight="1">
      <c r="A204" s="140"/>
      <c r="B204" s="114"/>
      <c r="C204" s="165"/>
      <c r="D204" s="161"/>
      <c r="E204" s="161"/>
      <c r="F204" s="161"/>
      <c r="G204" s="161"/>
      <c r="H204" s="161"/>
      <c r="I204" s="161"/>
      <c r="J204" s="161"/>
      <c r="K204" s="161"/>
      <c r="L204" s="161"/>
      <c r="M204" s="161"/>
      <c r="N204" s="161"/>
      <c r="O204" s="161"/>
      <c r="P204" s="161"/>
      <c r="Q204" s="161"/>
      <c r="R204" s="161"/>
      <c r="S204" s="159"/>
      <c r="T204" s="159"/>
      <c r="U204" s="159"/>
      <c r="V204" s="159"/>
      <c r="W204" s="159"/>
      <c r="X204" s="159"/>
      <c r="Y204" s="159"/>
      <c r="Z204" s="159"/>
    </row>
    <row r="205" ht="15.75" customHeight="1">
      <c r="A205" s="140"/>
      <c r="B205" s="114"/>
      <c r="C205" s="165"/>
      <c r="D205" s="161"/>
      <c r="E205" s="161"/>
      <c r="F205" s="161"/>
      <c r="G205" s="161"/>
      <c r="H205" s="161"/>
      <c r="I205" s="161"/>
      <c r="J205" s="161"/>
      <c r="K205" s="161"/>
      <c r="L205" s="161"/>
      <c r="M205" s="161"/>
      <c r="N205" s="161"/>
      <c r="O205" s="161"/>
      <c r="P205" s="161"/>
      <c r="Q205" s="161"/>
      <c r="R205" s="161"/>
      <c r="S205" s="159"/>
      <c r="T205" s="159"/>
      <c r="U205" s="159"/>
      <c r="V205" s="159"/>
      <c r="W205" s="159"/>
      <c r="X205" s="159"/>
      <c r="Y205" s="159"/>
      <c r="Z205" s="159"/>
    </row>
    <row r="206" ht="15.75" customHeight="1">
      <c r="A206" s="140"/>
      <c r="B206" s="114"/>
      <c r="C206" s="165"/>
      <c r="D206" s="161"/>
      <c r="E206" s="161"/>
      <c r="F206" s="161"/>
      <c r="G206" s="161"/>
      <c r="H206" s="161"/>
      <c r="I206" s="161"/>
      <c r="J206" s="161"/>
      <c r="K206" s="161"/>
      <c r="L206" s="161"/>
      <c r="M206" s="161"/>
      <c r="N206" s="161"/>
      <c r="O206" s="161"/>
      <c r="P206" s="161"/>
      <c r="Q206" s="161"/>
      <c r="R206" s="161"/>
      <c r="S206" s="159"/>
      <c r="T206" s="159"/>
      <c r="U206" s="159"/>
      <c r="V206" s="159"/>
      <c r="W206" s="159"/>
      <c r="X206" s="159"/>
      <c r="Y206" s="159"/>
      <c r="Z206" s="159"/>
    </row>
    <row r="207" ht="15.75" customHeight="1">
      <c r="A207" s="140"/>
      <c r="B207" s="114"/>
      <c r="C207" s="165"/>
      <c r="D207" s="161"/>
      <c r="E207" s="161"/>
      <c r="F207" s="161"/>
      <c r="G207" s="161"/>
      <c r="H207" s="161"/>
      <c r="I207" s="161"/>
      <c r="J207" s="161"/>
      <c r="K207" s="161"/>
      <c r="L207" s="161"/>
      <c r="M207" s="161"/>
      <c r="N207" s="161"/>
      <c r="O207" s="161"/>
      <c r="P207" s="161"/>
      <c r="Q207" s="161"/>
      <c r="R207" s="161"/>
      <c r="S207" s="159"/>
      <c r="T207" s="159"/>
      <c r="U207" s="159"/>
      <c r="V207" s="159"/>
      <c r="W207" s="159"/>
      <c r="X207" s="159"/>
      <c r="Y207" s="159"/>
      <c r="Z207" s="159"/>
    </row>
    <row r="208" ht="15.75" customHeight="1">
      <c r="A208" s="140"/>
      <c r="B208" s="114"/>
      <c r="C208" s="165"/>
      <c r="D208" s="161"/>
      <c r="E208" s="161"/>
      <c r="F208" s="161"/>
      <c r="G208" s="161"/>
      <c r="H208" s="161"/>
      <c r="I208" s="161"/>
      <c r="J208" s="161"/>
      <c r="K208" s="161"/>
      <c r="L208" s="161"/>
      <c r="M208" s="161"/>
      <c r="N208" s="161"/>
      <c r="O208" s="161"/>
      <c r="P208" s="161"/>
      <c r="Q208" s="161"/>
      <c r="R208" s="161"/>
      <c r="S208" s="159"/>
      <c r="T208" s="159"/>
      <c r="U208" s="159"/>
      <c r="V208" s="159"/>
      <c r="W208" s="159"/>
      <c r="X208" s="159"/>
      <c r="Y208" s="159"/>
      <c r="Z208" s="159"/>
    </row>
    <row r="209" ht="15.75" customHeight="1">
      <c r="A209" s="140"/>
      <c r="B209" s="114"/>
      <c r="C209" s="165"/>
      <c r="D209" s="161"/>
      <c r="E209" s="161"/>
      <c r="F209" s="161"/>
      <c r="G209" s="161"/>
      <c r="H209" s="161"/>
      <c r="I209" s="161"/>
      <c r="J209" s="161"/>
      <c r="K209" s="161"/>
      <c r="L209" s="161"/>
      <c r="M209" s="161"/>
      <c r="N209" s="161"/>
      <c r="O209" s="161"/>
      <c r="P209" s="161"/>
      <c r="Q209" s="161"/>
      <c r="R209" s="161"/>
      <c r="S209" s="159"/>
      <c r="T209" s="159"/>
      <c r="U209" s="159"/>
      <c r="V209" s="159"/>
      <c r="W209" s="159"/>
      <c r="X209" s="159"/>
      <c r="Y209" s="159"/>
      <c r="Z209" s="159"/>
    </row>
    <row r="210" ht="15.75" customHeight="1">
      <c r="A210" s="140"/>
      <c r="B210" s="114"/>
      <c r="C210" s="165"/>
      <c r="D210" s="161"/>
      <c r="E210" s="161"/>
      <c r="F210" s="161"/>
      <c r="G210" s="161"/>
      <c r="H210" s="161"/>
      <c r="I210" s="161"/>
      <c r="J210" s="161"/>
      <c r="K210" s="161"/>
      <c r="L210" s="161"/>
      <c r="M210" s="161"/>
      <c r="N210" s="161"/>
      <c r="O210" s="161"/>
      <c r="P210" s="161"/>
      <c r="Q210" s="161"/>
      <c r="R210" s="161"/>
      <c r="S210" s="159"/>
      <c r="T210" s="159"/>
      <c r="U210" s="159"/>
      <c r="V210" s="159"/>
      <c r="W210" s="159"/>
      <c r="X210" s="159"/>
      <c r="Y210" s="159"/>
      <c r="Z210" s="159"/>
    </row>
    <row r="211" ht="15.75" customHeight="1">
      <c r="A211" s="140"/>
      <c r="B211" s="114"/>
      <c r="C211" s="165"/>
      <c r="D211" s="161"/>
      <c r="E211" s="161"/>
      <c r="F211" s="161"/>
      <c r="G211" s="161"/>
      <c r="H211" s="161"/>
      <c r="I211" s="161"/>
      <c r="J211" s="161"/>
      <c r="K211" s="161"/>
      <c r="L211" s="161"/>
      <c r="M211" s="161"/>
      <c r="N211" s="161"/>
      <c r="O211" s="161"/>
      <c r="P211" s="161"/>
      <c r="Q211" s="161"/>
      <c r="R211" s="161"/>
      <c r="S211" s="159"/>
      <c r="T211" s="159"/>
      <c r="U211" s="159"/>
      <c r="V211" s="159"/>
      <c r="W211" s="159"/>
      <c r="X211" s="159"/>
      <c r="Y211" s="159"/>
      <c r="Z211" s="159"/>
    </row>
    <row r="212" ht="15.75" customHeight="1">
      <c r="A212" s="140"/>
      <c r="B212" s="114"/>
      <c r="C212" s="165"/>
      <c r="D212" s="161"/>
      <c r="E212" s="161"/>
      <c r="F212" s="161"/>
      <c r="G212" s="161"/>
      <c r="H212" s="161"/>
      <c r="I212" s="161"/>
      <c r="J212" s="161"/>
      <c r="K212" s="161"/>
      <c r="L212" s="161"/>
      <c r="M212" s="161"/>
      <c r="N212" s="161"/>
      <c r="O212" s="161"/>
      <c r="P212" s="161"/>
      <c r="Q212" s="161"/>
      <c r="R212" s="161"/>
      <c r="S212" s="159"/>
      <c r="T212" s="159"/>
      <c r="U212" s="159"/>
      <c r="V212" s="159"/>
      <c r="W212" s="159"/>
      <c r="X212" s="159"/>
      <c r="Y212" s="159"/>
      <c r="Z212" s="159"/>
    </row>
    <row r="213" ht="15.75" customHeight="1">
      <c r="A213" s="140"/>
      <c r="B213" s="114"/>
      <c r="C213" s="165"/>
      <c r="D213" s="161"/>
      <c r="E213" s="161"/>
      <c r="F213" s="161"/>
      <c r="G213" s="161"/>
      <c r="H213" s="161"/>
      <c r="I213" s="161"/>
      <c r="J213" s="161"/>
      <c r="K213" s="161"/>
      <c r="L213" s="161"/>
      <c r="M213" s="161"/>
      <c r="N213" s="161"/>
      <c r="O213" s="161"/>
      <c r="P213" s="161"/>
      <c r="Q213" s="161"/>
      <c r="R213" s="161"/>
      <c r="S213" s="159"/>
      <c r="T213" s="159"/>
      <c r="U213" s="159"/>
      <c r="V213" s="159"/>
      <c r="W213" s="159"/>
      <c r="X213" s="159"/>
      <c r="Y213" s="159"/>
      <c r="Z213" s="159"/>
    </row>
    <row r="214" ht="15.75" customHeight="1">
      <c r="A214" s="140"/>
      <c r="B214" s="114"/>
      <c r="C214" s="165"/>
      <c r="D214" s="161"/>
      <c r="E214" s="161"/>
      <c r="F214" s="161"/>
      <c r="G214" s="161"/>
      <c r="H214" s="161"/>
      <c r="I214" s="161"/>
      <c r="J214" s="161"/>
      <c r="K214" s="161"/>
      <c r="L214" s="161"/>
      <c r="M214" s="161"/>
      <c r="N214" s="161"/>
      <c r="O214" s="161"/>
      <c r="P214" s="161"/>
      <c r="Q214" s="161"/>
      <c r="R214" s="161"/>
      <c r="S214" s="159"/>
      <c r="T214" s="159"/>
      <c r="U214" s="159"/>
      <c r="V214" s="159"/>
      <c r="W214" s="159"/>
      <c r="X214" s="159"/>
      <c r="Y214" s="159"/>
      <c r="Z214" s="159"/>
    </row>
    <row r="215" ht="15.75" customHeight="1">
      <c r="A215" s="140"/>
      <c r="B215" s="114"/>
      <c r="C215" s="165"/>
      <c r="D215" s="161"/>
      <c r="E215" s="161"/>
      <c r="F215" s="161"/>
      <c r="G215" s="161"/>
      <c r="H215" s="161"/>
      <c r="I215" s="161"/>
      <c r="J215" s="161"/>
      <c r="K215" s="161"/>
      <c r="L215" s="161"/>
      <c r="M215" s="161"/>
      <c r="N215" s="161"/>
      <c r="O215" s="161"/>
      <c r="P215" s="161"/>
      <c r="Q215" s="161"/>
      <c r="R215" s="161"/>
      <c r="S215" s="159"/>
      <c r="T215" s="159"/>
      <c r="U215" s="159"/>
      <c r="V215" s="159"/>
      <c r="W215" s="159"/>
      <c r="X215" s="159"/>
      <c r="Y215" s="159"/>
      <c r="Z215" s="159"/>
    </row>
    <row r="216" ht="15.75" customHeight="1">
      <c r="A216" s="140"/>
      <c r="B216" s="114"/>
      <c r="C216" s="165"/>
      <c r="D216" s="161"/>
      <c r="E216" s="161"/>
      <c r="F216" s="161"/>
      <c r="G216" s="161"/>
      <c r="H216" s="161"/>
      <c r="I216" s="161"/>
      <c r="J216" s="161"/>
      <c r="K216" s="161"/>
      <c r="L216" s="161"/>
      <c r="M216" s="161"/>
      <c r="N216" s="161"/>
      <c r="O216" s="161"/>
      <c r="P216" s="161"/>
      <c r="Q216" s="161"/>
      <c r="R216" s="161"/>
      <c r="S216" s="159"/>
      <c r="T216" s="159"/>
      <c r="U216" s="159"/>
      <c r="V216" s="159"/>
      <c r="W216" s="159"/>
      <c r="X216" s="159"/>
      <c r="Y216" s="159"/>
      <c r="Z216" s="159"/>
    </row>
    <row r="217" ht="15.75" customHeight="1">
      <c r="A217" s="140"/>
      <c r="B217" s="114"/>
      <c r="C217" s="165"/>
      <c r="D217" s="161"/>
      <c r="E217" s="161"/>
      <c r="F217" s="161"/>
      <c r="G217" s="161"/>
      <c r="H217" s="161"/>
      <c r="I217" s="161"/>
      <c r="J217" s="161"/>
      <c r="K217" s="161"/>
      <c r="L217" s="161"/>
      <c r="M217" s="161"/>
      <c r="N217" s="161"/>
      <c r="O217" s="161"/>
      <c r="P217" s="161"/>
      <c r="Q217" s="161"/>
      <c r="R217" s="161"/>
      <c r="S217" s="159"/>
      <c r="T217" s="159"/>
      <c r="U217" s="159"/>
      <c r="V217" s="159"/>
      <c r="W217" s="159"/>
      <c r="X217" s="159"/>
      <c r="Y217" s="159"/>
      <c r="Z217" s="159"/>
    </row>
    <row r="218" ht="15.75" customHeight="1">
      <c r="A218" s="140"/>
      <c r="B218" s="114"/>
      <c r="C218" s="165"/>
      <c r="D218" s="161"/>
      <c r="E218" s="161"/>
      <c r="F218" s="161"/>
      <c r="G218" s="161"/>
      <c r="H218" s="161"/>
      <c r="I218" s="161"/>
      <c r="J218" s="161"/>
      <c r="K218" s="161"/>
      <c r="L218" s="161"/>
      <c r="M218" s="161"/>
      <c r="N218" s="161"/>
      <c r="O218" s="161"/>
      <c r="P218" s="161"/>
      <c r="Q218" s="161"/>
      <c r="R218" s="161"/>
      <c r="S218" s="159"/>
      <c r="T218" s="159"/>
      <c r="U218" s="159"/>
      <c r="V218" s="159"/>
      <c r="W218" s="159"/>
      <c r="X218" s="159"/>
      <c r="Y218" s="159"/>
      <c r="Z218" s="159"/>
    </row>
    <row r="219" ht="15.75" customHeight="1">
      <c r="A219" s="140"/>
      <c r="B219" s="114"/>
      <c r="C219" s="165"/>
      <c r="D219" s="161"/>
      <c r="E219" s="161"/>
      <c r="F219" s="161"/>
      <c r="G219" s="161"/>
      <c r="H219" s="161"/>
      <c r="I219" s="161"/>
      <c r="J219" s="161"/>
      <c r="K219" s="161"/>
      <c r="L219" s="161"/>
      <c r="M219" s="161"/>
      <c r="N219" s="161"/>
      <c r="O219" s="161"/>
      <c r="P219" s="161"/>
      <c r="Q219" s="161"/>
      <c r="R219" s="161"/>
      <c r="S219" s="159"/>
      <c r="T219" s="159"/>
      <c r="U219" s="159"/>
      <c r="V219" s="159"/>
      <c r="W219" s="159"/>
      <c r="X219" s="159"/>
      <c r="Y219" s="159"/>
      <c r="Z219" s="159"/>
    </row>
    <row r="220" ht="15.75" customHeight="1">
      <c r="A220" s="140"/>
      <c r="B220" s="114"/>
      <c r="C220" s="165"/>
      <c r="D220" s="161"/>
      <c r="E220" s="161"/>
      <c r="F220" s="161"/>
      <c r="G220" s="161"/>
      <c r="H220" s="161"/>
      <c r="I220" s="161"/>
      <c r="J220" s="161"/>
      <c r="K220" s="161"/>
      <c r="L220" s="161"/>
      <c r="M220" s="161"/>
      <c r="N220" s="161"/>
      <c r="O220" s="161"/>
      <c r="P220" s="161"/>
      <c r="Q220" s="161"/>
      <c r="R220" s="161"/>
      <c r="S220" s="159"/>
      <c r="T220" s="159"/>
      <c r="U220" s="159"/>
      <c r="V220" s="159"/>
      <c r="W220" s="159"/>
      <c r="X220" s="159"/>
      <c r="Y220" s="159"/>
      <c r="Z220" s="159"/>
    </row>
    <row r="221" ht="15.75" customHeight="1">
      <c r="A221" s="140"/>
      <c r="B221" s="114"/>
      <c r="C221" s="165"/>
      <c r="D221" s="161"/>
      <c r="E221" s="161"/>
      <c r="F221" s="161"/>
      <c r="G221" s="161"/>
      <c r="H221" s="161"/>
      <c r="I221" s="161"/>
      <c r="J221" s="161"/>
      <c r="K221" s="161"/>
      <c r="L221" s="161"/>
      <c r="M221" s="161"/>
      <c r="N221" s="161"/>
      <c r="O221" s="161"/>
      <c r="P221" s="161"/>
      <c r="Q221" s="161"/>
      <c r="R221" s="161"/>
      <c r="S221" s="159"/>
      <c r="T221" s="159"/>
      <c r="U221" s="159"/>
      <c r="V221" s="159"/>
      <c r="W221" s="159"/>
      <c r="X221" s="159"/>
      <c r="Y221" s="159"/>
      <c r="Z221" s="159"/>
    </row>
    <row r="222" ht="15.75" customHeight="1">
      <c r="A222" s="140"/>
      <c r="B222" s="114"/>
      <c r="C222" s="165"/>
      <c r="D222" s="161"/>
      <c r="E222" s="161"/>
      <c r="F222" s="161"/>
      <c r="G222" s="161"/>
      <c r="H222" s="161"/>
      <c r="I222" s="161"/>
      <c r="J222" s="161"/>
      <c r="K222" s="161"/>
      <c r="L222" s="161"/>
      <c r="M222" s="161"/>
      <c r="N222" s="161"/>
      <c r="O222" s="161"/>
      <c r="P222" s="161"/>
      <c r="Q222" s="161"/>
      <c r="R222" s="161"/>
      <c r="S222" s="159"/>
      <c r="T222" s="159"/>
      <c r="U222" s="159"/>
      <c r="V222" s="159"/>
      <c r="W222" s="159"/>
      <c r="X222" s="159"/>
      <c r="Y222" s="159"/>
      <c r="Z222" s="159"/>
    </row>
    <row r="223" ht="15.75" customHeight="1">
      <c r="A223" s="140"/>
      <c r="B223" s="114"/>
      <c r="C223" s="165"/>
      <c r="D223" s="161"/>
      <c r="E223" s="161"/>
      <c r="F223" s="161"/>
      <c r="G223" s="161"/>
      <c r="H223" s="161"/>
      <c r="I223" s="161"/>
      <c r="J223" s="161"/>
      <c r="K223" s="161"/>
      <c r="L223" s="161"/>
      <c r="M223" s="161"/>
      <c r="N223" s="161"/>
      <c r="O223" s="161"/>
      <c r="P223" s="161"/>
      <c r="Q223" s="161"/>
      <c r="R223" s="161"/>
      <c r="S223" s="159"/>
      <c r="T223" s="159"/>
      <c r="U223" s="159"/>
      <c r="V223" s="159"/>
      <c r="W223" s="159"/>
      <c r="X223" s="159"/>
      <c r="Y223" s="159"/>
      <c r="Z223" s="159"/>
    </row>
    <row r="224" ht="15.75" customHeight="1">
      <c r="A224" s="140"/>
      <c r="B224" s="114"/>
      <c r="C224" s="165"/>
      <c r="D224" s="161"/>
      <c r="E224" s="161"/>
      <c r="F224" s="161"/>
      <c r="G224" s="161"/>
      <c r="H224" s="161"/>
      <c r="I224" s="161"/>
      <c r="J224" s="161"/>
      <c r="K224" s="161"/>
      <c r="L224" s="161"/>
      <c r="M224" s="161"/>
      <c r="N224" s="161"/>
      <c r="O224" s="161"/>
      <c r="P224" s="161"/>
      <c r="Q224" s="161"/>
      <c r="R224" s="161"/>
      <c r="S224" s="159"/>
      <c r="T224" s="159"/>
      <c r="U224" s="159"/>
      <c r="V224" s="159"/>
      <c r="W224" s="159"/>
      <c r="X224" s="159"/>
      <c r="Y224" s="159"/>
      <c r="Z224" s="159"/>
    </row>
    <row r="225" ht="15.75" customHeight="1">
      <c r="A225" s="140"/>
      <c r="B225" s="114"/>
      <c r="C225" s="165"/>
      <c r="D225" s="161"/>
      <c r="E225" s="161"/>
      <c r="F225" s="161"/>
      <c r="G225" s="161"/>
      <c r="H225" s="161"/>
      <c r="I225" s="161"/>
      <c r="J225" s="161"/>
      <c r="K225" s="161"/>
      <c r="L225" s="161"/>
      <c r="M225" s="161"/>
      <c r="N225" s="161"/>
      <c r="O225" s="161"/>
      <c r="P225" s="161"/>
      <c r="Q225" s="161"/>
      <c r="R225" s="161"/>
      <c r="S225" s="159"/>
      <c r="T225" s="159"/>
      <c r="U225" s="159"/>
      <c r="V225" s="159"/>
      <c r="W225" s="159"/>
      <c r="X225" s="159"/>
      <c r="Y225" s="159"/>
      <c r="Z225" s="159"/>
    </row>
    <row r="226" ht="15.75" customHeight="1">
      <c r="A226" s="140"/>
      <c r="B226" s="114"/>
      <c r="C226" s="165"/>
      <c r="D226" s="161"/>
      <c r="E226" s="161"/>
      <c r="F226" s="161"/>
      <c r="G226" s="161"/>
      <c r="H226" s="161"/>
      <c r="I226" s="161"/>
      <c r="J226" s="161"/>
      <c r="K226" s="161"/>
      <c r="L226" s="161"/>
      <c r="M226" s="161"/>
      <c r="N226" s="161"/>
      <c r="O226" s="161"/>
      <c r="P226" s="161"/>
      <c r="Q226" s="161"/>
      <c r="R226" s="161"/>
      <c r="S226" s="159"/>
      <c r="T226" s="159"/>
      <c r="U226" s="159"/>
      <c r="V226" s="159"/>
      <c r="W226" s="159"/>
      <c r="X226" s="159"/>
      <c r="Y226" s="159"/>
      <c r="Z226" s="159"/>
    </row>
    <row r="227" ht="15.75" customHeight="1">
      <c r="A227" s="140"/>
      <c r="B227" s="114"/>
      <c r="C227" s="165"/>
      <c r="D227" s="161"/>
      <c r="E227" s="161"/>
      <c r="F227" s="161"/>
      <c r="G227" s="161"/>
      <c r="H227" s="161"/>
      <c r="I227" s="161"/>
      <c r="J227" s="161"/>
      <c r="K227" s="161"/>
      <c r="L227" s="161"/>
      <c r="M227" s="161"/>
      <c r="N227" s="161"/>
      <c r="O227" s="161"/>
      <c r="P227" s="161"/>
      <c r="Q227" s="161"/>
      <c r="R227" s="161"/>
      <c r="S227" s="159"/>
      <c r="T227" s="159"/>
      <c r="U227" s="159"/>
      <c r="V227" s="159"/>
      <c r="W227" s="159"/>
      <c r="X227" s="159"/>
      <c r="Y227" s="159"/>
      <c r="Z227" s="159"/>
    </row>
    <row r="228" ht="15.75" customHeight="1">
      <c r="A228" s="140"/>
      <c r="B228" s="114"/>
      <c r="C228" s="165"/>
      <c r="D228" s="161"/>
      <c r="E228" s="161"/>
      <c r="F228" s="161"/>
      <c r="G228" s="161"/>
      <c r="H228" s="161"/>
      <c r="I228" s="161"/>
      <c r="J228" s="161"/>
      <c r="K228" s="161"/>
      <c r="L228" s="161"/>
      <c r="M228" s="161"/>
      <c r="N228" s="161"/>
      <c r="O228" s="161"/>
      <c r="P228" s="161"/>
      <c r="Q228" s="161"/>
      <c r="R228" s="161"/>
      <c r="S228" s="159"/>
      <c r="T228" s="159"/>
      <c r="U228" s="159"/>
      <c r="V228" s="159"/>
      <c r="W228" s="159"/>
      <c r="X228" s="159"/>
      <c r="Y228" s="159"/>
      <c r="Z228" s="159"/>
    </row>
    <row r="229" ht="15.75" customHeight="1">
      <c r="A229" s="140"/>
      <c r="B229" s="114"/>
      <c r="C229" s="165"/>
      <c r="D229" s="161"/>
      <c r="E229" s="161"/>
      <c r="F229" s="161"/>
      <c r="G229" s="161"/>
      <c r="H229" s="161"/>
      <c r="I229" s="161"/>
      <c r="J229" s="161"/>
      <c r="K229" s="161"/>
      <c r="L229" s="161"/>
      <c r="M229" s="161"/>
      <c r="N229" s="161"/>
      <c r="O229" s="161"/>
      <c r="P229" s="161"/>
      <c r="Q229" s="161"/>
      <c r="R229" s="161"/>
      <c r="S229" s="159"/>
      <c r="T229" s="159"/>
      <c r="U229" s="159"/>
      <c r="V229" s="159"/>
      <c r="W229" s="159"/>
      <c r="X229" s="159"/>
      <c r="Y229" s="159"/>
      <c r="Z229" s="159"/>
    </row>
    <row r="230" ht="15.75" customHeight="1">
      <c r="A230" s="140"/>
      <c r="B230" s="114"/>
      <c r="C230" s="165"/>
      <c r="D230" s="161"/>
      <c r="E230" s="161"/>
      <c r="F230" s="161"/>
      <c r="G230" s="161"/>
      <c r="H230" s="161"/>
      <c r="I230" s="161"/>
      <c r="J230" s="161"/>
      <c r="K230" s="161"/>
      <c r="L230" s="161"/>
      <c r="M230" s="161"/>
      <c r="N230" s="161"/>
      <c r="O230" s="161"/>
      <c r="P230" s="161"/>
      <c r="Q230" s="161"/>
      <c r="R230" s="161"/>
      <c r="S230" s="159"/>
      <c r="T230" s="159"/>
      <c r="U230" s="159"/>
      <c r="V230" s="159"/>
      <c r="W230" s="159"/>
      <c r="X230" s="159"/>
      <c r="Y230" s="159"/>
      <c r="Z230" s="159"/>
    </row>
    <row r="231" ht="15.75" customHeight="1">
      <c r="A231" s="140"/>
      <c r="B231" s="114"/>
      <c r="C231" s="165"/>
      <c r="D231" s="161"/>
      <c r="E231" s="161"/>
      <c r="F231" s="161"/>
      <c r="G231" s="161"/>
      <c r="H231" s="161"/>
      <c r="I231" s="161"/>
      <c r="J231" s="161"/>
      <c r="K231" s="161"/>
      <c r="L231" s="161"/>
      <c r="M231" s="161"/>
      <c r="N231" s="161"/>
      <c r="O231" s="161"/>
      <c r="P231" s="161"/>
      <c r="Q231" s="161"/>
      <c r="R231" s="161"/>
      <c r="S231" s="159"/>
      <c r="T231" s="159"/>
      <c r="U231" s="159"/>
      <c r="V231" s="159"/>
      <c r="W231" s="159"/>
      <c r="X231" s="159"/>
      <c r="Y231" s="159"/>
      <c r="Z231" s="159"/>
    </row>
    <row r="232" ht="15.75" customHeight="1">
      <c r="A232" s="140"/>
      <c r="B232" s="114"/>
      <c r="C232" s="165"/>
      <c r="D232" s="161"/>
      <c r="E232" s="161"/>
      <c r="F232" s="161"/>
      <c r="G232" s="161"/>
      <c r="H232" s="161"/>
      <c r="I232" s="161"/>
      <c r="J232" s="161"/>
      <c r="K232" s="161"/>
      <c r="L232" s="161"/>
      <c r="M232" s="161"/>
      <c r="N232" s="161"/>
      <c r="O232" s="161"/>
      <c r="P232" s="161"/>
      <c r="Q232" s="161"/>
      <c r="R232" s="161"/>
      <c r="S232" s="159"/>
      <c r="T232" s="159"/>
      <c r="U232" s="159"/>
      <c r="V232" s="159"/>
      <c r="W232" s="159"/>
      <c r="X232" s="159"/>
      <c r="Y232" s="159"/>
      <c r="Z232" s="159"/>
    </row>
    <row r="233" ht="15.75" customHeight="1">
      <c r="A233" s="140"/>
      <c r="B233" s="114"/>
      <c r="C233" s="165"/>
      <c r="D233" s="161"/>
      <c r="E233" s="161"/>
      <c r="F233" s="161"/>
      <c r="G233" s="161"/>
      <c r="H233" s="161"/>
      <c r="I233" s="161"/>
      <c r="J233" s="161"/>
      <c r="K233" s="161"/>
      <c r="L233" s="161"/>
      <c r="M233" s="161"/>
      <c r="N233" s="161"/>
      <c r="O233" s="161"/>
      <c r="P233" s="161"/>
      <c r="Q233" s="161"/>
      <c r="R233" s="161"/>
      <c r="S233" s="159"/>
      <c r="T233" s="159"/>
      <c r="U233" s="159"/>
      <c r="V233" s="159"/>
      <c r="W233" s="159"/>
      <c r="X233" s="159"/>
      <c r="Y233" s="159"/>
      <c r="Z233" s="159"/>
    </row>
    <row r="234" ht="15.75" customHeight="1">
      <c r="A234" s="140"/>
      <c r="B234" s="114"/>
      <c r="C234" s="165"/>
      <c r="D234" s="161"/>
      <c r="E234" s="161"/>
      <c r="F234" s="161"/>
      <c r="G234" s="161"/>
      <c r="H234" s="161"/>
      <c r="I234" s="161"/>
      <c r="J234" s="161"/>
      <c r="K234" s="161"/>
      <c r="L234" s="161"/>
      <c r="M234" s="161"/>
      <c r="N234" s="161"/>
      <c r="O234" s="161"/>
      <c r="P234" s="161"/>
      <c r="Q234" s="161"/>
      <c r="R234" s="161"/>
      <c r="S234" s="159"/>
      <c r="T234" s="159"/>
      <c r="U234" s="159"/>
      <c r="V234" s="159"/>
      <c r="W234" s="159"/>
      <c r="X234" s="159"/>
      <c r="Y234" s="159"/>
      <c r="Z234" s="159"/>
    </row>
    <row r="235" ht="15.75" customHeight="1">
      <c r="A235" s="140"/>
      <c r="B235" s="114"/>
      <c r="C235" s="165"/>
      <c r="D235" s="161"/>
      <c r="E235" s="161"/>
      <c r="F235" s="161"/>
      <c r="G235" s="161"/>
      <c r="H235" s="161"/>
      <c r="I235" s="161"/>
      <c r="J235" s="161"/>
      <c r="K235" s="161"/>
      <c r="L235" s="161"/>
      <c r="M235" s="161"/>
      <c r="N235" s="161"/>
      <c r="O235" s="161"/>
      <c r="P235" s="161"/>
      <c r="Q235" s="161"/>
      <c r="R235" s="161"/>
      <c r="S235" s="159"/>
      <c r="T235" s="159"/>
      <c r="U235" s="159"/>
      <c r="V235" s="159"/>
      <c r="W235" s="159"/>
      <c r="X235" s="159"/>
      <c r="Y235" s="159"/>
      <c r="Z235" s="159"/>
    </row>
    <row r="236" ht="15.75" customHeight="1">
      <c r="A236" s="140"/>
      <c r="B236" s="114"/>
      <c r="C236" s="165"/>
      <c r="D236" s="161"/>
      <c r="E236" s="161"/>
      <c r="F236" s="161"/>
      <c r="G236" s="161"/>
      <c r="H236" s="161"/>
      <c r="I236" s="161"/>
      <c r="J236" s="161"/>
      <c r="K236" s="161"/>
      <c r="L236" s="161"/>
      <c r="M236" s="161"/>
      <c r="N236" s="161"/>
      <c r="O236" s="161"/>
      <c r="P236" s="161"/>
      <c r="Q236" s="161"/>
      <c r="R236" s="161"/>
      <c r="S236" s="159"/>
      <c r="T236" s="159"/>
      <c r="U236" s="159"/>
      <c r="V236" s="159"/>
      <c r="W236" s="159"/>
      <c r="X236" s="159"/>
      <c r="Y236" s="159"/>
      <c r="Z236" s="159"/>
    </row>
    <row r="237" ht="15.75" customHeight="1">
      <c r="A237" s="140"/>
      <c r="B237" s="114"/>
      <c r="C237" s="165"/>
      <c r="D237" s="161"/>
      <c r="E237" s="161"/>
      <c r="F237" s="161"/>
      <c r="G237" s="161"/>
      <c r="H237" s="161"/>
      <c r="I237" s="161"/>
      <c r="J237" s="161"/>
      <c r="K237" s="161"/>
      <c r="L237" s="161"/>
      <c r="M237" s="161"/>
      <c r="N237" s="161"/>
      <c r="O237" s="161"/>
      <c r="P237" s="161"/>
      <c r="Q237" s="161"/>
      <c r="R237" s="161"/>
      <c r="S237" s="159"/>
      <c r="T237" s="159"/>
      <c r="U237" s="159"/>
      <c r="V237" s="159"/>
      <c r="W237" s="159"/>
      <c r="X237" s="159"/>
      <c r="Y237" s="159"/>
      <c r="Z237" s="159"/>
    </row>
    <row r="238" ht="15.75" customHeight="1">
      <c r="A238" s="140"/>
      <c r="B238" s="114"/>
      <c r="C238" s="165"/>
      <c r="D238" s="161"/>
      <c r="E238" s="161"/>
      <c r="F238" s="161"/>
      <c r="G238" s="161"/>
      <c r="H238" s="161"/>
      <c r="I238" s="161"/>
      <c r="J238" s="161"/>
      <c r="K238" s="161"/>
      <c r="L238" s="161"/>
      <c r="M238" s="161"/>
      <c r="N238" s="161"/>
      <c r="O238" s="161"/>
      <c r="P238" s="161"/>
      <c r="Q238" s="161"/>
      <c r="R238" s="161"/>
      <c r="S238" s="159"/>
      <c r="T238" s="159"/>
      <c r="U238" s="159"/>
      <c r="V238" s="159"/>
      <c r="W238" s="159"/>
      <c r="X238" s="159"/>
      <c r="Y238" s="159"/>
      <c r="Z238" s="159"/>
    </row>
    <row r="239" ht="15.75" customHeight="1">
      <c r="A239" s="140"/>
      <c r="B239" s="114"/>
      <c r="C239" s="165"/>
      <c r="D239" s="161"/>
      <c r="E239" s="161"/>
      <c r="F239" s="161"/>
      <c r="G239" s="161"/>
      <c r="H239" s="161"/>
      <c r="I239" s="161"/>
      <c r="J239" s="161"/>
      <c r="K239" s="161"/>
      <c r="L239" s="161"/>
      <c r="M239" s="161"/>
      <c r="N239" s="161"/>
      <c r="O239" s="161"/>
      <c r="P239" s="161"/>
      <c r="Q239" s="161"/>
      <c r="R239" s="161"/>
      <c r="S239" s="159"/>
      <c r="T239" s="159"/>
      <c r="U239" s="159"/>
      <c r="V239" s="159"/>
      <c r="W239" s="159"/>
      <c r="X239" s="159"/>
      <c r="Y239" s="159"/>
      <c r="Z239" s="159"/>
    </row>
    <row r="240" ht="15.75" customHeight="1">
      <c r="A240" s="140"/>
      <c r="B240" s="114"/>
      <c r="C240" s="165"/>
      <c r="D240" s="161"/>
      <c r="E240" s="161"/>
      <c r="F240" s="161"/>
      <c r="G240" s="161"/>
      <c r="H240" s="161"/>
      <c r="I240" s="161"/>
      <c r="J240" s="161"/>
      <c r="K240" s="161"/>
      <c r="L240" s="161"/>
      <c r="M240" s="161"/>
      <c r="N240" s="161"/>
      <c r="O240" s="161"/>
      <c r="P240" s="161"/>
      <c r="Q240" s="161"/>
      <c r="R240" s="161"/>
      <c r="S240" s="159"/>
      <c r="T240" s="159"/>
      <c r="U240" s="159"/>
      <c r="V240" s="159"/>
      <c r="W240" s="159"/>
      <c r="X240" s="159"/>
      <c r="Y240" s="159"/>
      <c r="Z240" s="159"/>
    </row>
    <row r="241" ht="15.75" customHeight="1">
      <c r="A241" s="140"/>
      <c r="B241" s="114"/>
      <c r="C241" s="165"/>
      <c r="D241" s="161"/>
      <c r="E241" s="161"/>
      <c r="F241" s="161"/>
      <c r="G241" s="161"/>
      <c r="H241" s="161"/>
      <c r="I241" s="161"/>
      <c r="J241" s="161"/>
      <c r="K241" s="161"/>
      <c r="L241" s="161"/>
      <c r="M241" s="161"/>
      <c r="N241" s="161"/>
      <c r="O241" s="161"/>
      <c r="P241" s="161"/>
      <c r="Q241" s="161"/>
      <c r="R241" s="161"/>
      <c r="S241" s="159"/>
      <c r="T241" s="159"/>
      <c r="U241" s="159"/>
      <c r="V241" s="159"/>
      <c r="W241" s="159"/>
      <c r="X241" s="159"/>
      <c r="Y241" s="159"/>
      <c r="Z241" s="159"/>
    </row>
    <row r="242" ht="15.75" customHeight="1">
      <c r="A242" s="140"/>
      <c r="B242" s="114"/>
      <c r="C242" s="165"/>
      <c r="D242" s="161"/>
      <c r="E242" s="161"/>
      <c r="F242" s="161"/>
      <c r="G242" s="161"/>
      <c r="H242" s="161"/>
      <c r="I242" s="161"/>
      <c r="J242" s="161"/>
      <c r="K242" s="161"/>
      <c r="L242" s="161"/>
      <c r="M242" s="161"/>
      <c r="N242" s="161"/>
      <c r="O242" s="161"/>
      <c r="P242" s="161"/>
      <c r="Q242" s="161"/>
      <c r="R242" s="161"/>
      <c r="S242" s="159"/>
      <c r="T242" s="159"/>
      <c r="U242" s="159"/>
      <c r="V242" s="159"/>
      <c r="W242" s="159"/>
      <c r="X242" s="159"/>
      <c r="Y242" s="159"/>
      <c r="Z242" s="159"/>
    </row>
    <row r="243" ht="15.75" customHeight="1">
      <c r="A243" s="140"/>
      <c r="B243" s="114"/>
      <c r="C243" s="165"/>
      <c r="D243" s="161"/>
      <c r="E243" s="161"/>
      <c r="F243" s="161"/>
      <c r="G243" s="161"/>
      <c r="H243" s="161"/>
      <c r="I243" s="161"/>
      <c r="J243" s="161"/>
      <c r="K243" s="161"/>
      <c r="L243" s="161"/>
      <c r="M243" s="161"/>
      <c r="N243" s="161"/>
      <c r="O243" s="161"/>
      <c r="P243" s="161"/>
      <c r="Q243" s="161"/>
      <c r="R243" s="161"/>
      <c r="S243" s="159"/>
      <c r="T243" s="159"/>
      <c r="U243" s="159"/>
      <c r="V243" s="159"/>
      <c r="W243" s="159"/>
      <c r="X243" s="159"/>
      <c r="Y243" s="159"/>
      <c r="Z243" s="159"/>
    </row>
    <row r="244" ht="15.75" customHeight="1">
      <c r="A244" s="140"/>
      <c r="B244" s="140"/>
      <c r="C244" s="181"/>
      <c r="D244" s="182"/>
      <c r="E244" s="182"/>
      <c r="F244" s="182"/>
      <c r="G244" s="182"/>
      <c r="H244" s="183"/>
      <c r="I244" s="182"/>
      <c r="J244" s="182"/>
      <c r="K244" s="182"/>
      <c r="L244" s="182"/>
      <c r="M244" s="182"/>
      <c r="N244" s="182"/>
      <c r="O244" s="182"/>
      <c r="P244" s="182"/>
      <c r="Q244" s="182"/>
      <c r="R244" s="182"/>
      <c r="S244" s="159"/>
      <c r="T244" s="159"/>
      <c r="U244" s="159"/>
      <c r="V244" s="159"/>
      <c r="W244" s="159"/>
      <c r="X244" s="159"/>
      <c r="Y244" s="159"/>
      <c r="Z244" s="159"/>
    </row>
    <row r="245" ht="15.75" customHeight="1">
      <c r="A245" s="140"/>
      <c r="B245" s="140"/>
      <c r="C245" s="181"/>
      <c r="D245" s="182"/>
      <c r="E245" s="182"/>
      <c r="F245" s="182"/>
      <c r="G245" s="182"/>
      <c r="H245" s="183"/>
      <c r="I245" s="182"/>
      <c r="J245" s="182"/>
      <c r="K245" s="182"/>
      <c r="L245" s="182"/>
      <c r="M245" s="182"/>
      <c r="N245" s="182"/>
      <c r="O245" s="182"/>
      <c r="P245" s="182"/>
      <c r="Q245" s="182"/>
      <c r="R245" s="182"/>
      <c r="S245" s="159"/>
      <c r="T245" s="159"/>
      <c r="U245" s="159"/>
      <c r="V245" s="159"/>
      <c r="W245" s="159"/>
      <c r="X245" s="159"/>
      <c r="Y245" s="159"/>
      <c r="Z245" s="159"/>
    </row>
    <row r="246" ht="15.75" customHeight="1">
      <c r="A246" s="118"/>
      <c r="B246" s="118"/>
      <c r="C246" s="181"/>
      <c r="D246" s="159"/>
      <c r="E246" s="159"/>
      <c r="F246" s="159"/>
      <c r="G246" s="159"/>
      <c r="H246" s="83"/>
      <c r="I246" s="159"/>
      <c r="J246" s="159"/>
      <c r="K246" s="159"/>
      <c r="L246" s="159"/>
      <c r="M246" s="159"/>
      <c r="N246" s="159"/>
      <c r="O246" s="159"/>
      <c r="P246" s="159"/>
      <c r="Q246" s="159"/>
      <c r="R246" s="159"/>
      <c r="S246" s="159"/>
      <c r="T246" s="159"/>
      <c r="U246" s="159"/>
      <c r="V246" s="159"/>
      <c r="W246" s="159"/>
      <c r="X246" s="159"/>
      <c r="Y246" s="159"/>
      <c r="Z246" s="159"/>
    </row>
    <row r="247" ht="15.75" customHeight="1">
      <c r="A247" s="118"/>
      <c r="B247" s="118"/>
      <c r="C247" s="181"/>
      <c r="D247" s="159"/>
      <c r="E247" s="159"/>
      <c r="F247" s="159"/>
      <c r="G247" s="159"/>
      <c r="H247" s="83"/>
      <c r="I247" s="159"/>
      <c r="J247" s="159"/>
      <c r="K247" s="159"/>
      <c r="L247" s="159"/>
      <c r="M247" s="159"/>
      <c r="N247" s="159"/>
      <c r="O247" s="159"/>
      <c r="P247" s="159"/>
      <c r="Q247" s="159"/>
      <c r="R247" s="159"/>
      <c r="S247" s="159"/>
      <c r="T247" s="159"/>
      <c r="U247" s="159"/>
      <c r="V247" s="159"/>
      <c r="W247" s="159"/>
      <c r="X247" s="159"/>
      <c r="Y247" s="159"/>
      <c r="Z247" s="159"/>
    </row>
    <row r="248" ht="15.75" customHeight="1">
      <c r="A248" s="118"/>
      <c r="B248" s="118"/>
      <c r="C248" s="181"/>
      <c r="D248" s="159"/>
      <c r="E248" s="159"/>
      <c r="F248" s="159"/>
      <c r="G248" s="159"/>
      <c r="H248" s="83"/>
      <c r="I248" s="159"/>
      <c r="J248" s="159"/>
      <c r="K248" s="159"/>
      <c r="L248" s="159"/>
      <c r="M248" s="159"/>
      <c r="N248" s="159"/>
      <c r="O248" s="159"/>
      <c r="P248" s="159"/>
      <c r="Q248" s="159"/>
      <c r="R248" s="159"/>
      <c r="S248" s="159"/>
      <c r="T248" s="159"/>
      <c r="U248" s="159"/>
      <c r="V248" s="159"/>
      <c r="W248" s="159"/>
      <c r="X248" s="159"/>
      <c r="Y248" s="159"/>
      <c r="Z248" s="159"/>
    </row>
    <row r="249" ht="15.75" customHeight="1">
      <c r="A249" s="118"/>
      <c r="B249" s="118"/>
      <c r="C249" s="181"/>
      <c r="D249" s="159"/>
      <c r="E249" s="159"/>
      <c r="F249" s="159"/>
      <c r="G249" s="159"/>
      <c r="H249" s="83"/>
      <c r="I249" s="159"/>
      <c r="J249" s="159"/>
      <c r="K249" s="159"/>
      <c r="L249" s="159"/>
      <c r="M249" s="159"/>
      <c r="N249" s="159"/>
      <c r="O249" s="159"/>
      <c r="P249" s="159"/>
      <c r="Q249" s="159"/>
      <c r="R249" s="159"/>
      <c r="S249" s="159"/>
      <c r="T249" s="159"/>
      <c r="U249" s="159"/>
      <c r="V249" s="159"/>
      <c r="W249" s="159"/>
      <c r="X249" s="159"/>
      <c r="Y249" s="159"/>
      <c r="Z249" s="159"/>
    </row>
    <row r="250" ht="15.75" customHeight="1">
      <c r="A250" s="118"/>
      <c r="B250" s="118"/>
      <c r="C250" s="181"/>
      <c r="D250" s="159"/>
      <c r="E250" s="159"/>
      <c r="F250" s="159"/>
      <c r="G250" s="159"/>
      <c r="H250" s="83"/>
      <c r="I250" s="159"/>
      <c r="J250" s="159"/>
      <c r="K250" s="159"/>
      <c r="L250" s="159"/>
      <c r="M250" s="159"/>
      <c r="N250" s="159"/>
      <c r="O250" s="159"/>
      <c r="P250" s="159"/>
      <c r="Q250" s="159"/>
      <c r="R250" s="159"/>
      <c r="S250" s="159"/>
      <c r="T250" s="159"/>
      <c r="U250" s="159"/>
      <c r="V250" s="159"/>
      <c r="W250" s="159"/>
      <c r="X250" s="159"/>
      <c r="Y250" s="159"/>
      <c r="Z250" s="159"/>
    </row>
    <row r="251" ht="15.75" customHeight="1">
      <c r="A251" s="118"/>
      <c r="B251" s="118"/>
      <c r="C251" s="181"/>
      <c r="D251" s="159"/>
      <c r="E251" s="159"/>
      <c r="F251" s="159"/>
      <c r="G251" s="159"/>
      <c r="H251" s="83"/>
      <c r="I251" s="159"/>
      <c r="J251" s="159"/>
      <c r="K251" s="159"/>
      <c r="L251" s="159"/>
      <c r="M251" s="159"/>
      <c r="N251" s="159"/>
      <c r="O251" s="159"/>
      <c r="P251" s="159"/>
      <c r="Q251" s="159"/>
      <c r="R251" s="159"/>
      <c r="S251" s="159"/>
      <c r="T251" s="159"/>
      <c r="U251" s="159"/>
      <c r="V251" s="159"/>
      <c r="W251" s="159"/>
      <c r="X251" s="159"/>
      <c r="Y251" s="159"/>
      <c r="Z251" s="159"/>
    </row>
    <row r="252" ht="15.75" customHeight="1">
      <c r="A252" s="118"/>
      <c r="B252" s="118"/>
      <c r="C252" s="181"/>
      <c r="D252" s="159"/>
      <c r="E252" s="159"/>
      <c r="F252" s="159"/>
      <c r="G252" s="159"/>
      <c r="H252" s="83"/>
      <c r="I252" s="159"/>
      <c r="J252" s="159"/>
      <c r="K252" s="159"/>
      <c r="L252" s="159"/>
      <c r="M252" s="159"/>
      <c r="N252" s="159"/>
      <c r="O252" s="159"/>
      <c r="P252" s="159"/>
      <c r="Q252" s="159"/>
      <c r="R252" s="159"/>
      <c r="S252" s="159"/>
      <c r="T252" s="159"/>
      <c r="U252" s="159"/>
      <c r="V252" s="159"/>
      <c r="W252" s="159"/>
      <c r="X252" s="159"/>
      <c r="Y252" s="159"/>
      <c r="Z252" s="159"/>
    </row>
    <row r="253" ht="15.75" customHeight="1">
      <c r="A253" s="118"/>
      <c r="B253" s="118"/>
      <c r="C253" s="181"/>
      <c r="D253" s="159"/>
      <c r="E253" s="159"/>
      <c r="F253" s="159"/>
      <c r="G253" s="159"/>
      <c r="H253" s="83"/>
      <c r="I253" s="159"/>
      <c r="J253" s="159"/>
      <c r="K253" s="159"/>
      <c r="L253" s="159"/>
      <c r="M253" s="159"/>
      <c r="N253" s="159"/>
      <c r="O253" s="159"/>
      <c r="P253" s="159"/>
      <c r="Q253" s="159"/>
      <c r="R253" s="159"/>
      <c r="S253" s="159"/>
      <c r="T253" s="159"/>
      <c r="U253" s="159"/>
      <c r="V253" s="159"/>
      <c r="W253" s="159"/>
      <c r="X253" s="159"/>
      <c r="Y253" s="159"/>
      <c r="Z253" s="159"/>
    </row>
    <row r="254" ht="15.75" customHeight="1">
      <c r="A254" s="118"/>
      <c r="B254" s="118"/>
      <c r="C254" s="181"/>
      <c r="D254" s="159"/>
      <c r="E254" s="159"/>
      <c r="F254" s="159"/>
      <c r="G254" s="159"/>
      <c r="H254" s="83"/>
      <c r="I254" s="159"/>
      <c r="J254" s="159"/>
      <c r="K254" s="159"/>
      <c r="L254" s="159"/>
      <c r="M254" s="159"/>
      <c r="N254" s="159"/>
      <c r="O254" s="159"/>
      <c r="P254" s="159"/>
      <c r="Q254" s="159"/>
      <c r="R254" s="159"/>
      <c r="S254" s="159"/>
      <c r="T254" s="159"/>
      <c r="U254" s="159"/>
      <c r="V254" s="159"/>
      <c r="W254" s="159"/>
      <c r="X254" s="159"/>
      <c r="Y254" s="159"/>
      <c r="Z254" s="159"/>
    </row>
    <row r="255" ht="15.75" customHeight="1">
      <c r="A255" s="118"/>
      <c r="B255" s="118"/>
      <c r="C255" s="181"/>
      <c r="D255" s="159"/>
      <c r="E255" s="159"/>
      <c r="F255" s="159"/>
      <c r="G255" s="159"/>
      <c r="H255" s="83"/>
      <c r="I255" s="159"/>
      <c r="J255" s="159"/>
      <c r="K255" s="159"/>
      <c r="L255" s="159"/>
      <c r="M255" s="159"/>
      <c r="N255" s="159"/>
      <c r="O255" s="159"/>
      <c r="P255" s="159"/>
      <c r="Q255" s="159"/>
      <c r="R255" s="159"/>
      <c r="S255" s="159"/>
      <c r="T255" s="159"/>
      <c r="U255" s="159"/>
      <c r="V255" s="159"/>
      <c r="W255" s="159"/>
      <c r="X255" s="159"/>
      <c r="Y255" s="159"/>
      <c r="Z255" s="159"/>
    </row>
    <row r="256" ht="15.75" customHeight="1">
      <c r="A256" s="118"/>
      <c r="B256" s="118"/>
      <c r="C256" s="181"/>
      <c r="D256" s="159"/>
      <c r="E256" s="159"/>
      <c r="F256" s="159"/>
      <c r="G256" s="159"/>
      <c r="H256" s="83"/>
      <c r="I256" s="159"/>
      <c r="J256" s="159"/>
      <c r="K256" s="159"/>
      <c r="L256" s="159"/>
      <c r="M256" s="159"/>
      <c r="N256" s="159"/>
      <c r="O256" s="159"/>
      <c r="P256" s="159"/>
      <c r="Q256" s="159"/>
      <c r="R256" s="159"/>
      <c r="S256" s="159"/>
      <c r="T256" s="159"/>
      <c r="U256" s="159"/>
      <c r="V256" s="159"/>
      <c r="W256" s="159"/>
      <c r="X256" s="159"/>
      <c r="Y256" s="159"/>
      <c r="Z256" s="159"/>
    </row>
    <row r="257" ht="15.75" customHeight="1">
      <c r="A257" s="118"/>
      <c r="B257" s="118"/>
      <c r="C257" s="181"/>
      <c r="D257" s="159"/>
      <c r="E257" s="159"/>
      <c r="F257" s="159"/>
      <c r="G257" s="159"/>
      <c r="H257" s="83"/>
      <c r="I257" s="159"/>
      <c r="J257" s="159"/>
      <c r="K257" s="159"/>
      <c r="L257" s="159"/>
      <c r="M257" s="159"/>
      <c r="N257" s="159"/>
      <c r="O257" s="159"/>
      <c r="P257" s="159"/>
      <c r="Q257" s="159"/>
      <c r="R257" s="159"/>
      <c r="S257" s="159"/>
      <c r="T257" s="159"/>
      <c r="U257" s="159"/>
      <c r="V257" s="159"/>
      <c r="W257" s="159"/>
      <c r="X257" s="159"/>
      <c r="Y257" s="159"/>
      <c r="Z257" s="159"/>
    </row>
    <row r="258" ht="15.75" customHeight="1">
      <c r="A258" s="118"/>
      <c r="B258" s="118"/>
      <c r="C258" s="181"/>
      <c r="D258" s="159"/>
      <c r="E258" s="159"/>
      <c r="F258" s="159"/>
      <c r="G258" s="159"/>
      <c r="H258" s="83"/>
      <c r="I258" s="159"/>
      <c r="J258" s="159"/>
      <c r="K258" s="159"/>
      <c r="L258" s="159"/>
      <c r="M258" s="159"/>
      <c r="N258" s="159"/>
      <c r="O258" s="159"/>
      <c r="P258" s="159"/>
      <c r="Q258" s="159"/>
      <c r="R258" s="159"/>
      <c r="S258" s="159"/>
      <c r="T258" s="159"/>
      <c r="U258" s="159"/>
      <c r="V258" s="159"/>
      <c r="W258" s="159"/>
      <c r="X258" s="159"/>
      <c r="Y258" s="159"/>
      <c r="Z258" s="159"/>
    </row>
    <row r="259" ht="15.75" customHeight="1">
      <c r="A259" s="118"/>
      <c r="B259" s="118"/>
      <c r="C259" s="181"/>
      <c r="D259" s="159"/>
      <c r="E259" s="159"/>
      <c r="F259" s="159"/>
      <c r="G259" s="159"/>
      <c r="H259" s="83"/>
      <c r="I259" s="159"/>
      <c r="J259" s="159"/>
      <c r="K259" s="159"/>
      <c r="L259" s="159"/>
      <c r="M259" s="159"/>
      <c r="N259" s="159"/>
      <c r="O259" s="159"/>
      <c r="P259" s="159"/>
      <c r="Q259" s="159"/>
      <c r="R259" s="159"/>
      <c r="S259" s="159"/>
      <c r="T259" s="159"/>
      <c r="U259" s="159"/>
      <c r="V259" s="159"/>
      <c r="W259" s="159"/>
      <c r="X259" s="159"/>
      <c r="Y259" s="159"/>
      <c r="Z259" s="159"/>
    </row>
    <row r="260" ht="15.75" customHeight="1">
      <c r="A260" s="118"/>
      <c r="B260" s="118"/>
      <c r="C260" s="181"/>
      <c r="D260" s="159"/>
      <c r="E260" s="159"/>
      <c r="F260" s="159"/>
      <c r="G260" s="159"/>
      <c r="H260" s="83"/>
      <c r="I260" s="159"/>
      <c r="J260" s="159"/>
      <c r="K260" s="159"/>
      <c r="L260" s="159"/>
      <c r="M260" s="159"/>
      <c r="N260" s="159"/>
      <c r="O260" s="159"/>
      <c r="P260" s="159"/>
      <c r="Q260" s="159"/>
      <c r="R260" s="159"/>
      <c r="S260" s="159"/>
      <c r="T260" s="159"/>
      <c r="U260" s="159"/>
      <c r="V260" s="159"/>
      <c r="W260" s="159"/>
      <c r="X260" s="159"/>
      <c r="Y260" s="159"/>
      <c r="Z260" s="159"/>
    </row>
    <row r="261" ht="15.75" customHeight="1">
      <c r="A261" s="118"/>
      <c r="B261" s="118"/>
      <c r="C261" s="181"/>
      <c r="D261" s="159"/>
      <c r="E261" s="159"/>
      <c r="F261" s="159"/>
      <c r="G261" s="159"/>
      <c r="H261" s="83"/>
      <c r="I261" s="159"/>
      <c r="J261" s="159"/>
      <c r="K261" s="159"/>
      <c r="L261" s="159"/>
      <c r="M261" s="159"/>
      <c r="N261" s="159"/>
      <c r="O261" s="159"/>
      <c r="P261" s="159"/>
      <c r="Q261" s="159"/>
      <c r="R261" s="159"/>
      <c r="S261" s="159"/>
      <c r="T261" s="159"/>
      <c r="U261" s="159"/>
      <c r="V261" s="159"/>
      <c r="W261" s="159"/>
      <c r="X261" s="159"/>
      <c r="Y261" s="159"/>
      <c r="Z261" s="159"/>
    </row>
    <row r="262" ht="15.75" customHeight="1">
      <c r="A262" s="118"/>
      <c r="B262" s="118"/>
      <c r="C262" s="181"/>
      <c r="D262" s="159"/>
      <c r="E262" s="159"/>
      <c r="F262" s="159"/>
      <c r="G262" s="159"/>
      <c r="H262" s="83"/>
      <c r="I262" s="159"/>
      <c r="J262" s="159"/>
      <c r="K262" s="159"/>
      <c r="L262" s="159"/>
      <c r="M262" s="159"/>
      <c r="N262" s="159"/>
      <c r="O262" s="159"/>
      <c r="P262" s="159"/>
      <c r="Q262" s="159"/>
      <c r="R262" s="159"/>
      <c r="S262" s="159"/>
      <c r="T262" s="159"/>
      <c r="U262" s="159"/>
      <c r="V262" s="159"/>
      <c r="W262" s="159"/>
      <c r="X262" s="159"/>
      <c r="Y262" s="159"/>
      <c r="Z262" s="159"/>
    </row>
    <row r="263" ht="15.75" customHeight="1">
      <c r="A263" s="118"/>
      <c r="B263" s="118"/>
      <c r="C263" s="181"/>
      <c r="D263" s="159"/>
      <c r="E263" s="159"/>
      <c r="F263" s="159"/>
      <c r="G263" s="159"/>
      <c r="H263" s="83"/>
      <c r="I263" s="159"/>
      <c r="J263" s="159"/>
      <c r="K263" s="159"/>
      <c r="L263" s="159"/>
      <c r="M263" s="159"/>
      <c r="N263" s="159"/>
      <c r="O263" s="159"/>
      <c r="P263" s="159"/>
      <c r="Q263" s="159"/>
      <c r="R263" s="159"/>
      <c r="S263" s="159"/>
      <c r="T263" s="159"/>
      <c r="U263" s="159"/>
      <c r="V263" s="159"/>
      <c r="W263" s="159"/>
      <c r="X263" s="159"/>
      <c r="Y263" s="159"/>
      <c r="Z263" s="159"/>
    </row>
    <row r="264" ht="15.75" customHeight="1">
      <c r="A264" s="118"/>
      <c r="B264" s="118"/>
      <c r="C264" s="181"/>
      <c r="D264" s="159"/>
      <c r="E264" s="159"/>
      <c r="F264" s="159"/>
      <c r="G264" s="159"/>
      <c r="H264" s="83"/>
      <c r="I264" s="159"/>
      <c r="J264" s="159"/>
      <c r="K264" s="159"/>
      <c r="L264" s="159"/>
      <c r="M264" s="159"/>
      <c r="N264" s="159"/>
      <c r="O264" s="159"/>
      <c r="P264" s="159"/>
      <c r="Q264" s="159"/>
      <c r="R264" s="159"/>
      <c r="S264" s="159"/>
      <c r="T264" s="159"/>
      <c r="U264" s="159"/>
      <c r="V264" s="159"/>
      <c r="W264" s="159"/>
      <c r="X264" s="159"/>
      <c r="Y264" s="159"/>
      <c r="Z264" s="159"/>
    </row>
    <row r="265" ht="15.75" customHeight="1">
      <c r="A265" s="118"/>
      <c r="B265" s="118"/>
      <c r="C265" s="181"/>
      <c r="D265" s="159"/>
      <c r="E265" s="159"/>
      <c r="F265" s="159"/>
      <c r="G265" s="159"/>
      <c r="H265" s="83"/>
      <c r="I265" s="159"/>
      <c r="J265" s="159"/>
      <c r="K265" s="159"/>
      <c r="L265" s="159"/>
      <c r="M265" s="159"/>
      <c r="N265" s="159"/>
      <c r="O265" s="159"/>
      <c r="P265" s="159"/>
      <c r="Q265" s="159"/>
      <c r="R265" s="159"/>
      <c r="S265" s="159"/>
      <c r="T265" s="159"/>
      <c r="U265" s="159"/>
      <c r="V265" s="159"/>
      <c r="W265" s="159"/>
      <c r="X265" s="159"/>
      <c r="Y265" s="159"/>
      <c r="Z265" s="159"/>
    </row>
    <row r="266" ht="15.75" customHeight="1">
      <c r="A266" s="118"/>
      <c r="B266" s="118"/>
      <c r="C266" s="181"/>
      <c r="D266" s="159"/>
      <c r="E266" s="159"/>
      <c r="F266" s="159"/>
      <c r="G266" s="159"/>
      <c r="H266" s="83"/>
      <c r="I266" s="159"/>
      <c r="J266" s="159"/>
      <c r="K266" s="159"/>
      <c r="L266" s="159"/>
      <c r="M266" s="159"/>
      <c r="N266" s="159"/>
      <c r="O266" s="159"/>
      <c r="P266" s="159"/>
      <c r="Q266" s="159"/>
      <c r="R266" s="159"/>
      <c r="S266" s="159"/>
      <c r="T266" s="159"/>
      <c r="U266" s="159"/>
      <c r="V266" s="159"/>
      <c r="W266" s="159"/>
      <c r="X266" s="159"/>
      <c r="Y266" s="159"/>
      <c r="Z266" s="159"/>
    </row>
    <row r="267" ht="15.75" customHeight="1">
      <c r="A267" s="118"/>
      <c r="B267" s="118"/>
      <c r="C267" s="181"/>
      <c r="D267" s="159"/>
      <c r="E267" s="159"/>
      <c r="F267" s="159"/>
      <c r="G267" s="159"/>
      <c r="H267" s="83"/>
      <c r="I267" s="159"/>
      <c r="J267" s="159"/>
      <c r="K267" s="159"/>
      <c r="L267" s="159"/>
      <c r="M267" s="159"/>
      <c r="N267" s="159"/>
      <c r="O267" s="159"/>
      <c r="P267" s="159"/>
      <c r="Q267" s="159"/>
      <c r="R267" s="159"/>
      <c r="S267" s="159"/>
      <c r="T267" s="159"/>
      <c r="U267" s="159"/>
      <c r="V267" s="159"/>
      <c r="W267" s="159"/>
      <c r="X267" s="159"/>
      <c r="Y267" s="159"/>
      <c r="Z267" s="159"/>
    </row>
    <row r="268" ht="15.75" customHeight="1">
      <c r="A268" s="118"/>
      <c r="B268" s="118"/>
      <c r="C268" s="181"/>
      <c r="D268" s="159"/>
      <c r="E268" s="159"/>
      <c r="F268" s="159"/>
      <c r="G268" s="159"/>
      <c r="H268" s="83"/>
      <c r="I268" s="159"/>
      <c r="J268" s="159"/>
      <c r="K268" s="159"/>
      <c r="L268" s="159"/>
      <c r="M268" s="159"/>
      <c r="N268" s="159"/>
      <c r="O268" s="159"/>
      <c r="P268" s="159"/>
      <c r="Q268" s="159"/>
      <c r="R268" s="159"/>
      <c r="S268" s="159"/>
      <c r="T268" s="159"/>
      <c r="U268" s="159"/>
      <c r="V268" s="159"/>
      <c r="W268" s="159"/>
      <c r="X268" s="159"/>
      <c r="Y268" s="159"/>
      <c r="Z268" s="159"/>
    </row>
    <row r="269" ht="15.75" customHeight="1">
      <c r="A269" s="118"/>
      <c r="B269" s="118"/>
      <c r="C269" s="181"/>
      <c r="D269" s="159"/>
      <c r="E269" s="159"/>
      <c r="F269" s="159"/>
      <c r="G269" s="159"/>
      <c r="H269" s="83"/>
      <c r="I269" s="159"/>
      <c r="J269" s="159"/>
      <c r="K269" s="159"/>
      <c r="L269" s="159"/>
      <c r="M269" s="159"/>
      <c r="N269" s="159"/>
      <c r="O269" s="159"/>
      <c r="P269" s="159"/>
      <c r="Q269" s="159"/>
      <c r="R269" s="159"/>
      <c r="S269" s="159"/>
      <c r="T269" s="159"/>
      <c r="U269" s="159"/>
      <c r="V269" s="159"/>
      <c r="W269" s="159"/>
      <c r="X269" s="159"/>
      <c r="Y269" s="159"/>
      <c r="Z269" s="159"/>
    </row>
    <row r="270" ht="15.75" customHeight="1">
      <c r="A270" s="118"/>
      <c r="B270" s="118"/>
      <c r="C270" s="181"/>
      <c r="D270" s="159"/>
      <c r="E270" s="159"/>
      <c r="F270" s="159"/>
      <c r="G270" s="159"/>
      <c r="H270" s="83"/>
      <c r="I270" s="159"/>
      <c r="J270" s="159"/>
      <c r="K270" s="159"/>
      <c r="L270" s="159"/>
      <c r="M270" s="159"/>
      <c r="N270" s="159"/>
      <c r="O270" s="159"/>
      <c r="P270" s="159"/>
      <c r="Q270" s="159"/>
      <c r="R270" s="159"/>
      <c r="S270" s="159"/>
      <c r="T270" s="159"/>
      <c r="U270" s="159"/>
      <c r="V270" s="159"/>
      <c r="W270" s="159"/>
      <c r="X270" s="159"/>
      <c r="Y270" s="159"/>
      <c r="Z270" s="159"/>
    </row>
    <row r="271" ht="15.75" customHeight="1">
      <c r="A271" s="118"/>
      <c r="B271" s="118"/>
      <c r="C271" s="181"/>
      <c r="D271" s="159"/>
      <c r="E271" s="159"/>
      <c r="F271" s="159"/>
      <c r="G271" s="159"/>
      <c r="H271" s="83"/>
      <c r="I271" s="159"/>
      <c r="J271" s="159"/>
      <c r="K271" s="159"/>
      <c r="L271" s="159"/>
      <c r="M271" s="159"/>
      <c r="N271" s="159"/>
      <c r="O271" s="159"/>
      <c r="P271" s="159"/>
      <c r="Q271" s="159"/>
      <c r="R271" s="159"/>
      <c r="S271" s="159"/>
      <c r="T271" s="159"/>
      <c r="U271" s="159"/>
      <c r="V271" s="159"/>
      <c r="W271" s="159"/>
      <c r="X271" s="159"/>
      <c r="Y271" s="159"/>
      <c r="Z271" s="159"/>
    </row>
    <row r="272" ht="15.75" customHeight="1">
      <c r="A272" s="118"/>
      <c r="B272" s="118"/>
      <c r="C272" s="181"/>
      <c r="D272" s="159"/>
      <c r="E272" s="159"/>
      <c r="F272" s="159"/>
      <c r="G272" s="159"/>
      <c r="H272" s="83"/>
      <c r="I272" s="159"/>
      <c r="J272" s="159"/>
      <c r="K272" s="159"/>
      <c r="L272" s="159"/>
      <c r="M272" s="159"/>
      <c r="N272" s="159"/>
      <c r="O272" s="159"/>
      <c r="P272" s="159"/>
      <c r="Q272" s="159"/>
      <c r="R272" s="159"/>
      <c r="S272" s="159"/>
      <c r="T272" s="159"/>
      <c r="U272" s="159"/>
      <c r="V272" s="159"/>
      <c r="W272" s="159"/>
      <c r="X272" s="159"/>
      <c r="Y272" s="159"/>
      <c r="Z272" s="159"/>
    </row>
    <row r="273" ht="15.75" customHeight="1">
      <c r="A273" s="118"/>
      <c r="B273" s="118"/>
      <c r="C273" s="181"/>
      <c r="D273" s="159"/>
      <c r="E273" s="159"/>
      <c r="F273" s="159"/>
      <c r="G273" s="159"/>
      <c r="H273" s="83"/>
      <c r="I273" s="159"/>
      <c r="J273" s="159"/>
      <c r="K273" s="159"/>
      <c r="L273" s="159"/>
      <c r="M273" s="159"/>
      <c r="N273" s="159"/>
      <c r="O273" s="159"/>
      <c r="P273" s="159"/>
      <c r="Q273" s="159"/>
      <c r="R273" s="159"/>
      <c r="S273" s="159"/>
      <c r="T273" s="159"/>
      <c r="U273" s="159"/>
      <c r="V273" s="159"/>
      <c r="W273" s="159"/>
      <c r="X273" s="159"/>
      <c r="Y273" s="159"/>
      <c r="Z273" s="159"/>
    </row>
    <row r="274" ht="15.75" customHeight="1">
      <c r="A274" s="118"/>
      <c r="B274" s="118"/>
      <c r="C274" s="181"/>
      <c r="D274" s="159"/>
      <c r="E274" s="159"/>
      <c r="F274" s="159"/>
      <c r="G274" s="159"/>
      <c r="H274" s="83"/>
      <c r="I274" s="159"/>
      <c r="J274" s="159"/>
      <c r="K274" s="159"/>
      <c r="L274" s="159"/>
      <c r="M274" s="159"/>
      <c r="N274" s="159"/>
      <c r="O274" s="159"/>
      <c r="P274" s="159"/>
      <c r="Q274" s="159"/>
      <c r="R274" s="159"/>
      <c r="S274" s="159"/>
      <c r="T274" s="159"/>
      <c r="U274" s="159"/>
      <c r="V274" s="159"/>
      <c r="W274" s="159"/>
      <c r="X274" s="159"/>
      <c r="Y274" s="159"/>
      <c r="Z274" s="159"/>
    </row>
    <row r="275" ht="15.75" customHeight="1">
      <c r="A275" s="118"/>
      <c r="B275" s="118"/>
      <c r="C275" s="181"/>
      <c r="D275" s="159"/>
      <c r="E275" s="159"/>
      <c r="F275" s="159"/>
      <c r="G275" s="159"/>
      <c r="H275" s="83"/>
      <c r="I275" s="159"/>
      <c r="J275" s="159"/>
      <c r="K275" s="159"/>
      <c r="L275" s="159"/>
      <c r="M275" s="159"/>
      <c r="N275" s="159"/>
      <c r="O275" s="159"/>
      <c r="P275" s="159"/>
      <c r="Q275" s="159"/>
      <c r="R275" s="159"/>
      <c r="S275" s="159"/>
      <c r="T275" s="159"/>
      <c r="U275" s="159"/>
      <c r="V275" s="159"/>
      <c r="W275" s="159"/>
      <c r="X275" s="159"/>
      <c r="Y275" s="159"/>
      <c r="Z275" s="159"/>
    </row>
    <row r="276" ht="15.75" customHeight="1">
      <c r="A276" s="118"/>
      <c r="B276" s="118"/>
      <c r="C276" s="181"/>
      <c r="D276" s="159"/>
      <c r="E276" s="159"/>
      <c r="F276" s="159"/>
      <c r="G276" s="159"/>
      <c r="H276" s="83"/>
      <c r="I276" s="159"/>
      <c r="J276" s="159"/>
      <c r="K276" s="159"/>
      <c r="L276" s="159"/>
      <c r="M276" s="159"/>
      <c r="N276" s="159"/>
      <c r="O276" s="159"/>
      <c r="P276" s="159"/>
      <c r="Q276" s="159"/>
      <c r="R276" s="159"/>
      <c r="S276" s="159"/>
      <c r="T276" s="159"/>
      <c r="U276" s="159"/>
      <c r="V276" s="159"/>
      <c r="W276" s="159"/>
      <c r="X276" s="159"/>
      <c r="Y276" s="159"/>
      <c r="Z276" s="159"/>
    </row>
    <row r="277" ht="15.75" customHeight="1">
      <c r="A277" s="118"/>
      <c r="B277" s="118"/>
      <c r="C277" s="181"/>
      <c r="D277" s="159"/>
      <c r="E277" s="159"/>
      <c r="F277" s="159"/>
      <c r="G277" s="159"/>
      <c r="H277" s="83"/>
      <c r="I277" s="159"/>
      <c r="J277" s="159"/>
      <c r="K277" s="159"/>
      <c r="L277" s="159"/>
      <c r="M277" s="159"/>
      <c r="N277" s="159"/>
      <c r="O277" s="159"/>
      <c r="P277" s="159"/>
      <c r="Q277" s="159"/>
      <c r="R277" s="159"/>
      <c r="S277" s="159"/>
      <c r="T277" s="159"/>
      <c r="U277" s="159"/>
      <c r="V277" s="159"/>
      <c r="W277" s="159"/>
      <c r="X277" s="159"/>
      <c r="Y277" s="159"/>
      <c r="Z277" s="159"/>
    </row>
    <row r="278" ht="15.75" customHeight="1">
      <c r="A278" s="118"/>
      <c r="B278" s="118"/>
      <c r="C278" s="181"/>
      <c r="D278" s="159"/>
      <c r="E278" s="159"/>
      <c r="F278" s="159"/>
      <c r="G278" s="159"/>
      <c r="H278" s="83"/>
      <c r="I278" s="159"/>
      <c r="J278" s="159"/>
      <c r="K278" s="159"/>
      <c r="L278" s="159"/>
      <c r="M278" s="159"/>
      <c r="N278" s="159"/>
      <c r="O278" s="159"/>
      <c r="P278" s="159"/>
      <c r="Q278" s="159"/>
      <c r="R278" s="159"/>
      <c r="S278" s="159"/>
      <c r="T278" s="159"/>
      <c r="U278" s="159"/>
      <c r="V278" s="159"/>
      <c r="W278" s="159"/>
      <c r="X278" s="159"/>
      <c r="Y278" s="159"/>
      <c r="Z278" s="159"/>
    </row>
    <row r="279" ht="15.75" customHeight="1">
      <c r="A279" s="118"/>
      <c r="B279" s="118"/>
      <c r="C279" s="181"/>
      <c r="D279" s="159"/>
      <c r="E279" s="159"/>
      <c r="F279" s="159"/>
      <c r="G279" s="159"/>
      <c r="H279" s="83"/>
      <c r="I279" s="159"/>
      <c r="J279" s="159"/>
      <c r="K279" s="159"/>
      <c r="L279" s="159"/>
      <c r="M279" s="159"/>
      <c r="N279" s="159"/>
      <c r="O279" s="159"/>
      <c r="P279" s="159"/>
      <c r="Q279" s="159"/>
      <c r="R279" s="159"/>
      <c r="S279" s="159"/>
      <c r="T279" s="159"/>
      <c r="U279" s="159"/>
      <c r="V279" s="159"/>
      <c r="W279" s="159"/>
      <c r="X279" s="159"/>
      <c r="Y279" s="159"/>
      <c r="Z279" s="159"/>
    </row>
    <row r="280" ht="15.75" customHeight="1">
      <c r="A280" s="118"/>
      <c r="B280" s="118"/>
      <c r="C280" s="181"/>
      <c r="D280" s="159"/>
      <c r="E280" s="159"/>
      <c r="F280" s="159"/>
      <c r="G280" s="159"/>
      <c r="H280" s="83"/>
      <c r="I280" s="159"/>
      <c r="J280" s="159"/>
      <c r="K280" s="159"/>
      <c r="L280" s="159"/>
      <c r="M280" s="159"/>
      <c r="N280" s="159"/>
      <c r="O280" s="159"/>
      <c r="P280" s="159"/>
      <c r="Q280" s="159"/>
      <c r="R280" s="159"/>
      <c r="S280" s="159"/>
      <c r="T280" s="159"/>
      <c r="U280" s="159"/>
      <c r="V280" s="159"/>
      <c r="W280" s="159"/>
      <c r="X280" s="159"/>
      <c r="Y280" s="159"/>
      <c r="Z280" s="159"/>
    </row>
    <row r="281" ht="15.75" customHeight="1">
      <c r="A281" s="118"/>
      <c r="B281" s="118"/>
      <c r="C281" s="181"/>
      <c r="D281" s="159"/>
      <c r="E281" s="159"/>
      <c r="F281" s="159"/>
      <c r="G281" s="159"/>
      <c r="H281" s="83"/>
      <c r="I281" s="159"/>
      <c r="J281" s="159"/>
      <c r="K281" s="159"/>
      <c r="L281" s="159"/>
      <c r="M281" s="159"/>
      <c r="N281" s="159"/>
      <c r="O281" s="159"/>
      <c r="P281" s="159"/>
      <c r="Q281" s="159"/>
      <c r="R281" s="159"/>
      <c r="S281" s="159"/>
      <c r="T281" s="159"/>
      <c r="U281" s="159"/>
      <c r="V281" s="159"/>
      <c r="W281" s="159"/>
      <c r="X281" s="159"/>
      <c r="Y281" s="159"/>
      <c r="Z281" s="159"/>
    </row>
    <row r="282" ht="15.75" customHeight="1">
      <c r="A282" s="118"/>
      <c r="B282" s="118"/>
      <c r="C282" s="181"/>
      <c r="D282" s="159"/>
      <c r="E282" s="159"/>
      <c r="F282" s="159"/>
      <c r="G282" s="159"/>
      <c r="H282" s="83"/>
      <c r="I282" s="159"/>
      <c r="J282" s="159"/>
      <c r="K282" s="159"/>
      <c r="L282" s="159"/>
      <c r="M282" s="159"/>
      <c r="N282" s="159"/>
      <c r="O282" s="159"/>
      <c r="P282" s="159"/>
      <c r="Q282" s="159"/>
      <c r="R282" s="159"/>
      <c r="S282" s="159"/>
      <c r="T282" s="159"/>
      <c r="U282" s="159"/>
      <c r="V282" s="159"/>
      <c r="W282" s="159"/>
      <c r="X282" s="159"/>
      <c r="Y282" s="159"/>
      <c r="Z282" s="159"/>
    </row>
    <row r="283" ht="15.75" customHeight="1">
      <c r="A283" s="118"/>
      <c r="B283" s="118"/>
      <c r="C283" s="181"/>
      <c r="D283" s="159"/>
      <c r="E283" s="159"/>
      <c r="F283" s="159"/>
      <c r="G283" s="159"/>
      <c r="H283" s="83"/>
      <c r="I283" s="159"/>
      <c r="J283" s="159"/>
      <c r="K283" s="159"/>
      <c r="L283" s="159"/>
      <c r="M283" s="159"/>
      <c r="N283" s="159"/>
      <c r="O283" s="159"/>
      <c r="P283" s="159"/>
      <c r="Q283" s="159"/>
      <c r="R283" s="159"/>
      <c r="S283" s="159"/>
      <c r="T283" s="159"/>
      <c r="U283" s="159"/>
      <c r="V283" s="159"/>
      <c r="W283" s="159"/>
      <c r="X283" s="159"/>
      <c r="Y283" s="159"/>
      <c r="Z283" s="159"/>
    </row>
    <row r="284" ht="15.75" customHeight="1">
      <c r="A284" s="118"/>
      <c r="B284" s="118"/>
      <c r="C284" s="181"/>
      <c r="D284" s="159"/>
      <c r="E284" s="159"/>
      <c r="F284" s="159"/>
      <c r="G284" s="159"/>
      <c r="H284" s="83"/>
      <c r="I284" s="159"/>
      <c r="J284" s="159"/>
      <c r="K284" s="159"/>
      <c r="L284" s="159"/>
      <c r="M284" s="159"/>
      <c r="N284" s="159"/>
      <c r="O284" s="159"/>
      <c r="P284" s="159"/>
      <c r="Q284" s="159"/>
      <c r="R284" s="159"/>
      <c r="S284" s="159"/>
      <c r="T284" s="159"/>
      <c r="U284" s="159"/>
      <c r="V284" s="159"/>
      <c r="W284" s="159"/>
      <c r="X284" s="159"/>
      <c r="Y284" s="159"/>
      <c r="Z284" s="159"/>
    </row>
    <row r="285" ht="15.75" customHeight="1">
      <c r="A285" s="118"/>
      <c r="B285" s="118"/>
      <c r="C285" s="181"/>
      <c r="D285" s="159"/>
      <c r="E285" s="159"/>
      <c r="F285" s="159"/>
      <c r="G285" s="159"/>
      <c r="H285" s="83"/>
      <c r="I285" s="159"/>
      <c r="J285" s="159"/>
      <c r="K285" s="159"/>
      <c r="L285" s="159"/>
      <c r="M285" s="159"/>
      <c r="N285" s="159"/>
      <c r="O285" s="159"/>
      <c r="P285" s="159"/>
      <c r="Q285" s="159"/>
      <c r="R285" s="159"/>
      <c r="S285" s="159"/>
      <c r="T285" s="159"/>
      <c r="U285" s="159"/>
      <c r="V285" s="159"/>
      <c r="W285" s="159"/>
      <c r="X285" s="159"/>
      <c r="Y285" s="159"/>
      <c r="Z285" s="159"/>
    </row>
    <row r="286" ht="15.75" customHeight="1">
      <c r="A286" s="118"/>
      <c r="B286" s="118"/>
      <c r="C286" s="181"/>
      <c r="D286" s="159"/>
      <c r="E286" s="159"/>
      <c r="F286" s="159"/>
      <c r="G286" s="159"/>
      <c r="H286" s="83"/>
      <c r="I286" s="159"/>
      <c r="J286" s="159"/>
      <c r="K286" s="159"/>
      <c r="L286" s="159"/>
      <c r="M286" s="159"/>
      <c r="N286" s="159"/>
      <c r="O286" s="159"/>
      <c r="P286" s="159"/>
      <c r="Q286" s="159"/>
      <c r="R286" s="159"/>
      <c r="S286" s="159"/>
      <c r="T286" s="159"/>
      <c r="U286" s="159"/>
      <c r="V286" s="159"/>
      <c r="W286" s="159"/>
      <c r="X286" s="159"/>
      <c r="Y286" s="159"/>
      <c r="Z286" s="159"/>
    </row>
    <row r="287" ht="15.75" customHeight="1">
      <c r="A287" s="118"/>
      <c r="B287" s="118"/>
      <c r="C287" s="181"/>
      <c r="D287" s="159"/>
      <c r="E287" s="159"/>
      <c r="F287" s="159"/>
      <c r="G287" s="159"/>
      <c r="H287" s="83"/>
      <c r="I287" s="159"/>
      <c r="J287" s="159"/>
      <c r="K287" s="159"/>
      <c r="L287" s="159"/>
      <c r="M287" s="159"/>
      <c r="N287" s="159"/>
      <c r="O287" s="159"/>
      <c r="P287" s="159"/>
      <c r="Q287" s="159"/>
      <c r="R287" s="159"/>
      <c r="S287" s="159"/>
      <c r="T287" s="159"/>
      <c r="U287" s="159"/>
      <c r="V287" s="159"/>
      <c r="W287" s="159"/>
      <c r="X287" s="159"/>
      <c r="Y287" s="159"/>
      <c r="Z287" s="159"/>
    </row>
    <row r="288" ht="15.75" customHeight="1">
      <c r="A288" s="118"/>
      <c r="B288" s="118"/>
      <c r="C288" s="181"/>
      <c r="D288" s="159"/>
      <c r="E288" s="159"/>
      <c r="F288" s="159"/>
      <c r="G288" s="159"/>
      <c r="H288" s="83"/>
      <c r="I288" s="159"/>
      <c r="J288" s="159"/>
      <c r="K288" s="159"/>
      <c r="L288" s="159"/>
      <c r="M288" s="159"/>
      <c r="N288" s="159"/>
      <c r="O288" s="159"/>
      <c r="P288" s="159"/>
      <c r="Q288" s="159"/>
      <c r="R288" s="159"/>
      <c r="S288" s="159"/>
      <c r="T288" s="159"/>
      <c r="U288" s="159"/>
      <c r="V288" s="159"/>
      <c r="W288" s="159"/>
      <c r="X288" s="159"/>
      <c r="Y288" s="159"/>
      <c r="Z288" s="159"/>
    </row>
    <row r="289" ht="15.75" customHeight="1">
      <c r="A289" s="118"/>
      <c r="B289" s="118"/>
      <c r="C289" s="181"/>
      <c r="D289" s="159"/>
      <c r="E289" s="159"/>
      <c r="F289" s="159"/>
      <c r="G289" s="159"/>
      <c r="H289" s="83"/>
      <c r="I289" s="159"/>
      <c r="J289" s="159"/>
      <c r="K289" s="159"/>
      <c r="L289" s="159"/>
      <c r="M289" s="159"/>
      <c r="N289" s="159"/>
      <c r="O289" s="159"/>
      <c r="P289" s="159"/>
      <c r="Q289" s="159"/>
      <c r="R289" s="159"/>
      <c r="S289" s="159"/>
      <c r="T289" s="159"/>
      <c r="U289" s="159"/>
      <c r="V289" s="159"/>
      <c r="W289" s="159"/>
      <c r="X289" s="159"/>
      <c r="Y289" s="159"/>
      <c r="Z289" s="159"/>
    </row>
    <row r="290" ht="15.75" customHeight="1">
      <c r="A290" s="118"/>
      <c r="B290" s="118"/>
      <c r="C290" s="181"/>
      <c r="D290" s="159"/>
      <c r="E290" s="159"/>
      <c r="F290" s="159"/>
      <c r="G290" s="159"/>
      <c r="H290" s="83"/>
      <c r="I290" s="159"/>
      <c r="J290" s="159"/>
      <c r="K290" s="159"/>
      <c r="L290" s="159"/>
      <c r="M290" s="159"/>
      <c r="N290" s="159"/>
      <c r="O290" s="159"/>
      <c r="P290" s="159"/>
      <c r="Q290" s="159"/>
      <c r="R290" s="159"/>
      <c r="S290" s="159"/>
      <c r="T290" s="159"/>
      <c r="U290" s="159"/>
      <c r="V290" s="159"/>
      <c r="W290" s="159"/>
      <c r="X290" s="159"/>
      <c r="Y290" s="159"/>
      <c r="Z290" s="159"/>
    </row>
    <row r="291" ht="15.75" customHeight="1">
      <c r="A291" s="118"/>
      <c r="B291" s="118"/>
      <c r="C291" s="181"/>
      <c r="D291" s="159"/>
      <c r="E291" s="159"/>
      <c r="F291" s="159"/>
      <c r="G291" s="159"/>
      <c r="H291" s="83"/>
      <c r="I291" s="159"/>
      <c r="J291" s="159"/>
      <c r="K291" s="159"/>
      <c r="L291" s="159"/>
      <c r="M291" s="159"/>
      <c r="N291" s="159"/>
      <c r="O291" s="159"/>
      <c r="P291" s="159"/>
      <c r="Q291" s="159"/>
      <c r="R291" s="159"/>
      <c r="S291" s="159"/>
      <c r="T291" s="159"/>
      <c r="U291" s="159"/>
      <c r="V291" s="159"/>
      <c r="W291" s="159"/>
      <c r="X291" s="159"/>
      <c r="Y291" s="159"/>
      <c r="Z291" s="159"/>
    </row>
    <row r="292" ht="15.75" customHeight="1">
      <c r="A292" s="118"/>
      <c r="B292" s="118"/>
      <c r="C292" s="181"/>
      <c r="D292" s="159"/>
      <c r="E292" s="159"/>
      <c r="F292" s="159"/>
      <c r="G292" s="159"/>
      <c r="H292" s="83"/>
      <c r="I292" s="159"/>
      <c r="J292" s="159"/>
      <c r="K292" s="159"/>
      <c r="L292" s="159"/>
      <c r="M292" s="159"/>
      <c r="N292" s="159"/>
      <c r="O292" s="159"/>
      <c r="P292" s="159"/>
      <c r="Q292" s="159"/>
      <c r="R292" s="159"/>
      <c r="S292" s="159"/>
      <c r="T292" s="159"/>
      <c r="U292" s="159"/>
      <c r="V292" s="159"/>
      <c r="W292" s="159"/>
      <c r="X292" s="159"/>
      <c r="Y292" s="159"/>
      <c r="Z292" s="159"/>
    </row>
    <row r="293" ht="15.75" customHeight="1">
      <c r="A293" s="118"/>
      <c r="B293" s="118"/>
      <c r="C293" s="181"/>
      <c r="D293" s="159"/>
      <c r="E293" s="159"/>
      <c r="F293" s="159"/>
      <c r="G293" s="159"/>
      <c r="H293" s="83"/>
      <c r="I293" s="159"/>
      <c r="J293" s="159"/>
      <c r="K293" s="159"/>
      <c r="L293" s="159"/>
      <c r="M293" s="159"/>
      <c r="N293" s="159"/>
      <c r="O293" s="159"/>
      <c r="P293" s="159"/>
      <c r="Q293" s="159"/>
      <c r="R293" s="159"/>
      <c r="S293" s="159"/>
      <c r="T293" s="159"/>
      <c r="U293" s="159"/>
      <c r="V293" s="159"/>
      <c r="W293" s="159"/>
      <c r="X293" s="159"/>
      <c r="Y293" s="159"/>
      <c r="Z293" s="159"/>
    </row>
    <row r="294" ht="15.75" customHeight="1">
      <c r="A294" s="118"/>
      <c r="B294" s="118"/>
      <c r="C294" s="181"/>
      <c r="D294" s="159"/>
      <c r="E294" s="159"/>
      <c r="F294" s="159"/>
      <c r="G294" s="159"/>
      <c r="H294" s="83"/>
      <c r="I294" s="159"/>
      <c r="J294" s="159"/>
      <c r="K294" s="159"/>
      <c r="L294" s="159"/>
      <c r="M294" s="159"/>
      <c r="N294" s="159"/>
      <c r="O294" s="159"/>
      <c r="P294" s="159"/>
      <c r="Q294" s="159"/>
      <c r="R294" s="159"/>
      <c r="S294" s="159"/>
      <c r="T294" s="159"/>
      <c r="U294" s="159"/>
      <c r="V294" s="159"/>
      <c r="W294" s="159"/>
      <c r="X294" s="159"/>
      <c r="Y294" s="159"/>
      <c r="Z294" s="159"/>
    </row>
    <row r="295" ht="15.75" customHeight="1">
      <c r="A295" s="118"/>
      <c r="B295" s="118"/>
      <c r="C295" s="181"/>
      <c r="D295" s="159"/>
      <c r="E295" s="159"/>
      <c r="F295" s="159"/>
      <c r="G295" s="159"/>
      <c r="H295" s="83"/>
      <c r="I295" s="159"/>
      <c r="J295" s="159"/>
      <c r="K295" s="159"/>
      <c r="L295" s="159"/>
      <c r="M295" s="159"/>
      <c r="N295" s="159"/>
      <c r="O295" s="159"/>
      <c r="P295" s="159"/>
      <c r="Q295" s="159"/>
      <c r="R295" s="159"/>
      <c r="S295" s="159"/>
      <c r="T295" s="159"/>
      <c r="U295" s="159"/>
      <c r="V295" s="159"/>
      <c r="W295" s="159"/>
      <c r="X295" s="159"/>
      <c r="Y295" s="159"/>
      <c r="Z295" s="159"/>
    </row>
    <row r="296" ht="15.75" customHeight="1">
      <c r="A296" s="118"/>
      <c r="B296" s="118"/>
      <c r="C296" s="181"/>
      <c r="D296" s="159"/>
      <c r="E296" s="159"/>
      <c r="F296" s="159"/>
      <c r="G296" s="159"/>
      <c r="H296" s="83"/>
      <c r="I296" s="159"/>
      <c r="J296" s="159"/>
      <c r="K296" s="159"/>
      <c r="L296" s="159"/>
      <c r="M296" s="159"/>
      <c r="N296" s="159"/>
      <c r="O296" s="159"/>
      <c r="P296" s="159"/>
      <c r="Q296" s="159"/>
      <c r="R296" s="159"/>
      <c r="S296" s="159"/>
      <c r="T296" s="159"/>
      <c r="U296" s="159"/>
      <c r="V296" s="159"/>
      <c r="W296" s="159"/>
      <c r="X296" s="159"/>
      <c r="Y296" s="159"/>
      <c r="Z296" s="159"/>
    </row>
    <row r="297" ht="15.75" customHeight="1">
      <c r="A297" s="118"/>
      <c r="B297" s="118"/>
      <c r="C297" s="181"/>
      <c r="D297" s="159"/>
      <c r="E297" s="159"/>
      <c r="F297" s="159"/>
      <c r="G297" s="159"/>
      <c r="H297" s="83"/>
      <c r="I297" s="159"/>
      <c r="J297" s="159"/>
      <c r="K297" s="159"/>
      <c r="L297" s="159"/>
      <c r="M297" s="159"/>
      <c r="N297" s="159"/>
      <c r="O297" s="159"/>
      <c r="P297" s="159"/>
      <c r="Q297" s="159"/>
      <c r="R297" s="159"/>
      <c r="S297" s="159"/>
      <c r="T297" s="159"/>
      <c r="U297" s="159"/>
      <c r="V297" s="159"/>
      <c r="W297" s="159"/>
      <c r="X297" s="159"/>
      <c r="Y297" s="159"/>
      <c r="Z297" s="159"/>
    </row>
    <row r="298" ht="15.75" customHeight="1">
      <c r="A298" s="118"/>
      <c r="B298" s="118"/>
      <c r="C298" s="181"/>
      <c r="D298" s="159"/>
      <c r="E298" s="159"/>
      <c r="F298" s="159"/>
      <c r="G298" s="159"/>
      <c r="H298" s="83"/>
      <c r="I298" s="159"/>
      <c r="J298" s="159"/>
      <c r="K298" s="159"/>
      <c r="L298" s="159"/>
      <c r="M298" s="159"/>
      <c r="N298" s="159"/>
      <c r="O298" s="159"/>
      <c r="P298" s="159"/>
      <c r="Q298" s="159"/>
      <c r="R298" s="159"/>
      <c r="S298" s="159"/>
      <c r="T298" s="159"/>
      <c r="U298" s="159"/>
      <c r="V298" s="159"/>
      <c r="W298" s="159"/>
      <c r="X298" s="159"/>
      <c r="Y298" s="159"/>
      <c r="Z298" s="159"/>
    </row>
    <row r="299" ht="15.75" customHeight="1">
      <c r="A299" s="118"/>
      <c r="B299" s="118"/>
      <c r="C299" s="181"/>
      <c r="D299" s="159"/>
      <c r="E299" s="159"/>
      <c r="F299" s="159"/>
      <c r="G299" s="159"/>
      <c r="H299" s="83"/>
      <c r="I299" s="159"/>
      <c r="J299" s="159"/>
      <c r="K299" s="159"/>
      <c r="L299" s="159"/>
      <c r="M299" s="159"/>
      <c r="N299" s="159"/>
      <c r="O299" s="159"/>
      <c r="P299" s="159"/>
      <c r="Q299" s="159"/>
      <c r="R299" s="159"/>
      <c r="S299" s="159"/>
      <c r="T299" s="159"/>
      <c r="U299" s="159"/>
      <c r="V299" s="159"/>
      <c r="W299" s="159"/>
      <c r="X299" s="159"/>
      <c r="Y299" s="159"/>
      <c r="Z299" s="159"/>
    </row>
    <row r="300" ht="15.75" customHeight="1">
      <c r="A300" s="118"/>
      <c r="B300" s="118"/>
      <c r="C300" s="181"/>
      <c r="D300" s="159"/>
      <c r="E300" s="159"/>
      <c r="F300" s="159"/>
      <c r="G300" s="159"/>
      <c r="H300" s="83"/>
      <c r="I300" s="159"/>
      <c r="J300" s="159"/>
      <c r="K300" s="159"/>
      <c r="L300" s="159"/>
      <c r="M300" s="159"/>
      <c r="N300" s="159"/>
      <c r="O300" s="159"/>
      <c r="P300" s="159"/>
      <c r="Q300" s="159"/>
      <c r="R300" s="159"/>
      <c r="S300" s="159"/>
      <c r="T300" s="159"/>
      <c r="U300" s="159"/>
      <c r="V300" s="159"/>
      <c r="W300" s="159"/>
      <c r="X300" s="159"/>
      <c r="Y300" s="159"/>
      <c r="Z300" s="159"/>
    </row>
    <row r="301" ht="15.75" customHeight="1">
      <c r="A301" s="118"/>
      <c r="B301" s="118"/>
      <c r="C301" s="181"/>
      <c r="D301" s="159"/>
      <c r="E301" s="159"/>
      <c r="F301" s="159"/>
      <c r="G301" s="159"/>
      <c r="H301" s="83"/>
      <c r="I301" s="159"/>
      <c r="J301" s="159"/>
      <c r="K301" s="159"/>
      <c r="L301" s="159"/>
      <c r="M301" s="159"/>
      <c r="N301" s="159"/>
      <c r="O301" s="159"/>
      <c r="P301" s="159"/>
      <c r="Q301" s="159"/>
      <c r="R301" s="159"/>
      <c r="S301" s="159"/>
      <c r="T301" s="159"/>
      <c r="U301" s="159"/>
      <c r="V301" s="159"/>
      <c r="W301" s="159"/>
      <c r="X301" s="159"/>
      <c r="Y301" s="159"/>
      <c r="Z301" s="159"/>
    </row>
    <row r="302" ht="15.75" customHeight="1">
      <c r="A302" s="118"/>
      <c r="B302" s="118"/>
      <c r="C302" s="181"/>
      <c r="D302" s="159"/>
      <c r="E302" s="159"/>
      <c r="F302" s="159"/>
      <c r="G302" s="159"/>
      <c r="H302" s="83"/>
      <c r="I302" s="159"/>
      <c r="J302" s="159"/>
      <c r="K302" s="159"/>
      <c r="L302" s="159"/>
      <c r="M302" s="159"/>
      <c r="N302" s="159"/>
      <c r="O302" s="159"/>
      <c r="P302" s="159"/>
      <c r="Q302" s="159"/>
      <c r="R302" s="159"/>
      <c r="S302" s="159"/>
      <c r="T302" s="159"/>
      <c r="U302" s="159"/>
      <c r="V302" s="159"/>
      <c r="W302" s="159"/>
      <c r="X302" s="159"/>
      <c r="Y302" s="159"/>
      <c r="Z302" s="159"/>
    </row>
    <row r="303" ht="15.75" customHeight="1">
      <c r="A303" s="118"/>
      <c r="B303" s="118"/>
      <c r="C303" s="181"/>
      <c r="D303" s="159"/>
      <c r="E303" s="159"/>
      <c r="F303" s="159"/>
      <c r="G303" s="159"/>
      <c r="H303" s="83"/>
      <c r="I303" s="159"/>
      <c r="J303" s="159"/>
      <c r="K303" s="159"/>
      <c r="L303" s="159"/>
      <c r="M303" s="159"/>
      <c r="N303" s="159"/>
      <c r="O303" s="159"/>
      <c r="P303" s="159"/>
      <c r="Q303" s="159"/>
      <c r="R303" s="159"/>
      <c r="S303" s="159"/>
      <c r="T303" s="159"/>
      <c r="U303" s="159"/>
      <c r="V303" s="159"/>
      <c r="W303" s="159"/>
      <c r="X303" s="159"/>
      <c r="Y303" s="159"/>
      <c r="Z303" s="159"/>
    </row>
    <row r="304" ht="15.75" customHeight="1">
      <c r="A304" s="118"/>
      <c r="B304" s="118"/>
      <c r="C304" s="181"/>
      <c r="D304" s="159"/>
      <c r="E304" s="159"/>
      <c r="F304" s="159"/>
      <c r="G304" s="159"/>
      <c r="H304" s="83"/>
      <c r="I304" s="159"/>
      <c r="J304" s="159"/>
      <c r="K304" s="159"/>
      <c r="L304" s="159"/>
      <c r="M304" s="159"/>
      <c r="N304" s="159"/>
      <c r="O304" s="159"/>
      <c r="P304" s="159"/>
      <c r="Q304" s="159"/>
      <c r="R304" s="159"/>
      <c r="S304" s="159"/>
      <c r="T304" s="159"/>
      <c r="U304" s="159"/>
      <c r="V304" s="159"/>
      <c r="W304" s="159"/>
      <c r="X304" s="159"/>
      <c r="Y304" s="159"/>
      <c r="Z304" s="159"/>
    </row>
    <row r="305" ht="15.75" customHeight="1">
      <c r="A305" s="118"/>
      <c r="B305" s="118"/>
      <c r="C305" s="181"/>
      <c r="D305" s="159"/>
      <c r="E305" s="159"/>
      <c r="F305" s="159"/>
      <c r="G305" s="159"/>
      <c r="H305" s="83"/>
      <c r="I305" s="159"/>
      <c r="J305" s="159"/>
      <c r="K305" s="159"/>
      <c r="L305" s="159"/>
      <c r="M305" s="159"/>
      <c r="N305" s="159"/>
      <c r="O305" s="159"/>
      <c r="P305" s="159"/>
      <c r="Q305" s="159"/>
      <c r="R305" s="159"/>
      <c r="S305" s="159"/>
      <c r="T305" s="159"/>
      <c r="U305" s="159"/>
      <c r="V305" s="159"/>
      <c r="W305" s="159"/>
      <c r="X305" s="159"/>
      <c r="Y305" s="159"/>
      <c r="Z305" s="159"/>
    </row>
    <row r="306" ht="15.75" customHeight="1">
      <c r="A306" s="118"/>
      <c r="B306" s="118"/>
      <c r="C306" s="181"/>
      <c r="D306" s="159"/>
      <c r="E306" s="159"/>
      <c r="F306" s="159"/>
      <c r="G306" s="159"/>
      <c r="H306" s="83"/>
      <c r="I306" s="159"/>
      <c r="J306" s="159"/>
      <c r="K306" s="159"/>
      <c r="L306" s="159"/>
      <c r="M306" s="159"/>
      <c r="N306" s="159"/>
      <c r="O306" s="159"/>
      <c r="P306" s="159"/>
      <c r="Q306" s="159"/>
      <c r="R306" s="159"/>
      <c r="S306" s="159"/>
      <c r="T306" s="159"/>
      <c r="U306" s="159"/>
      <c r="V306" s="159"/>
      <c r="W306" s="159"/>
      <c r="X306" s="159"/>
      <c r="Y306" s="159"/>
      <c r="Z306" s="159"/>
    </row>
    <row r="307" ht="15.75" customHeight="1">
      <c r="A307" s="118"/>
      <c r="B307" s="118"/>
      <c r="C307" s="181"/>
      <c r="D307" s="159"/>
      <c r="E307" s="159"/>
      <c r="F307" s="159"/>
      <c r="G307" s="159"/>
      <c r="H307" s="83"/>
      <c r="I307" s="159"/>
      <c r="J307" s="159"/>
      <c r="K307" s="159"/>
      <c r="L307" s="159"/>
      <c r="M307" s="159"/>
      <c r="N307" s="159"/>
      <c r="O307" s="159"/>
      <c r="P307" s="159"/>
      <c r="Q307" s="159"/>
      <c r="R307" s="159"/>
      <c r="S307" s="159"/>
      <c r="T307" s="159"/>
      <c r="U307" s="159"/>
      <c r="V307" s="159"/>
      <c r="W307" s="159"/>
      <c r="X307" s="159"/>
      <c r="Y307" s="159"/>
      <c r="Z307" s="159"/>
    </row>
    <row r="308" ht="15.75" customHeight="1">
      <c r="A308" s="118"/>
      <c r="B308" s="118"/>
      <c r="C308" s="181"/>
      <c r="D308" s="159"/>
      <c r="E308" s="159"/>
      <c r="F308" s="159"/>
      <c r="G308" s="159"/>
      <c r="H308" s="83"/>
      <c r="I308" s="159"/>
      <c r="J308" s="159"/>
      <c r="K308" s="159"/>
      <c r="L308" s="159"/>
      <c r="M308" s="159"/>
      <c r="N308" s="159"/>
      <c r="O308" s="159"/>
      <c r="P308" s="159"/>
      <c r="Q308" s="159"/>
      <c r="R308" s="159"/>
      <c r="S308" s="159"/>
      <c r="T308" s="159"/>
      <c r="U308" s="159"/>
      <c r="V308" s="159"/>
      <c r="W308" s="159"/>
      <c r="X308" s="159"/>
      <c r="Y308" s="159"/>
      <c r="Z308" s="159"/>
    </row>
    <row r="309" ht="15.75" customHeight="1">
      <c r="A309" s="118"/>
      <c r="B309" s="118"/>
      <c r="C309" s="181"/>
      <c r="D309" s="159"/>
      <c r="E309" s="159"/>
      <c r="F309" s="159"/>
      <c r="G309" s="159"/>
      <c r="H309" s="83"/>
      <c r="I309" s="159"/>
      <c r="J309" s="159"/>
      <c r="K309" s="159"/>
      <c r="L309" s="159"/>
      <c r="M309" s="159"/>
      <c r="N309" s="159"/>
      <c r="O309" s="159"/>
      <c r="P309" s="159"/>
      <c r="Q309" s="159"/>
      <c r="R309" s="159"/>
      <c r="S309" s="159"/>
      <c r="T309" s="159"/>
      <c r="U309" s="159"/>
      <c r="V309" s="159"/>
      <c r="W309" s="159"/>
      <c r="X309" s="159"/>
      <c r="Y309" s="159"/>
      <c r="Z309" s="159"/>
    </row>
    <row r="310" ht="15.75" customHeight="1">
      <c r="A310" s="118"/>
      <c r="B310" s="118"/>
      <c r="C310" s="181"/>
      <c r="D310" s="159"/>
      <c r="E310" s="159"/>
      <c r="F310" s="159"/>
      <c r="G310" s="159"/>
      <c r="H310" s="83"/>
      <c r="I310" s="159"/>
      <c r="J310" s="159"/>
      <c r="K310" s="159"/>
      <c r="L310" s="159"/>
      <c r="M310" s="159"/>
      <c r="N310" s="159"/>
      <c r="O310" s="159"/>
      <c r="P310" s="159"/>
      <c r="Q310" s="159"/>
      <c r="R310" s="159"/>
      <c r="S310" s="159"/>
      <c r="T310" s="159"/>
      <c r="U310" s="159"/>
      <c r="V310" s="159"/>
      <c r="W310" s="159"/>
      <c r="X310" s="159"/>
      <c r="Y310" s="159"/>
      <c r="Z310" s="159"/>
    </row>
    <row r="311" ht="15.75" customHeight="1">
      <c r="A311" s="118"/>
      <c r="B311" s="118"/>
      <c r="C311" s="181"/>
      <c r="D311" s="159"/>
      <c r="E311" s="159"/>
      <c r="F311" s="159"/>
      <c r="G311" s="159"/>
      <c r="H311" s="83"/>
      <c r="I311" s="159"/>
      <c r="J311" s="159"/>
      <c r="K311" s="159"/>
      <c r="L311" s="159"/>
      <c r="M311" s="159"/>
      <c r="N311" s="159"/>
      <c r="O311" s="159"/>
      <c r="P311" s="159"/>
      <c r="Q311" s="159"/>
      <c r="R311" s="159"/>
      <c r="S311" s="159"/>
      <c r="T311" s="159"/>
      <c r="U311" s="159"/>
      <c r="V311" s="159"/>
      <c r="W311" s="159"/>
      <c r="X311" s="159"/>
      <c r="Y311" s="159"/>
      <c r="Z311" s="159"/>
    </row>
    <row r="312" ht="15.75" customHeight="1">
      <c r="A312" s="118"/>
      <c r="B312" s="118"/>
      <c r="C312" s="181"/>
      <c r="D312" s="159"/>
      <c r="E312" s="159"/>
      <c r="F312" s="159"/>
      <c r="G312" s="159"/>
      <c r="H312" s="83"/>
      <c r="I312" s="159"/>
      <c r="J312" s="159"/>
      <c r="K312" s="159"/>
      <c r="L312" s="159"/>
      <c r="M312" s="159"/>
      <c r="N312" s="159"/>
      <c r="O312" s="159"/>
      <c r="P312" s="159"/>
      <c r="Q312" s="159"/>
      <c r="R312" s="159"/>
      <c r="S312" s="159"/>
      <c r="T312" s="159"/>
      <c r="U312" s="159"/>
      <c r="V312" s="159"/>
      <c r="W312" s="159"/>
      <c r="X312" s="159"/>
      <c r="Y312" s="159"/>
      <c r="Z312" s="159"/>
    </row>
    <row r="313" ht="15.75" customHeight="1">
      <c r="A313" s="118"/>
      <c r="B313" s="118"/>
      <c r="C313" s="181"/>
      <c r="D313" s="159"/>
      <c r="E313" s="159"/>
      <c r="F313" s="159"/>
      <c r="G313" s="159"/>
      <c r="H313" s="83"/>
      <c r="I313" s="159"/>
      <c r="J313" s="159"/>
      <c r="K313" s="159"/>
      <c r="L313" s="159"/>
      <c r="M313" s="159"/>
      <c r="N313" s="159"/>
      <c r="O313" s="159"/>
      <c r="P313" s="159"/>
      <c r="Q313" s="159"/>
      <c r="R313" s="159"/>
      <c r="S313" s="159"/>
      <c r="T313" s="159"/>
      <c r="U313" s="159"/>
      <c r="V313" s="159"/>
      <c r="W313" s="159"/>
      <c r="X313" s="159"/>
      <c r="Y313" s="159"/>
      <c r="Z313" s="159"/>
    </row>
    <row r="314" ht="15.75" customHeight="1">
      <c r="A314" s="118"/>
      <c r="B314" s="118"/>
      <c r="C314" s="181"/>
      <c r="D314" s="159"/>
      <c r="E314" s="159"/>
      <c r="F314" s="159"/>
      <c r="G314" s="159"/>
      <c r="H314" s="83"/>
      <c r="I314" s="159"/>
      <c r="J314" s="159"/>
      <c r="K314" s="159"/>
      <c r="L314" s="159"/>
      <c r="M314" s="159"/>
      <c r="N314" s="159"/>
      <c r="O314" s="159"/>
      <c r="P314" s="159"/>
      <c r="Q314" s="159"/>
      <c r="R314" s="159"/>
      <c r="S314" s="159"/>
      <c r="T314" s="159"/>
      <c r="U314" s="159"/>
      <c r="V314" s="159"/>
      <c r="W314" s="159"/>
      <c r="X314" s="159"/>
      <c r="Y314" s="159"/>
      <c r="Z314" s="159"/>
    </row>
    <row r="315" ht="15.75" customHeight="1">
      <c r="A315" s="118"/>
      <c r="B315" s="118"/>
      <c r="C315" s="181"/>
      <c r="D315" s="159"/>
      <c r="E315" s="159"/>
      <c r="F315" s="159"/>
      <c r="G315" s="159"/>
      <c r="H315" s="83"/>
      <c r="I315" s="159"/>
      <c r="J315" s="159"/>
      <c r="K315" s="159"/>
      <c r="L315" s="159"/>
      <c r="M315" s="159"/>
      <c r="N315" s="159"/>
      <c r="O315" s="159"/>
      <c r="P315" s="159"/>
      <c r="Q315" s="159"/>
      <c r="R315" s="159"/>
      <c r="S315" s="159"/>
      <c r="T315" s="159"/>
      <c r="U315" s="159"/>
      <c r="V315" s="159"/>
      <c r="W315" s="159"/>
      <c r="X315" s="159"/>
      <c r="Y315" s="159"/>
      <c r="Z315" s="159"/>
    </row>
    <row r="316" ht="15.75" customHeight="1">
      <c r="A316" s="118"/>
      <c r="B316" s="118"/>
      <c r="C316" s="181"/>
      <c r="D316" s="159"/>
      <c r="E316" s="159"/>
      <c r="F316" s="159"/>
      <c r="G316" s="159"/>
      <c r="H316" s="83"/>
      <c r="I316" s="159"/>
      <c r="J316" s="159"/>
      <c r="K316" s="159"/>
      <c r="L316" s="159"/>
      <c r="M316" s="159"/>
      <c r="N316" s="159"/>
      <c r="O316" s="159"/>
      <c r="P316" s="159"/>
      <c r="Q316" s="159"/>
      <c r="R316" s="159"/>
      <c r="S316" s="159"/>
      <c r="T316" s="159"/>
      <c r="U316" s="159"/>
      <c r="V316" s="159"/>
      <c r="W316" s="159"/>
      <c r="X316" s="159"/>
      <c r="Y316" s="159"/>
      <c r="Z316" s="159"/>
    </row>
    <row r="317" ht="15.75" customHeight="1">
      <c r="A317" s="118"/>
      <c r="B317" s="118"/>
      <c r="C317" s="181"/>
      <c r="D317" s="159"/>
      <c r="E317" s="159"/>
      <c r="F317" s="159"/>
      <c r="G317" s="159"/>
      <c r="H317" s="83"/>
      <c r="I317" s="159"/>
      <c r="J317" s="159"/>
      <c r="K317" s="159"/>
      <c r="L317" s="159"/>
      <c r="M317" s="159"/>
      <c r="N317" s="159"/>
      <c r="O317" s="159"/>
      <c r="P317" s="159"/>
      <c r="Q317" s="159"/>
      <c r="R317" s="159"/>
      <c r="S317" s="159"/>
      <c r="T317" s="159"/>
      <c r="U317" s="159"/>
      <c r="V317" s="159"/>
      <c r="W317" s="159"/>
      <c r="X317" s="159"/>
      <c r="Y317" s="159"/>
      <c r="Z317" s="159"/>
    </row>
    <row r="318" ht="15.75" customHeight="1">
      <c r="A318" s="118"/>
      <c r="B318" s="118"/>
      <c r="C318" s="181"/>
      <c r="D318" s="159"/>
      <c r="E318" s="159"/>
      <c r="F318" s="159"/>
      <c r="G318" s="159"/>
      <c r="H318" s="83"/>
      <c r="I318" s="159"/>
      <c r="J318" s="159"/>
      <c r="K318" s="159"/>
      <c r="L318" s="159"/>
      <c r="M318" s="159"/>
      <c r="N318" s="159"/>
      <c r="O318" s="159"/>
      <c r="P318" s="159"/>
      <c r="Q318" s="159"/>
      <c r="R318" s="159"/>
      <c r="S318" s="159"/>
      <c r="T318" s="159"/>
      <c r="U318" s="159"/>
      <c r="V318" s="159"/>
      <c r="W318" s="159"/>
      <c r="X318" s="159"/>
      <c r="Y318" s="159"/>
      <c r="Z318" s="159"/>
    </row>
    <row r="319" ht="15.75" customHeight="1">
      <c r="A319" s="118"/>
      <c r="B319" s="118"/>
      <c r="C319" s="181"/>
      <c r="D319" s="159"/>
      <c r="E319" s="159"/>
      <c r="F319" s="159"/>
      <c r="G319" s="159"/>
      <c r="H319" s="83"/>
      <c r="I319" s="159"/>
      <c r="J319" s="159"/>
      <c r="K319" s="159"/>
      <c r="L319" s="159"/>
      <c r="M319" s="159"/>
      <c r="N319" s="159"/>
      <c r="O319" s="159"/>
      <c r="P319" s="159"/>
      <c r="Q319" s="159"/>
      <c r="R319" s="159"/>
      <c r="S319" s="159"/>
      <c r="T319" s="159"/>
      <c r="U319" s="159"/>
      <c r="V319" s="159"/>
      <c r="W319" s="159"/>
      <c r="X319" s="159"/>
      <c r="Y319" s="159"/>
      <c r="Z319" s="159"/>
    </row>
    <row r="320" ht="15.75" customHeight="1">
      <c r="A320" s="118"/>
      <c r="B320" s="118"/>
      <c r="C320" s="181"/>
      <c r="D320" s="159"/>
      <c r="E320" s="159"/>
      <c r="F320" s="159"/>
      <c r="G320" s="159"/>
      <c r="H320" s="83"/>
      <c r="I320" s="159"/>
      <c r="J320" s="159"/>
      <c r="K320" s="159"/>
      <c r="L320" s="159"/>
      <c r="M320" s="159"/>
      <c r="N320" s="159"/>
      <c r="O320" s="159"/>
      <c r="P320" s="159"/>
      <c r="Q320" s="159"/>
      <c r="R320" s="159"/>
      <c r="S320" s="159"/>
      <c r="T320" s="159"/>
      <c r="U320" s="159"/>
      <c r="V320" s="159"/>
      <c r="W320" s="159"/>
      <c r="X320" s="159"/>
      <c r="Y320" s="159"/>
      <c r="Z320" s="159"/>
    </row>
    <row r="321" ht="15.75" customHeight="1">
      <c r="A321" s="118"/>
      <c r="B321" s="118"/>
      <c r="C321" s="181"/>
      <c r="D321" s="159"/>
      <c r="E321" s="159"/>
      <c r="F321" s="159"/>
      <c r="G321" s="159"/>
      <c r="H321" s="83"/>
      <c r="I321" s="159"/>
      <c r="J321" s="159"/>
      <c r="K321" s="159"/>
      <c r="L321" s="159"/>
      <c r="M321" s="159"/>
      <c r="N321" s="159"/>
      <c r="O321" s="159"/>
      <c r="P321" s="159"/>
      <c r="Q321" s="159"/>
      <c r="R321" s="159"/>
      <c r="S321" s="159"/>
      <c r="T321" s="159"/>
      <c r="U321" s="159"/>
      <c r="V321" s="159"/>
      <c r="W321" s="159"/>
      <c r="X321" s="159"/>
      <c r="Y321" s="159"/>
      <c r="Z321" s="159"/>
    </row>
    <row r="322" ht="15.75" customHeight="1">
      <c r="A322" s="118"/>
      <c r="B322" s="118"/>
      <c r="C322" s="181"/>
      <c r="D322" s="159"/>
      <c r="E322" s="159"/>
      <c r="F322" s="159"/>
      <c r="G322" s="159"/>
      <c r="H322" s="83"/>
      <c r="I322" s="159"/>
      <c r="J322" s="159"/>
      <c r="K322" s="159"/>
      <c r="L322" s="159"/>
      <c r="M322" s="159"/>
      <c r="N322" s="159"/>
      <c r="O322" s="159"/>
      <c r="P322" s="159"/>
      <c r="Q322" s="159"/>
      <c r="R322" s="159"/>
      <c r="S322" s="159"/>
      <c r="T322" s="159"/>
      <c r="U322" s="159"/>
      <c r="V322" s="159"/>
      <c r="W322" s="159"/>
      <c r="X322" s="159"/>
      <c r="Y322" s="159"/>
      <c r="Z322" s="159"/>
    </row>
    <row r="323" ht="15.75" customHeight="1">
      <c r="A323" s="118"/>
      <c r="B323" s="118"/>
      <c r="C323" s="181"/>
      <c r="D323" s="159"/>
      <c r="E323" s="159"/>
      <c r="F323" s="159"/>
      <c r="G323" s="159"/>
      <c r="H323" s="83"/>
      <c r="I323" s="159"/>
      <c r="J323" s="159"/>
      <c r="K323" s="159"/>
      <c r="L323" s="159"/>
      <c r="M323" s="159"/>
      <c r="N323" s="159"/>
      <c r="O323" s="159"/>
      <c r="P323" s="159"/>
      <c r="Q323" s="159"/>
      <c r="R323" s="159"/>
      <c r="S323" s="159"/>
      <c r="T323" s="159"/>
      <c r="U323" s="159"/>
      <c r="V323" s="159"/>
      <c r="W323" s="159"/>
      <c r="X323" s="159"/>
      <c r="Y323" s="159"/>
      <c r="Z323" s="159"/>
    </row>
    <row r="324" ht="15.75" customHeight="1">
      <c r="A324" s="118"/>
      <c r="B324" s="118"/>
      <c r="C324" s="181"/>
      <c r="D324" s="159"/>
      <c r="E324" s="159"/>
      <c r="F324" s="159"/>
      <c r="G324" s="159"/>
      <c r="H324" s="83"/>
      <c r="I324" s="159"/>
      <c r="J324" s="159"/>
      <c r="K324" s="159"/>
      <c r="L324" s="159"/>
      <c r="M324" s="159"/>
      <c r="N324" s="159"/>
      <c r="O324" s="159"/>
      <c r="P324" s="159"/>
      <c r="Q324" s="159"/>
      <c r="R324" s="159"/>
      <c r="S324" s="159"/>
      <c r="T324" s="159"/>
      <c r="U324" s="159"/>
      <c r="V324" s="159"/>
      <c r="W324" s="159"/>
      <c r="X324" s="159"/>
      <c r="Y324" s="159"/>
      <c r="Z324" s="159"/>
    </row>
    <row r="325" ht="15.75" customHeight="1">
      <c r="A325" s="118"/>
      <c r="B325" s="118"/>
      <c r="C325" s="181"/>
      <c r="D325" s="159"/>
      <c r="E325" s="159"/>
      <c r="F325" s="159"/>
      <c r="G325" s="159"/>
      <c r="H325" s="83"/>
      <c r="I325" s="159"/>
      <c r="J325" s="159"/>
      <c r="K325" s="159"/>
      <c r="L325" s="159"/>
      <c r="M325" s="159"/>
      <c r="N325" s="159"/>
      <c r="O325" s="159"/>
      <c r="P325" s="159"/>
      <c r="Q325" s="159"/>
      <c r="R325" s="159"/>
      <c r="S325" s="159"/>
      <c r="T325" s="159"/>
      <c r="U325" s="159"/>
      <c r="V325" s="159"/>
      <c r="W325" s="159"/>
      <c r="X325" s="159"/>
      <c r="Y325" s="159"/>
      <c r="Z325" s="159"/>
    </row>
    <row r="326" ht="15.75" customHeight="1">
      <c r="A326" s="118"/>
      <c r="B326" s="118"/>
      <c r="C326" s="181"/>
      <c r="D326" s="159"/>
      <c r="E326" s="159"/>
      <c r="F326" s="159"/>
      <c r="G326" s="159"/>
      <c r="H326" s="83"/>
      <c r="I326" s="159"/>
      <c r="J326" s="159"/>
      <c r="K326" s="159"/>
      <c r="L326" s="159"/>
      <c r="M326" s="159"/>
      <c r="N326" s="159"/>
      <c r="O326" s="159"/>
      <c r="P326" s="159"/>
      <c r="Q326" s="159"/>
      <c r="R326" s="159"/>
      <c r="S326" s="159"/>
      <c r="T326" s="159"/>
      <c r="U326" s="159"/>
      <c r="V326" s="159"/>
      <c r="W326" s="159"/>
      <c r="X326" s="159"/>
      <c r="Y326" s="159"/>
      <c r="Z326" s="159"/>
    </row>
    <row r="327" ht="15.75" customHeight="1">
      <c r="A327" s="118"/>
      <c r="B327" s="118"/>
      <c r="C327" s="181"/>
      <c r="D327" s="159"/>
      <c r="E327" s="159"/>
      <c r="F327" s="159"/>
      <c r="G327" s="159"/>
      <c r="H327" s="83"/>
      <c r="I327" s="159"/>
      <c r="J327" s="159"/>
      <c r="K327" s="159"/>
      <c r="L327" s="159"/>
      <c r="M327" s="159"/>
      <c r="N327" s="159"/>
      <c r="O327" s="159"/>
      <c r="P327" s="159"/>
      <c r="Q327" s="159"/>
      <c r="R327" s="159"/>
      <c r="S327" s="159"/>
      <c r="T327" s="159"/>
      <c r="U327" s="159"/>
      <c r="V327" s="159"/>
      <c r="W327" s="159"/>
      <c r="X327" s="159"/>
      <c r="Y327" s="159"/>
      <c r="Z327" s="159"/>
    </row>
    <row r="328" ht="15.75" customHeight="1">
      <c r="A328" s="118"/>
      <c r="B328" s="118"/>
      <c r="C328" s="181"/>
      <c r="D328" s="159"/>
      <c r="E328" s="159"/>
      <c r="F328" s="159"/>
      <c r="G328" s="159"/>
      <c r="H328" s="83"/>
      <c r="I328" s="159"/>
      <c r="J328" s="159"/>
      <c r="K328" s="159"/>
      <c r="L328" s="159"/>
      <c r="M328" s="159"/>
      <c r="N328" s="159"/>
      <c r="O328" s="159"/>
      <c r="P328" s="159"/>
      <c r="Q328" s="159"/>
      <c r="R328" s="159"/>
      <c r="S328" s="159"/>
      <c r="T328" s="159"/>
      <c r="U328" s="159"/>
      <c r="V328" s="159"/>
      <c r="W328" s="159"/>
      <c r="X328" s="159"/>
      <c r="Y328" s="159"/>
      <c r="Z328" s="159"/>
    </row>
    <row r="329" ht="15.75" customHeight="1">
      <c r="A329" s="118"/>
      <c r="B329" s="118"/>
      <c r="C329" s="181"/>
      <c r="D329" s="159"/>
      <c r="E329" s="159"/>
      <c r="F329" s="159"/>
      <c r="G329" s="159"/>
      <c r="H329" s="83"/>
      <c r="I329" s="159"/>
      <c r="J329" s="159"/>
      <c r="K329" s="159"/>
      <c r="L329" s="159"/>
      <c r="M329" s="159"/>
      <c r="N329" s="159"/>
      <c r="O329" s="159"/>
      <c r="P329" s="159"/>
      <c r="Q329" s="159"/>
      <c r="R329" s="159"/>
      <c r="S329" s="159"/>
      <c r="T329" s="159"/>
      <c r="U329" s="159"/>
      <c r="V329" s="159"/>
      <c r="W329" s="159"/>
      <c r="X329" s="159"/>
      <c r="Y329" s="159"/>
      <c r="Z329" s="159"/>
    </row>
    <row r="330" ht="15.75" customHeight="1">
      <c r="A330" s="118"/>
      <c r="B330" s="118"/>
      <c r="C330" s="181"/>
      <c r="D330" s="159"/>
      <c r="E330" s="159"/>
      <c r="F330" s="159"/>
      <c r="G330" s="159"/>
      <c r="H330" s="83"/>
      <c r="I330" s="159"/>
      <c r="J330" s="159"/>
      <c r="K330" s="159"/>
      <c r="L330" s="159"/>
      <c r="M330" s="159"/>
      <c r="N330" s="159"/>
      <c r="O330" s="159"/>
      <c r="P330" s="159"/>
      <c r="Q330" s="159"/>
      <c r="R330" s="159"/>
      <c r="S330" s="159"/>
      <c r="T330" s="159"/>
      <c r="U330" s="159"/>
      <c r="V330" s="159"/>
      <c r="W330" s="159"/>
      <c r="X330" s="159"/>
      <c r="Y330" s="159"/>
      <c r="Z330" s="159"/>
    </row>
    <row r="331" ht="15.75" customHeight="1">
      <c r="A331" s="118"/>
      <c r="B331" s="118"/>
      <c r="C331" s="181"/>
      <c r="D331" s="159"/>
      <c r="E331" s="159"/>
      <c r="F331" s="159"/>
      <c r="G331" s="159"/>
      <c r="H331" s="83"/>
      <c r="I331" s="159"/>
      <c r="J331" s="159"/>
      <c r="K331" s="159"/>
      <c r="L331" s="159"/>
      <c r="M331" s="159"/>
      <c r="N331" s="159"/>
      <c r="O331" s="159"/>
      <c r="P331" s="159"/>
      <c r="Q331" s="159"/>
      <c r="R331" s="159"/>
      <c r="S331" s="159"/>
      <c r="T331" s="159"/>
      <c r="U331" s="159"/>
      <c r="V331" s="159"/>
      <c r="W331" s="159"/>
      <c r="X331" s="159"/>
      <c r="Y331" s="159"/>
      <c r="Z331" s="159"/>
    </row>
    <row r="332" ht="15.75" customHeight="1">
      <c r="A332" s="118"/>
      <c r="B332" s="118"/>
      <c r="C332" s="181"/>
      <c r="D332" s="159"/>
      <c r="E332" s="159"/>
      <c r="F332" s="159"/>
      <c r="G332" s="159"/>
      <c r="H332" s="83"/>
      <c r="I332" s="159"/>
      <c r="J332" s="159"/>
      <c r="K332" s="159"/>
      <c r="L332" s="159"/>
      <c r="M332" s="159"/>
      <c r="N332" s="159"/>
      <c r="O332" s="159"/>
      <c r="P332" s="159"/>
      <c r="Q332" s="159"/>
      <c r="R332" s="159"/>
      <c r="S332" s="159"/>
      <c r="T332" s="159"/>
      <c r="U332" s="159"/>
      <c r="V332" s="159"/>
      <c r="W332" s="159"/>
      <c r="X332" s="159"/>
      <c r="Y332" s="159"/>
      <c r="Z332" s="159"/>
    </row>
    <row r="333" ht="15.75" customHeight="1">
      <c r="A333" s="118"/>
      <c r="B333" s="118"/>
      <c r="C333" s="181"/>
      <c r="D333" s="159"/>
      <c r="E333" s="159"/>
      <c r="F333" s="159"/>
      <c r="G333" s="159"/>
      <c r="H333" s="83"/>
      <c r="I333" s="159"/>
      <c r="J333" s="159"/>
      <c r="K333" s="159"/>
      <c r="L333" s="159"/>
      <c r="M333" s="159"/>
      <c r="N333" s="159"/>
      <c r="O333" s="159"/>
      <c r="P333" s="159"/>
      <c r="Q333" s="159"/>
      <c r="R333" s="159"/>
      <c r="S333" s="159"/>
      <c r="T333" s="159"/>
      <c r="U333" s="159"/>
      <c r="V333" s="159"/>
      <c r="W333" s="159"/>
      <c r="X333" s="159"/>
      <c r="Y333" s="159"/>
      <c r="Z333" s="159"/>
    </row>
    <row r="334" ht="15.75" customHeight="1">
      <c r="A334" s="118"/>
      <c r="B334" s="118"/>
      <c r="C334" s="181"/>
      <c r="D334" s="159"/>
      <c r="E334" s="159"/>
      <c r="F334" s="159"/>
      <c r="G334" s="159"/>
      <c r="H334" s="83"/>
      <c r="I334" s="159"/>
      <c r="J334" s="159"/>
      <c r="K334" s="159"/>
      <c r="L334" s="159"/>
      <c r="M334" s="159"/>
      <c r="N334" s="159"/>
      <c r="O334" s="159"/>
      <c r="P334" s="159"/>
      <c r="Q334" s="159"/>
      <c r="R334" s="159"/>
      <c r="S334" s="159"/>
      <c r="T334" s="159"/>
      <c r="U334" s="159"/>
      <c r="V334" s="159"/>
      <c r="W334" s="159"/>
      <c r="X334" s="159"/>
      <c r="Y334" s="159"/>
      <c r="Z334" s="159"/>
    </row>
    <row r="335" ht="15.75" customHeight="1">
      <c r="A335" s="118"/>
      <c r="B335" s="118"/>
      <c r="C335" s="181"/>
      <c r="D335" s="159"/>
      <c r="E335" s="159"/>
      <c r="F335" s="159"/>
      <c r="G335" s="159"/>
      <c r="H335" s="83"/>
      <c r="I335" s="159"/>
      <c r="J335" s="159"/>
      <c r="K335" s="159"/>
      <c r="L335" s="159"/>
      <c r="M335" s="159"/>
      <c r="N335" s="159"/>
      <c r="O335" s="159"/>
      <c r="P335" s="159"/>
      <c r="Q335" s="159"/>
      <c r="R335" s="159"/>
      <c r="S335" s="159"/>
      <c r="T335" s="159"/>
      <c r="U335" s="159"/>
      <c r="V335" s="159"/>
      <c r="W335" s="159"/>
      <c r="X335" s="159"/>
      <c r="Y335" s="159"/>
      <c r="Z335" s="159"/>
    </row>
    <row r="336" ht="15.75" customHeight="1">
      <c r="A336" s="118"/>
      <c r="B336" s="118"/>
      <c r="C336" s="181"/>
      <c r="D336" s="159"/>
      <c r="E336" s="159"/>
      <c r="F336" s="159"/>
      <c r="G336" s="159"/>
      <c r="H336" s="83"/>
      <c r="I336" s="159"/>
      <c r="J336" s="159"/>
      <c r="K336" s="159"/>
      <c r="L336" s="159"/>
      <c r="M336" s="159"/>
      <c r="N336" s="159"/>
      <c r="O336" s="159"/>
      <c r="P336" s="159"/>
      <c r="Q336" s="159"/>
      <c r="R336" s="159"/>
      <c r="S336" s="159"/>
      <c r="T336" s="159"/>
      <c r="U336" s="159"/>
      <c r="V336" s="159"/>
      <c r="W336" s="159"/>
      <c r="X336" s="159"/>
      <c r="Y336" s="159"/>
      <c r="Z336" s="159"/>
    </row>
    <row r="337" ht="15.75" customHeight="1">
      <c r="A337" s="118"/>
      <c r="B337" s="118"/>
      <c r="C337" s="181"/>
      <c r="D337" s="159"/>
      <c r="E337" s="159"/>
      <c r="F337" s="159"/>
      <c r="G337" s="159"/>
      <c r="H337" s="83"/>
      <c r="I337" s="159"/>
      <c r="J337" s="159"/>
      <c r="K337" s="159"/>
      <c r="L337" s="159"/>
      <c r="M337" s="159"/>
      <c r="N337" s="159"/>
      <c r="O337" s="159"/>
      <c r="P337" s="159"/>
      <c r="Q337" s="159"/>
      <c r="R337" s="159"/>
      <c r="S337" s="159"/>
      <c r="T337" s="159"/>
      <c r="U337" s="159"/>
      <c r="V337" s="159"/>
      <c r="W337" s="159"/>
      <c r="X337" s="159"/>
      <c r="Y337" s="159"/>
      <c r="Z337" s="159"/>
    </row>
    <row r="338" ht="15.75" customHeight="1">
      <c r="A338" s="118"/>
      <c r="B338" s="118"/>
      <c r="C338" s="181"/>
      <c r="D338" s="159"/>
      <c r="E338" s="159"/>
      <c r="F338" s="159"/>
      <c r="G338" s="159"/>
      <c r="H338" s="83"/>
      <c r="I338" s="159"/>
      <c r="J338" s="159"/>
      <c r="K338" s="159"/>
      <c r="L338" s="159"/>
      <c r="M338" s="159"/>
      <c r="N338" s="159"/>
      <c r="O338" s="159"/>
      <c r="P338" s="159"/>
      <c r="Q338" s="159"/>
      <c r="R338" s="159"/>
      <c r="S338" s="159"/>
      <c r="T338" s="159"/>
      <c r="U338" s="159"/>
      <c r="V338" s="159"/>
      <c r="W338" s="159"/>
      <c r="X338" s="159"/>
      <c r="Y338" s="159"/>
      <c r="Z338" s="159"/>
    </row>
    <row r="339" ht="15.75" customHeight="1">
      <c r="A339" s="118"/>
      <c r="B339" s="118"/>
      <c r="C339" s="181"/>
      <c r="D339" s="159"/>
      <c r="E339" s="159"/>
      <c r="F339" s="159"/>
      <c r="G339" s="159"/>
      <c r="H339" s="83"/>
      <c r="I339" s="159"/>
      <c r="J339" s="159"/>
      <c r="K339" s="159"/>
      <c r="L339" s="159"/>
      <c r="M339" s="159"/>
      <c r="N339" s="159"/>
      <c r="O339" s="159"/>
      <c r="P339" s="159"/>
      <c r="Q339" s="159"/>
      <c r="R339" s="159"/>
      <c r="S339" s="159"/>
      <c r="T339" s="159"/>
      <c r="U339" s="159"/>
      <c r="V339" s="159"/>
      <c r="W339" s="159"/>
      <c r="X339" s="159"/>
      <c r="Y339" s="159"/>
      <c r="Z339" s="159"/>
    </row>
    <row r="340" ht="15.75" customHeight="1">
      <c r="A340" s="118"/>
      <c r="B340" s="118"/>
      <c r="C340" s="181"/>
      <c r="D340" s="159"/>
      <c r="E340" s="159"/>
      <c r="F340" s="159"/>
      <c r="G340" s="159"/>
      <c r="H340" s="83"/>
      <c r="I340" s="159"/>
      <c r="J340" s="159"/>
      <c r="K340" s="159"/>
      <c r="L340" s="159"/>
      <c r="M340" s="159"/>
      <c r="N340" s="159"/>
      <c r="O340" s="159"/>
      <c r="P340" s="159"/>
      <c r="Q340" s="159"/>
      <c r="R340" s="159"/>
      <c r="S340" s="159"/>
      <c r="T340" s="159"/>
      <c r="U340" s="159"/>
      <c r="V340" s="159"/>
      <c r="W340" s="159"/>
      <c r="X340" s="159"/>
      <c r="Y340" s="159"/>
      <c r="Z340" s="159"/>
    </row>
    <row r="341" ht="15.75" customHeight="1">
      <c r="A341" s="118"/>
      <c r="B341" s="118"/>
      <c r="C341" s="181"/>
      <c r="D341" s="159"/>
      <c r="E341" s="159"/>
      <c r="F341" s="159"/>
      <c r="G341" s="159"/>
      <c r="H341" s="83"/>
      <c r="I341" s="159"/>
      <c r="J341" s="159"/>
      <c r="K341" s="159"/>
      <c r="L341" s="159"/>
      <c r="M341" s="159"/>
      <c r="N341" s="159"/>
      <c r="O341" s="159"/>
      <c r="P341" s="159"/>
      <c r="Q341" s="159"/>
      <c r="R341" s="159"/>
      <c r="S341" s="159"/>
      <c r="T341" s="159"/>
      <c r="U341" s="159"/>
      <c r="V341" s="159"/>
      <c r="W341" s="159"/>
      <c r="X341" s="159"/>
      <c r="Y341" s="159"/>
      <c r="Z341" s="159"/>
    </row>
    <row r="342" ht="15.75" customHeight="1">
      <c r="A342" s="118"/>
      <c r="B342" s="118"/>
      <c r="C342" s="181"/>
      <c r="D342" s="159"/>
      <c r="E342" s="159"/>
      <c r="F342" s="159"/>
      <c r="G342" s="159"/>
      <c r="H342" s="83"/>
      <c r="I342" s="159"/>
      <c r="J342" s="159"/>
      <c r="K342" s="159"/>
      <c r="L342" s="159"/>
      <c r="M342" s="159"/>
      <c r="N342" s="159"/>
      <c r="O342" s="159"/>
      <c r="P342" s="159"/>
      <c r="Q342" s="159"/>
      <c r="R342" s="159"/>
      <c r="S342" s="159"/>
      <c r="T342" s="159"/>
      <c r="U342" s="159"/>
      <c r="V342" s="159"/>
      <c r="W342" s="159"/>
      <c r="X342" s="159"/>
      <c r="Y342" s="159"/>
      <c r="Z342" s="159"/>
    </row>
    <row r="343" ht="15.75" customHeight="1">
      <c r="A343" s="118"/>
      <c r="B343" s="118"/>
      <c r="C343" s="181"/>
      <c r="D343" s="159"/>
      <c r="E343" s="159"/>
      <c r="F343" s="159"/>
      <c r="G343" s="159"/>
      <c r="H343" s="83"/>
      <c r="I343" s="159"/>
      <c r="J343" s="159"/>
      <c r="K343" s="159"/>
      <c r="L343" s="159"/>
      <c r="M343" s="159"/>
      <c r="N343" s="159"/>
      <c r="O343" s="159"/>
      <c r="P343" s="159"/>
      <c r="Q343" s="159"/>
      <c r="R343" s="159"/>
      <c r="S343" s="159"/>
      <c r="T343" s="159"/>
      <c r="U343" s="159"/>
      <c r="V343" s="159"/>
      <c r="W343" s="159"/>
      <c r="X343" s="159"/>
      <c r="Y343" s="159"/>
      <c r="Z343" s="159"/>
    </row>
    <row r="344" ht="15.75" customHeight="1">
      <c r="A344" s="118"/>
      <c r="B344" s="118"/>
      <c r="C344" s="181"/>
      <c r="D344" s="159"/>
      <c r="E344" s="159"/>
      <c r="F344" s="159"/>
      <c r="G344" s="159"/>
      <c r="H344" s="83"/>
      <c r="I344" s="159"/>
      <c r="J344" s="159"/>
      <c r="K344" s="159"/>
      <c r="L344" s="159"/>
      <c r="M344" s="159"/>
      <c r="N344" s="159"/>
      <c r="O344" s="159"/>
      <c r="P344" s="159"/>
      <c r="Q344" s="159"/>
      <c r="R344" s="159"/>
      <c r="S344" s="159"/>
      <c r="T344" s="159"/>
      <c r="U344" s="159"/>
      <c r="V344" s="159"/>
      <c r="W344" s="159"/>
      <c r="X344" s="159"/>
      <c r="Y344" s="159"/>
      <c r="Z344" s="159"/>
    </row>
    <row r="345" ht="15.75" customHeight="1">
      <c r="A345" s="118"/>
      <c r="B345" s="118"/>
      <c r="C345" s="181"/>
      <c r="D345" s="159"/>
      <c r="E345" s="159"/>
      <c r="F345" s="159"/>
      <c r="G345" s="159"/>
      <c r="H345" s="83"/>
      <c r="I345" s="159"/>
      <c r="J345" s="159"/>
      <c r="K345" s="159"/>
      <c r="L345" s="159"/>
      <c r="M345" s="159"/>
      <c r="N345" s="159"/>
      <c r="O345" s="159"/>
      <c r="P345" s="159"/>
      <c r="Q345" s="159"/>
      <c r="R345" s="159"/>
      <c r="S345" s="159"/>
      <c r="T345" s="159"/>
      <c r="U345" s="159"/>
      <c r="V345" s="159"/>
      <c r="W345" s="159"/>
      <c r="X345" s="159"/>
      <c r="Y345" s="159"/>
      <c r="Z345" s="159"/>
    </row>
    <row r="346" ht="15.75" customHeight="1">
      <c r="A346" s="118"/>
      <c r="B346" s="118"/>
      <c r="C346" s="181"/>
      <c r="D346" s="159"/>
      <c r="E346" s="159"/>
      <c r="F346" s="159"/>
      <c r="G346" s="159"/>
      <c r="H346" s="83"/>
      <c r="I346" s="159"/>
      <c r="J346" s="159"/>
      <c r="K346" s="159"/>
      <c r="L346" s="159"/>
      <c r="M346" s="159"/>
      <c r="N346" s="159"/>
      <c r="O346" s="159"/>
      <c r="P346" s="159"/>
      <c r="Q346" s="159"/>
      <c r="R346" s="159"/>
      <c r="S346" s="159"/>
      <c r="T346" s="159"/>
      <c r="U346" s="159"/>
      <c r="V346" s="159"/>
      <c r="W346" s="159"/>
      <c r="X346" s="159"/>
      <c r="Y346" s="159"/>
      <c r="Z346" s="159"/>
    </row>
    <row r="347" ht="15.75" customHeight="1">
      <c r="A347" s="118"/>
      <c r="B347" s="118"/>
      <c r="C347" s="181"/>
      <c r="D347" s="159"/>
      <c r="E347" s="159"/>
      <c r="F347" s="159"/>
      <c r="G347" s="159"/>
      <c r="H347" s="83"/>
      <c r="I347" s="159"/>
      <c r="J347" s="159"/>
      <c r="K347" s="159"/>
      <c r="L347" s="159"/>
      <c r="M347" s="159"/>
      <c r="N347" s="159"/>
      <c r="O347" s="159"/>
      <c r="P347" s="159"/>
      <c r="Q347" s="159"/>
      <c r="R347" s="159"/>
      <c r="S347" s="159"/>
      <c r="T347" s="159"/>
      <c r="U347" s="159"/>
      <c r="V347" s="159"/>
      <c r="W347" s="159"/>
      <c r="X347" s="159"/>
      <c r="Y347" s="159"/>
      <c r="Z347" s="159"/>
    </row>
    <row r="348" ht="15.75" customHeight="1">
      <c r="A348" s="118"/>
      <c r="B348" s="118"/>
      <c r="C348" s="181"/>
      <c r="D348" s="159"/>
      <c r="E348" s="159"/>
      <c r="F348" s="159"/>
      <c r="G348" s="159"/>
      <c r="H348" s="83"/>
      <c r="I348" s="159"/>
      <c r="J348" s="159"/>
      <c r="K348" s="159"/>
      <c r="L348" s="159"/>
      <c r="M348" s="159"/>
      <c r="N348" s="159"/>
      <c r="O348" s="159"/>
      <c r="P348" s="159"/>
      <c r="Q348" s="159"/>
      <c r="R348" s="159"/>
      <c r="S348" s="159"/>
      <c r="T348" s="159"/>
      <c r="U348" s="159"/>
      <c r="V348" s="159"/>
      <c r="W348" s="159"/>
      <c r="X348" s="159"/>
      <c r="Y348" s="159"/>
      <c r="Z348" s="159"/>
    </row>
    <row r="349" ht="15.75" customHeight="1">
      <c r="A349" s="118"/>
      <c r="B349" s="118"/>
      <c r="C349" s="181"/>
      <c r="D349" s="159"/>
      <c r="E349" s="159"/>
      <c r="F349" s="159"/>
      <c r="G349" s="159"/>
      <c r="H349" s="83"/>
      <c r="I349" s="159"/>
      <c r="J349" s="159"/>
      <c r="K349" s="159"/>
      <c r="L349" s="159"/>
      <c r="M349" s="159"/>
      <c r="N349" s="159"/>
      <c r="O349" s="159"/>
      <c r="P349" s="159"/>
      <c r="Q349" s="159"/>
      <c r="R349" s="159"/>
      <c r="S349" s="159"/>
      <c r="T349" s="159"/>
      <c r="U349" s="159"/>
      <c r="V349" s="159"/>
      <c r="W349" s="159"/>
      <c r="X349" s="159"/>
      <c r="Y349" s="159"/>
      <c r="Z349" s="159"/>
    </row>
    <row r="350" ht="15.75" customHeight="1">
      <c r="A350" s="118"/>
      <c r="B350" s="118"/>
      <c r="C350" s="181"/>
      <c r="D350" s="159"/>
      <c r="E350" s="159"/>
      <c r="F350" s="159"/>
      <c r="G350" s="159"/>
      <c r="H350" s="83"/>
      <c r="I350" s="159"/>
      <c r="J350" s="159"/>
      <c r="K350" s="159"/>
      <c r="L350" s="159"/>
      <c r="M350" s="159"/>
      <c r="N350" s="159"/>
      <c r="O350" s="159"/>
      <c r="P350" s="159"/>
      <c r="Q350" s="159"/>
      <c r="R350" s="159"/>
      <c r="S350" s="159"/>
      <c r="T350" s="159"/>
      <c r="U350" s="159"/>
      <c r="V350" s="159"/>
      <c r="W350" s="159"/>
      <c r="X350" s="159"/>
      <c r="Y350" s="159"/>
      <c r="Z350" s="159"/>
    </row>
    <row r="351" ht="15.75" customHeight="1">
      <c r="A351" s="118"/>
      <c r="B351" s="118"/>
      <c r="C351" s="181"/>
      <c r="D351" s="159"/>
      <c r="E351" s="159"/>
      <c r="F351" s="159"/>
      <c r="G351" s="159"/>
      <c r="H351" s="83"/>
      <c r="I351" s="159"/>
      <c r="J351" s="159"/>
      <c r="K351" s="159"/>
      <c r="L351" s="159"/>
      <c r="M351" s="159"/>
      <c r="N351" s="159"/>
      <c r="O351" s="159"/>
      <c r="P351" s="159"/>
      <c r="Q351" s="159"/>
      <c r="R351" s="159"/>
      <c r="S351" s="159"/>
      <c r="T351" s="159"/>
      <c r="U351" s="159"/>
      <c r="V351" s="159"/>
      <c r="W351" s="159"/>
      <c r="X351" s="159"/>
      <c r="Y351" s="159"/>
      <c r="Z351" s="159"/>
    </row>
    <row r="352" ht="15.75" customHeight="1">
      <c r="A352" s="118"/>
      <c r="B352" s="118"/>
      <c r="C352" s="181"/>
      <c r="D352" s="159"/>
      <c r="E352" s="159"/>
      <c r="F352" s="159"/>
      <c r="G352" s="159"/>
      <c r="H352" s="83"/>
      <c r="I352" s="159"/>
      <c r="J352" s="159"/>
      <c r="K352" s="159"/>
      <c r="L352" s="159"/>
      <c r="M352" s="159"/>
      <c r="N352" s="159"/>
      <c r="O352" s="159"/>
      <c r="P352" s="159"/>
      <c r="Q352" s="159"/>
      <c r="R352" s="159"/>
      <c r="S352" s="159"/>
      <c r="T352" s="159"/>
      <c r="U352" s="159"/>
      <c r="V352" s="159"/>
      <c r="W352" s="159"/>
      <c r="X352" s="159"/>
      <c r="Y352" s="159"/>
      <c r="Z352" s="159"/>
    </row>
    <row r="353" ht="15.75" customHeight="1">
      <c r="A353" s="118"/>
      <c r="B353" s="118"/>
      <c r="C353" s="181"/>
      <c r="D353" s="159"/>
      <c r="E353" s="159"/>
      <c r="F353" s="159"/>
      <c r="G353" s="159"/>
      <c r="H353" s="83"/>
      <c r="I353" s="159"/>
      <c r="J353" s="159"/>
      <c r="K353" s="159"/>
      <c r="L353" s="159"/>
      <c r="M353" s="159"/>
      <c r="N353" s="159"/>
      <c r="O353" s="159"/>
      <c r="P353" s="159"/>
      <c r="Q353" s="159"/>
      <c r="R353" s="159"/>
      <c r="S353" s="159"/>
      <c r="T353" s="159"/>
      <c r="U353" s="159"/>
      <c r="V353" s="159"/>
      <c r="W353" s="159"/>
      <c r="X353" s="159"/>
      <c r="Y353" s="159"/>
      <c r="Z353" s="159"/>
    </row>
    <row r="354" ht="15.75" customHeight="1">
      <c r="A354" s="118"/>
      <c r="B354" s="118"/>
      <c r="C354" s="181"/>
      <c r="D354" s="159"/>
      <c r="E354" s="159"/>
      <c r="F354" s="159"/>
      <c r="G354" s="159"/>
      <c r="H354" s="83"/>
      <c r="I354" s="159"/>
      <c r="J354" s="159"/>
      <c r="K354" s="159"/>
      <c r="L354" s="159"/>
      <c r="M354" s="159"/>
      <c r="N354" s="159"/>
      <c r="O354" s="159"/>
      <c r="P354" s="159"/>
      <c r="Q354" s="159"/>
      <c r="R354" s="159"/>
      <c r="S354" s="159"/>
      <c r="T354" s="159"/>
      <c r="U354" s="159"/>
      <c r="V354" s="159"/>
      <c r="W354" s="159"/>
      <c r="X354" s="159"/>
      <c r="Y354" s="159"/>
      <c r="Z354" s="159"/>
    </row>
    <row r="355" ht="15.75" customHeight="1">
      <c r="A355" s="118"/>
      <c r="B355" s="118"/>
      <c r="C355" s="181"/>
      <c r="D355" s="159"/>
      <c r="E355" s="159"/>
      <c r="F355" s="159"/>
      <c r="G355" s="159"/>
      <c r="H355" s="83"/>
      <c r="I355" s="159"/>
      <c r="J355" s="159"/>
      <c r="K355" s="159"/>
      <c r="L355" s="159"/>
      <c r="M355" s="159"/>
      <c r="N355" s="159"/>
      <c r="O355" s="159"/>
      <c r="P355" s="159"/>
      <c r="Q355" s="159"/>
      <c r="R355" s="159"/>
      <c r="S355" s="159"/>
      <c r="T355" s="159"/>
      <c r="U355" s="159"/>
      <c r="V355" s="159"/>
      <c r="W355" s="159"/>
      <c r="X355" s="159"/>
      <c r="Y355" s="159"/>
      <c r="Z355" s="159"/>
    </row>
    <row r="356" ht="15.75" customHeight="1">
      <c r="A356" s="118"/>
      <c r="B356" s="118"/>
      <c r="C356" s="181"/>
      <c r="D356" s="159"/>
      <c r="E356" s="159"/>
      <c r="F356" s="159"/>
      <c r="G356" s="159"/>
      <c r="H356" s="83"/>
      <c r="I356" s="159"/>
      <c r="J356" s="159"/>
      <c r="K356" s="159"/>
      <c r="L356" s="159"/>
      <c r="M356" s="159"/>
      <c r="N356" s="159"/>
      <c r="O356" s="159"/>
      <c r="P356" s="159"/>
      <c r="Q356" s="159"/>
      <c r="R356" s="159"/>
      <c r="S356" s="159"/>
      <c r="T356" s="159"/>
      <c r="U356" s="159"/>
      <c r="V356" s="159"/>
      <c r="W356" s="159"/>
      <c r="X356" s="159"/>
      <c r="Y356" s="159"/>
      <c r="Z356" s="159"/>
    </row>
    <row r="357" ht="15.75" customHeight="1">
      <c r="A357" s="118"/>
      <c r="B357" s="118"/>
      <c r="C357" s="181"/>
      <c r="D357" s="159"/>
      <c r="E357" s="159"/>
      <c r="F357" s="159"/>
      <c r="G357" s="159"/>
      <c r="H357" s="83"/>
      <c r="I357" s="159"/>
      <c r="J357" s="159"/>
      <c r="K357" s="159"/>
      <c r="L357" s="159"/>
      <c r="M357" s="159"/>
      <c r="N357" s="159"/>
      <c r="O357" s="159"/>
      <c r="P357" s="159"/>
      <c r="Q357" s="159"/>
      <c r="R357" s="159"/>
      <c r="S357" s="159"/>
      <c r="T357" s="159"/>
      <c r="U357" s="159"/>
      <c r="V357" s="159"/>
      <c r="W357" s="159"/>
      <c r="X357" s="159"/>
      <c r="Y357" s="159"/>
      <c r="Z357" s="159"/>
    </row>
    <row r="358" ht="15.75" customHeight="1">
      <c r="A358" s="118"/>
      <c r="B358" s="118"/>
      <c r="C358" s="181"/>
      <c r="D358" s="159"/>
      <c r="E358" s="159"/>
      <c r="F358" s="159"/>
      <c r="G358" s="159"/>
      <c r="H358" s="83"/>
      <c r="I358" s="159"/>
      <c r="J358" s="159"/>
      <c r="K358" s="159"/>
      <c r="L358" s="159"/>
      <c r="M358" s="159"/>
      <c r="N358" s="159"/>
      <c r="O358" s="159"/>
      <c r="P358" s="159"/>
      <c r="Q358" s="159"/>
      <c r="R358" s="159"/>
      <c r="S358" s="159"/>
      <c r="T358" s="159"/>
      <c r="U358" s="159"/>
      <c r="V358" s="159"/>
      <c r="W358" s="159"/>
      <c r="X358" s="159"/>
      <c r="Y358" s="159"/>
      <c r="Z358" s="159"/>
    </row>
    <row r="359" ht="15.75" customHeight="1">
      <c r="A359" s="118"/>
      <c r="B359" s="118"/>
      <c r="C359" s="181"/>
      <c r="D359" s="159"/>
      <c r="E359" s="159"/>
      <c r="F359" s="159"/>
      <c r="G359" s="159"/>
      <c r="H359" s="83"/>
      <c r="I359" s="159"/>
      <c r="J359" s="159"/>
      <c r="K359" s="159"/>
      <c r="L359" s="159"/>
      <c r="M359" s="159"/>
      <c r="N359" s="159"/>
      <c r="O359" s="159"/>
      <c r="P359" s="159"/>
      <c r="Q359" s="159"/>
      <c r="R359" s="159"/>
      <c r="S359" s="159"/>
      <c r="T359" s="159"/>
      <c r="U359" s="159"/>
      <c r="V359" s="159"/>
      <c r="W359" s="159"/>
      <c r="X359" s="159"/>
      <c r="Y359" s="159"/>
      <c r="Z359" s="159"/>
    </row>
    <row r="360" ht="15.75" customHeight="1">
      <c r="A360" s="118"/>
      <c r="B360" s="118"/>
      <c r="C360" s="181"/>
      <c r="D360" s="159"/>
      <c r="E360" s="159"/>
      <c r="F360" s="159"/>
      <c r="G360" s="159"/>
      <c r="H360" s="83"/>
      <c r="I360" s="159"/>
      <c r="J360" s="159"/>
      <c r="K360" s="159"/>
      <c r="L360" s="159"/>
      <c r="M360" s="159"/>
      <c r="N360" s="159"/>
      <c r="O360" s="159"/>
      <c r="P360" s="159"/>
      <c r="Q360" s="159"/>
      <c r="R360" s="159"/>
      <c r="S360" s="159"/>
      <c r="T360" s="159"/>
      <c r="U360" s="159"/>
      <c r="V360" s="159"/>
      <c r="W360" s="159"/>
      <c r="X360" s="159"/>
      <c r="Y360" s="159"/>
      <c r="Z360" s="159"/>
    </row>
    <row r="361" ht="15.75" customHeight="1">
      <c r="A361" s="118"/>
      <c r="B361" s="118"/>
      <c r="C361" s="181"/>
      <c r="D361" s="159"/>
      <c r="E361" s="159"/>
      <c r="F361" s="159"/>
      <c r="G361" s="159"/>
      <c r="H361" s="83"/>
      <c r="I361" s="159"/>
      <c r="J361" s="159"/>
      <c r="K361" s="159"/>
      <c r="L361" s="159"/>
      <c r="M361" s="159"/>
      <c r="N361" s="159"/>
      <c r="O361" s="159"/>
      <c r="P361" s="159"/>
      <c r="Q361" s="159"/>
      <c r="R361" s="159"/>
      <c r="S361" s="159"/>
      <c r="T361" s="159"/>
      <c r="U361" s="159"/>
      <c r="V361" s="159"/>
      <c r="W361" s="159"/>
      <c r="X361" s="159"/>
      <c r="Y361" s="159"/>
      <c r="Z361" s="159"/>
    </row>
    <row r="362" ht="15.75" customHeight="1">
      <c r="A362" s="118"/>
      <c r="B362" s="118"/>
      <c r="C362" s="181"/>
      <c r="D362" s="159"/>
      <c r="E362" s="159"/>
      <c r="F362" s="159"/>
      <c r="G362" s="159"/>
      <c r="H362" s="83"/>
      <c r="I362" s="159"/>
      <c r="J362" s="159"/>
      <c r="K362" s="159"/>
      <c r="L362" s="159"/>
      <c r="M362" s="159"/>
      <c r="N362" s="159"/>
      <c r="O362" s="159"/>
      <c r="P362" s="159"/>
      <c r="Q362" s="159"/>
      <c r="R362" s="159"/>
      <c r="S362" s="159"/>
      <c r="T362" s="159"/>
      <c r="U362" s="159"/>
      <c r="V362" s="159"/>
      <c r="W362" s="159"/>
      <c r="X362" s="159"/>
      <c r="Y362" s="159"/>
      <c r="Z362" s="159"/>
    </row>
    <row r="363" ht="15.75" customHeight="1">
      <c r="A363" s="118"/>
      <c r="B363" s="118"/>
      <c r="C363" s="181"/>
      <c r="D363" s="159"/>
      <c r="E363" s="159"/>
      <c r="F363" s="159"/>
      <c r="G363" s="159"/>
      <c r="H363" s="83"/>
      <c r="I363" s="159"/>
      <c r="J363" s="159"/>
      <c r="K363" s="159"/>
      <c r="L363" s="159"/>
      <c r="M363" s="159"/>
      <c r="N363" s="159"/>
      <c r="O363" s="159"/>
      <c r="P363" s="159"/>
      <c r="Q363" s="159"/>
      <c r="R363" s="159"/>
      <c r="S363" s="159"/>
      <c r="T363" s="159"/>
      <c r="U363" s="159"/>
      <c r="V363" s="159"/>
      <c r="W363" s="159"/>
      <c r="X363" s="159"/>
      <c r="Y363" s="159"/>
      <c r="Z363" s="159"/>
    </row>
    <row r="364" ht="15.75" customHeight="1">
      <c r="A364" s="118"/>
      <c r="B364" s="118"/>
      <c r="C364" s="181"/>
      <c r="D364" s="159"/>
      <c r="E364" s="159"/>
      <c r="F364" s="159"/>
      <c r="G364" s="159"/>
      <c r="H364" s="83"/>
      <c r="I364" s="159"/>
      <c r="J364" s="159"/>
      <c r="K364" s="159"/>
      <c r="L364" s="159"/>
      <c r="M364" s="159"/>
      <c r="N364" s="159"/>
      <c r="O364" s="159"/>
      <c r="P364" s="159"/>
      <c r="Q364" s="159"/>
      <c r="R364" s="159"/>
      <c r="S364" s="159"/>
      <c r="T364" s="159"/>
      <c r="U364" s="159"/>
      <c r="V364" s="159"/>
      <c r="W364" s="159"/>
      <c r="X364" s="159"/>
      <c r="Y364" s="159"/>
      <c r="Z364" s="159"/>
    </row>
    <row r="365" ht="15.75" customHeight="1">
      <c r="A365" s="118"/>
      <c r="B365" s="118"/>
      <c r="C365" s="181"/>
      <c r="D365" s="159"/>
      <c r="E365" s="159"/>
      <c r="F365" s="159"/>
      <c r="G365" s="159"/>
      <c r="H365" s="83"/>
      <c r="I365" s="159"/>
      <c r="J365" s="159"/>
      <c r="K365" s="159"/>
      <c r="L365" s="159"/>
      <c r="M365" s="159"/>
      <c r="N365" s="159"/>
      <c r="O365" s="159"/>
      <c r="P365" s="159"/>
      <c r="Q365" s="159"/>
      <c r="R365" s="159"/>
      <c r="S365" s="159"/>
      <c r="T365" s="159"/>
      <c r="U365" s="159"/>
      <c r="V365" s="159"/>
      <c r="W365" s="159"/>
      <c r="X365" s="159"/>
      <c r="Y365" s="159"/>
      <c r="Z365" s="159"/>
    </row>
    <row r="366" ht="15.75" customHeight="1">
      <c r="A366" s="118"/>
      <c r="B366" s="118"/>
      <c r="C366" s="181"/>
      <c r="D366" s="159"/>
      <c r="E366" s="159"/>
      <c r="F366" s="159"/>
      <c r="G366" s="159"/>
      <c r="H366" s="83"/>
      <c r="I366" s="159"/>
      <c r="J366" s="159"/>
      <c r="K366" s="159"/>
      <c r="L366" s="159"/>
      <c r="M366" s="159"/>
      <c r="N366" s="159"/>
      <c r="O366" s="159"/>
      <c r="P366" s="159"/>
      <c r="Q366" s="159"/>
      <c r="R366" s="159"/>
      <c r="S366" s="159"/>
      <c r="T366" s="159"/>
      <c r="U366" s="159"/>
      <c r="V366" s="159"/>
      <c r="W366" s="159"/>
      <c r="X366" s="159"/>
      <c r="Y366" s="159"/>
      <c r="Z366" s="159"/>
    </row>
    <row r="367" ht="15.75" customHeight="1">
      <c r="A367" s="118"/>
      <c r="B367" s="118"/>
      <c r="C367" s="181"/>
      <c r="D367" s="159"/>
      <c r="E367" s="159"/>
      <c r="F367" s="159"/>
      <c r="G367" s="159"/>
      <c r="H367" s="83"/>
      <c r="I367" s="159"/>
      <c r="J367" s="159"/>
      <c r="K367" s="159"/>
      <c r="L367" s="159"/>
      <c r="M367" s="159"/>
      <c r="N367" s="159"/>
      <c r="O367" s="159"/>
      <c r="P367" s="159"/>
      <c r="Q367" s="159"/>
      <c r="R367" s="159"/>
      <c r="S367" s="159"/>
      <c r="T367" s="159"/>
      <c r="U367" s="159"/>
      <c r="V367" s="159"/>
      <c r="W367" s="159"/>
      <c r="X367" s="159"/>
      <c r="Y367" s="159"/>
      <c r="Z367" s="159"/>
    </row>
    <row r="368" ht="15.75" customHeight="1">
      <c r="A368" s="118"/>
      <c r="B368" s="118"/>
      <c r="C368" s="181"/>
      <c r="D368" s="159"/>
      <c r="E368" s="159"/>
      <c r="F368" s="159"/>
      <c r="G368" s="159"/>
      <c r="H368" s="83"/>
      <c r="I368" s="159"/>
      <c r="J368" s="159"/>
      <c r="K368" s="159"/>
      <c r="L368" s="159"/>
      <c r="M368" s="159"/>
      <c r="N368" s="159"/>
      <c r="O368" s="159"/>
      <c r="P368" s="159"/>
      <c r="Q368" s="159"/>
      <c r="R368" s="159"/>
      <c r="S368" s="159"/>
      <c r="T368" s="159"/>
      <c r="U368" s="159"/>
      <c r="V368" s="159"/>
      <c r="W368" s="159"/>
      <c r="X368" s="159"/>
      <c r="Y368" s="159"/>
      <c r="Z368" s="159"/>
    </row>
    <row r="369" ht="15.75" customHeight="1">
      <c r="A369" s="118"/>
      <c r="B369" s="118"/>
      <c r="C369" s="181"/>
      <c r="D369" s="159"/>
      <c r="E369" s="159"/>
      <c r="F369" s="159"/>
      <c r="G369" s="159"/>
      <c r="H369" s="83"/>
      <c r="I369" s="159"/>
      <c r="J369" s="159"/>
      <c r="K369" s="159"/>
      <c r="L369" s="159"/>
      <c r="M369" s="159"/>
      <c r="N369" s="159"/>
      <c r="O369" s="159"/>
      <c r="P369" s="159"/>
      <c r="Q369" s="159"/>
      <c r="R369" s="159"/>
      <c r="S369" s="159"/>
      <c r="T369" s="159"/>
      <c r="U369" s="159"/>
      <c r="V369" s="159"/>
      <c r="W369" s="159"/>
      <c r="X369" s="159"/>
      <c r="Y369" s="159"/>
      <c r="Z369" s="159"/>
    </row>
    <row r="370" ht="15.75" customHeight="1">
      <c r="A370" s="118"/>
      <c r="B370" s="118"/>
      <c r="C370" s="181"/>
      <c r="D370" s="159"/>
      <c r="E370" s="159"/>
      <c r="F370" s="159"/>
      <c r="G370" s="159"/>
      <c r="H370" s="83"/>
      <c r="I370" s="159"/>
      <c r="J370" s="159"/>
      <c r="K370" s="159"/>
      <c r="L370" s="159"/>
      <c r="M370" s="159"/>
      <c r="N370" s="159"/>
      <c r="O370" s="159"/>
      <c r="P370" s="159"/>
      <c r="Q370" s="159"/>
      <c r="R370" s="159"/>
      <c r="S370" s="159"/>
      <c r="T370" s="159"/>
      <c r="U370" s="159"/>
      <c r="V370" s="159"/>
      <c r="W370" s="159"/>
      <c r="X370" s="159"/>
      <c r="Y370" s="159"/>
      <c r="Z370" s="159"/>
    </row>
    <row r="371" ht="15.75" customHeight="1">
      <c r="A371" s="118"/>
      <c r="B371" s="118"/>
      <c r="C371" s="181"/>
      <c r="D371" s="159"/>
      <c r="E371" s="159"/>
      <c r="F371" s="159"/>
      <c r="G371" s="159"/>
      <c r="H371" s="83"/>
      <c r="I371" s="159"/>
      <c r="J371" s="159"/>
      <c r="K371" s="159"/>
      <c r="L371" s="159"/>
      <c r="M371" s="159"/>
      <c r="N371" s="159"/>
      <c r="O371" s="159"/>
      <c r="P371" s="159"/>
      <c r="Q371" s="159"/>
      <c r="R371" s="159"/>
      <c r="S371" s="159"/>
      <c r="T371" s="159"/>
      <c r="U371" s="159"/>
      <c r="V371" s="159"/>
      <c r="W371" s="159"/>
      <c r="X371" s="159"/>
      <c r="Y371" s="159"/>
      <c r="Z371" s="159"/>
    </row>
    <row r="372" ht="15.75" customHeight="1">
      <c r="A372" s="118"/>
      <c r="B372" s="118"/>
      <c r="C372" s="181"/>
      <c r="D372" s="159"/>
      <c r="E372" s="159"/>
      <c r="F372" s="159"/>
      <c r="G372" s="159"/>
      <c r="H372" s="83"/>
      <c r="I372" s="159"/>
      <c r="J372" s="159"/>
      <c r="K372" s="159"/>
      <c r="L372" s="159"/>
      <c r="M372" s="159"/>
      <c r="N372" s="159"/>
      <c r="O372" s="159"/>
      <c r="P372" s="159"/>
      <c r="Q372" s="159"/>
      <c r="R372" s="159"/>
      <c r="S372" s="159"/>
      <c r="T372" s="159"/>
      <c r="U372" s="159"/>
      <c r="V372" s="159"/>
      <c r="W372" s="159"/>
      <c r="X372" s="159"/>
      <c r="Y372" s="159"/>
      <c r="Z372" s="159"/>
    </row>
    <row r="373" ht="15.75" customHeight="1">
      <c r="A373" s="118"/>
      <c r="B373" s="118"/>
      <c r="C373" s="181"/>
      <c r="D373" s="159"/>
      <c r="E373" s="159"/>
      <c r="F373" s="159"/>
      <c r="G373" s="159"/>
      <c r="H373" s="83"/>
      <c r="I373" s="159"/>
      <c r="J373" s="159"/>
      <c r="K373" s="159"/>
      <c r="L373" s="159"/>
      <c r="M373" s="159"/>
      <c r="N373" s="159"/>
      <c r="O373" s="159"/>
      <c r="P373" s="159"/>
      <c r="Q373" s="159"/>
      <c r="R373" s="159"/>
      <c r="S373" s="159"/>
      <c r="T373" s="159"/>
      <c r="U373" s="159"/>
      <c r="V373" s="159"/>
      <c r="W373" s="159"/>
      <c r="X373" s="159"/>
      <c r="Y373" s="159"/>
      <c r="Z373" s="159"/>
    </row>
    <row r="374" ht="15.75" customHeight="1">
      <c r="A374" s="118"/>
      <c r="B374" s="118"/>
      <c r="C374" s="181"/>
      <c r="D374" s="159"/>
      <c r="E374" s="159"/>
      <c r="F374" s="159"/>
      <c r="G374" s="159"/>
      <c r="H374" s="83"/>
      <c r="I374" s="159"/>
      <c r="J374" s="159"/>
      <c r="K374" s="159"/>
      <c r="L374" s="159"/>
      <c r="M374" s="159"/>
      <c r="N374" s="159"/>
      <c r="O374" s="159"/>
      <c r="P374" s="159"/>
      <c r="Q374" s="159"/>
      <c r="R374" s="159"/>
      <c r="S374" s="159"/>
      <c r="T374" s="159"/>
      <c r="U374" s="159"/>
      <c r="V374" s="159"/>
      <c r="W374" s="159"/>
      <c r="X374" s="159"/>
      <c r="Y374" s="159"/>
      <c r="Z374" s="159"/>
    </row>
    <row r="375" ht="15.75" customHeight="1">
      <c r="A375" s="118"/>
      <c r="B375" s="118"/>
      <c r="C375" s="181"/>
      <c r="D375" s="159"/>
      <c r="E375" s="159"/>
      <c r="F375" s="159"/>
      <c r="G375" s="159"/>
      <c r="H375" s="83"/>
      <c r="I375" s="159"/>
      <c r="J375" s="159"/>
      <c r="K375" s="159"/>
      <c r="L375" s="159"/>
      <c r="M375" s="159"/>
      <c r="N375" s="159"/>
      <c r="O375" s="159"/>
      <c r="P375" s="159"/>
      <c r="Q375" s="159"/>
      <c r="R375" s="159"/>
      <c r="S375" s="159"/>
      <c r="T375" s="159"/>
      <c r="U375" s="159"/>
      <c r="V375" s="159"/>
      <c r="W375" s="159"/>
      <c r="X375" s="159"/>
      <c r="Y375" s="159"/>
      <c r="Z375" s="159"/>
    </row>
    <row r="376" ht="15.75" customHeight="1">
      <c r="A376" s="118"/>
      <c r="B376" s="118"/>
      <c r="C376" s="181"/>
      <c r="D376" s="159"/>
      <c r="E376" s="159"/>
      <c r="F376" s="159"/>
      <c r="G376" s="159"/>
      <c r="H376" s="83"/>
      <c r="I376" s="159"/>
      <c r="J376" s="159"/>
      <c r="K376" s="159"/>
      <c r="L376" s="159"/>
      <c r="M376" s="159"/>
      <c r="N376" s="159"/>
      <c r="O376" s="159"/>
      <c r="P376" s="159"/>
      <c r="Q376" s="159"/>
      <c r="R376" s="159"/>
      <c r="S376" s="159"/>
      <c r="T376" s="159"/>
      <c r="U376" s="159"/>
      <c r="V376" s="159"/>
      <c r="W376" s="159"/>
      <c r="X376" s="159"/>
      <c r="Y376" s="159"/>
      <c r="Z376" s="159"/>
    </row>
    <row r="377" ht="15.75" customHeight="1">
      <c r="A377" s="118"/>
      <c r="B377" s="118"/>
      <c r="C377" s="181"/>
      <c r="D377" s="159"/>
      <c r="E377" s="159"/>
      <c r="F377" s="159"/>
      <c r="G377" s="159"/>
      <c r="H377" s="83"/>
      <c r="I377" s="159"/>
      <c r="J377" s="159"/>
      <c r="K377" s="159"/>
      <c r="L377" s="159"/>
      <c r="M377" s="159"/>
      <c r="N377" s="159"/>
      <c r="O377" s="159"/>
      <c r="P377" s="159"/>
      <c r="Q377" s="159"/>
      <c r="R377" s="159"/>
      <c r="S377" s="159"/>
      <c r="T377" s="159"/>
      <c r="U377" s="159"/>
      <c r="V377" s="159"/>
      <c r="W377" s="159"/>
      <c r="X377" s="159"/>
      <c r="Y377" s="159"/>
      <c r="Z377" s="159"/>
    </row>
    <row r="378" ht="15.75" customHeight="1">
      <c r="A378" s="118"/>
      <c r="B378" s="118"/>
      <c r="C378" s="181"/>
      <c r="D378" s="159"/>
      <c r="E378" s="159"/>
      <c r="F378" s="159"/>
      <c r="G378" s="159"/>
      <c r="H378" s="83"/>
      <c r="I378" s="159"/>
      <c r="J378" s="159"/>
      <c r="K378" s="159"/>
      <c r="L378" s="159"/>
      <c r="M378" s="159"/>
      <c r="N378" s="159"/>
      <c r="O378" s="159"/>
      <c r="P378" s="159"/>
      <c r="Q378" s="159"/>
      <c r="R378" s="159"/>
      <c r="S378" s="159"/>
      <c r="T378" s="159"/>
      <c r="U378" s="159"/>
      <c r="V378" s="159"/>
      <c r="W378" s="159"/>
      <c r="X378" s="159"/>
      <c r="Y378" s="159"/>
      <c r="Z378" s="159"/>
    </row>
    <row r="379" ht="15.75" customHeight="1">
      <c r="A379" s="118"/>
      <c r="B379" s="118"/>
      <c r="C379" s="181"/>
      <c r="D379" s="159"/>
      <c r="E379" s="159"/>
      <c r="F379" s="159"/>
      <c r="G379" s="159"/>
      <c r="H379" s="83"/>
      <c r="I379" s="159"/>
      <c r="J379" s="159"/>
      <c r="K379" s="159"/>
      <c r="L379" s="159"/>
      <c r="M379" s="159"/>
      <c r="N379" s="159"/>
      <c r="O379" s="159"/>
      <c r="P379" s="159"/>
      <c r="Q379" s="159"/>
      <c r="R379" s="159"/>
      <c r="S379" s="159"/>
      <c r="T379" s="159"/>
      <c r="U379" s="159"/>
      <c r="V379" s="159"/>
      <c r="W379" s="159"/>
      <c r="X379" s="159"/>
      <c r="Y379" s="159"/>
      <c r="Z379" s="159"/>
    </row>
    <row r="380" ht="15.75" customHeight="1">
      <c r="A380" s="118"/>
      <c r="B380" s="118"/>
      <c r="C380" s="181"/>
      <c r="D380" s="159"/>
      <c r="E380" s="159"/>
      <c r="F380" s="159"/>
      <c r="G380" s="159"/>
      <c r="H380" s="83"/>
      <c r="I380" s="159"/>
      <c r="J380" s="159"/>
      <c r="K380" s="159"/>
      <c r="L380" s="159"/>
      <c r="M380" s="159"/>
      <c r="N380" s="159"/>
      <c r="O380" s="159"/>
      <c r="P380" s="159"/>
      <c r="Q380" s="159"/>
      <c r="R380" s="159"/>
      <c r="S380" s="159"/>
      <c r="T380" s="159"/>
      <c r="U380" s="159"/>
      <c r="V380" s="159"/>
      <c r="W380" s="159"/>
      <c r="X380" s="159"/>
      <c r="Y380" s="159"/>
      <c r="Z380" s="159"/>
    </row>
    <row r="381" ht="15.75" customHeight="1">
      <c r="A381" s="118"/>
      <c r="B381" s="118"/>
      <c r="C381" s="181"/>
      <c r="D381" s="159"/>
      <c r="E381" s="159"/>
      <c r="F381" s="159"/>
      <c r="G381" s="159"/>
      <c r="H381" s="83"/>
      <c r="I381" s="159"/>
      <c r="J381" s="159"/>
      <c r="K381" s="159"/>
      <c r="L381" s="159"/>
      <c r="M381" s="159"/>
      <c r="N381" s="159"/>
      <c r="O381" s="159"/>
      <c r="P381" s="159"/>
      <c r="Q381" s="159"/>
      <c r="R381" s="159"/>
      <c r="S381" s="159"/>
      <c r="T381" s="159"/>
      <c r="U381" s="159"/>
      <c r="V381" s="159"/>
      <c r="W381" s="159"/>
      <c r="X381" s="159"/>
      <c r="Y381" s="159"/>
      <c r="Z381" s="159"/>
    </row>
    <row r="382" ht="15.75" customHeight="1">
      <c r="A382" s="118"/>
      <c r="B382" s="118"/>
      <c r="C382" s="181"/>
      <c r="D382" s="159"/>
      <c r="E382" s="159"/>
      <c r="F382" s="159"/>
      <c r="G382" s="159"/>
      <c r="H382" s="83"/>
      <c r="I382" s="159"/>
      <c r="J382" s="159"/>
      <c r="K382" s="159"/>
      <c r="L382" s="159"/>
      <c r="M382" s="159"/>
      <c r="N382" s="159"/>
      <c r="O382" s="159"/>
      <c r="P382" s="159"/>
      <c r="Q382" s="159"/>
      <c r="R382" s="159"/>
      <c r="S382" s="159"/>
      <c r="T382" s="159"/>
      <c r="U382" s="159"/>
      <c r="V382" s="159"/>
      <c r="W382" s="159"/>
      <c r="X382" s="159"/>
      <c r="Y382" s="159"/>
      <c r="Z382" s="159"/>
    </row>
    <row r="383" ht="15.75" customHeight="1">
      <c r="A383" s="118"/>
      <c r="B383" s="118"/>
      <c r="C383" s="181"/>
      <c r="D383" s="159"/>
      <c r="E383" s="159"/>
      <c r="F383" s="159"/>
      <c r="G383" s="159"/>
      <c r="H383" s="83"/>
      <c r="I383" s="159"/>
      <c r="J383" s="159"/>
      <c r="K383" s="159"/>
      <c r="L383" s="159"/>
      <c r="M383" s="159"/>
      <c r="N383" s="159"/>
      <c r="O383" s="159"/>
      <c r="P383" s="159"/>
      <c r="Q383" s="159"/>
      <c r="R383" s="159"/>
      <c r="S383" s="159"/>
      <c r="T383" s="159"/>
      <c r="U383" s="159"/>
      <c r="V383" s="159"/>
      <c r="W383" s="159"/>
      <c r="X383" s="159"/>
      <c r="Y383" s="159"/>
      <c r="Z383" s="159"/>
    </row>
    <row r="384" ht="15.75" customHeight="1">
      <c r="A384" s="118"/>
      <c r="B384" s="118"/>
      <c r="C384" s="181"/>
      <c r="D384" s="159"/>
      <c r="E384" s="159"/>
      <c r="F384" s="159"/>
      <c r="G384" s="159"/>
      <c r="H384" s="83"/>
      <c r="I384" s="159"/>
      <c r="J384" s="159"/>
      <c r="K384" s="159"/>
      <c r="L384" s="159"/>
      <c r="M384" s="159"/>
      <c r="N384" s="159"/>
      <c r="O384" s="159"/>
      <c r="P384" s="159"/>
      <c r="Q384" s="159"/>
      <c r="R384" s="159"/>
      <c r="S384" s="159"/>
      <c r="T384" s="159"/>
      <c r="U384" s="159"/>
      <c r="V384" s="159"/>
      <c r="W384" s="159"/>
      <c r="X384" s="159"/>
      <c r="Y384" s="159"/>
      <c r="Z384" s="159"/>
    </row>
    <row r="385" ht="15.75" customHeight="1">
      <c r="A385" s="118"/>
      <c r="B385" s="118"/>
      <c r="C385" s="181"/>
      <c r="D385" s="159"/>
      <c r="E385" s="159"/>
      <c r="F385" s="159"/>
      <c r="G385" s="159"/>
      <c r="H385" s="83"/>
      <c r="I385" s="159"/>
      <c r="J385" s="159"/>
      <c r="K385" s="159"/>
      <c r="L385" s="159"/>
      <c r="M385" s="159"/>
      <c r="N385" s="159"/>
      <c r="O385" s="159"/>
      <c r="P385" s="159"/>
      <c r="Q385" s="159"/>
      <c r="R385" s="159"/>
      <c r="S385" s="159"/>
      <c r="T385" s="159"/>
      <c r="U385" s="159"/>
      <c r="V385" s="159"/>
      <c r="W385" s="159"/>
      <c r="X385" s="159"/>
      <c r="Y385" s="159"/>
      <c r="Z385" s="159"/>
    </row>
    <row r="386" ht="15.75" customHeight="1">
      <c r="A386" s="118"/>
      <c r="B386" s="118"/>
      <c r="C386" s="181"/>
      <c r="D386" s="159"/>
      <c r="E386" s="159"/>
      <c r="F386" s="159"/>
      <c r="G386" s="159"/>
      <c r="H386" s="83"/>
      <c r="I386" s="159"/>
      <c r="J386" s="159"/>
      <c r="K386" s="159"/>
      <c r="L386" s="159"/>
      <c r="M386" s="159"/>
      <c r="N386" s="159"/>
      <c r="O386" s="159"/>
      <c r="P386" s="159"/>
      <c r="Q386" s="159"/>
      <c r="R386" s="159"/>
      <c r="S386" s="159"/>
      <c r="T386" s="159"/>
      <c r="U386" s="159"/>
      <c r="V386" s="159"/>
      <c r="W386" s="159"/>
      <c r="X386" s="159"/>
      <c r="Y386" s="159"/>
      <c r="Z386" s="159"/>
    </row>
    <row r="387" ht="15.75" customHeight="1">
      <c r="A387" s="118"/>
      <c r="B387" s="118"/>
      <c r="C387" s="181"/>
      <c r="D387" s="159"/>
      <c r="E387" s="159"/>
      <c r="F387" s="159"/>
      <c r="G387" s="159"/>
      <c r="H387" s="83"/>
      <c r="I387" s="159"/>
      <c r="J387" s="159"/>
      <c r="K387" s="159"/>
      <c r="L387" s="159"/>
      <c r="M387" s="159"/>
      <c r="N387" s="159"/>
      <c r="O387" s="159"/>
      <c r="P387" s="159"/>
      <c r="Q387" s="159"/>
      <c r="R387" s="159"/>
      <c r="S387" s="159"/>
      <c r="T387" s="159"/>
      <c r="U387" s="159"/>
      <c r="V387" s="159"/>
      <c r="W387" s="159"/>
      <c r="X387" s="159"/>
      <c r="Y387" s="159"/>
      <c r="Z387" s="159"/>
    </row>
    <row r="388" ht="15.75" customHeight="1">
      <c r="A388" s="118"/>
      <c r="B388" s="118"/>
      <c r="C388" s="181"/>
      <c r="D388" s="159"/>
      <c r="E388" s="159"/>
      <c r="F388" s="159"/>
      <c r="G388" s="159"/>
      <c r="H388" s="83"/>
      <c r="I388" s="159"/>
      <c r="J388" s="159"/>
      <c r="K388" s="159"/>
      <c r="L388" s="159"/>
      <c r="M388" s="159"/>
      <c r="N388" s="159"/>
      <c r="O388" s="159"/>
      <c r="P388" s="159"/>
      <c r="Q388" s="159"/>
      <c r="R388" s="159"/>
      <c r="S388" s="159"/>
      <c r="T388" s="159"/>
      <c r="U388" s="159"/>
      <c r="V388" s="159"/>
      <c r="W388" s="159"/>
      <c r="X388" s="159"/>
      <c r="Y388" s="159"/>
      <c r="Z388" s="159"/>
    </row>
    <row r="389" ht="15.75" customHeight="1">
      <c r="A389" s="118"/>
      <c r="B389" s="118"/>
      <c r="C389" s="181"/>
      <c r="D389" s="159"/>
      <c r="E389" s="159"/>
      <c r="F389" s="159"/>
      <c r="G389" s="159"/>
      <c r="H389" s="83"/>
      <c r="I389" s="159"/>
      <c r="J389" s="159"/>
      <c r="K389" s="159"/>
      <c r="L389" s="159"/>
      <c r="M389" s="159"/>
      <c r="N389" s="159"/>
      <c r="O389" s="159"/>
      <c r="P389" s="159"/>
      <c r="Q389" s="159"/>
      <c r="R389" s="159"/>
      <c r="S389" s="159"/>
      <c r="T389" s="159"/>
      <c r="U389" s="159"/>
      <c r="V389" s="159"/>
      <c r="W389" s="159"/>
      <c r="X389" s="159"/>
      <c r="Y389" s="159"/>
      <c r="Z389" s="159"/>
    </row>
    <row r="390" ht="15.75" customHeight="1">
      <c r="A390" s="118"/>
      <c r="B390" s="118"/>
      <c r="C390" s="181"/>
      <c r="D390" s="159"/>
      <c r="E390" s="159"/>
      <c r="F390" s="159"/>
      <c r="G390" s="159"/>
      <c r="H390" s="83"/>
      <c r="I390" s="159"/>
      <c r="J390" s="159"/>
      <c r="K390" s="159"/>
      <c r="L390" s="159"/>
      <c r="M390" s="159"/>
      <c r="N390" s="159"/>
      <c r="O390" s="159"/>
      <c r="P390" s="159"/>
      <c r="Q390" s="159"/>
      <c r="R390" s="159"/>
      <c r="S390" s="159"/>
      <c r="T390" s="159"/>
      <c r="U390" s="159"/>
      <c r="V390" s="159"/>
      <c r="W390" s="159"/>
      <c r="X390" s="159"/>
      <c r="Y390" s="159"/>
      <c r="Z390" s="159"/>
    </row>
    <row r="391" ht="15.75" customHeight="1">
      <c r="A391" s="118"/>
      <c r="B391" s="118"/>
      <c r="C391" s="181"/>
      <c r="D391" s="159"/>
      <c r="E391" s="159"/>
      <c r="F391" s="159"/>
      <c r="G391" s="159"/>
      <c r="H391" s="83"/>
      <c r="I391" s="159"/>
      <c r="J391" s="159"/>
      <c r="K391" s="159"/>
      <c r="L391" s="159"/>
      <c r="M391" s="159"/>
      <c r="N391" s="159"/>
      <c r="O391" s="159"/>
      <c r="P391" s="159"/>
      <c r="Q391" s="159"/>
      <c r="R391" s="159"/>
      <c r="S391" s="159"/>
      <c r="T391" s="159"/>
      <c r="U391" s="159"/>
      <c r="V391" s="159"/>
      <c r="W391" s="159"/>
      <c r="X391" s="159"/>
      <c r="Y391" s="159"/>
      <c r="Z391" s="159"/>
    </row>
    <row r="392" ht="15.75" customHeight="1">
      <c r="A392" s="118"/>
      <c r="B392" s="118"/>
      <c r="C392" s="181"/>
      <c r="D392" s="159"/>
      <c r="E392" s="159"/>
      <c r="F392" s="159"/>
      <c r="G392" s="159"/>
      <c r="H392" s="83"/>
      <c r="I392" s="159"/>
      <c r="J392" s="159"/>
      <c r="K392" s="159"/>
      <c r="L392" s="159"/>
      <c r="M392" s="159"/>
      <c r="N392" s="159"/>
      <c r="O392" s="159"/>
      <c r="P392" s="159"/>
      <c r="Q392" s="159"/>
      <c r="R392" s="159"/>
      <c r="S392" s="159"/>
      <c r="T392" s="159"/>
      <c r="U392" s="159"/>
      <c r="V392" s="159"/>
      <c r="W392" s="159"/>
      <c r="X392" s="159"/>
      <c r="Y392" s="159"/>
      <c r="Z392" s="159"/>
    </row>
    <row r="393" ht="15.75" customHeight="1">
      <c r="A393" s="118"/>
      <c r="B393" s="118"/>
      <c r="C393" s="181"/>
      <c r="D393" s="159"/>
      <c r="E393" s="159"/>
      <c r="F393" s="159"/>
      <c r="G393" s="159"/>
      <c r="H393" s="83"/>
      <c r="I393" s="159"/>
      <c r="J393" s="159"/>
      <c r="K393" s="159"/>
      <c r="L393" s="159"/>
      <c r="M393" s="159"/>
      <c r="N393" s="159"/>
      <c r="O393" s="159"/>
      <c r="P393" s="159"/>
      <c r="Q393" s="159"/>
      <c r="R393" s="159"/>
      <c r="S393" s="159"/>
      <c r="T393" s="159"/>
      <c r="U393" s="159"/>
      <c r="V393" s="159"/>
      <c r="W393" s="159"/>
      <c r="X393" s="159"/>
      <c r="Y393" s="159"/>
      <c r="Z393" s="159"/>
    </row>
    <row r="394" ht="15.75" customHeight="1">
      <c r="A394" s="118"/>
      <c r="B394" s="118"/>
      <c r="C394" s="181"/>
      <c r="D394" s="159"/>
      <c r="E394" s="159"/>
      <c r="F394" s="159"/>
      <c r="G394" s="159"/>
      <c r="H394" s="83"/>
      <c r="I394" s="159"/>
      <c r="J394" s="159"/>
      <c r="K394" s="159"/>
      <c r="L394" s="159"/>
      <c r="M394" s="159"/>
      <c r="N394" s="159"/>
      <c r="O394" s="159"/>
      <c r="P394" s="159"/>
      <c r="Q394" s="159"/>
      <c r="R394" s="159"/>
      <c r="S394" s="159"/>
      <c r="T394" s="159"/>
      <c r="U394" s="159"/>
      <c r="V394" s="159"/>
      <c r="W394" s="159"/>
      <c r="X394" s="159"/>
      <c r="Y394" s="159"/>
      <c r="Z394" s="159"/>
    </row>
    <row r="395" ht="15.75" customHeight="1">
      <c r="A395" s="118"/>
      <c r="B395" s="118"/>
      <c r="C395" s="181"/>
      <c r="D395" s="159"/>
      <c r="E395" s="159"/>
      <c r="F395" s="159"/>
      <c r="G395" s="159"/>
      <c r="H395" s="83"/>
      <c r="I395" s="159"/>
      <c r="J395" s="159"/>
      <c r="K395" s="159"/>
      <c r="L395" s="159"/>
      <c r="M395" s="159"/>
      <c r="N395" s="159"/>
      <c r="O395" s="159"/>
      <c r="P395" s="159"/>
      <c r="Q395" s="159"/>
      <c r="R395" s="159"/>
      <c r="S395" s="159"/>
      <c r="T395" s="159"/>
      <c r="U395" s="159"/>
      <c r="V395" s="159"/>
      <c r="W395" s="159"/>
      <c r="X395" s="159"/>
      <c r="Y395" s="159"/>
      <c r="Z395" s="159"/>
    </row>
    <row r="396" ht="15.75" customHeight="1">
      <c r="A396" s="118"/>
      <c r="B396" s="118"/>
      <c r="C396" s="181"/>
      <c r="D396" s="159"/>
      <c r="E396" s="159"/>
      <c r="F396" s="159"/>
      <c r="G396" s="159"/>
      <c r="H396" s="83"/>
      <c r="I396" s="159"/>
      <c r="J396" s="159"/>
      <c r="K396" s="159"/>
      <c r="L396" s="159"/>
      <c r="M396" s="159"/>
      <c r="N396" s="159"/>
      <c r="O396" s="159"/>
      <c r="P396" s="159"/>
      <c r="Q396" s="159"/>
      <c r="R396" s="159"/>
      <c r="S396" s="159"/>
      <c r="T396" s="159"/>
      <c r="U396" s="159"/>
      <c r="V396" s="159"/>
      <c r="W396" s="159"/>
      <c r="X396" s="159"/>
      <c r="Y396" s="159"/>
      <c r="Z396" s="159"/>
    </row>
    <row r="397" ht="15.75" customHeight="1">
      <c r="A397" s="118"/>
      <c r="B397" s="118"/>
      <c r="C397" s="181"/>
      <c r="D397" s="159"/>
      <c r="E397" s="159"/>
      <c r="F397" s="159"/>
      <c r="G397" s="159"/>
      <c r="H397" s="83"/>
      <c r="I397" s="159"/>
      <c r="J397" s="159"/>
      <c r="K397" s="159"/>
      <c r="L397" s="159"/>
      <c r="M397" s="159"/>
      <c r="N397" s="159"/>
      <c r="O397" s="159"/>
      <c r="P397" s="159"/>
      <c r="Q397" s="159"/>
      <c r="R397" s="159"/>
      <c r="S397" s="159"/>
      <c r="T397" s="159"/>
      <c r="U397" s="159"/>
      <c r="V397" s="159"/>
      <c r="W397" s="159"/>
      <c r="X397" s="159"/>
      <c r="Y397" s="159"/>
      <c r="Z397" s="159"/>
    </row>
    <row r="398" ht="15.75" customHeight="1">
      <c r="A398" s="118"/>
      <c r="B398" s="118"/>
      <c r="C398" s="181"/>
      <c r="D398" s="159"/>
      <c r="E398" s="159"/>
      <c r="F398" s="159"/>
      <c r="G398" s="159"/>
      <c r="H398" s="83"/>
      <c r="I398" s="159"/>
      <c r="J398" s="159"/>
      <c r="K398" s="159"/>
      <c r="L398" s="159"/>
      <c r="M398" s="159"/>
      <c r="N398" s="159"/>
      <c r="O398" s="159"/>
      <c r="P398" s="159"/>
      <c r="Q398" s="159"/>
      <c r="R398" s="159"/>
      <c r="S398" s="159"/>
      <c r="T398" s="159"/>
      <c r="U398" s="159"/>
      <c r="V398" s="159"/>
      <c r="W398" s="159"/>
      <c r="X398" s="159"/>
      <c r="Y398" s="159"/>
      <c r="Z398" s="159"/>
    </row>
    <row r="399" ht="15.75" customHeight="1">
      <c r="A399" s="118"/>
      <c r="B399" s="118"/>
      <c r="C399" s="181"/>
      <c r="D399" s="159"/>
      <c r="E399" s="159"/>
      <c r="F399" s="159"/>
      <c r="G399" s="159"/>
      <c r="H399" s="83"/>
      <c r="I399" s="159"/>
      <c r="J399" s="159"/>
      <c r="K399" s="159"/>
      <c r="L399" s="159"/>
      <c r="M399" s="159"/>
      <c r="N399" s="159"/>
      <c r="O399" s="159"/>
      <c r="P399" s="159"/>
      <c r="Q399" s="159"/>
      <c r="R399" s="159"/>
      <c r="S399" s="159"/>
      <c r="T399" s="159"/>
      <c r="U399" s="159"/>
      <c r="V399" s="159"/>
      <c r="W399" s="159"/>
      <c r="X399" s="159"/>
      <c r="Y399" s="159"/>
      <c r="Z399" s="159"/>
    </row>
    <row r="400" ht="15.75" customHeight="1">
      <c r="A400" s="118"/>
      <c r="B400" s="118"/>
      <c r="C400" s="181"/>
      <c r="D400" s="159"/>
      <c r="E400" s="159"/>
      <c r="F400" s="159"/>
      <c r="G400" s="159"/>
      <c r="H400" s="83"/>
      <c r="I400" s="159"/>
      <c r="J400" s="159"/>
      <c r="K400" s="159"/>
      <c r="L400" s="159"/>
      <c r="M400" s="159"/>
      <c r="N400" s="159"/>
      <c r="O400" s="159"/>
      <c r="P400" s="159"/>
      <c r="Q400" s="159"/>
      <c r="R400" s="159"/>
      <c r="S400" s="159"/>
      <c r="T400" s="159"/>
      <c r="U400" s="159"/>
      <c r="V400" s="159"/>
      <c r="W400" s="159"/>
      <c r="X400" s="159"/>
      <c r="Y400" s="159"/>
      <c r="Z400" s="159"/>
    </row>
    <row r="401" ht="15.75" customHeight="1">
      <c r="A401" s="118"/>
      <c r="B401" s="118"/>
      <c r="C401" s="181"/>
      <c r="D401" s="159"/>
      <c r="E401" s="159"/>
      <c r="F401" s="159"/>
      <c r="G401" s="159"/>
      <c r="H401" s="83"/>
      <c r="I401" s="159"/>
      <c r="J401" s="159"/>
      <c r="K401" s="159"/>
      <c r="L401" s="159"/>
      <c r="M401" s="159"/>
      <c r="N401" s="159"/>
      <c r="O401" s="159"/>
      <c r="P401" s="159"/>
      <c r="Q401" s="159"/>
      <c r="R401" s="159"/>
      <c r="S401" s="159"/>
      <c r="T401" s="159"/>
      <c r="U401" s="159"/>
      <c r="V401" s="159"/>
      <c r="W401" s="159"/>
      <c r="X401" s="159"/>
      <c r="Y401" s="159"/>
      <c r="Z401" s="159"/>
    </row>
    <row r="402" ht="15.75" customHeight="1">
      <c r="A402" s="118"/>
      <c r="B402" s="118"/>
      <c r="C402" s="181"/>
      <c r="D402" s="159"/>
      <c r="E402" s="159"/>
      <c r="F402" s="159"/>
      <c r="G402" s="159"/>
      <c r="H402" s="83"/>
      <c r="I402" s="159"/>
      <c r="J402" s="159"/>
      <c r="K402" s="159"/>
      <c r="L402" s="159"/>
      <c r="M402" s="159"/>
      <c r="N402" s="159"/>
      <c r="O402" s="159"/>
      <c r="P402" s="159"/>
      <c r="Q402" s="159"/>
      <c r="R402" s="159"/>
      <c r="S402" s="159"/>
      <c r="T402" s="159"/>
      <c r="U402" s="159"/>
      <c r="V402" s="159"/>
      <c r="W402" s="159"/>
      <c r="X402" s="159"/>
      <c r="Y402" s="159"/>
      <c r="Z402" s="159"/>
    </row>
    <row r="403" ht="15.75" customHeight="1">
      <c r="A403" s="118"/>
      <c r="B403" s="118"/>
      <c r="C403" s="181"/>
      <c r="D403" s="159"/>
      <c r="E403" s="159"/>
      <c r="F403" s="159"/>
      <c r="G403" s="159"/>
      <c r="H403" s="83"/>
      <c r="I403" s="159"/>
      <c r="J403" s="159"/>
      <c r="K403" s="159"/>
      <c r="L403" s="159"/>
      <c r="M403" s="159"/>
      <c r="N403" s="159"/>
      <c r="O403" s="159"/>
      <c r="P403" s="159"/>
      <c r="Q403" s="159"/>
      <c r="R403" s="159"/>
      <c r="S403" s="159"/>
      <c r="T403" s="159"/>
      <c r="U403" s="159"/>
      <c r="V403" s="159"/>
      <c r="W403" s="159"/>
      <c r="X403" s="159"/>
      <c r="Y403" s="159"/>
      <c r="Z403" s="159"/>
    </row>
    <row r="404" ht="15.75" customHeight="1">
      <c r="A404" s="118"/>
      <c r="B404" s="118"/>
      <c r="C404" s="181"/>
      <c r="D404" s="159"/>
      <c r="E404" s="159"/>
      <c r="F404" s="159"/>
      <c r="G404" s="159"/>
      <c r="H404" s="83"/>
      <c r="I404" s="159"/>
      <c r="J404" s="159"/>
      <c r="K404" s="159"/>
      <c r="L404" s="159"/>
      <c r="M404" s="159"/>
      <c r="N404" s="159"/>
      <c r="O404" s="159"/>
      <c r="P404" s="159"/>
      <c r="Q404" s="159"/>
      <c r="R404" s="159"/>
      <c r="S404" s="159"/>
      <c r="T404" s="159"/>
      <c r="U404" s="159"/>
      <c r="V404" s="159"/>
      <c r="W404" s="159"/>
      <c r="X404" s="159"/>
      <c r="Y404" s="159"/>
      <c r="Z404" s="159"/>
    </row>
    <row r="405" ht="15.75" customHeight="1">
      <c r="A405" s="118"/>
      <c r="B405" s="118"/>
      <c r="C405" s="181"/>
      <c r="D405" s="159"/>
      <c r="E405" s="159"/>
      <c r="F405" s="159"/>
      <c r="G405" s="159"/>
      <c r="H405" s="83"/>
      <c r="I405" s="159"/>
      <c r="J405" s="159"/>
      <c r="K405" s="159"/>
      <c r="L405" s="159"/>
      <c r="M405" s="159"/>
      <c r="N405" s="159"/>
      <c r="O405" s="159"/>
      <c r="P405" s="159"/>
      <c r="Q405" s="159"/>
      <c r="R405" s="159"/>
      <c r="S405" s="159"/>
      <c r="T405" s="159"/>
      <c r="U405" s="159"/>
      <c r="V405" s="159"/>
      <c r="W405" s="159"/>
      <c r="X405" s="159"/>
      <c r="Y405" s="159"/>
      <c r="Z405" s="159"/>
    </row>
    <row r="406" ht="15.75" customHeight="1">
      <c r="A406" s="118"/>
      <c r="B406" s="118"/>
      <c r="C406" s="181"/>
      <c r="D406" s="159"/>
      <c r="E406" s="159"/>
      <c r="F406" s="159"/>
      <c r="G406" s="159"/>
      <c r="H406" s="83"/>
      <c r="I406" s="159"/>
      <c r="J406" s="159"/>
      <c r="K406" s="159"/>
      <c r="L406" s="159"/>
      <c r="M406" s="159"/>
      <c r="N406" s="159"/>
      <c r="O406" s="159"/>
      <c r="P406" s="159"/>
      <c r="Q406" s="159"/>
      <c r="R406" s="159"/>
      <c r="S406" s="159"/>
      <c r="T406" s="159"/>
      <c r="U406" s="159"/>
      <c r="V406" s="159"/>
      <c r="W406" s="159"/>
      <c r="X406" s="159"/>
      <c r="Y406" s="159"/>
      <c r="Z406" s="159"/>
    </row>
    <row r="407" ht="15.75" customHeight="1">
      <c r="A407" s="118"/>
      <c r="B407" s="118"/>
      <c r="C407" s="181"/>
      <c r="D407" s="159"/>
      <c r="E407" s="159"/>
      <c r="F407" s="159"/>
      <c r="G407" s="159"/>
      <c r="H407" s="83"/>
      <c r="I407" s="159"/>
      <c r="J407" s="159"/>
      <c r="K407" s="159"/>
      <c r="L407" s="159"/>
      <c r="M407" s="159"/>
      <c r="N407" s="159"/>
      <c r="O407" s="159"/>
      <c r="P407" s="159"/>
      <c r="Q407" s="159"/>
      <c r="R407" s="159"/>
      <c r="S407" s="159"/>
      <c r="T407" s="159"/>
      <c r="U407" s="159"/>
      <c r="V407" s="159"/>
      <c r="W407" s="159"/>
      <c r="X407" s="159"/>
      <c r="Y407" s="159"/>
      <c r="Z407" s="159"/>
    </row>
    <row r="408" ht="15.75" customHeight="1">
      <c r="A408" s="118"/>
      <c r="B408" s="118"/>
      <c r="C408" s="181"/>
      <c r="D408" s="159"/>
      <c r="E408" s="159"/>
      <c r="F408" s="159"/>
      <c r="G408" s="159"/>
      <c r="H408" s="83"/>
      <c r="I408" s="159"/>
      <c r="J408" s="159"/>
      <c r="K408" s="159"/>
      <c r="L408" s="159"/>
      <c r="M408" s="159"/>
      <c r="N408" s="159"/>
      <c r="O408" s="159"/>
      <c r="P408" s="159"/>
      <c r="Q408" s="159"/>
      <c r="R408" s="159"/>
      <c r="S408" s="159"/>
      <c r="T408" s="159"/>
      <c r="U408" s="159"/>
      <c r="V408" s="159"/>
      <c r="W408" s="159"/>
      <c r="X408" s="159"/>
      <c r="Y408" s="159"/>
      <c r="Z408" s="159"/>
    </row>
    <row r="409" ht="15.75" customHeight="1">
      <c r="A409" s="118"/>
      <c r="B409" s="118"/>
      <c r="C409" s="181"/>
      <c r="D409" s="159"/>
      <c r="E409" s="159"/>
      <c r="F409" s="159"/>
      <c r="G409" s="159"/>
      <c r="H409" s="83"/>
      <c r="I409" s="159"/>
      <c r="J409" s="159"/>
      <c r="K409" s="159"/>
      <c r="L409" s="159"/>
      <c r="M409" s="159"/>
      <c r="N409" s="159"/>
      <c r="O409" s="159"/>
      <c r="P409" s="159"/>
      <c r="Q409" s="159"/>
      <c r="R409" s="159"/>
      <c r="S409" s="159"/>
      <c r="T409" s="159"/>
      <c r="U409" s="159"/>
      <c r="V409" s="159"/>
      <c r="W409" s="159"/>
      <c r="X409" s="159"/>
      <c r="Y409" s="159"/>
      <c r="Z409" s="159"/>
    </row>
    <row r="410" ht="15.75" customHeight="1">
      <c r="A410" s="118"/>
      <c r="B410" s="118"/>
      <c r="C410" s="181"/>
      <c r="D410" s="159"/>
      <c r="E410" s="159"/>
      <c r="F410" s="159"/>
      <c r="G410" s="159"/>
      <c r="H410" s="83"/>
      <c r="I410" s="159"/>
      <c r="J410" s="159"/>
      <c r="K410" s="159"/>
      <c r="L410" s="159"/>
      <c r="M410" s="159"/>
      <c r="N410" s="159"/>
      <c r="O410" s="159"/>
      <c r="P410" s="159"/>
      <c r="Q410" s="159"/>
      <c r="R410" s="159"/>
      <c r="S410" s="159"/>
      <c r="T410" s="159"/>
      <c r="U410" s="159"/>
      <c r="V410" s="159"/>
      <c r="W410" s="159"/>
      <c r="X410" s="159"/>
      <c r="Y410" s="159"/>
      <c r="Z410" s="159"/>
    </row>
    <row r="411" ht="15.75" customHeight="1">
      <c r="A411" s="118"/>
      <c r="B411" s="118"/>
      <c r="C411" s="181"/>
      <c r="D411" s="159"/>
      <c r="E411" s="159"/>
      <c r="F411" s="159"/>
      <c r="G411" s="159"/>
      <c r="H411" s="83"/>
      <c r="I411" s="159"/>
      <c r="J411" s="159"/>
      <c r="K411" s="159"/>
      <c r="L411" s="159"/>
      <c r="M411" s="159"/>
      <c r="N411" s="159"/>
      <c r="O411" s="159"/>
      <c r="P411" s="159"/>
      <c r="Q411" s="159"/>
      <c r="R411" s="159"/>
      <c r="S411" s="159"/>
      <c r="T411" s="159"/>
      <c r="U411" s="159"/>
      <c r="V411" s="159"/>
      <c r="W411" s="159"/>
      <c r="X411" s="159"/>
      <c r="Y411" s="159"/>
      <c r="Z411" s="159"/>
    </row>
    <row r="412" ht="15.75" customHeight="1">
      <c r="A412" s="118"/>
      <c r="B412" s="118"/>
      <c r="C412" s="181"/>
      <c r="D412" s="159"/>
      <c r="E412" s="159"/>
      <c r="F412" s="159"/>
      <c r="G412" s="159"/>
      <c r="H412" s="83"/>
      <c r="I412" s="159"/>
      <c r="J412" s="159"/>
      <c r="K412" s="159"/>
      <c r="L412" s="159"/>
      <c r="M412" s="159"/>
      <c r="N412" s="159"/>
      <c r="O412" s="159"/>
      <c r="P412" s="159"/>
      <c r="Q412" s="159"/>
      <c r="R412" s="159"/>
      <c r="S412" s="159"/>
      <c r="T412" s="159"/>
      <c r="U412" s="159"/>
      <c r="V412" s="159"/>
      <c r="W412" s="159"/>
      <c r="X412" s="159"/>
      <c r="Y412" s="159"/>
      <c r="Z412" s="159"/>
    </row>
    <row r="413" ht="15.75" customHeight="1">
      <c r="A413" s="118"/>
      <c r="B413" s="118"/>
      <c r="C413" s="181"/>
      <c r="D413" s="159"/>
      <c r="E413" s="159"/>
      <c r="F413" s="159"/>
      <c r="G413" s="159"/>
      <c r="H413" s="83"/>
      <c r="I413" s="159"/>
      <c r="J413" s="159"/>
      <c r="K413" s="159"/>
      <c r="L413" s="159"/>
      <c r="M413" s="159"/>
      <c r="N413" s="159"/>
      <c r="O413" s="159"/>
      <c r="P413" s="159"/>
      <c r="Q413" s="159"/>
      <c r="R413" s="159"/>
      <c r="S413" s="159"/>
      <c r="T413" s="159"/>
      <c r="U413" s="159"/>
      <c r="V413" s="159"/>
      <c r="W413" s="159"/>
      <c r="X413" s="159"/>
      <c r="Y413" s="159"/>
      <c r="Z413" s="159"/>
    </row>
    <row r="414" ht="15.75" customHeight="1">
      <c r="A414" s="118"/>
      <c r="B414" s="118"/>
      <c r="C414" s="181"/>
      <c r="D414" s="159"/>
      <c r="E414" s="159"/>
      <c r="F414" s="159"/>
      <c r="G414" s="159"/>
      <c r="H414" s="83"/>
      <c r="I414" s="159"/>
      <c r="J414" s="159"/>
      <c r="K414" s="159"/>
      <c r="L414" s="159"/>
      <c r="M414" s="159"/>
      <c r="N414" s="159"/>
      <c r="O414" s="159"/>
      <c r="P414" s="159"/>
      <c r="Q414" s="159"/>
      <c r="R414" s="159"/>
      <c r="S414" s="159"/>
      <c r="T414" s="159"/>
      <c r="U414" s="159"/>
      <c r="V414" s="159"/>
      <c r="W414" s="159"/>
      <c r="X414" s="159"/>
      <c r="Y414" s="159"/>
      <c r="Z414" s="159"/>
    </row>
    <row r="415" ht="15.75" customHeight="1">
      <c r="A415" s="118"/>
      <c r="B415" s="118"/>
      <c r="C415" s="181"/>
      <c r="D415" s="159"/>
      <c r="E415" s="159"/>
      <c r="F415" s="159"/>
      <c r="G415" s="159"/>
      <c r="H415" s="83"/>
      <c r="I415" s="159"/>
      <c r="J415" s="159"/>
      <c r="K415" s="159"/>
      <c r="L415" s="159"/>
      <c r="M415" s="159"/>
      <c r="N415" s="159"/>
      <c r="O415" s="159"/>
      <c r="P415" s="159"/>
      <c r="Q415" s="159"/>
      <c r="R415" s="159"/>
      <c r="S415" s="159"/>
      <c r="T415" s="159"/>
      <c r="U415" s="159"/>
      <c r="V415" s="159"/>
      <c r="W415" s="159"/>
      <c r="X415" s="159"/>
      <c r="Y415" s="159"/>
      <c r="Z415" s="159"/>
    </row>
    <row r="416" ht="15.75" customHeight="1">
      <c r="A416" s="118"/>
      <c r="B416" s="118"/>
      <c r="C416" s="181"/>
      <c r="D416" s="159"/>
      <c r="E416" s="159"/>
      <c r="F416" s="159"/>
      <c r="G416" s="159"/>
      <c r="H416" s="83"/>
      <c r="I416" s="159"/>
      <c r="J416" s="159"/>
      <c r="K416" s="159"/>
      <c r="L416" s="159"/>
      <c r="M416" s="159"/>
      <c r="N416" s="159"/>
      <c r="O416" s="159"/>
      <c r="P416" s="159"/>
      <c r="Q416" s="159"/>
      <c r="R416" s="159"/>
      <c r="S416" s="159"/>
      <c r="T416" s="159"/>
      <c r="U416" s="159"/>
      <c r="V416" s="159"/>
      <c r="W416" s="159"/>
      <c r="X416" s="159"/>
      <c r="Y416" s="159"/>
      <c r="Z416" s="159"/>
    </row>
    <row r="417" ht="15.75" customHeight="1">
      <c r="A417" s="118"/>
      <c r="B417" s="118"/>
      <c r="C417" s="181"/>
      <c r="D417" s="159"/>
      <c r="E417" s="159"/>
      <c r="F417" s="159"/>
      <c r="G417" s="159"/>
      <c r="H417" s="83"/>
      <c r="I417" s="159"/>
      <c r="J417" s="159"/>
      <c r="K417" s="159"/>
      <c r="L417" s="159"/>
      <c r="M417" s="159"/>
      <c r="N417" s="159"/>
      <c r="O417" s="159"/>
      <c r="P417" s="159"/>
      <c r="Q417" s="159"/>
      <c r="R417" s="159"/>
      <c r="S417" s="159"/>
      <c r="T417" s="159"/>
      <c r="U417" s="159"/>
      <c r="V417" s="159"/>
      <c r="W417" s="159"/>
      <c r="X417" s="159"/>
      <c r="Y417" s="159"/>
      <c r="Z417" s="159"/>
    </row>
    <row r="418" ht="15.75" customHeight="1">
      <c r="A418" s="118"/>
      <c r="B418" s="118"/>
      <c r="C418" s="181"/>
      <c r="D418" s="159"/>
      <c r="E418" s="159"/>
      <c r="F418" s="159"/>
      <c r="G418" s="159"/>
      <c r="H418" s="83"/>
      <c r="I418" s="159"/>
      <c r="J418" s="159"/>
      <c r="K418" s="159"/>
      <c r="L418" s="159"/>
      <c r="M418" s="159"/>
      <c r="N418" s="159"/>
      <c r="O418" s="159"/>
      <c r="P418" s="159"/>
      <c r="Q418" s="159"/>
      <c r="R418" s="159"/>
      <c r="S418" s="159"/>
      <c r="T418" s="159"/>
      <c r="U418" s="159"/>
      <c r="V418" s="159"/>
      <c r="W418" s="159"/>
      <c r="X418" s="159"/>
      <c r="Y418" s="159"/>
      <c r="Z418" s="159"/>
    </row>
    <row r="419" ht="15.75" customHeight="1">
      <c r="A419" s="118"/>
      <c r="B419" s="118"/>
      <c r="C419" s="181"/>
      <c r="D419" s="159"/>
      <c r="E419" s="159"/>
      <c r="F419" s="159"/>
      <c r="G419" s="159"/>
      <c r="H419" s="83"/>
      <c r="I419" s="159"/>
      <c r="J419" s="159"/>
      <c r="K419" s="159"/>
      <c r="L419" s="159"/>
      <c r="M419" s="159"/>
      <c r="N419" s="159"/>
      <c r="O419" s="159"/>
      <c r="P419" s="159"/>
      <c r="Q419" s="159"/>
      <c r="R419" s="159"/>
      <c r="S419" s="159"/>
      <c r="T419" s="159"/>
      <c r="U419" s="159"/>
      <c r="V419" s="159"/>
      <c r="W419" s="159"/>
      <c r="X419" s="159"/>
      <c r="Y419" s="159"/>
      <c r="Z419" s="159"/>
    </row>
    <row r="420" ht="15.75" customHeight="1">
      <c r="A420" s="118"/>
      <c r="B420" s="118"/>
      <c r="C420" s="181"/>
      <c r="D420" s="159"/>
      <c r="E420" s="159"/>
      <c r="F420" s="159"/>
      <c r="G420" s="159"/>
      <c r="H420" s="83"/>
      <c r="I420" s="159"/>
      <c r="J420" s="159"/>
      <c r="K420" s="159"/>
      <c r="L420" s="159"/>
      <c r="M420" s="159"/>
      <c r="N420" s="159"/>
      <c r="O420" s="159"/>
      <c r="P420" s="159"/>
      <c r="Q420" s="159"/>
      <c r="R420" s="159"/>
      <c r="S420" s="159"/>
      <c r="T420" s="159"/>
      <c r="U420" s="159"/>
      <c r="V420" s="159"/>
      <c r="W420" s="159"/>
      <c r="X420" s="159"/>
      <c r="Y420" s="159"/>
      <c r="Z420" s="159"/>
    </row>
    <row r="421" ht="15.75" customHeight="1">
      <c r="A421" s="118"/>
      <c r="B421" s="118"/>
      <c r="C421" s="181"/>
      <c r="D421" s="159"/>
      <c r="E421" s="159"/>
      <c r="F421" s="159"/>
      <c r="G421" s="159"/>
      <c r="H421" s="83"/>
      <c r="I421" s="159"/>
      <c r="J421" s="159"/>
      <c r="K421" s="159"/>
      <c r="L421" s="159"/>
      <c r="M421" s="159"/>
      <c r="N421" s="159"/>
      <c r="O421" s="159"/>
      <c r="P421" s="159"/>
      <c r="Q421" s="159"/>
      <c r="R421" s="159"/>
      <c r="S421" s="159"/>
      <c r="T421" s="159"/>
      <c r="U421" s="159"/>
      <c r="V421" s="159"/>
      <c r="W421" s="159"/>
      <c r="X421" s="159"/>
      <c r="Y421" s="159"/>
      <c r="Z421" s="159"/>
    </row>
    <row r="422" ht="15.75" customHeight="1">
      <c r="A422" s="118"/>
      <c r="B422" s="118"/>
      <c r="C422" s="181"/>
      <c r="D422" s="159"/>
      <c r="E422" s="159"/>
      <c r="F422" s="159"/>
      <c r="G422" s="159"/>
      <c r="H422" s="83"/>
      <c r="I422" s="159"/>
      <c r="J422" s="159"/>
      <c r="K422" s="159"/>
      <c r="L422" s="159"/>
      <c r="M422" s="159"/>
      <c r="N422" s="159"/>
      <c r="O422" s="159"/>
      <c r="P422" s="159"/>
      <c r="Q422" s="159"/>
      <c r="R422" s="159"/>
      <c r="S422" s="159"/>
      <c r="T422" s="159"/>
      <c r="U422" s="159"/>
      <c r="V422" s="159"/>
      <c r="W422" s="159"/>
      <c r="X422" s="159"/>
      <c r="Y422" s="159"/>
      <c r="Z422" s="159"/>
    </row>
    <row r="423" ht="15.75" customHeight="1">
      <c r="A423" s="118"/>
      <c r="B423" s="118"/>
      <c r="C423" s="181"/>
      <c r="D423" s="159"/>
      <c r="E423" s="159"/>
      <c r="F423" s="159"/>
      <c r="G423" s="159"/>
      <c r="H423" s="83"/>
      <c r="I423" s="159"/>
      <c r="J423" s="159"/>
      <c r="K423" s="159"/>
      <c r="L423" s="159"/>
      <c r="M423" s="159"/>
      <c r="N423" s="159"/>
      <c r="O423" s="159"/>
      <c r="P423" s="159"/>
      <c r="Q423" s="159"/>
      <c r="R423" s="159"/>
      <c r="S423" s="159"/>
      <c r="T423" s="159"/>
      <c r="U423" s="159"/>
      <c r="V423" s="159"/>
      <c r="W423" s="159"/>
      <c r="X423" s="159"/>
      <c r="Y423" s="159"/>
      <c r="Z423" s="159"/>
    </row>
    <row r="424" ht="15.75" customHeight="1">
      <c r="A424" s="118"/>
      <c r="B424" s="118"/>
      <c r="C424" s="181"/>
      <c r="D424" s="159"/>
      <c r="E424" s="159"/>
      <c r="F424" s="159"/>
      <c r="G424" s="159"/>
      <c r="H424" s="83"/>
      <c r="I424" s="159"/>
      <c r="J424" s="159"/>
      <c r="K424" s="159"/>
      <c r="L424" s="159"/>
      <c r="M424" s="159"/>
      <c r="N424" s="159"/>
      <c r="O424" s="159"/>
      <c r="P424" s="159"/>
      <c r="Q424" s="159"/>
      <c r="R424" s="159"/>
      <c r="S424" s="159"/>
      <c r="T424" s="159"/>
      <c r="U424" s="159"/>
      <c r="V424" s="159"/>
      <c r="W424" s="159"/>
      <c r="X424" s="159"/>
      <c r="Y424" s="159"/>
      <c r="Z424" s="159"/>
    </row>
    <row r="425" ht="15.75" customHeight="1">
      <c r="A425" s="118"/>
      <c r="B425" s="118"/>
      <c r="C425" s="181"/>
      <c r="D425" s="159"/>
      <c r="E425" s="159"/>
      <c r="F425" s="159"/>
      <c r="G425" s="159"/>
      <c r="H425" s="83"/>
      <c r="I425" s="159"/>
      <c r="J425" s="159"/>
      <c r="K425" s="159"/>
      <c r="L425" s="159"/>
      <c r="M425" s="159"/>
      <c r="N425" s="159"/>
      <c r="O425" s="159"/>
      <c r="P425" s="159"/>
      <c r="Q425" s="159"/>
      <c r="R425" s="159"/>
      <c r="S425" s="159"/>
      <c r="T425" s="159"/>
      <c r="U425" s="159"/>
      <c r="V425" s="159"/>
      <c r="W425" s="159"/>
      <c r="X425" s="159"/>
      <c r="Y425" s="159"/>
      <c r="Z425" s="159"/>
    </row>
    <row r="426" ht="15.75" customHeight="1">
      <c r="A426" s="118"/>
      <c r="B426" s="118"/>
      <c r="C426" s="181"/>
      <c r="D426" s="159"/>
      <c r="E426" s="159"/>
      <c r="F426" s="159"/>
      <c r="G426" s="159"/>
      <c r="H426" s="83"/>
      <c r="I426" s="159"/>
      <c r="J426" s="159"/>
      <c r="K426" s="159"/>
      <c r="L426" s="159"/>
      <c r="M426" s="159"/>
      <c r="N426" s="159"/>
      <c r="O426" s="159"/>
      <c r="P426" s="159"/>
      <c r="Q426" s="159"/>
      <c r="R426" s="159"/>
      <c r="S426" s="159"/>
      <c r="T426" s="159"/>
      <c r="U426" s="159"/>
      <c r="V426" s="159"/>
      <c r="W426" s="159"/>
      <c r="X426" s="159"/>
      <c r="Y426" s="159"/>
      <c r="Z426" s="159"/>
    </row>
    <row r="427" ht="15.75" customHeight="1">
      <c r="A427" s="118"/>
      <c r="B427" s="118"/>
      <c r="C427" s="181"/>
      <c r="D427" s="159"/>
      <c r="E427" s="159"/>
      <c r="F427" s="159"/>
      <c r="G427" s="159"/>
      <c r="H427" s="83"/>
      <c r="I427" s="159"/>
      <c r="J427" s="159"/>
      <c r="K427" s="159"/>
      <c r="L427" s="159"/>
      <c r="M427" s="159"/>
      <c r="N427" s="159"/>
      <c r="O427" s="159"/>
      <c r="P427" s="159"/>
      <c r="Q427" s="159"/>
      <c r="R427" s="159"/>
      <c r="S427" s="159"/>
      <c r="T427" s="159"/>
      <c r="U427" s="159"/>
      <c r="V427" s="159"/>
      <c r="W427" s="159"/>
      <c r="X427" s="159"/>
      <c r="Y427" s="159"/>
      <c r="Z427" s="159"/>
    </row>
    <row r="428" ht="15.75" customHeight="1">
      <c r="A428" s="118"/>
      <c r="B428" s="118"/>
      <c r="C428" s="181"/>
      <c r="D428" s="159"/>
      <c r="E428" s="159"/>
      <c r="F428" s="159"/>
      <c r="G428" s="159"/>
      <c r="H428" s="83"/>
      <c r="I428" s="159"/>
      <c r="J428" s="159"/>
      <c r="K428" s="159"/>
      <c r="L428" s="159"/>
      <c r="M428" s="159"/>
      <c r="N428" s="159"/>
      <c r="O428" s="159"/>
      <c r="P428" s="159"/>
      <c r="Q428" s="159"/>
      <c r="R428" s="159"/>
      <c r="S428" s="159"/>
      <c r="T428" s="159"/>
      <c r="U428" s="159"/>
      <c r="V428" s="159"/>
      <c r="W428" s="159"/>
      <c r="X428" s="159"/>
      <c r="Y428" s="159"/>
      <c r="Z428" s="159"/>
    </row>
    <row r="429" ht="15.75" customHeight="1">
      <c r="A429" s="118"/>
      <c r="B429" s="118"/>
      <c r="C429" s="181"/>
      <c r="D429" s="159"/>
      <c r="E429" s="159"/>
      <c r="F429" s="159"/>
      <c r="G429" s="159"/>
      <c r="H429" s="83"/>
      <c r="I429" s="159"/>
      <c r="J429" s="159"/>
      <c r="K429" s="159"/>
      <c r="L429" s="159"/>
      <c r="M429" s="159"/>
      <c r="N429" s="159"/>
      <c r="O429" s="159"/>
      <c r="P429" s="159"/>
      <c r="Q429" s="159"/>
      <c r="R429" s="159"/>
      <c r="S429" s="159"/>
      <c r="T429" s="159"/>
      <c r="U429" s="159"/>
      <c r="V429" s="159"/>
      <c r="W429" s="159"/>
      <c r="X429" s="159"/>
      <c r="Y429" s="159"/>
      <c r="Z429" s="159"/>
    </row>
    <row r="430" ht="15.75" customHeight="1">
      <c r="A430" s="118"/>
      <c r="B430" s="118"/>
      <c r="C430" s="181"/>
      <c r="D430" s="159"/>
      <c r="E430" s="159"/>
      <c r="F430" s="159"/>
      <c r="G430" s="159"/>
      <c r="H430" s="83"/>
      <c r="I430" s="159"/>
      <c r="J430" s="159"/>
      <c r="K430" s="159"/>
      <c r="L430" s="159"/>
      <c r="M430" s="159"/>
      <c r="N430" s="159"/>
      <c r="O430" s="159"/>
      <c r="P430" s="159"/>
      <c r="Q430" s="159"/>
      <c r="R430" s="159"/>
      <c r="S430" s="159"/>
      <c r="T430" s="159"/>
      <c r="U430" s="159"/>
      <c r="V430" s="159"/>
      <c r="W430" s="159"/>
      <c r="X430" s="159"/>
      <c r="Y430" s="159"/>
      <c r="Z430" s="159"/>
    </row>
    <row r="431" ht="15.75" customHeight="1">
      <c r="A431" s="118"/>
      <c r="B431" s="118"/>
      <c r="C431" s="181"/>
      <c r="D431" s="159"/>
      <c r="E431" s="159"/>
      <c r="F431" s="159"/>
      <c r="G431" s="159"/>
      <c r="H431" s="83"/>
      <c r="I431" s="159"/>
      <c r="J431" s="159"/>
      <c r="K431" s="159"/>
      <c r="L431" s="159"/>
      <c r="M431" s="159"/>
      <c r="N431" s="159"/>
      <c r="O431" s="159"/>
      <c r="P431" s="159"/>
      <c r="Q431" s="159"/>
      <c r="R431" s="159"/>
      <c r="S431" s="159"/>
      <c r="T431" s="159"/>
      <c r="U431" s="159"/>
      <c r="V431" s="159"/>
      <c r="W431" s="159"/>
      <c r="X431" s="159"/>
      <c r="Y431" s="159"/>
      <c r="Z431" s="159"/>
    </row>
    <row r="432" ht="15.75" customHeight="1">
      <c r="A432" s="118"/>
      <c r="B432" s="118"/>
      <c r="C432" s="181"/>
      <c r="D432" s="159"/>
      <c r="E432" s="159"/>
      <c r="F432" s="159"/>
      <c r="G432" s="159"/>
      <c r="H432" s="83"/>
      <c r="I432" s="159"/>
      <c r="J432" s="159"/>
      <c r="K432" s="159"/>
      <c r="L432" s="159"/>
      <c r="M432" s="159"/>
      <c r="N432" s="159"/>
      <c r="O432" s="159"/>
      <c r="P432" s="159"/>
      <c r="Q432" s="159"/>
      <c r="R432" s="159"/>
      <c r="S432" s="159"/>
      <c r="T432" s="159"/>
      <c r="U432" s="159"/>
      <c r="V432" s="159"/>
      <c r="W432" s="159"/>
      <c r="X432" s="159"/>
      <c r="Y432" s="159"/>
      <c r="Z432" s="159"/>
    </row>
    <row r="433" ht="15.75" customHeight="1">
      <c r="A433" s="118"/>
      <c r="B433" s="118"/>
      <c r="C433" s="181"/>
      <c r="D433" s="159"/>
      <c r="E433" s="159"/>
      <c r="F433" s="159"/>
      <c r="G433" s="159"/>
      <c r="H433" s="83"/>
      <c r="I433" s="159"/>
      <c r="J433" s="159"/>
      <c r="K433" s="159"/>
      <c r="L433" s="159"/>
      <c r="M433" s="159"/>
      <c r="N433" s="159"/>
      <c r="O433" s="159"/>
      <c r="P433" s="159"/>
      <c r="Q433" s="159"/>
      <c r="R433" s="159"/>
      <c r="S433" s="159"/>
      <c r="T433" s="159"/>
      <c r="U433" s="159"/>
      <c r="V433" s="159"/>
      <c r="W433" s="159"/>
      <c r="X433" s="159"/>
      <c r="Y433" s="159"/>
      <c r="Z433" s="159"/>
    </row>
    <row r="434" ht="15.75" customHeight="1">
      <c r="A434" s="118"/>
      <c r="B434" s="118"/>
      <c r="C434" s="181"/>
      <c r="D434" s="159"/>
      <c r="E434" s="159"/>
      <c r="F434" s="159"/>
      <c r="G434" s="159"/>
      <c r="H434" s="83"/>
      <c r="I434" s="159"/>
      <c r="J434" s="159"/>
      <c r="K434" s="159"/>
      <c r="L434" s="159"/>
      <c r="M434" s="159"/>
      <c r="N434" s="159"/>
      <c r="O434" s="159"/>
      <c r="P434" s="159"/>
      <c r="Q434" s="159"/>
      <c r="R434" s="159"/>
      <c r="S434" s="159"/>
      <c r="T434" s="159"/>
      <c r="U434" s="159"/>
      <c r="V434" s="159"/>
      <c r="W434" s="159"/>
      <c r="X434" s="159"/>
      <c r="Y434" s="159"/>
      <c r="Z434" s="159"/>
    </row>
    <row r="435" ht="15.75" customHeight="1">
      <c r="A435" s="118"/>
      <c r="B435" s="118"/>
      <c r="C435" s="181"/>
      <c r="D435" s="159"/>
      <c r="E435" s="159"/>
      <c r="F435" s="159"/>
      <c r="G435" s="159"/>
      <c r="H435" s="83"/>
      <c r="I435" s="159"/>
      <c r="J435" s="159"/>
      <c r="K435" s="159"/>
      <c r="L435" s="159"/>
      <c r="M435" s="159"/>
      <c r="N435" s="159"/>
      <c r="O435" s="159"/>
      <c r="P435" s="159"/>
      <c r="Q435" s="159"/>
      <c r="R435" s="159"/>
      <c r="S435" s="159"/>
      <c r="T435" s="159"/>
      <c r="U435" s="159"/>
      <c r="V435" s="159"/>
      <c r="W435" s="159"/>
      <c r="X435" s="159"/>
      <c r="Y435" s="159"/>
      <c r="Z435" s="159"/>
    </row>
    <row r="436" ht="15.75" customHeight="1">
      <c r="A436" s="118"/>
      <c r="B436" s="118"/>
      <c r="C436" s="181"/>
      <c r="D436" s="159"/>
      <c r="E436" s="159"/>
      <c r="F436" s="159"/>
      <c r="G436" s="159"/>
      <c r="H436" s="83"/>
      <c r="I436" s="159"/>
      <c r="J436" s="159"/>
      <c r="K436" s="159"/>
      <c r="L436" s="159"/>
      <c r="M436" s="159"/>
      <c r="N436" s="159"/>
      <c r="O436" s="159"/>
      <c r="P436" s="159"/>
      <c r="Q436" s="159"/>
      <c r="R436" s="159"/>
      <c r="S436" s="159"/>
      <c r="T436" s="159"/>
      <c r="U436" s="159"/>
      <c r="V436" s="159"/>
      <c r="W436" s="159"/>
      <c r="X436" s="159"/>
      <c r="Y436" s="159"/>
      <c r="Z436" s="159"/>
    </row>
    <row r="437" ht="15.75" customHeight="1">
      <c r="A437" s="118"/>
      <c r="B437" s="118"/>
      <c r="C437" s="181"/>
      <c r="D437" s="159"/>
      <c r="E437" s="159"/>
      <c r="F437" s="159"/>
      <c r="G437" s="159"/>
      <c r="H437" s="83"/>
      <c r="I437" s="159"/>
      <c r="J437" s="159"/>
      <c r="K437" s="159"/>
      <c r="L437" s="159"/>
      <c r="M437" s="159"/>
      <c r="N437" s="159"/>
      <c r="O437" s="159"/>
      <c r="P437" s="159"/>
      <c r="Q437" s="159"/>
      <c r="R437" s="159"/>
      <c r="S437" s="159"/>
      <c r="T437" s="159"/>
      <c r="U437" s="159"/>
      <c r="V437" s="159"/>
      <c r="W437" s="159"/>
      <c r="X437" s="159"/>
      <c r="Y437" s="159"/>
      <c r="Z437" s="159"/>
    </row>
    <row r="438" ht="15.75" customHeight="1">
      <c r="A438" s="118"/>
      <c r="B438" s="118"/>
      <c r="C438" s="181"/>
      <c r="D438" s="159"/>
      <c r="E438" s="159"/>
      <c r="F438" s="159"/>
      <c r="G438" s="159"/>
      <c r="H438" s="83"/>
      <c r="I438" s="159"/>
      <c r="J438" s="159"/>
      <c r="K438" s="159"/>
      <c r="L438" s="159"/>
      <c r="M438" s="159"/>
      <c r="N438" s="159"/>
      <c r="O438" s="159"/>
      <c r="P438" s="159"/>
      <c r="Q438" s="159"/>
      <c r="R438" s="159"/>
      <c r="S438" s="159"/>
      <c r="T438" s="159"/>
      <c r="U438" s="159"/>
      <c r="V438" s="159"/>
      <c r="W438" s="159"/>
      <c r="X438" s="159"/>
      <c r="Y438" s="159"/>
      <c r="Z438" s="159"/>
    </row>
    <row r="439" ht="15.75" customHeight="1">
      <c r="A439" s="118"/>
      <c r="B439" s="118"/>
      <c r="C439" s="181"/>
      <c r="D439" s="159"/>
      <c r="E439" s="159"/>
      <c r="F439" s="159"/>
      <c r="G439" s="159"/>
      <c r="H439" s="83"/>
      <c r="I439" s="159"/>
      <c r="J439" s="159"/>
      <c r="K439" s="159"/>
      <c r="L439" s="159"/>
      <c r="M439" s="159"/>
      <c r="N439" s="159"/>
      <c r="O439" s="159"/>
      <c r="P439" s="159"/>
      <c r="Q439" s="159"/>
      <c r="R439" s="159"/>
      <c r="S439" s="159"/>
      <c r="T439" s="159"/>
      <c r="U439" s="159"/>
      <c r="V439" s="159"/>
      <c r="W439" s="159"/>
      <c r="X439" s="159"/>
      <c r="Y439" s="159"/>
      <c r="Z439" s="159"/>
    </row>
    <row r="440" ht="15.75" customHeight="1">
      <c r="A440" s="118"/>
      <c r="B440" s="118"/>
      <c r="C440" s="181"/>
      <c r="D440" s="159"/>
      <c r="E440" s="159"/>
      <c r="F440" s="159"/>
      <c r="G440" s="159"/>
      <c r="H440" s="83"/>
      <c r="I440" s="159"/>
      <c r="J440" s="159"/>
      <c r="K440" s="159"/>
      <c r="L440" s="159"/>
      <c r="M440" s="159"/>
      <c r="N440" s="159"/>
      <c r="O440" s="159"/>
      <c r="P440" s="159"/>
      <c r="Q440" s="159"/>
      <c r="R440" s="159"/>
      <c r="S440" s="159"/>
      <c r="T440" s="159"/>
      <c r="U440" s="159"/>
      <c r="V440" s="159"/>
      <c r="W440" s="159"/>
      <c r="X440" s="159"/>
      <c r="Y440" s="159"/>
      <c r="Z440" s="159"/>
    </row>
    <row r="441" ht="15.75" customHeight="1">
      <c r="A441" s="118"/>
      <c r="B441" s="118"/>
      <c r="C441" s="181"/>
      <c r="D441" s="159"/>
      <c r="E441" s="159"/>
      <c r="F441" s="159"/>
      <c r="G441" s="159"/>
      <c r="H441" s="83"/>
      <c r="I441" s="159"/>
      <c r="J441" s="159"/>
      <c r="K441" s="159"/>
      <c r="L441" s="159"/>
      <c r="M441" s="159"/>
      <c r="N441" s="159"/>
      <c r="O441" s="159"/>
      <c r="P441" s="159"/>
      <c r="Q441" s="159"/>
      <c r="R441" s="159"/>
      <c r="S441" s="159"/>
      <c r="T441" s="159"/>
      <c r="U441" s="159"/>
      <c r="V441" s="159"/>
      <c r="W441" s="159"/>
      <c r="X441" s="159"/>
      <c r="Y441" s="159"/>
      <c r="Z441" s="159"/>
    </row>
    <row r="442" ht="15.75" customHeight="1">
      <c r="A442" s="118"/>
      <c r="B442" s="118"/>
      <c r="C442" s="181"/>
      <c r="D442" s="159"/>
      <c r="E442" s="159"/>
      <c r="F442" s="159"/>
      <c r="G442" s="159"/>
      <c r="H442" s="83"/>
      <c r="I442" s="159"/>
      <c r="J442" s="159"/>
      <c r="K442" s="159"/>
      <c r="L442" s="159"/>
      <c r="M442" s="159"/>
      <c r="N442" s="159"/>
      <c r="O442" s="159"/>
      <c r="P442" s="159"/>
      <c r="Q442" s="159"/>
      <c r="R442" s="159"/>
      <c r="S442" s="159"/>
      <c r="T442" s="159"/>
      <c r="U442" s="159"/>
      <c r="V442" s="159"/>
      <c r="W442" s="159"/>
      <c r="X442" s="159"/>
      <c r="Y442" s="159"/>
      <c r="Z442" s="159"/>
    </row>
    <row r="443" ht="15.75" customHeight="1">
      <c r="A443" s="118"/>
      <c r="B443" s="118"/>
      <c r="C443" s="181"/>
      <c r="D443" s="159"/>
      <c r="E443" s="159"/>
      <c r="F443" s="159"/>
      <c r="G443" s="159"/>
      <c r="H443" s="83"/>
      <c r="I443" s="159"/>
      <c r="J443" s="159"/>
      <c r="K443" s="159"/>
      <c r="L443" s="159"/>
      <c r="M443" s="159"/>
      <c r="N443" s="159"/>
      <c r="O443" s="159"/>
      <c r="P443" s="159"/>
      <c r="Q443" s="159"/>
      <c r="R443" s="159"/>
      <c r="S443" s="159"/>
      <c r="T443" s="159"/>
      <c r="U443" s="159"/>
      <c r="V443" s="159"/>
      <c r="W443" s="159"/>
      <c r="X443" s="159"/>
      <c r="Y443" s="159"/>
      <c r="Z443" s="159"/>
    </row>
    <row r="444" ht="15.75" customHeight="1">
      <c r="A444" s="118"/>
      <c r="B444" s="118"/>
      <c r="C444" s="181"/>
      <c r="D444" s="159"/>
      <c r="E444" s="159"/>
      <c r="F444" s="159"/>
      <c r="G444" s="159"/>
      <c r="H444" s="83"/>
      <c r="I444" s="159"/>
      <c r="J444" s="159"/>
      <c r="K444" s="159"/>
      <c r="L444" s="159"/>
      <c r="M444" s="159"/>
      <c r="N444" s="159"/>
      <c r="O444" s="159"/>
      <c r="P444" s="159"/>
      <c r="Q444" s="159"/>
      <c r="R444" s="159"/>
      <c r="S444" s="159"/>
      <c r="T444" s="159"/>
      <c r="U444" s="159"/>
      <c r="V444" s="159"/>
      <c r="W444" s="159"/>
      <c r="X444" s="159"/>
      <c r="Y444" s="159"/>
      <c r="Z444" s="159"/>
    </row>
    <row r="445" ht="15.75" customHeight="1">
      <c r="A445" s="118"/>
      <c r="B445" s="118"/>
      <c r="C445" s="181"/>
      <c r="D445" s="159"/>
      <c r="E445" s="159"/>
      <c r="F445" s="159"/>
      <c r="G445" s="159"/>
      <c r="H445" s="83"/>
      <c r="I445" s="159"/>
      <c r="J445" s="159"/>
      <c r="K445" s="159"/>
      <c r="L445" s="159"/>
      <c r="M445" s="159"/>
      <c r="N445" s="159"/>
      <c r="O445" s="159"/>
      <c r="P445" s="159"/>
      <c r="Q445" s="159"/>
      <c r="R445" s="159"/>
      <c r="S445" s="159"/>
      <c r="T445" s="159"/>
      <c r="U445" s="159"/>
      <c r="V445" s="159"/>
      <c r="W445" s="159"/>
      <c r="X445" s="159"/>
      <c r="Y445" s="159"/>
      <c r="Z445" s="159"/>
    </row>
    <row r="446" ht="15.75" customHeight="1">
      <c r="A446" s="118"/>
      <c r="B446" s="118"/>
      <c r="C446" s="181"/>
      <c r="D446" s="159"/>
      <c r="E446" s="159"/>
      <c r="F446" s="159"/>
      <c r="G446" s="159"/>
      <c r="H446" s="83"/>
      <c r="I446" s="159"/>
      <c r="J446" s="159"/>
      <c r="K446" s="159"/>
      <c r="L446" s="159"/>
      <c r="M446" s="159"/>
      <c r="N446" s="159"/>
      <c r="O446" s="159"/>
      <c r="P446" s="159"/>
      <c r="Q446" s="159"/>
      <c r="R446" s="159"/>
      <c r="S446" s="159"/>
      <c r="T446" s="159"/>
      <c r="U446" s="159"/>
      <c r="V446" s="159"/>
      <c r="W446" s="159"/>
      <c r="X446" s="159"/>
      <c r="Y446" s="159"/>
      <c r="Z446" s="159"/>
    </row>
    <row r="447" ht="15.75" customHeight="1">
      <c r="A447" s="118"/>
      <c r="B447" s="118"/>
      <c r="C447" s="181"/>
      <c r="D447" s="159"/>
      <c r="E447" s="159"/>
      <c r="F447" s="159"/>
      <c r="G447" s="159"/>
      <c r="H447" s="83"/>
      <c r="I447" s="159"/>
      <c r="J447" s="159"/>
      <c r="K447" s="159"/>
      <c r="L447" s="159"/>
      <c r="M447" s="159"/>
      <c r="N447" s="159"/>
      <c r="O447" s="159"/>
      <c r="P447" s="159"/>
      <c r="Q447" s="159"/>
      <c r="R447" s="159"/>
      <c r="S447" s="159"/>
      <c r="T447" s="159"/>
      <c r="U447" s="159"/>
      <c r="V447" s="159"/>
      <c r="W447" s="159"/>
      <c r="X447" s="159"/>
      <c r="Y447" s="159"/>
      <c r="Z447" s="159"/>
    </row>
    <row r="448" ht="15.75" customHeight="1">
      <c r="A448" s="118"/>
      <c r="B448" s="118"/>
      <c r="C448" s="181"/>
      <c r="D448" s="159"/>
      <c r="E448" s="159"/>
      <c r="F448" s="159"/>
      <c r="G448" s="159"/>
      <c r="H448" s="83"/>
      <c r="I448" s="159"/>
      <c r="J448" s="159"/>
      <c r="K448" s="159"/>
      <c r="L448" s="159"/>
      <c r="M448" s="159"/>
      <c r="N448" s="159"/>
      <c r="O448" s="159"/>
      <c r="P448" s="159"/>
      <c r="Q448" s="159"/>
      <c r="R448" s="159"/>
      <c r="S448" s="159"/>
      <c r="T448" s="159"/>
      <c r="U448" s="159"/>
      <c r="V448" s="159"/>
      <c r="W448" s="159"/>
      <c r="X448" s="159"/>
      <c r="Y448" s="159"/>
      <c r="Z448" s="159"/>
    </row>
    <row r="449" ht="15.75" customHeight="1">
      <c r="A449" s="118"/>
      <c r="B449" s="118"/>
      <c r="C449" s="181"/>
      <c r="D449" s="159"/>
      <c r="E449" s="159"/>
      <c r="F449" s="159"/>
      <c r="G449" s="159"/>
      <c r="H449" s="83"/>
      <c r="I449" s="159"/>
      <c r="J449" s="159"/>
      <c r="K449" s="159"/>
      <c r="L449" s="159"/>
      <c r="M449" s="159"/>
      <c r="N449" s="159"/>
      <c r="O449" s="159"/>
      <c r="P449" s="159"/>
      <c r="Q449" s="159"/>
      <c r="R449" s="159"/>
      <c r="S449" s="159"/>
      <c r="T449" s="159"/>
      <c r="U449" s="159"/>
      <c r="V449" s="159"/>
      <c r="W449" s="159"/>
      <c r="X449" s="159"/>
      <c r="Y449" s="159"/>
      <c r="Z449" s="159"/>
    </row>
    <row r="450" ht="15.75" customHeight="1">
      <c r="A450" s="118"/>
      <c r="B450" s="118"/>
      <c r="C450" s="181"/>
      <c r="D450" s="159"/>
      <c r="E450" s="159"/>
      <c r="F450" s="159"/>
      <c r="G450" s="159"/>
      <c r="H450" s="83"/>
      <c r="I450" s="159"/>
      <c r="J450" s="159"/>
      <c r="K450" s="159"/>
      <c r="L450" s="159"/>
      <c r="M450" s="159"/>
      <c r="N450" s="159"/>
      <c r="O450" s="159"/>
      <c r="P450" s="159"/>
      <c r="Q450" s="159"/>
      <c r="R450" s="159"/>
      <c r="S450" s="159"/>
      <c r="T450" s="159"/>
      <c r="U450" s="159"/>
      <c r="V450" s="159"/>
      <c r="W450" s="159"/>
      <c r="X450" s="159"/>
      <c r="Y450" s="159"/>
      <c r="Z450" s="159"/>
    </row>
    <row r="451" ht="15.75" customHeight="1">
      <c r="A451" s="118"/>
      <c r="B451" s="118"/>
      <c r="C451" s="181"/>
      <c r="D451" s="159"/>
      <c r="E451" s="159"/>
      <c r="F451" s="159"/>
      <c r="G451" s="159"/>
      <c r="H451" s="83"/>
      <c r="I451" s="159"/>
      <c r="J451" s="159"/>
      <c r="K451" s="159"/>
      <c r="L451" s="159"/>
      <c r="M451" s="159"/>
      <c r="N451" s="159"/>
      <c r="O451" s="159"/>
      <c r="P451" s="159"/>
      <c r="Q451" s="159"/>
      <c r="R451" s="159"/>
      <c r="S451" s="159"/>
      <c r="T451" s="159"/>
      <c r="U451" s="159"/>
      <c r="V451" s="159"/>
      <c r="W451" s="159"/>
      <c r="X451" s="159"/>
      <c r="Y451" s="159"/>
      <c r="Z451" s="159"/>
    </row>
    <row r="452" ht="15.75" customHeight="1">
      <c r="A452" s="118"/>
      <c r="B452" s="118"/>
      <c r="C452" s="181"/>
      <c r="D452" s="159"/>
      <c r="E452" s="159"/>
      <c r="F452" s="159"/>
      <c r="G452" s="159"/>
      <c r="H452" s="83"/>
      <c r="I452" s="159"/>
      <c r="J452" s="159"/>
      <c r="K452" s="159"/>
      <c r="L452" s="159"/>
      <c r="M452" s="159"/>
      <c r="N452" s="159"/>
      <c r="O452" s="159"/>
      <c r="P452" s="159"/>
      <c r="Q452" s="159"/>
      <c r="R452" s="159"/>
      <c r="S452" s="159"/>
      <c r="T452" s="159"/>
      <c r="U452" s="159"/>
      <c r="V452" s="159"/>
      <c r="W452" s="159"/>
      <c r="X452" s="159"/>
      <c r="Y452" s="159"/>
      <c r="Z452" s="159"/>
    </row>
    <row r="453" ht="15.75" customHeight="1">
      <c r="A453" s="118"/>
      <c r="B453" s="118"/>
      <c r="C453" s="181"/>
      <c r="D453" s="159"/>
      <c r="E453" s="159"/>
      <c r="F453" s="159"/>
      <c r="G453" s="159"/>
      <c r="H453" s="83"/>
      <c r="I453" s="159"/>
      <c r="J453" s="159"/>
      <c r="K453" s="159"/>
      <c r="L453" s="159"/>
      <c r="M453" s="159"/>
      <c r="N453" s="159"/>
      <c r="O453" s="159"/>
      <c r="P453" s="159"/>
      <c r="Q453" s="159"/>
      <c r="R453" s="159"/>
      <c r="S453" s="159"/>
      <c r="T453" s="159"/>
      <c r="U453" s="159"/>
      <c r="V453" s="159"/>
      <c r="W453" s="159"/>
      <c r="X453" s="159"/>
      <c r="Y453" s="159"/>
      <c r="Z453" s="159"/>
    </row>
    <row r="454" ht="15.75" customHeight="1">
      <c r="A454" s="118"/>
      <c r="B454" s="118"/>
      <c r="C454" s="181"/>
      <c r="D454" s="159"/>
      <c r="E454" s="159"/>
      <c r="F454" s="159"/>
      <c r="G454" s="159"/>
      <c r="H454" s="83"/>
      <c r="I454" s="159"/>
      <c r="J454" s="159"/>
      <c r="K454" s="159"/>
      <c r="L454" s="159"/>
      <c r="M454" s="159"/>
      <c r="N454" s="159"/>
      <c r="O454" s="159"/>
      <c r="P454" s="159"/>
      <c r="Q454" s="159"/>
      <c r="R454" s="159"/>
      <c r="S454" s="159"/>
      <c r="T454" s="159"/>
      <c r="U454" s="159"/>
      <c r="V454" s="159"/>
      <c r="W454" s="159"/>
      <c r="X454" s="159"/>
      <c r="Y454" s="159"/>
      <c r="Z454" s="159"/>
    </row>
    <row r="455" ht="15.75" customHeight="1">
      <c r="A455" s="118"/>
      <c r="B455" s="118"/>
      <c r="C455" s="181"/>
      <c r="D455" s="159"/>
      <c r="E455" s="159"/>
      <c r="F455" s="159"/>
      <c r="G455" s="159"/>
      <c r="H455" s="83"/>
      <c r="I455" s="159"/>
      <c r="J455" s="159"/>
      <c r="K455" s="159"/>
      <c r="L455" s="159"/>
      <c r="M455" s="159"/>
      <c r="N455" s="159"/>
      <c r="O455" s="159"/>
      <c r="P455" s="159"/>
      <c r="Q455" s="159"/>
      <c r="R455" s="159"/>
      <c r="S455" s="159"/>
      <c r="T455" s="159"/>
      <c r="U455" s="159"/>
      <c r="V455" s="159"/>
      <c r="W455" s="159"/>
      <c r="X455" s="159"/>
      <c r="Y455" s="159"/>
      <c r="Z455" s="159"/>
    </row>
    <row r="456" ht="15.75" customHeight="1">
      <c r="A456" s="118"/>
      <c r="B456" s="118"/>
      <c r="C456" s="181"/>
      <c r="D456" s="159"/>
      <c r="E456" s="159"/>
      <c r="F456" s="159"/>
      <c r="G456" s="159"/>
      <c r="H456" s="83"/>
      <c r="I456" s="159"/>
      <c r="J456" s="159"/>
      <c r="K456" s="159"/>
      <c r="L456" s="159"/>
      <c r="M456" s="159"/>
      <c r="N456" s="159"/>
      <c r="O456" s="159"/>
      <c r="P456" s="159"/>
      <c r="Q456" s="159"/>
      <c r="R456" s="159"/>
      <c r="S456" s="159"/>
      <c r="T456" s="159"/>
      <c r="U456" s="159"/>
      <c r="V456" s="159"/>
      <c r="W456" s="159"/>
      <c r="X456" s="159"/>
      <c r="Y456" s="159"/>
      <c r="Z456" s="159"/>
    </row>
    <row r="457" ht="15.75" customHeight="1">
      <c r="A457" s="118"/>
      <c r="B457" s="118"/>
      <c r="C457" s="181"/>
      <c r="D457" s="159"/>
      <c r="E457" s="159"/>
      <c r="F457" s="159"/>
      <c r="G457" s="159"/>
      <c r="H457" s="83"/>
      <c r="I457" s="159"/>
      <c r="J457" s="159"/>
      <c r="K457" s="159"/>
      <c r="L457" s="159"/>
      <c r="M457" s="159"/>
      <c r="N457" s="159"/>
      <c r="O457" s="159"/>
      <c r="P457" s="159"/>
      <c r="Q457" s="159"/>
      <c r="R457" s="159"/>
      <c r="S457" s="159"/>
      <c r="T457" s="159"/>
      <c r="U457" s="159"/>
      <c r="V457" s="159"/>
      <c r="W457" s="159"/>
      <c r="X457" s="159"/>
      <c r="Y457" s="159"/>
      <c r="Z457" s="159"/>
    </row>
    <row r="458" ht="15.75" customHeight="1">
      <c r="A458" s="118"/>
      <c r="B458" s="118"/>
      <c r="C458" s="181"/>
      <c r="D458" s="159"/>
      <c r="E458" s="159"/>
      <c r="F458" s="159"/>
      <c r="G458" s="159"/>
      <c r="H458" s="83"/>
      <c r="I458" s="159"/>
      <c r="J458" s="159"/>
      <c r="K458" s="159"/>
      <c r="L458" s="159"/>
      <c r="M458" s="159"/>
      <c r="N458" s="159"/>
      <c r="O458" s="159"/>
      <c r="P458" s="159"/>
      <c r="Q458" s="159"/>
      <c r="R458" s="159"/>
      <c r="S458" s="159"/>
      <c r="T458" s="159"/>
      <c r="U458" s="159"/>
      <c r="V458" s="159"/>
      <c r="W458" s="159"/>
      <c r="X458" s="159"/>
      <c r="Y458" s="159"/>
      <c r="Z458" s="159"/>
    </row>
    <row r="459" ht="15.75" customHeight="1">
      <c r="A459" s="118"/>
      <c r="B459" s="118"/>
      <c r="C459" s="181"/>
      <c r="D459" s="159"/>
      <c r="E459" s="159"/>
      <c r="F459" s="159"/>
      <c r="G459" s="159"/>
      <c r="H459" s="83"/>
      <c r="I459" s="159"/>
      <c r="J459" s="159"/>
      <c r="K459" s="159"/>
      <c r="L459" s="159"/>
      <c r="M459" s="159"/>
      <c r="N459" s="159"/>
      <c r="O459" s="159"/>
      <c r="P459" s="159"/>
      <c r="Q459" s="159"/>
      <c r="R459" s="159"/>
      <c r="S459" s="159"/>
      <c r="T459" s="159"/>
      <c r="U459" s="159"/>
      <c r="V459" s="159"/>
      <c r="W459" s="159"/>
      <c r="X459" s="159"/>
      <c r="Y459" s="159"/>
      <c r="Z459" s="159"/>
    </row>
    <row r="460" ht="15.75" customHeight="1">
      <c r="A460" s="118"/>
      <c r="B460" s="118"/>
      <c r="C460" s="181"/>
      <c r="D460" s="159"/>
      <c r="E460" s="159"/>
      <c r="F460" s="159"/>
      <c r="G460" s="159"/>
      <c r="H460" s="83"/>
      <c r="I460" s="159"/>
      <c r="J460" s="159"/>
      <c r="K460" s="159"/>
      <c r="L460" s="159"/>
      <c r="M460" s="159"/>
      <c r="N460" s="159"/>
      <c r="O460" s="159"/>
      <c r="P460" s="159"/>
      <c r="Q460" s="159"/>
      <c r="R460" s="159"/>
      <c r="S460" s="159"/>
      <c r="T460" s="159"/>
      <c r="U460" s="159"/>
      <c r="V460" s="159"/>
      <c r="W460" s="159"/>
      <c r="X460" s="159"/>
      <c r="Y460" s="159"/>
      <c r="Z460" s="159"/>
    </row>
    <row r="461" ht="15.75" customHeight="1">
      <c r="A461" s="118"/>
      <c r="B461" s="118"/>
      <c r="C461" s="181"/>
      <c r="D461" s="159"/>
      <c r="E461" s="159"/>
      <c r="F461" s="159"/>
      <c r="G461" s="159"/>
      <c r="H461" s="83"/>
      <c r="I461" s="159"/>
      <c r="J461" s="159"/>
      <c r="K461" s="159"/>
      <c r="L461" s="159"/>
      <c r="M461" s="159"/>
      <c r="N461" s="159"/>
      <c r="O461" s="159"/>
      <c r="P461" s="159"/>
      <c r="Q461" s="159"/>
      <c r="R461" s="159"/>
      <c r="S461" s="159"/>
      <c r="T461" s="159"/>
      <c r="U461" s="159"/>
      <c r="V461" s="159"/>
      <c r="W461" s="159"/>
      <c r="X461" s="159"/>
      <c r="Y461" s="159"/>
      <c r="Z461" s="159"/>
    </row>
    <row r="462" ht="15.75" customHeight="1">
      <c r="A462" s="118"/>
      <c r="B462" s="118"/>
      <c r="C462" s="181"/>
      <c r="D462" s="159"/>
      <c r="E462" s="159"/>
      <c r="F462" s="159"/>
      <c r="G462" s="159"/>
      <c r="H462" s="83"/>
      <c r="I462" s="159"/>
      <c r="J462" s="159"/>
      <c r="K462" s="159"/>
      <c r="L462" s="159"/>
      <c r="M462" s="159"/>
      <c r="N462" s="159"/>
      <c r="O462" s="159"/>
      <c r="P462" s="159"/>
      <c r="Q462" s="159"/>
      <c r="R462" s="159"/>
      <c r="S462" s="159"/>
      <c r="T462" s="159"/>
      <c r="U462" s="159"/>
      <c r="V462" s="159"/>
      <c r="W462" s="159"/>
      <c r="X462" s="159"/>
      <c r="Y462" s="159"/>
      <c r="Z462" s="159"/>
    </row>
    <row r="463" ht="15.75" customHeight="1">
      <c r="A463" s="118"/>
      <c r="B463" s="118"/>
      <c r="C463" s="181"/>
      <c r="D463" s="159"/>
      <c r="E463" s="159"/>
      <c r="F463" s="159"/>
      <c r="G463" s="159"/>
      <c r="H463" s="83"/>
      <c r="I463" s="159"/>
      <c r="J463" s="159"/>
      <c r="K463" s="159"/>
      <c r="L463" s="159"/>
      <c r="M463" s="159"/>
      <c r="N463" s="159"/>
      <c r="O463" s="159"/>
      <c r="P463" s="159"/>
      <c r="Q463" s="159"/>
      <c r="R463" s="159"/>
      <c r="S463" s="159"/>
      <c r="T463" s="159"/>
      <c r="U463" s="159"/>
      <c r="V463" s="159"/>
      <c r="W463" s="159"/>
      <c r="X463" s="159"/>
      <c r="Y463" s="159"/>
      <c r="Z463" s="159"/>
    </row>
    <row r="464" ht="15.75" customHeight="1">
      <c r="A464" s="118"/>
      <c r="B464" s="118"/>
      <c r="C464" s="181"/>
      <c r="D464" s="159"/>
      <c r="E464" s="159"/>
      <c r="F464" s="159"/>
      <c r="G464" s="159"/>
      <c r="H464" s="83"/>
      <c r="I464" s="159"/>
      <c r="J464" s="159"/>
      <c r="K464" s="159"/>
      <c r="L464" s="159"/>
      <c r="M464" s="159"/>
      <c r="N464" s="159"/>
      <c r="O464" s="159"/>
      <c r="P464" s="159"/>
      <c r="Q464" s="159"/>
      <c r="R464" s="159"/>
      <c r="S464" s="159"/>
      <c r="T464" s="159"/>
      <c r="U464" s="159"/>
      <c r="V464" s="159"/>
      <c r="W464" s="159"/>
      <c r="X464" s="159"/>
      <c r="Y464" s="159"/>
      <c r="Z464" s="159"/>
    </row>
    <row r="465" ht="15.75" customHeight="1">
      <c r="A465" s="118"/>
      <c r="B465" s="118"/>
      <c r="C465" s="181"/>
      <c r="D465" s="159"/>
      <c r="E465" s="159"/>
      <c r="F465" s="159"/>
      <c r="G465" s="159"/>
      <c r="H465" s="83"/>
      <c r="I465" s="159"/>
      <c r="J465" s="159"/>
      <c r="K465" s="159"/>
      <c r="L465" s="159"/>
      <c r="M465" s="159"/>
      <c r="N465" s="159"/>
      <c r="O465" s="159"/>
      <c r="P465" s="159"/>
      <c r="Q465" s="159"/>
      <c r="R465" s="159"/>
      <c r="S465" s="159"/>
      <c r="T465" s="159"/>
      <c r="U465" s="159"/>
      <c r="V465" s="159"/>
      <c r="W465" s="159"/>
      <c r="X465" s="159"/>
      <c r="Y465" s="159"/>
      <c r="Z465" s="159"/>
    </row>
    <row r="466" ht="15.75" customHeight="1">
      <c r="A466" s="118"/>
      <c r="B466" s="118"/>
      <c r="C466" s="181"/>
      <c r="D466" s="159"/>
      <c r="E466" s="159"/>
      <c r="F466" s="159"/>
      <c r="G466" s="159"/>
      <c r="H466" s="83"/>
      <c r="I466" s="159"/>
      <c r="J466" s="159"/>
      <c r="K466" s="159"/>
      <c r="L466" s="159"/>
      <c r="M466" s="159"/>
      <c r="N466" s="159"/>
      <c r="O466" s="159"/>
      <c r="P466" s="159"/>
      <c r="Q466" s="159"/>
      <c r="R466" s="159"/>
      <c r="S466" s="159"/>
      <c r="T466" s="159"/>
      <c r="U466" s="159"/>
      <c r="V466" s="159"/>
      <c r="W466" s="159"/>
      <c r="X466" s="159"/>
      <c r="Y466" s="159"/>
      <c r="Z466" s="159"/>
    </row>
    <row r="467" ht="15.75" customHeight="1">
      <c r="A467" s="118"/>
      <c r="B467" s="118"/>
      <c r="C467" s="181"/>
      <c r="D467" s="159"/>
      <c r="E467" s="159"/>
      <c r="F467" s="159"/>
      <c r="G467" s="159"/>
      <c r="H467" s="83"/>
      <c r="I467" s="159"/>
      <c r="J467" s="159"/>
      <c r="K467" s="159"/>
      <c r="L467" s="159"/>
      <c r="M467" s="159"/>
      <c r="N467" s="159"/>
      <c r="O467" s="159"/>
      <c r="P467" s="159"/>
      <c r="Q467" s="159"/>
      <c r="R467" s="159"/>
      <c r="S467" s="159"/>
      <c r="T467" s="159"/>
      <c r="U467" s="159"/>
      <c r="V467" s="159"/>
      <c r="W467" s="159"/>
      <c r="X467" s="159"/>
      <c r="Y467" s="159"/>
      <c r="Z467" s="159"/>
    </row>
    <row r="468" ht="15.75" customHeight="1">
      <c r="A468" s="118"/>
      <c r="B468" s="118"/>
      <c r="C468" s="181"/>
      <c r="D468" s="159"/>
      <c r="E468" s="159"/>
      <c r="F468" s="159"/>
      <c r="G468" s="159"/>
      <c r="H468" s="83"/>
      <c r="I468" s="159"/>
      <c r="J468" s="159"/>
      <c r="K468" s="159"/>
      <c r="L468" s="159"/>
      <c r="M468" s="159"/>
      <c r="N468" s="159"/>
      <c r="O468" s="159"/>
      <c r="P468" s="159"/>
      <c r="Q468" s="159"/>
      <c r="R468" s="159"/>
      <c r="S468" s="159"/>
      <c r="T468" s="159"/>
      <c r="U468" s="159"/>
      <c r="V468" s="159"/>
      <c r="W468" s="159"/>
      <c r="X468" s="159"/>
      <c r="Y468" s="159"/>
      <c r="Z468" s="159"/>
    </row>
    <row r="469" ht="15.75" customHeight="1">
      <c r="A469" s="118"/>
      <c r="B469" s="118"/>
      <c r="C469" s="181"/>
      <c r="D469" s="159"/>
      <c r="E469" s="159"/>
      <c r="F469" s="159"/>
      <c r="G469" s="159"/>
      <c r="H469" s="83"/>
      <c r="I469" s="159"/>
      <c r="J469" s="159"/>
      <c r="K469" s="159"/>
      <c r="L469" s="159"/>
      <c r="M469" s="159"/>
      <c r="N469" s="159"/>
      <c r="O469" s="159"/>
      <c r="P469" s="159"/>
      <c r="Q469" s="159"/>
      <c r="R469" s="159"/>
      <c r="S469" s="159"/>
      <c r="T469" s="159"/>
      <c r="U469" s="159"/>
      <c r="V469" s="159"/>
      <c r="W469" s="159"/>
      <c r="X469" s="159"/>
      <c r="Y469" s="159"/>
      <c r="Z469" s="159"/>
    </row>
    <row r="470" ht="15.75" customHeight="1">
      <c r="A470" s="118"/>
      <c r="B470" s="118"/>
      <c r="C470" s="181"/>
      <c r="D470" s="159"/>
      <c r="E470" s="159"/>
      <c r="F470" s="159"/>
      <c r="G470" s="159"/>
      <c r="H470" s="83"/>
      <c r="I470" s="159"/>
      <c r="J470" s="159"/>
      <c r="K470" s="159"/>
      <c r="L470" s="159"/>
      <c r="M470" s="159"/>
      <c r="N470" s="159"/>
      <c r="O470" s="159"/>
      <c r="P470" s="159"/>
      <c r="Q470" s="159"/>
      <c r="R470" s="159"/>
      <c r="S470" s="159"/>
      <c r="T470" s="159"/>
      <c r="U470" s="159"/>
      <c r="V470" s="159"/>
      <c r="W470" s="159"/>
      <c r="X470" s="159"/>
      <c r="Y470" s="159"/>
      <c r="Z470" s="159"/>
    </row>
    <row r="471" ht="15.75" customHeight="1">
      <c r="A471" s="118"/>
      <c r="B471" s="118"/>
      <c r="C471" s="181"/>
      <c r="D471" s="159"/>
      <c r="E471" s="159"/>
      <c r="F471" s="159"/>
      <c r="G471" s="159"/>
      <c r="H471" s="83"/>
      <c r="I471" s="159"/>
      <c r="J471" s="159"/>
      <c r="K471" s="159"/>
      <c r="L471" s="159"/>
      <c r="M471" s="159"/>
      <c r="N471" s="159"/>
      <c r="O471" s="159"/>
      <c r="P471" s="159"/>
      <c r="Q471" s="159"/>
      <c r="R471" s="159"/>
      <c r="S471" s="159"/>
      <c r="T471" s="159"/>
      <c r="U471" s="159"/>
      <c r="V471" s="159"/>
      <c r="W471" s="159"/>
      <c r="X471" s="159"/>
      <c r="Y471" s="159"/>
      <c r="Z471" s="159"/>
    </row>
    <row r="472" ht="15.75" customHeight="1">
      <c r="A472" s="118"/>
      <c r="B472" s="118"/>
      <c r="C472" s="181"/>
      <c r="D472" s="159"/>
      <c r="E472" s="159"/>
      <c r="F472" s="159"/>
      <c r="G472" s="159"/>
      <c r="H472" s="83"/>
      <c r="I472" s="159"/>
      <c r="J472" s="159"/>
      <c r="K472" s="159"/>
      <c r="L472" s="159"/>
      <c r="M472" s="159"/>
      <c r="N472" s="159"/>
      <c r="O472" s="159"/>
      <c r="P472" s="159"/>
      <c r="Q472" s="159"/>
      <c r="R472" s="159"/>
      <c r="S472" s="159"/>
      <c r="T472" s="159"/>
      <c r="U472" s="159"/>
      <c r="V472" s="159"/>
      <c r="W472" s="159"/>
      <c r="X472" s="159"/>
      <c r="Y472" s="159"/>
      <c r="Z472" s="159"/>
    </row>
    <row r="473" ht="15.75" customHeight="1">
      <c r="A473" s="118"/>
      <c r="B473" s="118"/>
      <c r="C473" s="181"/>
      <c r="D473" s="159"/>
      <c r="E473" s="159"/>
      <c r="F473" s="159"/>
      <c r="G473" s="159"/>
      <c r="H473" s="83"/>
      <c r="I473" s="159"/>
      <c r="J473" s="159"/>
      <c r="K473" s="159"/>
      <c r="L473" s="159"/>
      <c r="M473" s="159"/>
      <c r="N473" s="159"/>
      <c r="O473" s="159"/>
      <c r="P473" s="159"/>
      <c r="Q473" s="159"/>
      <c r="R473" s="159"/>
      <c r="S473" s="159"/>
      <c r="T473" s="159"/>
      <c r="U473" s="159"/>
      <c r="V473" s="159"/>
      <c r="W473" s="159"/>
      <c r="X473" s="159"/>
      <c r="Y473" s="159"/>
      <c r="Z473" s="159"/>
    </row>
    <row r="474" ht="15.75" customHeight="1">
      <c r="A474" s="118"/>
      <c r="B474" s="118"/>
      <c r="C474" s="181"/>
      <c r="D474" s="159"/>
      <c r="E474" s="159"/>
      <c r="F474" s="159"/>
      <c r="G474" s="159"/>
      <c r="H474" s="83"/>
      <c r="I474" s="159"/>
      <c r="J474" s="159"/>
      <c r="K474" s="159"/>
      <c r="L474" s="159"/>
      <c r="M474" s="159"/>
      <c r="N474" s="159"/>
      <c r="O474" s="159"/>
      <c r="P474" s="159"/>
      <c r="Q474" s="159"/>
      <c r="R474" s="159"/>
      <c r="S474" s="159"/>
      <c r="T474" s="159"/>
      <c r="U474" s="159"/>
      <c r="V474" s="159"/>
      <c r="W474" s="159"/>
      <c r="X474" s="159"/>
      <c r="Y474" s="159"/>
      <c r="Z474" s="159"/>
    </row>
    <row r="475" ht="15.75" customHeight="1">
      <c r="A475" s="118"/>
      <c r="B475" s="118"/>
      <c r="C475" s="181"/>
      <c r="D475" s="159"/>
      <c r="E475" s="159"/>
      <c r="F475" s="159"/>
      <c r="G475" s="159"/>
      <c r="H475" s="83"/>
      <c r="I475" s="159"/>
      <c r="J475" s="159"/>
      <c r="K475" s="159"/>
      <c r="L475" s="159"/>
      <c r="M475" s="159"/>
      <c r="N475" s="159"/>
      <c r="O475" s="159"/>
      <c r="P475" s="159"/>
      <c r="Q475" s="159"/>
      <c r="R475" s="159"/>
      <c r="S475" s="159"/>
      <c r="T475" s="159"/>
      <c r="U475" s="159"/>
      <c r="V475" s="159"/>
      <c r="W475" s="159"/>
      <c r="X475" s="159"/>
      <c r="Y475" s="159"/>
      <c r="Z475" s="159"/>
    </row>
    <row r="476" ht="15.75" customHeight="1">
      <c r="A476" s="118"/>
      <c r="B476" s="118"/>
      <c r="C476" s="181"/>
      <c r="D476" s="159"/>
      <c r="E476" s="159"/>
      <c r="F476" s="159"/>
      <c r="G476" s="159"/>
      <c r="H476" s="83"/>
      <c r="I476" s="159"/>
      <c r="J476" s="159"/>
      <c r="K476" s="159"/>
      <c r="L476" s="159"/>
      <c r="M476" s="159"/>
      <c r="N476" s="159"/>
      <c r="O476" s="159"/>
      <c r="P476" s="159"/>
      <c r="Q476" s="159"/>
      <c r="R476" s="159"/>
      <c r="S476" s="159"/>
      <c r="T476" s="159"/>
      <c r="U476" s="159"/>
      <c r="V476" s="159"/>
      <c r="W476" s="159"/>
      <c r="X476" s="159"/>
      <c r="Y476" s="159"/>
      <c r="Z476" s="159"/>
    </row>
    <row r="477" ht="15.75" customHeight="1">
      <c r="A477" s="118"/>
      <c r="B477" s="118"/>
      <c r="C477" s="181"/>
      <c r="D477" s="159"/>
      <c r="E477" s="159"/>
      <c r="F477" s="159"/>
      <c r="G477" s="159"/>
      <c r="H477" s="83"/>
      <c r="I477" s="159"/>
      <c r="J477" s="159"/>
      <c r="K477" s="159"/>
      <c r="L477" s="159"/>
      <c r="M477" s="159"/>
      <c r="N477" s="159"/>
      <c r="O477" s="159"/>
      <c r="P477" s="159"/>
      <c r="Q477" s="159"/>
      <c r="R477" s="159"/>
      <c r="S477" s="159"/>
      <c r="T477" s="159"/>
      <c r="U477" s="159"/>
      <c r="V477" s="159"/>
      <c r="W477" s="159"/>
      <c r="X477" s="159"/>
      <c r="Y477" s="159"/>
      <c r="Z477" s="159"/>
    </row>
    <row r="478" ht="15.75" customHeight="1">
      <c r="A478" s="118"/>
      <c r="B478" s="118"/>
      <c r="C478" s="181"/>
      <c r="D478" s="159"/>
      <c r="E478" s="159"/>
      <c r="F478" s="159"/>
      <c r="G478" s="159"/>
      <c r="H478" s="83"/>
      <c r="I478" s="159"/>
      <c r="J478" s="159"/>
      <c r="K478" s="159"/>
      <c r="L478" s="159"/>
      <c r="M478" s="159"/>
      <c r="N478" s="159"/>
      <c r="O478" s="159"/>
      <c r="P478" s="159"/>
      <c r="Q478" s="159"/>
      <c r="R478" s="159"/>
      <c r="S478" s="159"/>
      <c r="T478" s="159"/>
      <c r="U478" s="159"/>
      <c r="V478" s="159"/>
      <c r="W478" s="159"/>
      <c r="X478" s="159"/>
      <c r="Y478" s="159"/>
      <c r="Z478" s="159"/>
    </row>
    <row r="479" ht="15.75" customHeight="1">
      <c r="A479" s="118"/>
      <c r="B479" s="118"/>
      <c r="C479" s="181"/>
      <c r="D479" s="159"/>
      <c r="E479" s="159"/>
      <c r="F479" s="159"/>
      <c r="G479" s="159"/>
      <c r="H479" s="83"/>
      <c r="I479" s="159"/>
      <c r="J479" s="159"/>
      <c r="K479" s="159"/>
      <c r="L479" s="159"/>
      <c r="M479" s="159"/>
      <c r="N479" s="159"/>
      <c r="O479" s="159"/>
      <c r="P479" s="159"/>
      <c r="Q479" s="159"/>
      <c r="R479" s="159"/>
      <c r="S479" s="159"/>
      <c r="T479" s="159"/>
      <c r="U479" s="159"/>
      <c r="V479" s="159"/>
      <c r="W479" s="159"/>
      <c r="X479" s="159"/>
      <c r="Y479" s="159"/>
      <c r="Z479" s="159"/>
    </row>
    <row r="480" ht="15.75" customHeight="1">
      <c r="A480" s="118"/>
      <c r="B480" s="118"/>
      <c r="C480" s="181"/>
      <c r="D480" s="159"/>
      <c r="E480" s="159"/>
      <c r="F480" s="159"/>
      <c r="G480" s="159"/>
      <c r="H480" s="83"/>
      <c r="I480" s="159"/>
      <c r="J480" s="159"/>
      <c r="K480" s="159"/>
      <c r="L480" s="159"/>
      <c r="M480" s="159"/>
      <c r="N480" s="159"/>
      <c r="O480" s="159"/>
      <c r="P480" s="159"/>
      <c r="Q480" s="159"/>
      <c r="R480" s="159"/>
      <c r="S480" s="159"/>
      <c r="T480" s="159"/>
      <c r="U480" s="159"/>
      <c r="V480" s="159"/>
      <c r="W480" s="159"/>
      <c r="X480" s="159"/>
      <c r="Y480" s="159"/>
      <c r="Z480" s="159"/>
    </row>
    <row r="481" ht="15.75" customHeight="1">
      <c r="A481" s="118"/>
      <c r="B481" s="118"/>
      <c r="C481" s="181"/>
      <c r="D481" s="159"/>
      <c r="E481" s="159"/>
      <c r="F481" s="159"/>
      <c r="G481" s="159"/>
      <c r="H481" s="83"/>
      <c r="I481" s="159"/>
      <c r="J481" s="159"/>
      <c r="K481" s="159"/>
      <c r="L481" s="159"/>
      <c r="M481" s="159"/>
      <c r="N481" s="159"/>
      <c r="O481" s="159"/>
      <c r="P481" s="159"/>
      <c r="Q481" s="159"/>
      <c r="R481" s="159"/>
      <c r="S481" s="159"/>
      <c r="T481" s="159"/>
      <c r="U481" s="159"/>
      <c r="V481" s="159"/>
      <c r="W481" s="159"/>
      <c r="X481" s="159"/>
      <c r="Y481" s="159"/>
      <c r="Z481" s="159"/>
    </row>
    <row r="482" ht="15.75" customHeight="1">
      <c r="A482" s="118"/>
      <c r="B482" s="118"/>
      <c r="C482" s="181"/>
      <c r="D482" s="159"/>
      <c r="E482" s="159"/>
      <c r="F482" s="159"/>
      <c r="G482" s="159"/>
      <c r="H482" s="83"/>
      <c r="I482" s="159"/>
      <c r="J482" s="159"/>
      <c r="K482" s="159"/>
      <c r="L482" s="159"/>
      <c r="M482" s="159"/>
      <c r="N482" s="159"/>
      <c r="O482" s="159"/>
      <c r="P482" s="159"/>
      <c r="Q482" s="159"/>
      <c r="R482" s="159"/>
      <c r="S482" s="159"/>
      <c r="T482" s="159"/>
      <c r="U482" s="159"/>
      <c r="V482" s="159"/>
      <c r="W482" s="159"/>
      <c r="X482" s="159"/>
      <c r="Y482" s="159"/>
      <c r="Z482" s="159"/>
    </row>
    <row r="483" ht="15.75" customHeight="1">
      <c r="A483" s="118"/>
      <c r="B483" s="118"/>
      <c r="C483" s="181"/>
      <c r="D483" s="159"/>
      <c r="E483" s="159"/>
      <c r="F483" s="159"/>
      <c r="G483" s="159"/>
      <c r="H483" s="83"/>
      <c r="I483" s="159"/>
      <c r="J483" s="159"/>
      <c r="K483" s="159"/>
      <c r="L483" s="159"/>
      <c r="M483" s="159"/>
      <c r="N483" s="159"/>
      <c r="O483" s="159"/>
      <c r="P483" s="159"/>
      <c r="Q483" s="159"/>
      <c r="R483" s="159"/>
      <c r="S483" s="159"/>
      <c r="T483" s="159"/>
      <c r="U483" s="159"/>
      <c r="V483" s="159"/>
      <c r="W483" s="159"/>
      <c r="X483" s="159"/>
      <c r="Y483" s="159"/>
      <c r="Z483" s="159"/>
    </row>
    <row r="484" ht="15.75" customHeight="1">
      <c r="A484" s="118"/>
      <c r="B484" s="118"/>
      <c r="C484" s="181"/>
      <c r="D484" s="159"/>
      <c r="E484" s="159"/>
      <c r="F484" s="159"/>
      <c r="G484" s="159"/>
      <c r="H484" s="83"/>
      <c r="I484" s="159"/>
      <c r="J484" s="159"/>
      <c r="K484" s="159"/>
      <c r="L484" s="159"/>
      <c r="M484" s="159"/>
      <c r="N484" s="159"/>
      <c r="O484" s="159"/>
      <c r="P484" s="159"/>
      <c r="Q484" s="159"/>
      <c r="R484" s="159"/>
      <c r="S484" s="159"/>
      <c r="T484" s="159"/>
      <c r="U484" s="159"/>
      <c r="V484" s="159"/>
      <c r="W484" s="159"/>
      <c r="X484" s="159"/>
      <c r="Y484" s="159"/>
      <c r="Z484" s="159"/>
    </row>
    <row r="485" ht="15.75" customHeight="1">
      <c r="A485" s="118"/>
      <c r="B485" s="118"/>
      <c r="C485" s="181"/>
      <c r="D485" s="159"/>
      <c r="E485" s="159"/>
      <c r="F485" s="159"/>
      <c r="G485" s="159"/>
      <c r="H485" s="83"/>
      <c r="I485" s="159"/>
      <c r="J485" s="159"/>
      <c r="K485" s="159"/>
      <c r="L485" s="159"/>
      <c r="M485" s="159"/>
      <c r="N485" s="159"/>
      <c r="O485" s="159"/>
      <c r="P485" s="159"/>
      <c r="Q485" s="159"/>
      <c r="R485" s="159"/>
      <c r="S485" s="159"/>
      <c r="T485" s="159"/>
      <c r="U485" s="159"/>
      <c r="V485" s="159"/>
      <c r="W485" s="159"/>
      <c r="X485" s="159"/>
      <c r="Y485" s="159"/>
      <c r="Z485" s="159"/>
    </row>
    <row r="486" ht="15.75" customHeight="1">
      <c r="A486" s="118"/>
      <c r="B486" s="118"/>
      <c r="C486" s="181"/>
      <c r="D486" s="159"/>
      <c r="E486" s="159"/>
      <c r="F486" s="159"/>
      <c r="G486" s="159"/>
      <c r="H486" s="83"/>
      <c r="I486" s="159"/>
      <c r="J486" s="159"/>
      <c r="K486" s="159"/>
      <c r="L486" s="159"/>
      <c r="M486" s="159"/>
      <c r="N486" s="159"/>
      <c r="O486" s="159"/>
      <c r="P486" s="159"/>
      <c r="Q486" s="159"/>
      <c r="R486" s="159"/>
      <c r="S486" s="159"/>
      <c r="T486" s="159"/>
      <c r="U486" s="159"/>
      <c r="V486" s="159"/>
      <c r="W486" s="159"/>
      <c r="X486" s="159"/>
      <c r="Y486" s="159"/>
      <c r="Z486" s="159"/>
    </row>
    <row r="487" ht="15.75" customHeight="1">
      <c r="A487" s="118"/>
      <c r="B487" s="118"/>
      <c r="C487" s="181"/>
      <c r="D487" s="159"/>
      <c r="E487" s="159"/>
      <c r="F487" s="159"/>
      <c r="G487" s="159"/>
      <c r="H487" s="83"/>
      <c r="I487" s="159"/>
      <c r="J487" s="159"/>
      <c r="K487" s="159"/>
      <c r="L487" s="159"/>
      <c r="M487" s="159"/>
      <c r="N487" s="159"/>
      <c r="O487" s="159"/>
      <c r="P487" s="159"/>
      <c r="Q487" s="159"/>
      <c r="R487" s="159"/>
      <c r="S487" s="159"/>
      <c r="T487" s="159"/>
      <c r="U487" s="159"/>
      <c r="V487" s="159"/>
      <c r="W487" s="159"/>
      <c r="X487" s="159"/>
      <c r="Y487" s="159"/>
      <c r="Z487" s="159"/>
    </row>
    <row r="488" ht="15.75" customHeight="1">
      <c r="A488" s="118"/>
      <c r="B488" s="118"/>
      <c r="C488" s="181"/>
      <c r="D488" s="159"/>
      <c r="E488" s="159"/>
      <c r="F488" s="159"/>
      <c r="G488" s="159"/>
      <c r="H488" s="83"/>
      <c r="I488" s="159"/>
      <c r="J488" s="159"/>
      <c r="K488" s="159"/>
      <c r="L488" s="159"/>
      <c r="M488" s="159"/>
      <c r="N488" s="159"/>
      <c r="O488" s="159"/>
      <c r="P488" s="159"/>
      <c r="Q488" s="159"/>
      <c r="R488" s="159"/>
      <c r="S488" s="159"/>
      <c r="T488" s="159"/>
      <c r="U488" s="159"/>
      <c r="V488" s="159"/>
      <c r="W488" s="159"/>
      <c r="X488" s="159"/>
      <c r="Y488" s="159"/>
      <c r="Z488" s="159"/>
    </row>
    <row r="489" ht="15.75" customHeight="1">
      <c r="A489" s="118"/>
      <c r="B489" s="118"/>
      <c r="C489" s="181"/>
      <c r="D489" s="159"/>
      <c r="E489" s="159"/>
      <c r="F489" s="159"/>
      <c r="G489" s="159"/>
      <c r="H489" s="83"/>
      <c r="I489" s="159"/>
      <c r="J489" s="159"/>
      <c r="K489" s="159"/>
      <c r="L489" s="159"/>
      <c r="M489" s="159"/>
      <c r="N489" s="159"/>
      <c r="O489" s="159"/>
      <c r="P489" s="159"/>
      <c r="Q489" s="159"/>
      <c r="R489" s="159"/>
      <c r="S489" s="159"/>
      <c r="T489" s="159"/>
      <c r="U489" s="159"/>
      <c r="V489" s="159"/>
      <c r="W489" s="159"/>
      <c r="X489" s="159"/>
      <c r="Y489" s="159"/>
      <c r="Z489" s="159"/>
    </row>
    <row r="490" ht="15.75" customHeight="1">
      <c r="A490" s="118"/>
      <c r="B490" s="118"/>
      <c r="C490" s="181"/>
      <c r="D490" s="159"/>
      <c r="E490" s="159"/>
      <c r="F490" s="159"/>
      <c r="G490" s="159"/>
      <c r="H490" s="83"/>
      <c r="I490" s="159"/>
      <c r="J490" s="159"/>
      <c r="K490" s="159"/>
      <c r="L490" s="159"/>
      <c r="M490" s="159"/>
      <c r="N490" s="159"/>
      <c r="O490" s="159"/>
      <c r="P490" s="159"/>
      <c r="Q490" s="159"/>
      <c r="R490" s="159"/>
      <c r="S490" s="159"/>
      <c r="T490" s="159"/>
      <c r="U490" s="159"/>
      <c r="V490" s="159"/>
      <c r="W490" s="159"/>
      <c r="X490" s="159"/>
      <c r="Y490" s="159"/>
      <c r="Z490" s="159"/>
    </row>
    <row r="491" ht="15.75" customHeight="1">
      <c r="A491" s="118"/>
      <c r="B491" s="118"/>
      <c r="C491" s="181"/>
      <c r="D491" s="159"/>
      <c r="E491" s="159"/>
      <c r="F491" s="159"/>
      <c r="G491" s="159"/>
      <c r="H491" s="83"/>
      <c r="I491" s="159"/>
      <c r="J491" s="159"/>
      <c r="K491" s="159"/>
      <c r="L491" s="159"/>
      <c r="M491" s="159"/>
      <c r="N491" s="159"/>
      <c r="O491" s="159"/>
      <c r="P491" s="159"/>
      <c r="Q491" s="159"/>
      <c r="R491" s="159"/>
      <c r="S491" s="159"/>
      <c r="T491" s="159"/>
      <c r="U491" s="159"/>
      <c r="V491" s="159"/>
      <c r="W491" s="159"/>
      <c r="X491" s="159"/>
      <c r="Y491" s="159"/>
      <c r="Z491" s="159"/>
    </row>
    <row r="492" ht="15.75" customHeight="1">
      <c r="A492" s="118"/>
      <c r="B492" s="118"/>
      <c r="C492" s="181"/>
      <c r="D492" s="159"/>
      <c r="E492" s="159"/>
      <c r="F492" s="159"/>
      <c r="G492" s="159"/>
      <c r="H492" s="83"/>
      <c r="I492" s="159"/>
      <c r="J492" s="159"/>
      <c r="K492" s="159"/>
      <c r="L492" s="159"/>
      <c r="M492" s="159"/>
      <c r="N492" s="159"/>
      <c r="O492" s="159"/>
      <c r="P492" s="159"/>
      <c r="Q492" s="159"/>
      <c r="R492" s="159"/>
      <c r="S492" s="159"/>
      <c r="T492" s="159"/>
      <c r="U492" s="159"/>
      <c r="V492" s="159"/>
      <c r="W492" s="159"/>
      <c r="X492" s="159"/>
      <c r="Y492" s="159"/>
      <c r="Z492" s="159"/>
    </row>
    <row r="493" ht="15.75" customHeight="1">
      <c r="A493" s="118"/>
      <c r="B493" s="118"/>
      <c r="C493" s="181"/>
      <c r="D493" s="159"/>
      <c r="E493" s="159"/>
      <c r="F493" s="159"/>
      <c r="G493" s="159"/>
      <c r="H493" s="83"/>
      <c r="I493" s="159"/>
      <c r="J493" s="159"/>
      <c r="K493" s="159"/>
      <c r="L493" s="159"/>
      <c r="M493" s="159"/>
      <c r="N493" s="159"/>
      <c r="O493" s="159"/>
      <c r="P493" s="159"/>
      <c r="Q493" s="159"/>
      <c r="R493" s="159"/>
      <c r="S493" s="159"/>
      <c r="T493" s="159"/>
      <c r="U493" s="159"/>
      <c r="V493" s="159"/>
      <c r="W493" s="159"/>
      <c r="X493" s="159"/>
      <c r="Y493" s="159"/>
      <c r="Z493" s="159"/>
    </row>
    <row r="494" ht="15.75" customHeight="1">
      <c r="A494" s="118"/>
      <c r="B494" s="118"/>
      <c r="C494" s="181"/>
      <c r="D494" s="159"/>
      <c r="E494" s="159"/>
      <c r="F494" s="159"/>
      <c r="G494" s="159"/>
      <c r="H494" s="83"/>
      <c r="I494" s="159"/>
      <c r="J494" s="159"/>
      <c r="K494" s="159"/>
      <c r="L494" s="159"/>
      <c r="M494" s="159"/>
      <c r="N494" s="159"/>
      <c r="O494" s="159"/>
      <c r="P494" s="159"/>
      <c r="Q494" s="159"/>
      <c r="R494" s="159"/>
      <c r="S494" s="159"/>
      <c r="T494" s="159"/>
      <c r="U494" s="159"/>
      <c r="V494" s="159"/>
      <c r="W494" s="159"/>
      <c r="X494" s="159"/>
      <c r="Y494" s="159"/>
      <c r="Z494" s="159"/>
    </row>
    <row r="495" ht="15.75" customHeight="1">
      <c r="A495" s="118"/>
      <c r="B495" s="118"/>
      <c r="C495" s="181"/>
      <c r="D495" s="159"/>
      <c r="E495" s="159"/>
      <c r="F495" s="159"/>
      <c r="G495" s="159"/>
      <c r="H495" s="83"/>
      <c r="I495" s="159"/>
      <c r="J495" s="159"/>
      <c r="K495" s="159"/>
      <c r="L495" s="159"/>
      <c r="M495" s="159"/>
      <c r="N495" s="159"/>
      <c r="O495" s="159"/>
      <c r="P495" s="159"/>
      <c r="Q495" s="159"/>
      <c r="R495" s="159"/>
      <c r="S495" s="159"/>
      <c r="T495" s="159"/>
      <c r="U495" s="159"/>
      <c r="V495" s="159"/>
      <c r="W495" s="159"/>
      <c r="X495" s="159"/>
      <c r="Y495" s="159"/>
      <c r="Z495" s="159"/>
    </row>
    <row r="496" ht="15.75" customHeight="1">
      <c r="A496" s="118"/>
      <c r="B496" s="118"/>
      <c r="C496" s="181"/>
      <c r="D496" s="159"/>
      <c r="E496" s="159"/>
      <c r="F496" s="159"/>
      <c r="G496" s="159"/>
      <c r="H496" s="83"/>
      <c r="I496" s="159"/>
      <c r="J496" s="159"/>
      <c r="K496" s="159"/>
      <c r="L496" s="159"/>
      <c r="M496" s="159"/>
      <c r="N496" s="159"/>
      <c r="O496" s="159"/>
      <c r="P496" s="159"/>
      <c r="Q496" s="159"/>
      <c r="R496" s="159"/>
      <c r="S496" s="159"/>
      <c r="T496" s="159"/>
      <c r="U496" s="159"/>
      <c r="V496" s="159"/>
      <c r="W496" s="159"/>
      <c r="X496" s="159"/>
      <c r="Y496" s="159"/>
      <c r="Z496" s="159"/>
    </row>
    <row r="497" ht="15.75" customHeight="1">
      <c r="A497" s="118"/>
      <c r="B497" s="118"/>
      <c r="C497" s="181"/>
      <c r="D497" s="159"/>
      <c r="E497" s="159"/>
      <c r="F497" s="159"/>
      <c r="G497" s="159"/>
      <c r="H497" s="83"/>
      <c r="I497" s="159"/>
      <c r="J497" s="159"/>
      <c r="K497" s="159"/>
      <c r="L497" s="159"/>
      <c r="M497" s="159"/>
      <c r="N497" s="159"/>
      <c r="O497" s="159"/>
      <c r="P497" s="159"/>
      <c r="Q497" s="159"/>
      <c r="R497" s="159"/>
      <c r="S497" s="159"/>
      <c r="T497" s="159"/>
      <c r="U497" s="159"/>
      <c r="V497" s="159"/>
      <c r="W497" s="159"/>
      <c r="X497" s="159"/>
      <c r="Y497" s="159"/>
      <c r="Z497" s="159"/>
    </row>
    <row r="498" ht="15.75" customHeight="1">
      <c r="A498" s="118"/>
      <c r="B498" s="118"/>
      <c r="C498" s="181"/>
      <c r="D498" s="159"/>
      <c r="E498" s="159"/>
      <c r="F498" s="159"/>
      <c r="G498" s="159"/>
      <c r="H498" s="83"/>
      <c r="I498" s="159"/>
      <c r="J498" s="159"/>
      <c r="K498" s="159"/>
      <c r="L498" s="159"/>
      <c r="M498" s="159"/>
      <c r="N498" s="159"/>
      <c r="O498" s="159"/>
      <c r="P498" s="159"/>
      <c r="Q498" s="159"/>
      <c r="R498" s="159"/>
      <c r="S498" s="159"/>
      <c r="T498" s="159"/>
      <c r="U498" s="159"/>
      <c r="V498" s="159"/>
      <c r="W498" s="159"/>
      <c r="X498" s="159"/>
      <c r="Y498" s="159"/>
      <c r="Z498" s="159"/>
    </row>
    <row r="499" ht="15.75" customHeight="1">
      <c r="A499" s="118"/>
      <c r="B499" s="118"/>
      <c r="C499" s="181"/>
      <c r="D499" s="159"/>
      <c r="E499" s="159"/>
      <c r="F499" s="159"/>
      <c r="G499" s="159"/>
      <c r="H499" s="83"/>
      <c r="I499" s="159"/>
      <c r="J499" s="159"/>
      <c r="K499" s="159"/>
      <c r="L499" s="159"/>
      <c r="M499" s="159"/>
      <c r="N499" s="159"/>
      <c r="O499" s="159"/>
      <c r="P499" s="159"/>
      <c r="Q499" s="159"/>
      <c r="R499" s="159"/>
      <c r="S499" s="159"/>
      <c r="T499" s="159"/>
      <c r="U499" s="159"/>
      <c r="V499" s="159"/>
      <c r="W499" s="159"/>
      <c r="X499" s="159"/>
      <c r="Y499" s="159"/>
      <c r="Z499" s="159"/>
    </row>
    <row r="500" ht="15.75" customHeight="1">
      <c r="A500" s="118"/>
      <c r="B500" s="118"/>
      <c r="C500" s="181"/>
      <c r="D500" s="159"/>
      <c r="E500" s="159"/>
      <c r="F500" s="159"/>
      <c r="G500" s="159"/>
      <c r="H500" s="83"/>
      <c r="I500" s="159"/>
      <c r="J500" s="159"/>
      <c r="K500" s="159"/>
      <c r="L500" s="159"/>
      <c r="M500" s="159"/>
      <c r="N500" s="159"/>
      <c r="O500" s="159"/>
      <c r="P500" s="159"/>
      <c r="Q500" s="159"/>
      <c r="R500" s="159"/>
      <c r="S500" s="159"/>
      <c r="T500" s="159"/>
      <c r="U500" s="159"/>
      <c r="V500" s="159"/>
      <c r="W500" s="159"/>
      <c r="X500" s="159"/>
      <c r="Y500" s="159"/>
      <c r="Z500" s="159"/>
    </row>
    <row r="501" ht="15.75" customHeight="1">
      <c r="A501" s="118"/>
      <c r="B501" s="118"/>
      <c r="C501" s="181"/>
      <c r="D501" s="159"/>
      <c r="E501" s="159"/>
      <c r="F501" s="159"/>
      <c r="G501" s="159"/>
      <c r="H501" s="83"/>
      <c r="I501" s="159"/>
      <c r="J501" s="159"/>
      <c r="K501" s="159"/>
      <c r="L501" s="159"/>
      <c r="M501" s="159"/>
      <c r="N501" s="159"/>
      <c r="O501" s="159"/>
      <c r="P501" s="159"/>
      <c r="Q501" s="159"/>
      <c r="R501" s="159"/>
      <c r="S501" s="159"/>
      <c r="T501" s="159"/>
      <c r="U501" s="159"/>
      <c r="V501" s="159"/>
      <c r="W501" s="159"/>
      <c r="X501" s="159"/>
      <c r="Y501" s="159"/>
      <c r="Z501" s="159"/>
    </row>
    <row r="502" ht="15.75" customHeight="1">
      <c r="A502" s="118"/>
      <c r="B502" s="118"/>
      <c r="C502" s="181"/>
      <c r="D502" s="159"/>
      <c r="E502" s="159"/>
      <c r="F502" s="159"/>
      <c r="G502" s="159"/>
      <c r="H502" s="83"/>
      <c r="I502" s="159"/>
      <c r="J502" s="159"/>
      <c r="K502" s="159"/>
      <c r="L502" s="159"/>
      <c r="M502" s="159"/>
      <c r="N502" s="159"/>
      <c r="O502" s="159"/>
      <c r="P502" s="159"/>
      <c r="Q502" s="159"/>
      <c r="R502" s="159"/>
      <c r="S502" s="159"/>
      <c r="T502" s="159"/>
      <c r="U502" s="159"/>
      <c r="V502" s="159"/>
      <c r="W502" s="159"/>
      <c r="X502" s="159"/>
      <c r="Y502" s="159"/>
      <c r="Z502" s="159"/>
    </row>
    <row r="503" ht="15.75" customHeight="1">
      <c r="A503" s="118"/>
      <c r="B503" s="118"/>
      <c r="C503" s="181"/>
      <c r="D503" s="159"/>
      <c r="E503" s="159"/>
      <c r="F503" s="159"/>
      <c r="G503" s="159"/>
      <c r="H503" s="83"/>
      <c r="I503" s="159"/>
      <c r="J503" s="159"/>
      <c r="K503" s="159"/>
      <c r="L503" s="159"/>
      <c r="M503" s="159"/>
      <c r="N503" s="159"/>
      <c r="O503" s="159"/>
      <c r="P503" s="159"/>
      <c r="Q503" s="159"/>
      <c r="R503" s="159"/>
      <c r="S503" s="159"/>
      <c r="T503" s="159"/>
      <c r="U503" s="159"/>
      <c r="V503" s="159"/>
      <c r="W503" s="159"/>
      <c r="X503" s="159"/>
      <c r="Y503" s="159"/>
      <c r="Z503" s="159"/>
    </row>
    <row r="504" ht="15.75" customHeight="1">
      <c r="A504" s="118"/>
      <c r="B504" s="118"/>
      <c r="C504" s="181"/>
      <c r="D504" s="159"/>
      <c r="E504" s="159"/>
      <c r="F504" s="159"/>
      <c r="G504" s="159"/>
      <c r="H504" s="83"/>
      <c r="I504" s="159"/>
      <c r="J504" s="159"/>
      <c r="K504" s="159"/>
      <c r="L504" s="159"/>
      <c r="M504" s="159"/>
      <c r="N504" s="159"/>
      <c r="O504" s="159"/>
      <c r="P504" s="159"/>
      <c r="Q504" s="159"/>
      <c r="R504" s="159"/>
      <c r="S504" s="159"/>
      <c r="T504" s="159"/>
      <c r="U504" s="159"/>
      <c r="V504" s="159"/>
      <c r="W504" s="159"/>
      <c r="X504" s="159"/>
      <c r="Y504" s="159"/>
      <c r="Z504" s="159"/>
    </row>
    <row r="505" ht="15.75" customHeight="1">
      <c r="A505" s="118"/>
      <c r="B505" s="118"/>
      <c r="C505" s="181"/>
      <c r="D505" s="159"/>
      <c r="E505" s="159"/>
      <c r="F505" s="159"/>
      <c r="G505" s="159"/>
      <c r="H505" s="83"/>
      <c r="I505" s="159"/>
      <c r="J505" s="159"/>
      <c r="K505" s="159"/>
      <c r="L505" s="159"/>
      <c r="M505" s="159"/>
      <c r="N505" s="159"/>
      <c r="O505" s="159"/>
      <c r="P505" s="159"/>
      <c r="Q505" s="159"/>
      <c r="R505" s="159"/>
      <c r="S505" s="159"/>
      <c r="T505" s="159"/>
      <c r="U505" s="159"/>
      <c r="V505" s="159"/>
      <c r="W505" s="159"/>
      <c r="X505" s="159"/>
      <c r="Y505" s="159"/>
      <c r="Z505" s="159"/>
    </row>
    <row r="506" ht="15.75" customHeight="1">
      <c r="A506" s="118"/>
      <c r="B506" s="118"/>
      <c r="C506" s="181"/>
      <c r="D506" s="159"/>
      <c r="E506" s="159"/>
      <c r="F506" s="159"/>
      <c r="G506" s="159"/>
      <c r="H506" s="83"/>
      <c r="I506" s="159"/>
      <c r="J506" s="159"/>
      <c r="K506" s="159"/>
      <c r="L506" s="159"/>
      <c r="M506" s="159"/>
      <c r="N506" s="159"/>
      <c r="O506" s="159"/>
      <c r="P506" s="159"/>
      <c r="Q506" s="159"/>
      <c r="R506" s="159"/>
      <c r="S506" s="159"/>
      <c r="T506" s="159"/>
      <c r="U506" s="159"/>
      <c r="V506" s="159"/>
      <c r="W506" s="159"/>
      <c r="X506" s="159"/>
      <c r="Y506" s="159"/>
      <c r="Z506" s="159"/>
    </row>
    <row r="507" ht="15.75" customHeight="1">
      <c r="A507" s="118"/>
      <c r="B507" s="118"/>
      <c r="C507" s="181"/>
      <c r="D507" s="159"/>
      <c r="E507" s="159"/>
      <c r="F507" s="159"/>
      <c r="G507" s="159"/>
      <c r="H507" s="83"/>
      <c r="I507" s="159"/>
      <c r="J507" s="159"/>
      <c r="K507" s="159"/>
      <c r="L507" s="159"/>
      <c r="M507" s="159"/>
      <c r="N507" s="159"/>
      <c r="O507" s="159"/>
      <c r="P507" s="159"/>
      <c r="Q507" s="159"/>
      <c r="R507" s="159"/>
      <c r="S507" s="159"/>
      <c r="T507" s="159"/>
      <c r="U507" s="159"/>
      <c r="V507" s="159"/>
      <c r="W507" s="159"/>
      <c r="X507" s="159"/>
      <c r="Y507" s="159"/>
      <c r="Z507" s="159"/>
    </row>
    <row r="508" ht="15.75" customHeight="1">
      <c r="A508" s="118"/>
      <c r="B508" s="118"/>
      <c r="C508" s="181"/>
      <c r="D508" s="159"/>
      <c r="E508" s="159"/>
      <c r="F508" s="159"/>
      <c r="G508" s="159"/>
      <c r="H508" s="83"/>
      <c r="I508" s="159"/>
      <c r="J508" s="159"/>
      <c r="K508" s="159"/>
      <c r="L508" s="159"/>
      <c r="M508" s="159"/>
      <c r="N508" s="159"/>
      <c r="O508" s="159"/>
      <c r="P508" s="159"/>
      <c r="Q508" s="159"/>
      <c r="R508" s="159"/>
      <c r="S508" s="159"/>
      <c r="T508" s="159"/>
      <c r="U508" s="159"/>
      <c r="V508" s="159"/>
      <c r="W508" s="159"/>
      <c r="X508" s="159"/>
      <c r="Y508" s="159"/>
      <c r="Z508" s="159"/>
    </row>
    <row r="509" ht="15.75" customHeight="1">
      <c r="A509" s="118"/>
      <c r="B509" s="118"/>
      <c r="C509" s="181"/>
      <c r="D509" s="159"/>
      <c r="E509" s="159"/>
      <c r="F509" s="159"/>
      <c r="G509" s="159"/>
      <c r="H509" s="83"/>
      <c r="I509" s="159"/>
      <c r="J509" s="159"/>
      <c r="K509" s="159"/>
      <c r="L509" s="159"/>
      <c r="M509" s="159"/>
      <c r="N509" s="159"/>
      <c r="O509" s="159"/>
      <c r="P509" s="159"/>
      <c r="Q509" s="159"/>
      <c r="R509" s="159"/>
      <c r="S509" s="159"/>
      <c r="T509" s="159"/>
      <c r="U509" s="159"/>
      <c r="V509" s="159"/>
      <c r="W509" s="159"/>
      <c r="X509" s="159"/>
      <c r="Y509" s="159"/>
      <c r="Z509" s="159"/>
    </row>
    <row r="510" ht="15.75" customHeight="1">
      <c r="A510" s="118"/>
      <c r="B510" s="118"/>
      <c r="C510" s="181"/>
      <c r="D510" s="159"/>
      <c r="E510" s="159"/>
      <c r="F510" s="159"/>
      <c r="G510" s="159"/>
      <c r="H510" s="83"/>
      <c r="I510" s="159"/>
      <c r="J510" s="159"/>
      <c r="K510" s="159"/>
      <c r="L510" s="159"/>
      <c r="M510" s="159"/>
      <c r="N510" s="159"/>
      <c r="O510" s="159"/>
      <c r="P510" s="159"/>
      <c r="Q510" s="159"/>
      <c r="R510" s="159"/>
      <c r="S510" s="159"/>
      <c r="T510" s="159"/>
      <c r="U510" s="159"/>
      <c r="V510" s="159"/>
      <c r="W510" s="159"/>
      <c r="X510" s="159"/>
      <c r="Y510" s="159"/>
      <c r="Z510" s="159"/>
    </row>
    <row r="511" ht="15.75" customHeight="1">
      <c r="A511" s="118"/>
      <c r="B511" s="118"/>
      <c r="C511" s="181"/>
      <c r="D511" s="159"/>
      <c r="E511" s="159"/>
      <c r="F511" s="159"/>
      <c r="G511" s="159"/>
      <c r="H511" s="83"/>
      <c r="I511" s="159"/>
      <c r="J511" s="159"/>
      <c r="K511" s="159"/>
      <c r="L511" s="159"/>
      <c r="M511" s="159"/>
      <c r="N511" s="159"/>
      <c r="O511" s="159"/>
      <c r="P511" s="159"/>
      <c r="Q511" s="159"/>
      <c r="R511" s="159"/>
      <c r="S511" s="159"/>
      <c r="T511" s="159"/>
      <c r="U511" s="159"/>
      <c r="V511" s="159"/>
      <c r="W511" s="159"/>
      <c r="X511" s="159"/>
      <c r="Y511" s="159"/>
      <c r="Z511" s="159"/>
    </row>
    <row r="512" ht="15.75" customHeight="1">
      <c r="A512" s="118"/>
      <c r="B512" s="118"/>
      <c r="C512" s="181"/>
      <c r="D512" s="159"/>
      <c r="E512" s="159"/>
      <c r="F512" s="159"/>
      <c r="G512" s="159"/>
      <c r="H512" s="83"/>
      <c r="I512" s="159"/>
      <c r="J512" s="159"/>
      <c r="K512" s="159"/>
      <c r="L512" s="159"/>
      <c r="M512" s="159"/>
      <c r="N512" s="159"/>
      <c r="O512" s="159"/>
      <c r="P512" s="159"/>
      <c r="Q512" s="159"/>
      <c r="R512" s="159"/>
      <c r="S512" s="159"/>
      <c r="T512" s="159"/>
      <c r="U512" s="159"/>
      <c r="V512" s="159"/>
      <c r="W512" s="159"/>
      <c r="X512" s="159"/>
      <c r="Y512" s="159"/>
      <c r="Z512" s="159"/>
    </row>
    <row r="513" ht="15.75" customHeight="1">
      <c r="A513" s="118"/>
      <c r="B513" s="118"/>
      <c r="C513" s="181"/>
      <c r="D513" s="159"/>
      <c r="E513" s="159"/>
      <c r="F513" s="159"/>
      <c r="G513" s="159"/>
      <c r="H513" s="83"/>
      <c r="I513" s="159"/>
      <c r="J513" s="159"/>
      <c r="K513" s="159"/>
      <c r="L513" s="159"/>
      <c r="M513" s="159"/>
      <c r="N513" s="159"/>
      <c r="O513" s="159"/>
      <c r="P513" s="159"/>
      <c r="Q513" s="159"/>
      <c r="R513" s="159"/>
      <c r="S513" s="159"/>
      <c r="T513" s="159"/>
      <c r="U513" s="159"/>
      <c r="V513" s="159"/>
      <c r="W513" s="159"/>
      <c r="X513" s="159"/>
      <c r="Y513" s="159"/>
      <c r="Z513" s="159"/>
    </row>
    <row r="514" ht="15.75" customHeight="1">
      <c r="A514" s="118"/>
      <c r="B514" s="118"/>
      <c r="C514" s="181"/>
      <c r="D514" s="159"/>
      <c r="E514" s="159"/>
      <c r="F514" s="159"/>
      <c r="G514" s="159"/>
      <c r="H514" s="83"/>
      <c r="I514" s="159"/>
      <c r="J514" s="159"/>
      <c r="K514" s="159"/>
      <c r="L514" s="159"/>
      <c r="M514" s="159"/>
      <c r="N514" s="159"/>
      <c r="O514" s="159"/>
      <c r="P514" s="159"/>
      <c r="Q514" s="159"/>
      <c r="R514" s="159"/>
      <c r="S514" s="159"/>
      <c r="T514" s="159"/>
      <c r="U514" s="159"/>
      <c r="V514" s="159"/>
      <c r="W514" s="159"/>
      <c r="X514" s="159"/>
      <c r="Y514" s="159"/>
      <c r="Z514" s="159"/>
    </row>
    <row r="515" ht="15.75" customHeight="1">
      <c r="A515" s="118"/>
      <c r="B515" s="118"/>
      <c r="C515" s="181"/>
      <c r="D515" s="159"/>
      <c r="E515" s="159"/>
      <c r="F515" s="159"/>
      <c r="G515" s="159"/>
      <c r="H515" s="83"/>
      <c r="I515" s="159"/>
      <c r="J515" s="159"/>
      <c r="K515" s="159"/>
      <c r="L515" s="159"/>
      <c r="M515" s="159"/>
      <c r="N515" s="159"/>
      <c r="O515" s="159"/>
      <c r="P515" s="159"/>
      <c r="Q515" s="159"/>
      <c r="R515" s="159"/>
      <c r="S515" s="159"/>
      <c r="T515" s="159"/>
      <c r="U515" s="159"/>
      <c r="V515" s="159"/>
      <c r="W515" s="159"/>
      <c r="X515" s="159"/>
      <c r="Y515" s="159"/>
      <c r="Z515" s="159"/>
    </row>
    <row r="516" ht="15.75" customHeight="1">
      <c r="A516" s="118"/>
      <c r="B516" s="118"/>
      <c r="C516" s="181"/>
      <c r="D516" s="159"/>
      <c r="E516" s="159"/>
      <c r="F516" s="159"/>
      <c r="G516" s="159"/>
      <c r="H516" s="83"/>
      <c r="I516" s="159"/>
      <c r="J516" s="159"/>
      <c r="K516" s="159"/>
      <c r="L516" s="159"/>
      <c r="M516" s="159"/>
      <c r="N516" s="159"/>
      <c r="O516" s="159"/>
      <c r="P516" s="159"/>
      <c r="Q516" s="159"/>
      <c r="R516" s="159"/>
      <c r="S516" s="159"/>
      <c r="T516" s="159"/>
      <c r="U516" s="159"/>
      <c r="V516" s="159"/>
      <c r="W516" s="159"/>
      <c r="X516" s="159"/>
      <c r="Y516" s="159"/>
      <c r="Z516" s="159"/>
    </row>
    <row r="517" ht="15.75" customHeight="1">
      <c r="A517" s="118"/>
      <c r="B517" s="118"/>
      <c r="C517" s="181"/>
      <c r="D517" s="159"/>
      <c r="E517" s="159"/>
      <c r="F517" s="159"/>
      <c r="G517" s="159"/>
      <c r="H517" s="83"/>
      <c r="I517" s="159"/>
      <c r="J517" s="159"/>
      <c r="K517" s="159"/>
      <c r="L517" s="159"/>
      <c r="M517" s="159"/>
      <c r="N517" s="159"/>
      <c r="O517" s="159"/>
      <c r="P517" s="159"/>
      <c r="Q517" s="159"/>
      <c r="R517" s="159"/>
      <c r="S517" s="159"/>
      <c r="T517" s="159"/>
      <c r="U517" s="159"/>
      <c r="V517" s="159"/>
      <c r="W517" s="159"/>
      <c r="X517" s="159"/>
      <c r="Y517" s="159"/>
      <c r="Z517" s="159"/>
    </row>
    <row r="518" ht="15.75" customHeight="1">
      <c r="A518" s="118"/>
      <c r="B518" s="118"/>
      <c r="C518" s="181"/>
      <c r="D518" s="159"/>
      <c r="E518" s="159"/>
      <c r="F518" s="159"/>
      <c r="G518" s="159"/>
      <c r="H518" s="83"/>
      <c r="I518" s="159"/>
      <c r="J518" s="159"/>
      <c r="K518" s="159"/>
      <c r="L518" s="159"/>
      <c r="M518" s="159"/>
      <c r="N518" s="159"/>
      <c r="O518" s="159"/>
      <c r="P518" s="159"/>
      <c r="Q518" s="159"/>
      <c r="R518" s="159"/>
      <c r="S518" s="159"/>
      <c r="T518" s="159"/>
      <c r="U518" s="159"/>
      <c r="V518" s="159"/>
      <c r="W518" s="159"/>
      <c r="X518" s="159"/>
      <c r="Y518" s="159"/>
      <c r="Z518" s="159"/>
    </row>
    <row r="519" ht="15.75" customHeight="1">
      <c r="A519" s="118"/>
      <c r="B519" s="118"/>
      <c r="C519" s="181"/>
      <c r="D519" s="159"/>
      <c r="E519" s="159"/>
      <c r="F519" s="159"/>
      <c r="G519" s="159"/>
      <c r="H519" s="83"/>
      <c r="I519" s="159"/>
      <c r="J519" s="159"/>
      <c r="K519" s="159"/>
      <c r="L519" s="159"/>
      <c r="M519" s="159"/>
      <c r="N519" s="159"/>
      <c r="O519" s="159"/>
      <c r="P519" s="159"/>
      <c r="Q519" s="159"/>
      <c r="R519" s="159"/>
      <c r="S519" s="159"/>
      <c r="T519" s="159"/>
      <c r="U519" s="159"/>
      <c r="V519" s="159"/>
      <c r="W519" s="159"/>
      <c r="X519" s="159"/>
      <c r="Y519" s="159"/>
      <c r="Z519" s="159"/>
    </row>
    <row r="520" ht="15.75" customHeight="1">
      <c r="A520" s="118"/>
      <c r="B520" s="118"/>
      <c r="C520" s="181"/>
      <c r="D520" s="159"/>
      <c r="E520" s="159"/>
      <c r="F520" s="159"/>
      <c r="G520" s="159"/>
      <c r="H520" s="83"/>
      <c r="I520" s="159"/>
      <c r="J520" s="159"/>
      <c r="K520" s="159"/>
      <c r="L520" s="159"/>
      <c r="M520" s="159"/>
      <c r="N520" s="159"/>
      <c r="O520" s="159"/>
      <c r="P520" s="159"/>
      <c r="Q520" s="159"/>
      <c r="R520" s="159"/>
      <c r="S520" s="159"/>
      <c r="T520" s="159"/>
      <c r="U520" s="159"/>
      <c r="V520" s="159"/>
      <c r="W520" s="159"/>
      <c r="X520" s="159"/>
      <c r="Y520" s="159"/>
      <c r="Z520" s="159"/>
    </row>
    <row r="521" ht="15.75" customHeight="1">
      <c r="A521" s="118"/>
      <c r="B521" s="118"/>
      <c r="C521" s="181"/>
      <c r="D521" s="159"/>
      <c r="E521" s="159"/>
      <c r="F521" s="159"/>
      <c r="G521" s="159"/>
      <c r="H521" s="83"/>
      <c r="I521" s="159"/>
      <c r="J521" s="159"/>
      <c r="K521" s="159"/>
      <c r="L521" s="159"/>
      <c r="M521" s="159"/>
      <c r="N521" s="159"/>
      <c r="O521" s="159"/>
      <c r="P521" s="159"/>
      <c r="Q521" s="159"/>
      <c r="R521" s="159"/>
      <c r="S521" s="159"/>
      <c r="T521" s="159"/>
      <c r="U521" s="159"/>
      <c r="V521" s="159"/>
      <c r="W521" s="159"/>
      <c r="X521" s="159"/>
      <c r="Y521" s="159"/>
      <c r="Z521" s="159"/>
    </row>
    <row r="522" ht="15.75" customHeight="1">
      <c r="A522" s="118"/>
      <c r="B522" s="118"/>
      <c r="C522" s="181"/>
      <c r="D522" s="159"/>
      <c r="E522" s="159"/>
      <c r="F522" s="159"/>
      <c r="G522" s="159"/>
      <c r="H522" s="83"/>
      <c r="I522" s="159"/>
      <c r="J522" s="159"/>
      <c r="K522" s="159"/>
      <c r="L522" s="159"/>
      <c r="M522" s="159"/>
      <c r="N522" s="159"/>
      <c r="O522" s="159"/>
      <c r="P522" s="159"/>
      <c r="Q522" s="159"/>
      <c r="R522" s="159"/>
      <c r="S522" s="159"/>
      <c r="T522" s="159"/>
      <c r="U522" s="159"/>
      <c r="V522" s="159"/>
      <c r="W522" s="159"/>
      <c r="X522" s="159"/>
      <c r="Y522" s="159"/>
      <c r="Z522" s="159"/>
    </row>
    <row r="523" ht="15.75" customHeight="1">
      <c r="A523" s="118"/>
      <c r="B523" s="118"/>
      <c r="C523" s="181"/>
      <c r="D523" s="159"/>
      <c r="E523" s="159"/>
      <c r="F523" s="159"/>
      <c r="G523" s="159"/>
      <c r="H523" s="83"/>
      <c r="I523" s="159"/>
      <c r="J523" s="159"/>
      <c r="K523" s="159"/>
      <c r="L523" s="159"/>
      <c r="M523" s="159"/>
      <c r="N523" s="159"/>
      <c r="O523" s="159"/>
      <c r="P523" s="159"/>
      <c r="Q523" s="159"/>
      <c r="R523" s="159"/>
      <c r="S523" s="159"/>
      <c r="T523" s="159"/>
      <c r="U523" s="159"/>
      <c r="V523" s="159"/>
      <c r="W523" s="159"/>
      <c r="X523" s="159"/>
      <c r="Y523" s="159"/>
      <c r="Z523" s="159"/>
    </row>
    <row r="524" ht="15.75" customHeight="1">
      <c r="A524" s="118"/>
      <c r="B524" s="118"/>
      <c r="C524" s="181"/>
      <c r="D524" s="159"/>
      <c r="E524" s="159"/>
      <c r="F524" s="159"/>
      <c r="G524" s="159"/>
      <c r="H524" s="83"/>
      <c r="I524" s="159"/>
      <c r="J524" s="159"/>
      <c r="K524" s="159"/>
      <c r="L524" s="159"/>
      <c r="M524" s="159"/>
      <c r="N524" s="159"/>
      <c r="O524" s="159"/>
      <c r="P524" s="159"/>
      <c r="Q524" s="159"/>
      <c r="R524" s="159"/>
      <c r="S524" s="159"/>
      <c r="T524" s="159"/>
      <c r="U524" s="159"/>
      <c r="V524" s="159"/>
      <c r="W524" s="159"/>
      <c r="X524" s="159"/>
      <c r="Y524" s="159"/>
      <c r="Z524" s="159"/>
    </row>
    <row r="525" ht="15.75" customHeight="1">
      <c r="A525" s="118"/>
      <c r="B525" s="118"/>
      <c r="C525" s="181"/>
      <c r="D525" s="159"/>
      <c r="E525" s="159"/>
      <c r="F525" s="159"/>
      <c r="G525" s="159"/>
      <c r="H525" s="83"/>
      <c r="I525" s="159"/>
      <c r="J525" s="159"/>
      <c r="K525" s="159"/>
      <c r="L525" s="159"/>
      <c r="M525" s="159"/>
      <c r="N525" s="159"/>
      <c r="O525" s="159"/>
      <c r="P525" s="159"/>
      <c r="Q525" s="159"/>
      <c r="R525" s="159"/>
      <c r="S525" s="159"/>
      <c r="T525" s="159"/>
      <c r="U525" s="159"/>
      <c r="V525" s="159"/>
      <c r="W525" s="159"/>
      <c r="X525" s="159"/>
      <c r="Y525" s="159"/>
      <c r="Z525" s="159"/>
    </row>
    <row r="526" ht="15.75" customHeight="1">
      <c r="A526" s="118"/>
      <c r="B526" s="118"/>
      <c r="C526" s="181"/>
      <c r="D526" s="159"/>
      <c r="E526" s="159"/>
      <c r="F526" s="159"/>
      <c r="G526" s="159"/>
      <c r="H526" s="83"/>
      <c r="I526" s="159"/>
      <c r="J526" s="159"/>
      <c r="K526" s="159"/>
      <c r="L526" s="159"/>
      <c r="M526" s="159"/>
      <c r="N526" s="159"/>
      <c r="O526" s="159"/>
      <c r="P526" s="159"/>
      <c r="Q526" s="159"/>
      <c r="R526" s="159"/>
      <c r="S526" s="159"/>
      <c r="T526" s="159"/>
      <c r="U526" s="159"/>
      <c r="V526" s="159"/>
      <c r="W526" s="159"/>
      <c r="X526" s="159"/>
      <c r="Y526" s="159"/>
      <c r="Z526" s="159"/>
    </row>
    <row r="527" ht="15.75" customHeight="1">
      <c r="A527" s="118"/>
      <c r="B527" s="118"/>
      <c r="C527" s="181"/>
      <c r="D527" s="159"/>
      <c r="E527" s="159"/>
      <c r="F527" s="159"/>
      <c r="G527" s="159"/>
      <c r="H527" s="83"/>
      <c r="I527" s="159"/>
      <c r="J527" s="159"/>
      <c r="K527" s="159"/>
      <c r="L527" s="159"/>
      <c r="M527" s="159"/>
      <c r="N527" s="159"/>
      <c r="O527" s="159"/>
      <c r="P527" s="159"/>
      <c r="Q527" s="159"/>
      <c r="R527" s="159"/>
      <c r="S527" s="159"/>
      <c r="T527" s="159"/>
      <c r="U527" s="159"/>
      <c r="V527" s="159"/>
      <c r="W527" s="159"/>
      <c r="X527" s="159"/>
      <c r="Y527" s="159"/>
      <c r="Z527" s="159"/>
    </row>
    <row r="528" ht="15.75" customHeight="1">
      <c r="A528" s="118"/>
      <c r="B528" s="118"/>
      <c r="C528" s="181"/>
      <c r="D528" s="159"/>
      <c r="E528" s="159"/>
      <c r="F528" s="159"/>
      <c r="G528" s="159"/>
      <c r="H528" s="83"/>
      <c r="I528" s="159"/>
      <c r="J528" s="159"/>
      <c r="K528" s="159"/>
      <c r="L528" s="159"/>
      <c r="M528" s="159"/>
      <c r="N528" s="159"/>
      <c r="O528" s="159"/>
      <c r="P528" s="159"/>
      <c r="Q528" s="159"/>
      <c r="R528" s="159"/>
      <c r="S528" s="159"/>
      <c r="T528" s="159"/>
      <c r="U528" s="159"/>
      <c r="V528" s="159"/>
      <c r="W528" s="159"/>
      <c r="X528" s="159"/>
      <c r="Y528" s="159"/>
      <c r="Z528" s="159"/>
    </row>
    <row r="529" ht="15.75" customHeight="1">
      <c r="A529" s="118"/>
      <c r="B529" s="118"/>
      <c r="C529" s="181"/>
      <c r="D529" s="159"/>
      <c r="E529" s="159"/>
      <c r="F529" s="159"/>
      <c r="G529" s="159"/>
      <c r="H529" s="83"/>
      <c r="I529" s="159"/>
      <c r="J529" s="159"/>
      <c r="K529" s="159"/>
      <c r="L529" s="159"/>
      <c r="M529" s="159"/>
      <c r="N529" s="159"/>
      <c r="O529" s="159"/>
      <c r="P529" s="159"/>
      <c r="Q529" s="159"/>
      <c r="R529" s="159"/>
      <c r="S529" s="159"/>
      <c r="T529" s="159"/>
      <c r="U529" s="159"/>
      <c r="V529" s="159"/>
      <c r="W529" s="159"/>
      <c r="X529" s="159"/>
      <c r="Y529" s="159"/>
      <c r="Z529" s="159"/>
    </row>
    <row r="530" ht="15.75" customHeight="1">
      <c r="A530" s="118"/>
      <c r="B530" s="118"/>
      <c r="C530" s="181"/>
      <c r="D530" s="159"/>
      <c r="E530" s="159"/>
      <c r="F530" s="159"/>
      <c r="G530" s="159"/>
      <c r="H530" s="83"/>
      <c r="I530" s="159"/>
      <c r="J530" s="159"/>
      <c r="K530" s="159"/>
      <c r="L530" s="159"/>
      <c r="M530" s="159"/>
      <c r="N530" s="159"/>
      <c r="O530" s="159"/>
      <c r="P530" s="159"/>
      <c r="Q530" s="159"/>
      <c r="R530" s="159"/>
      <c r="S530" s="159"/>
      <c r="T530" s="159"/>
      <c r="U530" s="159"/>
      <c r="V530" s="159"/>
      <c r="W530" s="159"/>
      <c r="X530" s="159"/>
      <c r="Y530" s="159"/>
      <c r="Z530" s="159"/>
    </row>
    <row r="531" ht="15.75" customHeight="1">
      <c r="A531" s="118"/>
      <c r="B531" s="118"/>
      <c r="C531" s="181"/>
      <c r="D531" s="159"/>
      <c r="E531" s="159"/>
      <c r="F531" s="159"/>
      <c r="G531" s="159"/>
      <c r="H531" s="83"/>
      <c r="I531" s="159"/>
      <c r="J531" s="159"/>
      <c r="K531" s="159"/>
      <c r="L531" s="159"/>
      <c r="M531" s="159"/>
      <c r="N531" s="159"/>
      <c r="O531" s="159"/>
      <c r="P531" s="159"/>
      <c r="Q531" s="159"/>
      <c r="R531" s="159"/>
      <c r="S531" s="159"/>
      <c r="T531" s="159"/>
      <c r="U531" s="159"/>
      <c r="V531" s="159"/>
      <c r="W531" s="159"/>
      <c r="X531" s="159"/>
      <c r="Y531" s="159"/>
      <c r="Z531" s="159"/>
    </row>
    <row r="532" ht="15.75" customHeight="1">
      <c r="A532" s="118"/>
      <c r="B532" s="118"/>
      <c r="C532" s="181"/>
      <c r="D532" s="159"/>
      <c r="E532" s="159"/>
      <c r="F532" s="159"/>
      <c r="G532" s="159"/>
      <c r="H532" s="83"/>
      <c r="I532" s="159"/>
      <c r="J532" s="159"/>
      <c r="K532" s="159"/>
      <c r="L532" s="159"/>
      <c r="M532" s="159"/>
      <c r="N532" s="159"/>
      <c r="O532" s="159"/>
      <c r="P532" s="159"/>
      <c r="Q532" s="159"/>
      <c r="R532" s="159"/>
      <c r="S532" s="159"/>
      <c r="T532" s="159"/>
      <c r="U532" s="159"/>
      <c r="V532" s="159"/>
      <c r="W532" s="159"/>
      <c r="X532" s="159"/>
      <c r="Y532" s="159"/>
      <c r="Z532" s="159"/>
    </row>
    <row r="533" ht="15.75" customHeight="1">
      <c r="A533" s="118"/>
      <c r="B533" s="118"/>
      <c r="C533" s="181"/>
      <c r="D533" s="159"/>
      <c r="E533" s="159"/>
      <c r="F533" s="159"/>
      <c r="G533" s="159"/>
      <c r="H533" s="83"/>
      <c r="I533" s="159"/>
      <c r="J533" s="159"/>
      <c r="K533" s="159"/>
      <c r="L533" s="159"/>
      <c r="M533" s="159"/>
      <c r="N533" s="159"/>
      <c r="O533" s="159"/>
      <c r="P533" s="159"/>
      <c r="Q533" s="159"/>
      <c r="R533" s="159"/>
      <c r="S533" s="159"/>
      <c r="T533" s="159"/>
      <c r="U533" s="159"/>
      <c r="V533" s="159"/>
      <c r="W533" s="159"/>
      <c r="X533" s="159"/>
      <c r="Y533" s="159"/>
      <c r="Z533" s="159"/>
    </row>
    <row r="534" ht="15.75" customHeight="1">
      <c r="A534" s="118"/>
      <c r="B534" s="118"/>
      <c r="C534" s="181"/>
      <c r="D534" s="159"/>
      <c r="E534" s="159"/>
      <c r="F534" s="159"/>
      <c r="G534" s="159"/>
      <c r="H534" s="83"/>
      <c r="I534" s="159"/>
      <c r="J534" s="159"/>
      <c r="K534" s="159"/>
      <c r="L534" s="159"/>
      <c r="M534" s="159"/>
      <c r="N534" s="159"/>
      <c r="O534" s="159"/>
      <c r="P534" s="159"/>
      <c r="Q534" s="159"/>
      <c r="R534" s="159"/>
      <c r="S534" s="159"/>
      <c r="T534" s="159"/>
      <c r="U534" s="159"/>
      <c r="V534" s="159"/>
      <c r="W534" s="159"/>
      <c r="X534" s="159"/>
      <c r="Y534" s="159"/>
      <c r="Z534" s="159"/>
    </row>
    <row r="535" ht="15.75" customHeight="1">
      <c r="A535" s="118"/>
      <c r="B535" s="118"/>
      <c r="C535" s="181"/>
      <c r="D535" s="159"/>
      <c r="E535" s="159"/>
      <c r="F535" s="159"/>
      <c r="G535" s="159"/>
      <c r="H535" s="83"/>
      <c r="I535" s="159"/>
      <c r="J535" s="159"/>
      <c r="K535" s="159"/>
      <c r="L535" s="159"/>
      <c r="M535" s="159"/>
      <c r="N535" s="159"/>
      <c r="O535" s="159"/>
      <c r="P535" s="159"/>
      <c r="Q535" s="159"/>
      <c r="R535" s="159"/>
      <c r="S535" s="159"/>
      <c r="T535" s="159"/>
      <c r="U535" s="159"/>
      <c r="V535" s="159"/>
      <c r="W535" s="159"/>
      <c r="X535" s="159"/>
      <c r="Y535" s="159"/>
      <c r="Z535" s="159"/>
    </row>
    <row r="536" ht="15.75" customHeight="1">
      <c r="A536" s="118"/>
      <c r="B536" s="118"/>
      <c r="C536" s="181"/>
      <c r="D536" s="159"/>
      <c r="E536" s="159"/>
      <c r="F536" s="159"/>
      <c r="G536" s="159"/>
      <c r="H536" s="83"/>
      <c r="I536" s="159"/>
      <c r="J536" s="159"/>
      <c r="K536" s="159"/>
      <c r="L536" s="159"/>
      <c r="M536" s="159"/>
      <c r="N536" s="159"/>
      <c r="O536" s="159"/>
      <c r="P536" s="159"/>
      <c r="Q536" s="159"/>
      <c r="R536" s="159"/>
      <c r="S536" s="159"/>
      <c r="T536" s="159"/>
      <c r="U536" s="159"/>
      <c r="V536" s="159"/>
      <c r="W536" s="159"/>
      <c r="X536" s="159"/>
      <c r="Y536" s="159"/>
      <c r="Z536" s="159"/>
    </row>
    <row r="537" ht="15.75" customHeight="1">
      <c r="A537" s="118"/>
      <c r="B537" s="118"/>
      <c r="C537" s="181"/>
      <c r="D537" s="159"/>
      <c r="E537" s="159"/>
      <c r="F537" s="159"/>
      <c r="G537" s="159"/>
      <c r="H537" s="83"/>
      <c r="I537" s="159"/>
      <c r="J537" s="159"/>
      <c r="K537" s="159"/>
      <c r="L537" s="159"/>
      <c r="M537" s="159"/>
      <c r="N537" s="159"/>
      <c r="O537" s="159"/>
      <c r="P537" s="159"/>
      <c r="Q537" s="159"/>
      <c r="R537" s="159"/>
      <c r="S537" s="159"/>
      <c r="T537" s="159"/>
      <c r="U537" s="159"/>
      <c r="V537" s="159"/>
      <c r="W537" s="159"/>
      <c r="X537" s="159"/>
      <c r="Y537" s="159"/>
      <c r="Z537" s="159"/>
    </row>
    <row r="538" ht="15.75" customHeight="1">
      <c r="A538" s="118"/>
      <c r="B538" s="118"/>
      <c r="C538" s="181"/>
      <c r="D538" s="159"/>
      <c r="E538" s="159"/>
      <c r="F538" s="159"/>
      <c r="G538" s="159"/>
      <c r="H538" s="83"/>
      <c r="I538" s="159"/>
      <c r="J538" s="159"/>
      <c r="K538" s="159"/>
      <c r="L538" s="159"/>
      <c r="M538" s="159"/>
      <c r="N538" s="159"/>
      <c r="O538" s="159"/>
      <c r="P538" s="159"/>
      <c r="Q538" s="159"/>
      <c r="R538" s="159"/>
      <c r="S538" s="159"/>
      <c r="T538" s="159"/>
      <c r="U538" s="159"/>
      <c r="V538" s="159"/>
      <c r="W538" s="159"/>
      <c r="X538" s="159"/>
      <c r="Y538" s="159"/>
      <c r="Z538" s="159"/>
    </row>
    <row r="539" ht="15.75" customHeight="1">
      <c r="A539" s="118"/>
      <c r="B539" s="118"/>
      <c r="C539" s="181"/>
      <c r="D539" s="159"/>
      <c r="E539" s="159"/>
      <c r="F539" s="159"/>
      <c r="G539" s="159"/>
      <c r="H539" s="83"/>
      <c r="I539" s="159"/>
      <c r="J539" s="159"/>
      <c r="K539" s="159"/>
      <c r="L539" s="159"/>
      <c r="M539" s="159"/>
      <c r="N539" s="159"/>
      <c r="O539" s="159"/>
      <c r="P539" s="159"/>
      <c r="Q539" s="159"/>
      <c r="R539" s="159"/>
      <c r="S539" s="159"/>
      <c r="T539" s="159"/>
      <c r="U539" s="159"/>
      <c r="V539" s="159"/>
      <c r="W539" s="159"/>
      <c r="X539" s="159"/>
      <c r="Y539" s="159"/>
      <c r="Z539" s="159"/>
    </row>
    <row r="540" ht="15.75" customHeight="1">
      <c r="A540" s="118"/>
      <c r="B540" s="118"/>
      <c r="C540" s="181"/>
      <c r="D540" s="159"/>
      <c r="E540" s="159"/>
      <c r="F540" s="159"/>
      <c r="G540" s="159"/>
      <c r="H540" s="83"/>
      <c r="I540" s="159"/>
      <c r="J540" s="159"/>
      <c r="K540" s="159"/>
      <c r="L540" s="159"/>
      <c r="M540" s="159"/>
      <c r="N540" s="159"/>
      <c r="O540" s="159"/>
      <c r="P540" s="159"/>
      <c r="Q540" s="159"/>
      <c r="R540" s="159"/>
      <c r="S540" s="159"/>
      <c r="T540" s="159"/>
      <c r="U540" s="159"/>
      <c r="V540" s="159"/>
      <c r="W540" s="159"/>
      <c r="X540" s="159"/>
      <c r="Y540" s="159"/>
      <c r="Z540" s="159"/>
    </row>
    <row r="541" ht="15.75" customHeight="1">
      <c r="A541" s="118"/>
      <c r="B541" s="118"/>
      <c r="C541" s="181"/>
      <c r="D541" s="159"/>
      <c r="E541" s="159"/>
      <c r="F541" s="159"/>
      <c r="G541" s="159"/>
      <c r="H541" s="83"/>
      <c r="I541" s="159"/>
      <c r="J541" s="159"/>
      <c r="K541" s="159"/>
      <c r="L541" s="159"/>
      <c r="M541" s="159"/>
      <c r="N541" s="159"/>
      <c r="O541" s="159"/>
      <c r="P541" s="159"/>
      <c r="Q541" s="159"/>
      <c r="R541" s="159"/>
      <c r="S541" s="159"/>
      <c r="T541" s="159"/>
      <c r="U541" s="159"/>
      <c r="V541" s="159"/>
      <c r="W541" s="159"/>
      <c r="X541" s="159"/>
      <c r="Y541" s="159"/>
      <c r="Z541" s="159"/>
    </row>
    <row r="542" ht="15.75" customHeight="1">
      <c r="A542" s="118"/>
      <c r="B542" s="118"/>
      <c r="C542" s="181"/>
      <c r="D542" s="159"/>
      <c r="E542" s="159"/>
      <c r="F542" s="159"/>
      <c r="G542" s="159"/>
      <c r="H542" s="83"/>
      <c r="I542" s="159"/>
      <c r="J542" s="159"/>
      <c r="K542" s="159"/>
      <c r="L542" s="159"/>
      <c r="M542" s="159"/>
      <c r="N542" s="159"/>
      <c r="O542" s="159"/>
      <c r="P542" s="159"/>
      <c r="Q542" s="159"/>
      <c r="R542" s="159"/>
      <c r="S542" s="159"/>
      <c r="T542" s="159"/>
      <c r="U542" s="159"/>
      <c r="V542" s="159"/>
      <c r="W542" s="159"/>
      <c r="X542" s="159"/>
      <c r="Y542" s="159"/>
      <c r="Z542" s="159"/>
    </row>
    <row r="543" ht="15.75" customHeight="1">
      <c r="A543" s="118"/>
      <c r="B543" s="118"/>
      <c r="C543" s="181"/>
      <c r="D543" s="159"/>
      <c r="E543" s="159"/>
      <c r="F543" s="159"/>
      <c r="G543" s="159"/>
      <c r="H543" s="83"/>
      <c r="I543" s="159"/>
      <c r="J543" s="159"/>
      <c r="K543" s="159"/>
      <c r="L543" s="159"/>
      <c r="M543" s="159"/>
      <c r="N543" s="159"/>
      <c r="O543" s="159"/>
      <c r="P543" s="159"/>
      <c r="Q543" s="159"/>
      <c r="R543" s="159"/>
      <c r="S543" s="159"/>
      <c r="T543" s="159"/>
      <c r="U543" s="159"/>
      <c r="V543" s="159"/>
      <c r="W543" s="159"/>
      <c r="X543" s="159"/>
      <c r="Y543" s="159"/>
      <c r="Z543" s="159"/>
    </row>
    <row r="544" ht="15.75" customHeight="1">
      <c r="A544" s="118"/>
      <c r="B544" s="118"/>
      <c r="C544" s="181"/>
      <c r="D544" s="159"/>
      <c r="E544" s="159"/>
      <c r="F544" s="159"/>
      <c r="G544" s="159"/>
      <c r="H544" s="83"/>
      <c r="I544" s="159"/>
      <c r="J544" s="159"/>
      <c r="K544" s="159"/>
      <c r="L544" s="159"/>
      <c r="M544" s="159"/>
      <c r="N544" s="159"/>
      <c r="O544" s="159"/>
      <c r="P544" s="159"/>
      <c r="Q544" s="159"/>
      <c r="R544" s="159"/>
      <c r="S544" s="159"/>
      <c r="T544" s="159"/>
      <c r="U544" s="159"/>
      <c r="V544" s="159"/>
      <c r="W544" s="159"/>
      <c r="X544" s="159"/>
      <c r="Y544" s="159"/>
      <c r="Z544" s="159"/>
    </row>
    <row r="545" ht="15.75" customHeight="1">
      <c r="A545" s="118"/>
      <c r="B545" s="118"/>
      <c r="C545" s="181"/>
      <c r="D545" s="159"/>
      <c r="E545" s="159"/>
      <c r="F545" s="159"/>
      <c r="G545" s="159"/>
      <c r="H545" s="83"/>
      <c r="I545" s="159"/>
      <c r="J545" s="159"/>
      <c r="K545" s="159"/>
      <c r="L545" s="159"/>
      <c r="M545" s="159"/>
      <c r="N545" s="159"/>
      <c r="O545" s="159"/>
      <c r="P545" s="159"/>
      <c r="Q545" s="159"/>
      <c r="R545" s="159"/>
      <c r="S545" s="159"/>
      <c r="T545" s="159"/>
      <c r="U545" s="159"/>
      <c r="V545" s="159"/>
      <c r="W545" s="159"/>
      <c r="X545" s="159"/>
      <c r="Y545" s="159"/>
      <c r="Z545" s="159"/>
    </row>
    <row r="546" ht="15.75" customHeight="1">
      <c r="A546" s="118"/>
      <c r="B546" s="118"/>
      <c r="C546" s="181"/>
      <c r="D546" s="159"/>
      <c r="E546" s="159"/>
      <c r="F546" s="159"/>
      <c r="G546" s="159"/>
      <c r="H546" s="83"/>
      <c r="I546" s="159"/>
      <c r="J546" s="159"/>
      <c r="K546" s="159"/>
      <c r="L546" s="159"/>
      <c r="M546" s="159"/>
      <c r="N546" s="159"/>
      <c r="O546" s="159"/>
      <c r="P546" s="159"/>
      <c r="Q546" s="159"/>
      <c r="R546" s="159"/>
      <c r="S546" s="159"/>
      <c r="T546" s="159"/>
      <c r="U546" s="159"/>
      <c r="V546" s="159"/>
      <c r="W546" s="159"/>
      <c r="X546" s="159"/>
      <c r="Y546" s="159"/>
      <c r="Z546" s="159"/>
    </row>
    <row r="547" ht="15.75" customHeight="1">
      <c r="A547" s="118"/>
      <c r="B547" s="118"/>
      <c r="C547" s="181"/>
      <c r="D547" s="159"/>
      <c r="E547" s="159"/>
      <c r="F547" s="159"/>
      <c r="G547" s="159"/>
      <c r="H547" s="83"/>
      <c r="I547" s="159"/>
      <c r="J547" s="159"/>
      <c r="K547" s="159"/>
      <c r="L547" s="159"/>
      <c r="M547" s="159"/>
      <c r="N547" s="159"/>
      <c r="O547" s="159"/>
      <c r="P547" s="159"/>
      <c r="Q547" s="159"/>
      <c r="R547" s="159"/>
      <c r="S547" s="159"/>
      <c r="T547" s="159"/>
      <c r="U547" s="159"/>
      <c r="V547" s="159"/>
      <c r="W547" s="159"/>
      <c r="X547" s="159"/>
      <c r="Y547" s="159"/>
      <c r="Z547" s="159"/>
    </row>
    <row r="548" ht="15.75" customHeight="1">
      <c r="A548" s="118"/>
      <c r="B548" s="118"/>
      <c r="C548" s="181"/>
      <c r="D548" s="159"/>
      <c r="E548" s="159"/>
      <c r="F548" s="159"/>
      <c r="G548" s="159"/>
      <c r="H548" s="83"/>
      <c r="I548" s="159"/>
      <c r="J548" s="159"/>
      <c r="K548" s="159"/>
      <c r="L548" s="159"/>
      <c r="M548" s="159"/>
      <c r="N548" s="159"/>
      <c r="O548" s="159"/>
      <c r="P548" s="159"/>
      <c r="Q548" s="159"/>
      <c r="R548" s="159"/>
      <c r="S548" s="159"/>
      <c r="T548" s="159"/>
      <c r="U548" s="159"/>
      <c r="V548" s="159"/>
      <c r="W548" s="159"/>
      <c r="X548" s="159"/>
      <c r="Y548" s="159"/>
      <c r="Z548" s="159"/>
    </row>
    <row r="549" ht="15.75" customHeight="1">
      <c r="A549" s="118"/>
      <c r="B549" s="118"/>
      <c r="C549" s="181"/>
      <c r="D549" s="159"/>
      <c r="E549" s="159"/>
      <c r="F549" s="159"/>
      <c r="G549" s="159"/>
      <c r="H549" s="83"/>
      <c r="I549" s="159"/>
      <c r="J549" s="159"/>
      <c r="K549" s="159"/>
      <c r="L549" s="159"/>
      <c r="M549" s="159"/>
      <c r="N549" s="159"/>
      <c r="O549" s="159"/>
      <c r="P549" s="159"/>
      <c r="Q549" s="159"/>
      <c r="R549" s="159"/>
      <c r="S549" s="159"/>
      <c r="T549" s="159"/>
      <c r="U549" s="159"/>
      <c r="V549" s="159"/>
      <c r="W549" s="159"/>
      <c r="X549" s="159"/>
      <c r="Y549" s="159"/>
      <c r="Z549" s="159"/>
    </row>
    <row r="550" ht="15.75" customHeight="1">
      <c r="A550" s="118"/>
      <c r="B550" s="118"/>
      <c r="C550" s="181"/>
      <c r="D550" s="159"/>
      <c r="E550" s="159"/>
      <c r="F550" s="159"/>
      <c r="G550" s="159"/>
      <c r="H550" s="83"/>
      <c r="I550" s="159"/>
      <c r="J550" s="159"/>
      <c r="K550" s="159"/>
      <c r="L550" s="159"/>
      <c r="M550" s="159"/>
      <c r="N550" s="159"/>
      <c r="O550" s="159"/>
      <c r="P550" s="159"/>
      <c r="Q550" s="159"/>
      <c r="R550" s="159"/>
      <c r="S550" s="159"/>
      <c r="T550" s="159"/>
      <c r="U550" s="159"/>
      <c r="V550" s="159"/>
      <c r="W550" s="159"/>
      <c r="X550" s="159"/>
      <c r="Y550" s="159"/>
      <c r="Z550" s="159"/>
    </row>
    <row r="551" ht="15.75" customHeight="1">
      <c r="A551" s="118"/>
      <c r="B551" s="118"/>
      <c r="C551" s="181"/>
      <c r="D551" s="159"/>
      <c r="E551" s="159"/>
      <c r="F551" s="159"/>
      <c r="G551" s="159"/>
      <c r="H551" s="83"/>
      <c r="I551" s="159"/>
      <c r="J551" s="159"/>
      <c r="K551" s="159"/>
      <c r="L551" s="159"/>
      <c r="M551" s="159"/>
      <c r="N551" s="159"/>
      <c r="O551" s="159"/>
      <c r="P551" s="159"/>
      <c r="Q551" s="159"/>
      <c r="R551" s="159"/>
      <c r="S551" s="159"/>
      <c r="T551" s="159"/>
      <c r="U551" s="159"/>
      <c r="V551" s="159"/>
      <c r="W551" s="159"/>
      <c r="X551" s="159"/>
      <c r="Y551" s="159"/>
      <c r="Z551" s="159"/>
    </row>
    <row r="552" ht="15.75" customHeight="1">
      <c r="A552" s="118"/>
      <c r="B552" s="118"/>
      <c r="C552" s="181"/>
      <c r="D552" s="159"/>
      <c r="E552" s="159"/>
      <c r="F552" s="159"/>
      <c r="G552" s="159"/>
      <c r="H552" s="83"/>
      <c r="I552" s="159"/>
      <c r="J552" s="159"/>
      <c r="K552" s="159"/>
      <c r="L552" s="159"/>
      <c r="M552" s="159"/>
      <c r="N552" s="159"/>
      <c r="O552" s="159"/>
      <c r="P552" s="159"/>
      <c r="Q552" s="159"/>
      <c r="R552" s="159"/>
      <c r="S552" s="159"/>
      <c r="T552" s="159"/>
      <c r="U552" s="159"/>
      <c r="V552" s="159"/>
      <c r="W552" s="159"/>
      <c r="X552" s="159"/>
      <c r="Y552" s="159"/>
      <c r="Z552" s="159"/>
    </row>
    <row r="553" ht="15.75" customHeight="1">
      <c r="A553" s="118"/>
      <c r="B553" s="118"/>
      <c r="C553" s="181"/>
      <c r="D553" s="159"/>
      <c r="E553" s="159"/>
      <c r="F553" s="159"/>
      <c r="G553" s="159"/>
      <c r="H553" s="83"/>
      <c r="I553" s="159"/>
      <c r="J553" s="159"/>
      <c r="K553" s="159"/>
      <c r="L553" s="159"/>
      <c r="M553" s="159"/>
      <c r="N553" s="159"/>
      <c r="O553" s="159"/>
      <c r="P553" s="159"/>
      <c r="Q553" s="159"/>
      <c r="R553" s="159"/>
      <c r="S553" s="159"/>
      <c r="T553" s="159"/>
      <c r="U553" s="159"/>
      <c r="V553" s="159"/>
      <c r="W553" s="159"/>
      <c r="X553" s="159"/>
      <c r="Y553" s="159"/>
      <c r="Z553" s="159"/>
    </row>
    <row r="554" ht="15.75" customHeight="1">
      <c r="A554" s="118"/>
      <c r="B554" s="118"/>
      <c r="C554" s="181"/>
      <c r="D554" s="159"/>
      <c r="E554" s="159"/>
      <c r="F554" s="159"/>
      <c r="G554" s="159"/>
      <c r="H554" s="83"/>
      <c r="I554" s="159"/>
      <c r="J554" s="159"/>
      <c r="K554" s="159"/>
      <c r="L554" s="159"/>
      <c r="M554" s="159"/>
      <c r="N554" s="159"/>
      <c r="O554" s="159"/>
      <c r="P554" s="159"/>
      <c r="Q554" s="159"/>
      <c r="R554" s="159"/>
      <c r="S554" s="159"/>
      <c r="T554" s="159"/>
      <c r="U554" s="159"/>
      <c r="V554" s="159"/>
      <c r="W554" s="159"/>
      <c r="X554" s="159"/>
      <c r="Y554" s="159"/>
      <c r="Z554" s="159"/>
    </row>
    <row r="555" ht="15.75" customHeight="1">
      <c r="A555" s="118"/>
      <c r="B555" s="118"/>
      <c r="C555" s="181"/>
      <c r="D555" s="159"/>
      <c r="E555" s="159"/>
      <c r="F555" s="159"/>
      <c r="G555" s="159"/>
      <c r="H555" s="83"/>
      <c r="I555" s="159"/>
      <c r="J555" s="159"/>
      <c r="K555" s="159"/>
      <c r="L555" s="159"/>
      <c r="M555" s="159"/>
      <c r="N555" s="159"/>
      <c r="O555" s="159"/>
      <c r="P555" s="159"/>
      <c r="Q555" s="159"/>
      <c r="R555" s="159"/>
      <c r="S555" s="159"/>
      <c r="T555" s="159"/>
      <c r="U555" s="159"/>
      <c r="V555" s="159"/>
      <c r="W555" s="159"/>
      <c r="X555" s="159"/>
      <c r="Y555" s="159"/>
      <c r="Z555" s="159"/>
    </row>
    <row r="556" ht="15.75" customHeight="1">
      <c r="A556" s="118"/>
      <c r="B556" s="118"/>
      <c r="C556" s="181"/>
      <c r="D556" s="159"/>
      <c r="E556" s="159"/>
      <c r="F556" s="159"/>
      <c r="G556" s="159"/>
      <c r="H556" s="83"/>
      <c r="I556" s="159"/>
      <c r="J556" s="159"/>
      <c r="K556" s="159"/>
      <c r="L556" s="159"/>
      <c r="M556" s="159"/>
      <c r="N556" s="159"/>
      <c r="O556" s="159"/>
      <c r="P556" s="159"/>
      <c r="Q556" s="159"/>
      <c r="R556" s="159"/>
      <c r="S556" s="159"/>
      <c r="T556" s="159"/>
      <c r="U556" s="159"/>
      <c r="V556" s="159"/>
      <c r="W556" s="159"/>
      <c r="X556" s="159"/>
      <c r="Y556" s="159"/>
      <c r="Z556" s="159"/>
    </row>
    <row r="557" ht="15.75" customHeight="1">
      <c r="A557" s="118"/>
      <c r="B557" s="118"/>
      <c r="C557" s="181"/>
      <c r="D557" s="159"/>
      <c r="E557" s="159"/>
      <c r="F557" s="159"/>
      <c r="G557" s="159"/>
      <c r="H557" s="83"/>
      <c r="I557" s="159"/>
      <c r="J557" s="159"/>
      <c r="K557" s="159"/>
      <c r="L557" s="159"/>
      <c r="M557" s="159"/>
      <c r="N557" s="159"/>
      <c r="O557" s="159"/>
      <c r="P557" s="159"/>
      <c r="Q557" s="159"/>
      <c r="R557" s="159"/>
      <c r="S557" s="159"/>
      <c r="T557" s="159"/>
      <c r="U557" s="159"/>
      <c r="V557" s="159"/>
      <c r="W557" s="159"/>
      <c r="X557" s="159"/>
      <c r="Y557" s="159"/>
      <c r="Z557" s="159"/>
    </row>
    <row r="558" ht="15.75" customHeight="1">
      <c r="A558" s="118"/>
      <c r="B558" s="118"/>
      <c r="C558" s="181"/>
      <c r="D558" s="159"/>
      <c r="E558" s="159"/>
      <c r="F558" s="159"/>
      <c r="G558" s="159"/>
      <c r="H558" s="83"/>
      <c r="I558" s="159"/>
      <c r="J558" s="159"/>
      <c r="K558" s="159"/>
      <c r="L558" s="159"/>
      <c r="M558" s="159"/>
      <c r="N558" s="159"/>
      <c r="O558" s="159"/>
      <c r="P558" s="159"/>
      <c r="Q558" s="159"/>
      <c r="R558" s="159"/>
      <c r="S558" s="159"/>
      <c r="T558" s="159"/>
      <c r="U558" s="159"/>
      <c r="V558" s="159"/>
      <c r="W558" s="159"/>
      <c r="X558" s="159"/>
      <c r="Y558" s="159"/>
      <c r="Z558" s="159"/>
    </row>
    <row r="559" ht="15.75" customHeight="1">
      <c r="A559" s="118"/>
      <c r="B559" s="118"/>
      <c r="C559" s="181"/>
      <c r="D559" s="159"/>
      <c r="E559" s="159"/>
      <c r="F559" s="159"/>
      <c r="G559" s="159"/>
      <c r="H559" s="83"/>
      <c r="I559" s="159"/>
      <c r="J559" s="159"/>
      <c r="K559" s="159"/>
      <c r="L559" s="159"/>
      <c r="M559" s="159"/>
      <c r="N559" s="159"/>
      <c r="O559" s="159"/>
      <c r="P559" s="159"/>
      <c r="Q559" s="159"/>
      <c r="R559" s="159"/>
      <c r="S559" s="159"/>
      <c r="T559" s="159"/>
      <c r="U559" s="159"/>
      <c r="V559" s="159"/>
      <c r="W559" s="159"/>
      <c r="X559" s="159"/>
      <c r="Y559" s="159"/>
      <c r="Z559" s="159"/>
    </row>
    <row r="560" ht="15.75" customHeight="1">
      <c r="A560" s="118"/>
      <c r="B560" s="118"/>
      <c r="C560" s="181"/>
      <c r="D560" s="159"/>
      <c r="E560" s="159"/>
      <c r="F560" s="159"/>
      <c r="G560" s="159"/>
      <c r="H560" s="83"/>
      <c r="I560" s="159"/>
      <c r="J560" s="159"/>
      <c r="K560" s="159"/>
      <c r="L560" s="159"/>
      <c r="M560" s="159"/>
      <c r="N560" s="159"/>
      <c r="O560" s="159"/>
      <c r="P560" s="159"/>
      <c r="Q560" s="159"/>
      <c r="R560" s="159"/>
      <c r="S560" s="159"/>
      <c r="T560" s="159"/>
      <c r="U560" s="159"/>
      <c r="V560" s="159"/>
      <c r="W560" s="159"/>
      <c r="X560" s="159"/>
      <c r="Y560" s="159"/>
      <c r="Z560" s="159"/>
    </row>
    <row r="561" ht="15.75" customHeight="1">
      <c r="A561" s="118"/>
      <c r="B561" s="118"/>
      <c r="C561" s="181"/>
      <c r="D561" s="159"/>
      <c r="E561" s="159"/>
      <c r="F561" s="159"/>
      <c r="G561" s="159"/>
      <c r="H561" s="83"/>
      <c r="I561" s="159"/>
      <c r="J561" s="159"/>
      <c r="K561" s="159"/>
      <c r="L561" s="159"/>
      <c r="M561" s="159"/>
      <c r="N561" s="159"/>
      <c r="O561" s="159"/>
      <c r="P561" s="159"/>
      <c r="Q561" s="159"/>
      <c r="R561" s="159"/>
      <c r="S561" s="159"/>
      <c r="T561" s="159"/>
      <c r="U561" s="159"/>
      <c r="V561" s="159"/>
      <c r="W561" s="159"/>
      <c r="X561" s="159"/>
      <c r="Y561" s="159"/>
      <c r="Z561" s="159"/>
    </row>
    <row r="562" ht="15.75" customHeight="1">
      <c r="A562" s="118"/>
      <c r="B562" s="118"/>
      <c r="C562" s="181"/>
      <c r="D562" s="159"/>
      <c r="E562" s="159"/>
      <c r="F562" s="159"/>
      <c r="G562" s="159"/>
      <c r="H562" s="83"/>
      <c r="I562" s="159"/>
      <c r="J562" s="159"/>
      <c r="K562" s="159"/>
      <c r="L562" s="159"/>
      <c r="M562" s="159"/>
      <c r="N562" s="159"/>
      <c r="O562" s="159"/>
      <c r="P562" s="159"/>
      <c r="Q562" s="159"/>
      <c r="R562" s="159"/>
      <c r="S562" s="159"/>
      <c r="T562" s="159"/>
      <c r="U562" s="159"/>
      <c r="V562" s="159"/>
      <c r="W562" s="159"/>
      <c r="X562" s="159"/>
      <c r="Y562" s="159"/>
      <c r="Z562" s="159"/>
    </row>
    <row r="563" ht="15.75" customHeight="1">
      <c r="A563" s="118"/>
      <c r="B563" s="118"/>
      <c r="C563" s="181"/>
      <c r="D563" s="159"/>
      <c r="E563" s="159"/>
      <c r="F563" s="159"/>
      <c r="G563" s="159"/>
      <c r="H563" s="83"/>
      <c r="I563" s="159"/>
      <c r="J563" s="159"/>
      <c r="K563" s="159"/>
      <c r="L563" s="159"/>
      <c r="M563" s="159"/>
      <c r="N563" s="159"/>
      <c r="O563" s="159"/>
      <c r="P563" s="159"/>
      <c r="Q563" s="159"/>
      <c r="R563" s="159"/>
      <c r="S563" s="159"/>
      <c r="T563" s="159"/>
      <c r="U563" s="159"/>
      <c r="V563" s="159"/>
      <c r="W563" s="159"/>
      <c r="X563" s="159"/>
      <c r="Y563" s="159"/>
      <c r="Z563" s="159"/>
    </row>
    <row r="564" ht="15.75" customHeight="1">
      <c r="A564" s="118"/>
      <c r="B564" s="118"/>
      <c r="C564" s="181"/>
      <c r="D564" s="159"/>
      <c r="E564" s="159"/>
      <c r="F564" s="159"/>
      <c r="G564" s="159"/>
      <c r="H564" s="83"/>
      <c r="I564" s="159"/>
      <c r="J564" s="159"/>
      <c r="K564" s="159"/>
      <c r="L564" s="159"/>
      <c r="M564" s="159"/>
      <c r="N564" s="159"/>
      <c r="O564" s="159"/>
      <c r="P564" s="159"/>
      <c r="Q564" s="159"/>
      <c r="R564" s="159"/>
      <c r="S564" s="159"/>
      <c r="T564" s="159"/>
      <c r="U564" s="159"/>
      <c r="V564" s="159"/>
      <c r="W564" s="159"/>
      <c r="X564" s="159"/>
      <c r="Y564" s="159"/>
      <c r="Z564" s="159"/>
    </row>
    <row r="565" ht="15.75" customHeight="1">
      <c r="A565" s="118"/>
      <c r="B565" s="118"/>
      <c r="C565" s="181"/>
      <c r="D565" s="159"/>
      <c r="E565" s="159"/>
      <c r="F565" s="159"/>
      <c r="G565" s="159"/>
      <c r="H565" s="83"/>
      <c r="I565" s="159"/>
      <c r="J565" s="159"/>
      <c r="K565" s="159"/>
      <c r="L565" s="159"/>
      <c r="M565" s="159"/>
      <c r="N565" s="159"/>
      <c r="O565" s="159"/>
      <c r="P565" s="159"/>
      <c r="Q565" s="159"/>
      <c r="R565" s="159"/>
      <c r="S565" s="159"/>
      <c r="T565" s="159"/>
      <c r="U565" s="159"/>
      <c r="V565" s="159"/>
      <c r="W565" s="159"/>
      <c r="X565" s="159"/>
      <c r="Y565" s="159"/>
      <c r="Z565" s="159"/>
    </row>
    <row r="566" ht="15.75" customHeight="1">
      <c r="A566" s="118"/>
      <c r="B566" s="118"/>
      <c r="C566" s="181"/>
      <c r="D566" s="159"/>
      <c r="E566" s="159"/>
      <c r="F566" s="159"/>
      <c r="G566" s="159"/>
      <c r="H566" s="83"/>
      <c r="I566" s="159"/>
      <c r="J566" s="159"/>
      <c r="K566" s="159"/>
      <c r="L566" s="159"/>
      <c r="M566" s="159"/>
      <c r="N566" s="159"/>
      <c r="O566" s="159"/>
      <c r="P566" s="159"/>
      <c r="Q566" s="159"/>
      <c r="R566" s="159"/>
      <c r="S566" s="159"/>
      <c r="T566" s="159"/>
      <c r="U566" s="159"/>
      <c r="V566" s="159"/>
      <c r="W566" s="159"/>
      <c r="X566" s="159"/>
      <c r="Y566" s="159"/>
      <c r="Z566" s="159"/>
    </row>
    <row r="567" ht="15.75" customHeight="1">
      <c r="A567" s="118"/>
      <c r="B567" s="118"/>
      <c r="C567" s="181"/>
      <c r="D567" s="159"/>
      <c r="E567" s="159"/>
      <c r="F567" s="159"/>
      <c r="G567" s="159"/>
      <c r="H567" s="83"/>
      <c r="I567" s="159"/>
      <c r="J567" s="159"/>
      <c r="K567" s="159"/>
      <c r="L567" s="159"/>
      <c r="M567" s="159"/>
      <c r="N567" s="159"/>
      <c r="O567" s="159"/>
      <c r="P567" s="159"/>
      <c r="Q567" s="159"/>
      <c r="R567" s="159"/>
      <c r="S567" s="159"/>
      <c r="T567" s="159"/>
      <c r="U567" s="159"/>
      <c r="V567" s="159"/>
      <c r="W567" s="159"/>
      <c r="X567" s="159"/>
      <c r="Y567" s="159"/>
      <c r="Z567" s="159"/>
    </row>
    <row r="568" ht="15.75" customHeight="1">
      <c r="A568" s="118"/>
      <c r="B568" s="118"/>
      <c r="C568" s="181"/>
      <c r="D568" s="159"/>
      <c r="E568" s="159"/>
      <c r="F568" s="159"/>
      <c r="G568" s="159"/>
      <c r="H568" s="83"/>
      <c r="I568" s="159"/>
      <c r="J568" s="159"/>
      <c r="K568" s="159"/>
      <c r="L568" s="159"/>
      <c r="M568" s="159"/>
      <c r="N568" s="159"/>
      <c r="O568" s="159"/>
      <c r="P568" s="159"/>
      <c r="Q568" s="159"/>
      <c r="R568" s="159"/>
      <c r="S568" s="159"/>
      <c r="T568" s="159"/>
      <c r="U568" s="159"/>
      <c r="V568" s="159"/>
      <c r="W568" s="159"/>
      <c r="X568" s="159"/>
      <c r="Y568" s="159"/>
      <c r="Z568" s="159"/>
    </row>
    <row r="569" ht="15.75" customHeight="1">
      <c r="A569" s="118"/>
      <c r="B569" s="118"/>
      <c r="C569" s="181"/>
      <c r="D569" s="159"/>
      <c r="E569" s="159"/>
      <c r="F569" s="159"/>
      <c r="G569" s="159"/>
      <c r="H569" s="83"/>
      <c r="I569" s="159"/>
      <c r="J569" s="159"/>
      <c r="K569" s="159"/>
      <c r="L569" s="159"/>
      <c r="M569" s="159"/>
      <c r="N569" s="159"/>
      <c r="O569" s="159"/>
      <c r="P569" s="159"/>
      <c r="Q569" s="159"/>
      <c r="R569" s="159"/>
      <c r="S569" s="159"/>
      <c r="T569" s="159"/>
      <c r="U569" s="159"/>
      <c r="V569" s="159"/>
      <c r="W569" s="159"/>
      <c r="X569" s="159"/>
      <c r="Y569" s="159"/>
      <c r="Z569" s="159"/>
    </row>
    <row r="570" ht="15.75" customHeight="1">
      <c r="A570" s="118"/>
      <c r="B570" s="118"/>
      <c r="C570" s="181"/>
      <c r="D570" s="159"/>
      <c r="E570" s="159"/>
      <c r="F570" s="159"/>
      <c r="G570" s="159"/>
      <c r="H570" s="83"/>
      <c r="I570" s="159"/>
      <c r="J570" s="159"/>
      <c r="K570" s="159"/>
      <c r="L570" s="159"/>
      <c r="M570" s="159"/>
      <c r="N570" s="159"/>
      <c r="O570" s="159"/>
      <c r="P570" s="159"/>
      <c r="Q570" s="159"/>
      <c r="R570" s="159"/>
      <c r="S570" s="159"/>
      <c r="T570" s="159"/>
      <c r="U570" s="159"/>
      <c r="V570" s="159"/>
      <c r="W570" s="159"/>
      <c r="X570" s="159"/>
      <c r="Y570" s="159"/>
      <c r="Z570" s="159"/>
    </row>
    <row r="571" ht="15.75" customHeight="1">
      <c r="A571" s="118"/>
      <c r="B571" s="118"/>
      <c r="C571" s="181"/>
      <c r="D571" s="159"/>
      <c r="E571" s="159"/>
      <c r="F571" s="159"/>
      <c r="G571" s="159"/>
      <c r="H571" s="83"/>
      <c r="I571" s="159"/>
      <c r="J571" s="159"/>
      <c r="K571" s="159"/>
      <c r="L571" s="159"/>
      <c r="M571" s="159"/>
      <c r="N571" s="159"/>
      <c r="O571" s="159"/>
      <c r="P571" s="159"/>
      <c r="Q571" s="159"/>
      <c r="R571" s="159"/>
      <c r="S571" s="159"/>
      <c r="T571" s="159"/>
      <c r="U571" s="159"/>
      <c r="V571" s="159"/>
      <c r="W571" s="159"/>
      <c r="X571" s="159"/>
      <c r="Y571" s="159"/>
      <c r="Z571" s="159"/>
    </row>
    <row r="572" ht="15.75" customHeight="1">
      <c r="A572" s="118"/>
      <c r="B572" s="118"/>
      <c r="C572" s="181"/>
      <c r="D572" s="159"/>
      <c r="E572" s="159"/>
      <c r="F572" s="159"/>
      <c r="G572" s="159"/>
      <c r="H572" s="83"/>
      <c r="I572" s="159"/>
      <c r="J572" s="159"/>
      <c r="K572" s="159"/>
      <c r="L572" s="159"/>
      <c r="M572" s="159"/>
      <c r="N572" s="159"/>
      <c r="O572" s="159"/>
      <c r="P572" s="159"/>
      <c r="Q572" s="159"/>
      <c r="R572" s="159"/>
      <c r="S572" s="159"/>
      <c r="T572" s="159"/>
      <c r="U572" s="159"/>
      <c r="V572" s="159"/>
      <c r="W572" s="159"/>
      <c r="X572" s="159"/>
      <c r="Y572" s="159"/>
      <c r="Z572" s="159"/>
    </row>
    <row r="573" ht="15.75" customHeight="1">
      <c r="A573" s="118"/>
      <c r="B573" s="118"/>
      <c r="C573" s="181"/>
      <c r="D573" s="159"/>
      <c r="E573" s="159"/>
      <c r="F573" s="159"/>
      <c r="G573" s="159"/>
      <c r="H573" s="83"/>
      <c r="I573" s="159"/>
      <c r="J573" s="159"/>
      <c r="K573" s="159"/>
      <c r="L573" s="159"/>
      <c r="M573" s="159"/>
      <c r="N573" s="159"/>
      <c r="O573" s="159"/>
      <c r="P573" s="159"/>
      <c r="Q573" s="159"/>
      <c r="R573" s="159"/>
      <c r="S573" s="159"/>
      <c r="T573" s="159"/>
      <c r="U573" s="159"/>
      <c r="V573" s="159"/>
      <c r="W573" s="159"/>
      <c r="X573" s="159"/>
      <c r="Y573" s="159"/>
      <c r="Z573" s="159"/>
    </row>
    <row r="574" ht="15.75" customHeight="1">
      <c r="A574" s="118"/>
      <c r="B574" s="118"/>
      <c r="C574" s="181"/>
      <c r="D574" s="159"/>
      <c r="E574" s="159"/>
      <c r="F574" s="159"/>
      <c r="G574" s="159"/>
      <c r="H574" s="83"/>
      <c r="I574" s="159"/>
      <c r="J574" s="159"/>
      <c r="K574" s="159"/>
      <c r="L574" s="159"/>
      <c r="M574" s="159"/>
      <c r="N574" s="159"/>
      <c r="O574" s="159"/>
      <c r="P574" s="159"/>
      <c r="Q574" s="159"/>
      <c r="R574" s="159"/>
      <c r="S574" s="159"/>
      <c r="T574" s="159"/>
      <c r="U574" s="159"/>
      <c r="V574" s="159"/>
      <c r="W574" s="159"/>
      <c r="X574" s="159"/>
      <c r="Y574" s="159"/>
      <c r="Z574" s="159"/>
    </row>
    <row r="575" ht="15.75" customHeight="1">
      <c r="A575" s="118"/>
      <c r="B575" s="118"/>
      <c r="C575" s="181"/>
      <c r="D575" s="159"/>
      <c r="E575" s="159"/>
      <c r="F575" s="159"/>
      <c r="G575" s="159"/>
      <c r="H575" s="83"/>
      <c r="I575" s="159"/>
      <c r="J575" s="159"/>
      <c r="K575" s="159"/>
      <c r="L575" s="159"/>
      <c r="M575" s="159"/>
      <c r="N575" s="159"/>
      <c r="O575" s="159"/>
      <c r="P575" s="159"/>
      <c r="Q575" s="159"/>
      <c r="R575" s="159"/>
      <c r="S575" s="159"/>
      <c r="T575" s="159"/>
      <c r="U575" s="159"/>
      <c r="V575" s="159"/>
      <c r="W575" s="159"/>
      <c r="X575" s="159"/>
      <c r="Y575" s="159"/>
      <c r="Z575" s="159"/>
    </row>
    <row r="576" ht="15.75" customHeight="1">
      <c r="A576" s="118"/>
      <c r="B576" s="118"/>
      <c r="C576" s="181"/>
      <c r="D576" s="159"/>
      <c r="E576" s="159"/>
      <c r="F576" s="159"/>
      <c r="G576" s="159"/>
      <c r="H576" s="83"/>
      <c r="I576" s="159"/>
      <c r="J576" s="159"/>
      <c r="K576" s="159"/>
      <c r="L576" s="159"/>
      <c r="M576" s="159"/>
      <c r="N576" s="159"/>
      <c r="O576" s="159"/>
      <c r="P576" s="159"/>
      <c r="Q576" s="159"/>
      <c r="R576" s="159"/>
      <c r="S576" s="159"/>
      <c r="T576" s="159"/>
      <c r="U576" s="159"/>
      <c r="V576" s="159"/>
      <c r="W576" s="159"/>
      <c r="X576" s="159"/>
      <c r="Y576" s="159"/>
      <c r="Z576" s="159"/>
    </row>
    <row r="577" ht="15.75" customHeight="1">
      <c r="A577" s="118"/>
      <c r="B577" s="118"/>
      <c r="C577" s="181"/>
      <c r="D577" s="159"/>
      <c r="E577" s="159"/>
      <c r="F577" s="159"/>
      <c r="G577" s="159"/>
      <c r="H577" s="83"/>
      <c r="I577" s="159"/>
      <c r="J577" s="159"/>
      <c r="K577" s="159"/>
      <c r="L577" s="159"/>
      <c r="M577" s="159"/>
      <c r="N577" s="159"/>
      <c r="O577" s="159"/>
      <c r="P577" s="159"/>
      <c r="Q577" s="159"/>
      <c r="R577" s="159"/>
      <c r="S577" s="159"/>
      <c r="T577" s="159"/>
      <c r="U577" s="159"/>
      <c r="V577" s="159"/>
      <c r="W577" s="159"/>
      <c r="X577" s="159"/>
      <c r="Y577" s="159"/>
      <c r="Z577" s="159"/>
    </row>
    <row r="578" ht="15.75" customHeight="1">
      <c r="A578" s="118"/>
      <c r="B578" s="118"/>
      <c r="C578" s="181"/>
      <c r="D578" s="159"/>
      <c r="E578" s="159"/>
      <c r="F578" s="159"/>
      <c r="G578" s="159"/>
      <c r="H578" s="83"/>
      <c r="I578" s="159"/>
      <c r="J578" s="159"/>
      <c r="K578" s="159"/>
      <c r="L578" s="159"/>
      <c r="M578" s="159"/>
      <c r="N578" s="159"/>
      <c r="O578" s="159"/>
      <c r="P578" s="159"/>
      <c r="Q578" s="159"/>
      <c r="R578" s="159"/>
      <c r="S578" s="159"/>
      <c r="T578" s="159"/>
      <c r="U578" s="159"/>
      <c r="V578" s="159"/>
      <c r="W578" s="159"/>
      <c r="X578" s="159"/>
      <c r="Y578" s="159"/>
      <c r="Z578" s="159"/>
    </row>
    <row r="579" ht="15.75" customHeight="1">
      <c r="A579" s="118"/>
      <c r="B579" s="118"/>
      <c r="C579" s="181"/>
      <c r="D579" s="159"/>
      <c r="E579" s="159"/>
      <c r="F579" s="159"/>
      <c r="G579" s="159"/>
      <c r="H579" s="83"/>
      <c r="I579" s="159"/>
      <c r="J579" s="159"/>
      <c r="K579" s="159"/>
      <c r="L579" s="159"/>
      <c r="M579" s="159"/>
      <c r="N579" s="159"/>
      <c r="O579" s="159"/>
      <c r="P579" s="159"/>
      <c r="Q579" s="159"/>
      <c r="R579" s="159"/>
      <c r="S579" s="159"/>
      <c r="T579" s="159"/>
      <c r="U579" s="159"/>
      <c r="V579" s="159"/>
      <c r="W579" s="159"/>
      <c r="X579" s="159"/>
      <c r="Y579" s="159"/>
      <c r="Z579" s="159"/>
    </row>
    <row r="580" ht="15.75" customHeight="1">
      <c r="A580" s="118"/>
      <c r="B580" s="118"/>
      <c r="C580" s="181"/>
      <c r="D580" s="159"/>
      <c r="E580" s="159"/>
      <c r="F580" s="159"/>
      <c r="G580" s="159"/>
      <c r="H580" s="83"/>
      <c r="I580" s="159"/>
      <c r="J580" s="159"/>
      <c r="K580" s="159"/>
      <c r="L580" s="159"/>
      <c r="M580" s="159"/>
      <c r="N580" s="159"/>
      <c r="O580" s="159"/>
      <c r="P580" s="159"/>
      <c r="Q580" s="159"/>
      <c r="R580" s="159"/>
      <c r="S580" s="159"/>
      <c r="T580" s="159"/>
      <c r="U580" s="159"/>
      <c r="V580" s="159"/>
      <c r="W580" s="159"/>
      <c r="X580" s="159"/>
      <c r="Y580" s="159"/>
      <c r="Z580" s="159"/>
    </row>
    <row r="581" ht="15.75" customHeight="1">
      <c r="A581" s="118"/>
      <c r="B581" s="118"/>
      <c r="C581" s="181"/>
      <c r="D581" s="159"/>
      <c r="E581" s="159"/>
      <c r="F581" s="159"/>
      <c r="G581" s="159"/>
      <c r="H581" s="83"/>
      <c r="I581" s="159"/>
      <c r="J581" s="159"/>
      <c r="K581" s="159"/>
      <c r="L581" s="159"/>
      <c r="M581" s="159"/>
      <c r="N581" s="159"/>
      <c r="O581" s="159"/>
      <c r="P581" s="159"/>
      <c r="Q581" s="159"/>
      <c r="R581" s="159"/>
      <c r="S581" s="159"/>
      <c r="T581" s="159"/>
      <c r="U581" s="159"/>
      <c r="V581" s="159"/>
      <c r="W581" s="159"/>
      <c r="X581" s="159"/>
      <c r="Y581" s="159"/>
      <c r="Z581" s="159"/>
    </row>
    <row r="582" ht="15.75" customHeight="1">
      <c r="A582" s="118"/>
      <c r="B582" s="118"/>
      <c r="C582" s="181"/>
      <c r="D582" s="159"/>
      <c r="E582" s="159"/>
      <c r="F582" s="159"/>
      <c r="G582" s="159"/>
      <c r="H582" s="83"/>
      <c r="I582" s="159"/>
      <c r="J582" s="159"/>
      <c r="K582" s="159"/>
      <c r="L582" s="159"/>
      <c r="M582" s="159"/>
      <c r="N582" s="159"/>
      <c r="O582" s="159"/>
      <c r="P582" s="159"/>
      <c r="Q582" s="159"/>
      <c r="R582" s="159"/>
      <c r="S582" s="159"/>
      <c r="T582" s="159"/>
      <c r="U582" s="159"/>
      <c r="V582" s="159"/>
      <c r="W582" s="159"/>
      <c r="X582" s="159"/>
      <c r="Y582" s="159"/>
      <c r="Z582" s="159"/>
    </row>
    <row r="583" ht="15.75" customHeight="1">
      <c r="A583" s="118"/>
      <c r="B583" s="118"/>
      <c r="C583" s="181"/>
      <c r="D583" s="159"/>
      <c r="E583" s="159"/>
      <c r="F583" s="159"/>
      <c r="G583" s="159"/>
      <c r="H583" s="83"/>
      <c r="I583" s="159"/>
      <c r="J583" s="159"/>
      <c r="K583" s="159"/>
      <c r="L583" s="159"/>
      <c r="M583" s="159"/>
      <c r="N583" s="159"/>
      <c r="O583" s="159"/>
      <c r="P583" s="159"/>
      <c r="Q583" s="159"/>
      <c r="R583" s="159"/>
      <c r="S583" s="159"/>
      <c r="T583" s="159"/>
      <c r="U583" s="159"/>
      <c r="V583" s="159"/>
      <c r="W583" s="159"/>
      <c r="X583" s="159"/>
      <c r="Y583" s="159"/>
      <c r="Z583" s="159"/>
    </row>
    <row r="584" ht="15.75" customHeight="1">
      <c r="A584" s="118"/>
      <c r="B584" s="118"/>
      <c r="C584" s="181"/>
      <c r="D584" s="159"/>
      <c r="E584" s="159"/>
      <c r="F584" s="159"/>
      <c r="G584" s="159"/>
      <c r="H584" s="83"/>
      <c r="I584" s="159"/>
      <c r="J584" s="159"/>
      <c r="K584" s="159"/>
      <c r="L584" s="159"/>
      <c r="M584" s="159"/>
      <c r="N584" s="159"/>
      <c r="O584" s="159"/>
      <c r="P584" s="159"/>
      <c r="Q584" s="159"/>
      <c r="R584" s="159"/>
      <c r="S584" s="159"/>
      <c r="T584" s="159"/>
      <c r="U584" s="159"/>
      <c r="V584" s="159"/>
      <c r="W584" s="159"/>
      <c r="X584" s="159"/>
      <c r="Y584" s="159"/>
      <c r="Z584" s="159"/>
    </row>
    <row r="585" ht="15.75" customHeight="1">
      <c r="A585" s="118"/>
      <c r="B585" s="118"/>
      <c r="C585" s="181"/>
      <c r="D585" s="159"/>
      <c r="E585" s="159"/>
      <c r="F585" s="159"/>
      <c r="G585" s="159"/>
      <c r="H585" s="83"/>
      <c r="I585" s="159"/>
      <c r="J585" s="159"/>
      <c r="K585" s="159"/>
      <c r="L585" s="159"/>
      <c r="M585" s="159"/>
      <c r="N585" s="159"/>
      <c r="O585" s="159"/>
      <c r="P585" s="159"/>
      <c r="Q585" s="159"/>
      <c r="R585" s="159"/>
      <c r="S585" s="159"/>
      <c r="T585" s="159"/>
      <c r="U585" s="159"/>
      <c r="V585" s="159"/>
      <c r="W585" s="159"/>
      <c r="X585" s="159"/>
      <c r="Y585" s="159"/>
      <c r="Z585" s="159"/>
    </row>
    <row r="586" ht="15.75" customHeight="1">
      <c r="A586" s="118"/>
      <c r="B586" s="118"/>
      <c r="C586" s="181"/>
      <c r="D586" s="159"/>
      <c r="E586" s="159"/>
      <c r="F586" s="159"/>
      <c r="G586" s="159"/>
      <c r="H586" s="83"/>
      <c r="I586" s="159"/>
      <c r="J586" s="159"/>
      <c r="K586" s="159"/>
      <c r="L586" s="159"/>
      <c r="M586" s="159"/>
      <c r="N586" s="159"/>
      <c r="O586" s="159"/>
      <c r="P586" s="159"/>
      <c r="Q586" s="159"/>
      <c r="R586" s="159"/>
      <c r="S586" s="159"/>
      <c r="T586" s="159"/>
      <c r="U586" s="159"/>
      <c r="V586" s="159"/>
      <c r="W586" s="159"/>
      <c r="X586" s="159"/>
      <c r="Y586" s="159"/>
      <c r="Z586" s="159"/>
    </row>
    <row r="587" ht="15.75" customHeight="1">
      <c r="A587" s="118"/>
      <c r="B587" s="118"/>
      <c r="C587" s="181"/>
      <c r="D587" s="159"/>
      <c r="E587" s="159"/>
      <c r="F587" s="159"/>
      <c r="G587" s="159"/>
      <c r="H587" s="83"/>
      <c r="I587" s="159"/>
      <c r="J587" s="159"/>
      <c r="K587" s="159"/>
      <c r="L587" s="159"/>
      <c r="M587" s="159"/>
      <c r="N587" s="159"/>
      <c r="O587" s="159"/>
      <c r="P587" s="159"/>
      <c r="Q587" s="159"/>
      <c r="R587" s="159"/>
      <c r="S587" s="159"/>
      <c r="T587" s="159"/>
      <c r="U587" s="159"/>
      <c r="V587" s="159"/>
      <c r="W587" s="159"/>
      <c r="X587" s="159"/>
      <c r="Y587" s="159"/>
      <c r="Z587" s="159"/>
    </row>
    <row r="588" ht="15.75" customHeight="1">
      <c r="A588" s="118"/>
      <c r="B588" s="118"/>
      <c r="C588" s="181"/>
      <c r="D588" s="159"/>
      <c r="E588" s="159"/>
      <c r="F588" s="159"/>
      <c r="G588" s="159"/>
      <c r="H588" s="83"/>
      <c r="I588" s="159"/>
      <c r="J588" s="159"/>
      <c r="K588" s="159"/>
      <c r="L588" s="159"/>
      <c r="M588" s="159"/>
      <c r="N588" s="159"/>
      <c r="O588" s="159"/>
      <c r="P588" s="159"/>
      <c r="Q588" s="159"/>
      <c r="R588" s="159"/>
      <c r="S588" s="159"/>
      <c r="T588" s="159"/>
      <c r="U588" s="159"/>
      <c r="V588" s="159"/>
      <c r="W588" s="159"/>
      <c r="X588" s="159"/>
      <c r="Y588" s="159"/>
      <c r="Z588" s="159"/>
    </row>
    <row r="589" ht="15.75" customHeight="1">
      <c r="A589" s="118"/>
      <c r="B589" s="118"/>
      <c r="C589" s="181"/>
      <c r="D589" s="159"/>
      <c r="E589" s="159"/>
      <c r="F589" s="159"/>
      <c r="G589" s="159"/>
      <c r="H589" s="83"/>
      <c r="I589" s="159"/>
      <c r="J589" s="159"/>
      <c r="K589" s="159"/>
      <c r="L589" s="159"/>
      <c r="M589" s="159"/>
      <c r="N589" s="159"/>
      <c r="O589" s="159"/>
      <c r="P589" s="159"/>
      <c r="Q589" s="159"/>
      <c r="R589" s="159"/>
      <c r="S589" s="159"/>
      <c r="T589" s="159"/>
      <c r="U589" s="159"/>
      <c r="V589" s="159"/>
      <c r="W589" s="159"/>
      <c r="X589" s="159"/>
      <c r="Y589" s="159"/>
      <c r="Z589" s="159"/>
    </row>
    <row r="590" ht="15.75" customHeight="1">
      <c r="A590" s="118"/>
      <c r="B590" s="118"/>
      <c r="C590" s="181"/>
      <c r="D590" s="159"/>
      <c r="E590" s="159"/>
      <c r="F590" s="159"/>
      <c r="G590" s="159"/>
      <c r="H590" s="83"/>
      <c r="I590" s="159"/>
      <c r="J590" s="159"/>
      <c r="K590" s="159"/>
      <c r="L590" s="159"/>
      <c r="M590" s="159"/>
      <c r="N590" s="159"/>
      <c r="O590" s="159"/>
      <c r="P590" s="159"/>
      <c r="Q590" s="159"/>
      <c r="R590" s="159"/>
      <c r="S590" s="159"/>
      <c r="T590" s="159"/>
      <c r="U590" s="159"/>
      <c r="V590" s="159"/>
      <c r="W590" s="159"/>
      <c r="X590" s="159"/>
      <c r="Y590" s="159"/>
      <c r="Z590" s="159"/>
    </row>
    <row r="591" ht="15.75" customHeight="1">
      <c r="A591" s="118"/>
      <c r="B591" s="118"/>
      <c r="C591" s="181"/>
      <c r="D591" s="159"/>
      <c r="E591" s="159"/>
      <c r="F591" s="159"/>
      <c r="G591" s="159"/>
      <c r="H591" s="83"/>
      <c r="I591" s="159"/>
      <c r="J591" s="159"/>
      <c r="K591" s="159"/>
      <c r="L591" s="159"/>
      <c r="M591" s="159"/>
      <c r="N591" s="159"/>
      <c r="O591" s="159"/>
      <c r="P591" s="159"/>
      <c r="Q591" s="159"/>
      <c r="R591" s="159"/>
      <c r="S591" s="159"/>
      <c r="T591" s="159"/>
      <c r="U591" s="159"/>
      <c r="V591" s="159"/>
      <c r="W591" s="159"/>
      <c r="X591" s="159"/>
      <c r="Y591" s="159"/>
      <c r="Z591" s="159"/>
    </row>
    <row r="592" ht="15.75" customHeight="1">
      <c r="A592" s="118"/>
      <c r="B592" s="118"/>
      <c r="C592" s="181"/>
      <c r="D592" s="159"/>
      <c r="E592" s="159"/>
      <c r="F592" s="159"/>
      <c r="G592" s="159"/>
      <c r="H592" s="83"/>
      <c r="I592" s="159"/>
      <c r="J592" s="159"/>
      <c r="K592" s="159"/>
      <c r="L592" s="159"/>
      <c r="M592" s="159"/>
      <c r="N592" s="159"/>
      <c r="O592" s="159"/>
      <c r="P592" s="159"/>
      <c r="Q592" s="159"/>
      <c r="R592" s="159"/>
      <c r="S592" s="159"/>
      <c r="T592" s="159"/>
      <c r="U592" s="159"/>
      <c r="V592" s="159"/>
      <c r="W592" s="159"/>
      <c r="X592" s="159"/>
      <c r="Y592" s="159"/>
      <c r="Z592" s="159"/>
    </row>
    <row r="593" ht="15.75" customHeight="1">
      <c r="A593" s="118"/>
      <c r="B593" s="118"/>
      <c r="C593" s="181"/>
      <c r="D593" s="159"/>
      <c r="E593" s="159"/>
      <c r="F593" s="159"/>
      <c r="G593" s="159"/>
      <c r="H593" s="83"/>
      <c r="I593" s="159"/>
      <c r="J593" s="159"/>
      <c r="K593" s="159"/>
      <c r="L593" s="159"/>
      <c r="M593" s="159"/>
      <c r="N593" s="159"/>
      <c r="O593" s="159"/>
      <c r="P593" s="159"/>
      <c r="Q593" s="159"/>
      <c r="R593" s="159"/>
      <c r="S593" s="159"/>
      <c r="T593" s="159"/>
      <c r="U593" s="159"/>
      <c r="V593" s="159"/>
      <c r="W593" s="159"/>
      <c r="X593" s="159"/>
      <c r="Y593" s="159"/>
      <c r="Z593" s="159"/>
    </row>
    <row r="594" ht="15.75" customHeight="1">
      <c r="A594" s="118"/>
      <c r="B594" s="118"/>
      <c r="C594" s="181"/>
      <c r="D594" s="159"/>
      <c r="E594" s="159"/>
      <c r="F594" s="159"/>
      <c r="G594" s="159"/>
      <c r="H594" s="83"/>
      <c r="I594" s="159"/>
      <c r="J594" s="159"/>
      <c r="K594" s="159"/>
      <c r="L594" s="159"/>
      <c r="M594" s="159"/>
      <c r="N594" s="159"/>
      <c r="O594" s="159"/>
      <c r="P594" s="159"/>
      <c r="Q594" s="159"/>
      <c r="R594" s="159"/>
      <c r="S594" s="159"/>
      <c r="T594" s="159"/>
      <c r="U594" s="159"/>
      <c r="V594" s="159"/>
      <c r="W594" s="159"/>
      <c r="X594" s="159"/>
      <c r="Y594" s="159"/>
      <c r="Z594" s="159"/>
    </row>
    <row r="595" ht="15.75" customHeight="1">
      <c r="A595" s="118"/>
      <c r="B595" s="118"/>
      <c r="C595" s="181"/>
      <c r="D595" s="159"/>
      <c r="E595" s="159"/>
      <c r="F595" s="159"/>
      <c r="G595" s="159"/>
      <c r="H595" s="83"/>
      <c r="I595" s="159"/>
      <c r="J595" s="159"/>
      <c r="K595" s="159"/>
      <c r="L595" s="159"/>
      <c r="M595" s="159"/>
      <c r="N595" s="159"/>
      <c r="O595" s="159"/>
      <c r="P595" s="159"/>
      <c r="Q595" s="159"/>
      <c r="R595" s="159"/>
      <c r="S595" s="159"/>
      <c r="T595" s="159"/>
      <c r="U595" s="159"/>
      <c r="V595" s="159"/>
      <c r="W595" s="159"/>
      <c r="X595" s="159"/>
      <c r="Y595" s="159"/>
      <c r="Z595" s="159"/>
    </row>
    <row r="596" ht="15.75" customHeight="1">
      <c r="A596" s="118"/>
      <c r="B596" s="118"/>
      <c r="C596" s="181"/>
      <c r="D596" s="159"/>
      <c r="E596" s="159"/>
      <c r="F596" s="159"/>
      <c r="G596" s="159"/>
      <c r="H596" s="83"/>
      <c r="I596" s="159"/>
      <c r="J596" s="159"/>
      <c r="K596" s="159"/>
      <c r="L596" s="159"/>
      <c r="M596" s="159"/>
      <c r="N596" s="159"/>
      <c r="O596" s="159"/>
      <c r="P596" s="159"/>
      <c r="Q596" s="159"/>
      <c r="R596" s="159"/>
      <c r="S596" s="159"/>
      <c r="T596" s="159"/>
      <c r="U596" s="159"/>
      <c r="V596" s="159"/>
      <c r="W596" s="159"/>
      <c r="X596" s="159"/>
      <c r="Y596" s="159"/>
      <c r="Z596" s="159"/>
    </row>
    <row r="597" ht="15.75" customHeight="1">
      <c r="A597" s="118"/>
      <c r="B597" s="118"/>
      <c r="C597" s="181"/>
      <c r="D597" s="159"/>
      <c r="E597" s="159"/>
      <c r="F597" s="159"/>
      <c r="G597" s="159"/>
      <c r="H597" s="83"/>
      <c r="I597" s="159"/>
      <c r="J597" s="159"/>
      <c r="K597" s="159"/>
      <c r="L597" s="159"/>
      <c r="M597" s="159"/>
      <c r="N597" s="159"/>
      <c r="O597" s="159"/>
      <c r="P597" s="159"/>
      <c r="Q597" s="159"/>
      <c r="R597" s="159"/>
      <c r="S597" s="159"/>
      <c r="T597" s="159"/>
      <c r="U597" s="159"/>
      <c r="V597" s="159"/>
      <c r="W597" s="159"/>
      <c r="X597" s="159"/>
      <c r="Y597" s="159"/>
      <c r="Z597" s="159"/>
    </row>
    <row r="598" ht="15.75" customHeight="1">
      <c r="A598" s="118"/>
      <c r="B598" s="118"/>
      <c r="C598" s="181"/>
      <c r="D598" s="159"/>
      <c r="E598" s="159"/>
      <c r="F598" s="159"/>
      <c r="G598" s="159"/>
      <c r="H598" s="83"/>
      <c r="I598" s="159"/>
      <c r="J598" s="159"/>
      <c r="K598" s="159"/>
      <c r="L598" s="159"/>
      <c r="M598" s="159"/>
      <c r="N598" s="159"/>
      <c r="O598" s="159"/>
      <c r="P598" s="159"/>
      <c r="Q598" s="159"/>
      <c r="R598" s="159"/>
      <c r="S598" s="159"/>
      <c r="T598" s="159"/>
      <c r="U598" s="159"/>
      <c r="V598" s="159"/>
      <c r="W598" s="159"/>
      <c r="X598" s="159"/>
      <c r="Y598" s="159"/>
      <c r="Z598" s="159"/>
    </row>
    <row r="599" ht="15.75" customHeight="1">
      <c r="A599" s="118"/>
      <c r="B599" s="118"/>
      <c r="C599" s="181"/>
      <c r="D599" s="159"/>
      <c r="E599" s="159"/>
      <c r="F599" s="159"/>
      <c r="G599" s="159"/>
      <c r="H599" s="83"/>
      <c r="I599" s="159"/>
      <c r="J599" s="159"/>
      <c r="K599" s="159"/>
      <c r="L599" s="159"/>
      <c r="M599" s="159"/>
      <c r="N599" s="159"/>
      <c r="O599" s="159"/>
      <c r="P599" s="159"/>
      <c r="Q599" s="159"/>
      <c r="R599" s="159"/>
      <c r="S599" s="159"/>
      <c r="T599" s="159"/>
      <c r="U599" s="159"/>
      <c r="V599" s="159"/>
      <c r="W599" s="159"/>
      <c r="X599" s="159"/>
      <c r="Y599" s="159"/>
      <c r="Z599" s="159"/>
    </row>
    <row r="600" ht="15.75" customHeight="1">
      <c r="A600" s="118"/>
      <c r="B600" s="118"/>
      <c r="C600" s="181"/>
      <c r="D600" s="159"/>
      <c r="E600" s="159"/>
      <c r="F600" s="159"/>
      <c r="G600" s="159"/>
      <c r="H600" s="83"/>
      <c r="I600" s="159"/>
      <c r="J600" s="159"/>
      <c r="K600" s="159"/>
      <c r="L600" s="159"/>
      <c r="M600" s="159"/>
      <c r="N600" s="159"/>
      <c r="O600" s="159"/>
      <c r="P600" s="159"/>
      <c r="Q600" s="159"/>
      <c r="R600" s="159"/>
      <c r="S600" s="159"/>
      <c r="T600" s="159"/>
      <c r="U600" s="159"/>
      <c r="V600" s="159"/>
      <c r="W600" s="159"/>
      <c r="X600" s="159"/>
      <c r="Y600" s="159"/>
      <c r="Z600" s="159"/>
    </row>
    <row r="601" ht="15.75" customHeight="1">
      <c r="A601" s="118"/>
      <c r="B601" s="118"/>
      <c r="C601" s="181"/>
      <c r="D601" s="159"/>
      <c r="E601" s="159"/>
      <c r="F601" s="159"/>
      <c r="G601" s="159"/>
      <c r="H601" s="83"/>
      <c r="I601" s="159"/>
      <c r="J601" s="159"/>
      <c r="K601" s="159"/>
      <c r="L601" s="159"/>
      <c r="M601" s="159"/>
      <c r="N601" s="159"/>
      <c r="O601" s="159"/>
      <c r="P601" s="159"/>
      <c r="Q601" s="159"/>
      <c r="R601" s="159"/>
      <c r="S601" s="159"/>
      <c r="T601" s="159"/>
      <c r="U601" s="159"/>
      <c r="V601" s="159"/>
      <c r="W601" s="159"/>
      <c r="X601" s="159"/>
      <c r="Y601" s="159"/>
      <c r="Z601" s="159"/>
    </row>
    <row r="602" ht="15.75" customHeight="1">
      <c r="A602" s="118"/>
      <c r="B602" s="118"/>
      <c r="C602" s="181"/>
      <c r="D602" s="159"/>
      <c r="E602" s="159"/>
      <c r="F602" s="159"/>
      <c r="G602" s="159"/>
      <c r="H602" s="83"/>
      <c r="I602" s="159"/>
      <c r="J602" s="159"/>
      <c r="K602" s="159"/>
      <c r="L602" s="159"/>
      <c r="M602" s="159"/>
      <c r="N602" s="159"/>
      <c r="O602" s="159"/>
      <c r="P602" s="159"/>
      <c r="Q602" s="159"/>
      <c r="R602" s="159"/>
      <c r="S602" s="159"/>
      <c r="T602" s="159"/>
      <c r="U602" s="159"/>
      <c r="V602" s="159"/>
      <c r="W602" s="159"/>
      <c r="X602" s="159"/>
      <c r="Y602" s="159"/>
      <c r="Z602" s="159"/>
    </row>
    <row r="603" ht="15.75" customHeight="1">
      <c r="A603" s="118"/>
      <c r="B603" s="118"/>
      <c r="C603" s="181"/>
      <c r="D603" s="159"/>
      <c r="E603" s="159"/>
      <c r="F603" s="159"/>
      <c r="G603" s="159"/>
      <c r="H603" s="83"/>
      <c r="I603" s="159"/>
      <c r="J603" s="159"/>
      <c r="K603" s="159"/>
      <c r="L603" s="159"/>
      <c r="M603" s="159"/>
      <c r="N603" s="159"/>
      <c r="O603" s="159"/>
      <c r="P603" s="159"/>
      <c r="Q603" s="159"/>
      <c r="R603" s="159"/>
      <c r="S603" s="159"/>
      <c r="T603" s="159"/>
      <c r="U603" s="159"/>
      <c r="V603" s="159"/>
      <c r="W603" s="159"/>
      <c r="X603" s="159"/>
      <c r="Y603" s="159"/>
      <c r="Z603" s="159"/>
    </row>
    <row r="604" ht="15.75" customHeight="1">
      <c r="A604" s="118"/>
      <c r="B604" s="118"/>
      <c r="C604" s="181"/>
      <c r="D604" s="159"/>
      <c r="E604" s="159"/>
      <c r="F604" s="159"/>
      <c r="G604" s="159"/>
      <c r="H604" s="83"/>
      <c r="I604" s="159"/>
      <c r="J604" s="159"/>
      <c r="K604" s="159"/>
      <c r="L604" s="159"/>
      <c r="M604" s="159"/>
      <c r="N604" s="159"/>
      <c r="O604" s="159"/>
      <c r="P604" s="159"/>
      <c r="Q604" s="159"/>
      <c r="R604" s="159"/>
      <c r="S604" s="159"/>
      <c r="T604" s="159"/>
      <c r="U604" s="159"/>
      <c r="V604" s="159"/>
      <c r="W604" s="159"/>
      <c r="X604" s="159"/>
      <c r="Y604" s="159"/>
      <c r="Z604" s="159"/>
    </row>
    <row r="605" ht="15.75" customHeight="1">
      <c r="A605" s="118"/>
      <c r="B605" s="118"/>
      <c r="C605" s="181"/>
      <c r="D605" s="159"/>
      <c r="E605" s="159"/>
      <c r="F605" s="159"/>
      <c r="G605" s="159"/>
      <c r="H605" s="83"/>
      <c r="I605" s="159"/>
      <c r="J605" s="159"/>
      <c r="K605" s="159"/>
      <c r="L605" s="159"/>
      <c r="M605" s="159"/>
      <c r="N605" s="159"/>
      <c r="O605" s="159"/>
      <c r="P605" s="159"/>
      <c r="Q605" s="159"/>
      <c r="R605" s="159"/>
      <c r="S605" s="159"/>
      <c r="T605" s="159"/>
      <c r="U605" s="159"/>
      <c r="V605" s="159"/>
      <c r="W605" s="159"/>
      <c r="X605" s="159"/>
      <c r="Y605" s="159"/>
      <c r="Z605" s="159"/>
    </row>
    <row r="606" ht="15.75" customHeight="1">
      <c r="A606" s="118"/>
      <c r="B606" s="118"/>
      <c r="C606" s="181"/>
      <c r="D606" s="159"/>
      <c r="E606" s="159"/>
      <c r="F606" s="159"/>
      <c r="G606" s="159"/>
      <c r="H606" s="83"/>
      <c r="I606" s="159"/>
      <c r="J606" s="159"/>
      <c r="K606" s="159"/>
      <c r="L606" s="159"/>
      <c r="M606" s="159"/>
      <c r="N606" s="159"/>
      <c r="O606" s="159"/>
      <c r="P606" s="159"/>
      <c r="Q606" s="159"/>
      <c r="R606" s="159"/>
      <c r="S606" s="159"/>
      <c r="T606" s="159"/>
      <c r="U606" s="159"/>
      <c r="V606" s="159"/>
      <c r="W606" s="159"/>
      <c r="X606" s="159"/>
      <c r="Y606" s="159"/>
      <c r="Z606" s="159"/>
    </row>
    <row r="607" ht="15.75" customHeight="1">
      <c r="A607" s="118"/>
      <c r="B607" s="118"/>
      <c r="C607" s="181"/>
      <c r="D607" s="159"/>
      <c r="E607" s="159"/>
      <c r="F607" s="159"/>
      <c r="G607" s="159"/>
      <c r="H607" s="83"/>
      <c r="I607" s="159"/>
      <c r="J607" s="159"/>
      <c r="K607" s="159"/>
      <c r="L607" s="159"/>
      <c r="M607" s="159"/>
      <c r="N607" s="159"/>
      <c r="O607" s="159"/>
      <c r="P607" s="159"/>
      <c r="Q607" s="159"/>
      <c r="R607" s="159"/>
      <c r="S607" s="159"/>
      <c r="T607" s="159"/>
      <c r="U607" s="159"/>
      <c r="V607" s="159"/>
      <c r="W607" s="159"/>
      <c r="X607" s="159"/>
      <c r="Y607" s="159"/>
      <c r="Z607" s="159"/>
    </row>
    <row r="608" ht="15.75" customHeight="1">
      <c r="A608" s="118"/>
      <c r="B608" s="118"/>
      <c r="C608" s="181"/>
      <c r="D608" s="159"/>
      <c r="E608" s="159"/>
      <c r="F608" s="159"/>
      <c r="G608" s="159"/>
      <c r="H608" s="83"/>
      <c r="I608" s="159"/>
      <c r="J608" s="159"/>
      <c r="K608" s="159"/>
      <c r="L608" s="159"/>
      <c r="M608" s="159"/>
      <c r="N608" s="159"/>
      <c r="O608" s="159"/>
      <c r="P608" s="159"/>
      <c r="Q608" s="159"/>
      <c r="R608" s="159"/>
      <c r="S608" s="159"/>
      <c r="T608" s="159"/>
      <c r="U608" s="159"/>
      <c r="V608" s="159"/>
      <c r="W608" s="159"/>
      <c r="X608" s="159"/>
      <c r="Y608" s="159"/>
      <c r="Z608" s="159"/>
    </row>
    <row r="609" ht="15.75" customHeight="1">
      <c r="A609" s="118"/>
      <c r="B609" s="118"/>
      <c r="C609" s="181"/>
      <c r="D609" s="159"/>
      <c r="E609" s="159"/>
      <c r="F609" s="159"/>
      <c r="G609" s="159"/>
      <c r="H609" s="83"/>
      <c r="I609" s="159"/>
      <c r="J609" s="159"/>
      <c r="K609" s="159"/>
      <c r="L609" s="159"/>
      <c r="M609" s="159"/>
      <c r="N609" s="159"/>
      <c r="O609" s="159"/>
      <c r="P609" s="159"/>
      <c r="Q609" s="159"/>
      <c r="R609" s="159"/>
      <c r="S609" s="159"/>
      <c r="T609" s="159"/>
      <c r="U609" s="159"/>
      <c r="V609" s="159"/>
      <c r="W609" s="159"/>
      <c r="X609" s="159"/>
      <c r="Y609" s="159"/>
      <c r="Z609" s="159"/>
    </row>
    <row r="610" ht="15.75" customHeight="1">
      <c r="A610" s="118"/>
      <c r="B610" s="118"/>
      <c r="C610" s="181"/>
      <c r="D610" s="159"/>
      <c r="E610" s="159"/>
      <c r="F610" s="159"/>
      <c r="G610" s="159"/>
      <c r="H610" s="83"/>
      <c r="I610" s="159"/>
      <c r="J610" s="159"/>
      <c r="K610" s="159"/>
      <c r="L610" s="159"/>
      <c r="M610" s="159"/>
      <c r="N610" s="159"/>
      <c r="O610" s="159"/>
      <c r="P610" s="159"/>
      <c r="Q610" s="159"/>
      <c r="R610" s="159"/>
      <c r="S610" s="159"/>
      <c r="T610" s="159"/>
      <c r="U610" s="159"/>
      <c r="V610" s="159"/>
      <c r="W610" s="159"/>
      <c r="X610" s="159"/>
      <c r="Y610" s="159"/>
      <c r="Z610" s="159"/>
    </row>
    <row r="611" ht="15.75" customHeight="1">
      <c r="A611" s="118"/>
      <c r="B611" s="118"/>
      <c r="C611" s="181"/>
      <c r="D611" s="159"/>
      <c r="E611" s="159"/>
      <c r="F611" s="159"/>
      <c r="G611" s="159"/>
      <c r="H611" s="83"/>
      <c r="I611" s="159"/>
      <c r="J611" s="159"/>
      <c r="K611" s="159"/>
      <c r="L611" s="159"/>
      <c r="M611" s="159"/>
      <c r="N611" s="159"/>
      <c r="O611" s="159"/>
      <c r="P611" s="159"/>
      <c r="Q611" s="159"/>
      <c r="R611" s="159"/>
      <c r="S611" s="159"/>
      <c r="T611" s="159"/>
      <c r="U611" s="159"/>
      <c r="V611" s="159"/>
      <c r="W611" s="159"/>
      <c r="X611" s="159"/>
      <c r="Y611" s="159"/>
      <c r="Z611" s="159"/>
    </row>
    <row r="612" ht="15.75" customHeight="1">
      <c r="A612" s="118"/>
      <c r="B612" s="118"/>
      <c r="C612" s="181"/>
      <c r="D612" s="159"/>
      <c r="E612" s="159"/>
      <c r="F612" s="159"/>
      <c r="G612" s="159"/>
      <c r="H612" s="83"/>
      <c r="I612" s="159"/>
      <c r="J612" s="159"/>
      <c r="K612" s="159"/>
      <c r="L612" s="159"/>
      <c r="M612" s="159"/>
      <c r="N612" s="159"/>
      <c r="O612" s="159"/>
      <c r="P612" s="159"/>
      <c r="Q612" s="159"/>
      <c r="R612" s="159"/>
      <c r="S612" s="159"/>
      <c r="T612" s="159"/>
      <c r="U612" s="159"/>
      <c r="V612" s="159"/>
      <c r="W612" s="159"/>
      <c r="X612" s="159"/>
      <c r="Y612" s="159"/>
      <c r="Z612" s="159"/>
    </row>
    <row r="613" ht="15.75" customHeight="1">
      <c r="A613" s="118"/>
      <c r="B613" s="118"/>
      <c r="C613" s="181"/>
      <c r="D613" s="159"/>
      <c r="E613" s="159"/>
      <c r="F613" s="159"/>
      <c r="G613" s="159"/>
      <c r="H613" s="83"/>
      <c r="I613" s="159"/>
      <c r="J613" s="159"/>
      <c r="K613" s="159"/>
      <c r="L613" s="159"/>
      <c r="M613" s="159"/>
      <c r="N613" s="159"/>
      <c r="O613" s="159"/>
      <c r="P613" s="159"/>
      <c r="Q613" s="159"/>
      <c r="R613" s="159"/>
      <c r="S613" s="159"/>
      <c r="T613" s="159"/>
      <c r="U613" s="159"/>
      <c r="V613" s="159"/>
      <c r="W613" s="159"/>
      <c r="X613" s="159"/>
      <c r="Y613" s="159"/>
      <c r="Z613" s="159"/>
    </row>
    <row r="614" ht="15.75" customHeight="1">
      <c r="A614" s="118"/>
      <c r="B614" s="118"/>
      <c r="C614" s="181"/>
      <c r="D614" s="159"/>
      <c r="E614" s="159"/>
      <c r="F614" s="159"/>
      <c r="G614" s="159"/>
      <c r="H614" s="83"/>
      <c r="I614" s="159"/>
      <c r="J614" s="159"/>
      <c r="K614" s="159"/>
      <c r="L614" s="159"/>
      <c r="M614" s="159"/>
      <c r="N614" s="159"/>
      <c r="O614" s="159"/>
      <c r="P614" s="159"/>
      <c r="Q614" s="159"/>
      <c r="R614" s="159"/>
      <c r="S614" s="159"/>
      <c r="T614" s="159"/>
      <c r="U614" s="159"/>
      <c r="V614" s="159"/>
      <c r="W614" s="159"/>
      <c r="X614" s="159"/>
      <c r="Y614" s="159"/>
      <c r="Z614" s="159"/>
    </row>
    <row r="615" ht="15.75" customHeight="1">
      <c r="A615" s="118"/>
      <c r="B615" s="118"/>
      <c r="C615" s="181"/>
      <c r="D615" s="159"/>
      <c r="E615" s="159"/>
      <c r="F615" s="159"/>
      <c r="G615" s="159"/>
      <c r="H615" s="83"/>
      <c r="I615" s="159"/>
      <c r="J615" s="159"/>
      <c r="K615" s="159"/>
      <c r="L615" s="159"/>
      <c r="M615" s="159"/>
      <c r="N615" s="159"/>
      <c r="O615" s="159"/>
      <c r="P615" s="159"/>
      <c r="Q615" s="159"/>
      <c r="R615" s="159"/>
      <c r="S615" s="159"/>
      <c r="T615" s="159"/>
      <c r="U615" s="159"/>
      <c r="V615" s="159"/>
      <c r="W615" s="159"/>
      <c r="X615" s="159"/>
      <c r="Y615" s="159"/>
      <c r="Z615" s="159"/>
    </row>
    <row r="616" ht="15.75" customHeight="1">
      <c r="A616" s="118"/>
      <c r="B616" s="118"/>
      <c r="C616" s="181"/>
      <c r="D616" s="159"/>
      <c r="E616" s="159"/>
      <c r="F616" s="159"/>
      <c r="G616" s="159"/>
      <c r="H616" s="83"/>
      <c r="I616" s="159"/>
      <c r="J616" s="159"/>
      <c r="K616" s="159"/>
      <c r="L616" s="159"/>
      <c r="M616" s="159"/>
      <c r="N616" s="159"/>
      <c r="O616" s="159"/>
      <c r="P616" s="159"/>
      <c r="Q616" s="159"/>
      <c r="R616" s="159"/>
      <c r="S616" s="159"/>
      <c r="T616" s="159"/>
      <c r="U616" s="159"/>
      <c r="V616" s="159"/>
      <c r="W616" s="159"/>
      <c r="X616" s="159"/>
      <c r="Y616" s="159"/>
      <c r="Z616" s="159"/>
    </row>
    <row r="617" ht="15.75" customHeight="1">
      <c r="A617" s="118"/>
      <c r="B617" s="118"/>
      <c r="C617" s="181"/>
      <c r="D617" s="159"/>
      <c r="E617" s="159"/>
      <c r="F617" s="159"/>
      <c r="G617" s="159"/>
      <c r="H617" s="83"/>
      <c r="I617" s="159"/>
      <c r="J617" s="159"/>
      <c r="K617" s="159"/>
      <c r="L617" s="159"/>
      <c r="M617" s="159"/>
      <c r="N617" s="159"/>
      <c r="O617" s="159"/>
      <c r="P617" s="159"/>
      <c r="Q617" s="159"/>
      <c r="R617" s="159"/>
      <c r="S617" s="159"/>
      <c r="T617" s="159"/>
      <c r="U617" s="159"/>
      <c r="V617" s="159"/>
      <c r="W617" s="159"/>
      <c r="X617" s="159"/>
      <c r="Y617" s="159"/>
      <c r="Z617" s="159"/>
    </row>
    <row r="618" ht="15.75" customHeight="1">
      <c r="A618" s="118"/>
      <c r="B618" s="118"/>
      <c r="C618" s="181"/>
      <c r="D618" s="159"/>
      <c r="E618" s="159"/>
      <c r="F618" s="159"/>
      <c r="G618" s="159"/>
      <c r="H618" s="83"/>
      <c r="I618" s="159"/>
      <c r="J618" s="159"/>
      <c r="K618" s="159"/>
      <c r="L618" s="159"/>
      <c r="M618" s="159"/>
      <c r="N618" s="159"/>
      <c r="O618" s="159"/>
      <c r="P618" s="159"/>
      <c r="Q618" s="159"/>
      <c r="R618" s="159"/>
      <c r="S618" s="159"/>
      <c r="T618" s="159"/>
      <c r="U618" s="159"/>
      <c r="V618" s="159"/>
      <c r="W618" s="159"/>
      <c r="X618" s="159"/>
      <c r="Y618" s="159"/>
      <c r="Z618" s="159"/>
    </row>
    <row r="619" ht="15.75" customHeight="1">
      <c r="A619" s="118"/>
      <c r="B619" s="118"/>
      <c r="C619" s="181"/>
      <c r="D619" s="159"/>
      <c r="E619" s="159"/>
      <c r="F619" s="159"/>
      <c r="G619" s="159"/>
      <c r="H619" s="83"/>
      <c r="I619" s="159"/>
      <c r="J619" s="159"/>
      <c r="K619" s="159"/>
      <c r="L619" s="159"/>
      <c r="M619" s="159"/>
      <c r="N619" s="159"/>
      <c r="O619" s="159"/>
      <c r="P619" s="159"/>
      <c r="Q619" s="159"/>
      <c r="R619" s="159"/>
      <c r="S619" s="159"/>
      <c r="T619" s="159"/>
      <c r="U619" s="159"/>
      <c r="V619" s="159"/>
      <c r="W619" s="159"/>
      <c r="X619" s="159"/>
      <c r="Y619" s="159"/>
      <c r="Z619" s="159"/>
    </row>
    <row r="620" ht="15.75" customHeight="1">
      <c r="A620" s="118"/>
      <c r="B620" s="118"/>
      <c r="C620" s="181"/>
      <c r="D620" s="159"/>
      <c r="E620" s="159"/>
      <c r="F620" s="159"/>
      <c r="G620" s="159"/>
      <c r="H620" s="83"/>
      <c r="I620" s="159"/>
      <c r="J620" s="159"/>
      <c r="K620" s="159"/>
      <c r="L620" s="159"/>
      <c r="M620" s="159"/>
      <c r="N620" s="159"/>
      <c r="O620" s="159"/>
      <c r="P620" s="159"/>
      <c r="Q620" s="159"/>
      <c r="R620" s="159"/>
      <c r="S620" s="159"/>
      <c r="T620" s="159"/>
      <c r="U620" s="159"/>
      <c r="V620" s="159"/>
      <c r="W620" s="159"/>
      <c r="X620" s="159"/>
      <c r="Y620" s="159"/>
      <c r="Z620" s="159"/>
    </row>
    <row r="621" ht="15.75" customHeight="1">
      <c r="A621" s="118"/>
      <c r="B621" s="118"/>
      <c r="C621" s="181"/>
      <c r="D621" s="159"/>
      <c r="E621" s="159"/>
      <c r="F621" s="159"/>
      <c r="G621" s="159"/>
      <c r="H621" s="83"/>
      <c r="I621" s="159"/>
      <c r="J621" s="159"/>
      <c r="K621" s="159"/>
      <c r="L621" s="159"/>
      <c r="M621" s="159"/>
      <c r="N621" s="159"/>
      <c r="O621" s="159"/>
      <c r="P621" s="159"/>
      <c r="Q621" s="159"/>
      <c r="R621" s="159"/>
      <c r="S621" s="159"/>
      <c r="T621" s="159"/>
      <c r="U621" s="159"/>
      <c r="V621" s="159"/>
      <c r="W621" s="159"/>
      <c r="X621" s="159"/>
      <c r="Y621" s="159"/>
      <c r="Z621" s="159"/>
    </row>
    <row r="622" ht="15.75" customHeight="1">
      <c r="A622" s="118"/>
      <c r="B622" s="118"/>
      <c r="C622" s="181"/>
      <c r="D622" s="159"/>
      <c r="E622" s="159"/>
      <c r="F622" s="159"/>
      <c r="G622" s="159"/>
      <c r="H622" s="83"/>
      <c r="I622" s="159"/>
      <c r="J622" s="159"/>
      <c r="K622" s="159"/>
      <c r="L622" s="159"/>
      <c r="M622" s="159"/>
      <c r="N622" s="159"/>
      <c r="O622" s="159"/>
      <c r="P622" s="159"/>
      <c r="Q622" s="159"/>
      <c r="R622" s="159"/>
      <c r="S622" s="159"/>
      <c r="T622" s="159"/>
      <c r="U622" s="159"/>
      <c r="V622" s="159"/>
      <c r="W622" s="159"/>
      <c r="X622" s="159"/>
      <c r="Y622" s="159"/>
      <c r="Z622" s="159"/>
    </row>
    <row r="623" ht="15.75" customHeight="1">
      <c r="A623" s="118"/>
      <c r="B623" s="118"/>
      <c r="C623" s="181"/>
      <c r="D623" s="159"/>
      <c r="E623" s="159"/>
      <c r="F623" s="159"/>
      <c r="G623" s="159"/>
      <c r="H623" s="83"/>
      <c r="I623" s="159"/>
      <c r="J623" s="159"/>
      <c r="K623" s="159"/>
      <c r="L623" s="159"/>
      <c r="M623" s="159"/>
      <c r="N623" s="159"/>
      <c r="O623" s="159"/>
      <c r="P623" s="159"/>
      <c r="Q623" s="159"/>
      <c r="R623" s="159"/>
      <c r="S623" s="159"/>
      <c r="T623" s="159"/>
      <c r="U623" s="159"/>
      <c r="V623" s="159"/>
      <c r="W623" s="159"/>
      <c r="X623" s="159"/>
      <c r="Y623" s="159"/>
      <c r="Z623" s="159"/>
    </row>
    <row r="624" ht="15.75" customHeight="1">
      <c r="A624" s="118"/>
      <c r="B624" s="118"/>
      <c r="C624" s="181"/>
      <c r="D624" s="159"/>
      <c r="E624" s="159"/>
      <c r="F624" s="159"/>
      <c r="G624" s="159"/>
      <c r="H624" s="83"/>
      <c r="I624" s="159"/>
      <c r="J624" s="159"/>
      <c r="K624" s="159"/>
      <c r="L624" s="159"/>
      <c r="M624" s="159"/>
      <c r="N624" s="159"/>
      <c r="O624" s="159"/>
      <c r="P624" s="159"/>
      <c r="Q624" s="159"/>
      <c r="R624" s="159"/>
      <c r="S624" s="159"/>
      <c r="T624" s="159"/>
      <c r="U624" s="159"/>
      <c r="V624" s="159"/>
      <c r="W624" s="159"/>
      <c r="X624" s="159"/>
      <c r="Y624" s="159"/>
      <c r="Z624" s="159"/>
    </row>
    <row r="625" ht="15.75" customHeight="1">
      <c r="A625" s="118"/>
      <c r="B625" s="118"/>
      <c r="C625" s="181"/>
      <c r="D625" s="159"/>
      <c r="E625" s="159"/>
      <c r="F625" s="159"/>
      <c r="G625" s="159"/>
      <c r="H625" s="83"/>
      <c r="I625" s="159"/>
      <c r="J625" s="159"/>
      <c r="K625" s="159"/>
      <c r="L625" s="159"/>
      <c r="M625" s="159"/>
      <c r="N625" s="159"/>
      <c r="O625" s="159"/>
      <c r="P625" s="159"/>
      <c r="Q625" s="159"/>
      <c r="R625" s="159"/>
      <c r="S625" s="159"/>
      <c r="T625" s="159"/>
      <c r="U625" s="159"/>
      <c r="V625" s="159"/>
      <c r="W625" s="159"/>
      <c r="X625" s="159"/>
      <c r="Y625" s="159"/>
      <c r="Z625" s="159"/>
    </row>
    <row r="626" ht="15.75" customHeight="1">
      <c r="A626" s="118"/>
      <c r="B626" s="118"/>
      <c r="C626" s="181"/>
      <c r="D626" s="159"/>
      <c r="E626" s="159"/>
      <c r="F626" s="159"/>
      <c r="G626" s="159"/>
      <c r="H626" s="83"/>
      <c r="I626" s="159"/>
      <c r="J626" s="159"/>
      <c r="K626" s="159"/>
      <c r="L626" s="159"/>
      <c r="M626" s="159"/>
      <c r="N626" s="159"/>
      <c r="O626" s="159"/>
      <c r="P626" s="159"/>
      <c r="Q626" s="159"/>
      <c r="R626" s="159"/>
      <c r="S626" s="159"/>
      <c r="T626" s="159"/>
      <c r="U626" s="159"/>
      <c r="V626" s="159"/>
      <c r="W626" s="159"/>
      <c r="X626" s="159"/>
      <c r="Y626" s="159"/>
      <c r="Z626" s="159"/>
    </row>
    <row r="627" ht="15.75" customHeight="1">
      <c r="A627" s="118"/>
      <c r="B627" s="118"/>
      <c r="C627" s="181"/>
      <c r="D627" s="159"/>
      <c r="E627" s="159"/>
      <c r="F627" s="159"/>
      <c r="G627" s="159"/>
      <c r="H627" s="83"/>
      <c r="I627" s="159"/>
      <c r="J627" s="159"/>
      <c r="K627" s="159"/>
      <c r="L627" s="159"/>
      <c r="M627" s="159"/>
      <c r="N627" s="159"/>
      <c r="O627" s="159"/>
      <c r="P627" s="159"/>
      <c r="Q627" s="159"/>
      <c r="R627" s="159"/>
      <c r="S627" s="159"/>
      <c r="T627" s="159"/>
      <c r="U627" s="159"/>
      <c r="V627" s="159"/>
      <c r="W627" s="159"/>
      <c r="X627" s="159"/>
      <c r="Y627" s="159"/>
      <c r="Z627" s="159"/>
    </row>
    <row r="628" ht="15.75" customHeight="1">
      <c r="A628" s="118"/>
      <c r="B628" s="118"/>
      <c r="C628" s="181"/>
      <c r="D628" s="159"/>
      <c r="E628" s="159"/>
      <c r="F628" s="159"/>
      <c r="G628" s="159"/>
      <c r="H628" s="83"/>
      <c r="I628" s="159"/>
      <c r="J628" s="159"/>
      <c r="K628" s="159"/>
      <c r="L628" s="159"/>
      <c r="M628" s="159"/>
      <c r="N628" s="159"/>
      <c r="O628" s="159"/>
      <c r="P628" s="159"/>
      <c r="Q628" s="159"/>
      <c r="R628" s="159"/>
      <c r="S628" s="159"/>
      <c r="T628" s="159"/>
      <c r="U628" s="159"/>
      <c r="V628" s="159"/>
      <c r="W628" s="159"/>
      <c r="X628" s="159"/>
      <c r="Y628" s="159"/>
      <c r="Z628" s="159"/>
    </row>
    <row r="629" ht="15.75" customHeight="1">
      <c r="A629" s="118"/>
      <c r="B629" s="118"/>
      <c r="C629" s="181"/>
      <c r="D629" s="159"/>
      <c r="E629" s="159"/>
      <c r="F629" s="159"/>
      <c r="G629" s="159"/>
      <c r="H629" s="83"/>
      <c r="I629" s="159"/>
      <c r="J629" s="159"/>
      <c r="K629" s="159"/>
      <c r="L629" s="159"/>
      <c r="M629" s="159"/>
      <c r="N629" s="159"/>
      <c r="O629" s="159"/>
      <c r="P629" s="159"/>
      <c r="Q629" s="159"/>
      <c r="R629" s="159"/>
      <c r="S629" s="159"/>
      <c r="T629" s="159"/>
      <c r="U629" s="159"/>
      <c r="V629" s="159"/>
      <c r="W629" s="159"/>
      <c r="X629" s="159"/>
      <c r="Y629" s="159"/>
      <c r="Z629" s="159"/>
    </row>
    <row r="630" ht="15.75" customHeight="1">
      <c r="A630" s="118"/>
      <c r="B630" s="118"/>
      <c r="C630" s="181"/>
      <c r="D630" s="159"/>
      <c r="E630" s="159"/>
      <c r="F630" s="159"/>
      <c r="G630" s="159"/>
      <c r="H630" s="83"/>
      <c r="I630" s="159"/>
      <c r="J630" s="159"/>
      <c r="K630" s="159"/>
      <c r="L630" s="159"/>
      <c r="M630" s="159"/>
      <c r="N630" s="159"/>
      <c r="O630" s="159"/>
      <c r="P630" s="159"/>
      <c r="Q630" s="159"/>
      <c r="R630" s="159"/>
      <c r="S630" s="159"/>
      <c r="T630" s="159"/>
      <c r="U630" s="159"/>
      <c r="V630" s="159"/>
      <c r="W630" s="159"/>
      <c r="X630" s="159"/>
      <c r="Y630" s="159"/>
      <c r="Z630" s="159"/>
    </row>
    <row r="631" ht="15.75" customHeight="1">
      <c r="A631" s="118"/>
      <c r="B631" s="118"/>
      <c r="C631" s="181"/>
      <c r="D631" s="159"/>
      <c r="E631" s="159"/>
      <c r="F631" s="159"/>
      <c r="G631" s="159"/>
      <c r="H631" s="83"/>
      <c r="I631" s="159"/>
      <c r="J631" s="159"/>
      <c r="K631" s="159"/>
      <c r="L631" s="159"/>
      <c r="M631" s="159"/>
      <c r="N631" s="159"/>
      <c r="O631" s="159"/>
      <c r="P631" s="159"/>
      <c r="Q631" s="159"/>
      <c r="R631" s="159"/>
      <c r="S631" s="159"/>
      <c r="T631" s="159"/>
      <c r="U631" s="159"/>
      <c r="V631" s="159"/>
      <c r="W631" s="159"/>
      <c r="X631" s="159"/>
      <c r="Y631" s="159"/>
      <c r="Z631" s="159"/>
    </row>
    <row r="632" ht="15.75" customHeight="1">
      <c r="A632" s="118"/>
      <c r="B632" s="118"/>
      <c r="C632" s="181"/>
      <c r="D632" s="159"/>
      <c r="E632" s="159"/>
      <c r="F632" s="159"/>
      <c r="G632" s="159"/>
      <c r="H632" s="83"/>
      <c r="I632" s="159"/>
      <c r="J632" s="159"/>
      <c r="K632" s="159"/>
      <c r="L632" s="159"/>
      <c r="M632" s="159"/>
      <c r="N632" s="159"/>
      <c r="O632" s="159"/>
      <c r="P632" s="159"/>
      <c r="Q632" s="159"/>
      <c r="R632" s="159"/>
      <c r="S632" s="159"/>
      <c r="T632" s="159"/>
      <c r="U632" s="159"/>
      <c r="V632" s="159"/>
      <c r="W632" s="159"/>
      <c r="X632" s="159"/>
      <c r="Y632" s="159"/>
      <c r="Z632" s="159"/>
    </row>
    <row r="633" ht="15.75" customHeight="1">
      <c r="A633" s="118"/>
      <c r="B633" s="118"/>
      <c r="C633" s="181"/>
      <c r="D633" s="159"/>
      <c r="E633" s="159"/>
      <c r="F633" s="159"/>
      <c r="G633" s="159"/>
      <c r="H633" s="83"/>
      <c r="I633" s="159"/>
      <c r="J633" s="159"/>
      <c r="K633" s="159"/>
      <c r="L633" s="159"/>
      <c r="M633" s="159"/>
      <c r="N633" s="159"/>
      <c r="O633" s="159"/>
      <c r="P633" s="159"/>
      <c r="Q633" s="159"/>
      <c r="R633" s="159"/>
      <c r="S633" s="159"/>
      <c r="T633" s="159"/>
      <c r="U633" s="159"/>
      <c r="V633" s="159"/>
      <c r="W633" s="159"/>
      <c r="X633" s="159"/>
      <c r="Y633" s="159"/>
      <c r="Z633" s="159"/>
    </row>
    <row r="634" ht="15.75" customHeight="1">
      <c r="A634" s="118"/>
      <c r="B634" s="118"/>
      <c r="C634" s="181"/>
      <c r="D634" s="159"/>
      <c r="E634" s="159"/>
      <c r="F634" s="159"/>
      <c r="G634" s="159"/>
      <c r="H634" s="83"/>
      <c r="I634" s="159"/>
      <c r="J634" s="159"/>
      <c r="K634" s="159"/>
      <c r="L634" s="159"/>
      <c r="M634" s="159"/>
      <c r="N634" s="159"/>
      <c r="O634" s="159"/>
      <c r="P634" s="159"/>
      <c r="Q634" s="159"/>
      <c r="R634" s="159"/>
      <c r="S634" s="159"/>
      <c r="T634" s="159"/>
      <c r="U634" s="159"/>
      <c r="V634" s="159"/>
      <c r="W634" s="159"/>
      <c r="X634" s="159"/>
      <c r="Y634" s="159"/>
      <c r="Z634" s="159"/>
    </row>
    <row r="635" ht="15.75" customHeight="1">
      <c r="A635" s="118"/>
      <c r="B635" s="118"/>
      <c r="C635" s="181"/>
      <c r="D635" s="159"/>
      <c r="E635" s="159"/>
      <c r="F635" s="159"/>
      <c r="G635" s="159"/>
      <c r="H635" s="83"/>
      <c r="I635" s="159"/>
      <c r="J635" s="159"/>
      <c r="K635" s="159"/>
      <c r="L635" s="159"/>
      <c r="M635" s="159"/>
      <c r="N635" s="159"/>
      <c r="O635" s="159"/>
      <c r="P635" s="159"/>
      <c r="Q635" s="159"/>
      <c r="R635" s="159"/>
      <c r="S635" s="159"/>
      <c r="T635" s="159"/>
      <c r="U635" s="159"/>
      <c r="V635" s="159"/>
      <c r="W635" s="159"/>
      <c r="X635" s="159"/>
      <c r="Y635" s="159"/>
      <c r="Z635" s="159"/>
    </row>
    <row r="636" ht="15.75" customHeight="1">
      <c r="A636" s="118"/>
      <c r="B636" s="118"/>
      <c r="C636" s="181"/>
      <c r="D636" s="159"/>
      <c r="E636" s="159"/>
      <c r="F636" s="159"/>
      <c r="G636" s="159"/>
      <c r="H636" s="83"/>
      <c r="I636" s="159"/>
      <c r="J636" s="159"/>
      <c r="K636" s="159"/>
      <c r="L636" s="159"/>
      <c r="M636" s="159"/>
      <c r="N636" s="159"/>
      <c r="O636" s="159"/>
      <c r="P636" s="159"/>
      <c r="Q636" s="159"/>
      <c r="R636" s="159"/>
      <c r="S636" s="159"/>
      <c r="T636" s="159"/>
      <c r="U636" s="159"/>
      <c r="V636" s="159"/>
      <c r="W636" s="159"/>
      <c r="X636" s="159"/>
      <c r="Y636" s="159"/>
      <c r="Z636" s="159"/>
    </row>
    <row r="637" ht="15.75" customHeight="1">
      <c r="A637" s="118"/>
      <c r="B637" s="118"/>
      <c r="C637" s="181"/>
      <c r="D637" s="159"/>
      <c r="E637" s="159"/>
      <c r="F637" s="159"/>
      <c r="G637" s="159"/>
      <c r="H637" s="83"/>
      <c r="I637" s="159"/>
      <c r="J637" s="159"/>
      <c r="K637" s="159"/>
      <c r="L637" s="159"/>
      <c r="M637" s="159"/>
      <c r="N637" s="159"/>
      <c r="O637" s="159"/>
      <c r="P637" s="159"/>
      <c r="Q637" s="159"/>
      <c r="R637" s="159"/>
      <c r="S637" s="159"/>
      <c r="T637" s="159"/>
      <c r="U637" s="159"/>
      <c r="V637" s="159"/>
      <c r="W637" s="159"/>
      <c r="X637" s="159"/>
      <c r="Y637" s="159"/>
      <c r="Z637" s="159"/>
    </row>
    <row r="638" ht="15.75" customHeight="1">
      <c r="A638" s="118"/>
      <c r="B638" s="118"/>
      <c r="C638" s="181"/>
      <c r="D638" s="159"/>
      <c r="E638" s="159"/>
      <c r="F638" s="159"/>
      <c r="G638" s="159"/>
      <c r="H638" s="83"/>
      <c r="I638" s="159"/>
      <c r="J638" s="159"/>
      <c r="K638" s="159"/>
      <c r="L638" s="159"/>
      <c r="M638" s="159"/>
      <c r="N638" s="159"/>
      <c r="O638" s="159"/>
      <c r="P638" s="159"/>
      <c r="Q638" s="159"/>
      <c r="R638" s="159"/>
      <c r="S638" s="159"/>
      <c r="T638" s="159"/>
      <c r="U638" s="159"/>
      <c r="V638" s="159"/>
      <c r="W638" s="159"/>
      <c r="X638" s="159"/>
      <c r="Y638" s="159"/>
      <c r="Z638" s="159"/>
    </row>
    <row r="639" ht="15.75" customHeight="1">
      <c r="A639" s="118"/>
      <c r="B639" s="118"/>
      <c r="C639" s="181"/>
      <c r="D639" s="159"/>
      <c r="E639" s="159"/>
      <c r="F639" s="159"/>
      <c r="G639" s="159"/>
      <c r="H639" s="83"/>
      <c r="I639" s="159"/>
      <c r="J639" s="159"/>
      <c r="K639" s="159"/>
      <c r="L639" s="159"/>
      <c r="M639" s="159"/>
      <c r="N639" s="159"/>
      <c r="O639" s="159"/>
      <c r="P639" s="159"/>
      <c r="Q639" s="159"/>
      <c r="R639" s="159"/>
      <c r="S639" s="159"/>
      <c r="T639" s="159"/>
      <c r="U639" s="159"/>
      <c r="V639" s="159"/>
      <c r="W639" s="159"/>
      <c r="X639" s="159"/>
      <c r="Y639" s="159"/>
      <c r="Z639" s="159"/>
    </row>
    <row r="640" ht="15.75" customHeight="1">
      <c r="A640" s="118"/>
      <c r="B640" s="118"/>
      <c r="C640" s="181"/>
      <c r="D640" s="159"/>
      <c r="E640" s="159"/>
      <c r="F640" s="159"/>
      <c r="G640" s="159"/>
      <c r="H640" s="83"/>
      <c r="I640" s="159"/>
      <c r="J640" s="159"/>
      <c r="K640" s="159"/>
      <c r="L640" s="159"/>
      <c r="M640" s="159"/>
      <c r="N640" s="159"/>
      <c r="O640" s="159"/>
      <c r="P640" s="159"/>
      <c r="Q640" s="159"/>
      <c r="R640" s="159"/>
      <c r="S640" s="159"/>
      <c r="T640" s="159"/>
      <c r="U640" s="159"/>
      <c r="V640" s="159"/>
      <c r="W640" s="159"/>
      <c r="X640" s="159"/>
      <c r="Y640" s="159"/>
      <c r="Z640" s="159"/>
    </row>
    <row r="641" ht="15.75" customHeight="1">
      <c r="A641" s="118"/>
      <c r="B641" s="118"/>
      <c r="C641" s="181"/>
      <c r="D641" s="159"/>
      <c r="E641" s="159"/>
      <c r="F641" s="159"/>
      <c r="G641" s="159"/>
      <c r="H641" s="83"/>
      <c r="I641" s="159"/>
      <c r="J641" s="159"/>
      <c r="K641" s="159"/>
      <c r="L641" s="159"/>
      <c r="M641" s="159"/>
      <c r="N641" s="159"/>
      <c r="O641" s="159"/>
      <c r="P641" s="159"/>
      <c r="Q641" s="159"/>
      <c r="R641" s="159"/>
      <c r="S641" s="159"/>
      <c r="T641" s="159"/>
      <c r="U641" s="159"/>
      <c r="V641" s="159"/>
      <c r="W641" s="159"/>
      <c r="X641" s="159"/>
      <c r="Y641" s="159"/>
      <c r="Z641" s="159"/>
    </row>
    <row r="642" ht="15.75" customHeight="1">
      <c r="A642" s="118"/>
      <c r="B642" s="118"/>
      <c r="C642" s="181"/>
      <c r="D642" s="159"/>
      <c r="E642" s="159"/>
      <c r="F642" s="159"/>
      <c r="G642" s="159"/>
      <c r="H642" s="83"/>
      <c r="I642" s="159"/>
      <c r="J642" s="159"/>
      <c r="K642" s="159"/>
      <c r="L642" s="159"/>
      <c r="M642" s="159"/>
      <c r="N642" s="159"/>
      <c r="O642" s="159"/>
      <c r="P642" s="159"/>
      <c r="Q642" s="159"/>
      <c r="R642" s="159"/>
      <c r="S642" s="159"/>
      <c r="T642" s="159"/>
      <c r="U642" s="159"/>
      <c r="V642" s="159"/>
      <c r="W642" s="159"/>
      <c r="X642" s="159"/>
      <c r="Y642" s="159"/>
      <c r="Z642" s="159"/>
    </row>
    <row r="643" ht="15.75" customHeight="1">
      <c r="A643" s="118"/>
      <c r="B643" s="118"/>
      <c r="C643" s="181"/>
      <c r="D643" s="159"/>
      <c r="E643" s="159"/>
      <c r="F643" s="159"/>
      <c r="G643" s="159"/>
      <c r="H643" s="83"/>
      <c r="I643" s="159"/>
      <c r="J643" s="159"/>
      <c r="K643" s="159"/>
      <c r="L643" s="159"/>
      <c r="M643" s="159"/>
      <c r="N643" s="159"/>
      <c r="O643" s="159"/>
      <c r="P643" s="159"/>
      <c r="Q643" s="159"/>
      <c r="R643" s="159"/>
      <c r="S643" s="159"/>
      <c r="T643" s="159"/>
      <c r="U643" s="159"/>
      <c r="V643" s="159"/>
      <c r="W643" s="159"/>
      <c r="X643" s="159"/>
      <c r="Y643" s="159"/>
      <c r="Z643" s="159"/>
    </row>
    <row r="644" ht="15.75" customHeight="1">
      <c r="A644" s="118"/>
      <c r="B644" s="118"/>
      <c r="C644" s="181"/>
      <c r="D644" s="159"/>
      <c r="E644" s="159"/>
      <c r="F644" s="159"/>
      <c r="G644" s="159"/>
      <c r="H644" s="83"/>
      <c r="I644" s="159"/>
      <c r="J644" s="159"/>
      <c r="K644" s="159"/>
      <c r="L644" s="159"/>
      <c r="M644" s="159"/>
      <c r="N644" s="159"/>
      <c r="O644" s="159"/>
      <c r="P644" s="159"/>
      <c r="Q644" s="159"/>
      <c r="R644" s="159"/>
      <c r="S644" s="159"/>
      <c r="T644" s="159"/>
      <c r="U644" s="159"/>
      <c r="V644" s="159"/>
      <c r="W644" s="159"/>
      <c r="X644" s="159"/>
      <c r="Y644" s="159"/>
      <c r="Z644" s="159"/>
    </row>
    <row r="645" ht="15.75" customHeight="1">
      <c r="A645" s="118"/>
      <c r="B645" s="118"/>
      <c r="C645" s="181"/>
      <c r="D645" s="159"/>
      <c r="E645" s="159"/>
      <c r="F645" s="159"/>
      <c r="G645" s="159"/>
      <c r="H645" s="83"/>
      <c r="I645" s="159"/>
      <c r="J645" s="159"/>
      <c r="K645" s="159"/>
      <c r="L645" s="159"/>
      <c r="M645" s="159"/>
      <c r="N645" s="159"/>
      <c r="O645" s="159"/>
      <c r="P645" s="159"/>
      <c r="Q645" s="159"/>
      <c r="R645" s="159"/>
      <c r="S645" s="159"/>
      <c r="T645" s="159"/>
      <c r="U645" s="159"/>
      <c r="V645" s="159"/>
      <c r="W645" s="159"/>
      <c r="X645" s="159"/>
      <c r="Y645" s="159"/>
      <c r="Z645" s="159"/>
    </row>
    <row r="646" ht="15.75" customHeight="1">
      <c r="A646" s="118"/>
      <c r="B646" s="118"/>
      <c r="C646" s="181"/>
      <c r="D646" s="159"/>
      <c r="E646" s="159"/>
      <c r="F646" s="159"/>
      <c r="G646" s="159"/>
      <c r="H646" s="83"/>
      <c r="I646" s="159"/>
      <c r="J646" s="159"/>
      <c r="K646" s="159"/>
      <c r="L646" s="159"/>
      <c r="M646" s="159"/>
      <c r="N646" s="159"/>
      <c r="O646" s="159"/>
      <c r="P646" s="159"/>
      <c r="Q646" s="159"/>
      <c r="R646" s="159"/>
      <c r="S646" s="159"/>
      <c r="T646" s="159"/>
      <c r="U646" s="159"/>
      <c r="V646" s="159"/>
      <c r="W646" s="159"/>
      <c r="X646" s="159"/>
      <c r="Y646" s="159"/>
      <c r="Z646" s="159"/>
    </row>
    <row r="647" ht="15.75" customHeight="1">
      <c r="A647" s="118"/>
      <c r="B647" s="118"/>
      <c r="C647" s="181"/>
      <c r="D647" s="159"/>
      <c r="E647" s="159"/>
      <c r="F647" s="159"/>
      <c r="G647" s="159"/>
      <c r="H647" s="83"/>
      <c r="I647" s="159"/>
      <c r="J647" s="159"/>
      <c r="K647" s="159"/>
      <c r="L647" s="159"/>
      <c r="M647" s="159"/>
      <c r="N647" s="159"/>
      <c r="O647" s="159"/>
      <c r="P647" s="159"/>
      <c r="Q647" s="159"/>
      <c r="R647" s="159"/>
      <c r="S647" s="159"/>
      <c r="T647" s="159"/>
      <c r="U647" s="159"/>
      <c r="V647" s="159"/>
      <c r="W647" s="159"/>
      <c r="X647" s="159"/>
      <c r="Y647" s="159"/>
      <c r="Z647" s="159"/>
    </row>
    <row r="648" ht="15.75" customHeight="1">
      <c r="A648" s="118"/>
      <c r="B648" s="118"/>
      <c r="C648" s="181"/>
      <c r="D648" s="159"/>
      <c r="E648" s="159"/>
      <c r="F648" s="159"/>
      <c r="G648" s="159"/>
      <c r="H648" s="83"/>
      <c r="I648" s="159"/>
      <c r="J648" s="159"/>
      <c r="K648" s="159"/>
      <c r="L648" s="159"/>
      <c r="M648" s="159"/>
      <c r="N648" s="159"/>
      <c r="O648" s="159"/>
      <c r="P648" s="159"/>
      <c r="Q648" s="159"/>
      <c r="R648" s="159"/>
      <c r="S648" s="159"/>
      <c r="T648" s="159"/>
      <c r="U648" s="159"/>
      <c r="V648" s="159"/>
      <c r="W648" s="159"/>
      <c r="X648" s="159"/>
      <c r="Y648" s="159"/>
      <c r="Z648" s="159"/>
    </row>
    <row r="649" ht="15.75" customHeight="1">
      <c r="A649" s="118"/>
      <c r="B649" s="118"/>
      <c r="C649" s="181"/>
      <c r="D649" s="159"/>
      <c r="E649" s="159"/>
      <c r="F649" s="159"/>
      <c r="G649" s="159"/>
      <c r="H649" s="83"/>
      <c r="I649" s="159"/>
      <c r="J649" s="159"/>
      <c r="K649" s="159"/>
      <c r="L649" s="159"/>
      <c r="M649" s="159"/>
      <c r="N649" s="159"/>
      <c r="O649" s="159"/>
      <c r="P649" s="159"/>
      <c r="Q649" s="159"/>
      <c r="R649" s="159"/>
      <c r="S649" s="159"/>
      <c r="T649" s="159"/>
      <c r="U649" s="159"/>
      <c r="V649" s="159"/>
      <c r="W649" s="159"/>
      <c r="X649" s="159"/>
      <c r="Y649" s="159"/>
      <c r="Z649" s="159"/>
    </row>
    <row r="650" ht="15.75" customHeight="1">
      <c r="A650" s="118"/>
      <c r="B650" s="118"/>
      <c r="C650" s="181"/>
      <c r="D650" s="159"/>
      <c r="E650" s="159"/>
      <c r="F650" s="159"/>
      <c r="G650" s="159"/>
      <c r="H650" s="83"/>
      <c r="I650" s="159"/>
      <c r="J650" s="159"/>
      <c r="K650" s="159"/>
      <c r="L650" s="159"/>
      <c r="M650" s="159"/>
      <c r="N650" s="159"/>
      <c r="O650" s="159"/>
      <c r="P650" s="159"/>
      <c r="Q650" s="159"/>
      <c r="R650" s="159"/>
      <c r="S650" s="159"/>
      <c r="T650" s="159"/>
      <c r="U650" s="159"/>
      <c r="V650" s="159"/>
      <c r="W650" s="159"/>
      <c r="X650" s="159"/>
      <c r="Y650" s="159"/>
      <c r="Z650" s="159"/>
    </row>
    <row r="651" ht="15.75" customHeight="1">
      <c r="A651" s="118"/>
      <c r="B651" s="118"/>
      <c r="C651" s="181"/>
      <c r="D651" s="159"/>
      <c r="E651" s="159"/>
      <c r="F651" s="159"/>
      <c r="G651" s="159"/>
      <c r="H651" s="83"/>
      <c r="I651" s="159"/>
      <c r="J651" s="159"/>
      <c r="K651" s="159"/>
      <c r="L651" s="159"/>
      <c r="M651" s="159"/>
      <c r="N651" s="159"/>
      <c r="O651" s="159"/>
      <c r="P651" s="159"/>
      <c r="Q651" s="159"/>
      <c r="R651" s="159"/>
      <c r="S651" s="159"/>
      <c r="T651" s="159"/>
      <c r="U651" s="159"/>
      <c r="V651" s="159"/>
      <c r="W651" s="159"/>
      <c r="X651" s="159"/>
      <c r="Y651" s="159"/>
      <c r="Z651" s="159"/>
    </row>
    <row r="652" ht="15.75" customHeight="1">
      <c r="A652" s="118"/>
      <c r="B652" s="118"/>
      <c r="C652" s="181"/>
      <c r="D652" s="159"/>
      <c r="E652" s="159"/>
      <c r="F652" s="159"/>
      <c r="G652" s="159"/>
      <c r="H652" s="83"/>
      <c r="I652" s="159"/>
      <c r="J652" s="159"/>
      <c r="K652" s="159"/>
      <c r="L652" s="159"/>
      <c r="M652" s="159"/>
      <c r="N652" s="159"/>
      <c r="O652" s="159"/>
      <c r="P652" s="159"/>
      <c r="Q652" s="159"/>
      <c r="R652" s="159"/>
      <c r="S652" s="159"/>
      <c r="T652" s="159"/>
      <c r="U652" s="159"/>
      <c r="V652" s="159"/>
      <c r="W652" s="159"/>
      <c r="X652" s="159"/>
      <c r="Y652" s="159"/>
      <c r="Z652" s="159"/>
    </row>
    <row r="653" ht="15.75" customHeight="1">
      <c r="A653" s="118"/>
      <c r="B653" s="118"/>
      <c r="C653" s="181"/>
      <c r="D653" s="159"/>
      <c r="E653" s="159"/>
      <c r="F653" s="159"/>
      <c r="G653" s="159"/>
      <c r="H653" s="83"/>
      <c r="I653" s="159"/>
      <c r="J653" s="159"/>
      <c r="K653" s="159"/>
      <c r="L653" s="159"/>
      <c r="M653" s="159"/>
      <c r="N653" s="159"/>
      <c r="O653" s="159"/>
      <c r="P653" s="159"/>
      <c r="Q653" s="159"/>
      <c r="R653" s="159"/>
      <c r="S653" s="159"/>
      <c r="T653" s="159"/>
      <c r="U653" s="159"/>
      <c r="V653" s="159"/>
      <c r="W653" s="159"/>
      <c r="X653" s="159"/>
      <c r="Y653" s="159"/>
      <c r="Z653" s="159"/>
    </row>
    <row r="654" ht="15.75" customHeight="1">
      <c r="A654" s="118"/>
      <c r="B654" s="118"/>
      <c r="C654" s="181"/>
      <c r="D654" s="159"/>
      <c r="E654" s="159"/>
      <c r="F654" s="159"/>
      <c r="G654" s="159"/>
      <c r="H654" s="83"/>
      <c r="I654" s="159"/>
      <c r="J654" s="159"/>
      <c r="K654" s="159"/>
      <c r="L654" s="159"/>
      <c r="M654" s="159"/>
      <c r="N654" s="159"/>
      <c r="O654" s="159"/>
      <c r="P654" s="159"/>
      <c r="Q654" s="159"/>
      <c r="R654" s="159"/>
      <c r="S654" s="159"/>
      <c r="T654" s="159"/>
      <c r="U654" s="159"/>
      <c r="V654" s="159"/>
      <c r="W654" s="159"/>
      <c r="X654" s="159"/>
      <c r="Y654" s="159"/>
      <c r="Z654" s="159"/>
    </row>
    <row r="655" ht="15.75" customHeight="1">
      <c r="A655" s="118"/>
      <c r="B655" s="118"/>
      <c r="C655" s="181"/>
      <c r="D655" s="159"/>
      <c r="E655" s="159"/>
      <c r="F655" s="159"/>
      <c r="G655" s="159"/>
      <c r="H655" s="83"/>
      <c r="I655" s="159"/>
      <c r="J655" s="159"/>
      <c r="K655" s="159"/>
      <c r="L655" s="159"/>
      <c r="M655" s="159"/>
      <c r="N655" s="159"/>
      <c r="O655" s="159"/>
      <c r="P655" s="159"/>
      <c r="Q655" s="159"/>
      <c r="R655" s="159"/>
      <c r="S655" s="159"/>
      <c r="T655" s="159"/>
      <c r="U655" s="159"/>
      <c r="V655" s="159"/>
      <c r="W655" s="159"/>
      <c r="X655" s="159"/>
      <c r="Y655" s="159"/>
      <c r="Z655" s="159"/>
    </row>
    <row r="656" ht="15.75" customHeight="1">
      <c r="A656" s="118"/>
      <c r="B656" s="118"/>
      <c r="C656" s="181"/>
      <c r="D656" s="159"/>
      <c r="E656" s="159"/>
      <c r="F656" s="159"/>
      <c r="G656" s="159"/>
      <c r="H656" s="83"/>
      <c r="I656" s="159"/>
      <c r="J656" s="159"/>
      <c r="K656" s="159"/>
      <c r="L656" s="159"/>
      <c r="M656" s="159"/>
      <c r="N656" s="159"/>
      <c r="O656" s="159"/>
      <c r="P656" s="159"/>
      <c r="Q656" s="159"/>
      <c r="R656" s="159"/>
      <c r="S656" s="159"/>
      <c r="T656" s="159"/>
      <c r="U656" s="159"/>
      <c r="V656" s="159"/>
      <c r="W656" s="159"/>
      <c r="X656" s="159"/>
      <c r="Y656" s="159"/>
      <c r="Z656" s="159"/>
    </row>
    <row r="657" ht="15.75" customHeight="1">
      <c r="A657" s="118"/>
      <c r="B657" s="118"/>
      <c r="C657" s="181"/>
      <c r="D657" s="159"/>
      <c r="E657" s="159"/>
      <c r="F657" s="159"/>
      <c r="G657" s="159"/>
      <c r="H657" s="83"/>
      <c r="I657" s="159"/>
      <c r="J657" s="159"/>
      <c r="K657" s="159"/>
      <c r="L657" s="159"/>
      <c r="M657" s="159"/>
      <c r="N657" s="159"/>
      <c r="O657" s="159"/>
      <c r="P657" s="159"/>
      <c r="Q657" s="159"/>
      <c r="R657" s="159"/>
      <c r="S657" s="159"/>
      <c r="T657" s="159"/>
      <c r="U657" s="159"/>
      <c r="V657" s="159"/>
      <c r="W657" s="159"/>
      <c r="X657" s="159"/>
      <c r="Y657" s="159"/>
      <c r="Z657" s="159"/>
    </row>
    <row r="658" ht="15.75" customHeight="1">
      <c r="A658" s="118"/>
      <c r="B658" s="118"/>
      <c r="C658" s="181"/>
      <c r="D658" s="159"/>
      <c r="E658" s="159"/>
      <c r="F658" s="159"/>
      <c r="G658" s="159"/>
      <c r="H658" s="83"/>
      <c r="I658" s="159"/>
      <c r="J658" s="159"/>
      <c r="K658" s="159"/>
      <c r="L658" s="159"/>
      <c r="M658" s="159"/>
      <c r="N658" s="159"/>
      <c r="O658" s="159"/>
      <c r="P658" s="159"/>
      <c r="Q658" s="159"/>
      <c r="R658" s="159"/>
      <c r="S658" s="159"/>
      <c r="T658" s="159"/>
      <c r="U658" s="159"/>
      <c r="V658" s="159"/>
      <c r="W658" s="159"/>
      <c r="X658" s="159"/>
      <c r="Y658" s="159"/>
      <c r="Z658" s="159"/>
    </row>
    <row r="659" ht="15.75" customHeight="1">
      <c r="A659" s="118"/>
      <c r="B659" s="118"/>
      <c r="C659" s="181"/>
      <c r="D659" s="159"/>
      <c r="E659" s="159"/>
      <c r="F659" s="159"/>
      <c r="G659" s="159"/>
      <c r="H659" s="83"/>
      <c r="I659" s="159"/>
      <c r="J659" s="159"/>
      <c r="K659" s="159"/>
      <c r="L659" s="159"/>
      <c r="M659" s="159"/>
      <c r="N659" s="159"/>
      <c r="O659" s="159"/>
      <c r="P659" s="159"/>
      <c r="Q659" s="159"/>
      <c r="R659" s="159"/>
      <c r="S659" s="159"/>
      <c r="T659" s="159"/>
      <c r="U659" s="159"/>
      <c r="V659" s="159"/>
      <c r="W659" s="159"/>
      <c r="X659" s="159"/>
      <c r="Y659" s="159"/>
      <c r="Z659" s="159"/>
    </row>
    <row r="660" ht="15.75" customHeight="1">
      <c r="A660" s="118"/>
      <c r="B660" s="118"/>
      <c r="C660" s="181"/>
      <c r="D660" s="159"/>
      <c r="E660" s="159"/>
      <c r="F660" s="159"/>
      <c r="G660" s="159"/>
      <c r="H660" s="83"/>
      <c r="I660" s="159"/>
      <c r="J660" s="159"/>
      <c r="K660" s="159"/>
      <c r="L660" s="159"/>
      <c r="M660" s="159"/>
      <c r="N660" s="159"/>
      <c r="O660" s="159"/>
      <c r="P660" s="159"/>
      <c r="Q660" s="159"/>
      <c r="R660" s="159"/>
      <c r="S660" s="159"/>
      <c r="T660" s="159"/>
      <c r="U660" s="159"/>
      <c r="V660" s="159"/>
      <c r="W660" s="159"/>
      <c r="X660" s="159"/>
      <c r="Y660" s="159"/>
      <c r="Z660" s="159"/>
    </row>
    <row r="661" ht="15.75" customHeight="1">
      <c r="A661" s="118"/>
      <c r="B661" s="118"/>
      <c r="C661" s="181"/>
      <c r="D661" s="159"/>
      <c r="E661" s="159"/>
      <c r="F661" s="159"/>
      <c r="G661" s="159"/>
      <c r="H661" s="83"/>
      <c r="I661" s="159"/>
      <c r="J661" s="159"/>
      <c r="K661" s="159"/>
      <c r="L661" s="159"/>
      <c r="M661" s="159"/>
      <c r="N661" s="159"/>
      <c r="O661" s="159"/>
      <c r="P661" s="159"/>
      <c r="Q661" s="159"/>
      <c r="R661" s="159"/>
      <c r="S661" s="159"/>
      <c r="T661" s="159"/>
      <c r="U661" s="159"/>
      <c r="V661" s="159"/>
      <c r="W661" s="159"/>
      <c r="X661" s="159"/>
      <c r="Y661" s="159"/>
      <c r="Z661" s="159"/>
    </row>
    <row r="662" ht="15.75" customHeight="1">
      <c r="A662" s="118"/>
      <c r="B662" s="118"/>
      <c r="C662" s="181"/>
      <c r="D662" s="159"/>
      <c r="E662" s="159"/>
      <c r="F662" s="159"/>
      <c r="G662" s="159"/>
      <c r="H662" s="83"/>
      <c r="I662" s="159"/>
      <c r="J662" s="159"/>
      <c r="K662" s="159"/>
      <c r="L662" s="159"/>
      <c r="M662" s="159"/>
      <c r="N662" s="159"/>
      <c r="O662" s="159"/>
      <c r="P662" s="159"/>
      <c r="Q662" s="159"/>
      <c r="R662" s="159"/>
      <c r="S662" s="159"/>
      <c r="T662" s="159"/>
      <c r="U662" s="159"/>
      <c r="V662" s="159"/>
      <c r="W662" s="159"/>
      <c r="X662" s="159"/>
      <c r="Y662" s="159"/>
      <c r="Z662" s="159"/>
    </row>
    <row r="663" ht="15.75" customHeight="1">
      <c r="A663" s="118"/>
      <c r="B663" s="118"/>
      <c r="C663" s="181"/>
      <c r="D663" s="159"/>
      <c r="E663" s="159"/>
      <c r="F663" s="159"/>
      <c r="G663" s="159"/>
      <c r="H663" s="83"/>
      <c r="I663" s="159"/>
      <c r="J663" s="159"/>
      <c r="K663" s="159"/>
      <c r="L663" s="159"/>
      <c r="M663" s="159"/>
      <c r="N663" s="159"/>
      <c r="O663" s="159"/>
      <c r="P663" s="159"/>
      <c r="Q663" s="159"/>
      <c r="R663" s="159"/>
      <c r="S663" s="159"/>
      <c r="T663" s="159"/>
      <c r="U663" s="159"/>
      <c r="V663" s="159"/>
      <c r="W663" s="159"/>
      <c r="X663" s="159"/>
      <c r="Y663" s="159"/>
      <c r="Z663" s="159"/>
    </row>
    <row r="664" ht="15.75" customHeight="1">
      <c r="A664" s="118"/>
      <c r="B664" s="118"/>
      <c r="C664" s="181"/>
      <c r="D664" s="159"/>
      <c r="E664" s="159"/>
      <c r="F664" s="159"/>
      <c r="G664" s="159"/>
      <c r="H664" s="83"/>
      <c r="I664" s="159"/>
      <c r="J664" s="159"/>
      <c r="K664" s="159"/>
      <c r="L664" s="159"/>
      <c r="M664" s="159"/>
      <c r="N664" s="159"/>
      <c r="O664" s="159"/>
      <c r="P664" s="159"/>
      <c r="Q664" s="159"/>
      <c r="R664" s="159"/>
      <c r="S664" s="159"/>
      <c r="T664" s="159"/>
      <c r="U664" s="159"/>
      <c r="V664" s="159"/>
      <c r="W664" s="159"/>
      <c r="X664" s="159"/>
      <c r="Y664" s="159"/>
      <c r="Z664" s="159"/>
    </row>
    <row r="665" ht="15.75" customHeight="1">
      <c r="A665" s="118"/>
      <c r="B665" s="118"/>
      <c r="C665" s="181"/>
      <c r="D665" s="159"/>
      <c r="E665" s="159"/>
      <c r="F665" s="159"/>
      <c r="G665" s="159"/>
      <c r="H665" s="83"/>
      <c r="I665" s="159"/>
      <c r="J665" s="159"/>
      <c r="K665" s="159"/>
      <c r="L665" s="159"/>
      <c r="M665" s="159"/>
      <c r="N665" s="159"/>
      <c r="O665" s="159"/>
      <c r="P665" s="159"/>
      <c r="Q665" s="159"/>
      <c r="R665" s="159"/>
      <c r="S665" s="159"/>
      <c r="T665" s="159"/>
      <c r="U665" s="159"/>
      <c r="V665" s="159"/>
      <c r="W665" s="159"/>
      <c r="X665" s="159"/>
      <c r="Y665" s="159"/>
      <c r="Z665" s="159"/>
    </row>
    <row r="666" ht="15.75" customHeight="1">
      <c r="A666" s="118"/>
      <c r="B666" s="118"/>
      <c r="C666" s="181"/>
      <c r="D666" s="159"/>
      <c r="E666" s="159"/>
      <c r="F666" s="159"/>
      <c r="G666" s="159"/>
      <c r="H666" s="83"/>
      <c r="I666" s="159"/>
      <c r="J666" s="159"/>
      <c r="K666" s="159"/>
      <c r="L666" s="159"/>
      <c r="M666" s="159"/>
      <c r="N666" s="159"/>
      <c r="O666" s="159"/>
      <c r="P666" s="159"/>
      <c r="Q666" s="159"/>
      <c r="R666" s="159"/>
      <c r="S666" s="159"/>
      <c r="T666" s="159"/>
      <c r="U666" s="159"/>
      <c r="V666" s="159"/>
      <c r="W666" s="159"/>
      <c r="X666" s="159"/>
      <c r="Y666" s="159"/>
      <c r="Z666" s="159"/>
    </row>
    <row r="667" ht="15.75" customHeight="1">
      <c r="A667" s="118"/>
      <c r="B667" s="118"/>
      <c r="C667" s="181"/>
      <c r="D667" s="159"/>
      <c r="E667" s="159"/>
      <c r="F667" s="159"/>
      <c r="G667" s="159"/>
      <c r="H667" s="83"/>
      <c r="I667" s="159"/>
      <c r="J667" s="159"/>
      <c r="K667" s="159"/>
      <c r="L667" s="159"/>
      <c r="M667" s="159"/>
      <c r="N667" s="159"/>
      <c r="O667" s="159"/>
      <c r="P667" s="159"/>
      <c r="Q667" s="159"/>
      <c r="R667" s="159"/>
      <c r="S667" s="159"/>
      <c r="T667" s="159"/>
      <c r="U667" s="159"/>
      <c r="V667" s="159"/>
      <c r="W667" s="159"/>
      <c r="X667" s="159"/>
      <c r="Y667" s="159"/>
      <c r="Z667" s="159"/>
    </row>
    <row r="668" ht="15.75" customHeight="1">
      <c r="A668" s="118"/>
      <c r="B668" s="118"/>
      <c r="C668" s="181"/>
      <c r="D668" s="159"/>
      <c r="E668" s="159"/>
      <c r="F668" s="159"/>
      <c r="G668" s="159"/>
      <c r="H668" s="83"/>
      <c r="I668" s="159"/>
      <c r="J668" s="159"/>
      <c r="K668" s="159"/>
      <c r="L668" s="159"/>
      <c r="M668" s="159"/>
      <c r="N668" s="159"/>
      <c r="O668" s="159"/>
      <c r="P668" s="159"/>
      <c r="Q668" s="159"/>
      <c r="R668" s="159"/>
      <c r="S668" s="159"/>
      <c r="T668" s="159"/>
      <c r="U668" s="159"/>
      <c r="V668" s="159"/>
      <c r="W668" s="159"/>
      <c r="X668" s="159"/>
      <c r="Y668" s="159"/>
      <c r="Z668" s="159"/>
    </row>
    <row r="669" ht="15.75" customHeight="1">
      <c r="A669" s="118"/>
      <c r="B669" s="118"/>
      <c r="C669" s="181"/>
      <c r="D669" s="159"/>
      <c r="E669" s="159"/>
      <c r="F669" s="159"/>
      <c r="G669" s="159"/>
      <c r="H669" s="83"/>
      <c r="I669" s="159"/>
      <c r="J669" s="159"/>
      <c r="K669" s="159"/>
      <c r="L669" s="159"/>
      <c r="M669" s="159"/>
      <c r="N669" s="159"/>
      <c r="O669" s="159"/>
      <c r="P669" s="159"/>
      <c r="Q669" s="159"/>
      <c r="R669" s="159"/>
      <c r="S669" s="159"/>
      <c r="T669" s="159"/>
      <c r="U669" s="159"/>
      <c r="V669" s="159"/>
      <c r="W669" s="159"/>
      <c r="X669" s="159"/>
      <c r="Y669" s="159"/>
      <c r="Z669" s="159"/>
    </row>
    <row r="670" ht="15.75" customHeight="1">
      <c r="A670" s="118"/>
      <c r="B670" s="118"/>
      <c r="C670" s="181"/>
      <c r="D670" s="159"/>
      <c r="E670" s="159"/>
      <c r="F670" s="159"/>
      <c r="G670" s="159"/>
      <c r="H670" s="83"/>
      <c r="I670" s="159"/>
      <c r="J670" s="159"/>
      <c r="K670" s="159"/>
      <c r="L670" s="159"/>
      <c r="M670" s="159"/>
      <c r="N670" s="159"/>
      <c r="O670" s="159"/>
      <c r="P670" s="159"/>
      <c r="Q670" s="159"/>
      <c r="R670" s="159"/>
      <c r="S670" s="159"/>
      <c r="T670" s="159"/>
      <c r="U670" s="159"/>
      <c r="V670" s="159"/>
      <c r="W670" s="159"/>
      <c r="X670" s="159"/>
      <c r="Y670" s="159"/>
      <c r="Z670" s="159"/>
    </row>
    <row r="671" ht="15.75" customHeight="1">
      <c r="A671" s="118"/>
      <c r="B671" s="118"/>
      <c r="C671" s="181"/>
      <c r="D671" s="159"/>
      <c r="E671" s="159"/>
      <c r="F671" s="159"/>
      <c r="G671" s="159"/>
      <c r="H671" s="83"/>
      <c r="I671" s="159"/>
      <c r="J671" s="159"/>
      <c r="K671" s="159"/>
      <c r="L671" s="159"/>
      <c r="M671" s="159"/>
      <c r="N671" s="159"/>
      <c r="O671" s="159"/>
      <c r="P671" s="159"/>
      <c r="Q671" s="159"/>
      <c r="R671" s="159"/>
      <c r="S671" s="159"/>
      <c r="T671" s="159"/>
      <c r="U671" s="159"/>
      <c r="V671" s="159"/>
      <c r="W671" s="159"/>
      <c r="X671" s="159"/>
      <c r="Y671" s="159"/>
      <c r="Z671" s="159"/>
    </row>
    <row r="672" ht="15.75" customHeight="1">
      <c r="A672" s="118"/>
      <c r="B672" s="118"/>
      <c r="C672" s="181"/>
      <c r="D672" s="159"/>
      <c r="E672" s="159"/>
      <c r="F672" s="159"/>
      <c r="G672" s="159"/>
      <c r="H672" s="83"/>
      <c r="I672" s="159"/>
      <c r="J672" s="159"/>
      <c r="K672" s="159"/>
      <c r="L672" s="159"/>
      <c r="M672" s="159"/>
      <c r="N672" s="159"/>
      <c r="O672" s="159"/>
      <c r="P672" s="159"/>
      <c r="Q672" s="159"/>
      <c r="R672" s="159"/>
      <c r="S672" s="159"/>
      <c r="T672" s="159"/>
      <c r="U672" s="159"/>
      <c r="V672" s="159"/>
      <c r="W672" s="159"/>
      <c r="X672" s="159"/>
      <c r="Y672" s="159"/>
      <c r="Z672" s="159"/>
    </row>
    <row r="673" ht="15.75" customHeight="1">
      <c r="A673" s="118"/>
      <c r="B673" s="118"/>
      <c r="C673" s="181"/>
      <c r="D673" s="159"/>
      <c r="E673" s="159"/>
      <c r="F673" s="159"/>
      <c r="G673" s="159"/>
      <c r="H673" s="83"/>
      <c r="I673" s="159"/>
      <c r="J673" s="159"/>
      <c r="K673" s="159"/>
      <c r="L673" s="159"/>
      <c r="M673" s="159"/>
      <c r="N673" s="159"/>
      <c r="O673" s="159"/>
      <c r="P673" s="159"/>
      <c r="Q673" s="159"/>
      <c r="R673" s="159"/>
      <c r="S673" s="159"/>
      <c r="T673" s="159"/>
      <c r="U673" s="159"/>
      <c r="V673" s="159"/>
      <c r="W673" s="159"/>
      <c r="X673" s="159"/>
      <c r="Y673" s="159"/>
      <c r="Z673" s="159"/>
    </row>
    <row r="674" ht="15.75" customHeight="1">
      <c r="A674" s="118"/>
      <c r="B674" s="118"/>
      <c r="C674" s="181"/>
      <c r="D674" s="159"/>
      <c r="E674" s="159"/>
      <c r="F674" s="159"/>
      <c r="G674" s="159"/>
      <c r="H674" s="83"/>
      <c r="I674" s="159"/>
      <c r="J674" s="159"/>
      <c r="K674" s="159"/>
      <c r="L674" s="159"/>
      <c r="M674" s="159"/>
      <c r="N674" s="159"/>
      <c r="O674" s="159"/>
      <c r="P674" s="159"/>
      <c r="Q674" s="159"/>
      <c r="R674" s="159"/>
      <c r="S674" s="159"/>
      <c r="T674" s="159"/>
      <c r="U674" s="159"/>
      <c r="V674" s="159"/>
      <c r="W674" s="159"/>
      <c r="X674" s="159"/>
      <c r="Y674" s="159"/>
      <c r="Z674" s="159"/>
    </row>
    <row r="675" ht="15.75" customHeight="1">
      <c r="A675" s="118"/>
      <c r="B675" s="118"/>
      <c r="C675" s="181"/>
      <c r="D675" s="159"/>
      <c r="E675" s="159"/>
      <c r="F675" s="159"/>
      <c r="G675" s="159"/>
      <c r="H675" s="83"/>
      <c r="I675" s="159"/>
      <c r="J675" s="159"/>
      <c r="K675" s="159"/>
      <c r="L675" s="159"/>
      <c r="M675" s="159"/>
      <c r="N675" s="159"/>
      <c r="O675" s="159"/>
      <c r="P675" s="159"/>
      <c r="Q675" s="159"/>
      <c r="R675" s="159"/>
      <c r="S675" s="159"/>
      <c r="T675" s="159"/>
      <c r="U675" s="159"/>
      <c r="V675" s="159"/>
      <c r="W675" s="159"/>
      <c r="X675" s="159"/>
      <c r="Y675" s="159"/>
      <c r="Z675" s="159"/>
    </row>
    <row r="676" ht="15.75" customHeight="1">
      <c r="A676" s="118"/>
      <c r="B676" s="118"/>
      <c r="C676" s="181"/>
      <c r="D676" s="159"/>
      <c r="E676" s="159"/>
      <c r="F676" s="159"/>
      <c r="G676" s="159"/>
      <c r="H676" s="83"/>
      <c r="I676" s="159"/>
      <c r="J676" s="159"/>
      <c r="K676" s="159"/>
      <c r="L676" s="159"/>
      <c r="M676" s="159"/>
      <c r="N676" s="159"/>
      <c r="O676" s="159"/>
      <c r="P676" s="159"/>
      <c r="Q676" s="159"/>
      <c r="R676" s="159"/>
      <c r="S676" s="159"/>
      <c r="T676" s="159"/>
      <c r="U676" s="159"/>
      <c r="V676" s="159"/>
      <c r="W676" s="159"/>
      <c r="X676" s="159"/>
      <c r="Y676" s="159"/>
      <c r="Z676" s="159"/>
    </row>
    <row r="677" ht="15.75" customHeight="1">
      <c r="A677" s="118"/>
      <c r="B677" s="118"/>
      <c r="C677" s="181"/>
      <c r="D677" s="159"/>
      <c r="E677" s="159"/>
      <c r="F677" s="159"/>
      <c r="G677" s="159"/>
      <c r="H677" s="83"/>
      <c r="I677" s="159"/>
      <c r="J677" s="159"/>
      <c r="K677" s="159"/>
      <c r="L677" s="159"/>
      <c r="M677" s="159"/>
      <c r="N677" s="159"/>
      <c r="O677" s="159"/>
      <c r="P677" s="159"/>
      <c r="Q677" s="159"/>
      <c r="R677" s="159"/>
      <c r="S677" s="159"/>
      <c r="T677" s="159"/>
      <c r="U677" s="159"/>
      <c r="V677" s="159"/>
      <c r="W677" s="159"/>
      <c r="X677" s="159"/>
      <c r="Y677" s="159"/>
      <c r="Z677" s="159"/>
    </row>
    <row r="678" ht="15.75" customHeight="1">
      <c r="A678" s="118"/>
      <c r="B678" s="118"/>
      <c r="C678" s="181"/>
      <c r="D678" s="159"/>
      <c r="E678" s="159"/>
      <c r="F678" s="159"/>
      <c r="G678" s="159"/>
      <c r="H678" s="83"/>
      <c r="I678" s="159"/>
      <c r="J678" s="159"/>
      <c r="K678" s="159"/>
      <c r="L678" s="159"/>
      <c r="M678" s="159"/>
      <c r="N678" s="159"/>
      <c r="O678" s="159"/>
      <c r="P678" s="159"/>
      <c r="Q678" s="159"/>
      <c r="R678" s="159"/>
      <c r="S678" s="159"/>
      <c r="T678" s="159"/>
      <c r="U678" s="159"/>
      <c r="V678" s="159"/>
      <c r="W678" s="159"/>
      <c r="X678" s="159"/>
      <c r="Y678" s="159"/>
      <c r="Z678" s="159"/>
    </row>
    <row r="679" ht="15.75" customHeight="1">
      <c r="A679" s="118"/>
      <c r="B679" s="118"/>
      <c r="C679" s="181"/>
      <c r="D679" s="159"/>
      <c r="E679" s="159"/>
      <c r="F679" s="159"/>
      <c r="G679" s="159"/>
      <c r="H679" s="83"/>
      <c r="I679" s="159"/>
      <c r="J679" s="159"/>
      <c r="K679" s="159"/>
      <c r="L679" s="159"/>
      <c r="M679" s="159"/>
      <c r="N679" s="159"/>
      <c r="O679" s="159"/>
      <c r="P679" s="159"/>
      <c r="Q679" s="159"/>
      <c r="R679" s="159"/>
      <c r="S679" s="159"/>
      <c r="T679" s="159"/>
      <c r="U679" s="159"/>
      <c r="V679" s="159"/>
      <c r="W679" s="159"/>
      <c r="X679" s="159"/>
      <c r="Y679" s="159"/>
      <c r="Z679" s="159"/>
    </row>
    <row r="680" ht="15.75" customHeight="1">
      <c r="A680" s="118"/>
      <c r="B680" s="118"/>
      <c r="C680" s="181"/>
      <c r="D680" s="159"/>
      <c r="E680" s="159"/>
      <c r="F680" s="159"/>
      <c r="G680" s="159"/>
      <c r="H680" s="83"/>
      <c r="I680" s="159"/>
      <c r="J680" s="159"/>
      <c r="K680" s="159"/>
      <c r="L680" s="159"/>
      <c r="M680" s="159"/>
      <c r="N680" s="159"/>
      <c r="O680" s="159"/>
      <c r="P680" s="159"/>
      <c r="Q680" s="159"/>
      <c r="R680" s="159"/>
      <c r="S680" s="159"/>
      <c r="T680" s="159"/>
      <c r="U680" s="159"/>
      <c r="V680" s="159"/>
      <c r="W680" s="159"/>
      <c r="X680" s="159"/>
      <c r="Y680" s="159"/>
      <c r="Z680" s="159"/>
    </row>
    <row r="681" ht="15.75" customHeight="1">
      <c r="A681" s="118"/>
      <c r="B681" s="118"/>
      <c r="C681" s="181"/>
      <c r="D681" s="159"/>
      <c r="E681" s="159"/>
      <c r="F681" s="159"/>
      <c r="G681" s="159"/>
      <c r="H681" s="83"/>
      <c r="I681" s="159"/>
      <c r="J681" s="159"/>
      <c r="K681" s="159"/>
      <c r="L681" s="159"/>
      <c r="M681" s="159"/>
      <c r="N681" s="159"/>
      <c r="O681" s="159"/>
      <c r="P681" s="159"/>
      <c r="Q681" s="159"/>
      <c r="R681" s="159"/>
      <c r="S681" s="159"/>
      <c r="T681" s="159"/>
      <c r="U681" s="159"/>
      <c r="V681" s="159"/>
      <c r="W681" s="159"/>
      <c r="X681" s="159"/>
      <c r="Y681" s="159"/>
      <c r="Z681" s="159"/>
    </row>
    <row r="682" ht="15.75" customHeight="1">
      <c r="A682" s="118"/>
      <c r="B682" s="118"/>
      <c r="C682" s="181"/>
      <c r="D682" s="159"/>
      <c r="E682" s="159"/>
      <c r="F682" s="159"/>
      <c r="G682" s="159"/>
      <c r="H682" s="83"/>
      <c r="I682" s="159"/>
      <c r="J682" s="159"/>
      <c r="K682" s="159"/>
      <c r="L682" s="159"/>
      <c r="M682" s="159"/>
      <c r="N682" s="159"/>
      <c r="O682" s="159"/>
      <c r="P682" s="159"/>
      <c r="Q682" s="159"/>
      <c r="R682" s="159"/>
      <c r="S682" s="159"/>
      <c r="T682" s="159"/>
      <c r="U682" s="159"/>
      <c r="V682" s="159"/>
      <c r="W682" s="159"/>
      <c r="X682" s="159"/>
      <c r="Y682" s="159"/>
      <c r="Z682" s="159"/>
    </row>
    <row r="683" ht="15.75" customHeight="1">
      <c r="A683" s="118"/>
      <c r="B683" s="118"/>
      <c r="C683" s="181"/>
      <c r="D683" s="159"/>
      <c r="E683" s="159"/>
      <c r="F683" s="159"/>
      <c r="G683" s="159"/>
      <c r="H683" s="83"/>
      <c r="I683" s="159"/>
      <c r="J683" s="159"/>
      <c r="K683" s="159"/>
      <c r="L683" s="159"/>
      <c r="M683" s="159"/>
      <c r="N683" s="159"/>
      <c r="O683" s="159"/>
      <c r="P683" s="159"/>
      <c r="Q683" s="159"/>
      <c r="R683" s="159"/>
      <c r="S683" s="159"/>
      <c r="T683" s="159"/>
      <c r="U683" s="159"/>
      <c r="V683" s="159"/>
      <c r="W683" s="159"/>
      <c r="X683" s="159"/>
      <c r="Y683" s="159"/>
      <c r="Z683" s="159"/>
    </row>
    <row r="684" ht="15.75" customHeight="1">
      <c r="A684" s="118"/>
      <c r="B684" s="118"/>
      <c r="C684" s="181"/>
      <c r="D684" s="159"/>
      <c r="E684" s="159"/>
      <c r="F684" s="159"/>
      <c r="G684" s="159"/>
      <c r="H684" s="83"/>
      <c r="I684" s="159"/>
      <c r="J684" s="159"/>
      <c r="K684" s="159"/>
      <c r="L684" s="159"/>
      <c r="M684" s="159"/>
      <c r="N684" s="159"/>
      <c r="O684" s="159"/>
      <c r="P684" s="159"/>
      <c r="Q684" s="159"/>
      <c r="R684" s="159"/>
      <c r="S684" s="159"/>
      <c r="T684" s="159"/>
      <c r="U684" s="159"/>
      <c r="V684" s="159"/>
      <c r="W684" s="159"/>
      <c r="X684" s="159"/>
      <c r="Y684" s="159"/>
      <c r="Z684" s="159"/>
    </row>
    <row r="685" ht="15.75" customHeight="1">
      <c r="A685" s="118"/>
      <c r="B685" s="118"/>
      <c r="C685" s="181"/>
      <c r="D685" s="159"/>
      <c r="E685" s="159"/>
      <c r="F685" s="159"/>
      <c r="G685" s="159"/>
      <c r="H685" s="83"/>
      <c r="I685" s="159"/>
      <c r="J685" s="159"/>
      <c r="K685" s="159"/>
      <c r="L685" s="159"/>
      <c r="M685" s="159"/>
      <c r="N685" s="159"/>
      <c r="O685" s="159"/>
      <c r="P685" s="159"/>
      <c r="Q685" s="159"/>
      <c r="R685" s="159"/>
      <c r="S685" s="159"/>
      <c r="T685" s="159"/>
      <c r="U685" s="159"/>
      <c r="V685" s="159"/>
      <c r="W685" s="159"/>
      <c r="X685" s="159"/>
      <c r="Y685" s="159"/>
      <c r="Z685" s="159"/>
    </row>
    <row r="686" ht="15.75" customHeight="1">
      <c r="A686" s="118"/>
      <c r="B686" s="118"/>
      <c r="C686" s="181"/>
      <c r="D686" s="159"/>
      <c r="E686" s="159"/>
      <c r="F686" s="159"/>
      <c r="G686" s="159"/>
      <c r="H686" s="83"/>
      <c r="I686" s="159"/>
      <c r="J686" s="159"/>
      <c r="K686" s="159"/>
      <c r="L686" s="159"/>
      <c r="M686" s="159"/>
      <c r="N686" s="159"/>
      <c r="O686" s="159"/>
      <c r="P686" s="159"/>
      <c r="Q686" s="159"/>
      <c r="R686" s="159"/>
      <c r="S686" s="159"/>
      <c r="T686" s="159"/>
      <c r="U686" s="159"/>
      <c r="V686" s="159"/>
      <c r="W686" s="159"/>
      <c r="X686" s="159"/>
      <c r="Y686" s="159"/>
      <c r="Z686" s="159"/>
    </row>
    <row r="687" ht="15.75" customHeight="1">
      <c r="A687" s="118"/>
      <c r="B687" s="118"/>
      <c r="C687" s="181"/>
      <c r="D687" s="159"/>
      <c r="E687" s="159"/>
      <c r="F687" s="159"/>
      <c r="G687" s="159"/>
      <c r="H687" s="83"/>
      <c r="I687" s="159"/>
      <c r="J687" s="159"/>
      <c r="K687" s="159"/>
      <c r="L687" s="159"/>
      <c r="M687" s="159"/>
      <c r="N687" s="159"/>
      <c r="O687" s="159"/>
      <c r="P687" s="159"/>
      <c r="Q687" s="159"/>
      <c r="R687" s="159"/>
      <c r="S687" s="159"/>
      <c r="T687" s="159"/>
      <c r="U687" s="159"/>
      <c r="V687" s="159"/>
      <c r="W687" s="159"/>
      <c r="X687" s="159"/>
      <c r="Y687" s="159"/>
      <c r="Z687" s="159"/>
    </row>
    <row r="688" ht="15.75" customHeight="1">
      <c r="A688" s="118"/>
      <c r="B688" s="118"/>
      <c r="C688" s="181"/>
      <c r="D688" s="159"/>
      <c r="E688" s="159"/>
      <c r="F688" s="159"/>
      <c r="G688" s="159"/>
      <c r="H688" s="83"/>
      <c r="I688" s="159"/>
      <c r="J688" s="159"/>
      <c r="K688" s="159"/>
      <c r="L688" s="159"/>
      <c r="M688" s="159"/>
      <c r="N688" s="159"/>
      <c r="O688" s="159"/>
      <c r="P688" s="159"/>
      <c r="Q688" s="159"/>
      <c r="R688" s="159"/>
      <c r="S688" s="159"/>
      <c r="T688" s="159"/>
      <c r="U688" s="159"/>
      <c r="V688" s="159"/>
      <c r="W688" s="159"/>
      <c r="X688" s="159"/>
      <c r="Y688" s="159"/>
      <c r="Z688" s="159"/>
    </row>
    <row r="689" ht="15.75" customHeight="1">
      <c r="A689" s="118"/>
      <c r="B689" s="118"/>
      <c r="C689" s="181"/>
      <c r="D689" s="159"/>
      <c r="E689" s="159"/>
      <c r="F689" s="159"/>
      <c r="G689" s="159"/>
      <c r="H689" s="83"/>
      <c r="I689" s="159"/>
      <c r="J689" s="159"/>
      <c r="K689" s="159"/>
      <c r="L689" s="159"/>
      <c r="M689" s="159"/>
      <c r="N689" s="159"/>
      <c r="O689" s="159"/>
      <c r="P689" s="159"/>
      <c r="Q689" s="159"/>
      <c r="R689" s="159"/>
      <c r="S689" s="159"/>
      <c r="T689" s="159"/>
      <c r="U689" s="159"/>
      <c r="V689" s="159"/>
      <c r="W689" s="159"/>
      <c r="X689" s="159"/>
      <c r="Y689" s="159"/>
      <c r="Z689" s="159"/>
    </row>
    <row r="690" ht="15.75" customHeight="1">
      <c r="A690" s="118"/>
      <c r="B690" s="118"/>
      <c r="C690" s="181"/>
      <c r="D690" s="159"/>
      <c r="E690" s="159"/>
      <c r="F690" s="159"/>
      <c r="G690" s="159"/>
      <c r="H690" s="83"/>
      <c r="I690" s="159"/>
      <c r="J690" s="159"/>
      <c r="K690" s="159"/>
      <c r="L690" s="159"/>
      <c r="M690" s="159"/>
      <c r="N690" s="159"/>
      <c r="O690" s="159"/>
      <c r="P690" s="159"/>
      <c r="Q690" s="159"/>
      <c r="R690" s="159"/>
      <c r="S690" s="159"/>
      <c r="T690" s="159"/>
      <c r="U690" s="159"/>
      <c r="V690" s="159"/>
      <c r="W690" s="159"/>
      <c r="X690" s="159"/>
      <c r="Y690" s="159"/>
      <c r="Z690" s="159"/>
    </row>
    <row r="691" ht="15.75" customHeight="1">
      <c r="A691" s="118"/>
      <c r="B691" s="118"/>
      <c r="C691" s="181"/>
      <c r="D691" s="159"/>
      <c r="E691" s="159"/>
      <c r="F691" s="159"/>
      <c r="G691" s="159"/>
      <c r="H691" s="83"/>
      <c r="I691" s="159"/>
      <c r="J691" s="159"/>
      <c r="K691" s="159"/>
      <c r="L691" s="159"/>
      <c r="M691" s="159"/>
      <c r="N691" s="159"/>
      <c r="O691" s="159"/>
      <c r="P691" s="159"/>
      <c r="Q691" s="159"/>
      <c r="R691" s="159"/>
      <c r="S691" s="159"/>
      <c r="T691" s="159"/>
      <c r="U691" s="159"/>
      <c r="V691" s="159"/>
      <c r="W691" s="159"/>
      <c r="X691" s="159"/>
      <c r="Y691" s="159"/>
      <c r="Z691" s="159"/>
    </row>
    <row r="692" ht="15.75" customHeight="1">
      <c r="A692" s="118"/>
      <c r="B692" s="118"/>
      <c r="C692" s="181"/>
      <c r="D692" s="159"/>
      <c r="E692" s="159"/>
      <c r="F692" s="159"/>
      <c r="G692" s="159"/>
      <c r="H692" s="83"/>
      <c r="I692" s="159"/>
      <c r="J692" s="159"/>
      <c r="K692" s="159"/>
      <c r="L692" s="159"/>
      <c r="M692" s="159"/>
      <c r="N692" s="159"/>
      <c r="O692" s="159"/>
      <c r="P692" s="159"/>
      <c r="Q692" s="159"/>
      <c r="R692" s="159"/>
      <c r="S692" s="159"/>
      <c r="T692" s="159"/>
      <c r="U692" s="159"/>
      <c r="V692" s="159"/>
      <c r="W692" s="159"/>
      <c r="X692" s="159"/>
      <c r="Y692" s="159"/>
      <c r="Z692" s="159"/>
    </row>
    <row r="693" ht="15.75" customHeight="1">
      <c r="A693" s="118"/>
      <c r="B693" s="118"/>
      <c r="C693" s="181"/>
      <c r="D693" s="159"/>
      <c r="E693" s="159"/>
      <c r="F693" s="159"/>
      <c r="G693" s="159"/>
      <c r="H693" s="83"/>
      <c r="I693" s="159"/>
      <c r="J693" s="159"/>
      <c r="K693" s="159"/>
      <c r="L693" s="159"/>
      <c r="M693" s="159"/>
      <c r="N693" s="159"/>
      <c r="O693" s="159"/>
      <c r="P693" s="159"/>
      <c r="Q693" s="159"/>
      <c r="R693" s="159"/>
      <c r="S693" s="159"/>
      <c r="T693" s="159"/>
      <c r="U693" s="159"/>
      <c r="V693" s="159"/>
      <c r="W693" s="159"/>
      <c r="X693" s="159"/>
      <c r="Y693" s="159"/>
      <c r="Z693" s="159"/>
    </row>
    <row r="694" ht="15.75" customHeight="1">
      <c r="A694" s="118"/>
      <c r="B694" s="118"/>
      <c r="C694" s="181"/>
      <c r="D694" s="159"/>
      <c r="E694" s="159"/>
      <c r="F694" s="159"/>
      <c r="G694" s="159"/>
      <c r="H694" s="83"/>
      <c r="I694" s="159"/>
      <c r="J694" s="159"/>
      <c r="K694" s="159"/>
      <c r="L694" s="159"/>
      <c r="M694" s="159"/>
      <c r="N694" s="159"/>
      <c r="O694" s="159"/>
      <c r="P694" s="159"/>
      <c r="Q694" s="159"/>
      <c r="R694" s="159"/>
      <c r="S694" s="159"/>
      <c r="T694" s="159"/>
      <c r="U694" s="159"/>
      <c r="V694" s="159"/>
      <c r="W694" s="159"/>
      <c r="X694" s="159"/>
      <c r="Y694" s="159"/>
      <c r="Z694" s="159"/>
    </row>
    <row r="695" ht="15.75" customHeight="1">
      <c r="A695" s="118"/>
      <c r="B695" s="118"/>
      <c r="C695" s="181"/>
      <c r="D695" s="159"/>
      <c r="E695" s="159"/>
      <c r="F695" s="159"/>
      <c r="G695" s="159"/>
      <c r="H695" s="83"/>
      <c r="I695" s="159"/>
      <c r="J695" s="159"/>
      <c r="K695" s="159"/>
      <c r="L695" s="159"/>
      <c r="M695" s="159"/>
      <c r="N695" s="159"/>
      <c r="O695" s="159"/>
      <c r="P695" s="159"/>
      <c r="Q695" s="159"/>
      <c r="R695" s="159"/>
      <c r="S695" s="159"/>
      <c r="T695" s="159"/>
      <c r="U695" s="159"/>
      <c r="V695" s="159"/>
      <c r="W695" s="159"/>
      <c r="X695" s="159"/>
      <c r="Y695" s="159"/>
      <c r="Z695" s="159"/>
    </row>
    <row r="696" ht="15.75" customHeight="1">
      <c r="A696" s="118"/>
      <c r="B696" s="118"/>
      <c r="C696" s="181"/>
      <c r="D696" s="159"/>
      <c r="E696" s="159"/>
      <c r="F696" s="159"/>
      <c r="G696" s="159"/>
      <c r="H696" s="83"/>
      <c r="I696" s="159"/>
      <c r="J696" s="159"/>
      <c r="K696" s="159"/>
      <c r="L696" s="159"/>
      <c r="M696" s="159"/>
      <c r="N696" s="159"/>
      <c r="O696" s="159"/>
      <c r="P696" s="159"/>
      <c r="Q696" s="159"/>
      <c r="R696" s="159"/>
      <c r="S696" s="159"/>
      <c r="T696" s="159"/>
      <c r="U696" s="159"/>
      <c r="V696" s="159"/>
      <c r="W696" s="159"/>
      <c r="X696" s="159"/>
      <c r="Y696" s="159"/>
      <c r="Z696" s="159"/>
    </row>
    <row r="697" ht="15.75" customHeight="1">
      <c r="A697" s="118"/>
      <c r="B697" s="118"/>
      <c r="C697" s="181"/>
      <c r="D697" s="159"/>
      <c r="E697" s="159"/>
      <c r="F697" s="159"/>
      <c r="G697" s="159"/>
      <c r="H697" s="83"/>
      <c r="I697" s="159"/>
      <c r="J697" s="159"/>
      <c r="K697" s="159"/>
      <c r="L697" s="159"/>
      <c r="M697" s="159"/>
      <c r="N697" s="159"/>
      <c r="O697" s="159"/>
      <c r="P697" s="159"/>
      <c r="Q697" s="159"/>
      <c r="R697" s="159"/>
      <c r="S697" s="159"/>
      <c r="T697" s="159"/>
      <c r="U697" s="159"/>
      <c r="V697" s="159"/>
      <c r="W697" s="159"/>
      <c r="X697" s="159"/>
      <c r="Y697" s="159"/>
      <c r="Z697" s="159"/>
    </row>
    <row r="698" ht="15.75" customHeight="1">
      <c r="A698" s="118"/>
      <c r="B698" s="118"/>
      <c r="C698" s="181"/>
      <c r="D698" s="159"/>
      <c r="E698" s="159"/>
      <c r="F698" s="159"/>
      <c r="G698" s="159"/>
      <c r="H698" s="83"/>
      <c r="I698" s="159"/>
      <c r="J698" s="159"/>
      <c r="K698" s="159"/>
      <c r="L698" s="159"/>
      <c r="M698" s="159"/>
      <c r="N698" s="159"/>
      <c r="O698" s="159"/>
      <c r="P698" s="159"/>
      <c r="Q698" s="159"/>
      <c r="R698" s="159"/>
      <c r="S698" s="159"/>
      <c r="T698" s="159"/>
      <c r="U698" s="159"/>
      <c r="V698" s="159"/>
      <c r="W698" s="159"/>
      <c r="X698" s="159"/>
      <c r="Y698" s="159"/>
      <c r="Z698" s="159"/>
    </row>
    <row r="699" ht="15.75" customHeight="1">
      <c r="A699" s="118"/>
      <c r="B699" s="118"/>
      <c r="C699" s="181"/>
      <c r="D699" s="159"/>
      <c r="E699" s="159"/>
      <c r="F699" s="159"/>
      <c r="G699" s="159"/>
      <c r="H699" s="83"/>
      <c r="I699" s="159"/>
      <c r="J699" s="159"/>
      <c r="K699" s="159"/>
      <c r="L699" s="159"/>
      <c r="M699" s="159"/>
      <c r="N699" s="159"/>
      <c r="O699" s="159"/>
      <c r="P699" s="159"/>
      <c r="Q699" s="159"/>
      <c r="R699" s="159"/>
      <c r="S699" s="159"/>
      <c r="T699" s="159"/>
      <c r="U699" s="159"/>
      <c r="V699" s="159"/>
      <c r="W699" s="159"/>
      <c r="X699" s="159"/>
      <c r="Y699" s="159"/>
      <c r="Z699" s="159"/>
    </row>
    <row r="700" ht="15.75" customHeight="1">
      <c r="A700" s="118"/>
      <c r="B700" s="118"/>
      <c r="C700" s="181"/>
      <c r="D700" s="159"/>
      <c r="E700" s="159"/>
      <c r="F700" s="159"/>
      <c r="G700" s="159"/>
      <c r="H700" s="83"/>
      <c r="I700" s="159"/>
      <c r="J700" s="159"/>
      <c r="K700" s="159"/>
      <c r="L700" s="159"/>
      <c r="M700" s="159"/>
      <c r="N700" s="159"/>
      <c r="O700" s="159"/>
      <c r="P700" s="159"/>
      <c r="Q700" s="159"/>
      <c r="R700" s="159"/>
      <c r="S700" s="159"/>
      <c r="T700" s="159"/>
      <c r="U700" s="159"/>
      <c r="V700" s="159"/>
      <c r="W700" s="159"/>
      <c r="X700" s="159"/>
      <c r="Y700" s="159"/>
      <c r="Z700" s="159"/>
    </row>
    <row r="701" ht="15.75" customHeight="1">
      <c r="A701" s="118"/>
      <c r="B701" s="118"/>
      <c r="C701" s="181"/>
      <c r="D701" s="159"/>
      <c r="E701" s="159"/>
      <c r="F701" s="159"/>
      <c r="G701" s="159"/>
      <c r="H701" s="83"/>
      <c r="I701" s="159"/>
      <c r="J701" s="159"/>
      <c r="K701" s="159"/>
      <c r="L701" s="159"/>
      <c r="M701" s="159"/>
      <c r="N701" s="159"/>
      <c r="O701" s="159"/>
      <c r="P701" s="159"/>
      <c r="Q701" s="159"/>
      <c r="R701" s="159"/>
      <c r="S701" s="159"/>
      <c r="T701" s="159"/>
      <c r="U701" s="159"/>
      <c r="V701" s="159"/>
      <c r="W701" s="159"/>
      <c r="X701" s="159"/>
      <c r="Y701" s="159"/>
      <c r="Z701" s="159"/>
    </row>
    <row r="702" ht="15.75" customHeight="1">
      <c r="A702" s="118"/>
      <c r="B702" s="118"/>
      <c r="C702" s="181"/>
      <c r="D702" s="159"/>
      <c r="E702" s="159"/>
      <c r="F702" s="159"/>
      <c r="G702" s="159"/>
      <c r="H702" s="83"/>
      <c r="I702" s="159"/>
      <c r="J702" s="159"/>
      <c r="K702" s="159"/>
      <c r="L702" s="159"/>
      <c r="M702" s="159"/>
      <c r="N702" s="159"/>
      <c r="O702" s="159"/>
      <c r="P702" s="159"/>
      <c r="Q702" s="159"/>
      <c r="R702" s="159"/>
      <c r="S702" s="159"/>
      <c r="T702" s="159"/>
      <c r="U702" s="159"/>
      <c r="V702" s="159"/>
      <c r="W702" s="159"/>
      <c r="X702" s="159"/>
      <c r="Y702" s="159"/>
      <c r="Z702" s="159"/>
    </row>
    <row r="703" ht="15.75" customHeight="1">
      <c r="A703" s="118"/>
      <c r="B703" s="118"/>
      <c r="C703" s="181"/>
      <c r="D703" s="159"/>
      <c r="E703" s="159"/>
      <c r="F703" s="159"/>
      <c r="G703" s="159"/>
      <c r="H703" s="83"/>
      <c r="I703" s="159"/>
      <c r="J703" s="159"/>
      <c r="K703" s="159"/>
      <c r="L703" s="159"/>
      <c r="M703" s="159"/>
      <c r="N703" s="159"/>
      <c r="O703" s="159"/>
      <c r="P703" s="159"/>
      <c r="Q703" s="159"/>
      <c r="R703" s="159"/>
      <c r="S703" s="159"/>
      <c r="T703" s="159"/>
      <c r="U703" s="159"/>
      <c r="V703" s="159"/>
      <c r="W703" s="159"/>
      <c r="X703" s="159"/>
      <c r="Y703" s="159"/>
      <c r="Z703" s="159"/>
    </row>
    <row r="704" ht="15.75" customHeight="1">
      <c r="A704" s="118"/>
      <c r="B704" s="118"/>
      <c r="C704" s="181"/>
      <c r="D704" s="159"/>
      <c r="E704" s="159"/>
      <c r="F704" s="159"/>
      <c r="G704" s="159"/>
      <c r="H704" s="83"/>
      <c r="I704" s="159"/>
      <c r="J704" s="159"/>
      <c r="K704" s="159"/>
      <c r="L704" s="159"/>
      <c r="M704" s="159"/>
      <c r="N704" s="159"/>
      <c r="O704" s="159"/>
      <c r="P704" s="159"/>
      <c r="Q704" s="159"/>
      <c r="R704" s="159"/>
      <c r="S704" s="159"/>
      <c r="T704" s="159"/>
      <c r="U704" s="159"/>
      <c r="V704" s="159"/>
      <c r="W704" s="159"/>
      <c r="X704" s="159"/>
      <c r="Y704" s="159"/>
      <c r="Z704" s="159"/>
    </row>
    <row r="705" ht="15.75" customHeight="1">
      <c r="A705" s="118"/>
      <c r="B705" s="118"/>
      <c r="C705" s="181"/>
      <c r="D705" s="159"/>
      <c r="E705" s="159"/>
      <c r="F705" s="159"/>
      <c r="G705" s="159"/>
      <c r="H705" s="83"/>
      <c r="I705" s="159"/>
      <c r="J705" s="159"/>
      <c r="K705" s="159"/>
      <c r="L705" s="159"/>
      <c r="M705" s="159"/>
      <c r="N705" s="159"/>
      <c r="O705" s="159"/>
      <c r="P705" s="159"/>
      <c r="Q705" s="159"/>
      <c r="R705" s="159"/>
      <c r="S705" s="159"/>
      <c r="T705" s="159"/>
      <c r="U705" s="159"/>
      <c r="V705" s="159"/>
      <c r="W705" s="159"/>
      <c r="X705" s="159"/>
      <c r="Y705" s="159"/>
      <c r="Z705" s="159"/>
    </row>
    <row r="706" ht="15.75" customHeight="1">
      <c r="A706" s="118"/>
      <c r="B706" s="118"/>
      <c r="C706" s="181"/>
      <c r="D706" s="159"/>
      <c r="E706" s="159"/>
      <c r="F706" s="159"/>
      <c r="G706" s="159"/>
      <c r="H706" s="83"/>
      <c r="I706" s="159"/>
      <c r="J706" s="159"/>
      <c r="K706" s="159"/>
      <c r="L706" s="159"/>
      <c r="M706" s="159"/>
      <c r="N706" s="159"/>
      <c r="O706" s="159"/>
      <c r="P706" s="159"/>
      <c r="Q706" s="159"/>
      <c r="R706" s="159"/>
      <c r="S706" s="159"/>
      <c r="T706" s="159"/>
      <c r="U706" s="159"/>
      <c r="V706" s="159"/>
      <c r="W706" s="159"/>
      <c r="X706" s="159"/>
      <c r="Y706" s="159"/>
      <c r="Z706" s="159"/>
    </row>
    <row r="707" ht="15.75" customHeight="1">
      <c r="A707" s="118"/>
      <c r="B707" s="118"/>
      <c r="C707" s="181"/>
      <c r="D707" s="159"/>
      <c r="E707" s="159"/>
      <c r="F707" s="159"/>
      <c r="G707" s="159"/>
      <c r="H707" s="83"/>
      <c r="I707" s="159"/>
      <c r="J707" s="159"/>
      <c r="K707" s="159"/>
      <c r="L707" s="159"/>
      <c r="M707" s="159"/>
      <c r="N707" s="159"/>
      <c r="O707" s="159"/>
      <c r="P707" s="159"/>
      <c r="Q707" s="159"/>
      <c r="R707" s="159"/>
      <c r="S707" s="159"/>
      <c r="T707" s="159"/>
      <c r="U707" s="159"/>
      <c r="V707" s="159"/>
      <c r="W707" s="159"/>
      <c r="X707" s="159"/>
      <c r="Y707" s="159"/>
      <c r="Z707" s="159"/>
    </row>
    <row r="708" ht="15.75" customHeight="1">
      <c r="A708" s="118"/>
      <c r="B708" s="118"/>
      <c r="C708" s="181"/>
      <c r="D708" s="159"/>
      <c r="E708" s="159"/>
      <c r="F708" s="159"/>
      <c r="G708" s="159"/>
      <c r="H708" s="83"/>
      <c r="I708" s="159"/>
      <c r="J708" s="159"/>
      <c r="K708" s="159"/>
      <c r="L708" s="159"/>
      <c r="M708" s="159"/>
      <c r="N708" s="159"/>
      <c r="O708" s="159"/>
      <c r="P708" s="159"/>
      <c r="Q708" s="159"/>
      <c r="R708" s="159"/>
      <c r="S708" s="159"/>
      <c r="T708" s="159"/>
      <c r="U708" s="159"/>
      <c r="V708" s="159"/>
      <c r="W708" s="159"/>
      <c r="X708" s="159"/>
      <c r="Y708" s="159"/>
      <c r="Z708" s="159"/>
    </row>
    <row r="709" ht="15.75" customHeight="1">
      <c r="A709" s="118"/>
      <c r="B709" s="118"/>
      <c r="C709" s="181"/>
      <c r="D709" s="159"/>
      <c r="E709" s="159"/>
      <c r="F709" s="159"/>
      <c r="G709" s="159"/>
      <c r="H709" s="83"/>
      <c r="I709" s="159"/>
      <c r="J709" s="159"/>
      <c r="K709" s="159"/>
      <c r="L709" s="159"/>
      <c r="M709" s="159"/>
      <c r="N709" s="159"/>
      <c r="O709" s="159"/>
      <c r="P709" s="159"/>
      <c r="Q709" s="159"/>
      <c r="R709" s="159"/>
      <c r="S709" s="159"/>
      <c r="T709" s="159"/>
      <c r="U709" s="159"/>
      <c r="V709" s="159"/>
      <c r="W709" s="159"/>
      <c r="X709" s="159"/>
      <c r="Y709" s="159"/>
      <c r="Z709" s="159"/>
    </row>
    <row r="710" ht="15.75" customHeight="1">
      <c r="A710" s="118"/>
      <c r="B710" s="118"/>
      <c r="C710" s="181"/>
      <c r="D710" s="159"/>
      <c r="E710" s="159"/>
      <c r="F710" s="159"/>
      <c r="G710" s="159"/>
      <c r="H710" s="83"/>
      <c r="I710" s="159"/>
      <c r="J710" s="159"/>
      <c r="K710" s="159"/>
      <c r="L710" s="159"/>
      <c r="M710" s="159"/>
      <c r="N710" s="159"/>
      <c r="O710" s="159"/>
      <c r="P710" s="159"/>
      <c r="Q710" s="159"/>
      <c r="R710" s="159"/>
      <c r="S710" s="159"/>
      <c r="T710" s="159"/>
      <c r="U710" s="159"/>
      <c r="V710" s="159"/>
      <c r="W710" s="159"/>
      <c r="X710" s="159"/>
      <c r="Y710" s="159"/>
      <c r="Z710" s="159"/>
    </row>
    <row r="711" ht="15.75" customHeight="1">
      <c r="A711" s="118"/>
      <c r="B711" s="118"/>
      <c r="C711" s="181"/>
      <c r="D711" s="159"/>
      <c r="E711" s="159"/>
      <c r="F711" s="159"/>
      <c r="G711" s="159"/>
      <c r="H711" s="83"/>
      <c r="I711" s="159"/>
      <c r="J711" s="159"/>
      <c r="K711" s="159"/>
      <c r="L711" s="159"/>
      <c r="M711" s="159"/>
      <c r="N711" s="159"/>
      <c r="O711" s="159"/>
      <c r="P711" s="159"/>
      <c r="Q711" s="159"/>
      <c r="R711" s="159"/>
      <c r="S711" s="159"/>
      <c r="T711" s="159"/>
      <c r="U711" s="159"/>
      <c r="V711" s="159"/>
      <c r="W711" s="159"/>
      <c r="X711" s="159"/>
      <c r="Y711" s="159"/>
      <c r="Z711" s="159"/>
    </row>
    <row r="712" ht="15.75" customHeight="1">
      <c r="A712" s="118"/>
      <c r="B712" s="118"/>
      <c r="C712" s="181"/>
      <c r="D712" s="159"/>
      <c r="E712" s="159"/>
      <c r="F712" s="159"/>
      <c r="G712" s="159"/>
      <c r="H712" s="83"/>
      <c r="I712" s="159"/>
      <c r="J712" s="159"/>
      <c r="K712" s="159"/>
      <c r="L712" s="159"/>
      <c r="M712" s="159"/>
      <c r="N712" s="159"/>
      <c r="O712" s="159"/>
      <c r="P712" s="159"/>
      <c r="Q712" s="159"/>
      <c r="R712" s="159"/>
      <c r="S712" s="159"/>
      <c r="T712" s="159"/>
      <c r="U712" s="159"/>
      <c r="V712" s="159"/>
      <c r="W712" s="159"/>
      <c r="X712" s="159"/>
      <c r="Y712" s="159"/>
      <c r="Z712" s="159"/>
    </row>
    <row r="713" ht="15.75" customHeight="1">
      <c r="A713" s="118"/>
      <c r="B713" s="118"/>
      <c r="C713" s="181"/>
      <c r="D713" s="159"/>
      <c r="E713" s="159"/>
      <c r="F713" s="159"/>
      <c r="G713" s="159"/>
      <c r="H713" s="83"/>
      <c r="I713" s="159"/>
      <c r="J713" s="159"/>
      <c r="K713" s="159"/>
      <c r="L713" s="159"/>
      <c r="M713" s="159"/>
      <c r="N713" s="159"/>
      <c r="O713" s="159"/>
      <c r="P713" s="159"/>
      <c r="Q713" s="159"/>
      <c r="R713" s="159"/>
      <c r="S713" s="159"/>
      <c r="T713" s="159"/>
      <c r="U713" s="159"/>
      <c r="V713" s="159"/>
      <c r="W713" s="159"/>
      <c r="X713" s="159"/>
      <c r="Y713" s="159"/>
      <c r="Z713" s="159"/>
    </row>
    <row r="714" ht="15.75" customHeight="1">
      <c r="A714" s="118"/>
      <c r="B714" s="118"/>
      <c r="C714" s="181"/>
      <c r="D714" s="159"/>
      <c r="E714" s="159"/>
      <c r="F714" s="159"/>
      <c r="G714" s="159"/>
      <c r="H714" s="83"/>
      <c r="I714" s="159"/>
      <c r="J714" s="159"/>
      <c r="K714" s="159"/>
      <c r="L714" s="159"/>
      <c r="M714" s="159"/>
      <c r="N714" s="159"/>
      <c r="O714" s="159"/>
      <c r="P714" s="159"/>
      <c r="Q714" s="159"/>
      <c r="R714" s="159"/>
      <c r="S714" s="159"/>
      <c r="T714" s="159"/>
      <c r="U714" s="159"/>
      <c r="V714" s="159"/>
      <c r="W714" s="159"/>
      <c r="X714" s="159"/>
      <c r="Y714" s="159"/>
      <c r="Z714" s="159"/>
    </row>
    <row r="715" ht="15.75" customHeight="1">
      <c r="A715" s="118"/>
      <c r="B715" s="118"/>
      <c r="C715" s="181"/>
      <c r="D715" s="159"/>
      <c r="E715" s="159"/>
      <c r="F715" s="159"/>
      <c r="G715" s="159"/>
      <c r="H715" s="83"/>
      <c r="I715" s="159"/>
      <c r="J715" s="159"/>
      <c r="K715" s="159"/>
      <c r="L715" s="159"/>
      <c r="M715" s="159"/>
      <c r="N715" s="159"/>
      <c r="O715" s="159"/>
      <c r="P715" s="159"/>
      <c r="Q715" s="159"/>
      <c r="R715" s="159"/>
      <c r="S715" s="159"/>
      <c r="T715" s="159"/>
      <c r="U715" s="159"/>
      <c r="V715" s="159"/>
      <c r="W715" s="159"/>
      <c r="X715" s="159"/>
      <c r="Y715" s="159"/>
      <c r="Z715" s="159"/>
    </row>
    <row r="716" ht="15.75" customHeight="1">
      <c r="A716" s="118"/>
      <c r="B716" s="118"/>
      <c r="C716" s="181"/>
      <c r="D716" s="159"/>
      <c r="E716" s="159"/>
      <c r="F716" s="159"/>
      <c r="G716" s="159"/>
      <c r="H716" s="83"/>
      <c r="I716" s="159"/>
      <c r="J716" s="159"/>
      <c r="K716" s="159"/>
      <c r="L716" s="159"/>
      <c r="M716" s="159"/>
      <c r="N716" s="159"/>
      <c r="O716" s="159"/>
      <c r="P716" s="159"/>
      <c r="Q716" s="159"/>
      <c r="R716" s="159"/>
      <c r="S716" s="159"/>
      <c r="T716" s="159"/>
      <c r="U716" s="159"/>
      <c r="V716" s="159"/>
      <c r="W716" s="159"/>
      <c r="X716" s="159"/>
      <c r="Y716" s="159"/>
      <c r="Z716" s="159"/>
    </row>
    <row r="717" ht="15.75" customHeight="1">
      <c r="A717" s="118"/>
      <c r="B717" s="118"/>
      <c r="C717" s="181"/>
      <c r="D717" s="159"/>
      <c r="E717" s="159"/>
      <c r="F717" s="159"/>
      <c r="G717" s="159"/>
      <c r="H717" s="83"/>
      <c r="I717" s="159"/>
      <c r="J717" s="159"/>
      <c r="K717" s="159"/>
      <c r="L717" s="159"/>
      <c r="M717" s="159"/>
      <c r="N717" s="159"/>
      <c r="O717" s="159"/>
      <c r="P717" s="159"/>
      <c r="Q717" s="159"/>
      <c r="R717" s="159"/>
      <c r="S717" s="159"/>
      <c r="T717" s="159"/>
      <c r="U717" s="159"/>
      <c r="V717" s="159"/>
      <c r="W717" s="159"/>
      <c r="X717" s="159"/>
      <c r="Y717" s="159"/>
      <c r="Z717" s="159"/>
    </row>
    <row r="718" ht="15.75" customHeight="1">
      <c r="A718" s="118"/>
      <c r="B718" s="118"/>
      <c r="C718" s="181"/>
      <c r="D718" s="159"/>
      <c r="E718" s="159"/>
      <c r="F718" s="159"/>
      <c r="G718" s="159"/>
      <c r="H718" s="83"/>
      <c r="I718" s="159"/>
      <c r="J718" s="159"/>
      <c r="K718" s="159"/>
      <c r="L718" s="159"/>
      <c r="M718" s="159"/>
      <c r="N718" s="159"/>
      <c r="O718" s="159"/>
      <c r="P718" s="159"/>
      <c r="Q718" s="159"/>
      <c r="R718" s="159"/>
      <c r="S718" s="159"/>
      <c r="T718" s="159"/>
      <c r="U718" s="159"/>
      <c r="V718" s="159"/>
      <c r="W718" s="159"/>
      <c r="X718" s="159"/>
      <c r="Y718" s="159"/>
      <c r="Z718" s="159"/>
    </row>
    <row r="719" ht="15.75" customHeight="1">
      <c r="A719" s="118"/>
      <c r="B719" s="118"/>
      <c r="C719" s="181"/>
      <c r="D719" s="159"/>
      <c r="E719" s="159"/>
      <c r="F719" s="159"/>
      <c r="G719" s="159"/>
      <c r="H719" s="83"/>
      <c r="I719" s="159"/>
      <c r="J719" s="159"/>
      <c r="K719" s="159"/>
      <c r="L719" s="159"/>
      <c r="M719" s="159"/>
      <c r="N719" s="159"/>
      <c r="O719" s="159"/>
      <c r="P719" s="159"/>
      <c r="Q719" s="159"/>
      <c r="R719" s="159"/>
      <c r="S719" s="159"/>
      <c r="T719" s="159"/>
      <c r="U719" s="159"/>
      <c r="V719" s="159"/>
      <c r="W719" s="159"/>
      <c r="X719" s="159"/>
      <c r="Y719" s="159"/>
      <c r="Z719" s="159"/>
    </row>
    <row r="720" ht="15.75" customHeight="1">
      <c r="A720" s="118"/>
      <c r="B720" s="118"/>
      <c r="C720" s="181"/>
      <c r="D720" s="159"/>
      <c r="E720" s="159"/>
      <c r="F720" s="159"/>
      <c r="G720" s="159"/>
      <c r="H720" s="83"/>
      <c r="I720" s="159"/>
      <c r="J720" s="159"/>
      <c r="K720" s="159"/>
      <c r="L720" s="159"/>
      <c r="M720" s="159"/>
      <c r="N720" s="159"/>
      <c r="O720" s="159"/>
      <c r="P720" s="159"/>
      <c r="Q720" s="159"/>
      <c r="R720" s="159"/>
      <c r="S720" s="159"/>
      <c r="T720" s="159"/>
      <c r="U720" s="159"/>
      <c r="V720" s="159"/>
      <c r="W720" s="159"/>
      <c r="X720" s="159"/>
      <c r="Y720" s="159"/>
      <c r="Z720" s="159"/>
    </row>
    <row r="721" ht="15.75" customHeight="1">
      <c r="A721" s="118"/>
      <c r="B721" s="118"/>
      <c r="C721" s="181"/>
      <c r="D721" s="159"/>
      <c r="E721" s="159"/>
      <c r="F721" s="159"/>
      <c r="G721" s="159"/>
      <c r="H721" s="83"/>
      <c r="I721" s="159"/>
      <c r="J721" s="159"/>
      <c r="K721" s="159"/>
      <c r="L721" s="159"/>
      <c r="M721" s="159"/>
      <c r="N721" s="159"/>
      <c r="O721" s="159"/>
      <c r="P721" s="159"/>
      <c r="Q721" s="159"/>
      <c r="R721" s="159"/>
      <c r="S721" s="159"/>
      <c r="T721" s="159"/>
      <c r="U721" s="159"/>
      <c r="V721" s="159"/>
      <c r="W721" s="159"/>
      <c r="X721" s="159"/>
      <c r="Y721" s="159"/>
      <c r="Z721" s="159"/>
    </row>
    <row r="722" ht="15.75" customHeight="1">
      <c r="A722" s="118"/>
      <c r="B722" s="118"/>
      <c r="C722" s="181"/>
      <c r="D722" s="159"/>
      <c r="E722" s="159"/>
      <c r="F722" s="159"/>
      <c r="G722" s="159"/>
      <c r="H722" s="83"/>
      <c r="I722" s="159"/>
      <c r="J722" s="159"/>
      <c r="K722" s="159"/>
      <c r="L722" s="159"/>
      <c r="M722" s="159"/>
      <c r="N722" s="159"/>
      <c r="O722" s="159"/>
      <c r="P722" s="159"/>
      <c r="Q722" s="159"/>
      <c r="R722" s="159"/>
      <c r="S722" s="159"/>
      <c r="T722" s="159"/>
      <c r="U722" s="159"/>
      <c r="V722" s="159"/>
      <c r="W722" s="159"/>
      <c r="X722" s="159"/>
      <c r="Y722" s="159"/>
      <c r="Z722" s="159"/>
    </row>
    <row r="723" ht="15.75" customHeight="1">
      <c r="A723" s="118"/>
      <c r="B723" s="118"/>
      <c r="C723" s="181"/>
      <c r="D723" s="159"/>
      <c r="E723" s="159"/>
      <c r="F723" s="159"/>
      <c r="G723" s="159"/>
      <c r="H723" s="83"/>
      <c r="I723" s="159"/>
      <c r="J723" s="159"/>
      <c r="K723" s="159"/>
      <c r="L723" s="159"/>
      <c r="M723" s="159"/>
      <c r="N723" s="159"/>
      <c r="O723" s="159"/>
      <c r="P723" s="159"/>
      <c r="Q723" s="159"/>
      <c r="R723" s="159"/>
      <c r="S723" s="159"/>
      <c r="T723" s="159"/>
      <c r="U723" s="159"/>
      <c r="V723" s="159"/>
      <c r="W723" s="159"/>
      <c r="X723" s="159"/>
      <c r="Y723" s="159"/>
      <c r="Z723" s="159"/>
    </row>
    <row r="724" ht="15.75" customHeight="1">
      <c r="A724" s="118"/>
      <c r="B724" s="118"/>
      <c r="C724" s="181"/>
      <c r="D724" s="159"/>
      <c r="E724" s="159"/>
      <c r="F724" s="159"/>
      <c r="G724" s="159"/>
      <c r="H724" s="83"/>
      <c r="I724" s="159"/>
      <c r="J724" s="159"/>
      <c r="K724" s="159"/>
      <c r="L724" s="159"/>
      <c r="M724" s="159"/>
      <c r="N724" s="159"/>
      <c r="O724" s="159"/>
      <c r="P724" s="159"/>
      <c r="Q724" s="159"/>
      <c r="R724" s="159"/>
      <c r="S724" s="159"/>
      <c r="T724" s="159"/>
      <c r="U724" s="159"/>
      <c r="V724" s="159"/>
      <c r="W724" s="159"/>
      <c r="X724" s="159"/>
      <c r="Y724" s="159"/>
      <c r="Z724" s="159"/>
    </row>
    <row r="725" ht="15.75" customHeight="1">
      <c r="A725" s="118"/>
      <c r="B725" s="118"/>
      <c r="C725" s="181"/>
      <c r="D725" s="159"/>
      <c r="E725" s="159"/>
      <c r="F725" s="159"/>
      <c r="G725" s="159"/>
      <c r="H725" s="83"/>
      <c r="I725" s="159"/>
      <c r="J725" s="159"/>
      <c r="K725" s="159"/>
      <c r="L725" s="159"/>
      <c r="M725" s="159"/>
      <c r="N725" s="159"/>
      <c r="O725" s="159"/>
      <c r="P725" s="159"/>
      <c r="Q725" s="159"/>
      <c r="R725" s="159"/>
      <c r="S725" s="159"/>
      <c r="T725" s="159"/>
      <c r="U725" s="159"/>
      <c r="V725" s="159"/>
      <c r="W725" s="159"/>
      <c r="X725" s="159"/>
      <c r="Y725" s="159"/>
      <c r="Z725" s="159"/>
    </row>
    <row r="726" ht="15.75" customHeight="1">
      <c r="A726" s="118"/>
      <c r="B726" s="118"/>
      <c r="C726" s="181"/>
      <c r="D726" s="159"/>
      <c r="E726" s="159"/>
      <c r="F726" s="159"/>
      <c r="G726" s="159"/>
      <c r="H726" s="83"/>
      <c r="I726" s="159"/>
      <c r="J726" s="159"/>
      <c r="K726" s="159"/>
      <c r="L726" s="159"/>
      <c r="M726" s="159"/>
      <c r="N726" s="159"/>
      <c r="O726" s="159"/>
      <c r="P726" s="159"/>
      <c r="Q726" s="159"/>
      <c r="R726" s="159"/>
      <c r="S726" s="159"/>
      <c r="T726" s="159"/>
      <c r="U726" s="159"/>
      <c r="V726" s="159"/>
      <c r="W726" s="159"/>
      <c r="X726" s="159"/>
      <c r="Y726" s="159"/>
      <c r="Z726" s="159"/>
    </row>
    <row r="727" ht="15.75" customHeight="1">
      <c r="A727" s="118"/>
      <c r="B727" s="118"/>
      <c r="C727" s="181"/>
      <c r="D727" s="159"/>
      <c r="E727" s="159"/>
      <c r="F727" s="159"/>
      <c r="G727" s="159"/>
      <c r="H727" s="83"/>
      <c r="I727" s="159"/>
      <c r="J727" s="159"/>
      <c r="K727" s="159"/>
      <c r="L727" s="159"/>
      <c r="M727" s="159"/>
      <c r="N727" s="159"/>
      <c r="O727" s="159"/>
      <c r="P727" s="159"/>
      <c r="Q727" s="159"/>
      <c r="R727" s="159"/>
      <c r="S727" s="159"/>
      <c r="T727" s="159"/>
      <c r="U727" s="159"/>
      <c r="V727" s="159"/>
      <c r="W727" s="159"/>
      <c r="X727" s="159"/>
      <c r="Y727" s="159"/>
      <c r="Z727" s="159"/>
    </row>
    <row r="728" ht="15.75" customHeight="1">
      <c r="A728" s="118"/>
      <c r="B728" s="118"/>
      <c r="C728" s="181"/>
      <c r="D728" s="159"/>
      <c r="E728" s="159"/>
      <c r="F728" s="159"/>
      <c r="G728" s="159"/>
      <c r="H728" s="83"/>
      <c r="I728" s="159"/>
      <c r="J728" s="159"/>
      <c r="K728" s="159"/>
      <c r="L728" s="159"/>
      <c r="M728" s="159"/>
      <c r="N728" s="159"/>
      <c r="O728" s="159"/>
      <c r="P728" s="159"/>
      <c r="Q728" s="159"/>
      <c r="R728" s="159"/>
      <c r="S728" s="159"/>
      <c r="T728" s="159"/>
      <c r="U728" s="159"/>
      <c r="V728" s="159"/>
      <c r="W728" s="159"/>
      <c r="X728" s="159"/>
      <c r="Y728" s="159"/>
      <c r="Z728" s="159"/>
    </row>
    <row r="729" ht="15.75" customHeight="1">
      <c r="A729" s="118"/>
      <c r="B729" s="118"/>
      <c r="C729" s="181"/>
      <c r="D729" s="159"/>
      <c r="E729" s="159"/>
      <c r="F729" s="159"/>
      <c r="G729" s="159"/>
      <c r="H729" s="83"/>
      <c r="I729" s="159"/>
      <c r="J729" s="159"/>
      <c r="K729" s="159"/>
      <c r="L729" s="159"/>
      <c r="M729" s="159"/>
      <c r="N729" s="159"/>
      <c r="O729" s="159"/>
      <c r="P729" s="159"/>
      <c r="Q729" s="159"/>
      <c r="R729" s="159"/>
      <c r="S729" s="159"/>
      <c r="T729" s="159"/>
      <c r="U729" s="159"/>
      <c r="V729" s="159"/>
      <c r="W729" s="159"/>
      <c r="X729" s="159"/>
      <c r="Y729" s="159"/>
      <c r="Z729" s="159"/>
    </row>
    <row r="730" ht="15.75" customHeight="1">
      <c r="A730" s="118"/>
      <c r="B730" s="118"/>
      <c r="C730" s="181"/>
      <c r="D730" s="159"/>
      <c r="E730" s="159"/>
      <c r="F730" s="159"/>
      <c r="G730" s="159"/>
      <c r="H730" s="83"/>
      <c r="I730" s="159"/>
      <c r="J730" s="159"/>
      <c r="K730" s="159"/>
      <c r="L730" s="159"/>
      <c r="M730" s="159"/>
      <c r="N730" s="159"/>
      <c r="O730" s="159"/>
      <c r="P730" s="159"/>
      <c r="Q730" s="159"/>
      <c r="R730" s="159"/>
      <c r="S730" s="159"/>
      <c r="T730" s="159"/>
      <c r="U730" s="159"/>
      <c r="V730" s="159"/>
      <c r="W730" s="159"/>
      <c r="X730" s="159"/>
      <c r="Y730" s="159"/>
      <c r="Z730" s="159"/>
    </row>
    <row r="731" ht="15.75" customHeight="1">
      <c r="A731" s="118"/>
      <c r="B731" s="118"/>
      <c r="C731" s="181"/>
      <c r="D731" s="159"/>
      <c r="E731" s="159"/>
      <c r="F731" s="159"/>
      <c r="G731" s="159"/>
      <c r="H731" s="83"/>
      <c r="I731" s="159"/>
      <c r="J731" s="159"/>
      <c r="K731" s="159"/>
      <c r="L731" s="159"/>
      <c r="M731" s="159"/>
      <c r="N731" s="159"/>
      <c r="O731" s="159"/>
      <c r="P731" s="159"/>
      <c r="Q731" s="159"/>
      <c r="R731" s="159"/>
      <c r="S731" s="159"/>
      <c r="T731" s="159"/>
      <c r="U731" s="159"/>
      <c r="V731" s="159"/>
      <c r="W731" s="159"/>
      <c r="X731" s="159"/>
      <c r="Y731" s="159"/>
      <c r="Z731" s="159"/>
    </row>
    <row r="732" ht="15.75" customHeight="1">
      <c r="A732" s="118"/>
      <c r="B732" s="118"/>
      <c r="C732" s="181"/>
      <c r="D732" s="159"/>
      <c r="E732" s="159"/>
      <c r="F732" s="159"/>
      <c r="G732" s="159"/>
      <c r="H732" s="83"/>
      <c r="I732" s="159"/>
      <c r="J732" s="159"/>
      <c r="K732" s="159"/>
      <c r="L732" s="159"/>
      <c r="M732" s="159"/>
      <c r="N732" s="159"/>
      <c r="O732" s="159"/>
      <c r="P732" s="159"/>
      <c r="Q732" s="159"/>
      <c r="R732" s="159"/>
      <c r="S732" s="159"/>
      <c r="T732" s="159"/>
      <c r="U732" s="159"/>
      <c r="V732" s="159"/>
      <c r="W732" s="159"/>
      <c r="X732" s="159"/>
      <c r="Y732" s="159"/>
      <c r="Z732" s="159"/>
    </row>
    <row r="733" ht="15.75" customHeight="1">
      <c r="A733" s="118"/>
      <c r="B733" s="118"/>
      <c r="C733" s="181"/>
      <c r="D733" s="159"/>
      <c r="E733" s="159"/>
      <c r="F733" s="159"/>
      <c r="G733" s="159"/>
      <c r="H733" s="83"/>
      <c r="I733" s="159"/>
      <c r="J733" s="159"/>
      <c r="K733" s="159"/>
      <c r="L733" s="159"/>
      <c r="M733" s="159"/>
      <c r="N733" s="159"/>
      <c r="O733" s="159"/>
      <c r="P733" s="159"/>
      <c r="Q733" s="159"/>
      <c r="R733" s="159"/>
      <c r="S733" s="159"/>
      <c r="T733" s="159"/>
      <c r="U733" s="159"/>
      <c r="V733" s="159"/>
      <c r="W733" s="159"/>
      <c r="X733" s="159"/>
      <c r="Y733" s="159"/>
      <c r="Z733" s="159"/>
    </row>
    <row r="734" ht="15.75" customHeight="1">
      <c r="A734" s="118"/>
      <c r="B734" s="118"/>
      <c r="C734" s="181"/>
      <c r="D734" s="159"/>
      <c r="E734" s="159"/>
      <c r="F734" s="159"/>
      <c r="G734" s="159"/>
      <c r="H734" s="83"/>
      <c r="I734" s="159"/>
      <c r="J734" s="159"/>
      <c r="K734" s="159"/>
      <c r="L734" s="159"/>
      <c r="M734" s="159"/>
      <c r="N734" s="159"/>
      <c r="O734" s="159"/>
      <c r="P734" s="159"/>
      <c r="Q734" s="159"/>
      <c r="R734" s="159"/>
      <c r="S734" s="159"/>
      <c r="T734" s="159"/>
      <c r="U734" s="159"/>
      <c r="V734" s="159"/>
      <c r="W734" s="159"/>
      <c r="X734" s="159"/>
      <c r="Y734" s="159"/>
      <c r="Z734" s="159"/>
    </row>
    <row r="735" ht="15.75" customHeight="1">
      <c r="A735" s="118"/>
      <c r="B735" s="118"/>
      <c r="C735" s="181"/>
      <c r="D735" s="159"/>
      <c r="E735" s="159"/>
      <c r="F735" s="159"/>
      <c r="G735" s="159"/>
      <c r="H735" s="83"/>
      <c r="I735" s="159"/>
      <c r="J735" s="159"/>
      <c r="K735" s="159"/>
      <c r="L735" s="159"/>
      <c r="M735" s="159"/>
      <c r="N735" s="159"/>
      <c r="O735" s="159"/>
      <c r="P735" s="159"/>
      <c r="Q735" s="159"/>
      <c r="R735" s="159"/>
      <c r="S735" s="159"/>
      <c r="T735" s="159"/>
      <c r="U735" s="159"/>
      <c r="V735" s="159"/>
      <c r="W735" s="159"/>
      <c r="X735" s="159"/>
      <c r="Y735" s="159"/>
      <c r="Z735" s="159"/>
    </row>
    <row r="736" ht="15.75" customHeight="1">
      <c r="A736" s="118"/>
      <c r="B736" s="118"/>
      <c r="C736" s="181"/>
      <c r="D736" s="159"/>
      <c r="E736" s="159"/>
      <c r="F736" s="159"/>
      <c r="G736" s="159"/>
      <c r="H736" s="83"/>
      <c r="I736" s="159"/>
      <c r="J736" s="159"/>
      <c r="K736" s="159"/>
      <c r="L736" s="159"/>
      <c r="M736" s="159"/>
      <c r="N736" s="159"/>
      <c r="O736" s="159"/>
      <c r="P736" s="159"/>
      <c r="Q736" s="159"/>
      <c r="R736" s="159"/>
      <c r="S736" s="159"/>
      <c r="T736" s="159"/>
      <c r="U736" s="159"/>
      <c r="V736" s="159"/>
      <c r="W736" s="159"/>
      <c r="X736" s="159"/>
      <c r="Y736" s="159"/>
      <c r="Z736" s="159"/>
    </row>
    <row r="737" ht="15.75" customHeight="1">
      <c r="A737" s="118"/>
      <c r="B737" s="118"/>
      <c r="C737" s="181"/>
      <c r="D737" s="159"/>
      <c r="E737" s="159"/>
      <c r="F737" s="159"/>
      <c r="G737" s="159"/>
      <c r="H737" s="83"/>
      <c r="I737" s="159"/>
      <c r="J737" s="159"/>
      <c r="K737" s="159"/>
      <c r="L737" s="159"/>
      <c r="M737" s="159"/>
      <c r="N737" s="159"/>
      <c r="O737" s="159"/>
      <c r="P737" s="159"/>
      <c r="Q737" s="159"/>
      <c r="R737" s="159"/>
      <c r="S737" s="159"/>
      <c r="T737" s="159"/>
      <c r="U737" s="159"/>
      <c r="V737" s="159"/>
      <c r="W737" s="159"/>
      <c r="X737" s="159"/>
      <c r="Y737" s="159"/>
      <c r="Z737" s="159"/>
    </row>
    <row r="738" ht="15.75" customHeight="1">
      <c r="A738" s="118"/>
      <c r="B738" s="118"/>
      <c r="C738" s="181"/>
      <c r="D738" s="159"/>
      <c r="E738" s="159"/>
      <c r="F738" s="159"/>
      <c r="G738" s="159"/>
      <c r="H738" s="83"/>
      <c r="I738" s="159"/>
      <c r="J738" s="159"/>
      <c r="K738" s="159"/>
      <c r="L738" s="159"/>
      <c r="M738" s="159"/>
      <c r="N738" s="159"/>
      <c r="O738" s="159"/>
      <c r="P738" s="159"/>
      <c r="Q738" s="159"/>
      <c r="R738" s="159"/>
      <c r="S738" s="159"/>
      <c r="T738" s="159"/>
      <c r="U738" s="159"/>
      <c r="V738" s="159"/>
      <c r="W738" s="159"/>
      <c r="X738" s="159"/>
      <c r="Y738" s="159"/>
      <c r="Z738" s="159"/>
    </row>
    <row r="739" ht="15.75" customHeight="1">
      <c r="A739" s="118"/>
      <c r="B739" s="118"/>
      <c r="C739" s="181"/>
      <c r="D739" s="159"/>
      <c r="E739" s="159"/>
      <c r="F739" s="159"/>
      <c r="G739" s="159"/>
      <c r="H739" s="83"/>
      <c r="I739" s="159"/>
      <c r="J739" s="159"/>
      <c r="K739" s="159"/>
      <c r="L739" s="159"/>
      <c r="M739" s="159"/>
      <c r="N739" s="159"/>
      <c r="O739" s="159"/>
      <c r="P739" s="159"/>
      <c r="Q739" s="159"/>
      <c r="R739" s="159"/>
      <c r="S739" s="159"/>
      <c r="T739" s="159"/>
      <c r="U739" s="159"/>
      <c r="V739" s="159"/>
      <c r="W739" s="159"/>
      <c r="X739" s="159"/>
      <c r="Y739" s="159"/>
      <c r="Z739" s="159"/>
    </row>
    <row r="740" ht="15.75" customHeight="1">
      <c r="A740" s="118"/>
      <c r="B740" s="118"/>
      <c r="C740" s="181"/>
      <c r="D740" s="159"/>
      <c r="E740" s="159"/>
      <c r="F740" s="159"/>
      <c r="G740" s="159"/>
      <c r="H740" s="83"/>
      <c r="I740" s="159"/>
      <c r="J740" s="159"/>
      <c r="K740" s="159"/>
      <c r="L740" s="159"/>
      <c r="M740" s="159"/>
      <c r="N740" s="159"/>
      <c r="O740" s="159"/>
      <c r="P740" s="159"/>
      <c r="Q740" s="159"/>
      <c r="R740" s="159"/>
      <c r="S740" s="159"/>
      <c r="T740" s="159"/>
      <c r="U740" s="159"/>
      <c r="V740" s="159"/>
      <c r="W740" s="159"/>
      <c r="X740" s="159"/>
      <c r="Y740" s="159"/>
      <c r="Z740" s="159"/>
    </row>
    <row r="741" ht="15.75" customHeight="1">
      <c r="A741" s="118"/>
      <c r="B741" s="118"/>
      <c r="C741" s="181"/>
      <c r="D741" s="159"/>
      <c r="E741" s="159"/>
      <c r="F741" s="159"/>
      <c r="G741" s="159"/>
      <c r="H741" s="83"/>
      <c r="I741" s="159"/>
      <c r="J741" s="159"/>
      <c r="K741" s="159"/>
      <c r="L741" s="159"/>
      <c r="M741" s="159"/>
      <c r="N741" s="159"/>
      <c r="O741" s="159"/>
      <c r="P741" s="159"/>
      <c r="Q741" s="159"/>
      <c r="R741" s="159"/>
      <c r="S741" s="159"/>
      <c r="T741" s="159"/>
      <c r="U741" s="159"/>
      <c r="V741" s="159"/>
      <c r="W741" s="159"/>
      <c r="X741" s="159"/>
      <c r="Y741" s="159"/>
      <c r="Z741" s="159"/>
    </row>
    <row r="742" ht="15.75" customHeight="1">
      <c r="A742" s="118"/>
      <c r="B742" s="118"/>
      <c r="C742" s="181"/>
      <c r="D742" s="159"/>
      <c r="E742" s="159"/>
      <c r="F742" s="159"/>
      <c r="G742" s="159"/>
      <c r="H742" s="83"/>
      <c r="I742" s="159"/>
      <c r="J742" s="159"/>
      <c r="K742" s="159"/>
      <c r="L742" s="159"/>
      <c r="M742" s="159"/>
      <c r="N742" s="159"/>
      <c r="O742" s="159"/>
      <c r="P742" s="159"/>
      <c r="Q742" s="159"/>
      <c r="R742" s="159"/>
      <c r="S742" s="159"/>
      <c r="T742" s="159"/>
      <c r="U742" s="159"/>
      <c r="V742" s="159"/>
      <c r="W742" s="159"/>
      <c r="X742" s="159"/>
      <c r="Y742" s="159"/>
      <c r="Z742" s="159"/>
    </row>
    <row r="743" ht="15.75" customHeight="1">
      <c r="A743" s="118"/>
      <c r="B743" s="118"/>
      <c r="C743" s="181"/>
      <c r="D743" s="159"/>
      <c r="E743" s="159"/>
      <c r="F743" s="159"/>
      <c r="G743" s="159"/>
      <c r="H743" s="83"/>
      <c r="I743" s="159"/>
      <c r="J743" s="159"/>
      <c r="K743" s="159"/>
      <c r="L743" s="159"/>
      <c r="M743" s="159"/>
      <c r="N743" s="159"/>
      <c r="O743" s="159"/>
      <c r="P743" s="159"/>
      <c r="Q743" s="159"/>
      <c r="R743" s="159"/>
      <c r="S743" s="159"/>
      <c r="T743" s="159"/>
      <c r="U743" s="159"/>
      <c r="V743" s="159"/>
      <c r="W743" s="159"/>
      <c r="X743" s="159"/>
      <c r="Y743" s="159"/>
      <c r="Z743" s="159"/>
    </row>
    <row r="744" ht="15.75" customHeight="1">
      <c r="A744" s="118"/>
      <c r="B744" s="118"/>
      <c r="C744" s="181"/>
      <c r="D744" s="159"/>
      <c r="E744" s="159"/>
      <c r="F744" s="159"/>
      <c r="G744" s="159"/>
      <c r="H744" s="83"/>
      <c r="I744" s="159"/>
      <c r="J744" s="159"/>
      <c r="K744" s="159"/>
      <c r="L744" s="159"/>
      <c r="M744" s="159"/>
      <c r="N744" s="159"/>
      <c r="O744" s="159"/>
      <c r="P744" s="159"/>
      <c r="Q744" s="159"/>
      <c r="R744" s="159"/>
      <c r="S744" s="159"/>
      <c r="T744" s="159"/>
      <c r="U744" s="159"/>
      <c r="V744" s="159"/>
      <c r="W744" s="159"/>
      <c r="X744" s="159"/>
      <c r="Y744" s="159"/>
      <c r="Z744" s="159"/>
    </row>
    <row r="745" ht="15.75" customHeight="1">
      <c r="A745" s="118"/>
      <c r="B745" s="118"/>
      <c r="C745" s="181"/>
      <c r="D745" s="159"/>
      <c r="E745" s="159"/>
      <c r="F745" s="159"/>
      <c r="G745" s="159"/>
      <c r="H745" s="83"/>
      <c r="I745" s="159"/>
      <c r="J745" s="159"/>
      <c r="K745" s="159"/>
      <c r="L745" s="159"/>
      <c r="M745" s="159"/>
      <c r="N745" s="159"/>
      <c r="O745" s="159"/>
      <c r="P745" s="159"/>
      <c r="Q745" s="159"/>
      <c r="R745" s="159"/>
      <c r="S745" s="159"/>
      <c r="T745" s="159"/>
      <c r="U745" s="159"/>
      <c r="V745" s="159"/>
      <c r="W745" s="159"/>
      <c r="X745" s="159"/>
      <c r="Y745" s="159"/>
      <c r="Z745" s="159"/>
    </row>
    <row r="746" ht="15.75" customHeight="1">
      <c r="A746" s="118"/>
      <c r="B746" s="118"/>
      <c r="C746" s="181"/>
      <c r="D746" s="159"/>
      <c r="E746" s="159"/>
      <c r="F746" s="159"/>
      <c r="G746" s="159"/>
      <c r="H746" s="83"/>
      <c r="I746" s="159"/>
      <c r="J746" s="159"/>
      <c r="K746" s="159"/>
      <c r="L746" s="159"/>
      <c r="M746" s="159"/>
      <c r="N746" s="159"/>
      <c r="O746" s="159"/>
      <c r="P746" s="159"/>
      <c r="Q746" s="159"/>
      <c r="R746" s="159"/>
      <c r="S746" s="159"/>
      <c r="T746" s="159"/>
      <c r="U746" s="159"/>
      <c r="V746" s="159"/>
      <c r="W746" s="159"/>
      <c r="X746" s="159"/>
      <c r="Y746" s="159"/>
      <c r="Z746" s="159"/>
    </row>
    <row r="747" ht="15.75" customHeight="1">
      <c r="A747" s="118"/>
      <c r="B747" s="118"/>
      <c r="C747" s="181"/>
      <c r="D747" s="159"/>
      <c r="E747" s="159"/>
      <c r="F747" s="159"/>
      <c r="G747" s="159"/>
      <c r="H747" s="83"/>
      <c r="I747" s="159"/>
      <c r="J747" s="159"/>
      <c r="K747" s="159"/>
      <c r="L747" s="159"/>
      <c r="M747" s="159"/>
      <c r="N747" s="159"/>
      <c r="O747" s="159"/>
      <c r="P747" s="159"/>
      <c r="Q747" s="159"/>
      <c r="R747" s="159"/>
      <c r="S747" s="159"/>
      <c r="T747" s="159"/>
      <c r="U747" s="159"/>
      <c r="V747" s="159"/>
      <c r="W747" s="159"/>
      <c r="X747" s="159"/>
      <c r="Y747" s="159"/>
      <c r="Z747" s="159"/>
    </row>
    <row r="748" ht="15.75" customHeight="1">
      <c r="A748" s="118"/>
      <c r="B748" s="118"/>
      <c r="C748" s="181"/>
      <c r="D748" s="159"/>
      <c r="E748" s="159"/>
      <c r="F748" s="159"/>
      <c r="G748" s="159"/>
      <c r="H748" s="83"/>
      <c r="I748" s="159"/>
      <c r="J748" s="159"/>
      <c r="K748" s="159"/>
      <c r="L748" s="159"/>
      <c r="M748" s="159"/>
      <c r="N748" s="159"/>
      <c r="O748" s="159"/>
      <c r="P748" s="159"/>
      <c r="Q748" s="159"/>
      <c r="R748" s="159"/>
      <c r="S748" s="159"/>
      <c r="T748" s="159"/>
      <c r="U748" s="159"/>
      <c r="V748" s="159"/>
      <c r="W748" s="159"/>
      <c r="X748" s="159"/>
      <c r="Y748" s="159"/>
      <c r="Z748" s="159"/>
    </row>
    <row r="749" ht="15.75" customHeight="1">
      <c r="A749" s="118"/>
      <c r="B749" s="118"/>
      <c r="C749" s="181"/>
      <c r="D749" s="159"/>
      <c r="E749" s="159"/>
      <c r="F749" s="159"/>
      <c r="G749" s="159"/>
      <c r="H749" s="83"/>
      <c r="I749" s="159"/>
      <c r="J749" s="159"/>
      <c r="K749" s="159"/>
      <c r="L749" s="159"/>
      <c r="M749" s="159"/>
      <c r="N749" s="159"/>
      <c r="O749" s="159"/>
      <c r="P749" s="159"/>
      <c r="Q749" s="159"/>
      <c r="R749" s="159"/>
      <c r="S749" s="159"/>
      <c r="T749" s="159"/>
      <c r="U749" s="159"/>
      <c r="V749" s="159"/>
      <c r="W749" s="159"/>
      <c r="X749" s="159"/>
      <c r="Y749" s="159"/>
      <c r="Z749" s="159"/>
    </row>
    <row r="750" ht="15.75" customHeight="1">
      <c r="A750" s="118"/>
      <c r="B750" s="118"/>
      <c r="C750" s="181"/>
      <c r="D750" s="159"/>
      <c r="E750" s="159"/>
      <c r="F750" s="159"/>
      <c r="G750" s="159"/>
      <c r="H750" s="83"/>
      <c r="I750" s="159"/>
      <c r="J750" s="159"/>
      <c r="K750" s="159"/>
      <c r="L750" s="159"/>
      <c r="M750" s="159"/>
      <c r="N750" s="159"/>
      <c r="O750" s="159"/>
      <c r="P750" s="159"/>
      <c r="Q750" s="159"/>
      <c r="R750" s="159"/>
      <c r="S750" s="159"/>
      <c r="T750" s="159"/>
      <c r="U750" s="159"/>
      <c r="V750" s="159"/>
      <c r="W750" s="159"/>
      <c r="X750" s="159"/>
      <c r="Y750" s="159"/>
      <c r="Z750" s="159"/>
    </row>
    <row r="751" ht="15.75" customHeight="1">
      <c r="A751" s="118"/>
      <c r="B751" s="118"/>
      <c r="C751" s="181"/>
      <c r="D751" s="159"/>
      <c r="E751" s="159"/>
      <c r="F751" s="159"/>
      <c r="G751" s="159"/>
      <c r="H751" s="83"/>
      <c r="I751" s="159"/>
      <c r="J751" s="159"/>
      <c r="K751" s="159"/>
      <c r="L751" s="159"/>
      <c r="M751" s="159"/>
      <c r="N751" s="159"/>
      <c r="O751" s="159"/>
      <c r="P751" s="159"/>
      <c r="Q751" s="159"/>
      <c r="R751" s="159"/>
      <c r="S751" s="159"/>
      <c r="T751" s="159"/>
      <c r="U751" s="159"/>
      <c r="V751" s="159"/>
      <c r="W751" s="159"/>
      <c r="X751" s="159"/>
      <c r="Y751" s="159"/>
      <c r="Z751" s="159"/>
    </row>
    <row r="752" ht="15.75" customHeight="1">
      <c r="A752" s="118"/>
      <c r="B752" s="118"/>
      <c r="C752" s="181"/>
      <c r="D752" s="159"/>
      <c r="E752" s="159"/>
      <c r="F752" s="159"/>
      <c r="G752" s="159"/>
      <c r="H752" s="83"/>
      <c r="I752" s="159"/>
      <c r="J752" s="159"/>
      <c r="K752" s="159"/>
      <c r="L752" s="159"/>
      <c r="M752" s="159"/>
      <c r="N752" s="159"/>
      <c r="O752" s="159"/>
      <c r="P752" s="159"/>
      <c r="Q752" s="159"/>
      <c r="R752" s="159"/>
      <c r="S752" s="159"/>
      <c r="T752" s="159"/>
      <c r="U752" s="159"/>
      <c r="V752" s="159"/>
      <c r="W752" s="159"/>
      <c r="X752" s="159"/>
      <c r="Y752" s="159"/>
      <c r="Z752" s="159"/>
    </row>
    <row r="753" ht="15.75" customHeight="1">
      <c r="A753" s="118"/>
      <c r="B753" s="118"/>
      <c r="C753" s="181"/>
      <c r="D753" s="159"/>
      <c r="E753" s="159"/>
      <c r="F753" s="159"/>
      <c r="G753" s="159"/>
      <c r="H753" s="83"/>
      <c r="I753" s="159"/>
      <c r="J753" s="159"/>
      <c r="K753" s="159"/>
      <c r="L753" s="159"/>
      <c r="M753" s="159"/>
      <c r="N753" s="159"/>
      <c r="O753" s="159"/>
      <c r="P753" s="159"/>
      <c r="Q753" s="159"/>
      <c r="R753" s="159"/>
      <c r="S753" s="159"/>
      <c r="T753" s="159"/>
      <c r="U753" s="159"/>
      <c r="V753" s="159"/>
      <c r="W753" s="159"/>
      <c r="X753" s="159"/>
      <c r="Y753" s="159"/>
      <c r="Z753" s="159"/>
    </row>
    <row r="754" ht="15.75" customHeight="1">
      <c r="A754" s="118"/>
      <c r="B754" s="118"/>
      <c r="C754" s="181"/>
      <c r="D754" s="159"/>
      <c r="E754" s="159"/>
      <c r="F754" s="159"/>
      <c r="G754" s="159"/>
      <c r="H754" s="83"/>
      <c r="I754" s="159"/>
      <c r="J754" s="159"/>
      <c r="K754" s="159"/>
      <c r="L754" s="159"/>
      <c r="M754" s="159"/>
      <c r="N754" s="159"/>
      <c r="O754" s="159"/>
      <c r="P754" s="159"/>
      <c r="Q754" s="159"/>
      <c r="R754" s="159"/>
      <c r="S754" s="159"/>
      <c r="T754" s="159"/>
      <c r="U754" s="159"/>
      <c r="V754" s="159"/>
      <c r="W754" s="159"/>
      <c r="X754" s="159"/>
      <c r="Y754" s="159"/>
      <c r="Z754" s="159"/>
    </row>
    <row r="755" ht="15.75" customHeight="1">
      <c r="A755" s="118"/>
      <c r="B755" s="118"/>
      <c r="C755" s="181"/>
      <c r="D755" s="159"/>
      <c r="E755" s="159"/>
      <c r="F755" s="159"/>
      <c r="G755" s="159"/>
      <c r="H755" s="83"/>
      <c r="I755" s="159"/>
      <c r="J755" s="159"/>
      <c r="K755" s="159"/>
      <c r="L755" s="159"/>
      <c r="M755" s="159"/>
      <c r="N755" s="159"/>
      <c r="O755" s="159"/>
      <c r="P755" s="159"/>
      <c r="Q755" s="159"/>
      <c r="R755" s="159"/>
      <c r="S755" s="159"/>
      <c r="T755" s="159"/>
      <c r="U755" s="159"/>
      <c r="V755" s="159"/>
      <c r="W755" s="159"/>
      <c r="X755" s="159"/>
      <c r="Y755" s="159"/>
      <c r="Z755" s="159"/>
    </row>
    <row r="756" ht="15.75" customHeight="1">
      <c r="A756" s="118"/>
      <c r="B756" s="118"/>
      <c r="C756" s="181"/>
      <c r="D756" s="159"/>
      <c r="E756" s="159"/>
      <c r="F756" s="159"/>
      <c r="G756" s="159"/>
      <c r="H756" s="83"/>
      <c r="I756" s="159"/>
      <c r="J756" s="159"/>
      <c r="K756" s="159"/>
      <c r="L756" s="159"/>
      <c r="M756" s="159"/>
      <c r="N756" s="159"/>
      <c r="O756" s="159"/>
      <c r="P756" s="159"/>
      <c r="Q756" s="159"/>
      <c r="R756" s="159"/>
      <c r="S756" s="159"/>
      <c r="T756" s="159"/>
      <c r="U756" s="159"/>
      <c r="V756" s="159"/>
      <c r="W756" s="159"/>
      <c r="X756" s="159"/>
      <c r="Y756" s="159"/>
      <c r="Z756" s="159"/>
    </row>
    <row r="757" ht="15.75" customHeight="1">
      <c r="A757" s="118"/>
      <c r="B757" s="118"/>
      <c r="C757" s="181"/>
      <c r="D757" s="159"/>
      <c r="E757" s="159"/>
      <c r="F757" s="159"/>
      <c r="G757" s="159"/>
      <c r="H757" s="83"/>
      <c r="I757" s="159"/>
      <c r="J757" s="159"/>
      <c r="K757" s="159"/>
      <c r="L757" s="159"/>
      <c r="M757" s="159"/>
      <c r="N757" s="159"/>
      <c r="O757" s="159"/>
      <c r="P757" s="159"/>
      <c r="Q757" s="159"/>
      <c r="R757" s="159"/>
      <c r="S757" s="159"/>
      <c r="T757" s="159"/>
      <c r="U757" s="159"/>
      <c r="V757" s="159"/>
      <c r="W757" s="159"/>
      <c r="X757" s="159"/>
      <c r="Y757" s="159"/>
      <c r="Z757" s="159"/>
    </row>
    <row r="758" ht="15.75" customHeight="1">
      <c r="A758" s="118"/>
      <c r="B758" s="118"/>
      <c r="C758" s="181"/>
      <c r="D758" s="159"/>
      <c r="E758" s="159"/>
      <c r="F758" s="159"/>
      <c r="G758" s="159"/>
      <c r="H758" s="83"/>
      <c r="I758" s="159"/>
      <c r="J758" s="159"/>
      <c r="K758" s="159"/>
      <c r="L758" s="159"/>
      <c r="M758" s="159"/>
      <c r="N758" s="159"/>
      <c r="O758" s="159"/>
      <c r="P758" s="159"/>
      <c r="Q758" s="159"/>
      <c r="R758" s="159"/>
      <c r="S758" s="159"/>
      <c r="T758" s="159"/>
      <c r="U758" s="159"/>
      <c r="V758" s="159"/>
      <c r="W758" s="159"/>
      <c r="X758" s="159"/>
      <c r="Y758" s="159"/>
      <c r="Z758" s="159"/>
    </row>
    <row r="759" ht="15.75" customHeight="1">
      <c r="A759" s="118"/>
      <c r="B759" s="118"/>
      <c r="C759" s="181"/>
      <c r="D759" s="159"/>
      <c r="E759" s="159"/>
      <c r="F759" s="159"/>
      <c r="G759" s="159"/>
      <c r="H759" s="83"/>
      <c r="I759" s="159"/>
      <c r="J759" s="159"/>
      <c r="K759" s="159"/>
      <c r="L759" s="159"/>
      <c r="M759" s="159"/>
      <c r="N759" s="159"/>
      <c r="O759" s="159"/>
      <c r="P759" s="159"/>
      <c r="Q759" s="159"/>
      <c r="R759" s="159"/>
      <c r="S759" s="159"/>
      <c r="T759" s="159"/>
      <c r="U759" s="159"/>
      <c r="V759" s="159"/>
      <c r="W759" s="159"/>
      <c r="X759" s="159"/>
      <c r="Y759" s="159"/>
      <c r="Z759" s="159"/>
    </row>
    <row r="760" ht="15.75" customHeight="1">
      <c r="A760" s="118"/>
      <c r="B760" s="118"/>
      <c r="C760" s="181"/>
      <c r="D760" s="159"/>
      <c r="E760" s="159"/>
      <c r="F760" s="159"/>
      <c r="G760" s="159"/>
      <c r="H760" s="83"/>
      <c r="I760" s="159"/>
      <c r="J760" s="159"/>
      <c r="K760" s="159"/>
      <c r="L760" s="159"/>
      <c r="M760" s="159"/>
      <c r="N760" s="159"/>
      <c r="O760" s="159"/>
      <c r="P760" s="159"/>
      <c r="Q760" s="159"/>
      <c r="R760" s="159"/>
      <c r="S760" s="159"/>
      <c r="T760" s="159"/>
      <c r="U760" s="159"/>
      <c r="V760" s="159"/>
      <c r="W760" s="159"/>
      <c r="X760" s="159"/>
      <c r="Y760" s="159"/>
      <c r="Z760" s="159"/>
    </row>
    <row r="761" ht="15.75" customHeight="1">
      <c r="A761" s="118"/>
      <c r="B761" s="118"/>
      <c r="C761" s="181"/>
      <c r="D761" s="159"/>
      <c r="E761" s="159"/>
      <c r="F761" s="159"/>
      <c r="G761" s="159"/>
      <c r="H761" s="83"/>
      <c r="I761" s="159"/>
      <c r="J761" s="159"/>
      <c r="K761" s="159"/>
      <c r="L761" s="159"/>
      <c r="M761" s="159"/>
      <c r="N761" s="159"/>
      <c r="O761" s="159"/>
      <c r="P761" s="159"/>
      <c r="Q761" s="159"/>
      <c r="R761" s="159"/>
      <c r="S761" s="159"/>
      <c r="T761" s="159"/>
      <c r="U761" s="159"/>
      <c r="V761" s="159"/>
      <c r="W761" s="159"/>
      <c r="X761" s="159"/>
      <c r="Y761" s="159"/>
      <c r="Z761" s="159"/>
    </row>
    <row r="762" ht="15.75" customHeight="1">
      <c r="A762" s="118"/>
      <c r="B762" s="118"/>
      <c r="C762" s="181"/>
      <c r="D762" s="159"/>
      <c r="E762" s="159"/>
      <c r="F762" s="159"/>
      <c r="G762" s="159"/>
      <c r="H762" s="83"/>
      <c r="I762" s="159"/>
      <c r="J762" s="159"/>
      <c r="K762" s="159"/>
      <c r="L762" s="159"/>
      <c r="M762" s="159"/>
      <c r="N762" s="159"/>
      <c r="O762" s="159"/>
      <c r="P762" s="159"/>
      <c r="Q762" s="159"/>
      <c r="R762" s="159"/>
      <c r="S762" s="159"/>
      <c r="T762" s="159"/>
      <c r="U762" s="159"/>
      <c r="V762" s="159"/>
      <c r="W762" s="159"/>
      <c r="X762" s="159"/>
      <c r="Y762" s="159"/>
      <c r="Z762" s="159"/>
    </row>
    <row r="763" ht="15.75" customHeight="1">
      <c r="A763" s="118"/>
      <c r="B763" s="118"/>
      <c r="C763" s="181"/>
      <c r="D763" s="159"/>
      <c r="E763" s="159"/>
      <c r="F763" s="159"/>
      <c r="G763" s="159"/>
      <c r="H763" s="83"/>
      <c r="I763" s="159"/>
      <c r="J763" s="159"/>
      <c r="K763" s="159"/>
      <c r="L763" s="159"/>
      <c r="M763" s="159"/>
      <c r="N763" s="159"/>
      <c r="O763" s="159"/>
      <c r="P763" s="159"/>
      <c r="Q763" s="159"/>
      <c r="R763" s="159"/>
      <c r="S763" s="159"/>
      <c r="T763" s="159"/>
      <c r="U763" s="159"/>
      <c r="V763" s="159"/>
      <c r="W763" s="159"/>
      <c r="X763" s="159"/>
      <c r="Y763" s="159"/>
      <c r="Z763" s="159"/>
    </row>
    <row r="764" ht="15.75" customHeight="1">
      <c r="A764" s="118"/>
      <c r="B764" s="118"/>
      <c r="C764" s="181"/>
      <c r="D764" s="159"/>
      <c r="E764" s="159"/>
      <c r="F764" s="159"/>
      <c r="G764" s="159"/>
      <c r="H764" s="83"/>
      <c r="I764" s="159"/>
      <c r="J764" s="159"/>
      <c r="K764" s="159"/>
      <c r="L764" s="159"/>
      <c r="M764" s="159"/>
      <c r="N764" s="159"/>
      <c r="O764" s="159"/>
      <c r="P764" s="159"/>
      <c r="Q764" s="159"/>
      <c r="R764" s="159"/>
      <c r="S764" s="159"/>
      <c r="T764" s="159"/>
      <c r="U764" s="159"/>
      <c r="V764" s="159"/>
      <c r="W764" s="159"/>
      <c r="X764" s="159"/>
      <c r="Y764" s="159"/>
      <c r="Z764" s="159"/>
    </row>
    <row r="765" ht="15.75" customHeight="1">
      <c r="A765" s="118"/>
      <c r="B765" s="118"/>
      <c r="C765" s="181"/>
      <c r="D765" s="159"/>
      <c r="E765" s="159"/>
      <c r="F765" s="159"/>
      <c r="G765" s="159"/>
      <c r="H765" s="83"/>
      <c r="I765" s="159"/>
      <c r="J765" s="159"/>
      <c r="K765" s="159"/>
      <c r="L765" s="159"/>
      <c r="M765" s="159"/>
      <c r="N765" s="159"/>
      <c r="O765" s="159"/>
      <c r="P765" s="159"/>
      <c r="Q765" s="159"/>
      <c r="R765" s="159"/>
      <c r="S765" s="159"/>
      <c r="T765" s="159"/>
      <c r="U765" s="159"/>
      <c r="V765" s="159"/>
      <c r="W765" s="159"/>
      <c r="X765" s="159"/>
      <c r="Y765" s="159"/>
      <c r="Z765" s="159"/>
    </row>
    <row r="766" ht="15.75" customHeight="1">
      <c r="A766" s="118"/>
      <c r="B766" s="118"/>
      <c r="C766" s="181"/>
      <c r="D766" s="159"/>
      <c r="E766" s="159"/>
      <c r="F766" s="159"/>
      <c r="G766" s="159"/>
      <c r="H766" s="83"/>
      <c r="I766" s="159"/>
      <c r="J766" s="159"/>
      <c r="K766" s="159"/>
      <c r="L766" s="159"/>
      <c r="M766" s="159"/>
      <c r="N766" s="159"/>
      <c r="O766" s="159"/>
      <c r="P766" s="159"/>
      <c r="Q766" s="159"/>
      <c r="R766" s="159"/>
      <c r="S766" s="159"/>
      <c r="T766" s="159"/>
      <c r="U766" s="159"/>
      <c r="V766" s="159"/>
      <c r="W766" s="159"/>
      <c r="X766" s="159"/>
      <c r="Y766" s="159"/>
      <c r="Z766" s="159"/>
    </row>
    <row r="767" ht="15.75" customHeight="1">
      <c r="A767" s="118"/>
      <c r="B767" s="118"/>
      <c r="C767" s="181"/>
      <c r="D767" s="159"/>
      <c r="E767" s="159"/>
      <c r="F767" s="159"/>
      <c r="G767" s="159"/>
      <c r="H767" s="83"/>
      <c r="I767" s="159"/>
      <c r="J767" s="159"/>
      <c r="K767" s="159"/>
      <c r="L767" s="159"/>
      <c r="M767" s="159"/>
      <c r="N767" s="159"/>
      <c r="O767" s="159"/>
      <c r="P767" s="159"/>
      <c r="Q767" s="159"/>
      <c r="R767" s="159"/>
      <c r="S767" s="159"/>
      <c r="T767" s="159"/>
      <c r="U767" s="159"/>
      <c r="V767" s="159"/>
      <c r="W767" s="159"/>
      <c r="X767" s="159"/>
      <c r="Y767" s="159"/>
      <c r="Z767" s="159"/>
    </row>
    <row r="768" ht="15.75" customHeight="1">
      <c r="A768" s="118"/>
      <c r="B768" s="118"/>
      <c r="C768" s="181"/>
      <c r="D768" s="159"/>
      <c r="E768" s="159"/>
      <c r="F768" s="159"/>
      <c r="G768" s="159"/>
      <c r="H768" s="83"/>
      <c r="I768" s="159"/>
      <c r="J768" s="159"/>
      <c r="K768" s="159"/>
      <c r="L768" s="159"/>
      <c r="M768" s="159"/>
      <c r="N768" s="159"/>
      <c r="O768" s="159"/>
      <c r="P768" s="159"/>
      <c r="Q768" s="159"/>
      <c r="R768" s="159"/>
      <c r="S768" s="159"/>
      <c r="T768" s="159"/>
      <c r="U768" s="159"/>
      <c r="V768" s="159"/>
      <c r="W768" s="159"/>
      <c r="X768" s="159"/>
      <c r="Y768" s="159"/>
      <c r="Z768" s="159"/>
    </row>
    <row r="769" ht="15.75" customHeight="1">
      <c r="A769" s="118"/>
      <c r="B769" s="118"/>
      <c r="C769" s="181"/>
      <c r="D769" s="159"/>
      <c r="E769" s="159"/>
      <c r="F769" s="159"/>
      <c r="G769" s="159"/>
      <c r="H769" s="83"/>
      <c r="I769" s="159"/>
      <c r="J769" s="159"/>
      <c r="K769" s="159"/>
      <c r="L769" s="159"/>
      <c r="M769" s="159"/>
      <c r="N769" s="159"/>
      <c r="O769" s="159"/>
      <c r="P769" s="159"/>
      <c r="Q769" s="159"/>
      <c r="R769" s="159"/>
      <c r="S769" s="159"/>
      <c r="T769" s="159"/>
      <c r="U769" s="159"/>
      <c r="V769" s="159"/>
      <c r="W769" s="159"/>
      <c r="X769" s="159"/>
      <c r="Y769" s="159"/>
      <c r="Z769" s="159"/>
    </row>
    <row r="770" ht="15.75" customHeight="1">
      <c r="A770" s="118"/>
      <c r="B770" s="118"/>
      <c r="C770" s="181"/>
      <c r="D770" s="159"/>
      <c r="E770" s="159"/>
      <c r="F770" s="159"/>
      <c r="G770" s="159"/>
      <c r="H770" s="83"/>
      <c r="I770" s="159"/>
      <c r="J770" s="159"/>
      <c r="K770" s="159"/>
      <c r="L770" s="159"/>
      <c r="M770" s="159"/>
      <c r="N770" s="159"/>
      <c r="O770" s="159"/>
      <c r="P770" s="159"/>
      <c r="Q770" s="159"/>
      <c r="R770" s="159"/>
      <c r="S770" s="159"/>
      <c r="T770" s="159"/>
      <c r="U770" s="159"/>
      <c r="V770" s="159"/>
      <c r="W770" s="159"/>
      <c r="X770" s="159"/>
      <c r="Y770" s="159"/>
      <c r="Z770" s="159"/>
    </row>
    <row r="771" ht="15.75" customHeight="1">
      <c r="A771" s="118"/>
      <c r="B771" s="118"/>
      <c r="C771" s="181"/>
      <c r="D771" s="159"/>
      <c r="E771" s="159"/>
      <c r="F771" s="159"/>
      <c r="G771" s="159"/>
      <c r="H771" s="83"/>
      <c r="I771" s="159"/>
      <c r="J771" s="159"/>
      <c r="K771" s="159"/>
      <c r="L771" s="159"/>
      <c r="M771" s="159"/>
      <c r="N771" s="159"/>
      <c r="O771" s="159"/>
      <c r="P771" s="159"/>
      <c r="Q771" s="159"/>
      <c r="R771" s="159"/>
      <c r="S771" s="159"/>
      <c r="T771" s="159"/>
      <c r="U771" s="159"/>
      <c r="V771" s="159"/>
      <c r="W771" s="159"/>
      <c r="X771" s="159"/>
      <c r="Y771" s="159"/>
      <c r="Z771" s="159"/>
    </row>
    <row r="772" ht="15.75" customHeight="1">
      <c r="A772" s="118"/>
      <c r="B772" s="118"/>
      <c r="C772" s="181"/>
      <c r="D772" s="159"/>
      <c r="E772" s="159"/>
      <c r="F772" s="159"/>
      <c r="G772" s="159"/>
      <c r="H772" s="83"/>
      <c r="I772" s="159"/>
      <c r="J772" s="159"/>
      <c r="K772" s="159"/>
      <c r="L772" s="159"/>
      <c r="M772" s="159"/>
      <c r="N772" s="159"/>
      <c r="O772" s="159"/>
      <c r="P772" s="159"/>
      <c r="Q772" s="159"/>
      <c r="R772" s="159"/>
      <c r="S772" s="159"/>
      <c r="T772" s="159"/>
      <c r="U772" s="159"/>
      <c r="V772" s="159"/>
      <c r="W772" s="159"/>
      <c r="X772" s="159"/>
      <c r="Y772" s="159"/>
      <c r="Z772" s="159"/>
    </row>
    <row r="773" ht="15.75" customHeight="1">
      <c r="A773" s="118"/>
      <c r="B773" s="118"/>
      <c r="C773" s="181"/>
      <c r="D773" s="159"/>
      <c r="E773" s="159"/>
      <c r="F773" s="159"/>
      <c r="G773" s="159"/>
      <c r="H773" s="83"/>
      <c r="I773" s="159"/>
      <c r="J773" s="159"/>
      <c r="K773" s="159"/>
      <c r="L773" s="159"/>
      <c r="M773" s="159"/>
      <c r="N773" s="159"/>
      <c r="O773" s="159"/>
      <c r="P773" s="159"/>
      <c r="Q773" s="159"/>
      <c r="R773" s="159"/>
      <c r="S773" s="159"/>
      <c r="T773" s="159"/>
      <c r="U773" s="159"/>
      <c r="V773" s="159"/>
      <c r="W773" s="159"/>
      <c r="X773" s="159"/>
      <c r="Y773" s="159"/>
      <c r="Z773" s="159"/>
    </row>
    <row r="774" ht="15.75" customHeight="1">
      <c r="A774" s="118"/>
      <c r="B774" s="118"/>
      <c r="C774" s="181"/>
      <c r="D774" s="159"/>
      <c r="E774" s="159"/>
      <c r="F774" s="159"/>
      <c r="G774" s="159"/>
      <c r="H774" s="83"/>
      <c r="I774" s="159"/>
      <c r="J774" s="159"/>
      <c r="K774" s="159"/>
      <c r="L774" s="159"/>
      <c r="M774" s="159"/>
      <c r="N774" s="159"/>
      <c r="O774" s="159"/>
      <c r="P774" s="159"/>
      <c r="Q774" s="159"/>
      <c r="R774" s="159"/>
      <c r="S774" s="159"/>
      <c r="T774" s="159"/>
      <c r="U774" s="159"/>
      <c r="V774" s="159"/>
      <c r="W774" s="159"/>
      <c r="X774" s="159"/>
      <c r="Y774" s="159"/>
      <c r="Z774" s="159"/>
    </row>
    <row r="775" ht="15.75" customHeight="1">
      <c r="A775" s="118"/>
      <c r="B775" s="118"/>
      <c r="C775" s="181"/>
      <c r="D775" s="159"/>
      <c r="E775" s="159"/>
      <c r="F775" s="159"/>
      <c r="G775" s="159"/>
      <c r="H775" s="83"/>
      <c r="I775" s="159"/>
      <c r="J775" s="159"/>
      <c r="K775" s="159"/>
      <c r="L775" s="159"/>
      <c r="M775" s="159"/>
      <c r="N775" s="159"/>
      <c r="O775" s="159"/>
      <c r="P775" s="159"/>
      <c r="Q775" s="159"/>
      <c r="R775" s="159"/>
      <c r="S775" s="159"/>
      <c r="T775" s="159"/>
      <c r="U775" s="159"/>
      <c r="V775" s="159"/>
      <c r="W775" s="159"/>
      <c r="X775" s="159"/>
      <c r="Y775" s="159"/>
      <c r="Z775" s="159"/>
    </row>
    <row r="776" ht="15.75" customHeight="1">
      <c r="A776" s="118"/>
      <c r="B776" s="118"/>
      <c r="C776" s="181"/>
      <c r="D776" s="159"/>
      <c r="E776" s="159"/>
      <c r="F776" s="159"/>
      <c r="G776" s="159"/>
      <c r="H776" s="83"/>
      <c r="I776" s="159"/>
      <c r="J776" s="159"/>
      <c r="K776" s="159"/>
      <c r="L776" s="159"/>
      <c r="M776" s="159"/>
      <c r="N776" s="159"/>
      <c r="O776" s="159"/>
      <c r="P776" s="159"/>
      <c r="Q776" s="159"/>
      <c r="R776" s="159"/>
      <c r="S776" s="159"/>
      <c r="T776" s="159"/>
      <c r="U776" s="159"/>
      <c r="V776" s="159"/>
      <c r="W776" s="159"/>
      <c r="X776" s="159"/>
      <c r="Y776" s="159"/>
      <c r="Z776" s="159"/>
    </row>
    <row r="777" ht="15.75" customHeight="1">
      <c r="A777" s="118"/>
      <c r="B777" s="118"/>
      <c r="C777" s="181"/>
      <c r="D777" s="159"/>
      <c r="E777" s="159"/>
      <c r="F777" s="159"/>
      <c r="G777" s="159"/>
      <c r="H777" s="83"/>
      <c r="I777" s="159"/>
      <c r="J777" s="159"/>
      <c r="K777" s="159"/>
      <c r="L777" s="159"/>
      <c r="M777" s="159"/>
      <c r="N777" s="159"/>
      <c r="O777" s="159"/>
      <c r="P777" s="159"/>
      <c r="Q777" s="159"/>
      <c r="R777" s="159"/>
      <c r="S777" s="159"/>
      <c r="T777" s="159"/>
      <c r="U777" s="159"/>
      <c r="V777" s="159"/>
      <c r="W777" s="159"/>
      <c r="X777" s="159"/>
      <c r="Y777" s="159"/>
      <c r="Z777" s="159"/>
    </row>
    <row r="778" ht="15.75" customHeight="1">
      <c r="A778" s="118"/>
      <c r="B778" s="118"/>
      <c r="C778" s="181"/>
      <c r="D778" s="159"/>
      <c r="E778" s="159"/>
      <c r="F778" s="159"/>
      <c r="G778" s="159"/>
      <c r="H778" s="83"/>
      <c r="I778" s="159"/>
      <c r="J778" s="159"/>
      <c r="K778" s="159"/>
      <c r="L778" s="159"/>
      <c r="M778" s="159"/>
      <c r="N778" s="159"/>
      <c r="O778" s="159"/>
      <c r="P778" s="159"/>
      <c r="Q778" s="159"/>
      <c r="R778" s="159"/>
      <c r="S778" s="159"/>
      <c r="T778" s="159"/>
      <c r="U778" s="159"/>
      <c r="V778" s="159"/>
      <c r="W778" s="159"/>
      <c r="X778" s="159"/>
      <c r="Y778" s="159"/>
      <c r="Z778" s="159"/>
    </row>
    <row r="779" ht="15.75" customHeight="1">
      <c r="A779" s="118"/>
      <c r="B779" s="118"/>
      <c r="C779" s="181"/>
      <c r="D779" s="159"/>
      <c r="E779" s="159"/>
      <c r="F779" s="159"/>
      <c r="G779" s="159"/>
      <c r="H779" s="83"/>
      <c r="I779" s="159"/>
      <c r="J779" s="159"/>
      <c r="K779" s="159"/>
      <c r="L779" s="159"/>
      <c r="M779" s="159"/>
      <c r="N779" s="159"/>
      <c r="O779" s="159"/>
      <c r="P779" s="159"/>
      <c r="Q779" s="159"/>
      <c r="R779" s="159"/>
      <c r="S779" s="159"/>
      <c r="T779" s="159"/>
      <c r="U779" s="159"/>
      <c r="V779" s="159"/>
      <c r="W779" s="159"/>
      <c r="X779" s="159"/>
      <c r="Y779" s="159"/>
      <c r="Z779" s="159"/>
    </row>
    <row r="780" ht="15.75" customHeight="1">
      <c r="A780" s="118"/>
      <c r="B780" s="118"/>
      <c r="C780" s="181"/>
      <c r="D780" s="159"/>
      <c r="E780" s="159"/>
      <c r="F780" s="159"/>
      <c r="G780" s="159"/>
      <c r="H780" s="83"/>
      <c r="I780" s="159"/>
      <c r="J780" s="159"/>
      <c r="K780" s="159"/>
      <c r="L780" s="159"/>
      <c r="M780" s="159"/>
      <c r="N780" s="159"/>
      <c r="O780" s="159"/>
      <c r="P780" s="159"/>
      <c r="Q780" s="159"/>
      <c r="R780" s="159"/>
      <c r="S780" s="159"/>
      <c r="T780" s="159"/>
      <c r="U780" s="159"/>
      <c r="V780" s="159"/>
      <c r="W780" s="159"/>
      <c r="X780" s="159"/>
      <c r="Y780" s="159"/>
      <c r="Z780" s="159"/>
    </row>
    <row r="781" ht="15.75" customHeight="1">
      <c r="A781" s="118"/>
      <c r="B781" s="118"/>
      <c r="C781" s="181"/>
      <c r="D781" s="159"/>
      <c r="E781" s="159"/>
      <c r="F781" s="159"/>
      <c r="G781" s="159"/>
      <c r="H781" s="83"/>
      <c r="I781" s="159"/>
      <c r="J781" s="159"/>
      <c r="K781" s="159"/>
      <c r="L781" s="159"/>
      <c r="M781" s="159"/>
      <c r="N781" s="159"/>
      <c r="O781" s="159"/>
      <c r="P781" s="159"/>
      <c r="Q781" s="159"/>
      <c r="R781" s="159"/>
      <c r="S781" s="159"/>
      <c r="T781" s="159"/>
      <c r="U781" s="159"/>
      <c r="V781" s="159"/>
      <c r="W781" s="159"/>
      <c r="X781" s="159"/>
      <c r="Y781" s="159"/>
      <c r="Z781" s="159"/>
    </row>
    <row r="782" ht="15.75" customHeight="1">
      <c r="A782" s="118"/>
      <c r="B782" s="118"/>
      <c r="C782" s="181"/>
      <c r="D782" s="159"/>
      <c r="E782" s="159"/>
      <c r="F782" s="159"/>
      <c r="G782" s="159"/>
      <c r="H782" s="83"/>
      <c r="I782" s="159"/>
      <c r="J782" s="159"/>
      <c r="K782" s="159"/>
      <c r="L782" s="159"/>
      <c r="M782" s="159"/>
      <c r="N782" s="159"/>
      <c r="O782" s="159"/>
      <c r="P782" s="159"/>
      <c r="Q782" s="159"/>
      <c r="R782" s="159"/>
      <c r="S782" s="159"/>
      <c r="T782" s="159"/>
      <c r="U782" s="159"/>
      <c r="V782" s="159"/>
      <c r="W782" s="159"/>
      <c r="X782" s="159"/>
      <c r="Y782" s="159"/>
      <c r="Z782" s="159"/>
    </row>
    <row r="783" ht="15.75" customHeight="1">
      <c r="A783" s="118"/>
      <c r="B783" s="118"/>
      <c r="C783" s="181"/>
      <c r="D783" s="159"/>
      <c r="E783" s="159"/>
      <c r="F783" s="159"/>
      <c r="G783" s="159"/>
      <c r="H783" s="83"/>
      <c r="I783" s="159"/>
      <c r="J783" s="159"/>
      <c r="K783" s="159"/>
      <c r="L783" s="159"/>
      <c r="M783" s="159"/>
      <c r="N783" s="159"/>
      <c r="O783" s="159"/>
      <c r="P783" s="159"/>
      <c r="Q783" s="159"/>
      <c r="R783" s="159"/>
      <c r="S783" s="159"/>
      <c r="T783" s="159"/>
      <c r="U783" s="159"/>
      <c r="V783" s="159"/>
      <c r="W783" s="159"/>
      <c r="X783" s="159"/>
      <c r="Y783" s="159"/>
      <c r="Z783" s="159"/>
    </row>
    <row r="784" ht="15.75" customHeight="1">
      <c r="A784" s="118"/>
      <c r="B784" s="118"/>
      <c r="C784" s="181"/>
      <c r="D784" s="159"/>
      <c r="E784" s="159"/>
      <c r="F784" s="159"/>
      <c r="G784" s="159"/>
      <c r="H784" s="83"/>
      <c r="I784" s="159"/>
      <c r="J784" s="159"/>
      <c r="K784" s="159"/>
      <c r="L784" s="159"/>
      <c r="M784" s="159"/>
      <c r="N784" s="159"/>
      <c r="O784" s="159"/>
      <c r="P784" s="159"/>
      <c r="Q784" s="159"/>
      <c r="R784" s="159"/>
      <c r="S784" s="159"/>
      <c r="T784" s="159"/>
      <c r="U784" s="159"/>
      <c r="V784" s="159"/>
      <c r="W784" s="159"/>
      <c r="X784" s="159"/>
      <c r="Y784" s="159"/>
      <c r="Z784" s="159"/>
    </row>
    <row r="785" ht="15.75" customHeight="1">
      <c r="A785" s="118"/>
      <c r="B785" s="118"/>
      <c r="C785" s="181"/>
      <c r="D785" s="159"/>
      <c r="E785" s="159"/>
      <c r="F785" s="159"/>
      <c r="G785" s="159"/>
      <c r="H785" s="83"/>
      <c r="I785" s="159"/>
      <c r="J785" s="159"/>
      <c r="K785" s="159"/>
      <c r="L785" s="159"/>
      <c r="M785" s="159"/>
      <c r="N785" s="159"/>
      <c r="O785" s="159"/>
      <c r="P785" s="159"/>
      <c r="Q785" s="159"/>
      <c r="R785" s="159"/>
      <c r="S785" s="159"/>
      <c r="T785" s="159"/>
      <c r="U785" s="159"/>
      <c r="V785" s="159"/>
      <c r="W785" s="159"/>
      <c r="X785" s="159"/>
      <c r="Y785" s="159"/>
      <c r="Z785" s="159"/>
    </row>
    <row r="786" ht="15.75" customHeight="1">
      <c r="A786" s="118"/>
      <c r="B786" s="118"/>
      <c r="C786" s="181"/>
      <c r="D786" s="159"/>
      <c r="E786" s="159"/>
      <c r="F786" s="159"/>
      <c r="G786" s="159"/>
      <c r="H786" s="83"/>
      <c r="I786" s="159"/>
      <c r="J786" s="159"/>
      <c r="K786" s="159"/>
      <c r="L786" s="159"/>
      <c r="M786" s="159"/>
      <c r="N786" s="159"/>
      <c r="O786" s="159"/>
      <c r="P786" s="159"/>
      <c r="Q786" s="159"/>
      <c r="R786" s="159"/>
      <c r="S786" s="159"/>
      <c r="T786" s="159"/>
      <c r="U786" s="159"/>
      <c r="V786" s="159"/>
      <c r="W786" s="159"/>
      <c r="X786" s="159"/>
      <c r="Y786" s="159"/>
      <c r="Z786" s="159"/>
    </row>
    <row r="787" ht="15.75" customHeight="1">
      <c r="A787" s="118"/>
      <c r="B787" s="118"/>
      <c r="C787" s="181"/>
      <c r="D787" s="159"/>
      <c r="E787" s="159"/>
      <c r="F787" s="159"/>
      <c r="G787" s="159"/>
      <c r="H787" s="83"/>
      <c r="I787" s="159"/>
      <c r="J787" s="159"/>
      <c r="K787" s="159"/>
      <c r="L787" s="159"/>
      <c r="M787" s="159"/>
      <c r="N787" s="159"/>
      <c r="O787" s="159"/>
      <c r="P787" s="159"/>
      <c r="Q787" s="159"/>
      <c r="R787" s="159"/>
      <c r="S787" s="159"/>
      <c r="T787" s="159"/>
      <c r="U787" s="159"/>
      <c r="V787" s="159"/>
      <c r="W787" s="159"/>
      <c r="X787" s="159"/>
      <c r="Y787" s="159"/>
      <c r="Z787" s="159"/>
    </row>
    <row r="788" ht="15.75" customHeight="1">
      <c r="A788" s="118"/>
      <c r="B788" s="118"/>
      <c r="C788" s="181"/>
      <c r="D788" s="159"/>
      <c r="E788" s="159"/>
      <c r="F788" s="159"/>
      <c r="G788" s="159"/>
      <c r="H788" s="83"/>
      <c r="I788" s="159"/>
      <c r="J788" s="159"/>
      <c r="K788" s="159"/>
      <c r="L788" s="159"/>
      <c r="M788" s="159"/>
      <c r="N788" s="159"/>
      <c r="O788" s="159"/>
      <c r="P788" s="159"/>
      <c r="Q788" s="159"/>
      <c r="R788" s="159"/>
      <c r="S788" s="159"/>
      <c r="T788" s="159"/>
      <c r="U788" s="159"/>
      <c r="V788" s="159"/>
      <c r="W788" s="159"/>
      <c r="X788" s="159"/>
      <c r="Y788" s="159"/>
      <c r="Z788" s="159"/>
    </row>
    <row r="789" ht="15.75" customHeight="1">
      <c r="A789" s="118"/>
      <c r="B789" s="118"/>
      <c r="C789" s="181"/>
      <c r="D789" s="159"/>
      <c r="E789" s="159"/>
      <c r="F789" s="159"/>
      <c r="G789" s="159"/>
      <c r="H789" s="83"/>
      <c r="I789" s="159"/>
      <c r="J789" s="159"/>
      <c r="K789" s="159"/>
      <c r="L789" s="159"/>
      <c r="M789" s="159"/>
      <c r="N789" s="159"/>
      <c r="O789" s="159"/>
      <c r="P789" s="159"/>
      <c r="Q789" s="159"/>
      <c r="R789" s="159"/>
      <c r="S789" s="159"/>
      <c r="T789" s="159"/>
      <c r="U789" s="159"/>
      <c r="V789" s="159"/>
      <c r="W789" s="159"/>
      <c r="X789" s="159"/>
      <c r="Y789" s="159"/>
      <c r="Z789" s="159"/>
    </row>
    <row r="790" ht="15.75" customHeight="1">
      <c r="A790" s="118"/>
      <c r="B790" s="118"/>
      <c r="C790" s="181"/>
      <c r="D790" s="159"/>
      <c r="E790" s="159"/>
      <c r="F790" s="159"/>
      <c r="G790" s="159"/>
      <c r="H790" s="83"/>
      <c r="I790" s="159"/>
      <c r="J790" s="159"/>
      <c r="K790" s="159"/>
      <c r="L790" s="159"/>
      <c r="M790" s="159"/>
      <c r="N790" s="159"/>
      <c r="O790" s="159"/>
      <c r="P790" s="159"/>
      <c r="Q790" s="159"/>
      <c r="R790" s="159"/>
      <c r="S790" s="159"/>
      <c r="T790" s="159"/>
      <c r="U790" s="159"/>
      <c r="V790" s="159"/>
      <c r="W790" s="159"/>
      <c r="X790" s="159"/>
      <c r="Y790" s="159"/>
      <c r="Z790" s="159"/>
    </row>
    <row r="791" ht="15.75" customHeight="1">
      <c r="A791" s="118"/>
      <c r="B791" s="118"/>
      <c r="C791" s="181"/>
      <c r="D791" s="159"/>
      <c r="E791" s="159"/>
      <c r="F791" s="159"/>
      <c r="G791" s="159"/>
      <c r="H791" s="83"/>
      <c r="I791" s="159"/>
      <c r="J791" s="159"/>
      <c r="K791" s="159"/>
      <c r="L791" s="159"/>
      <c r="M791" s="159"/>
      <c r="N791" s="159"/>
      <c r="O791" s="159"/>
      <c r="P791" s="159"/>
      <c r="Q791" s="159"/>
      <c r="R791" s="159"/>
      <c r="S791" s="159"/>
      <c r="T791" s="159"/>
      <c r="U791" s="159"/>
      <c r="V791" s="159"/>
      <c r="W791" s="159"/>
      <c r="X791" s="159"/>
      <c r="Y791" s="159"/>
      <c r="Z791" s="159"/>
    </row>
    <row r="792" ht="15.75" customHeight="1">
      <c r="A792" s="118"/>
      <c r="B792" s="118"/>
      <c r="C792" s="181"/>
      <c r="D792" s="159"/>
      <c r="E792" s="159"/>
      <c r="F792" s="159"/>
      <c r="G792" s="159"/>
      <c r="H792" s="83"/>
      <c r="I792" s="159"/>
      <c r="J792" s="159"/>
      <c r="K792" s="159"/>
      <c r="L792" s="159"/>
      <c r="M792" s="159"/>
      <c r="N792" s="159"/>
      <c r="O792" s="159"/>
      <c r="P792" s="159"/>
      <c r="Q792" s="159"/>
      <c r="R792" s="159"/>
      <c r="S792" s="159"/>
      <c r="T792" s="159"/>
      <c r="U792" s="159"/>
      <c r="V792" s="159"/>
      <c r="W792" s="159"/>
      <c r="X792" s="159"/>
      <c r="Y792" s="159"/>
      <c r="Z792" s="159"/>
    </row>
    <row r="793" ht="15.75" customHeight="1">
      <c r="A793" s="118"/>
      <c r="B793" s="118"/>
      <c r="C793" s="181"/>
      <c r="D793" s="159"/>
      <c r="E793" s="159"/>
      <c r="F793" s="159"/>
      <c r="G793" s="159"/>
      <c r="H793" s="83"/>
      <c r="I793" s="159"/>
      <c r="J793" s="159"/>
      <c r="K793" s="159"/>
      <c r="L793" s="159"/>
      <c r="M793" s="159"/>
      <c r="N793" s="159"/>
      <c r="O793" s="159"/>
      <c r="P793" s="159"/>
      <c r="Q793" s="159"/>
      <c r="R793" s="159"/>
      <c r="S793" s="159"/>
      <c r="T793" s="159"/>
      <c r="U793" s="159"/>
      <c r="V793" s="159"/>
      <c r="W793" s="159"/>
      <c r="X793" s="159"/>
      <c r="Y793" s="159"/>
      <c r="Z793" s="159"/>
    </row>
    <row r="794" ht="15.75" customHeight="1">
      <c r="A794" s="118"/>
      <c r="B794" s="118"/>
      <c r="C794" s="181"/>
      <c r="D794" s="159"/>
      <c r="E794" s="159"/>
      <c r="F794" s="159"/>
      <c r="G794" s="159"/>
      <c r="H794" s="83"/>
      <c r="I794" s="159"/>
      <c r="J794" s="159"/>
      <c r="K794" s="159"/>
      <c r="L794" s="159"/>
      <c r="M794" s="159"/>
      <c r="N794" s="159"/>
      <c r="O794" s="159"/>
      <c r="P794" s="159"/>
      <c r="Q794" s="159"/>
      <c r="R794" s="159"/>
      <c r="S794" s="159"/>
      <c r="T794" s="159"/>
      <c r="U794" s="159"/>
      <c r="V794" s="159"/>
      <c r="W794" s="159"/>
      <c r="X794" s="159"/>
      <c r="Y794" s="159"/>
      <c r="Z794" s="159"/>
    </row>
    <row r="795" ht="15.75" customHeight="1">
      <c r="A795" s="118"/>
      <c r="B795" s="118"/>
      <c r="C795" s="181"/>
      <c r="D795" s="159"/>
      <c r="E795" s="159"/>
      <c r="F795" s="159"/>
      <c r="G795" s="159"/>
      <c r="H795" s="83"/>
      <c r="I795" s="159"/>
      <c r="J795" s="159"/>
      <c r="K795" s="159"/>
      <c r="L795" s="159"/>
      <c r="M795" s="159"/>
      <c r="N795" s="159"/>
      <c r="O795" s="159"/>
      <c r="P795" s="159"/>
      <c r="Q795" s="159"/>
      <c r="R795" s="159"/>
      <c r="S795" s="159"/>
      <c r="T795" s="159"/>
      <c r="U795" s="159"/>
      <c r="V795" s="159"/>
      <c r="W795" s="159"/>
      <c r="X795" s="159"/>
      <c r="Y795" s="159"/>
      <c r="Z795" s="159"/>
    </row>
    <row r="796" ht="15.75" customHeight="1">
      <c r="A796" s="118"/>
      <c r="B796" s="118"/>
      <c r="C796" s="181"/>
      <c r="D796" s="159"/>
      <c r="E796" s="159"/>
      <c r="F796" s="159"/>
      <c r="G796" s="159"/>
      <c r="H796" s="83"/>
      <c r="I796" s="159"/>
      <c r="J796" s="159"/>
      <c r="K796" s="159"/>
      <c r="L796" s="159"/>
      <c r="M796" s="159"/>
      <c r="N796" s="159"/>
      <c r="O796" s="159"/>
      <c r="P796" s="159"/>
      <c r="Q796" s="159"/>
      <c r="R796" s="159"/>
      <c r="S796" s="159"/>
      <c r="T796" s="159"/>
      <c r="U796" s="159"/>
      <c r="V796" s="159"/>
      <c r="W796" s="159"/>
      <c r="X796" s="159"/>
      <c r="Y796" s="159"/>
      <c r="Z796" s="159"/>
    </row>
    <row r="797" ht="15.75" customHeight="1">
      <c r="A797" s="118"/>
      <c r="B797" s="118"/>
      <c r="C797" s="181"/>
      <c r="D797" s="159"/>
      <c r="E797" s="159"/>
      <c r="F797" s="159"/>
      <c r="G797" s="159"/>
      <c r="H797" s="83"/>
      <c r="I797" s="159"/>
      <c r="J797" s="159"/>
      <c r="K797" s="159"/>
      <c r="L797" s="159"/>
      <c r="M797" s="159"/>
      <c r="N797" s="159"/>
      <c r="O797" s="159"/>
      <c r="P797" s="159"/>
      <c r="Q797" s="159"/>
      <c r="R797" s="159"/>
      <c r="S797" s="159"/>
      <c r="T797" s="159"/>
      <c r="U797" s="159"/>
      <c r="V797" s="159"/>
      <c r="W797" s="159"/>
      <c r="X797" s="159"/>
      <c r="Y797" s="159"/>
      <c r="Z797" s="159"/>
    </row>
    <row r="798" ht="15.75" customHeight="1">
      <c r="A798" s="118"/>
      <c r="B798" s="118"/>
      <c r="C798" s="181"/>
      <c r="D798" s="159"/>
      <c r="E798" s="159"/>
      <c r="F798" s="159"/>
      <c r="G798" s="159"/>
      <c r="H798" s="83"/>
      <c r="I798" s="159"/>
      <c r="J798" s="159"/>
      <c r="K798" s="159"/>
      <c r="L798" s="159"/>
      <c r="M798" s="159"/>
      <c r="N798" s="159"/>
      <c r="O798" s="159"/>
      <c r="P798" s="159"/>
      <c r="Q798" s="159"/>
      <c r="R798" s="159"/>
      <c r="S798" s="159"/>
      <c r="T798" s="159"/>
      <c r="U798" s="159"/>
      <c r="V798" s="159"/>
      <c r="W798" s="159"/>
      <c r="X798" s="159"/>
      <c r="Y798" s="159"/>
      <c r="Z798" s="159"/>
    </row>
    <row r="799" ht="15.75" customHeight="1">
      <c r="A799" s="118"/>
      <c r="B799" s="118"/>
      <c r="C799" s="181"/>
      <c r="D799" s="159"/>
      <c r="E799" s="159"/>
      <c r="F799" s="159"/>
      <c r="G799" s="159"/>
      <c r="H799" s="83"/>
      <c r="I799" s="159"/>
      <c r="J799" s="159"/>
      <c r="K799" s="159"/>
      <c r="L799" s="159"/>
      <c r="M799" s="159"/>
      <c r="N799" s="159"/>
      <c r="O799" s="159"/>
      <c r="P799" s="159"/>
      <c r="Q799" s="159"/>
      <c r="R799" s="159"/>
      <c r="S799" s="159"/>
      <c r="T799" s="159"/>
      <c r="U799" s="159"/>
      <c r="V799" s="159"/>
      <c r="W799" s="159"/>
      <c r="X799" s="159"/>
      <c r="Y799" s="159"/>
      <c r="Z799" s="159"/>
    </row>
    <row r="800" ht="15.75" customHeight="1">
      <c r="A800" s="118"/>
      <c r="B800" s="118"/>
      <c r="C800" s="181"/>
      <c r="D800" s="159"/>
      <c r="E800" s="159"/>
      <c r="F800" s="159"/>
      <c r="G800" s="159"/>
      <c r="H800" s="83"/>
      <c r="I800" s="159"/>
      <c r="J800" s="159"/>
      <c r="K800" s="159"/>
      <c r="L800" s="159"/>
      <c r="M800" s="159"/>
      <c r="N800" s="159"/>
      <c r="O800" s="159"/>
      <c r="P800" s="159"/>
      <c r="Q800" s="159"/>
      <c r="R800" s="159"/>
      <c r="S800" s="159"/>
      <c r="T800" s="159"/>
      <c r="U800" s="159"/>
      <c r="V800" s="159"/>
      <c r="W800" s="159"/>
      <c r="X800" s="159"/>
      <c r="Y800" s="159"/>
      <c r="Z800" s="159"/>
    </row>
    <row r="801" ht="15.75" customHeight="1">
      <c r="A801" s="118"/>
      <c r="B801" s="118"/>
      <c r="C801" s="181"/>
      <c r="D801" s="159"/>
      <c r="E801" s="159"/>
      <c r="F801" s="159"/>
      <c r="G801" s="159"/>
      <c r="H801" s="83"/>
      <c r="I801" s="159"/>
      <c r="J801" s="159"/>
      <c r="K801" s="159"/>
      <c r="L801" s="159"/>
      <c r="M801" s="159"/>
      <c r="N801" s="159"/>
      <c r="O801" s="159"/>
      <c r="P801" s="159"/>
      <c r="Q801" s="159"/>
      <c r="R801" s="159"/>
      <c r="S801" s="159"/>
      <c r="T801" s="159"/>
      <c r="U801" s="159"/>
      <c r="V801" s="159"/>
      <c r="W801" s="159"/>
      <c r="X801" s="159"/>
      <c r="Y801" s="159"/>
      <c r="Z801" s="159"/>
    </row>
    <row r="802" ht="15.75" customHeight="1">
      <c r="A802" s="118"/>
      <c r="B802" s="118"/>
      <c r="C802" s="181"/>
      <c r="D802" s="159"/>
      <c r="E802" s="159"/>
      <c r="F802" s="159"/>
      <c r="G802" s="159"/>
      <c r="H802" s="83"/>
      <c r="I802" s="159"/>
      <c r="J802" s="159"/>
      <c r="K802" s="159"/>
      <c r="L802" s="159"/>
      <c r="M802" s="159"/>
      <c r="N802" s="159"/>
      <c r="O802" s="159"/>
      <c r="P802" s="159"/>
      <c r="Q802" s="159"/>
      <c r="R802" s="159"/>
      <c r="S802" s="159"/>
      <c r="T802" s="159"/>
      <c r="U802" s="159"/>
      <c r="V802" s="159"/>
      <c r="W802" s="159"/>
      <c r="X802" s="159"/>
      <c r="Y802" s="159"/>
      <c r="Z802" s="159"/>
    </row>
    <row r="803" ht="15.75" customHeight="1">
      <c r="A803" s="118"/>
      <c r="B803" s="118"/>
      <c r="C803" s="181"/>
      <c r="D803" s="159"/>
      <c r="E803" s="159"/>
      <c r="F803" s="159"/>
      <c r="G803" s="159"/>
      <c r="H803" s="83"/>
      <c r="I803" s="159"/>
      <c r="J803" s="159"/>
      <c r="K803" s="159"/>
      <c r="L803" s="159"/>
      <c r="M803" s="159"/>
      <c r="N803" s="159"/>
      <c r="O803" s="159"/>
      <c r="P803" s="159"/>
      <c r="Q803" s="159"/>
      <c r="R803" s="159"/>
      <c r="S803" s="159"/>
      <c r="T803" s="159"/>
      <c r="U803" s="159"/>
      <c r="V803" s="159"/>
      <c r="W803" s="159"/>
      <c r="X803" s="159"/>
      <c r="Y803" s="159"/>
      <c r="Z803" s="159"/>
    </row>
    <row r="804" ht="15.75" customHeight="1">
      <c r="A804" s="118"/>
      <c r="B804" s="118"/>
      <c r="C804" s="181"/>
      <c r="D804" s="159"/>
      <c r="E804" s="159"/>
      <c r="F804" s="159"/>
      <c r="G804" s="159"/>
      <c r="H804" s="83"/>
      <c r="I804" s="159"/>
      <c r="J804" s="159"/>
      <c r="K804" s="159"/>
      <c r="L804" s="159"/>
      <c r="M804" s="159"/>
      <c r="N804" s="159"/>
      <c r="O804" s="159"/>
      <c r="P804" s="159"/>
      <c r="Q804" s="159"/>
      <c r="R804" s="159"/>
      <c r="S804" s="159"/>
      <c r="T804" s="159"/>
      <c r="U804" s="159"/>
      <c r="V804" s="159"/>
      <c r="W804" s="159"/>
      <c r="X804" s="159"/>
      <c r="Y804" s="159"/>
      <c r="Z804" s="159"/>
    </row>
    <row r="805" ht="15.75" customHeight="1">
      <c r="A805" s="118"/>
      <c r="B805" s="118"/>
      <c r="C805" s="181"/>
      <c r="D805" s="159"/>
      <c r="E805" s="159"/>
      <c r="F805" s="159"/>
      <c r="G805" s="159"/>
      <c r="H805" s="83"/>
      <c r="I805" s="159"/>
      <c r="J805" s="159"/>
      <c r="K805" s="159"/>
      <c r="L805" s="159"/>
      <c r="M805" s="159"/>
      <c r="N805" s="159"/>
      <c r="O805" s="159"/>
      <c r="P805" s="159"/>
      <c r="Q805" s="159"/>
      <c r="R805" s="159"/>
      <c r="S805" s="159"/>
      <c r="T805" s="159"/>
      <c r="U805" s="159"/>
      <c r="V805" s="159"/>
      <c r="W805" s="159"/>
      <c r="X805" s="159"/>
      <c r="Y805" s="159"/>
      <c r="Z805" s="159"/>
    </row>
    <row r="806" ht="15.75" customHeight="1">
      <c r="A806" s="118"/>
      <c r="B806" s="118"/>
      <c r="C806" s="181"/>
      <c r="D806" s="159"/>
      <c r="E806" s="159"/>
      <c r="F806" s="159"/>
      <c r="G806" s="159"/>
      <c r="H806" s="83"/>
      <c r="I806" s="159"/>
      <c r="J806" s="159"/>
      <c r="K806" s="159"/>
      <c r="L806" s="159"/>
      <c r="M806" s="159"/>
      <c r="N806" s="159"/>
      <c r="O806" s="159"/>
      <c r="P806" s="159"/>
      <c r="Q806" s="159"/>
      <c r="R806" s="159"/>
      <c r="S806" s="159"/>
      <c r="T806" s="159"/>
      <c r="U806" s="159"/>
      <c r="V806" s="159"/>
      <c r="W806" s="159"/>
      <c r="X806" s="159"/>
      <c r="Y806" s="159"/>
      <c r="Z806" s="159"/>
    </row>
    <row r="807" ht="15.75" customHeight="1">
      <c r="A807" s="118"/>
      <c r="B807" s="118"/>
      <c r="C807" s="181"/>
      <c r="D807" s="159"/>
      <c r="E807" s="159"/>
      <c r="F807" s="159"/>
      <c r="G807" s="159"/>
      <c r="H807" s="83"/>
      <c r="I807" s="159"/>
      <c r="J807" s="159"/>
      <c r="K807" s="159"/>
      <c r="L807" s="159"/>
      <c r="M807" s="159"/>
      <c r="N807" s="159"/>
      <c r="O807" s="159"/>
      <c r="P807" s="159"/>
      <c r="Q807" s="159"/>
      <c r="R807" s="159"/>
      <c r="S807" s="159"/>
      <c r="T807" s="159"/>
      <c r="U807" s="159"/>
      <c r="V807" s="159"/>
      <c r="W807" s="159"/>
      <c r="X807" s="159"/>
      <c r="Y807" s="159"/>
      <c r="Z807" s="159"/>
    </row>
    <row r="808" ht="15.75" customHeight="1">
      <c r="A808" s="118"/>
      <c r="B808" s="118"/>
      <c r="C808" s="181"/>
      <c r="D808" s="159"/>
      <c r="E808" s="159"/>
      <c r="F808" s="159"/>
      <c r="G808" s="159"/>
      <c r="H808" s="83"/>
      <c r="I808" s="159"/>
      <c r="J808" s="159"/>
      <c r="K808" s="159"/>
      <c r="L808" s="159"/>
      <c r="M808" s="159"/>
      <c r="N808" s="159"/>
      <c r="O808" s="159"/>
      <c r="P808" s="159"/>
      <c r="Q808" s="159"/>
      <c r="R808" s="159"/>
      <c r="S808" s="159"/>
      <c r="T808" s="159"/>
      <c r="U808" s="159"/>
      <c r="V808" s="159"/>
      <c r="W808" s="159"/>
      <c r="X808" s="159"/>
      <c r="Y808" s="159"/>
      <c r="Z808" s="159"/>
    </row>
    <row r="809" ht="15.75" customHeight="1">
      <c r="A809" s="118"/>
      <c r="B809" s="118"/>
      <c r="C809" s="181"/>
      <c r="D809" s="159"/>
      <c r="E809" s="159"/>
      <c r="F809" s="159"/>
      <c r="G809" s="159"/>
      <c r="H809" s="83"/>
      <c r="I809" s="159"/>
      <c r="J809" s="159"/>
      <c r="K809" s="159"/>
      <c r="L809" s="159"/>
      <c r="M809" s="159"/>
      <c r="N809" s="159"/>
      <c r="O809" s="159"/>
      <c r="P809" s="159"/>
      <c r="Q809" s="159"/>
      <c r="R809" s="159"/>
      <c r="S809" s="159"/>
      <c r="T809" s="159"/>
      <c r="U809" s="159"/>
      <c r="V809" s="159"/>
      <c r="W809" s="159"/>
      <c r="X809" s="159"/>
      <c r="Y809" s="159"/>
      <c r="Z809" s="159"/>
    </row>
    <row r="810" ht="15.75" customHeight="1">
      <c r="A810" s="118"/>
      <c r="B810" s="118"/>
      <c r="C810" s="181"/>
      <c r="D810" s="159"/>
      <c r="E810" s="159"/>
      <c r="F810" s="159"/>
      <c r="G810" s="159"/>
      <c r="H810" s="83"/>
      <c r="I810" s="159"/>
      <c r="J810" s="159"/>
      <c r="K810" s="159"/>
      <c r="L810" s="159"/>
      <c r="M810" s="159"/>
      <c r="N810" s="159"/>
      <c r="O810" s="159"/>
      <c r="P810" s="159"/>
      <c r="Q810" s="159"/>
      <c r="R810" s="159"/>
      <c r="S810" s="159"/>
      <c r="T810" s="159"/>
      <c r="U810" s="159"/>
      <c r="V810" s="159"/>
      <c r="W810" s="159"/>
      <c r="X810" s="159"/>
      <c r="Y810" s="159"/>
      <c r="Z810" s="159"/>
    </row>
    <row r="811" ht="15.75" customHeight="1">
      <c r="A811" s="118"/>
      <c r="B811" s="118"/>
      <c r="C811" s="181"/>
      <c r="D811" s="159"/>
      <c r="E811" s="159"/>
      <c r="F811" s="159"/>
      <c r="G811" s="159"/>
      <c r="H811" s="83"/>
      <c r="I811" s="159"/>
      <c r="J811" s="159"/>
      <c r="K811" s="159"/>
      <c r="L811" s="159"/>
      <c r="M811" s="159"/>
      <c r="N811" s="159"/>
      <c r="O811" s="159"/>
      <c r="P811" s="159"/>
      <c r="Q811" s="159"/>
      <c r="R811" s="159"/>
      <c r="S811" s="159"/>
      <c r="T811" s="159"/>
      <c r="U811" s="159"/>
      <c r="V811" s="159"/>
      <c r="W811" s="159"/>
      <c r="X811" s="159"/>
      <c r="Y811" s="159"/>
      <c r="Z811" s="159"/>
    </row>
    <row r="812" ht="15.75" customHeight="1">
      <c r="A812" s="118"/>
      <c r="B812" s="118"/>
      <c r="C812" s="181"/>
      <c r="D812" s="159"/>
      <c r="E812" s="159"/>
      <c r="F812" s="159"/>
      <c r="G812" s="159"/>
      <c r="H812" s="83"/>
      <c r="I812" s="159"/>
      <c r="J812" s="159"/>
      <c r="K812" s="159"/>
      <c r="L812" s="159"/>
      <c r="M812" s="159"/>
      <c r="N812" s="159"/>
      <c r="O812" s="159"/>
      <c r="P812" s="159"/>
      <c r="Q812" s="159"/>
      <c r="R812" s="159"/>
      <c r="S812" s="159"/>
      <c r="T812" s="159"/>
      <c r="U812" s="159"/>
      <c r="V812" s="159"/>
      <c r="W812" s="159"/>
      <c r="X812" s="159"/>
      <c r="Y812" s="159"/>
      <c r="Z812" s="159"/>
    </row>
    <row r="813" ht="15.75" customHeight="1">
      <c r="A813" s="118"/>
      <c r="B813" s="118"/>
      <c r="C813" s="181"/>
      <c r="D813" s="159"/>
      <c r="E813" s="159"/>
      <c r="F813" s="159"/>
      <c r="G813" s="159"/>
      <c r="H813" s="83"/>
      <c r="I813" s="159"/>
      <c r="J813" s="159"/>
      <c r="K813" s="159"/>
      <c r="L813" s="159"/>
      <c r="M813" s="159"/>
      <c r="N813" s="159"/>
      <c r="O813" s="159"/>
      <c r="P813" s="159"/>
      <c r="Q813" s="159"/>
      <c r="R813" s="159"/>
      <c r="S813" s="159"/>
      <c r="T813" s="159"/>
      <c r="U813" s="159"/>
      <c r="V813" s="159"/>
      <c r="W813" s="159"/>
      <c r="X813" s="159"/>
      <c r="Y813" s="159"/>
      <c r="Z813" s="159"/>
    </row>
    <row r="814" ht="15.75" customHeight="1">
      <c r="A814" s="118"/>
      <c r="B814" s="118"/>
      <c r="C814" s="181"/>
      <c r="D814" s="159"/>
      <c r="E814" s="159"/>
      <c r="F814" s="159"/>
      <c r="G814" s="159"/>
      <c r="H814" s="83"/>
      <c r="I814" s="159"/>
      <c r="J814" s="159"/>
      <c r="K814" s="159"/>
      <c r="L814" s="159"/>
      <c r="M814" s="159"/>
      <c r="N814" s="159"/>
      <c r="O814" s="159"/>
      <c r="P814" s="159"/>
      <c r="Q814" s="159"/>
      <c r="R814" s="159"/>
      <c r="S814" s="159"/>
      <c r="T814" s="159"/>
      <c r="U814" s="159"/>
      <c r="V814" s="159"/>
      <c r="W814" s="159"/>
      <c r="X814" s="159"/>
      <c r="Y814" s="159"/>
      <c r="Z814" s="159"/>
    </row>
    <row r="815" ht="15.75" customHeight="1">
      <c r="A815" s="118"/>
      <c r="B815" s="118"/>
      <c r="C815" s="181"/>
      <c r="D815" s="159"/>
      <c r="E815" s="159"/>
      <c r="F815" s="159"/>
      <c r="G815" s="159"/>
      <c r="H815" s="83"/>
      <c r="I815" s="159"/>
      <c r="J815" s="159"/>
      <c r="K815" s="159"/>
      <c r="L815" s="159"/>
      <c r="M815" s="159"/>
      <c r="N815" s="159"/>
      <c r="O815" s="159"/>
      <c r="P815" s="159"/>
      <c r="Q815" s="159"/>
      <c r="R815" s="159"/>
      <c r="S815" s="159"/>
      <c r="T815" s="159"/>
      <c r="U815" s="159"/>
      <c r="V815" s="159"/>
      <c r="W815" s="159"/>
      <c r="X815" s="159"/>
      <c r="Y815" s="159"/>
      <c r="Z815" s="159"/>
    </row>
    <row r="816" ht="15.75" customHeight="1">
      <c r="A816" s="118"/>
      <c r="B816" s="118"/>
      <c r="C816" s="181"/>
      <c r="D816" s="159"/>
      <c r="E816" s="159"/>
      <c r="F816" s="159"/>
      <c r="G816" s="159"/>
      <c r="H816" s="83"/>
      <c r="I816" s="159"/>
      <c r="J816" s="159"/>
      <c r="K816" s="159"/>
      <c r="L816" s="159"/>
      <c r="M816" s="159"/>
      <c r="N816" s="159"/>
      <c r="O816" s="159"/>
      <c r="P816" s="159"/>
      <c r="Q816" s="159"/>
      <c r="R816" s="159"/>
      <c r="S816" s="159"/>
      <c r="T816" s="159"/>
      <c r="U816" s="159"/>
      <c r="V816" s="159"/>
      <c r="W816" s="159"/>
      <c r="X816" s="159"/>
      <c r="Y816" s="159"/>
      <c r="Z816" s="159"/>
    </row>
    <row r="817" ht="15.75" customHeight="1">
      <c r="A817" s="118"/>
      <c r="B817" s="118"/>
      <c r="C817" s="181"/>
      <c r="D817" s="159"/>
      <c r="E817" s="159"/>
      <c r="F817" s="159"/>
      <c r="G817" s="159"/>
      <c r="H817" s="83"/>
      <c r="I817" s="159"/>
      <c r="J817" s="159"/>
      <c r="K817" s="159"/>
      <c r="L817" s="159"/>
      <c r="M817" s="159"/>
      <c r="N817" s="159"/>
      <c r="O817" s="159"/>
      <c r="P817" s="159"/>
      <c r="Q817" s="159"/>
      <c r="R817" s="159"/>
      <c r="S817" s="159"/>
      <c r="T817" s="159"/>
      <c r="U817" s="159"/>
      <c r="V817" s="159"/>
      <c r="W817" s="159"/>
      <c r="X817" s="159"/>
      <c r="Y817" s="159"/>
      <c r="Z817" s="159"/>
    </row>
    <row r="818" ht="15.75" customHeight="1">
      <c r="A818" s="118"/>
      <c r="B818" s="118"/>
      <c r="C818" s="181"/>
      <c r="D818" s="159"/>
      <c r="E818" s="159"/>
      <c r="F818" s="159"/>
      <c r="G818" s="159"/>
      <c r="H818" s="83"/>
      <c r="I818" s="159"/>
      <c r="J818" s="159"/>
      <c r="K818" s="159"/>
      <c r="L818" s="159"/>
      <c r="M818" s="159"/>
      <c r="N818" s="159"/>
      <c r="O818" s="159"/>
      <c r="P818" s="159"/>
      <c r="Q818" s="159"/>
      <c r="R818" s="159"/>
      <c r="S818" s="159"/>
      <c r="T818" s="159"/>
      <c r="U818" s="159"/>
      <c r="V818" s="159"/>
      <c r="W818" s="159"/>
      <c r="X818" s="159"/>
      <c r="Y818" s="159"/>
      <c r="Z818" s="159"/>
    </row>
    <row r="819" ht="15.75" customHeight="1">
      <c r="A819" s="118"/>
      <c r="B819" s="118"/>
      <c r="C819" s="181"/>
      <c r="D819" s="159"/>
      <c r="E819" s="159"/>
      <c r="F819" s="159"/>
      <c r="G819" s="159"/>
      <c r="H819" s="83"/>
      <c r="I819" s="159"/>
      <c r="J819" s="159"/>
      <c r="K819" s="159"/>
      <c r="L819" s="159"/>
      <c r="M819" s="159"/>
      <c r="N819" s="159"/>
      <c r="O819" s="159"/>
      <c r="P819" s="159"/>
      <c r="Q819" s="159"/>
      <c r="R819" s="159"/>
      <c r="S819" s="159"/>
      <c r="T819" s="159"/>
      <c r="U819" s="159"/>
      <c r="V819" s="159"/>
      <c r="W819" s="159"/>
      <c r="X819" s="159"/>
      <c r="Y819" s="159"/>
      <c r="Z819" s="159"/>
    </row>
    <row r="820" ht="15.75" customHeight="1">
      <c r="A820" s="118"/>
      <c r="B820" s="118"/>
      <c r="C820" s="181"/>
      <c r="D820" s="159"/>
      <c r="E820" s="159"/>
      <c r="F820" s="159"/>
      <c r="G820" s="159"/>
      <c r="H820" s="83"/>
      <c r="I820" s="159"/>
      <c r="J820" s="159"/>
      <c r="K820" s="159"/>
      <c r="L820" s="159"/>
      <c r="M820" s="159"/>
      <c r="N820" s="159"/>
      <c r="O820" s="159"/>
      <c r="P820" s="159"/>
      <c r="Q820" s="159"/>
      <c r="R820" s="159"/>
      <c r="S820" s="159"/>
      <c r="T820" s="159"/>
      <c r="U820" s="159"/>
      <c r="V820" s="159"/>
      <c r="W820" s="159"/>
      <c r="X820" s="159"/>
      <c r="Y820" s="159"/>
      <c r="Z820" s="159"/>
    </row>
    <row r="821" ht="15.75" customHeight="1">
      <c r="A821" s="118"/>
      <c r="B821" s="118"/>
      <c r="C821" s="181"/>
      <c r="D821" s="159"/>
      <c r="E821" s="159"/>
      <c r="F821" s="159"/>
      <c r="G821" s="159"/>
      <c r="H821" s="83"/>
      <c r="I821" s="159"/>
      <c r="J821" s="159"/>
      <c r="K821" s="159"/>
      <c r="L821" s="159"/>
      <c r="M821" s="159"/>
      <c r="N821" s="159"/>
      <c r="O821" s="159"/>
      <c r="P821" s="159"/>
      <c r="Q821" s="159"/>
      <c r="R821" s="159"/>
      <c r="S821" s="159"/>
      <c r="T821" s="159"/>
      <c r="U821" s="159"/>
      <c r="V821" s="159"/>
      <c r="W821" s="159"/>
      <c r="X821" s="159"/>
      <c r="Y821" s="159"/>
      <c r="Z821" s="159"/>
    </row>
    <row r="822" ht="15.75" customHeight="1">
      <c r="A822" s="118"/>
      <c r="B822" s="118"/>
      <c r="C822" s="181"/>
      <c r="D822" s="159"/>
      <c r="E822" s="159"/>
      <c r="F822" s="159"/>
      <c r="G822" s="159"/>
      <c r="H822" s="83"/>
      <c r="I822" s="159"/>
      <c r="J822" s="159"/>
      <c r="K822" s="159"/>
      <c r="L822" s="159"/>
      <c r="M822" s="159"/>
      <c r="N822" s="159"/>
      <c r="O822" s="159"/>
      <c r="P822" s="159"/>
      <c r="Q822" s="159"/>
      <c r="R822" s="159"/>
      <c r="S822" s="159"/>
      <c r="T822" s="159"/>
      <c r="U822" s="159"/>
      <c r="V822" s="159"/>
      <c r="W822" s="159"/>
      <c r="X822" s="159"/>
      <c r="Y822" s="159"/>
      <c r="Z822" s="159"/>
    </row>
    <row r="823" ht="15.75" customHeight="1">
      <c r="A823" s="118"/>
      <c r="B823" s="118"/>
      <c r="C823" s="181"/>
      <c r="D823" s="159"/>
      <c r="E823" s="159"/>
      <c r="F823" s="159"/>
      <c r="G823" s="159"/>
      <c r="H823" s="83"/>
      <c r="I823" s="159"/>
      <c r="J823" s="159"/>
      <c r="K823" s="159"/>
      <c r="L823" s="159"/>
      <c r="M823" s="159"/>
      <c r="N823" s="159"/>
      <c r="O823" s="159"/>
      <c r="P823" s="159"/>
      <c r="Q823" s="159"/>
      <c r="R823" s="159"/>
      <c r="S823" s="159"/>
      <c r="T823" s="159"/>
      <c r="U823" s="159"/>
      <c r="V823" s="159"/>
      <c r="W823" s="159"/>
      <c r="X823" s="159"/>
      <c r="Y823" s="159"/>
      <c r="Z823" s="159"/>
    </row>
    <row r="824" ht="15.75" customHeight="1">
      <c r="A824" s="118"/>
      <c r="B824" s="118"/>
      <c r="C824" s="181"/>
      <c r="D824" s="159"/>
      <c r="E824" s="159"/>
      <c r="F824" s="159"/>
      <c r="G824" s="159"/>
      <c r="H824" s="83"/>
      <c r="I824" s="159"/>
      <c r="J824" s="159"/>
      <c r="K824" s="159"/>
      <c r="L824" s="159"/>
      <c r="M824" s="159"/>
      <c r="N824" s="159"/>
      <c r="O824" s="159"/>
      <c r="P824" s="159"/>
      <c r="Q824" s="159"/>
      <c r="R824" s="159"/>
      <c r="S824" s="159"/>
      <c r="T824" s="159"/>
      <c r="U824" s="159"/>
      <c r="V824" s="159"/>
      <c r="W824" s="159"/>
      <c r="X824" s="159"/>
      <c r="Y824" s="159"/>
      <c r="Z824" s="159"/>
    </row>
    <row r="825" ht="15.75" customHeight="1">
      <c r="A825" s="118"/>
      <c r="B825" s="118"/>
      <c r="C825" s="181"/>
      <c r="D825" s="159"/>
      <c r="E825" s="159"/>
      <c r="F825" s="159"/>
      <c r="G825" s="159"/>
      <c r="H825" s="83"/>
      <c r="I825" s="159"/>
      <c r="J825" s="159"/>
      <c r="K825" s="159"/>
      <c r="L825" s="159"/>
      <c r="M825" s="159"/>
      <c r="N825" s="159"/>
      <c r="O825" s="159"/>
      <c r="P825" s="159"/>
      <c r="Q825" s="159"/>
      <c r="R825" s="159"/>
      <c r="S825" s="159"/>
      <c r="T825" s="159"/>
      <c r="U825" s="159"/>
      <c r="V825" s="159"/>
      <c r="W825" s="159"/>
      <c r="X825" s="159"/>
      <c r="Y825" s="159"/>
      <c r="Z825" s="159"/>
    </row>
    <row r="826" ht="15.75" customHeight="1">
      <c r="A826" s="118"/>
      <c r="B826" s="118"/>
      <c r="C826" s="181"/>
      <c r="D826" s="159"/>
      <c r="E826" s="159"/>
      <c r="F826" s="159"/>
      <c r="G826" s="159"/>
      <c r="H826" s="83"/>
      <c r="I826" s="159"/>
      <c r="J826" s="159"/>
      <c r="K826" s="159"/>
      <c r="L826" s="159"/>
      <c r="M826" s="159"/>
      <c r="N826" s="159"/>
      <c r="O826" s="159"/>
      <c r="P826" s="159"/>
      <c r="Q826" s="159"/>
      <c r="R826" s="159"/>
      <c r="S826" s="159"/>
      <c r="T826" s="159"/>
      <c r="U826" s="159"/>
      <c r="V826" s="159"/>
      <c r="W826" s="159"/>
      <c r="X826" s="159"/>
      <c r="Y826" s="159"/>
      <c r="Z826" s="159"/>
    </row>
    <row r="827" ht="15.75" customHeight="1">
      <c r="A827" s="118"/>
      <c r="B827" s="118"/>
      <c r="C827" s="181"/>
      <c r="D827" s="159"/>
      <c r="E827" s="159"/>
      <c r="F827" s="159"/>
      <c r="G827" s="159"/>
      <c r="H827" s="83"/>
      <c r="I827" s="159"/>
      <c r="J827" s="159"/>
      <c r="K827" s="159"/>
      <c r="L827" s="159"/>
      <c r="M827" s="159"/>
      <c r="N827" s="159"/>
      <c r="O827" s="159"/>
      <c r="P827" s="159"/>
      <c r="Q827" s="159"/>
      <c r="R827" s="159"/>
      <c r="S827" s="159"/>
      <c r="T827" s="159"/>
      <c r="U827" s="159"/>
      <c r="V827" s="159"/>
      <c r="W827" s="159"/>
      <c r="X827" s="159"/>
      <c r="Y827" s="159"/>
      <c r="Z827" s="159"/>
    </row>
    <row r="828" ht="15.75" customHeight="1">
      <c r="A828" s="118"/>
      <c r="B828" s="118"/>
      <c r="C828" s="181"/>
      <c r="D828" s="159"/>
      <c r="E828" s="159"/>
      <c r="F828" s="159"/>
      <c r="G828" s="159"/>
      <c r="H828" s="83"/>
      <c r="I828" s="159"/>
      <c r="J828" s="159"/>
      <c r="K828" s="159"/>
      <c r="L828" s="159"/>
      <c r="M828" s="159"/>
      <c r="N828" s="159"/>
      <c r="O828" s="159"/>
      <c r="P828" s="159"/>
      <c r="Q828" s="159"/>
      <c r="R828" s="159"/>
      <c r="S828" s="159"/>
      <c r="T828" s="159"/>
      <c r="U828" s="159"/>
      <c r="V828" s="159"/>
      <c r="W828" s="159"/>
      <c r="X828" s="159"/>
      <c r="Y828" s="159"/>
      <c r="Z828" s="159"/>
    </row>
    <row r="829" ht="15.75" customHeight="1">
      <c r="A829" s="118"/>
      <c r="B829" s="118"/>
      <c r="C829" s="181"/>
      <c r="D829" s="159"/>
      <c r="E829" s="159"/>
      <c r="F829" s="159"/>
      <c r="G829" s="159"/>
      <c r="H829" s="83"/>
      <c r="I829" s="159"/>
      <c r="J829" s="159"/>
      <c r="K829" s="159"/>
      <c r="L829" s="159"/>
      <c r="M829" s="159"/>
      <c r="N829" s="159"/>
      <c r="O829" s="159"/>
      <c r="P829" s="159"/>
      <c r="Q829" s="159"/>
      <c r="R829" s="159"/>
      <c r="S829" s="159"/>
      <c r="T829" s="159"/>
      <c r="U829" s="159"/>
      <c r="V829" s="159"/>
      <c r="W829" s="159"/>
      <c r="X829" s="159"/>
      <c r="Y829" s="159"/>
      <c r="Z829" s="159"/>
    </row>
    <row r="830" ht="15.75" customHeight="1">
      <c r="A830" s="118"/>
      <c r="B830" s="118"/>
      <c r="C830" s="181"/>
      <c r="D830" s="159"/>
      <c r="E830" s="159"/>
      <c r="F830" s="159"/>
      <c r="G830" s="159"/>
      <c r="H830" s="83"/>
      <c r="I830" s="159"/>
      <c r="J830" s="159"/>
      <c r="K830" s="159"/>
      <c r="L830" s="159"/>
      <c r="M830" s="159"/>
      <c r="N830" s="159"/>
      <c r="O830" s="159"/>
      <c r="P830" s="159"/>
      <c r="Q830" s="159"/>
      <c r="R830" s="159"/>
      <c r="S830" s="159"/>
      <c r="T830" s="159"/>
      <c r="U830" s="159"/>
      <c r="V830" s="159"/>
      <c r="W830" s="159"/>
      <c r="X830" s="159"/>
      <c r="Y830" s="159"/>
      <c r="Z830" s="159"/>
    </row>
    <row r="831" ht="15.75" customHeight="1">
      <c r="A831" s="118"/>
      <c r="B831" s="118"/>
      <c r="C831" s="181"/>
      <c r="D831" s="159"/>
      <c r="E831" s="159"/>
      <c r="F831" s="159"/>
      <c r="G831" s="159"/>
      <c r="H831" s="83"/>
      <c r="I831" s="159"/>
      <c r="J831" s="159"/>
      <c r="K831" s="159"/>
      <c r="L831" s="159"/>
      <c r="M831" s="159"/>
      <c r="N831" s="159"/>
      <c r="O831" s="159"/>
      <c r="P831" s="159"/>
      <c r="Q831" s="159"/>
      <c r="R831" s="159"/>
      <c r="S831" s="159"/>
      <c r="T831" s="159"/>
      <c r="U831" s="159"/>
      <c r="V831" s="159"/>
      <c r="W831" s="159"/>
      <c r="X831" s="159"/>
      <c r="Y831" s="159"/>
      <c r="Z831" s="159"/>
    </row>
    <row r="832" ht="15.75" customHeight="1">
      <c r="A832" s="118"/>
      <c r="B832" s="118"/>
      <c r="C832" s="181"/>
      <c r="D832" s="159"/>
      <c r="E832" s="159"/>
      <c r="F832" s="159"/>
      <c r="G832" s="159"/>
      <c r="H832" s="83"/>
      <c r="I832" s="159"/>
      <c r="J832" s="159"/>
      <c r="K832" s="159"/>
      <c r="L832" s="159"/>
      <c r="M832" s="159"/>
      <c r="N832" s="159"/>
      <c r="O832" s="159"/>
      <c r="P832" s="159"/>
      <c r="Q832" s="159"/>
      <c r="R832" s="159"/>
      <c r="S832" s="159"/>
      <c r="T832" s="159"/>
      <c r="U832" s="159"/>
      <c r="V832" s="159"/>
      <c r="W832" s="159"/>
      <c r="X832" s="159"/>
      <c r="Y832" s="159"/>
      <c r="Z832" s="159"/>
    </row>
    <row r="833" ht="15.75" customHeight="1">
      <c r="A833" s="118"/>
      <c r="B833" s="118"/>
      <c r="C833" s="181"/>
      <c r="D833" s="159"/>
      <c r="E833" s="159"/>
      <c r="F833" s="159"/>
      <c r="G833" s="159"/>
      <c r="H833" s="83"/>
      <c r="I833" s="159"/>
      <c r="J833" s="159"/>
      <c r="K833" s="159"/>
      <c r="L833" s="159"/>
      <c r="M833" s="159"/>
      <c r="N833" s="159"/>
      <c r="O833" s="159"/>
      <c r="P833" s="159"/>
      <c r="Q833" s="159"/>
      <c r="R833" s="159"/>
      <c r="S833" s="159"/>
      <c r="T833" s="159"/>
      <c r="U833" s="159"/>
      <c r="V833" s="159"/>
      <c r="W833" s="159"/>
      <c r="X833" s="159"/>
      <c r="Y833" s="159"/>
      <c r="Z833" s="159"/>
    </row>
    <row r="834" ht="15.75" customHeight="1">
      <c r="A834" s="118"/>
      <c r="B834" s="118"/>
      <c r="C834" s="181"/>
      <c r="D834" s="159"/>
      <c r="E834" s="159"/>
      <c r="F834" s="159"/>
      <c r="G834" s="159"/>
      <c r="H834" s="83"/>
      <c r="I834" s="159"/>
      <c r="J834" s="159"/>
      <c r="K834" s="159"/>
      <c r="L834" s="159"/>
      <c r="M834" s="159"/>
      <c r="N834" s="159"/>
      <c r="O834" s="159"/>
      <c r="P834" s="159"/>
      <c r="Q834" s="159"/>
      <c r="R834" s="159"/>
      <c r="S834" s="159"/>
      <c r="T834" s="159"/>
      <c r="U834" s="159"/>
      <c r="V834" s="159"/>
      <c r="W834" s="159"/>
      <c r="X834" s="159"/>
      <c r="Y834" s="159"/>
      <c r="Z834" s="159"/>
    </row>
    <row r="835" ht="15.75" customHeight="1">
      <c r="A835" s="118"/>
      <c r="B835" s="118"/>
      <c r="C835" s="181"/>
      <c r="D835" s="159"/>
      <c r="E835" s="159"/>
      <c r="F835" s="159"/>
      <c r="G835" s="159"/>
      <c r="H835" s="83"/>
      <c r="I835" s="159"/>
      <c r="J835" s="159"/>
      <c r="K835" s="159"/>
      <c r="L835" s="159"/>
      <c r="M835" s="159"/>
      <c r="N835" s="159"/>
      <c r="O835" s="159"/>
      <c r="P835" s="159"/>
      <c r="Q835" s="159"/>
      <c r="R835" s="159"/>
      <c r="S835" s="159"/>
      <c r="T835" s="159"/>
      <c r="U835" s="159"/>
      <c r="V835" s="159"/>
      <c r="W835" s="159"/>
      <c r="X835" s="159"/>
      <c r="Y835" s="159"/>
      <c r="Z835" s="159"/>
    </row>
    <row r="836" ht="15.75" customHeight="1">
      <c r="A836" s="118"/>
      <c r="B836" s="118"/>
      <c r="C836" s="181"/>
      <c r="D836" s="159"/>
      <c r="E836" s="159"/>
      <c r="F836" s="159"/>
      <c r="G836" s="159"/>
      <c r="H836" s="83"/>
      <c r="I836" s="159"/>
      <c r="J836" s="159"/>
      <c r="K836" s="159"/>
      <c r="L836" s="159"/>
      <c r="M836" s="159"/>
      <c r="N836" s="159"/>
      <c r="O836" s="159"/>
      <c r="P836" s="159"/>
      <c r="Q836" s="159"/>
      <c r="R836" s="159"/>
      <c r="S836" s="159"/>
      <c r="T836" s="159"/>
      <c r="U836" s="159"/>
      <c r="V836" s="159"/>
      <c r="W836" s="159"/>
      <c r="X836" s="159"/>
      <c r="Y836" s="159"/>
      <c r="Z836" s="159"/>
    </row>
    <row r="837" ht="15.75" customHeight="1">
      <c r="A837" s="118"/>
      <c r="B837" s="118"/>
      <c r="C837" s="181"/>
      <c r="D837" s="159"/>
      <c r="E837" s="159"/>
      <c r="F837" s="159"/>
      <c r="G837" s="159"/>
      <c r="H837" s="83"/>
      <c r="I837" s="159"/>
      <c r="J837" s="159"/>
      <c r="K837" s="159"/>
      <c r="L837" s="159"/>
      <c r="M837" s="159"/>
      <c r="N837" s="159"/>
      <c r="O837" s="159"/>
      <c r="P837" s="159"/>
      <c r="Q837" s="159"/>
      <c r="R837" s="159"/>
      <c r="S837" s="159"/>
      <c r="T837" s="159"/>
      <c r="U837" s="159"/>
      <c r="V837" s="159"/>
      <c r="W837" s="159"/>
      <c r="X837" s="159"/>
      <c r="Y837" s="159"/>
      <c r="Z837" s="159"/>
    </row>
    <row r="838" ht="15.75" customHeight="1">
      <c r="A838" s="118"/>
      <c r="B838" s="118"/>
      <c r="C838" s="181"/>
      <c r="D838" s="159"/>
      <c r="E838" s="159"/>
      <c r="F838" s="159"/>
      <c r="G838" s="159"/>
      <c r="H838" s="83"/>
      <c r="I838" s="159"/>
      <c r="J838" s="159"/>
      <c r="K838" s="159"/>
      <c r="L838" s="159"/>
      <c r="M838" s="159"/>
      <c r="N838" s="159"/>
      <c r="O838" s="159"/>
      <c r="P838" s="159"/>
      <c r="Q838" s="159"/>
      <c r="R838" s="159"/>
      <c r="S838" s="159"/>
      <c r="T838" s="159"/>
      <c r="U838" s="159"/>
      <c r="V838" s="159"/>
      <c r="W838" s="159"/>
      <c r="X838" s="159"/>
      <c r="Y838" s="159"/>
      <c r="Z838" s="159"/>
    </row>
    <row r="839" ht="15.75" customHeight="1">
      <c r="A839" s="118"/>
      <c r="B839" s="118"/>
      <c r="C839" s="181"/>
      <c r="D839" s="159"/>
      <c r="E839" s="159"/>
      <c r="F839" s="159"/>
      <c r="G839" s="159"/>
      <c r="H839" s="83"/>
      <c r="I839" s="159"/>
      <c r="J839" s="159"/>
      <c r="K839" s="159"/>
      <c r="L839" s="159"/>
      <c r="M839" s="159"/>
      <c r="N839" s="159"/>
      <c r="O839" s="159"/>
      <c r="P839" s="159"/>
      <c r="Q839" s="159"/>
      <c r="R839" s="159"/>
      <c r="S839" s="159"/>
      <c r="T839" s="159"/>
      <c r="U839" s="159"/>
      <c r="V839" s="159"/>
      <c r="W839" s="159"/>
      <c r="X839" s="159"/>
      <c r="Y839" s="159"/>
      <c r="Z839" s="159"/>
    </row>
    <row r="840" ht="15.75" customHeight="1">
      <c r="A840" s="118"/>
      <c r="B840" s="118"/>
      <c r="C840" s="181"/>
      <c r="D840" s="159"/>
      <c r="E840" s="159"/>
      <c r="F840" s="159"/>
      <c r="G840" s="159"/>
      <c r="H840" s="83"/>
      <c r="I840" s="159"/>
      <c r="J840" s="159"/>
      <c r="K840" s="159"/>
      <c r="L840" s="159"/>
      <c r="M840" s="159"/>
      <c r="N840" s="159"/>
      <c r="O840" s="159"/>
      <c r="P840" s="159"/>
      <c r="Q840" s="159"/>
      <c r="R840" s="159"/>
      <c r="S840" s="159"/>
      <c r="T840" s="159"/>
      <c r="U840" s="159"/>
      <c r="V840" s="159"/>
      <c r="W840" s="159"/>
      <c r="X840" s="159"/>
      <c r="Y840" s="159"/>
      <c r="Z840" s="159"/>
    </row>
    <row r="841" ht="15.75" customHeight="1">
      <c r="A841" s="118"/>
      <c r="B841" s="118"/>
      <c r="C841" s="181"/>
      <c r="D841" s="159"/>
      <c r="E841" s="159"/>
      <c r="F841" s="159"/>
      <c r="G841" s="159"/>
      <c r="H841" s="83"/>
      <c r="I841" s="159"/>
      <c r="J841" s="159"/>
      <c r="K841" s="159"/>
      <c r="L841" s="159"/>
      <c r="M841" s="159"/>
      <c r="N841" s="159"/>
      <c r="O841" s="159"/>
      <c r="P841" s="159"/>
      <c r="Q841" s="159"/>
      <c r="R841" s="159"/>
      <c r="S841" s="159"/>
      <c r="T841" s="159"/>
      <c r="U841" s="159"/>
      <c r="V841" s="159"/>
      <c r="W841" s="159"/>
      <c r="X841" s="159"/>
      <c r="Y841" s="159"/>
      <c r="Z841" s="159"/>
    </row>
    <row r="842" ht="15.75" customHeight="1">
      <c r="A842" s="118"/>
      <c r="B842" s="118"/>
      <c r="C842" s="181"/>
      <c r="D842" s="159"/>
      <c r="E842" s="159"/>
      <c r="F842" s="159"/>
      <c r="G842" s="159"/>
      <c r="H842" s="83"/>
      <c r="I842" s="159"/>
      <c r="J842" s="159"/>
      <c r="K842" s="159"/>
      <c r="L842" s="159"/>
      <c r="M842" s="159"/>
      <c r="N842" s="159"/>
      <c r="O842" s="159"/>
      <c r="P842" s="159"/>
      <c r="Q842" s="159"/>
      <c r="R842" s="159"/>
      <c r="S842" s="159"/>
      <c r="T842" s="159"/>
      <c r="U842" s="159"/>
      <c r="V842" s="159"/>
      <c r="W842" s="159"/>
      <c r="X842" s="159"/>
      <c r="Y842" s="159"/>
      <c r="Z842" s="159"/>
    </row>
    <row r="843" ht="15.75" customHeight="1">
      <c r="A843" s="118"/>
      <c r="B843" s="118"/>
      <c r="C843" s="181"/>
      <c r="D843" s="159"/>
      <c r="E843" s="159"/>
      <c r="F843" s="159"/>
      <c r="G843" s="159"/>
      <c r="H843" s="83"/>
      <c r="I843" s="159"/>
      <c r="J843" s="159"/>
      <c r="K843" s="159"/>
      <c r="L843" s="159"/>
      <c r="M843" s="159"/>
      <c r="N843" s="159"/>
      <c r="O843" s="159"/>
      <c r="P843" s="159"/>
      <c r="Q843" s="159"/>
      <c r="R843" s="159"/>
      <c r="S843" s="159"/>
      <c r="T843" s="159"/>
      <c r="U843" s="159"/>
      <c r="V843" s="159"/>
      <c r="W843" s="159"/>
      <c r="X843" s="159"/>
      <c r="Y843" s="159"/>
      <c r="Z843" s="159"/>
    </row>
    <row r="844" ht="15.75" customHeight="1">
      <c r="A844" s="118"/>
      <c r="B844" s="118"/>
      <c r="C844" s="181"/>
      <c r="D844" s="159"/>
      <c r="E844" s="159"/>
      <c r="F844" s="159"/>
      <c r="G844" s="159"/>
      <c r="H844" s="83"/>
      <c r="I844" s="159"/>
      <c r="J844" s="159"/>
      <c r="K844" s="159"/>
      <c r="L844" s="159"/>
      <c r="M844" s="159"/>
      <c r="N844" s="159"/>
      <c r="O844" s="159"/>
      <c r="P844" s="159"/>
      <c r="Q844" s="159"/>
      <c r="R844" s="159"/>
      <c r="S844" s="159"/>
      <c r="T844" s="159"/>
      <c r="U844" s="159"/>
      <c r="V844" s="159"/>
      <c r="W844" s="159"/>
      <c r="X844" s="159"/>
      <c r="Y844" s="159"/>
      <c r="Z844" s="159"/>
    </row>
    <row r="845" ht="15.75" customHeight="1">
      <c r="A845" s="118"/>
      <c r="B845" s="118"/>
      <c r="C845" s="181"/>
      <c r="D845" s="159"/>
      <c r="E845" s="159"/>
      <c r="F845" s="159"/>
      <c r="G845" s="159"/>
      <c r="H845" s="83"/>
      <c r="I845" s="159"/>
      <c r="J845" s="159"/>
      <c r="K845" s="159"/>
      <c r="L845" s="159"/>
      <c r="M845" s="159"/>
      <c r="N845" s="159"/>
      <c r="O845" s="159"/>
      <c r="P845" s="159"/>
      <c r="Q845" s="159"/>
      <c r="R845" s="159"/>
      <c r="S845" s="159"/>
      <c r="T845" s="159"/>
      <c r="U845" s="159"/>
      <c r="V845" s="159"/>
      <c r="W845" s="159"/>
      <c r="X845" s="159"/>
      <c r="Y845" s="159"/>
      <c r="Z845" s="159"/>
    </row>
    <row r="846" ht="15.75" customHeight="1">
      <c r="A846" s="118"/>
      <c r="B846" s="118"/>
      <c r="C846" s="181"/>
      <c r="D846" s="159"/>
      <c r="E846" s="159"/>
      <c r="F846" s="159"/>
      <c r="G846" s="159"/>
      <c r="H846" s="83"/>
      <c r="I846" s="159"/>
      <c r="J846" s="159"/>
      <c r="K846" s="159"/>
      <c r="L846" s="159"/>
      <c r="M846" s="159"/>
      <c r="N846" s="159"/>
      <c r="O846" s="159"/>
      <c r="P846" s="159"/>
      <c r="Q846" s="159"/>
      <c r="R846" s="159"/>
      <c r="S846" s="159"/>
      <c r="T846" s="159"/>
      <c r="U846" s="159"/>
      <c r="V846" s="159"/>
      <c r="W846" s="159"/>
      <c r="X846" s="159"/>
      <c r="Y846" s="159"/>
      <c r="Z846" s="159"/>
    </row>
    <row r="847" ht="15.75" customHeight="1">
      <c r="A847" s="118"/>
      <c r="B847" s="118"/>
      <c r="C847" s="181"/>
      <c r="D847" s="159"/>
      <c r="E847" s="159"/>
      <c r="F847" s="159"/>
      <c r="G847" s="159"/>
      <c r="H847" s="83"/>
      <c r="I847" s="159"/>
      <c r="J847" s="159"/>
      <c r="K847" s="159"/>
      <c r="L847" s="159"/>
      <c r="M847" s="159"/>
      <c r="N847" s="159"/>
      <c r="O847" s="159"/>
      <c r="P847" s="159"/>
      <c r="Q847" s="159"/>
      <c r="R847" s="159"/>
      <c r="S847" s="159"/>
      <c r="T847" s="159"/>
      <c r="U847" s="159"/>
      <c r="V847" s="159"/>
      <c r="W847" s="159"/>
      <c r="X847" s="159"/>
      <c r="Y847" s="159"/>
      <c r="Z847" s="159"/>
    </row>
    <row r="848" ht="15.75" customHeight="1">
      <c r="A848" s="118"/>
      <c r="B848" s="118"/>
      <c r="C848" s="181"/>
      <c r="D848" s="159"/>
      <c r="E848" s="159"/>
      <c r="F848" s="159"/>
      <c r="G848" s="159"/>
      <c r="H848" s="83"/>
      <c r="I848" s="159"/>
      <c r="J848" s="159"/>
      <c r="K848" s="159"/>
      <c r="L848" s="159"/>
      <c r="M848" s="159"/>
      <c r="N848" s="159"/>
      <c r="O848" s="159"/>
      <c r="P848" s="159"/>
      <c r="Q848" s="159"/>
      <c r="R848" s="159"/>
      <c r="S848" s="159"/>
      <c r="T848" s="159"/>
      <c r="U848" s="159"/>
      <c r="V848" s="159"/>
      <c r="W848" s="159"/>
      <c r="X848" s="159"/>
      <c r="Y848" s="159"/>
      <c r="Z848" s="159"/>
    </row>
    <row r="849" ht="15.75" customHeight="1">
      <c r="A849" s="118"/>
      <c r="B849" s="118"/>
      <c r="C849" s="181"/>
      <c r="D849" s="159"/>
      <c r="E849" s="159"/>
      <c r="F849" s="159"/>
      <c r="G849" s="159"/>
      <c r="H849" s="83"/>
      <c r="I849" s="159"/>
      <c r="J849" s="159"/>
      <c r="K849" s="159"/>
      <c r="L849" s="159"/>
      <c r="M849" s="159"/>
      <c r="N849" s="159"/>
      <c r="O849" s="159"/>
      <c r="P849" s="159"/>
      <c r="Q849" s="159"/>
      <c r="R849" s="159"/>
      <c r="S849" s="159"/>
      <c r="T849" s="159"/>
      <c r="U849" s="159"/>
      <c r="V849" s="159"/>
      <c r="W849" s="159"/>
      <c r="X849" s="159"/>
      <c r="Y849" s="159"/>
      <c r="Z849" s="159"/>
    </row>
    <row r="850" ht="15.75" customHeight="1">
      <c r="A850" s="118"/>
      <c r="B850" s="118"/>
      <c r="C850" s="181"/>
      <c r="D850" s="159"/>
      <c r="E850" s="159"/>
      <c r="F850" s="159"/>
      <c r="G850" s="159"/>
      <c r="H850" s="83"/>
      <c r="I850" s="159"/>
      <c r="J850" s="159"/>
      <c r="K850" s="159"/>
      <c r="L850" s="159"/>
      <c r="M850" s="159"/>
      <c r="N850" s="159"/>
      <c r="O850" s="159"/>
      <c r="P850" s="159"/>
      <c r="Q850" s="159"/>
      <c r="R850" s="159"/>
      <c r="S850" s="159"/>
      <c r="T850" s="159"/>
      <c r="U850" s="159"/>
      <c r="V850" s="159"/>
      <c r="W850" s="159"/>
      <c r="X850" s="159"/>
      <c r="Y850" s="159"/>
      <c r="Z850" s="159"/>
    </row>
    <row r="851" ht="15.75" customHeight="1">
      <c r="A851" s="118"/>
      <c r="B851" s="118"/>
      <c r="C851" s="181"/>
      <c r="D851" s="159"/>
      <c r="E851" s="159"/>
      <c r="F851" s="159"/>
      <c r="G851" s="159"/>
      <c r="H851" s="83"/>
      <c r="I851" s="159"/>
      <c r="J851" s="159"/>
      <c r="K851" s="159"/>
      <c r="L851" s="159"/>
      <c r="M851" s="159"/>
      <c r="N851" s="159"/>
      <c r="O851" s="159"/>
      <c r="P851" s="159"/>
      <c r="Q851" s="159"/>
      <c r="R851" s="159"/>
      <c r="S851" s="159"/>
      <c r="T851" s="159"/>
      <c r="U851" s="159"/>
      <c r="V851" s="159"/>
      <c r="W851" s="159"/>
      <c r="X851" s="159"/>
      <c r="Y851" s="159"/>
      <c r="Z851" s="159"/>
    </row>
    <row r="852" ht="15.75" customHeight="1">
      <c r="A852" s="118"/>
      <c r="B852" s="118"/>
      <c r="C852" s="181"/>
      <c r="D852" s="159"/>
      <c r="E852" s="159"/>
      <c r="F852" s="159"/>
      <c r="G852" s="159"/>
      <c r="H852" s="83"/>
      <c r="I852" s="159"/>
      <c r="J852" s="159"/>
      <c r="K852" s="159"/>
      <c r="L852" s="159"/>
      <c r="M852" s="159"/>
      <c r="N852" s="159"/>
      <c r="O852" s="159"/>
      <c r="P852" s="159"/>
      <c r="Q852" s="159"/>
      <c r="R852" s="159"/>
      <c r="S852" s="159"/>
      <c r="T852" s="159"/>
      <c r="U852" s="159"/>
      <c r="V852" s="159"/>
      <c r="W852" s="159"/>
      <c r="X852" s="159"/>
      <c r="Y852" s="159"/>
      <c r="Z852" s="159"/>
    </row>
    <row r="853" ht="15.75" customHeight="1">
      <c r="A853" s="118"/>
      <c r="B853" s="118"/>
      <c r="C853" s="181"/>
      <c r="D853" s="159"/>
      <c r="E853" s="159"/>
      <c r="F853" s="159"/>
      <c r="G853" s="159"/>
      <c r="H853" s="83"/>
      <c r="I853" s="159"/>
      <c r="J853" s="159"/>
      <c r="K853" s="159"/>
      <c r="L853" s="159"/>
      <c r="M853" s="159"/>
      <c r="N853" s="159"/>
      <c r="O853" s="159"/>
      <c r="P853" s="159"/>
      <c r="Q853" s="159"/>
      <c r="R853" s="159"/>
      <c r="S853" s="159"/>
      <c r="T853" s="159"/>
      <c r="U853" s="159"/>
      <c r="V853" s="159"/>
      <c r="W853" s="159"/>
      <c r="X853" s="159"/>
      <c r="Y853" s="159"/>
      <c r="Z853" s="159"/>
    </row>
    <row r="854" ht="15.75" customHeight="1">
      <c r="A854" s="118"/>
      <c r="B854" s="118"/>
      <c r="C854" s="181"/>
      <c r="D854" s="159"/>
      <c r="E854" s="159"/>
      <c r="F854" s="159"/>
      <c r="G854" s="159"/>
      <c r="H854" s="83"/>
      <c r="I854" s="159"/>
      <c r="J854" s="159"/>
      <c r="K854" s="159"/>
      <c r="L854" s="159"/>
      <c r="M854" s="159"/>
      <c r="N854" s="159"/>
      <c r="O854" s="159"/>
      <c r="P854" s="159"/>
      <c r="Q854" s="159"/>
      <c r="R854" s="159"/>
      <c r="S854" s="159"/>
      <c r="T854" s="159"/>
      <c r="U854" s="159"/>
      <c r="V854" s="159"/>
      <c r="W854" s="159"/>
      <c r="X854" s="159"/>
      <c r="Y854" s="159"/>
      <c r="Z854" s="159"/>
    </row>
    <row r="855" ht="15.75" customHeight="1">
      <c r="A855" s="118"/>
      <c r="B855" s="118"/>
      <c r="C855" s="181"/>
      <c r="D855" s="159"/>
      <c r="E855" s="159"/>
      <c r="F855" s="159"/>
      <c r="G855" s="159"/>
      <c r="H855" s="83"/>
      <c r="I855" s="159"/>
      <c r="J855" s="159"/>
      <c r="K855" s="159"/>
      <c r="L855" s="159"/>
      <c r="M855" s="159"/>
      <c r="N855" s="159"/>
      <c r="O855" s="159"/>
      <c r="P855" s="159"/>
      <c r="Q855" s="159"/>
      <c r="R855" s="159"/>
      <c r="S855" s="159"/>
      <c r="T855" s="159"/>
      <c r="U855" s="159"/>
      <c r="V855" s="159"/>
      <c r="W855" s="159"/>
      <c r="X855" s="159"/>
      <c r="Y855" s="159"/>
      <c r="Z855" s="159"/>
    </row>
    <row r="856" ht="15.75" customHeight="1">
      <c r="A856" s="118"/>
      <c r="B856" s="118"/>
      <c r="C856" s="181"/>
      <c r="D856" s="159"/>
      <c r="E856" s="159"/>
      <c r="F856" s="159"/>
      <c r="G856" s="159"/>
      <c r="H856" s="83"/>
      <c r="I856" s="159"/>
      <c r="J856" s="159"/>
      <c r="K856" s="159"/>
      <c r="L856" s="159"/>
      <c r="M856" s="159"/>
      <c r="N856" s="159"/>
      <c r="O856" s="159"/>
      <c r="P856" s="159"/>
      <c r="Q856" s="159"/>
      <c r="R856" s="159"/>
      <c r="S856" s="159"/>
      <c r="T856" s="159"/>
      <c r="U856" s="159"/>
      <c r="V856" s="159"/>
      <c r="W856" s="159"/>
      <c r="X856" s="159"/>
      <c r="Y856" s="159"/>
      <c r="Z856" s="159"/>
    </row>
    <row r="857" ht="15.75" customHeight="1">
      <c r="A857" s="118"/>
      <c r="B857" s="118"/>
      <c r="C857" s="181"/>
      <c r="D857" s="159"/>
      <c r="E857" s="159"/>
      <c r="F857" s="159"/>
      <c r="G857" s="159"/>
      <c r="H857" s="83"/>
      <c r="I857" s="159"/>
      <c r="J857" s="159"/>
      <c r="K857" s="159"/>
      <c r="L857" s="159"/>
      <c r="M857" s="159"/>
      <c r="N857" s="159"/>
      <c r="O857" s="159"/>
      <c r="P857" s="159"/>
      <c r="Q857" s="159"/>
      <c r="R857" s="159"/>
      <c r="S857" s="159"/>
      <c r="T857" s="159"/>
      <c r="U857" s="159"/>
      <c r="V857" s="159"/>
      <c r="W857" s="159"/>
      <c r="X857" s="159"/>
      <c r="Y857" s="159"/>
      <c r="Z857" s="159"/>
    </row>
    <row r="858" ht="15.75" customHeight="1">
      <c r="A858" s="118"/>
      <c r="B858" s="118"/>
      <c r="C858" s="181"/>
      <c r="D858" s="159"/>
      <c r="E858" s="159"/>
      <c r="F858" s="159"/>
      <c r="G858" s="159"/>
      <c r="H858" s="83"/>
      <c r="I858" s="159"/>
      <c r="J858" s="159"/>
      <c r="K858" s="159"/>
      <c r="L858" s="159"/>
      <c r="M858" s="159"/>
      <c r="N858" s="159"/>
      <c r="O858" s="159"/>
      <c r="P858" s="159"/>
      <c r="Q858" s="159"/>
      <c r="R858" s="159"/>
      <c r="S858" s="159"/>
      <c r="T858" s="159"/>
      <c r="U858" s="159"/>
      <c r="V858" s="159"/>
      <c r="W858" s="159"/>
      <c r="X858" s="159"/>
      <c r="Y858" s="159"/>
      <c r="Z858" s="159"/>
    </row>
    <row r="859" ht="15.75" customHeight="1">
      <c r="A859" s="118"/>
      <c r="B859" s="118"/>
      <c r="C859" s="181"/>
      <c r="D859" s="159"/>
      <c r="E859" s="159"/>
      <c r="F859" s="159"/>
      <c r="G859" s="159"/>
      <c r="H859" s="83"/>
      <c r="I859" s="159"/>
      <c r="J859" s="159"/>
      <c r="K859" s="159"/>
      <c r="L859" s="159"/>
      <c r="M859" s="159"/>
      <c r="N859" s="159"/>
      <c r="O859" s="159"/>
      <c r="P859" s="159"/>
      <c r="Q859" s="159"/>
      <c r="R859" s="159"/>
      <c r="S859" s="159"/>
      <c r="T859" s="159"/>
      <c r="U859" s="159"/>
      <c r="V859" s="159"/>
      <c r="W859" s="159"/>
      <c r="X859" s="159"/>
      <c r="Y859" s="159"/>
      <c r="Z859" s="159"/>
    </row>
    <row r="860" ht="15.75" customHeight="1">
      <c r="A860" s="118"/>
      <c r="B860" s="118"/>
      <c r="C860" s="181"/>
      <c r="D860" s="159"/>
      <c r="E860" s="159"/>
      <c r="F860" s="159"/>
      <c r="G860" s="159"/>
      <c r="H860" s="83"/>
      <c r="I860" s="159"/>
      <c r="J860" s="159"/>
      <c r="K860" s="159"/>
      <c r="L860" s="159"/>
      <c r="M860" s="159"/>
      <c r="N860" s="159"/>
      <c r="O860" s="159"/>
      <c r="P860" s="159"/>
      <c r="Q860" s="159"/>
      <c r="R860" s="159"/>
      <c r="S860" s="159"/>
      <c r="T860" s="159"/>
      <c r="U860" s="159"/>
      <c r="V860" s="159"/>
      <c r="W860" s="159"/>
      <c r="X860" s="159"/>
      <c r="Y860" s="159"/>
      <c r="Z860" s="159"/>
    </row>
    <row r="861" ht="15.75" customHeight="1">
      <c r="A861" s="118"/>
      <c r="B861" s="118"/>
      <c r="C861" s="181"/>
      <c r="D861" s="159"/>
      <c r="E861" s="159"/>
      <c r="F861" s="159"/>
      <c r="G861" s="159"/>
      <c r="H861" s="83"/>
      <c r="I861" s="159"/>
      <c r="J861" s="159"/>
      <c r="K861" s="159"/>
      <c r="L861" s="159"/>
      <c r="M861" s="159"/>
      <c r="N861" s="159"/>
      <c r="O861" s="159"/>
      <c r="P861" s="159"/>
      <c r="Q861" s="159"/>
      <c r="R861" s="159"/>
      <c r="S861" s="159"/>
      <c r="T861" s="159"/>
      <c r="U861" s="159"/>
      <c r="V861" s="159"/>
      <c r="W861" s="159"/>
      <c r="X861" s="159"/>
      <c r="Y861" s="159"/>
      <c r="Z861" s="159"/>
    </row>
    <row r="862" ht="15.75" customHeight="1">
      <c r="A862" s="118"/>
      <c r="B862" s="118"/>
      <c r="C862" s="181"/>
      <c r="D862" s="159"/>
      <c r="E862" s="159"/>
      <c r="F862" s="159"/>
      <c r="G862" s="159"/>
      <c r="H862" s="83"/>
      <c r="I862" s="159"/>
      <c r="J862" s="159"/>
      <c r="K862" s="159"/>
      <c r="L862" s="159"/>
      <c r="M862" s="159"/>
      <c r="N862" s="159"/>
      <c r="O862" s="159"/>
      <c r="P862" s="159"/>
      <c r="Q862" s="159"/>
      <c r="R862" s="159"/>
      <c r="S862" s="159"/>
      <c r="T862" s="159"/>
      <c r="U862" s="159"/>
      <c r="V862" s="159"/>
      <c r="W862" s="159"/>
      <c r="X862" s="159"/>
      <c r="Y862" s="159"/>
      <c r="Z862" s="159"/>
    </row>
    <row r="863" ht="15.75" customHeight="1">
      <c r="A863" s="118"/>
      <c r="B863" s="118"/>
      <c r="C863" s="181"/>
      <c r="D863" s="159"/>
      <c r="E863" s="159"/>
      <c r="F863" s="159"/>
      <c r="G863" s="159"/>
      <c r="H863" s="83"/>
      <c r="I863" s="159"/>
      <c r="J863" s="159"/>
      <c r="K863" s="159"/>
      <c r="L863" s="159"/>
      <c r="M863" s="159"/>
      <c r="N863" s="159"/>
      <c r="O863" s="159"/>
      <c r="P863" s="159"/>
      <c r="Q863" s="159"/>
      <c r="R863" s="159"/>
      <c r="S863" s="159"/>
      <c r="T863" s="159"/>
      <c r="U863" s="159"/>
      <c r="V863" s="159"/>
      <c r="W863" s="159"/>
      <c r="X863" s="159"/>
      <c r="Y863" s="159"/>
      <c r="Z863" s="159"/>
    </row>
    <row r="864" ht="15.75" customHeight="1">
      <c r="A864" s="118"/>
      <c r="B864" s="118"/>
      <c r="C864" s="181"/>
      <c r="D864" s="159"/>
      <c r="E864" s="159"/>
      <c r="F864" s="159"/>
      <c r="G864" s="159"/>
      <c r="H864" s="83"/>
      <c r="I864" s="159"/>
      <c r="J864" s="159"/>
      <c r="K864" s="159"/>
      <c r="L864" s="159"/>
      <c r="M864" s="159"/>
      <c r="N864" s="159"/>
      <c r="O864" s="159"/>
      <c r="P864" s="159"/>
      <c r="Q864" s="159"/>
      <c r="R864" s="159"/>
      <c r="S864" s="159"/>
      <c r="T864" s="159"/>
      <c r="U864" s="159"/>
      <c r="V864" s="159"/>
      <c r="W864" s="159"/>
      <c r="X864" s="159"/>
      <c r="Y864" s="159"/>
      <c r="Z864" s="159"/>
    </row>
    <row r="865" ht="15.75" customHeight="1">
      <c r="A865" s="118"/>
      <c r="B865" s="118"/>
      <c r="C865" s="181"/>
      <c r="D865" s="159"/>
      <c r="E865" s="159"/>
      <c r="F865" s="159"/>
      <c r="G865" s="159"/>
      <c r="H865" s="83"/>
      <c r="I865" s="159"/>
      <c r="J865" s="159"/>
      <c r="K865" s="159"/>
      <c r="L865" s="159"/>
      <c r="M865" s="159"/>
      <c r="N865" s="159"/>
      <c r="O865" s="159"/>
      <c r="P865" s="159"/>
      <c r="Q865" s="159"/>
      <c r="R865" s="159"/>
      <c r="S865" s="159"/>
      <c r="T865" s="159"/>
      <c r="U865" s="159"/>
      <c r="V865" s="159"/>
      <c r="W865" s="159"/>
      <c r="X865" s="159"/>
      <c r="Y865" s="159"/>
      <c r="Z865" s="159"/>
    </row>
    <row r="866" ht="15.75" customHeight="1">
      <c r="A866" s="118"/>
      <c r="B866" s="118"/>
      <c r="C866" s="181"/>
      <c r="D866" s="159"/>
      <c r="E866" s="159"/>
      <c r="F866" s="159"/>
      <c r="G866" s="159"/>
      <c r="H866" s="83"/>
      <c r="I866" s="159"/>
      <c r="J866" s="159"/>
      <c r="K866" s="159"/>
      <c r="L866" s="159"/>
      <c r="M866" s="159"/>
      <c r="N866" s="159"/>
      <c r="O866" s="159"/>
      <c r="P866" s="159"/>
      <c r="Q866" s="159"/>
      <c r="R866" s="159"/>
      <c r="S866" s="159"/>
      <c r="T866" s="159"/>
      <c r="U866" s="159"/>
      <c r="V866" s="159"/>
      <c r="W866" s="159"/>
      <c r="X866" s="159"/>
      <c r="Y866" s="159"/>
      <c r="Z866" s="159"/>
    </row>
    <row r="867" ht="15.75" customHeight="1">
      <c r="A867" s="118"/>
      <c r="B867" s="118"/>
      <c r="C867" s="181"/>
      <c r="D867" s="159"/>
      <c r="E867" s="159"/>
      <c r="F867" s="159"/>
      <c r="G867" s="159"/>
      <c r="H867" s="83"/>
      <c r="I867" s="159"/>
      <c r="J867" s="159"/>
      <c r="K867" s="159"/>
      <c r="L867" s="159"/>
      <c r="M867" s="159"/>
      <c r="N867" s="159"/>
      <c r="O867" s="159"/>
      <c r="P867" s="159"/>
      <c r="Q867" s="159"/>
      <c r="R867" s="159"/>
      <c r="S867" s="159"/>
      <c r="T867" s="159"/>
      <c r="U867" s="159"/>
      <c r="V867" s="159"/>
      <c r="W867" s="159"/>
      <c r="X867" s="159"/>
      <c r="Y867" s="159"/>
      <c r="Z867" s="159"/>
    </row>
    <row r="868" ht="15.75" customHeight="1">
      <c r="A868" s="118"/>
      <c r="B868" s="118"/>
      <c r="C868" s="181"/>
      <c r="D868" s="159"/>
      <c r="E868" s="159"/>
      <c r="F868" s="159"/>
      <c r="G868" s="159"/>
      <c r="H868" s="83"/>
      <c r="I868" s="159"/>
      <c r="J868" s="159"/>
      <c r="K868" s="159"/>
      <c r="L868" s="159"/>
      <c r="M868" s="159"/>
      <c r="N868" s="159"/>
      <c r="O868" s="159"/>
      <c r="P868" s="159"/>
      <c r="Q868" s="159"/>
      <c r="R868" s="159"/>
      <c r="S868" s="159"/>
      <c r="T868" s="159"/>
      <c r="U868" s="159"/>
      <c r="V868" s="159"/>
      <c r="W868" s="159"/>
      <c r="X868" s="159"/>
      <c r="Y868" s="159"/>
      <c r="Z868" s="159"/>
    </row>
    <row r="869" ht="15.75" customHeight="1">
      <c r="A869" s="118"/>
      <c r="B869" s="118"/>
      <c r="C869" s="181"/>
      <c r="D869" s="159"/>
      <c r="E869" s="159"/>
      <c r="F869" s="159"/>
      <c r="G869" s="159"/>
      <c r="H869" s="83"/>
      <c r="I869" s="159"/>
      <c r="J869" s="159"/>
      <c r="K869" s="159"/>
      <c r="L869" s="159"/>
      <c r="M869" s="159"/>
      <c r="N869" s="159"/>
      <c r="O869" s="159"/>
      <c r="P869" s="159"/>
      <c r="Q869" s="159"/>
      <c r="R869" s="159"/>
      <c r="S869" s="159"/>
      <c r="T869" s="159"/>
      <c r="U869" s="159"/>
      <c r="V869" s="159"/>
      <c r="W869" s="159"/>
      <c r="X869" s="159"/>
      <c r="Y869" s="159"/>
      <c r="Z869" s="159"/>
    </row>
    <row r="870" ht="15.75" customHeight="1">
      <c r="A870" s="118"/>
      <c r="B870" s="118"/>
      <c r="C870" s="181"/>
      <c r="D870" s="159"/>
      <c r="E870" s="159"/>
      <c r="F870" s="159"/>
      <c r="G870" s="159"/>
      <c r="H870" s="83"/>
      <c r="I870" s="159"/>
      <c r="J870" s="159"/>
      <c r="K870" s="159"/>
      <c r="L870" s="159"/>
      <c r="M870" s="159"/>
      <c r="N870" s="159"/>
      <c r="O870" s="159"/>
      <c r="P870" s="159"/>
      <c r="Q870" s="159"/>
      <c r="R870" s="159"/>
      <c r="S870" s="159"/>
      <c r="T870" s="159"/>
      <c r="U870" s="159"/>
      <c r="V870" s="159"/>
      <c r="W870" s="159"/>
      <c r="X870" s="159"/>
      <c r="Y870" s="159"/>
      <c r="Z870" s="159"/>
    </row>
    <row r="871" ht="15.75" customHeight="1">
      <c r="A871" s="118"/>
      <c r="B871" s="118"/>
      <c r="C871" s="181"/>
      <c r="D871" s="159"/>
      <c r="E871" s="159"/>
      <c r="F871" s="159"/>
      <c r="G871" s="159"/>
      <c r="H871" s="83"/>
      <c r="I871" s="159"/>
      <c r="J871" s="159"/>
      <c r="K871" s="159"/>
      <c r="L871" s="159"/>
      <c r="M871" s="159"/>
      <c r="N871" s="159"/>
      <c r="O871" s="159"/>
      <c r="P871" s="159"/>
      <c r="Q871" s="159"/>
      <c r="R871" s="159"/>
      <c r="S871" s="159"/>
      <c r="T871" s="159"/>
      <c r="U871" s="159"/>
      <c r="V871" s="159"/>
      <c r="W871" s="159"/>
      <c r="X871" s="159"/>
      <c r="Y871" s="159"/>
      <c r="Z871" s="159"/>
    </row>
    <row r="872" ht="15.75" customHeight="1">
      <c r="A872" s="118"/>
      <c r="B872" s="118"/>
      <c r="C872" s="181"/>
      <c r="D872" s="159"/>
      <c r="E872" s="159"/>
      <c r="F872" s="159"/>
      <c r="G872" s="159"/>
      <c r="H872" s="83"/>
      <c r="I872" s="159"/>
      <c r="J872" s="159"/>
      <c r="K872" s="159"/>
      <c r="L872" s="159"/>
      <c r="M872" s="159"/>
      <c r="N872" s="159"/>
      <c r="O872" s="159"/>
      <c r="P872" s="159"/>
      <c r="Q872" s="159"/>
      <c r="R872" s="159"/>
      <c r="S872" s="159"/>
      <c r="T872" s="159"/>
      <c r="U872" s="159"/>
      <c r="V872" s="159"/>
      <c r="W872" s="159"/>
      <c r="X872" s="159"/>
      <c r="Y872" s="159"/>
      <c r="Z872" s="159"/>
    </row>
    <row r="873" ht="15.75" customHeight="1">
      <c r="A873" s="118"/>
      <c r="B873" s="118"/>
      <c r="C873" s="181"/>
      <c r="D873" s="159"/>
      <c r="E873" s="159"/>
      <c r="F873" s="159"/>
      <c r="G873" s="159"/>
      <c r="H873" s="83"/>
      <c r="I873" s="159"/>
      <c r="J873" s="159"/>
      <c r="K873" s="159"/>
      <c r="L873" s="159"/>
      <c r="M873" s="159"/>
      <c r="N873" s="159"/>
      <c r="O873" s="159"/>
      <c r="P873" s="159"/>
      <c r="Q873" s="159"/>
      <c r="R873" s="159"/>
      <c r="S873" s="159"/>
      <c r="T873" s="159"/>
      <c r="U873" s="159"/>
      <c r="V873" s="159"/>
      <c r="W873" s="159"/>
      <c r="X873" s="159"/>
      <c r="Y873" s="159"/>
      <c r="Z873" s="159"/>
    </row>
    <row r="874" ht="15.75" customHeight="1">
      <c r="A874" s="118"/>
      <c r="B874" s="118"/>
      <c r="C874" s="181"/>
      <c r="D874" s="159"/>
      <c r="E874" s="159"/>
      <c r="F874" s="159"/>
      <c r="G874" s="159"/>
      <c r="H874" s="83"/>
      <c r="I874" s="159"/>
      <c r="J874" s="159"/>
      <c r="K874" s="159"/>
      <c r="L874" s="159"/>
      <c r="M874" s="159"/>
      <c r="N874" s="159"/>
      <c r="O874" s="159"/>
      <c r="P874" s="159"/>
      <c r="Q874" s="159"/>
      <c r="R874" s="159"/>
      <c r="S874" s="159"/>
      <c r="T874" s="159"/>
      <c r="U874" s="159"/>
      <c r="V874" s="159"/>
      <c r="W874" s="159"/>
      <c r="X874" s="159"/>
      <c r="Y874" s="159"/>
      <c r="Z874" s="159"/>
    </row>
    <row r="875" ht="15.75" customHeight="1">
      <c r="A875" s="118"/>
      <c r="B875" s="118"/>
      <c r="C875" s="181"/>
      <c r="D875" s="159"/>
      <c r="E875" s="159"/>
      <c r="F875" s="159"/>
      <c r="G875" s="159"/>
      <c r="H875" s="83"/>
      <c r="I875" s="159"/>
      <c r="J875" s="159"/>
      <c r="K875" s="159"/>
      <c r="L875" s="159"/>
      <c r="M875" s="159"/>
      <c r="N875" s="159"/>
      <c r="O875" s="159"/>
      <c r="P875" s="159"/>
      <c r="Q875" s="159"/>
      <c r="R875" s="159"/>
      <c r="S875" s="159"/>
      <c r="T875" s="159"/>
      <c r="U875" s="159"/>
      <c r="V875" s="159"/>
      <c r="W875" s="159"/>
      <c r="X875" s="159"/>
      <c r="Y875" s="159"/>
      <c r="Z875" s="159"/>
    </row>
    <row r="876" ht="15.75" customHeight="1">
      <c r="A876" s="118"/>
      <c r="B876" s="118"/>
      <c r="C876" s="181"/>
      <c r="D876" s="159"/>
      <c r="E876" s="159"/>
      <c r="F876" s="159"/>
      <c r="G876" s="159"/>
      <c r="H876" s="83"/>
      <c r="I876" s="159"/>
      <c r="J876" s="159"/>
      <c r="K876" s="159"/>
      <c r="L876" s="159"/>
      <c r="M876" s="159"/>
      <c r="N876" s="159"/>
      <c r="O876" s="159"/>
      <c r="P876" s="159"/>
      <c r="Q876" s="159"/>
      <c r="R876" s="159"/>
      <c r="S876" s="159"/>
      <c r="T876" s="159"/>
      <c r="U876" s="159"/>
      <c r="V876" s="159"/>
      <c r="W876" s="159"/>
      <c r="X876" s="159"/>
      <c r="Y876" s="159"/>
      <c r="Z876" s="159"/>
    </row>
    <row r="877" ht="15.75" customHeight="1">
      <c r="A877" s="118"/>
      <c r="B877" s="118"/>
      <c r="C877" s="181"/>
      <c r="D877" s="159"/>
      <c r="E877" s="159"/>
      <c r="F877" s="159"/>
      <c r="G877" s="159"/>
      <c r="H877" s="83"/>
      <c r="I877" s="159"/>
      <c r="J877" s="159"/>
      <c r="K877" s="159"/>
      <c r="L877" s="159"/>
      <c r="M877" s="159"/>
      <c r="N877" s="159"/>
      <c r="O877" s="159"/>
      <c r="P877" s="159"/>
      <c r="Q877" s="159"/>
      <c r="R877" s="159"/>
      <c r="S877" s="159"/>
      <c r="T877" s="159"/>
      <c r="U877" s="159"/>
      <c r="V877" s="159"/>
      <c r="W877" s="159"/>
      <c r="X877" s="159"/>
      <c r="Y877" s="159"/>
      <c r="Z877" s="159"/>
    </row>
    <row r="878" ht="15.75" customHeight="1">
      <c r="A878" s="118"/>
      <c r="B878" s="118"/>
      <c r="C878" s="181"/>
      <c r="D878" s="159"/>
      <c r="E878" s="159"/>
      <c r="F878" s="159"/>
      <c r="G878" s="159"/>
      <c r="H878" s="83"/>
      <c r="I878" s="159"/>
      <c r="J878" s="159"/>
      <c r="K878" s="159"/>
      <c r="L878" s="159"/>
      <c r="M878" s="159"/>
      <c r="N878" s="159"/>
      <c r="O878" s="159"/>
      <c r="P878" s="159"/>
      <c r="Q878" s="159"/>
      <c r="R878" s="159"/>
      <c r="S878" s="159"/>
      <c r="T878" s="159"/>
      <c r="U878" s="159"/>
      <c r="V878" s="159"/>
      <c r="W878" s="159"/>
      <c r="X878" s="159"/>
      <c r="Y878" s="159"/>
      <c r="Z878" s="159"/>
    </row>
    <row r="879" ht="15.75" customHeight="1">
      <c r="A879" s="118"/>
      <c r="B879" s="118"/>
      <c r="C879" s="181"/>
      <c r="D879" s="159"/>
      <c r="E879" s="159"/>
      <c r="F879" s="159"/>
      <c r="G879" s="159"/>
      <c r="H879" s="83"/>
      <c r="I879" s="159"/>
      <c r="J879" s="159"/>
      <c r="K879" s="159"/>
      <c r="L879" s="159"/>
      <c r="M879" s="159"/>
      <c r="N879" s="159"/>
      <c r="O879" s="159"/>
      <c r="P879" s="159"/>
      <c r="Q879" s="159"/>
      <c r="R879" s="159"/>
      <c r="S879" s="159"/>
      <c r="T879" s="159"/>
      <c r="U879" s="159"/>
      <c r="V879" s="159"/>
      <c r="W879" s="159"/>
      <c r="X879" s="159"/>
      <c r="Y879" s="159"/>
      <c r="Z879" s="159"/>
    </row>
    <row r="880" ht="15.75" customHeight="1">
      <c r="A880" s="118"/>
      <c r="B880" s="118"/>
      <c r="C880" s="181"/>
      <c r="D880" s="159"/>
      <c r="E880" s="159"/>
      <c r="F880" s="159"/>
      <c r="G880" s="159"/>
      <c r="H880" s="83"/>
      <c r="I880" s="159"/>
      <c r="J880" s="159"/>
      <c r="K880" s="159"/>
      <c r="L880" s="159"/>
      <c r="M880" s="159"/>
      <c r="N880" s="159"/>
      <c r="O880" s="159"/>
      <c r="P880" s="159"/>
      <c r="Q880" s="159"/>
      <c r="R880" s="159"/>
      <c r="S880" s="159"/>
      <c r="T880" s="159"/>
      <c r="U880" s="159"/>
      <c r="V880" s="159"/>
      <c r="W880" s="159"/>
      <c r="X880" s="159"/>
      <c r="Y880" s="159"/>
      <c r="Z880" s="159"/>
    </row>
    <row r="881" ht="15.75" customHeight="1">
      <c r="A881" s="118"/>
      <c r="B881" s="118"/>
      <c r="C881" s="181"/>
      <c r="D881" s="159"/>
      <c r="E881" s="159"/>
      <c r="F881" s="159"/>
      <c r="G881" s="159"/>
      <c r="H881" s="83"/>
      <c r="I881" s="159"/>
      <c r="J881" s="159"/>
      <c r="K881" s="159"/>
      <c r="L881" s="159"/>
      <c r="M881" s="159"/>
      <c r="N881" s="159"/>
      <c r="O881" s="159"/>
      <c r="P881" s="159"/>
      <c r="Q881" s="159"/>
      <c r="R881" s="159"/>
      <c r="S881" s="159"/>
      <c r="T881" s="159"/>
      <c r="U881" s="159"/>
      <c r="V881" s="159"/>
      <c r="W881" s="159"/>
      <c r="X881" s="159"/>
      <c r="Y881" s="159"/>
      <c r="Z881" s="159"/>
    </row>
    <row r="882" ht="15.75" customHeight="1">
      <c r="A882" s="118"/>
      <c r="B882" s="118"/>
      <c r="C882" s="181"/>
      <c r="D882" s="159"/>
      <c r="E882" s="159"/>
      <c r="F882" s="159"/>
      <c r="G882" s="159"/>
      <c r="H882" s="83"/>
      <c r="I882" s="159"/>
      <c r="J882" s="159"/>
      <c r="K882" s="159"/>
      <c r="L882" s="159"/>
      <c r="M882" s="159"/>
      <c r="N882" s="159"/>
      <c r="O882" s="159"/>
      <c r="P882" s="159"/>
      <c r="Q882" s="159"/>
      <c r="R882" s="159"/>
      <c r="S882" s="159"/>
      <c r="T882" s="159"/>
      <c r="U882" s="159"/>
      <c r="V882" s="159"/>
      <c r="W882" s="159"/>
      <c r="X882" s="159"/>
      <c r="Y882" s="159"/>
      <c r="Z882" s="159"/>
    </row>
    <row r="883" ht="15.75" customHeight="1">
      <c r="A883" s="118"/>
      <c r="B883" s="118"/>
      <c r="C883" s="181"/>
      <c r="D883" s="159"/>
      <c r="E883" s="159"/>
      <c r="F883" s="159"/>
      <c r="G883" s="159"/>
      <c r="H883" s="83"/>
      <c r="I883" s="159"/>
      <c r="J883" s="159"/>
      <c r="K883" s="159"/>
      <c r="L883" s="159"/>
      <c r="M883" s="159"/>
      <c r="N883" s="159"/>
      <c r="O883" s="159"/>
      <c r="P883" s="159"/>
      <c r="Q883" s="159"/>
      <c r="R883" s="159"/>
      <c r="S883" s="159"/>
      <c r="T883" s="159"/>
      <c r="U883" s="159"/>
      <c r="V883" s="159"/>
      <c r="W883" s="159"/>
      <c r="X883" s="159"/>
      <c r="Y883" s="159"/>
      <c r="Z883" s="159"/>
    </row>
    <row r="884" ht="15.75" customHeight="1">
      <c r="A884" s="118"/>
      <c r="B884" s="118"/>
      <c r="C884" s="181"/>
      <c r="D884" s="159"/>
      <c r="E884" s="159"/>
      <c r="F884" s="159"/>
      <c r="G884" s="159"/>
      <c r="H884" s="83"/>
      <c r="I884" s="159"/>
      <c r="J884" s="159"/>
      <c r="K884" s="159"/>
      <c r="L884" s="159"/>
      <c r="M884" s="159"/>
      <c r="N884" s="159"/>
      <c r="O884" s="159"/>
      <c r="P884" s="159"/>
      <c r="Q884" s="159"/>
      <c r="R884" s="159"/>
      <c r="S884" s="159"/>
      <c r="T884" s="159"/>
      <c r="U884" s="159"/>
      <c r="V884" s="159"/>
      <c r="W884" s="159"/>
      <c r="X884" s="159"/>
      <c r="Y884" s="159"/>
      <c r="Z884" s="159"/>
    </row>
    <row r="885" ht="15.75" customHeight="1">
      <c r="A885" s="118"/>
      <c r="B885" s="118"/>
      <c r="C885" s="181"/>
      <c r="D885" s="159"/>
      <c r="E885" s="159"/>
      <c r="F885" s="159"/>
      <c r="G885" s="159"/>
      <c r="H885" s="83"/>
      <c r="I885" s="159"/>
      <c r="J885" s="159"/>
      <c r="K885" s="159"/>
      <c r="L885" s="159"/>
      <c r="M885" s="159"/>
      <c r="N885" s="159"/>
      <c r="O885" s="159"/>
      <c r="P885" s="159"/>
      <c r="Q885" s="159"/>
      <c r="R885" s="159"/>
      <c r="S885" s="159"/>
      <c r="T885" s="159"/>
      <c r="U885" s="159"/>
      <c r="V885" s="159"/>
      <c r="W885" s="159"/>
      <c r="X885" s="159"/>
      <c r="Y885" s="159"/>
      <c r="Z885" s="159"/>
    </row>
    <row r="886" ht="15.75" customHeight="1">
      <c r="A886" s="118"/>
      <c r="B886" s="118"/>
      <c r="C886" s="181"/>
      <c r="D886" s="159"/>
      <c r="E886" s="159"/>
      <c r="F886" s="159"/>
      <c r="G886" s="159"/>
      <c r="H886" s="83"/>
      <c r="I886" s="159"/>
      <c r="J886" s="159"/>
      <c r="K886" s="159"/>
      <c r="L886" s="159"/>
      <c r="M886" s="159"/>
      <c r="N886" s="159"/>
      <c r="O886" s="159"/>
      <c r="P886" s="159"/>
      <c r="Q886" s="159"/>
      <c r="R886" s="159"/>
      <c r="S886" s="159"/>
      <c r="T886" s="159"/>
      <c r="U886" s="159"/>
      <c r="V886" s="159"/>
      <c r="W886" s="159"/>
      <c r="X886" s="159"/>
      <c r="Y886" s="159"/>
      <c r="Z886" s="159"/>
    </row>
    <row r="887" ht="15.75" customHeight="1">
      <c r="A887" s="118"/>
      <c r="B887" s="118"/>
      <c r="C887" s="181"/>
      <c r="D887" s="159"/>
      <c r="E887" s="159"/>
      <c r="F887" s="159"/>
      <c r="G887" s="159"/>
      <c r="H887" s="83"/>
      <c r="I887" s="159"/>
      <c r="J887" s="159"/>
      <c r="K887" s="159"/>
      <c r="L887" s="159"/>
      <c r="M887" s="159"/>
      <c r="N887" s="159"/>
      <c r="O887" s="159"/>
      <c r="P887" s="159"/>
      <c r="Q887" s="159"/>
      <c r="R887" s="159"/>
      <c r="S887" s="159"/>
      <c r="T887" s="159"/>
      <c r="U887" s="159"/>
      <c r="V887" s="159"/>
      <c r="W887" s="159"/>
      <c r="X887" s="159"/>
      <c r="Y887" s="159"/>
      <c r="Z887" s="159"/>
    </row>
    <row r="888" ht="15.75" customHeight="1">
      <c r="A888" s="118"/>
      <c r="B888" s="118"/>
      <c r="C888" s="181"/>
      <c r="D888" s="159"/>
      <c r="E888" s="159"/>
      <c r="F888" s="159"/>
      <c r="G888" s="159"/>
      <c r="H888" s="83"/>
      <c r="I888" s="159"/>
      <c r="J888" s="159"/>
      <c r="K888" s="159"/>
      <c r="L888" s="159"/>
      <c r="M888" s="159"/>
      <c r="N888" s="159"/>
      <c r="O888" s="159"/>
      <c r="P888" s="159"/>
      <c r="Q888" s="159"/>
      <c r="R888" s="159"/>
      <c r="S888" s="159"/>
      <c r="T888" s="159"/>
      <c r="U888" s="159"/>
      <c r="V888" s="159"/>
      <c r="W888" s="159"/>
      <c r="X888" s="159"/>
      <c r="Y888" s="159"/>
      <c r="Z888" s="159"/>
    </row>
    <row r="889" ht="15.75" customHeight="1">
      <c r="A889" s="118"/>
      <c r="B889" s="118"/>
      <c r="C889" s="181"/>
      <c r="D889" s="159"/>
      <c r="E889" s="159"/>
      <c r="F889" s="159"/>
      <c r="G889" s="159"/>
      <c r="H889" s="83"/>
      <c r="I889" s="159"/>
      <c r="J889" s="159"/>
      <c r="K889" s="159"/>
      <c r="L889" s="159"/>
      <c r="M889" s="159"/>
      <c r="N889" s="159"/>
      <c r="O889" s="159"/>
      <c r="P889" s="159"/>
      <c r="Q889" s="159"/>
      <c r="R889" s="159"/>
      <c r="S889" s="159"/>
      <c r="T889" s="159"/>
      <c r="U889" s="159"/>
      <c r="V889" s="159"/>
      <c r="W889" s="159"/>
      <c r="X889" s="159"/>
      <c r="Y889" s="159"/>
      <c r="Z889" s="159"/>
    </row>
    <row r="890" ht="15.75" customHeight="1">
      <c r="A890" s="118"/>
      <c r="B890" s="118"/>
      <c r="C890" s="181"/>
      <c r="D890" s="159"/>
      <c r="E890" s="159"/>
      <c r="F890" s="159"/>
      <c r="G890" s="159"/>
      <c r="H890" s="83"/>
      <c r="I890" s="159"/>
      <c r="J890" s="159"/>
      <c r="K890" s="159"/>
      <c r="L890" s="159"/>
      <c r="M890" s="159"/>
      <c r="N890" s="159"/>
      <c r="O890" s="159"/>
      <c r="P890" s="159"/>
      <c r="Q890" s="159"/>
      <c r="R890" s="159"/>
      <c r="S890" s="159"/>
      <c r="T890" s="159"/>
      <c r="U890" s="159"/>
      <c r="V890" s="159"/>
      <c r="W890" s="159"/>
      <c r="X890" s="159"/>
      <c r="Y890" s="159"/>
      <c r="Z890" s="159"/>
    </row>
    <row r="891" ht="15.75" customHeight="1">
      <c r="A891" s="118"/>
      <c r="B891" s="118"/>
      <c r="C891" s="181"/>
      <c r="D891" s="159"/>
      <c r="E891" s="159"/>
      <c r="F891" s="159"/>
      <c r="G891" s="159"/>
      <c r="H891" s="83"/>
      <c r="I891" s="159"/>
      <c r="J891" s="159"/>
      <c r="K891" s="159"/>
      <c r="L891" s="159"/>
      <c r="M891" s="159"/>
      <c r="N891" s="159"/>
      <c r="O891" s="159"/>
      <c r="P891" s="159"/>
      <c r="Q891" s="159"/>
      <c r="R891" s="159"/>
      <c r="S891" s="159"/>
      <c r="T891" s="159"/>
      <c r="U891" s="159"/>
      <c r="V891" s="159"/>
      <c r="W891" s="159"/>
      <c r="X891" s="159"/>
      <c r="Y891" s="159"/>
      <c r="Z891" s="159"/>
    </row>
    <row r="892" ht="15.75" customHeight="1">
      <c r="A892" s="118"/>
      <c r="B892" s="118"/>
      <c r="C892" s="181"/>
      <c r="D892" s="159"/>
      <c r="E892" s="159"/>
      <c r="F892" s="159"/>
      <c r="G892" s="159"/>
      <c r="H892" s="83"/>
      <c r="I892" s="159"/>
      <c r="J892" s="159"/>
      <c r="K892" s="159"/>
      <c r="L892" s="159"/>
      <c r="M892" s="159"/>
      <c r="N892" s="159"/>
      <c r="O892" s="159"/>
      <c r="P892" s="159"/>
      <c r="Q892" s="159"/>
      <c r="R892" s="159"/>
      <c r="S892" s="159"/>
      <c r="T892" s="159"/>
      <c r="U892" s="159"/>
      <c r="V892" s="159"/>
      <c r="W892" s="159"/>
      <c r="X892" s="159"/>
      <c r="Y892" s="159"/>
      <c r="Z892" s="159"/>
    </row>
    <row r="893" ht="15.75" customHeight="1">
      <c r="A893" s="118"/>
      <c r="B893" s="118"/>
      <c r="C893" s="181"/>
      <c r="D893" s="159"/>
      <c r="E893" s="159"/>
      <c r="F893" s="159"/>
      <c r="G893" s="159"/>
      <c r="H893" s="83"/>
      <c r="I893" s="159"/>
      <c r="J893" s="159"/>
      <c r="K893" s="159"/>
      <c r="L893" s="159"/>
      <c r="M893" s="159"/>
      <c r="N893" s="159"/>
      <c r="O893" s="159"/>
      <c r="P893" s="159"/>
      <c r="Q893" s="159"/>
      <c r="R893" s="159"/>
      <c r="S893" s="159"/>
      <c r="T893" s="159"/>
      <c r="U893" s="159"/>
      <c r="V893" s="159"/>
      <c r="W893" s="159"/>
      <c r="X893" s="159"/>
      <c r="Y893" s="159"/>
      <c r="Z893" s="159"/>
    </row>
    <row r="894" ht="15.75" customHeight="1">
      <c r="A894" s="118"/>
      <c r="B894" s="118"/>
      <c r="C894" s="181"/>
      <c r="D894" s="159"/>
      <c r="E894" s="159"/>
      <c r="F894" s="159"/>
      <c r="G894" s="159"/>
      <c r="H894" s="83"/>
      <c r="I894" s="159"/>
      <c r="J894" s="159"/>
      <c r="K894" s="159"/>
      <c r="L894" s="159"/>
      <c r="M894" s="159"/>
      <c r="N894" s="159"/>
      <c r="O894" s="159"/>
      <c r="P894" s="159"/>
      <c r="Q894" s="159"/>
      <c r="R894" s="159"/>
      <c r="S894" s="159"/>
      <c r="T894" s="159"/>
      <c r="U894" s="159"/>
      <c r="V894" s="159"/>
      <c r="W894" s="159"/>
      <c r="X894" s="159"/>
      <c r="Y894" s="159"/>
      <c r="Z894" s="159"/>
    </row>
    <row r="895" ht="15.75" customHeight="1">
      <c r="A895" s="118"/>
      <c r="B895" s="118"/>
      <c r="C895" s="181"/>
      <c r="D895" s="159"/>
      <c r="E895" s="159"/>
      <c r="F895" s="159"/>
      <c r="G895" s="159"/>
      <c r="H895" s="83"/>
      <c r="I895" s="159"/>
      <c r="J895" s="159"/>
      <c r="K895" s="159"/>
      <c r="L895" s="159"/>
      <c r="M895" s="159"/>
      <c r="N895" s="159"/>
      <c r="O895" s="159"/>
      <c r="P895" s="159"/>
      <c r="Q895" s="159"/>
      <c r="R895" s="159"/>
      <c r="S895" s="159"/>
      <c r="T895" s="159"/>
      <c r="U895" s="159"/>
      <c r="V895" s="159"/>
      <c r="W895" s="159"/>
      <c r="X895" s="159"/>
      <c r="Y895" s="159"/>
      <c r="Z895" s="159"/>
    </row>
    <row r="896" ht="15.75" customHeight="1">
      <c r="A896" s="118"/>
      <c r="B896" s="118"/>
      <c r="C896" s="181"/>
      <c r="D896" s="159"/>
      <c r="E896" s="159"/>
      <c r="F896" s="159"/>
      <c r="G896" s="159"/>
      <c r="H896" s="83"/>
      <c r="I896" s="159"/>
      <c r="J896" s="159"/>
      <c r="K896" s="159"/>
      <c r="L896" s="159"/>
      <c r="M896" s="159"/>
      <c r="N896" s="159"/>
      <c r="O896" s="159"/>
      <c r="P896" s="159"/>
      <c r="Q896" s="159"/>
      <c r="R896" s="159"/>
      <c r="S896" s="159"/>
      <c r="T896" s="159"/>
      <c r="U896" s="159"/>
      <c r="V896" s="159"/>
      <c r="W896" s="159"/>
      <c r="X896" s="159"/>
      <c r="Y896" s="159"/>
      <c r="Z896" s="159"/>
    </row>
    <row r="897" ht="15.75" customHeight="1">
      <c r="A897" s="118"/>
      <c r="B897" s="118"/>
      <c r="C897" s="181"/>
      <c r="D897" s="159"/>
      <c r="E897" s="159"/>
      <c r="F897" s="159"/>
      <c r="G897" s="159"/>
      <c r="H897" s="83"/>
      <c r="I897" s="159"/>
      <c r="J897" s="159"/>
      <c r="K897" s="159"/>
      <c r="L897" s="159"/>
      <c r="M897" s="159"/>
      <c r="N897" s="159"/>
      <c r="O897" s="159"/>
      <c r="P897" s="159"/>
      <c r="Q897" s="159"/>
      <c r="R897" s="159"/>
      <c r="S897" s="159"/>
      <c r="T897" s="159"/>
      <c r="U897" s="159"/>
      <c r="V897" s="159"/>
      <c r="W897" s="159"/>
      <c r="X897" s="159"/>
      <c r="Y897" s="159"/>
      <c r="Z897" s="159"/>
    </row>
    <row r="898" ht="15.75" customHeight="1">
      <c r="A898" s="118"/>
      <c r="B898" s="118"/>
      <c r="C898" s="181"/>
      <c r="D898" s="159"/>
      <c r="E898" s="159"/>
      <c r="F898" s="159"/>
      <c r="G898" s="159"/>
      <c r="H898" s="83"/>
      <c r="I898" s="159"/>
      <c r="J898" s="159"/>
      <c r="K898" s="159"/>
      <c r="L898" s="159"/>
      <c r="M898" s="159"/>
      <c r="N898" s="159"/>
      <c r="O898" s="159"/>
      <c r="P898" s="159"/>
      <c r="Q898" s="159"/>
      <c r="R898" s="159"/>
      <c r="S898" s="159"/>
      <c r="T898" s="159"/>
      <c r="U898" s="159"/>
      <c r="V898" s="159"/>
      <c r="W898" s="159"/>
      <c r="X898" s="159"/>
      <c r="Y898" s="159"/>
      <c r="Z898" s="159"/>
    </row>
    <row r="899" ht="15.75" customHeight="1">
      <c r="A899" s="118"/>
      <c r="B899" s="118"/>
      <c r="C899" s="181"/>
      <c r="D899" s="159"/>
      <c r="E899" s="159"/>
      <c r="F899" s="159"/>
      <c r="G899" s="159"/>
      <c r="H899" s="83"/>
      <c r="I899" s="159"/>
      <c r="J899" s="159"/>
      <c r="K899" s="159"/>
      <c r="L899" s="159"/>
      <c r="M899" s="159"/>
      <c r="N899" s="159"/>
      <c r="O899" s="159"/>
      <c r="P899" s="159"/>
      <c r="Q899" s="159"/>
      <c r="R899" s="159"/>
      <c r="S899" s="159"/>
      <c r="T899" s="159"/>
      <c r="U899" s="159"/>
      <c r="V899" s="159"/>
      <c r="W899" s="159"/>
      <c r="X899" s="159"/>
      <c r="Y899" s="159"/>
      <c r="Z899" s="159"/>
    </row>
    <row r="900" ht="15.75" customHeight="1">
      <c r="A900" s="118"/>
      <c r="B900" s="118"/>
      <c r="C900" s="181"/>
      <c r="D900" s="159"/>
      <c r="E900" s="159"/>
      <c r="F900" s="159"/>
      <c r="G900" s="159"/>
      <c r="H900" s="83"/>
      <c r="I900" s="159"/>
      <c r="J900" s="159"/>
      <c r="K900" s="159"/>
      <c r="L900" s="159"/>
      <c r="M900" s="159"/>
      <c r="N900" s="159"/>
      <c r="O900" s="159"/>
      <c r="P900" s="159"/>
      <c r="Q900" s="159"/>
      <c r="R900" s="159"/>
      <c r="S900" s="159"/>
      <c r="T900" s="159"/>
      <c r="U900" s="159"/>
      <c r="V900" s="159"/>
      <c r="W900" s="159"/>
      <c r="X900" s="159"/>
      <c r="Y900" s="159"/>
      <c r="Z900" s="159"/>
    </row>
    <row r="901" ht="15.75" customHeight="1">
      <c r="A901" s="118"/>
      <c r="B901" s="118"/>
      <c r="C901" s="181"/>
      <c r="D901" s="159"/>
      <c r="E901" s="159"/>
      <c r="F901" s="159"/>
      <c r="G901" s="159"/>
      <c r="H901" s="83"/>
      <c r="I901" s="159"/>
      <c r="J901" s="159"/>
      <c r="K901" s="159"/>
      <c r="L901" s="159"/>
      <c r="M901" s="159"/>
      <c r="N901" s="159"/>
      <c r="O901" s="159"/>
      <c r="P901" s="159"/>
      <c r="Q901" s="159"/>
      <c r="R901" s="159"/>
      <c r="S901" s="159"/>
      <c r="T901" s="159"/>
      <c r="U901" s="159"/>
      <c r="V901" s="159"/>
      <c r="W901" s="159"/>
      <c r="X901" s="159"/>
      <c r="Y901" s="159"/>
      <c r="Z901" s="159"/>
    </row>
    <row r="902" ht="15.75" customHeight="1">
      <c r="A902" s="118"/>
      <c r="B902" s="118"/>
      <c r="C902" s="181"/>
      <c r="D902" s="159"/>
      <c r="E902" s="159"/>
      <c r="F902" s="159"/>
      <c r="G902" s="159"/>
      <c r="H902" s="83"/>
      <c r="I902" s="159"/>
      <c r="J902" s="159"/>
      <c r="K902" s="159"/>
      <c r="L902" s="159"/>
      <c r="M902" s="159"/>
      <c r="N902" s="159"/>
      <c r="O902" s="159"/>
      <c r="P902" s="159"/>
      <c r="Q902" s="159"/>
      <c r="R902" s="159"/>
      <c r="S902" s="159"/>
      <c r="T902" s="159"/>
      <c r="U902" s="159"/>
      <c r="V902" s="159"/>
      <c r="W902" s="159"/>
      <c r="X902" s="159"/>
      <c r="Y902" s="159"/>
      <c r="Z902" s="159"/>
    </row>
    <row r="903" ht="15.75" customHeight="1">
      <c r="A903" s="118"/>
      <c r="B903" s="118"/>
      <c r="C903" s="181"/>
      <c r="D903" s="159"/>
      <c r="E903" s="159"/>
      <c r="F903" s="159"/>
      <c r="G903" s="159"/>
      <c r="H903" s="83"/>
      <c r="I903" s="159"/>
      <c r="J903" s="159"/>
      <c r="K903" s="159"/>
      <c r="L903" s="159"/>
      <c r="M903" s="159"/>
      <c r="N903" s="159"/>
      <c r="O903" s="159"/>
      <c r="P903" s="159"/>
      <c r="Q903" s="159"/>
      <c r="R903" s="159"/>
      <c r="S903" s="159"/>
      <c r="T903" s="159"/>
      <c r="U903" s="159"/>
      <c r="V903" s="159"/>
      <c r="W903" s="159"/>
      <c r="X903" s="159"/>
      <c r="Y903" s="159"/>
      <c r="Z903" s="159"/>
    </row>
    <row r="904" ht="15.75" customHeight="1">
      <c r="A904" s="118"/>
      <c r="B904" s="118"/>
      <c r="C904" s="181"/>
      <c r="D904" s="159"/>
      <c r="E904" s="159"/>
      <c r="F904" s="159"/>
      <c r="G904" s="159"/>
      <c r="H904" s="83"/>
      <c r="I904" s="159"/>
      <c r="J904" s="159"/>
      <c r="K904" s="159"/>
      <c r="L904" s="159"/>
      <c r="M904" s="159"/>
      <c r="N904" s="159"/>
      <c r="O904" s="159"/>
      <c r="P904" s="159"/>
      <c r="Q904" s="159"/>
      <c r="R904" s="159"/>
      <c r="S904" s="159"/>
      <c r="T904" s="159"/>
      <c r="U904" s="159"/>
      <c r="V904" s="159"/>
      <c r="W904" s="159"/>
      <c r="X904" s="159"/>
      <c r="Y904" s="159"/>
      <c r="Z904" s="159"/>
    </row>
    <row r="905" ht="15.75" customHeight="1">
      <c r="A905" s="118"/>
      <c r="B905" s="118"/>
      <c r="C905" s="181"/>
      <c r="D905" s="159"/>
      <c r="E905" s="159"/>
      <c r="F905" s="159"/>
      <c r="G905" s="159"/>
      <c r="H905" s="83"/>
      <c r="I905" s="159"/>
      <c r="J905" s="159"/>
      <c r="K905" s="159"/>
      <c r="L905" s="159"/>
      <c r="M905" s="159"/>
      <c r="N905" s="159"/>
      <c r="O905" s="159"/>
      <c r="P905" s="159"/>
      <c r="Q905" s="159"/>
      <c r="R905" s="159"/>
      <c r="S905" s="159"/>
      <c r="T905" s="159"/>
      <c r="U905" s="159"/>
      <c r="V905" s="159"/>
      <c r="W905" s="159"/>
      <c r="X905" s="159"/>
      <c r="Y905" s="159"/>
      <c r="Z905" s="159"/>
    </row>
    <row r="906" ht="15.75" customHeight="1">
      <c r="A906" s="118"/>
      <c r="B906" s="118"/>
      <c r="C906" s="181"/>
      <c r="D906" s="159"/>
      <c r="E906" s="159"/>
      <c r="F906" s="159"/>
      <c r="G906" s="159"/>
      <c r="H906" s="83"/>
      <c r="I906" s="159"/>
      <c r="J906" s="159"/>
      <c r="K906" s="159"/>
      <c r="L906" s="159"/>
      <c r="M906" s="159"/>
      <c r="N906" s="159"/>
      <c r="O906" s="159"/>
      <c r="P906" s="159"/>
      <c r="Q906" s="159"/>
      <c r="R906" s="159"/>
      <c r="S906" s="159"/>
      <c r="T906" s="159"/>
      <c r="U906" s="159"/>
      <c r="V906" s="159"/>
      <c r="W906" s="159"/>
      <c r="X906" s="159"/>
      <c r="Y906" s="159"/>
      <c r="Z906" s="159"/>
    </row>
    <row r="907" ht="15.75" customHeight="1">
      <c r="A907" s="118"/>
      <c r="B907" s="118"/>
      <c r="C907" s="181"/>
      <c r="D907" s="159"/>
      <c r="E907" s="159"/>
      <c r="F907" s="159"/>
      <c r="G907" s="159"/>
      <c r="H907" s="83"/>
      <c r="I907" s="159"/>
      <c r="J907" s="159"/>
      <c r="K907" s="159"/>
      <c r="L907" s="159"/>
      <c r="M907" s="159"/>
      <c r="N907" s="159"/>
      <c r="O907" s="159"/>
      <c r="P907" s="159"/>
      <c r="Q907" s="159"/>
      <c r="R907" s="159"/>
      <c r="S907" s="159"/>
      <c r="T907" s="159"/>
      <c r="U907" s="159"/>
      <c r="V907" s="159"/>
      <c r="W907" s="159"/>
      <c r="X907" s="159"/>
      <c r="Y907" s="159"/>
      <c r="Z907" s="159"/>
    </row>
    <row r="908" ht="15.75" customHeight="1">
      <c r="A908" s="118"/>
      <c r="B908" s="118"/>
      <c r="C908" s="181"/>
      <c r="D908" s="159"/>
      <c r="E908" s="159"/>
      <c r="F908" s="159"/>
      <c r="G908" s="159"/>
      <c r="H908" s="83"/>
      <c r="I908" s="159"/>
      <c r="J908" s="159"/>
      <c r="K908" s="159"/>
      <c r="L908" s="159"/>
      <c r="M908" s="159"/>
      <c r="N908" s="159"/>
      <c r="O908" s="159"/>
      <c r="P908" s="159"/>
      <c r="Q908" s="159"/>
      <c r="R908" s="159"/>
      <c r="S908" s="159"/>
      <c r="T908" s="159"/>
      <c r="U908" s="159"/>
      <c r="V908" s="159"/>
      <c r="W908" s="159"/>
      <c r="X908" s="159"/>
      <c r="Y908" s="159"/>
      <c r="Z908" s="159"/>
    </row>
    <row r="909" ht="15.75" customHeight="1">
      <c r="A909" s="118"/>
      <c r="B909" s="118"/>
      <c r="C909" s="181"/>
      <c r="D909" s="159"/>
      <c r="E909" s="159"/>
      <c r="F909" s="159"/>
      <c r="G909" s="159"/>
      <c r="H909" s="83"/>
      <c r="I909" s="159"/>
      <c r="J909" s="159"/>
      <c r="K909" s="159"/>
      <c r="L909" s="159"/>
      <c r="M909" s="159"/>
      <c r="N909" s="159"/>
      <c r="O909" s="159"/>
      <c r="P909" s="159"/>
      <c r="Q909" s="159"/>
      <c r="R909" s="159"/>
      <c r="S909" s="159"/>
      <c r="T909" s="159"/>
      <c r="U909" s="159"/>
      <c r="V909" s="159"/>
      <c r="W909" s="159"/>
      <c r="X909" s="159"/>
      <c r="Y909" s="159"/>
      <c r="Z909" s="159"/>
    </row>
    <row r="910" ht="15.75" customHeight="1">
      <c r="A910" s="118"/>
      <c r="B910" s="118"/>
      <c r="C910" s="181"/>
      <c r="D910" s="159"/>
      <c r="E910" s="159"/>
      <c r="F910" s="159"/>
      <c r="G910" s="159"/>
      <c r="H910" s="83"/>
      <c r="I910" s="159"/>
      <c r="J910" s="159"/>
      <c r="K910" s="159"/>
      <c r="L910" s="159"/>
      <c r="M910" s="159"/>
      <c r="N910" s="159"/>
      <c r="O910" s="159"/>
      <c r="P910" s="159"/>
      <c r="Q910" s="159"/>
      <c r="R910" s="159"/>
      <c r="S910" s="159"/>
      <c r="T910" s="159"/>
      <c r="U910" s="159"/>
      <c r="V910" s="159"/>
      <c r="W910" s="159"/>
      <c r="X910" s="159"/>
      <c r="Y910" s="159"/>
      <c r="Z910" s="159"/>
    </row>
    <row r="911" ht="15.75" customHeight="1">
      <c r="A911" s="118"/>
      <c r="B911" s="118"/>
      <c r="C911" s="181"/>
      <c r="D911" s="159"/>
      <c r="E911" s="159"/>
      <c r="F911" s="159"/>
      <c r="G911" s="159"/>
      <c r="H911" s="83"/>
      <c r="I911" s="159"/>
      <c r="J911" s="159"/>
      <c r="K911" s="159"/>
      <c r="L911" s="159"/>
      <c r="M911" s="159"/>
      <c r="N911" s="159"/>
      <c r="O911" s="159"/>
      <c r="P911" s="159"/>
      <c r="Q911" s="159"/>
      <c r="R911" s="159"/>
      <c r="S911" s="159"/>
      <c r="T911" s="159"/>
      <c r="U911" s="159"/>
      <c r="V911" s="159"/>
      <c r="W911" s="159"/>
      <c r="X911" s="159"/>
      <c r="Y911" s="159"/>
      <c r="Z911" s="159"/>
    </row>
    <row r="912" ht="15.75" customHeight="1">
      <c r="A912" s="118"/>
      <c r="B912" s="118"/>
      <c r="C912" s="181"/>
      <c r="D912" s="159"/>
      <c r="E912" s="159"/>
      <c r="F912" s="159"/>
      <c r="G912" s="159"/>
      <c r="H912" s="83"/>
      <c r="I912" s="159"/>
      <c r="J912" s="159"/>
      <c r="K912" s="159"/>
      <c r="L912" s="159"/>
      <c r="M912" s="159"/>
      <c r="N912" s="159"/>
      <c r="O912" s="159"/>
      <c r="P912" s="159"/>
      <c r="Q912" s="159"/>
      <c r="R912" s="159"/>
      <c r="S912" s="159"/>
      <c r="T912" s="159"/>
      <c r="U912" s="159"/>
      <c r="V912" s="159"/>
      <c r="W912" s="159"/>
      <c r="X912" s="159"/>
      <c r="Y912" s="159"/>
      <c r="Z912" s="159"/>
    </row>
    <row r="913" ht="15.75" customHeight="1">
      <c r="A913" s="118"/>
      <c r="B913" s="118"/>
      <c r="C913" s="181"/>
      <c r="D913" s="159"/>
      <c r="E913" s="159"/>
      <c r="F913" s="159"/>
      <c r="G913" s="159"/>
      <c r="H913" s="83"/>
      <c r="I913" s="159"/>
      <c r="J913" s="159"/>
      <c r="K913" s="159"/>
      <c r="L913" s="159"/>
      <c r="M913" s="159"/>
      <c r="N913" s="159"/>
      <c r="O913" s="159"/>
      <c r="P913" s="159"/>
      <c r="Q913" s="159"/>
      <c r="R913" s="159"/>
      <c r="S913" s="159"/>
      <c r="T913" s="159"/>
      <c r="U913" s="159"/>
      <c r="V913" s="159"/>
      <c r="W913" s="159"/>
      <c r="X913" s="159"/>
      <c r="Y913" s="159"/>
      <c r="Z913" s="159"/>
    </row>
    <row r="914" ht="15.75" customHeight="1">
      <c r="A914" s="118"/>
      <c r="B914" s="118"/>
      <c r="C914" s="181"/>
      <c r="D914" s="159"/>
      <c r="E914" s="159"/>
      <c r="F914" s="159"/>
      <c r="G914" s="159"/>
      <c r="H914" s="83"/>
      <c r="I914" s="159"/>
      <c r="J914" s="159"/>
      <c r="K914" s="159"/>
      <c r="L914" s="159"/>
      <c r="M914" s="159"/>
      <c r="N914" s="159"/>
      <c r="O914" s="159"/>
      <c r="P914" s="159"/>
      <c r="Q914" s="159"/>
      <c r="R914" s="159"/>
      <c r="S914" s="159"/>
      <c r="T914" s="159"/>
      <c r="U914" s="159"/>
      <c r="V914" s="159"/>
      <c r="W914" s="159"/>
      <c r="X914" s="159"/>
      <c r="Y914" s="159"/>
      <c r="Z914" s="159"/>
    </row>
    <row r="915" ht="15.75" customHeight="1">
      <c r="A915" s="118"/>
      <c r="B915" s="118"/>
      <c r="C915" s="181"/>
      <c r="D915" s="159"/>
      <c r="E915" s="159"/>
      <c r="F915" s="159"/>
      <c r="G915" s="159"/>
      <c r="H915" s="83"/>
      <c r="I915" s="159"/>
      <c r="J915" s="159"/>
      <c r="K915" s="159"/>
      <c r="L915" s="159"/>
      <c r="M915" s="159"/>
      <c r="N915" s="159"/>
      <c r="O915" s="159"/>
      <c r="P915" s="159"/>
      <c r="Q915" s="159"/>
      <c r="R915" s="159"/>
      <c r="S915" s="159"/>
      <c r="T915" s="159"/>
      <c r="U915" s="159"/>
      <c r="V915" s="159"/>
      <c r="W915" s="159"/>
      <c r="X915" s="159"/>
      <c r="Y915" s="159"/>
      <c r="Z915" s="159"/>
    </row>
    <row r="916" ht="15.75" customHeight="1">
      <c r="A916" s="118"/>
      <c r="B916" s="118"/>
      <c r="C916" s="181"/>
      <c r="D916" s="159"/>
      <c r="E916" s="159"/>
      <c r="F916" s="159"/>
      <c r="G916" s="159"/>
      <c r="H916" s="83"/>
      <c r="I916" s="159"/>
      <c r="J916" s="159"/>
      <c r="K916" s="159"/>
      <c r="L916" s="159"/>
      <c r="M916" s="159"/>
      <c r="N916" s="159"/>
      <c r="O916" s="159"/>
      <c r="P916" s="159"/>
      <c r="Q916" s="159"/>
      <c r="R916" s="159"/>
      <c r="S916" s="159"/>
      <c r="T916" s="159"/>
      <c r="U916" s="159"/>
      <c r="V916" s="159"/>
      <c r="W916" s="159"/>
      <c r="X916" s="159"/>
      <c r="Y916" s="159"/>
      <c r="Z916" s="159"/>
    </row>
    <row r="917" ht="15.75" customHeight="1">
      <c r="A917" s="118"/>
      <c r="B917" s="118"/>
      <c r="C917" s="181"/>
      <c r="D917" s="159"/>
      <c r="E917" s="159"/>
      <c r="F917" s="159"/>
      <c r="G917" s="159"/>
      <c r="H917" s="83"/>
      <c r="I917" s="159"/>
      <c r="J917" s="159"/>
      <c r="K917" s="159"/>
      <c r="L917" s="159"/>
      <c r="M917" s="159"/>
      <c r="N917" s="159"/>
      <c r="O917" s="159"/>
      <c r="P917" s="159"/>
      <c r="Q917" s="159"/>
      <c r="R917" s="159"/>
      <c r="S917" s="159"/>
      <c r="T917" s="159"/>
      <c r="U917" s="159"/>
      <c r="V917" s="159"/>
      <c r="W917" s="159"/>
      <c r="X917" s="159"/>
      <c r="Y917" s="159"/>
      <c r="Z917" s="159"/>
    </row>
    <row r="918" ht="15.75" customHeight="1">
      <c r="A918" s="118"/>
      <c r="B918" s="118"/>
      <c r="C918" s="181"/>
      <c r="D918" s="159"/>
      <c r="E918" s="159"/>
      <c r="F918" s="159"/>
      <c r="G918" s="159"/>
      <c r="H918" s="83"/>
      <c r="I918" s="159"/>
      <c r="J918" s="159"/>
      <c r="K918" s="159"/>
      <c r="L918" s="159"/>
      <c r="M918" s="159"/>
      <c r="N918" s="159"/>
      <c r="O918" s="159"/>
      <c r="P918" s="159"/>
      <c r="Q918" s="159"/>
      <c r="R918" s="159"/>
      <c r="S918" s="159"/>
      <c r="T918" s="159"/>
      <c r="U918" s="159"/>
      <c r="V918" s="159"/>
      <c r="W918" s="159"/>
      <c r="X918" s="159"/>
      <c r="Y918" s="159"/>
      <c r="Z918" s="159"/>
    </row>
    <row r="919" ht="15.75" customHeight="1">
      <c r="A919" s="118"/>
      <c r="B919" s="118"/>
      <c r="C919" s="181"/>
      <c r="D919" s="159"/>
      <c r="E919" s="159"/>
      <c r="F919" s="159"/>
      <c r="G919" s="159"/>
      <c r="H919" s="83"/>
      <c r="I919" s="159"/>
      <c r="J919" s="159"/>
      <c r="K919" s="159"/>
      <c r="L919" s="159"/>
      <c r="M919" s="159"/>
      <c r="N919" s="159"/>
      <c r="O919" s="159"/>
      <c r="P919" s="159"/>
      <c r="Q919" s="159"/>
      <c r="R919" s="159"/>
      <c r="S919" s="159"/>
      <c r="T919" s="159"/>
      <c r="U919" s="159"/>
      <c r="V919" s="159"/>
      <c r="W919" s="159"/>
      <c r="X919" s="159"/>
      <c r="Y919" s="159"/>
      <c r="Z919" s="159"/>
    </row>
    <row r="920" ht="15.75" customHeight="1">
      <c r="A920" s="118"/>
      <c r="B920" s="118"/>
      <c r="C920" s="181"/>
      <c r="D920" s="159"/>
      <c r="E920" s="159"/>
      <c r="F920" s="159"/>
      <c r="G920" s="159"/>
      <c r="H920" s="83"/>
      <c r="I920" s="159"/>
      <c r="J920" s="159"/>
      <c r="K920" s="159"/>
      <c r="L920" s="159"/>
      <c r="M920" s="159"/>
      <c r="N920" s="159"/>
      <c r="O920" s="159"/>
      <c r="P920" s="159"/>
      <c r="Q920" s="159"/>
      <c r="R920" s="159"/>
      <c r="S920" s="159"/>
      <c r="T920" s="159"/>
      <c r="U920" s="159"/>
      <c r="V920" s="159"/>
      <c r="W920" s="159"/>
      <c r="X920" s="159"/>
      <c r="Y920" s="159"/>
      <c r="Z920" s="159"/>
    </row>
    <row r="921" ht="15.75" customHeight="1">
      <c r="A921" s="118"/>
      <c r="B921" s="118"/>
      <c r="C921" s="181"/>
      <c r="D921" s="159"/>
      <c r="E921" s="159"/>
      <c r="F921" s="159"/>
      <c r="G921" s="159"/>
      <c r="H921" s="83"/>
      <c r="I921" s="159"/>
      <c r="J921" s="159"/>
      <c r="K921" s="159"/>
      <c r="L921" s="159"/>
      <c r="M921" s="159"/>
      <c r="N921" s="159"/>
      <c r="O921" s="159"/>
      <c r="P921" s="159"/>
      <c r="Q921" s="159"/>
      <c r="R921" s="159"/>
      <c r="S921" s="159"/>
      <c r="T921" s="159"/>
      <c r="U921" s="159"/>
      <c r="V921" s="159"/>
      <c r="W921" s="159"/>
      <c r="X921" s="159"/>
      <c r="Y921" s="159"/>
      <c r="Z921" s="159"/>
    </row>
    <row r="922" ht="15.75" customHeight="1">
      <c r="A922" s="118"/>
      <c r="B922" s="118"/>
      <c r="C922" s="181"/>
      <c r="D922" s="159"/>
      <c r="E922" s="159"/>
      <c r="F922" s="159"/>
      <c r="G922" s="159"/>
      <c r="H922" s="83"/>
      <c r="I922" s="159"/>
      <c r="J922" s="159"/>
      <c r="K922" s="159"/>
      <c r="L922" s="159"/>
      <c r="M922" s="159"/>
      <c r="N922" s="159"/>
      <c r="O922" s="159"/>
      <c r="P922" s="159"/>
      <c r="Q922" s="159"/>
      <c r="R922" s="159"/>
      <c r="S922" s="159"/>
      <c r="T922" s="159"/>
      <c r="U922" s="159"/>
      <c r="V922" s="159"/>
      <c r="W922" s="159"/>
      <c r="X922" s="159"/>
      <c r="Y922" s="159"/>
      <c r="Z922" s="159"/>
    </row>
    <row r="923" ht="15.75" customHeight="1">
      <c r="A923" s="118"/>
      <c r="B923" s="118"/>
      <c r="C923" s="181"/>
      <c r="D923" s="159"/>
      <c r="E923" s="159"/>
      <c r="F923" s="159"/>
      <c r="G923" s="159"/>
      <c r="H923" s="83"/>
      <c r="I923" s="159"/>
      <c r="J923" s="159"/>
      <c r="K923" s="159"/>
      <c r="L923" s="159"/>
      <c r="M923" s="159"/>
      <c r="N923" s="159"/>
      <c r="O923" s="159"/>
      <c r="P923" s="159"/>
      <c r="Q923" s="159"/>
      <c r="R923" s="159"/>
      <c r="S923" s="159"/>
      <c r="T923" s="159"/>
      <c r="U923" s="159"/>
      <c r="V923" s="159"/>
      <c r="W923" s="159"/>
      <c r="X923" s="159"/>
      <c r="Y923" s="159"/>
      <c r="Z923" s="159"/>
    </row>
    <row r="924" ht="15.75" customHeight="1">
      <c r="A924" s="118"/>
      <c r="B924" s="118"/>
      <c r="C924" s="181"/>
      <c r="D924" s="159"/>
      <c r="E924" s="159"/>
      <c r="F924" s="159"/>
      <c r="G924" s="159"/>
      <c r="H924" s="83"/>
      <c r="I924" s="159"/>
      <c r="J924" s="159"/>
      <c r="K924" s="159"/>
      <c r="L924" s="159"/>
      <c r="M924" s="159"/>
      <c r="N924" s="159"/>
      <c r="O924" s="159"/>
      <c r="P924" s="159"/>
      <c r="Q924" s="159"/>
      <c r="R924" s="159"/>
      <c r="S924" s="159"/>
      <c r="T924" s="159"/>
      <c r="U924" s="159"/>
      <c r="V924" s="159"/>
      <c r="W924" s="159"/>
      <c r="X924" s="159"/>
      <c r="Y924" s="159"/>
      <c r="Z924" s="159"/>
    </row>
    <row r="925" ht="15.75" customHeight="1">
      <c r="A925" s="118"/>
      <c r="B925" s="118"/>
      <c r="C925" s="181"/>
      <c r="D925" s="159"/>
      <c r="E925" s="159"/>
      <c r="F925" s="159"/>
      <c r="G925" s="159"/>
      <c r="H925" s="83"/>
      <c r="I925" s="159"/>
      <c r="J925" s="159"/>
      <c r="K925" s="159"/>
      <c r="L925" s="159"/>
      <c r="M925" s="159"/>
      <c r="N925" s="159"/>
      <c r="O925" s="159"/>
      <c r="P925" s="159"/>
      <c r="Q925" s="159"/>
      <c r="R925" s="159"/>
      <c r="S925" s="159"/>
      <c r="T925" s="159"/>
      <c r="U925" s="159"/>
      <c r="V925" s="159"/>
      <c r="W925" s="159"/>
      <c r="X925" s="159"/>
      <c r="Y925" s="159"/>
      <c r="Z925" s="159"/>
    </row>
    <row r="926" ht="15.75" customHeight="1">
      <c r="A926" s="118"/>
      <c r="B926" s="118"/>
      <c r="C926" s="181"/>
      <c r="D926" s="159"/>
      <c r="E926" s="159"/>
      <c r="F926" s="159"/>
      <c r="G926" s="159"/>
      <c r="H926" s="83"/>
      <c r="I926" s="159"/>
      <c r="J926" s="159"/>
      <c r="K926" s="159"/>
      <c r="L926" s="159"/>
      <c r="M926" s="159"/>
      <c r="N926" s="159"/>
      <c r="O926" s="159"/>
      <c r="P926" s="159"/>
      <c r="Q926" s="159"/>
      <c r="R926" s="159"/>
      <c r="S926" s="159"/>
      <c r="T926" s="159"/>
      <c r="U926" s="159"/>
      <c r="V926" s="159"/>
      <c r="W926" s="159"/>
      <c r="X926" s="159"/>
      <c r="Y926" s="159"/>
      <c r="Z926" s="159"/>
    </row>
    <row r="927" ht="15.75" customHeight="1">
      <c r="A927" s="118"/>
      <c r="B927" s="118"/>
      <c r="C927" s="181"/>
      <c r="D927" s="159"/>
      <c r="E927" s="159"/>
      <c r="F927" s="159"/>
      <c r="G927" s="159"/>
      <c r="H927" s="83"/>
      <c r="I927" s="159"/>
      <c r="J927" s="159"/>
      <c r="K927" s="159"/>
      <c r="L927" s="159"/>
      <c r="M927" s="159"/>
      <c r="N927" s="159"/>
      <c r="O927" s="159"/>
      <c r="P927" s="159"/>
      <c r="Q927" s="159"/>
      <c r="R927" s="159"/>
      <c r="S927" s="159"/>
      <c r="T927" s="159"/>
      <c r="U927" s="159"/>
      <c r="V927" s="159"/>
      <c r="W927" s="159"/>
      <c r="X927" s="159"/>
      <c r="Y927" s="159"/>
      <c r="Z927" s="159"/>
    </row>
    <row r="928" ht="15.75" customHeight="1">
      <c r="A928" s="118"/>
      <c r="B928" s="118"/>
      <c r="C928" s="181"/>
      <c r="D928" s="159"/>
      <c r="E928" s="159"/>
      <c r="F928" s="159"/>
      <c r="G928" s="159"/>
      <c r="H928" s="83"/>
      <c r="I928" s="159"/>
      <c r="J928" s="159"/>
      <c r="K928" s="159"/>
      <c r="L928" s="159"/>
      <c r="M928" s="159"/>
      <c r="N928" s="159"/>
      <c r="O928" s="159"/>
      <c r="P928" s="159"/>
      <c r="Q928" s="159"/>
      <c r="R928" s="159"/>
      <c r="S928" s="159"/>
      <c r="T928" s="159"/>
      <c r="U928" s="159"/>
      <c r="V928" s="159"/>
      <c r="W928" s="159"/>
      <c r="X928" s="159"/>
      <c r="Y928" s="159"/>
      <c r="Z928" s="159"/>
    </row>
    <row r="929" ht="15.75" customHeight="1">
      <c r="A929" s="118"/>
      <c r="B929" s="118"/>
      <c r="C929" s="181"/>
      <c r="D929" s="159"/>
      <c r="E929" s="159"/>
      <c r="F929" s="159"/>
      <c r="G929" s="159"/>
      <c r="H929" s="83"/>
      <c r="I929" s="159"/>
      <c r="J929" s="159"/>
      <c r="K929" s="159"/>
      <c r="L929" s="159"/>
      <c r="M929" s="159"/>
      <c r="N929" s="159"/>
      <c r="O929" s="159"/>
      <c r="P929" s="159"/>
      <c r="Q929" s="159"/>
      <c r="R929" s="159"/>
      <c r="S929" s="159"/>
      <c r="T929" s="159"/>
      <c r="U929" s="159"/>
      <c r="V929" s="159"/>
      <c r="W929" s="159"/>
      <c r="X929" s="159"/>
      <c r="Y929" s="159"/>
      <c r="Z929" s="159"/>
    </row>
    <row r="930" ht="15.75" customHeight="1">
      <c r="A930" s="118"/>
      <c r="B930" s="118"/>
      <c r="C930" s="181"/>
      <c r="D930" s="159"/>
      <c r="E930" s="159"/>
      <c r="F930" s="159"/>
      <c r="G930" s="159"/>
      <c r="H930" s="83"/>
      <c r="I930" s="159"/>
      <c r="J930" s="159"/>
      <c r="K930" s="159"/>
      <c r="L930" s="159"/>
      <c r="M930" s="159"/>
      <c r="N930" s="159"/>
      <c r="O930" s="159"/>
      <c r="P930" s="159"/>
      <c r="Q930" s="159"/>
      <c r="R930" s="159"/>
      <c r="S930" s="159"/>
      <c r="T930" s="159"/>
      <c r="U930" s="159"/>
      <c r="V930" s="159"/>
      <c r="W930" s="159"/>
      <c r="X930" s="159"/>
      <c r="Y930" s="159"/>
      <c r="Z930" s="159"/>
    </row>
    <row r="931" ht="15.75" customHeight="1">
      <c r="A931" s="118"/>
      <c r="B931" s="118"/>
      <c r="C931" s="181"/>
      <c r="D931" s="159"/>
      <c r="E931" s="159"/>
      <c r="F931" s="159"/>
      <c r="G931" s="159"/>
      <c r="H931" s="83"/>
      <c r="I931" s="159"/>
      <c r="J931" s="159"/>
      <c r="K931" s="159"/>
      <c r="L931" s="159"/>
      <c r="M931" s="159"/>
      <c r="N931" s="159"/>
      <c r="O931" s="159"/>
      <c r="P931" s="159"/>
      <c r="Q931" s="159"/>
      <c r="R931" s="159"/>
      <c r="S931" s="159"/>
      <c r="T931" s="159"/>
      <c r="U931" s="159"/>
      <c r="V931" s="159"/>
      <c r="W931" s="159"/>
      <c r="X931" s="159"/>
      <c r="Y931" s="159"/>
      <c r="Z931" s="159"/>
    </row>
    <row r="932" ht="15.75" customHeight="1">
      <c r="A932" s="118"/>
      <c r="B932" s="118"/>
      <c r="C932" s="181"/>
      <c r="D932" s="159"/>
      <c r="E932" s="159"/>
      <c r="F932" s="159"/>
      <c r="G932" s="159"/>
      <c r="H932" s="83"/>
      <c r="I932" s="159"/>
      <c r="J932" s="159"/>
      <c r="K932" s="159"/>
      <c r="L932" s="159"/>
      <c r="M932" s="159"/>
      <c r="N932" s="159"/>
      <c r="O932" s="159"/>
      <c r="P932" s="159"/>
      <c r="Q932" s="159"/>
      <c r="R932" s="159"/>
      <c r="S932" s="159"/>
      <c r="T932" s="159"/>
      <c r="U932" s="159"/>
      <c r="V932" s="159"/>
      <c r="W932" s="159"/>
      <c r="X932" s="159"/>
      <c r="Y932" s="159"/>
      <c r="Z932" s="159"/>
    </row>
    <row r="933" ht="15.75" customHeight="1">
      <c r="A933" s="118"/>
      <c r="B933" s="118"/>
      <c r="C933" s="181"/>
      <c r="D933" s="159"/>
      <c r="E933" s="159"/>
      <c r="F933" s="159"/>
      <c r="G933" s="159"/>
      <c r="H933" s="83"/>
      <c r="I933" s="159"/>
      <c r="J933" s="159"/>
      <c r="K933" s="159"/>
      <c r="L933" s="159"/>
      <c r="M933" s="159"/>
      <c r="N933" s="159"/>
      <c r="O933" s="159"/>
      <c r="P933" s="159"/>
      <c r="Q933" s="159"/>
      <c r="R933" s="159"/>
      <c r="S933" s="159"/>
      <c r="T933" s="159"/>
      <c r="U933" s="159"/>
      <c r="V933" s="159"/>
      <c r="W933" s="159"/>
      <c r="X933" s="159"/>
      <c r="Y933" s="159"/>
      <c r="Z933" s="159"/>
    </row>
    <row r="934" ht="15.75" customHeight="1">
      <c r="A934" s="118"/>
      <c r="B934" s="118"/>
      <c r="C934" s="181"/>
      <c r="D934" s="159"/>
      <c r="E934" s="159"/>
      <c r="F934" s="159"/>
      <c r="G934" s="159"/>
      <c r="H934" s="83"/>
      <c r="I934" s="159"/>
      <c r="J934" s="159"/>
      <c r="K934" s="159"/>
      <c r="L934" s="159"/>
      <c r="M934" s="159"/>
      <c r="N934" s="159"/>
      <c r="O934" s="159"/>
      <c r="P934" s="159"/>
      <c r="Q934" s="159"/>
      <c r="R934" s="159"/>
      <c r="S934" s="159"/>
      <c r="T934" s="159"/>
      <c r="U934" s="159"/>
      <c r="V934" s="159"/>
      <c r="W934" s="159"/>
      <c r="X934" s="159"/>
      <c r="Y934" s="159"/>
      <c r="Z934" s="159"/>
    </row>
    <row r="935" ht="15.75" customHeight="1">
      <c r="A935" s="118"/>
      <c r="B935" s="118"/>
      <c r="C935" s="181"/>
      <c r="D935" s="159"/>
      <c r="E935" s="159"/>
      <c r="F935" s="159"/>
      <c r="G935" s="159"/>
      <c r="H935" s="83"/>
      <c r="I935" s="159"/>
      <c r="J935" s="159"/>
      <c r="K935" s="159"/>
      <c r="L935" s="159"/>
      <c r="M935" s="159"/>
      <c r="N935" s="159"/>
      <c r="O935" s="159"/>
      <c r="P935" s="159"/>
      <c r="Q935" s="159"/>
      <c r="R935" s="159"/>
      <c r="S935" s="159"/>
      <c r="T935" s="159"/>
      <c r="U935" s="159"/>
      <c r="V935" s="159"/>
      <c r="W935" s="159"/>
      <c r="X935" s="159"/>
      <c r="Y935" s="159"/>
      <c r="Z935" s="159"/>
    </row>
    <row r="936" ht="15.75" customHeight="1">
      <c r="A936" s="118"/>
      <c r="B936" s="118"/>
      <c r="C936" s="181"/>
      <c r="D936" s="159"/>
      <c r="E936" s="159"/>
      <c r="F936" s="159"/>
      <c r="G936" s="159"/>
      <c r="H936" s="83"/>
      <c r="I936" s="159"/>
      <c r="J936" s="159"/>
      <c r="K936" s="159"/>
      <c r="L936" s="159"/>
      <c r="M936" s="159"/>
      <c r="N936" s="159"/>
      <c r="O936" s="159"/>
      <c r="P936" s="159"/>
      <c r="Q936" s="159"/>
      <c r="R936" s="159"/>
      <c r="S936" s="159"/>
      <c r="T936" s="159"/>
      <c r="U936" s="159"/>
      <c r="V936" s="159"/>
      <c r="W936" s="159"/>
      <c r="X936" s="159"/>
      <c r="Y936" s="159"/>
      <c r="Z936" s="159"/>
    </row>
    <row r="937" ht="15.75" customHeight="1">
      <c r="A937" s="118"/>
      <c r="B937" s="118"/>
      <c r="C937" s="181"/>
      <c r="D937" s="159"/>
      <c r="E937" s="159"/>
      <c r="F937" s="159"/>
      <c r="G937" s="159"/>
      <c r="H937" s="83"/>
      <c r="I937" s="159"/>
      <c r="J937" s="159"/>
      <c r="K937" s="159"/>
      <c r="L937" s="159"/>
      <c r="M937" s="159"/>
      <c r="N937" s="159"/>
      <c r="O937" s="159"/>
      <c r="P937" s="159"/>
      <c r="Q937" s="159"/>
      <c r="R937" s="159"/>
      <c r="S937" s="159"/>
      <c r="T937" s="159"/>
      <c r="U937" s="159"/>
      <c r="V937" s="159"/>
      <c r="W937" s="159"/>
      <c r="X937" s="159"/>
      <c r="Y937" s="159"/>
      <c r="Z937" s="159"/>
    </row>
    <row r="938" ht="15.75" customHeight="1">
      <c r="A938" s="118"/>
      <c r="B938" s="118"/>
      <c r="C938" s="181"/>
      <c r="D938" s="159"/>
      <c r="E938" s="159"/>
      <c r="F938" s="159"/>
      <c r="G938" s="159"/>
      <c r="H938" s="83"/>
      <c r="I938" s="159"/>
      <c r="J938" s="159"/>
      <c r="K938" s="159"/>
      <c r="L938" s="159"/>
      <c r="M938" s="159"/>
      <c r="N938" s="159"/>
      <c r="O938" s="159"/>
      <c r="P938" s="159"/>
      <c r="Q938" s="159"/>
      <c r="R938" s="159"/>
      <c r="S938" s="159"/>
      <c r="T938" s="159"/>
      <c r="U938" s="159"/>
      <c r="V938" s="159"/>
      <c r="W938" s="159"/>
      <c r="X938" s="159"/>
      <c r="Y938" s="159"/>
      <c r="Z938" s="159"/>
    </row>
    <row r="939" ht="15.75" customHeight="1">
      <c r="A939" s="118"/>
      <c r="B939" s="118"/>
      <c r="C939" s="181"/>
      <c r="D939" s="159"/>
      <c r="E939" s="159"/>
      <c r="F939" s="159"/>
      <c r="G939" s="159"/>
      <c r="H939" s="83"/>
      <c r="I939" s="159"/>
      <c r="J939" s="159"/>
      <c r="K939" s="159"/>
      <c r="L939" s="159"/>
      <c r="M939" s="159"/>
      <c r="N939" s="159"/>
      <c r="O939" s="159"/>
      <c r="P939" s="159"/>
      <c r="Q939" s="159"/>
      <c r="R939" s="159"/>
      <c r="S939" s="159"/>
      <c r="T939" s="159"/>
      <c r="U939" s="159"/>
      <c r="V939" s="159"/>
      <c r="W939" s="159"/>
      <c r="X939" s="159"/>
      <c r="Y939" s="159"/>
      <c r="Z939" s="159"/>
    </row>
    <row r="940" ht="15.75" customHeight="1">
      <c r="A940" s="118"/>
      <c r="B940" s="118"/>
      <c r="C940" s="181"/>
      <c r="D940" s="159"/>
      <c r="E940" s="159"/>
      <c r="F940" s="159"/>
      <c r="G940" s="159"/>
      <c r="H940" s="83"/>
      <c r="I940" s="159"/>
      <c r="J940" s="159"/>
      <c r="K940" s="159"/>
      <c r="L940" s="159"/>
      <c r="M940" s="159"/>
      <c r="N940" s="159"/>
      <c r="O940" s="159"/>
      <c r="P940" s="159"/>
      <c r="Q940" s="159"/>
      <c r="R940" s="159"/>
      <c r="S940" s="159"/>
      <c r="T940" s="159"/>
      <c r="U940" s="159"/>
      <c r="V940" s="159"/>
      <c r="W940" s="159"/>
      <c r="X940" s="159"/>
      <c r="Y940" s="159"/>
      <c r="Z940" s="159"/>
    </row>
    <row r="941" ht="15.75" customHeight="1">
      <c r="A941" s="118"/>
      <c r="B941" s="118"/>
      <c r="C941" s="181"/>
      <c r="D941" s="159"/>
      <c r="E941" s="159"/>
      <c r="F941" s="159"/>
      <c r="G941" s="159"/>
      <c r="H941" s="83"/>
      <c r="I941" s="159"/>
      <c r="J941" s="159"/>
      <c r="K941" s="159"/>
      <c r="L941" s="159"/>
      <c r="M941" s="159"/>
      <c r="N941" s="159"/>
      <c r="O941" s="159"/>
      <c r="P941" s="159"/>
      <c r="Q941" s="159"/>
      <c r="R941" s="159"/>
      <c r="S941" s="159"/>
      <c r="T941" s="159"/>
      <c r="U941" s="159"/>
      <c r="V941" s="159"/>
      <c r="W941" s="159"/>
      <c r="X941" s="159"/>
      <c r="Y941" s="159"/>
      <c r="Z941" s="159"/>
    </row>
    <row r="942" ht="15.75" customHeight="1">
      <c r="A942" s="118"/>
      <c r="B942" s="118"/>
      <c r="C942" s="181"/>
      <c r="D942" s="159"/>
      <c r="E942" s="159"/>
      <c r="F942" s="159"/>
      <c r="G942" s="159"/>
      <c r="H942" s="83"/>
      <c r="I942" s="159"/>
      <c r="J942" s="159"/>
      <c r="K942" s="159"/>
      <c r="L942" s="159"/>
      <c r="M942" s="159"/>
      <c r="N942" s="159"/>
      <c r="O942" s="159"/>
      <c r="P942" s="159"/>
      <c r="Q942" s="159"/>
      <c r="R942" s="159"/>
      <c r="S942" s="159"/>
      <c r="T942" s="159"/>
      <c r="U942" s="159"/>
      <c r="V942" s="159"/>
      <c r="W942" s="159"/>
      <c r="X942" s="159"/>
      <c r="Y942" s="159"/>
      <c r="Z942" s="159"/>
    </row>
    <row r="943" ht="15.75" customHeight="1">
      <c r="A943" s="118"/>
      <c r="B943" s="118"/>
      <c r="C943" s="181"/>
      <c r="D943" s="159"/>
      <c r="E943" s="159"/>
      <c r="F943" s="159"/>
      <c r="G943" s="159"/>
      <c r="H943" s="83"/>
      <c r="I943" s="159"/>
      <c r="J943" s="159"/>
      <c r="K943" s="159"/>
      <c r="L943" s="159"/>
      <c r="M943" s="159"/>
      <c r="N943" s="159"/>
      <c r="O943" s="159"/>
      <c r="P943" s="159"/>
      <c r="Q943" s="159"/>
      <c r="R943" s="159"/>
      <c r="S943" s="159"/>
      <c r="T943" s="159"/>
      <c r="U943" s="159"/>
      <c r="V943" s="159"/>
      <c r="W943" s="159"/>
      <c r="X943" s="159"/>
      <c r="Y943" s="159"/>
      <c r="Z943" s="159"/>
    </row>
    <row r="944" ht="15.75" customHeight="1">
      <c r="A944" s="118"/>
      <c r="B944" s="118"/>
      <c r="C944" s="181"/>
      <c r="D944" s="159"/>
      <c r="E944" s="159"/>
      <c r="F944" s="159"/>
      <c r="G944" s="159"/>
      <c r="H944" s="83"/>
      <c r="I944" s="159"/>
      <c r="J944" s="159"/>
      <c r="K944" s="159"/>
      <c r="L944" s="159"/>
      <c r="M944" s="159"/>
      <c r="N944" s="159"/>
      <c r="O944" s="159"/>
      <c r="P944" s="159"/>
      <c r="Q944" s="159"/>
      <c r="R944" s="159"/>
      <c r="S944" s="159"/>
      <c r="T944" s="159"/>
      <c r="U944" s="159"/>
      <c r="V944" s="159"/>
      <c r="W944" s="159"/>
      <c r="X944" s="159"/>
      <c r="Y944" s="159"/>
      <c r="Z944" s="159"/>
    </row>
    <row r="945" ht="15.75" customHeight="1">
      <c r="A945" s="118"/>
      <c r="B945" s="118"/>
      <c r="C945" s="181"/>
      <c r="D945" s="159"/>
      <c r="E945" s="159"/>
      <c r="F945" s="159"/>
      <c r="G945" s="159"/>
      <c r="H945" s="83"/>
      <c r="I945" s="159"/>
      <c r="J945" s="159"/>
      <c r="K945" s="159"/>
      <c r="L945" s="159"/>
      <c r="M945" s="159"/>
      <c r="N945" s="159"/>
      <c r="O945" s="159"/>
      <c r="P945" s="159"/>
      <c r="Q945" s="159"/>
      <c r="R945" s="159"/>
      <c r="S945" s="159"/>
      <c r="T945" s="159"/>
      <c r="U945" s="159"/>
      <c r="V945" s="159"/>
      <c r="W945" s="159"/>
      <c r="X945" s="159"/>
      <c r="Y945" s="159"/>
      <c r="Z945" s="159"/>
    </row>
    <row r="946" ht="15.75" customHeight="1">
      <c r="A946" s="118"/>
      <c r="B946" s="118"/>
      <c r="C946" s="181"/>
      <c r="D946" s="159"/>
      <c r="E946" s="159"/>
      <c r="F946" s="159"/>
      <c r="G946" s="159"/>
      <c r="H946" s="83"/>
      <c r="I946" s="159"/>
      <c r="J946" s="159"/>
      <c r="K946" s="159"/>
      <c r="L946" s="159"/>
      <c r="M946" s="159"/>
      <c r="N946" s="159"/>
      <c r="O946" s="159"/>
      <c r="P946" s="159"/>
      <c r="Q946" s="159"/>
      <c r="R946" s="159"/>
      <c r="S946" s="159"/>
      <c r="T946" s="159"/>
      <c r="U946" s="159"/>
      <c r="V946" s="159"/>
      <c r="W946" s="159"/>
      <c r="X946" s="159"/>
      <c r="Y946" s="159"/>
      <c r="Z946" s="159"/>
    </row>
    <row r="947" ht="15.75" customHeight="1">
      <c r="A947" s="118"/>
      <c r="B947" s="118"/>
      <c r="C947" s="181"/>
      <c r="D947" s="159"/>
      <c r="E947" s="159"/>
      <c r="F947" s="159"/>
      <c r="G947" s="159"/>
      <c r="H947" s="83"/>
      <c r="I947" s="159"/>
      <c r="J947" s="159"/>
      <c r="K947" s="159"/>
      <c r="L947" s="159"/>
      <c r="M947" s="159"/>
      <c r="N947" s="159"/>
      <c r="O947" s="159"/>
      <c r="P947" s="159"/>
      <c r="Q947" s="159"/>
      <c r="R947" s="159"/>
      <c r="S947" s="159"/>
      <c r="T947" s="159"/>
      <c r="U947" s="159"/>
      <c r="V947" s="159"/>
      <c r="W947" s="159"/>
      <c r="X947" s="159"/>
      <c r="Y947" s="159"/>
      <c r="Z947" s="159"/>
    </row>
    <row r="948" ht="15.75" customHeight="1">
      <c r="A948" s="118"/>
      <c r="B948" s="118"/>
      <c r="C948" s="181"/>
      <c r="D948" s="159"/>
      <c r="E948" s="159"/>
      <c r="F948" s="159"/>
      <c r="G948" s="159"/>
      <c r="H948" s="83"/>
      <c r="I948" s="159"/>
      <c r="J948" s="159"/>
      <c r="K948" s="159"/>
      <c r="L948" s="159"/>
      <c r="M948" s="159"/>
      <c r="N948" s="159"/>
      <c r="O948" s="159"/>
      <c r="P948" s="159"/>
      <c r="Q948" s="159"/>
      <c r="R948" s="159"/>
      <c r="S948" s="159"/>
      <c r="T948" s="159"/>
      <c r="U948" s="159"/>
      <c r="V948" s="159"/>
      <c r="W948" s="159"/>
      <c r="X948" s="159"/>
      <c r="Y948" s="159"/>
      <c r="Z948" s="159"/>
    </row>
    <row r="949" ht="15.75" customHeight="1">
      <c r="A949" s="118"/>
      <c r="B949" s="118"/>
      <c r="C949" s="181"/>
      <c r="D949" s="159"/>
      <c r="E949" s="159"/>
      <c r="F949" s="159"/>
      <c r="G949" s="159"/>
      <c r="H949" s="83"/>
      <c r="I949" s="159"/>
      <c r="J949" s="159"/>
      <c r="K949" s="159"/>
      <c r="L949" s="159"/>
      <c r="M949" s="159"/>
      <c r="N949" s="159"/>
      <c r="O949" s="159"/>
      <c r="P949" s="159"/>
      <c r="Q949" s="159"/>
      <c r="R949" s="159"/>
      <c r="S949" s="159"/>
      <c r="T949" s="159"/>
      <c r="U949" s="159"/>
      <c r="V949" s="159"/>
      <c r="W949" s="159"/>
      <c r="X949" s="159"/>
      <c r="Y949" s="159"/>
      <c r="Z949" s="159"/>
    </row>
    <row r="950" ht="15.75" customHeight="1">
      <c r="A950" s="118"/>
      <c r="B950" s="118"/>
      <c r="C950" s="181"/>
      <c r="D950" s="159"/>
      <c r="E950" s="159"/>
      <c r="F950" s="159"/>
      <c r="G950" s="159"/>
      <c r="H950" s="83"/>
      <c r="I950" s="159"/>
      <c r="J950" s="159"/>
      <c r="K950" s="159"/>
      <c r="L950" s="159"/>
      <c r="M950" s="159"/>
      <c r="N950" s="159"/>
      <c r="O950" s="159"/>
      <c r="P950" s="159"/>
      <c r="Q950" s="159"/>
      <c r="R950" s="159"/>
      <c r="S950" s="159"/>
      <c r="T950" s="159"/>
      <c r="U950" s="159"/>
      <c r="V950" s="159"/>
      <c r="W950" s="159"/>
      <c r="X950" s="159"/>
      <c r="Y950" s="159"/>
      <c r="Z950" s="159"/>
    </row>
    <row r="951" ht="15.75" customHeight="1">
      <c r="A951" s="118"/>
      <c r="B951" s="118"/>
      <c r="C951" s="181"/>
      <c r="D951" s="159"/>
      <c r="E951" s="159"/>
      <c r="F951" s="159"/>
      <c r="G951" s="159"/>
      <c r="H951" s="83"/>
      <c r="I951" s="159"/>
      <c r="J951" s="159"/>
      <c r="K951" s="159"/>
      <c r="L951" s="159"/>
      <c r="M951" s="159"/>
      <c r="N951" s="159"/>
      <c r="O951" s="159"/>
      <c r="P951" s="159"/>
      <c r="Q951" s="159"/>
      <c r="R951" s="159"/>
      <c r="S951" s="159"/>
      <c r="T951" s="159"/>
      <c r="U951" s="159"/>
      <c r="V951" s="159"/>
      <c r="W951" s="159"/>
      <c r="X951" s="159"/>
      <c r="Y951" s="159"/>
      <c r="Z951" s="159"/>
    </row>
    <row r="952" ht="15.75" customHeight="1">
      <c r="A952" s="118"/>
      <c r="B952" s="118"/>
      <c r="C952" s="181"/>
      <c r="D952" s="159"/>
      <c r="E952" s="159"/>
      <c r="F952" s="159"/>
      <c r="G952" s="159"/>
      <c r="H952" s="83"/>
      <c r="I952" s="159"/>
      <c r="J952" s="159"/>
      <c r="K952" s="159"/>
      <c r="L952" s="159"/>
      <c r="M952" s="159"/>
      <c r="N952" s="159"/>
      <c r="O952" s="159"/>
      <c r="P952" s="159"/>
      <c r="Q952" s="159"/>
      <c r="R952" s="159"/>
      <c r="S952" s="159"/>
      <c r="T952" s="159"/>
      <c r="U952" s="159"/>
      <c r="V952" s="159"/>
      <c r="W952" s="159"/>
      <c r="X952" s="159"/>
      <c r="Y952" s="159"/>
      <c r="Z952" s="159"/>
    </row>
    <row r="953" ht="15.75" customHeight="1">
      <c r="A953" s="118"/>
      <c r="B953" s="118"/>
      <c r="C953" s="181"/>
      <c r="D953" s="159"/>
      <c r="E953" s="159"/>
      <c r="F953" s="159"/>
      <c r="G953" s="159"/>
      <c r="H953" s="83"/>
      <c r="I953" s="159"/>
      <c r="J953" s="159"/>
      <c r="K953" s="159"/>
      <c r="L953" s="159"/>
      <c r="M953" s="159"/>
      <c r="N953" s="159"/>
      <c r="O953" s="159"/>
      <c r="P953" s="159"/>
      <c r="Q953" s="159"/>
      <c r="R953" s="159"/>
      <c r="S953" s="159"/>
      <c r="T953" s="159"/>
      <c r="U953" s="159"/>
      <c r="V953" s="159"/>
      <c r="W953" s="159"/>
      <c r="X953" s="159"/>
      <c r="Y953" s="159"/>
      <c r="Z953" s="159"/>
    </row>
    <row r="954" ht="15.75" customHeight="1">
      <c r="A954" s="118"/>
      <c r="B954" s="118"/>
      <c r="C954" s="181"/>
      <c r="D954" s="159"/>
      <c r="E954" s="159"/>
      <c r="F954" s="159"/>
      <c r="G954" s="159"/>
      <c r="H954" s="83"/>
      <c r="I954" s="159"/>
      <c r="J954" s="159"/>
      <c r="K954" s="159"/>
      <c r="L954" s="159"/>
      <c r="M954" s="159"/>
      <c r="N954" s="159"/>
      <c r="O954" s="159"/>
      <c r="P954" s="159"/>
      <c r="Q954" s="159"/>
      <c r="R954" s="159"/>
      <c r="S954" s="159"/>
      <c r="T954" s="159"/>
      <c r="U954" s="159"/>
      <c r="V954" s="159"/>
      <c r="W954" s="159"/>
      <c r="X954" s="159"/>
      <c r="Y954" s="159"/>
      <c r="Z954" s="159"/>
    </row>
    <row r="955" ht="15.75" customHeight="1">
      <c r="A955" s="118"/>
      <c r="B955" s="118"/>
      <c r="C955" s="181"/>
      <c r="D955" s="159"/>
      <c r="E955" s="159"/>
      <c r="F955" s="159"/>
      <c r="G955" s="159"/>
      <c r="H955" s="83"/>
      <c r="I955" s="159"/>
      <c r="J955" s="159"/>
      <c r="K955" s="159"/>
      <c r="L955" s="159"/>
      <c r="M955" s="159"/>
      <c r="N955" s="159"/>
      <c r="O955" s="159"/>
      <c r="P955" s="159"/>
      <c r="Q955" s="159"/>
      <c r="R955" s="159"/>
      <c r="S955" s="159"/>
      <c r="T955" s="159"/>
      <c r="U955" s="159"/>
      <c r="V955" s="159"/>
      <c r="W955" s="159"/>
      <c r="X955" s="159"/>
      <c r="Y955" s="159"/>
      <c r="Z955" s="159"/>
    </row>
    <row r="956" ht="15.75" customHeight="1">
      <c r="A956" s="118"/>
      <c r="B956" s="118"/>
      <c r="C956" s="181"/>
      <c r="D956" s="159"/>
      <c r="E956" s="159"/>
      <c r="F956" s="159"/>
      <c r="G956" s="159"/>
      <c r="H956" s="83"/>
      <c r="I956" s="159"/>
      <c r="J956" s="159"/>
      <c r="K956" s="159"/>
      <c r="L956" s="159"/>
      <c r="M956" s="159"/>
      <c r="N956" s="159"/>
      <c r="O956" s="159"/>
      <c r="P956" s="159"/>
      <c r="Q956" s="159"/>
      <c r="R956" s="159"/>
      <c r="S956" s="159"/>
      <c r="T956" s="159"/>
      <c r="U956" s="159"/>
      <c r="V956" s="159"/>
      <c r="W956" s="159"/>
      <c r="X956" s="159"/>
      <c r="Y956" s="159"/>
      <c r="Z956" s="159"/>
    </row>
    <row r="957" ht="15.75" customHeight="1">
      <c r="A957" s="118"/>
      <c r="B957" s="118"/>
      <c r="C957" s="181"/>
      <c r="D957" s="159"/>
      <c r="E957" s="159"/>
      <c r="F957" s="159"/>
      <c r="G957" s="159"/>
      <c r="H957" s="83"/>
      <c r="I957" s="159"/>
      <c r="J957" s="159"/>
      <c r="K957" s="159"/>
      <c r="L957" s="159"/>
      <c r="M957" s="159"/>
      <c r="N957" s="159"/>
      <c r="O957" s="159"/>
      <c r="P957" s="159"/>
      <c r="Q957" s="159"/>
      <c r="R957" s="159"/>
      <c r="S957" s="159"/>
      <c r="T957" s="159"/>
      <c r="U957" s="159"/>
      <c r="V957" s="159"/>
      <c r="W957" s="159"/>
      <c r="X957" s="159"/>
      <c r="Y957" s="159"/>
      <c r="Z957" s="159"/>
    </row>
    <row r="958" ht="15.75" customHeight="1">
      <c r="A958" s="118"/>
      <c r="B958" s="118"/>
      <c r="C958" s="181"/>
      <c r="D958" s="159"/>
      <c r="E958" s="159"/>
      <c r="F958" s="159"/>
      <c r="G958" s="159"/>
      <c r="H958" s="83"/>
      <c r="I958" s="159"/>
      <c r="J958" s="159"/>
      <c r="K958" s="159"/>
      <c r="L958" s="159"/>
      <c r="M958" s="159"/>
      <c r="N958" s="159"/>
      <c r="O958" s="159"/>
      <c r="P958" s="159"/>
      <c r="Q958" s="159"/>
      <c r="R958" s="159"/>
      <c r="S958" s="159"/>
      <c r="T958" s="159"/>
      <c r="U958" s="159"/>
      <c r="V958" s="159"/>
      <c r="W958" s="159"/>
      <c r="X958" s="159"/>
      <c r="Y958" s="159"/>
      <c r="Z958" s="159"/>
    </row>
    <row r="959" ht="15.75" customHeight="1">
      <c r="A959" s="118"/>
      <c r="B959" s="118"/>
      <c r="C959" s="181"/>
      <c r="D959" s="159"/>
      <c r="E959" s="159"/>
      <c r="F959" s="159"/>
      <c r="G959" s="159"/>
      <c r="H959" s="83"/>
      <c r="I959" s="159"/>
      <c r="J959" s="159"/>
      <c r="K959" s="159"/>
      <c r="L959" s="159"/>
      <c r="M959" s="159"/>
      <c r="N959" s="159"/>
      <c r="O959" s="159"/>
      <c r="P959" s="159"/>
      <c r="Q959" s="159"/>
      <c r="R959" s="159"/>
      <c r="S959" s="159"/>
      <c r="T959" s="159"/>
      <c r="U959" s="159"/>
      <c r="V959" s="159"/>
      <c r="W959" s="159"/>
      <c r="X959" s="159"/>
      <c r="Y959" s="159"/>
      <c r="Z959" s="159"/>
    </row>
    <row r="960" ht="15.75" customHeight="1">
      <c r="A960" s="118"/>
      <c r="B960" s="118"/>
      <c r="C960" s="181"/>
      <c r="D960" s="159"/>
      <c r="E960" s="159"/>
      <c r="F960" s="159"/>
      <c r="G960" s="159"/>
      <c r="H960" s="83"/>
      <c r="I960" s="159"/>
      <c r="J960" s="159"/>
      <c r="K960" s="159"/>
      <c r="L960" s="159"/>
      <c r="M960" s="159"/>
      <c r="N960" s="159"/>
      <c r="O960" s="159"/>
      <c r="P960" s="159"/>
      <c r="Q960" s="159"/>
      <c r="R960" s="159"/>
      <c r="S960" s="159"/>
      <c r="T960" s="159"/>
      <c r="U960" s="159"/>
      <c r="V960" s="159"/>
      <c r="W960" s="159"/>
      <c r="X960" s="159"/>
      <c r="Y960" s="159"/>
      <c r="Z960" s="159"/>
    </row>
    <row r="961" ht="15.75" customHeight="1">
      <c r="A961" s="118"/>
      <c r="B961" s="118"/>
      <c r="C961" s="181"/>
      <c r="D961" s="159"/>
      <c r="E961" s="159"/>
      <c r="F961" s="159"/>
      <c r="G961" s="159"/>
      <c r="H961" s="83"/>
      <c r="I961" s="159"/>
      <c r="J961" s="159"/>
      <c r="K961" s="159"/>
      <c r="L961" s="159"/>
      <c r="M961" s="159"/>
      <c r="N961" s="159"/>
      <c r="O961" s="159"/>
      <c r="P961" s="159"/>
      <c r="Q961" s="159"/>
      <c r="R961" s="159"/>
      <c r="S961" s="159"/>
      <c r="T961" s="159"/>
      <c r="U961" s="159"/>
      <c r="V961" s="159"/>
      <c r="W961" s="159"/>
      <c r="X961" s="159"/>
      <c r="Y961" s="159"/>
      <c r="Z961" s="159"/>
    </row>
    <row r="962" ht="15.75" customHeight="1">
      <c r="A962" s="118"/>
      <c r="B962" s="118"/>
      <c r="C962" s="181"/>
      <c r="D962" s="159"/>
      <c r="E962" s="159"/>
      <c r="F962" s="159"/>
      <c r="G962" s="159"/>
      <c r="H962" s="83"/>
      <c r="I962" s="159"/>
      <c r="J962" s="159"/>
      <c r="K962" s="159"/>
      <c r="L962" s="159"/>
      <c r="M962" s="159"/>
      <c r="N962" s="159"/>
      <c r="O962" s="159"/>
      <c r="P962" s="159"/>
      <c r="Q962" s="159"/>
      <c r="R962" s="159"/>
      <c r="S962" s="159"/>
      <c r="T962" s="159"/>
      <c r="U962" s="159"/>
      <c r="V962" s="159"/>
      <c r="W962" s="159"/>
      <c r="X962" s="159"/>
      <c r="Y962" s="159"/>
      <c r="Z962" s="159"/>
    </row>
    <row r="963" ht="15.75" customHeight="1">
      <c r="A963" s="118"/>
      <c r="B963" s="118"/>
      <c r="C963" s="181"/>
      <c r="D963" s="159"/>
      <c r="E963" s="159"/>
      <c r="F963" s="159"/>
      <c r="G963" s="159"/>
      <c r="H963" s="83"/>
      <c r="I963" s="159"/>
      <c r="J963" s="159"/>
      <c r="K963" s="159"/>
      <c r="L963" s="159"/>
      <c r="M963" s="159"/>
      <c r="N963" s="159"/>
      <c r="O963" s="159"/>
      <c r="P963" s="159"/>
      <c r="Q963" s="159"/>
      <c r="R963" s="159"/>
      <c r="S963" s="159"/>
      <c r="T963" s="159"/>
      <c r="U963" s="159"/>
      <c r="V963" s="159"/>
      <c r="W963" s="159"/>
      <c r="X963" s="159"/>
      <c r="Y963" s="159"/>
      <c r="Z963" s="159"/>
    </row>
    <row r="964" ht="15.75" customHeight="1">
      <c r="A964" s="118"/>
      <c r="B964" s="118"/>
      <c r="C964" s="181"/>
      <c r="D964" s="159"/>
      <c r="E964" s="159"/>
      <c r="F964" s="159"/>
      <c r="G964" s="159"/>
      <c r="H964" s="83"/>
      <c r="I964" s="159"/>
      <c r="J964" s="159"/>
      <c r="K964" s="159"/>
      <c r="L964" s="159"/>
      <c r="M964" s="159"/>
      <c r="N964" s="159"/>
      <c r="O964" s="159"/>
      <c r="P964" s="159"/>
      <c r="Q964" s="159"/>
      <c r="R964" s="159"/>
      <c r="S964" s="159"/>
      <c r="T964" s="159"/>
      <c r="U964" s="159"/>
      <c r="V964" s="159"/>
      <c r="W964" s="159"/>
      <c r="X964" s="159"/>
      <c r="Y964" s="159"/>
      <c r="Z964" s="159"/>
    </row>
    <row r="965" ht="15.75" customHeight="1">
      <c r="A965" s="118"/>
      <c r="B965" s="118"/>
      <c r="C965" s="181"/>
      <c r="D965" s="159"/>
      <c r="E965" s="159"/>
      <c r="F965" s="159"/>
      <c r="G965" s="159"/>
      <c r="H965" s="83"/>
      <c r="I965" s="159"/>
      <c r="J965" s="159"/>
      <c r="K965" s="159"/>
      <c r="L965" s="159"/>
      <c r="M965" s="159"/>
      <c r="N965" s="159"/>
      <c r="O965" s="159"/>
      <c r="P965" s="159"/>
      <c r="Q965" s="159"/>
      <c r="R965" s="159"/>
      <c r="S965" s="159"/>
      <c r="T965" s="159"/>
      <c r="U965" s="159"/>
      <c r="V965" s="159"/>
      <c r="W965" s="159"/>
      <c r="X965" s="159"/>
      <c r="Y965" s="159"/>
      <c r="Z965" s="159"/>
    </row>
    <row r="966" ht="15.75" customHeight="1">
      <c r="A966" s="118"/>
      <c r="B966" s="118"/>
      <c r="C966" s="181"/>
      <c r="D966" s="159"/>
      <c r="E966" s="159"/>
      <c r="F966" s="159"/>
      <c r="G966" s="159"/>
      <c r="H966" s="83"/>
      <c r="I966" s="159"/>
      <c r="J966" s="159"/>
      <c r="K966" s="159"/>
      <c r="L966" s="159"/>
      <c r="M966" s="159"/>
      <c r="N966" s="159"/>
      <c r="O966" s="159"/>
      <c r="P966" s="159"/>
      <c r="Q966" s="159"/>
      <c r="R966" s="159"/>
      <c r="S966" s="159"/>
      <c r="T966" s="159"/>
      <c r="U966" s="159"/>
      <c r="V966" s="159"/>
      <c r="W966" s="159"/>
      <c r="X966" s="159"/>
      <c r="Y966" s="159"/>
      <c r="Z966" s="159"/>
    </row>
    <row r="967" ht="15.75" customHeight="1">
      <c r="A967" s="118"/>
      <c r="B967" s="118"/>
      <c r="C967" s="181"/>
      <c r="D967" s="159"/>
      <c r="E967" s="159"/>
      <c r="F967" s="159"/>
      <c r="G967" s="159"/>
      <c r="H967" s="83"/>
      <c r="I967" s="159"/>
      <c r="J967" s="159"/>
      <c r="K967" s="159"/>
      <c r="L967" s="159"/>
      <c r="M967" s="159"/>
      <c r="N967" s="159"/>
      <c r="O967" s="159"/>
      <c r="P967" s="159"/>
      <c r="Q967" s="159"/>
      <c r="R967" s="159"/>
      <c r="S967" s="159"/>
      <c r="T967" s="159"/>
      <c r="U967" s="159"/>
      <c r="V967" s="159"/>
      <c r="W967" s="159"/>
      <c r="X967" s="159"/>
      <c r="Y967" s="159"/>
      <c r="Z967" s="159"/>
    </row>
    <row r="968" ht="15.75" customHeight="1">
      <c r="A968" s="118"/>
      <c r="B968" s="118"/>
      <c r="C968" s="181"/>
      <c r="D968" s="159"/>
      <c r="E968" s="159"/>
      <c r="F968" s="159"/>
      <c r="G968" s="159"/>
      <c r="H968" s="83"/>
      <c r="I968" s="159"/>
      <c r="J968" s="159"/>
      <c r="K968" s="159"/>
      <c r="L968" s="159"/>
      <c r="M968" s="159"/>
      <c r="N968" s="159"/>
      <c r="O968" s="159"/>
      <c r="P968" s="159"/>
      <c r="Q968" s="159"/>
      <c r="R968" s="159"/>
      <c r="S968" s="159"/>
      <c r="T968" s="159"/>
      <c r="U968" s="159"/>
      <c r="V968" s="159"/>
      <c r="W968" s="159"/>
      <c r="X968" s="159"/>
      <c r="Y968" s="159"/>
      <c r="Z968" s="159"/>
    </row>
    <row r="969" ht="15.75" customHeight="1">
      <c r="A969" s="118"/>
      <c r="B969" s="118"/>
      <c r="C969" s="181"/>
      <c r="D969" s="159"/>
      <c r="E969" s="159"/>
      <c r="F969" s="159"/>
      <c r="G969" s="159"/>
      <c r="H969" s="83"/>
      <c r="I969" s="159"/>
      <c r="J969" s="159"/>
      <c r="K969" s="159"/>
      <c r="L969" s="159"/>
      <c r="M969" s="159"/>
      <c r="N969" s="159"/>
      <c r="O969" s="159"/>
      <c r="P969" s="159"/>
      <c r="Q969" s="159"/>
      <c r="R969" s="159"/>
      <c r="S969" s="159"/>
      <c r="T969" s="159"/>
      <c r="U969" s="159"/>
      <c r="V969" s="159"/>
      <c r="W969" s="159"/>
      <c r="X969" s="159"/>
      <c r="Y969" s="159"/>
      <c r="Z969" s="159"/>
    </row>
    <row r="970" ht="15.75" customHeight="1">
      <c r="A970" s="118"/>
      <c r="B970" s="118"/>
      <c r="C970" s="181"/>
      <c r="D970" s="159"/>
      <c r="E970" s="159"/>
      <c r="F970" s="159"/>
      <c r="G970" s="159"/>
      <c r="H970" s="83"/>
      <c r="I970" s="159"/>
      <c r="J970" s="159"/>
      <c r="K970" s="159"/>
      <c r="L970" s="159"/>
      <c r="M970" s="159"/>
      <c r="N970" s="159"/>
      <c r="O970" s="159"/>
      <c r="P970" s="159"/>
      <c r="Q970" s="159"/>
      <c r="R970" s="159"/>
      <c r="S970" s="159"/>
      <c r="T970" s="159"/>
      <c r="U970" s="159"/>
      <c r="V970" s="159"/>
      <c r="W970" s="159"/>
      <c r="X970" s="159"/>
      <c r="Y970" s="159"/>
      <c r="Z970" s="159"/>
    </row>
    <row r="971" ht="15.75" customHeight="1">
      <c r="A971" s="118"/>
      <c r="B971" s="118"/>
      <c r="C971" s="181"/>
      <c r="D971" s="159"/>
      <c r="E971" s="159"/>
      <c r="F971" s="159"/>
      <c r="G971" s="159"/>
      <c r="H971" s="83"/>
      <c r="I971" s="159"/>
      <c r="J971" s="159"/>
      <c r="K971" s="159"/>
      <c r="L971" s="159"/>
      <c r="M971" s="159"/>
      <c r="N971" s="159"/>
      <c r="O971" s="159"/>
      <c r="P971" s="159"/>
      <c r="Q971" s="159"/>
      <c r="R971" s="159"/>
      <c r="S971" s="159"/>
      <c r="T971" s="159"/>
      <c r="U971" s="159"/>
      <c r="V971" s="159"/>
      <c r="W971" s="159"/>
      <c r="X971" s="159"/>
      <c r="Y971" s="159"/>
      <c r="Z971" s="159"/>
    </row>
    <row r="972" ht="15.75" customHeight="1">
      <c r="A972" s="118"/>
      <c r="B972" s="118"/>
      <c r="C972" s="181"/>
      <c r="D972" s="159"/>
      <c r="E972" s="159"/>
      <c r="F972" s="159"/>
      <c r="G972" s="159"/>
      <c r="H972" s="83"/>
      <c r="I972" s="159"/>
      <c r="J972" s="159"/>
      <c r="K972" s="159"/>
      <c r="L972" s="159"/>
      <c r="M972" s="159"/>
      <c r="N972" s="159"/>
      <c r="O972" s="159"/>
      <c r="P972" s="159"/>
      <c r="Q972" s="159"/>
      <c r="R972" s="159"/>
      <c r="S972" s="159"/>
      <c r="T972" s="159"/>
      <c r="U972" s="159"/>
      <c r="V972" s="159"/>
      <c r="W972" s="159"/>
      <c r="X972" s="159"/>
      <c r="Y972" s="159"/>
      <c r="Z972" s="159"/>
    </row>
    <row r="973" ht="15.75" customHeight="1">
      <c r="A973" s="118"/>
      <c r="B973" s="118"/>
      <c r="C973" s="181"/>
      <c r="D973" s="159"/>
      <c r="E973" s="159"/>
      <c r="F973" s="159"/>
      <c r="G973" s="159"/>
      <c r="H973" s="83"/>
      <c r="I973" s="159"/>
      <c r="J973" s="159"/>
      <c r="K973" s="159"/>
      <c r="L973" s="159"/>
      <c r="M973" s="159"/>
      <c r="N973" s="159"/>
      <c r="O973" s="159"/>
      <c r="P973" s="159"/>
      <c r="Q973" s="159"/>
      <c r="R973" s="159"/>
      <c r="S973" s="159"/>
      <c r="T973" s="159"/>
      <c r="U973" s="159"/>
      <c r="V973" s="159"/>
      <c r="W973" s="159"/>
      <c r="X973" s="159"/>
      <c r="Y973" s="159"/>
      <c r="Z973" s="159"/>
    </row>
    <row r="974" ht="15.75" customHeight="1">
      <c r="A974" s="118"/>
      <c r="B974" s="118"/>
      <c r="C974" s="181"/>
      <c r="D974" s="159"/>
      <c r="E974" s="159"/>
      <c r="F974" s="159"/>
      <c r="G974" s="159"/>
      <c r="H974" s="83"/>
      <c r="I974" s="159"/>
      <c r="J974" s="159"/>
      <c r="K974" s="159"/>
      <c r="L974" s="159"/>
      <c r="M974" s="159"/>
      <c r="N974" s="159"/>
      <c r="O974" s="159"/>
      <c r="P974" s="159"/>
      <c r="Q974" s="159"/>
      <c r="R974" s="159"/>
      <c r="S974" s="159"/>
      <c r="T974" s="159"/>
      <c r="U974" s="159"/>
      <c r="V974" s="159"/>
      <c r="W974" s="159"/>
      <c r="X974" s="159"/>
      <c r="Y974" s="159"/>
      <c r="Z974" s="159"/>
    </row>
    <row r="975" ht="15.75" customHeight="1">
      <c r="A975" s="118"/>
      <c r="B975" s="118"/>
      <c r="C975" s="181"/>
      <c r="D975" s="159"/>
      <c r="E975" s="159"/>
      <c r="F975" s="159"/>
      <c r="G975" s="159"/>
      <c r="H975" s="83"/>
      <c r="I975" s="159"/>
      <c r="J975" s="159"/>
      <c r="K975" s="159"/>
      <c r="L975" s="159"/>
      <c r="M975" s="159"/>
      <c r="N975" s="159"/>
      <c r="O975" s="159"/>
      <c r="P975" s="159"/>
      <c r="Q975" s="159"/>
      <c r="R975" s="159"/>
      <c r="S975" s="159"/>
      <c r="T975" s="159"/>
      <c r="U975" s="159"/>
      <c r="V975" s="159"/>
      <c r="W975" s="159"/>
      <c r="X975" s="159"/>
      <c r="Y975" s="159"/>
      <c r="Z975" s="159"/>
    </row>
    <row r="976" ht="15.75" customHeight="1">
      <c r="A976" s="118"/>
      <c r="B976" s="118"/>
      <c r="C976" s="181"/>
      <c r="D976" s="159"/>
      <c r="E976" s="159"/>
      <c r="F976" s="159"/>
      <c r="G976" s="159"/>
      <c r="H976" s="83"/>
      <c r="I976" s="159"/>
      <c r="J976" s="159"/>
      <c r="K976" s="159"/>
      <c r="L976" s="159"/>
      <c r="M976" s="159"/>
      <c r="N976" s="159"/>
      <c r="O976" s="159"/>
      <c r="P976" s="159"/>
      <c r="Q976" s="159"/>
      <c r="R976" s="159"/>
      <c r="S976" s="159"/>
      <c r="T976" s="159"/>
      <c r="U976" s="159"/>
      <c r="V976" s="159"/>
      <c r="W976" s="159"/>
      <c r="X976" s="159"/>
      <c r="Y976" s="159"/>
      <c r="Z976" s="159"/>
    </row>
    <row r="977" ht="15.75" customHeight="1">
      <c r="A977" s="118"/>
      <c r="B977" s="118"/>
      <c r="C977" s="181"/>
      <c r="D977" s="159"/>
      <c r="E977" s="159"/>
      <c r="F977" s="159"/>
      <c r="G977" s="159"/>
      <c r="H977" s="83"/>
      <c r="I977" s="159"/>
      <c r="J977" s="159"/>
      <c r="K977" s="159"/>
      <c r="L977" s="159"/>
      <c r="M977" s="159"/>
      <c r="N977" s="159"/>
      <c r="O977" s="159"/>
      <c r="P977" s="159"/>
      <c r="Q977" s="159"/>
      <c r="R977" s="159"/>
      <c r="S977" s="159"/>
      <c r="T977" s="159"/>
      <c r="U977" s="159"/>
      <c r="V977" s="159"/>
      <c r="W977" s="159"/>
      <c r="X977" s="159"/>
      <c r="Y977" s="159"/>
      <c r="Z977" s="159"/>
    </row>
    <row r="978" ht="15.75" customHeight="1">
      <c r="A978" s="118"/>
      <c r="B978" s="118"/>
      <c r="C978" s="181"/>
      <c r="D978" s="159"/>
      <c r="E978" s="159"/>
      <c r="F978" s="159"/>
      <c r="G978" s="159"/>
      <c r="H978" s="83"/>
      <c r="I978" s="159"/>
      <c r="J978" s="159"/>
      <c r="K978" s="159"/>
      <c r="L978" s="159"/>
      <c r="M978" s="159"/>
      <c r="N978" s="159"/>
      <c r="O978" s="159"/>
      <c r="P978" s="159"/>
      <c r="Q978" s="159"/>
      <c r="R978" s="159"/>
      <c r="S978" s="159"/>
      <c r="T978" s="159"/>
      <c r="U978" s="159"/>
      <c r="V978" s="159"/>
      <c r="W978" s="159"/>
      <c r="X978" s="159"/>
      <c r="Y978" s="159"/>
      <c r="Z978" s="159"/>
    </row>
    <row r="979" ht="15.75" customHeight="1">
      <c r="A979" s="118"/>
      <c r="B979" s="118"/>
      <c r="C979" s="181"/>
      <c r="D979" s="159"/>
      <c r="E979" s="159"/>
      <c r="F979" s="159"/>
      <c r="G979" s="159"/>
      <c r="H979" s="83"/>
      <c r="I979" s="159"/>
      <c r="J979" s="159"/>
      <c r="K979" s="159"/>
      <c r="L979" s="159"/>
      <c r="M979" s="159"/>
      <c r="N979" s="159"/>
      <c r="O979" s="159"/>
      <c r="P979" s="159"/>
      <c r="Q979" s="159"/>
      <c r="R979" s="159"/>
      <c r="S979" s="159"/>
      <c r="T979" s="159"/>
      <c r="U979" s="159"/>
      <c r="V979" s="159"/>
      <c r="W979" s="159"/>
      <c r="X979" s="159"/>
      <c r="Y979" s="159"/>
      <c r="Z979" s="159"/>
    </row>
    <row r="980" ht="15.75" customHeight="1">
      <c r="A980" s="118"/>
      <c r="B980" s="118"/>
      <c r="C980" s="181"/>
      <c r="D980" s="159"/>
      <c r="E980" s="159"/>
      <c r="F980" s="159"/>
      <c r="G980" s="159"/>
      <c r="H980" s="83"/>
      <c r="I980" s="159"/>
      <c r="J980" s="159"/>
      <c r="K980" s="159"/>
      <c r="L980" s="159"/>
      <c r="M980" s="159"/>
      <c r="N980" s="159"/>
      <c r="O980" s="159"/>
      <c r="P980" s="159"/>
      <c r="Q980" s="159"/>
      <c r="R980" s="159"/>
      <c r="S980" s="159"/>
      <c r="T980" s="159"/>
      <c r="U980" s="159"/>
      <c r="V980" s="159"/>
      <c r="W980" s="159"/>
      <c r="X980" s="159"/>
      <c r="Y980" s="159"/>
      <c r="Z980" s="159"/>
    </row>
    <row r="981" ht="15.75" customHeight="1">
      <c r="A981" s="118"/>
      <c r="B981" s="118"/>
      <c r="C981" s="181"/>
      <c r="D981" s="159"/>
      <c r="E981" s="159"/>
      <c r="F981" s="159"/>
      <c r="G981" s="159"/>
      <c r="H981" s="83"/>
      <c r="I981" s="159"/>
      <c r="J981" s="159"/>
      <c r="K981" s="159"/>
      <c r="L981" s="159"/>
      <c r="M981" s="159"/>
      <c r="N981" s="159"/>
      <c r="O981" s="159"/>
      <c r="P981" s="159"/>
      <c r="Q981" s="159"/>
      <c r="R981" s="159"/>
      <c r="S981" s="159"/>
      <c r="T981" s="159"/>
      <c r="U981" s="159"/>
      <c r="V981" s="159"/>
      <c r="W981" s="159"/>
      <c r="X981" s="159"/>
      <c r="Y981" s="159"/>
      <c r="Z981" s="159"/>
    </row>
    <row r="982" ht="15.75" customHeight="1">
      <c r="A982" s="118"/>
      <c r="B982" s="118"/>
      <c r="C982" s="181"/>
      <c r="D982" s="159"/>
      <c r="E982" s="159"/>
      <c r="F982" s="159"/>
      <c r="G982" s="159"/>
      <c r="H982" s="83"/>
      <c r="I982" s="159"/>
      <c r="J982" s="159"/>
      <c r="K982" s="159"/>
      <c r="L982" s="159"/>
      <c r="M982" s="159"/>
      <c r="N982" s="159"/>
      <c r="O982" s="159"/>
      <c r="P982" s="159"/>
      <c r="Q982" s="159"/>
      <c r="R982" s="159"/>
      <c r="S982" s="159"/>
      <c r="T982" s="159"/>
      <c r="U982" s="159"/>
      <c r="V982" s="159"/>
      <c r="W982" s="159"/>
      <c r="X982" s="159"/>
      <c r="Y982" s="159"/>
      <c r="Z982" s="159"/>
    </row>
    <row r="983" ht="15.75" customHeight="1">
      <c r="A983" s="118"/>
      <c r="B983" s="118"/>
      <c r="C983" s="181"/>
      <c r="D983" s="159"/>
      <c r="E983" s="159"/>
      <c r="F983" s="159"/>
      <c r="G983" s="159"/>
      <c r="H983" s="83"/>
      <c r="I983" s="159"/>
      <c r="J983" s="159"/>
      <c r="K983" s="159"/>
      <c r="L983" s="159"/>
      <c r="M983" s="159"/>
      <c r="N983" s="159"/>
      <c r="O983" s="159"/>
      <c r="P983" s="159"/>
      <c r="Q983" s="159"/>
      <c r="R983" s="159"/>
      <c r="S983" s="159"/>
      <c r="T983" s="159"/>
      <c r="U983" s="159"/>
      <c r="V983" s="159"/>
      <c r="W983" s="159"/>
      <c r="X983" s="159"/>
      <c r="Y983" s="159"/>
      <c r="Z983" s="159"/>
    </row>
    <row r="984" ht="15.75" customHeight="1">
      <c r="A984" s="118"/>
      <c r="B984" s="118"/>
      <c r="C984" s="181"/>
      <c r="D984" s="159"/>
      <c r="E984" s="159"/>
      <c r="F984" s="159"/>
      <c r="G984" s="159"/>
      <c r="H984" s="83"/>
      <c r="I984" s="159"/>
      <c r="J984" s="159"/>
      <c r="K984" s="159"/>
      <c r="L984" s="159"/>
      <c r="M984" s="159"/>
      <c r="N984" s="159"/>
      <c r="O984" s="159"/>
      <c r="P984" s="159"/>
      <c r="Q984" s="159"/>
      <c r="R984" s="159"/>
      <c r="S984" s="159"/>
      <c r="T984" s="159"/>
      <c r="U984" s="159"/>
      <c r="V984" s="159"/>
      <c r="W984" s="159"/>
      <c r="X984" s="159"/>
      <c r="Y984" s="159"/>
      <c r="Z984" s="159"/>
    </row>
    <row r="985" ht="15.75" customHeight="1">
      <c r="A985" s="118"/>
      <c r="B985" s="118"/>
      <c r="C985" s="181"/>
      <c r="D985" s="159"/>
      <c r="E985" s="159"/>
      <c r="F985" s="159"/>
      <c r="G985" s="159"/>
      <c r="H985" s="83"/>
      <c r="I985" s="159"/>
      <c r="J985" s="159"/>
      <c r="K985" s="159"/>
      <c r="L985" s="159"/>
      <c r="M985" s="159"/>
      <c r="N985" s="159"/>
      <c r="O985" s="159"/>
      <c r="P985" s="159"/>
      <c r="Q985" s="159"/>
      <c r="R985" s="159"/>
      <c r="S985" s="159"/>
      <c r="T985" s="159"/>
      <c r="U985" s="159"/>
      <c r="V985" s="159"/>
      <c r="W985" s="159"/>
      <c r="X985" s="159"/>
      <c r="Y985" s="159"/>
      <c r="Z985" s="159"/>
    </row>
    <row r="986" ht="15.75" customHeight="1">
      <c r="A986" s="118"/>
      <c r="B986" s="118"/>
      <c r="C986" s="181"/>
      <c r="D986" s="159"/>
      <c r="E986" s="159"/>
      <c r="F986" s="159"/>
      <c r="G986" s="159"/>
      <c r="H986" s="83"/>
      <c r="I986" s="159"/>
      <c r="J986" s="159"/>
      <c r="K986" s="159"/>
      <c r="L986" s="159"/>
      <c r="M986" s="159"/>
      <c r="N986" s="159"/>
      <c r="O986" s="159"/>
      <c r="P986" s="159"/>
      <c r="Q986" s="159"/>
      <c r="R986" s="159"/>
      <c r="S986" s="159"/>
      <c r="T986" s="159"/>
      <c r="U986" s="159"/>
      <c r="V986" s="159"/>
      <c r="W986" s="159"/>
      <c r="X986" s="159"/>
      <c r="Y986" s="159"/>
      <c r="Z986" s="159"/>
    </row>
    <row r="987" ht="15.75" customHeight="1">
      <c r="A987" s="118"/>
      <c r="B987" s="118"/>
      <c r="C987" s="181"/>
      <c r="D987" s="159"/>
      <c r="E987" s="159"/>
      <c r="F987" s="159"/>
      <c r="G987" s="159"/>
      <c r="H987" s="83"/>
      <c r="I987" s="159"/>
      <c r="J987" s="159"/>
      <c r="K987" s="159"/>
      <c r="L987" s="159"/>
      <c r="M987" s="159"/>
      <c r="N987" s="159"/>
      <c r="O987" s="159"/>
      <c r="P987" s="159"/>
      <c r="Q987" s="159"/>
      <c r="R987" s="159"/>
      <c r="S987" s="159"/>
      <c r="T987" s="159"/>
      <c r="U987" s="159"/>
      <c r="V987" s="159"/>
      <c r="W987" s="159"/>
      <c r="X987" s="159"/>
      <c r="Y987" s="159"/>
      <c r="Z987" s="159"/>
    </row>
    <row r="988" ht="15.75" customHeight="1">
      <c r="A988" s="118"/>
      <c r="B988" s="118"/>
      <c r="C988" s="181"/>
      <c r="D988" s="159"/>
      <c r="E988" s="159"/>
      <c r="F988" s="159"/>
      <c r="G988" s="159"/>
      <c r="H988" s="83"/>
      <c r="I988" s="159"/>
      <c r="J988" s="159"/>
      <c r="K988" s="159"/>
      <c r="L988" s="159"/>
      <c r="M988" s="159"/>
      <c r="N988" s="159"/>
      <c r="O988" s="159"/>
      <c r="P988" s="159"/>
      <c r="Q988" s="159"/>
      <c r="R988" s="159"/>
      <c r="S988" s="159"/>
      <c r="T988" s="159"/>
      <c r="U988" s="159"/>
      <c r="V988" s="159"/>
      <c r="W988" s="159"/>
      <c r="X988" s="159"/>
      <c r="Y988" s="159"/>
      <c r="Z988" s="159"/>
    </row>
    <row r="989" ht="15.75" customHeight="1">
      <c r="A989" s="118"/>
      <c r="B989" s="118"/>
      <c r="C989" s="181"/>
      <c r="D989" s="159"/>
      <c r="E989" s="159"/>
      <c r="F989" s="159"/>
      <c r="G989" s="159"/>
      <c r="H989" s="83"/>
      <c r="I989" s="159"/>
      <c r="J989" s="159"/>
      <c r="K989" s="159"/>
      <c r="L989" s="159"/>
      <c r="M989" s="159"/>
      <c r="N989" s="159"/>
      <c r="O989" s="159"/>
      <c r="P989" s="159"/>
      <c r="Q989" s="159"/>
      <c r="R989" s="159"/>
      <c r="S989" s="159"/>
      <c r="T989" s="159"/>
      <c r="U989" s="159"/>
      <c r="V989" s="159"/>
      <c r="W989" s="159"/>
      <c r="X989" s="159"/>
      <c r="Y989" s="159"/>
      <c r="Z989" s="159"/>
    </row>
    <row r="990" ht="15.75" customHeight="1">
      <c r="A990" s="118"/>
      <c r="B990" s="118"/>
      <c r="C990" s="181"/>
      <c r="D990" s="159"/>
      <c r="E990" s="159"/>
      <c r="F990" s="159"/>
      <c r="G990" s="159"/>
      <c r="H990" s="83"/>
      <c r="I990" s="159"/>
      <c r="J990" s="159"/>
      <c r="K990" s="159"/>
      <c r="L990" s="159"/>
      <c r="M990" s="159"/>
      <c r="N990" s="159"/>
      <c r="O990" s="159"/>
      <c r="P990" s="159"/>
      <c r="Q990" s="159"/>
      <c r="R990" s="159"/>
      <c r="S990" s="159"/>
      <c r="T990" s="159"/>
      <c r="U990" s="159"/>
      <c r="V990" s="159"/>
      <c r="W990" s="159"/>
      <c r="X990" s="159"/>
      <c r="Y990" s="159"/>
      <c r="Z990" s="159"/>
    </row>
    <row r="991" ht="15.75" customHeight="1">
      <c r="A991" s="118"/>
      <c r="B991" s="118"/>
      <c r="C991" s="181"/>
      <c r="D991" s="159"/>
      <c r="E991" s="159"/>
      <c r="F991" s="159"/>
      <c r="G991" s="159"/>
      <c r="H991" s="83"/>
      <c r="I991" s="159"/>
      <c r="J991" s="159"/>
      <c r="K991" s="159"/>
      <c r="L991" s="159"/>
      <c r="M991" s="159"/>
      <c r="N991" s="159"/>
      <c r="O991" s="159"/>
      <c r="P991" s="159"/>
      <c r="Q991" s="159"/>
      <c r="R991" s="159"/>
      <c r="S991" s="159"/>
      <c r="T991" s="159"/>
      <c r="U991" s="159"/>
      <c r="V991" s="159"/>
      <c r="W991" s="159"/>
      <c r="X991" s="159"/>
      <c r="Y991" s="159"/>
      <c r="Z991" s="159"/>
    </row>
    <row r="992" ht="15.75" customHeight="1">
      <c r="A992" s="118"/>
      <c r="B992" s="118"/>
      <c r="C992" s="181"/>
      <c r="D992" s="159"/>
      <c r="E992" s="159"/>
      <c r="F992" s="159"/>
      <c r="G992" s="159"/>
      <c r="H992" s="83"/>
      <c r="I992" s="159"/>
      <c r="J992" s="159"/>
      <c r="K992" s="159"/>
      <c r="L992" s="159"/>
      <c r="M992" s="159"/>
      <c r="N992" s="159"/>
      <c r="O992" s="159"/>
      <c r="P992" s="159"/>
      <c r="Q992" s="159"/>
      <c r="R992" s="159"/>
      <c r="S992" s="159"/>
      <c r="T992" s="159"/>
      <c r="U992" s="159"/>
      <c r="V992" s="159"/>
      <c r="W992" s="159"/>
      <c r="X992" s="159"/>
      <c r="Y992" s="159"/>
      <c r="Z992" s="159"/>
    </row>
    <row r="993" ht="15.75" customHeight="1">
      <c r="A993" s="118"/>
      <c r="B993" s="118"/>
      <c r="C993" s="181"/>
      <c r="D993" s="159"/>
      <c r="E993" s="159"/>
      <c r="F993" s="159"/>
      <c r="G993" s="159"/>
      <c r="H993" s="83"/>
      <c r="I993" s="159"/>
      <c r="J993" s="159"/>
      <c r="K993" s="159"/>
      <c r="L993" s="159"/>
      <c r="M993" s="159"/>
      <c r="N993" s="159"/>
      <c r="O993" s="159"/>
      <c r="P993" s="159"/>
      <c r="Q993" s="159"/>
      <c r="R993" s="159"/>
      <c r="S993" s="159"/>
      <c r="T993" s="159"/>
      <c r="U993" s="159"/>
      <c r="V993" s="159"/>
      <c r="W993" s="159"/>
      <c r="X993" s="159"/>
      <c r="Y993" s="159"/>
      <c r="Z993" s="159"/>
    </row>
    <row r="994" ht="15.75" customHeight="1">
      <c r="A994" s="118"/>
      <c r="B994" s="118"/>
      <c r="C994" s="181"/>
      <c r="D994" s="159"/>
      <c r="E994" s="159"/>
      <c r="F994" s="159"/>
      <c r="G994" s="159"/>
      <c r="H994" s="83"/>
      <c r="I994" s="159"/>
      <c r="J994" s="159"/>
      <c r="K994" s="159"/>
      <c r="L994" s="159"/>
      <c r="M994" s="159"/>
      <c r="N994" s="159"/>
      <c r="O994" s="159"/>
      <c r="P994" s="159"/>
      <c r="Q994" s="159"/>
      <c r="R994" s="159"/>
      <c r="S994" s="159"/>
      <c r="T994" s="159"/>
      <c r="U994" s="159"/>
      <c r="V994" s="159"/>
      <c r="W994" s="159"/>
      <c r="X994" s="159"/>
      <c r="Y994" s="159"/>
      <c r="Z994" s="159"/>
    </row>
    <row r="995" ht="15.75" customHeight="1">
      <c r="A995" s="118"/>
      <c r="B995" s="118"/>
      <c r="C995" s="181"/>
      <c r="D995" s="159"/>
      <c r="E995" s="159"/>
      <c r="F995" s="159"/>
      <c r="G995" s="159"/>
      <c r="H995" s="83"/>
      <c r="I995" s="159"/>
      <c r="J995" s="159"/>
      <c r="K995" s="159"/>
      <c r="L995" s="159"/>
      <c r="M995" s="159"/>
      <c r="N995" s="159"/>
      <c r="O995" s="159"/>
      <c r="P995" s="159"/>
      <c r="Q995" s="159"/>
      <c r="R995" s="159"/>
      <c r="S995" s="159"/>
      <c r="T995" s="159"/>
      <c r="U995" s="159"/>
      <c r="V995" s="159"/>
      <c r="W995" s="159"/>
      <c r="X995" s="159"/>
      <c r="Y995" s="159"/>
      <c r="Z995" s="159"/>
    </row>
    <row r="996" ht="15.75" customHeight="1">
      <c r="A996" s="118"/>
      <c r="B996" s="118"/>
      <c r="C996" s="181"/>
      <c r="D996" s="159"/>
      <c r="E996" s="159"/>
      <c r="F996" s="159"/>
      <c r="G996" s="159"/>
      <c r="H996" s="83"/>
      <c r="I996" s="159"/>
      <c r="J996" s="159"/>
      <c r="K996" s="159"/>
      <c r="L996" s="159"/>
      <c r="M996" s="159"/>
      <c r="N996" s="159"/>
      <c r="O996" s="159"/>
      <c r="P996" s="159"/>
      <c r="Q996" s="159"/>
      <c r="R996" s="159"/>
      <c r="S996" s="159"/>
      <c r="T996" s="159"/>
      <c r="U996" s="159"/>
      <c r="V996" s="159"/>
      <c r="W996" s="159"/>
      <c r="X996" s="159"/>
      <c r="Y996" s="159"/>
      <c r="Z996" s="159"/>
    </row>
    <row r="997" ht="15.75" customHeight="1">
      <c r="A997" s="118"/>
      <c r="B997" s="118"/>
      <c r="C997" s="181"/>
      <c r="D997" s="159"/>
      <c r="E997" s="159"/>
      <c r="F997" s="159"/>
      <c r="G997" s="159"/>
      <c r="H997" s="83"/>
      <c r="I997" s="159"/>
      <c r="J997" s="159"/>
      <c r="K997" s="159"/>
      <c r="L997" s="159"/>
      <c r="M997" s="159"/>
      <c r="N997" s="159"/>
      <c r="O997" s="159"/>
      <c r="P997" s="159"/>
      <c r="Q997" s="159"/>
      <c r="R997" s="159"/>
      <c r="S997" s="159"/>
      <c r="T997" s="159"/>
      <c r="U997" s="159"/>
      <c r="V997" s="159"/>
      <c r="W997" s="159"/>
      <c r="X997" s="159"/>
      <c r="Y997" s="159"/>
      <c r="Z997" s="159"/>
    </row>
    <row r="998" ht="15.75" customHeight="1">
      <c r="A998" s="118"/>
      <c r="B998" s="118"/>
      <c r="C998" s="181"/>
      <c r="D998" s="159"/>
      <c r="E998" s="159"/>
      <c r="F998" s="159"/>
      <c r="G998" s="159"/>
      <c r="H998" s="83"/>
      <c r="I998" s="159"/>
      <c r="J998" s="159"/>
      <c r="K998" s="159"/>
      <c r="L998" s="159"/>
      <c r="M998" s="159"/>
      <c r="N998" s="159"/>
      <c r="O998" s="159"/>
      <c r="P998" s="159"/>
      <c r="Q998" s="159"/>
      <c r="R998" s="159"/>
      <c r="S998" s="159"/>
      <c r="T998" s="159"/>
      <c r="U998" s="159"/>
      <c r="V998" s="159"/>
      <c r="W998" s="159"/>
      <c r="X998" s="159"/>
      <c r="Y998" s="159"/>
      <c r="Z998" s="159"/>
    </row>
    <row r="999" ht="15.75" customHeight="1">
      <c r="A999" s="118"/>
      <c r="B999" s="118"/>
      <c r="C999" s="181"/>
      <c r="D999" s="159"/>
      <c r="E999" s="159"/>
      <c r="F999" s="159"/>
      <c r="G999" s="159"/>
      <c r="H999" s="83"/>
      <c r="I999" s="159"/>
      <c r="J999" s="159"/>
      <c r="K999" s="159"/>
      <c r="L999" s="159"/>
      <c r="M999" s="159"/>
      <c r="N999" s="159"/>
      <c r="O999" s="159"/>
      <c r="P999" s="159"/>
      <c r="Q999" s="159"/>
      <c r="R999" s="159"/>
      <c r="S999" s="159"/>
      <c r="T999" s="159"/>
      <c r="U999" s="159"/>
      <c r="V999" s="159"/>
      <c r="W999" s="159"/>
      <c r="X999" s="159"/>
      <c r="Y999" s="159"/>
      <c r="Z999" s="159"/>
    </row>
    <row r="1000" ht="15.75" customHeight="1">
      <c r="A1000" s="118"/>
      <c r="B1000" s="118"/>
      <c r="C1000" s="181"/>
      <c r="D1000" s="159"/>
      <c r="E1000" s="159"/>
      <c r="F1000" s="159"/>
      <c r="G1000" s="159"/>
      <c r="H1000" s="83"/>
      <c r="I1000" s="159"/>
      <c r="J1000" s="159"/>
      <c r="K1000" s="159"/>
      <c r="L1000" s="159"/>
      <c r="M1000" s="159"/>
      <c r="N1000" s="159"/>
      <c r="O1000" s="159"/>
      <c r="P1000" s="159"/>
      <c r="Q1000" s="159"/>
      <c r="R1000" s="159"/>
      <c r="S1000" s="159"/>
      <c r="T1000" s="159"/>
      <c r="U1000" s="159"/>
      <c r="V1000" s="159"/>
      <c r="W1000" s="159"/>
      <c r="X1000" s="159"/>
      <c r="Y1000" s="159"/>
      <c r="Z1000" s="159"/>
    </row>
    <row r="1001" ht="15.75" customHeight="1">
      <c r="A1001" s="118"/>
      <c r="B1001" s="118"/>
      <c r="C1001" s="181"/>
      <c r="D1001" s="159"/>
      <c r="E1001" s="159"/>
      <c r="F1001" s="159"/>
      <c r="G1001" s="159"/>
      <c r="H1001" s="83"/>
      <c r="I1001" s="159"/>
      <c r="J1001" s="159"/>
      <c r="K1001" s="159"/>
      <c r="L1001" s="159"/>
      <c r="M1001" s="159"/>
      <c r="N1001" s="159"/>
      <c r="O1001" s="159"/>
      <c r="P1001" s="159"/>
      <c r="Q1001" s="159"/>
      <c r="R1001" s="159"/>
      <c r="S1001" s="159"/>
      <c r="T1001" s="159"/>
      <c r="U1001" s="159"/>
      <c r="V1001" s="159"/>
      <c r="W1001" s="159"/>
      <c r="X1001" s="159"/>
      <c r="Y1001" s="159"/>
      <c r="Z1001" s="159"/>
    </row>
    <row r="1002" ht="15.75" customHeight="1">
      <c r="A1002" s="118"/>
      <c r="B1002" s="118"/>
      <c r="C1002" s="181"/>
      <c r="D1002" s="159"/>
      <c r="E1002" s="159"/>
      <c r="F1002" s="159"/>
      <c r="G1002" s="159"/>
      <c r="H1002" s="83"/>
      <c r="I1002" s="159"/>
      <c r="J1002" s="159"/>
      <c r="K1002" s="159"/>
      <c r="L1002" s="159"/>
      <c r="M1002" s="159"/>
      <c r="N1002" s="159"/>
      <c r="O1002" s="159"/>
      <c r="P1002" s="159"/>
      <c r="Q1002" s="159"/>
      <c r="R1002" s="159"/>
      <c r="S1002" s="159"/>
      <c r="T1002" s="159"/>
      <c r="U1002" s="159"/>
      <c r="V1002" s="159"/>
      <c r="W1002" s="159"/>
      <c r="X1002" s="159"/>
      <c r="Y1002" s="159"/>
      <c r="Z1002" s="159"/>
    </row>
    <row r="1003" ht="15.75" customHeight="1">
      <c r="A1003" s="118"/>
      <c r="B1003" s="118"/>
      <c r="C1003" s="181"/>
      <c r="D1003" s="159"/>
      <c r="E1003" s="159"/>
      <c r="F1003" s="159"/>
      <c r="G1003" s="159"/>
      <c r="H1003" s="83"/>
      <c r="I1003" s="159"/>
      <c r="J1003" s="159"/>
      <c r="K1003" s="159"/>
      <c r="L1003" s="159"/>
      <c r="M1003" s="159"/>
      <c r="N1003" s="159"/>
      <c r="O1003" s="159"/>
      <c r="P1003" s="159"/>
      <c r="Q1003" s="159"/>
      <c r="R1003" s="159"/>
      <c r="S1003" s="159"/>
      <c r="T1003" s="159"/>
      <c r="U1003" s="159"/>
      <c r="V1003" s="159"/>
      <c r="W1003" s="159"/>
      <c r="X1003" s="159"/>
      <c r="Y1003" s="159"/>
      <c r="Z1003" s="159"/>
    </row>
    <row r="1004" ht="15.75" customHeight="1">
      <c r="A1004" s="118"/>
      <c r="B1004" s="118"/>
      <c r="C1004" s="181"/>
      <c r="D1004" s="159"/>
      <c r="E1004" s="159"/>
      <c r="F1004" s="159"/>
      <c r="G1004" s="159"/>
      <c r="H1004" s="83"/>
      <c r="I1004" s="159"/>
      <c r="J1004" s="159"/>
      <c r="K1004" s="159"/>
      <c r="L1004" s="159"/>
      <c r="M1004" s="159"/>
      <c r="N1004" s="159"/>
      <c r="O1004" s="159"/>
      <c r="P1004" s="159"/>
      <c r="Q1004" s="159"/>
      <c r="R1004" s="159"/>
      <c r="S1004" s="159"/>
      <c r="T1004" s="159"/>
      <c r="U1004" s="159"/>
      <c r="V1004" s="159"/>
      <c r="W1004" s="159"/>
      <c r="X1004" s="159"/>
      <c r="Y1004" s="159"/>
      <c r="Z1004" s="159"/>
    </row>
    <row r="1005" ht="15.75" customHeight="1">
      <c r="A1005" s="118"/>
      <c r="B1005" s="118"/>
      <c r="C1005" s="181"/>
      <c r="D1005" s="159"/>
      <c r="E1005" s="159"/>
      <c r="F1005" s="159"/>
      <c r="G1005" s="159"/>
      <c r="H1005" s="83"/>
      <c r="I1005" s="159"/>
      <c r="J1005" s="159"/>
      <c r="K1005" s="159"/>
      <c r="L1005" s="159"/>
      <c r="M1005" s="159"/>
      <c r="N1005" s="159"/>
      <c r="O1005" s="159"/>
      <c r="P1005" s="159"/>
      <c r="Q1005" s="159"/>
      <c r="R1005" s="159"/>
      <c r="S1005" s="159"/>
      <c r="T1005" s="159"/>
      <c r="U1005" s="159"/>
      <c r="V1005" s="159"/>
      <c r="W1005" s="159"/>
      <c r="X1005" s="159"/>
      <c r="Y1005" s="159"/>
      <c r="Z1005" s="159"/>
    </row>
    <row r="1006" ht="15.75" customHeight="1">
      <c r="A1006" s="118"/>
      <c r="B1006" s="118"/>
      <c r="C1006" s="181"/>
      <c r="D1006" s="159"/>
      <c r="E1006" s="159"/>
      <c r="F1006" s="159"/>
      <c r="G1006" s="159"/>
      <c r="H1006" s="83"/>
      <c r="I1006" s="159"/>
      <c r="J1006" s="159"/>
      <c r="K1006" s="159"/>
      <c r="L1006" s="159"/>
      <c r="M1006" s="159"/>
      <c r="N1006" s="159"/>
      <c r="O1006" s="159"/>
      <c r="P1006" s="159"/>
      <c r="Q1006" s="159"/>
      <c r="R1006" s="159"/>
      <c r="S1006" s="159"/>
      <c r="T1006" s="159"/>
      <c r="U1006" s="159"/>
      <c r="V1006" s="159"/>
      <c r="W1006" s="159"/>
      <c r="X1006" s="159"/>
      <c r="Y1006" s="159"/>
      <c r="Z1006" s="159"/>
    </row>
    <row r="1007" ht="15.75" customHeight="1">
      <c r="A1007" s="118"/>
      <c r="B1007" s="118"/>
      <c r="C1007" s="181"/>
      <c r="D1007" s="159"/>
      <c r="E1007" s="159"/>
      <c r="F1007" s="159"/>
      <c r="G1007" s="159"/>
      <c r="H1007" s="83"/>
      <c r="I1007" s="159"/>
      <c r="J1007" s="159"/>
      <c r="K1007" s="159"/>
      <c r="L1007" s="159"/>
      <c r="M1007" s="159"/>
      <c r="N1007" s="159"/>
      <c r="O1007" s="159"/>
      <c r="P1007" s="159"/>
      <c r="Q1007" s="159"/>
      <c r="R1007" s="159"/>
      <c r="S1007" s="159"/>
      <c r="T1007" s="159"/>
      <c r="U1007" s="159"/>
      <c r="V1007" s="159"/>
      <c r="W1007" s="159"/>
      <c r="X1007" s="159"/>
      <c r="Y1007" s="159"/>
      <c r="Z1007" s="159"/>
    </row>
    <row r="1008" ht="15.75" customHeight="1">
      <c r="A1008" s="118"/>
      <c r="B1008" s="118"/>
      <c r="C1008" s="181"/>
      <c r="D1008" s="159"/>
      <c r="E1008" s="159"/>
      <c r="F1008" s="159"/>
      <c r="G1008" s="159"/>
      <c r="H1008" s="83"/>
      <c r="I1008" s="159"/>
      <c r="J1008" s="159"/>
      <c r="K1008" s="159"/>
      <c r="L1008" s="159"/>
      <c r="M1008" s="159"/>
      <c r="N1008" s="159"/>
      <c r="O1008" s="159"/>
      <c r="P1008" s="159"/>
      <c r="Q1008" s="159"/>
      <c r="R1008" s="159"/>
      <c r="S1008" s="159"/>
      <c r="T1008" s="159"/>
      <c r="U1008" s="159"/>
      <c r="V1008" s="159"/>
      <c r="W1008" s="159"/>
      <c r="X1008" s="159"/>
      <c r="Y1008" s="159"/>
      <c r="Z1008" s="159"/>
    </row>
    <row r="1009" ht="15.75" customHeight="1">
      <c r="A1009" s="118"/>
      <c r="B1009" s="118"/>
      <c r="C1009" s="181"/>
      <c r="D1009" s="159"/>
      <c r="E1009" s="159"/>
      <c r="F1009" s="159"/>
      <c r="G1009" s="159"/>
      <c r="H1009" s="83"/>
      <c r="I1009" s="159"/>
      <c r="J1009" s="159"/>
      <c r="K1009" s="159"/>
      <c r="L1009" s="159"/>
      <c r="M1009" s="159"/>
      <c r="N1009" s="159"/>
      <c r="O1009" s="159"/>
      <c r="P1009" s="159"/>
      <c r="Q1009" s="159"/>
      <c r="R1009" s="159"/>
      <c r="S1009" s="159"/>
      <c r="T1009" s="159"/>
      <c r="U1009" s="159"/>
      <c r="V1009" s="159"/>
      <c r="W1009" s="159"/>
      <c r="X1009" s="159"/>
      <c r="Y1009" s="159"/>
      <c r="Z1009" s="159"/>
    </row>
    <row r="1010" ht="15.75" customHeight="1">
      <c r="A1010" s="118"/>
      <c r="B1010" s="118"/>
      <c r="C1010" s="181"/>
      <c r="D1010" s="159"/>
      <c r="E1010" s="159"/>
      <c r="F1010" s="159"/>
      <c r="G1010" s="159"/>
      <c r="H1010" s="83"/>
      <c r="I1010" s="159"/>
      <c r="J1010" s="159"/>
      <c r="K1010" s="159"/>
      <c r="L1010" s="159"/>
      <c r="M1010" s="159"/>
      <c r="N1010" s="159"/>
      <c r="O1010" s="159"/>
      <c r="P1010" s="159"/>
      <c r="Q1010" s="159"/>
      <c r="R1010" s="159"/>
      <c r="S1010" s="159"/>
      <c r="T1010" s="159"/>
      <c r="U1010" s="159"/>
      <c r="V1010" s="159"/>
      <c r="W1010" s="159"/>
      <c r="X1010" s="159"/>
      <c r="Y1010" s="159"/>
      <c r="Z1010" s="159"/>
    </row>
    <row r="1011" ht="15.75" customHeight="1">
      <c r="A1011" s="118"/>
      <c r="B1011" s="118"/>
      <c r="C1011" s="181"/>
      <c r="D1011" s="159"/>
      <c r="E1011" s="159"/>
      <c r="F1011" s="159"/>
      <c r="G1011" s="159"/>
      <c r="H1011" s="83"/>
      <c r="I1011" s="159"/>
      <c r="J1011" s="159"/>
      <c r="K1011" s="159"/>
      <c r="L1011" s="159"/>
      <c r="M1011" s="159"/>
      <c r="N1011" s="159"/>
      <c r="O1011" s="159"/>
      <c r="P1011" s="159"/>
      <c r="Q1011" s="159"/>
      <c r="R1011" s="159"/>
      <c r="S1011" s="159"/>
      <c r="T1011" s="159"/>
      <c r="U1011" s="159"/>
      <c r="V1011" s="159"/>
      <c r="W1011" s="159"/>
      <c r="X1011" s="159"/>
      <c r="Y1011" s="159"/>
      <c r="Z1011" s="159"/>
    </row>
  </sheetData>
  <autoFilter ref="$A$2:$R$81">
    <sortState ref="A2:R81">
      <sortCondition ref="A2:A81"/>
    </sortState>
  </autoFilter>
  <mergeCells count="3">
    <mergeCell ref="D1:H1"/>
    <mergeCell ref="I1:M1"/>
    <mergeCell ref="N1:R1"/>
  </mergeCells>
  <conditionalFormatting sqref="H1:H1011 M1:M1011 R1:R1011">
    <cfRule type="notContainsBlanks" dxfId="2" priority="1">
      <formula>LEN(TRIM(H1))&gt;0</formula>
    </cfRule>
  </conditionalFormatting>
  <conditionalFormatting sqref="E1:E1011 J1:J1011 O1:O1011">
    <cfRule type="notContainsBlanks" dxfId="3" priority="2">
      <formula>LEN(TRIM(E1))&gt;0</formula>
    </cfRule>
  </conditionalFormatting>
  <conditionalFormatting sqref="D1:R1011">
    <cfRule type="containsBlanks" dxfId="0" priority="3">
      <formula>LEN(TRIM(D1))=0</formula>
    </cfRule>
  </conditionalFormatting>
  <conditionalFormatting sqref="A1:A1011">
    <cfRule type="expression" dxfId="2" priority="4">
      <formula>AND(NOT(ISBLANK(A1)), COUNTIF($A:$A, "=" &amp; A1)&gt;1)</formula>
    </cfRule>
  </conditionalFormatting>
  <conditionalFormatting sqref="F1:F1011 K1:K1011 P1:P1011">
    <cfRule type="notContainsBlanks" dxfId="4" priority="5">
      <formula>LEN(TRIM(F1))&gt;0</formula>
    </cfRule>
  </conditionalFormatting>
  <conditionalFormatting sqref="D2:D1011 I2:I1011 N2:N1011">
    <cfRule type="notContainsBlanks" dxfId="5" priority="6">
      <formula>LEN(TRIM(D2))&gt;0</formula>
    </cfRule>
  </conditionalFormatting>
  <conditionalFormatting sqref="G1:G1011 L1:L1011 Q1:Q1011">
    <cfRule type="notContainsBlanks" dxfId="6" priority="7">
      <formula>LEN(TRIM(G1))&gt;0</formula>
    </cfRule>
  </conditionalFormatting>
  <conditionalFormatting sqref="C3:C1011">
    <cfRule type="expression" dxfId="1" priority="8">
      <formula>COUNTA(D3:R3)/3 &gt; 1</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0.75"/>
    <col customWidth="1" min="2" max="2" width="45.13"/>
    <col customWidth="1" min="3" max="3" width="3.13"/>
    <col customWidth="1" min="4" max="4" width="14.75"/>
    <col customWidth="1" min="5" max="5" width="6.25"/>
    <col customWidth="1" min="6" max="6" width="6.63"/>
    <col customWidth="1" min="7" max="7" width="5.0"/>
    <col customWidth="1" min="8" max="8" width="5.63"/>
    <col customWidth="1" min="9" max="9" width="11.88"/>
    <col customWidth="1" min="10" max="10" width="6.25"/>
    <col customWidth="1" min="11" max="11" width="6.63"/>
    <col customWidth="1" min="12" max="12" width="5.0"/>
    <col customWidth="1" min="13" max="13" width="21.13"/>
    <col customWidth="1" min="14" max="14" width="14.0"/>
    <col customWidth="1" min="15" max="15" width="9.5"/>
    <col customWidth="1" min="16" max="16" width="9.88"/>
    <col customWidth="1" min="17" max="17" width="9.0"/>
    <col customWidth="1" min="18" max="18" width="9.13"/>
    <col customWidth="1" min="19" max="19" width="15.63"/>
  </cols>
  <sheetData>
    <row r="1">
      <c r="A1" s="5" t="s">
        <v>1286</v>
      </c>
      <c r="B1" s="5" t="s">
        <v>1287</v>
      </c>
      <c r="C1" s="184" t="s">
        <v>1288</v>
      </c>
      <c r="D1" s="82" t="s">
        <v>951</v>
      </c>
      <c r="E1" s="80"/>
      <c r="F1" s="80"/>
      <c r="G1" s="80"/>
      <c r="H1" s="81"/>
      <c r="I1" s="79" t="s">
        <v>1289</v>
      </c>
      <c r="J1" s="80"/>
      <c r="K1" s="80"/>
      <c r="L1" s="80"/>
      <c r="M1" s="81"/>
      <c r="N1" s="82" t="s">
        <v>674</v>
      </c>
      <c r="O1" s="80"/>
      <c r="P1" s="80"/>
      <c r="Q1" s="80"/>
      <c r="R1" s="81"/>
    </row>
    <row r="2">
      <c r="A2" s="5"/>
      <c r="B2" s="5"/>
      <c r="C2" s="184"/>
      <c r="D2" s="86" t="s">
        <v>9</v>
      </c>
      <c r="E2" s="11" t="s">
        <v>10</v>
      </c>
      <c r="F2" s="12" t="s">
        <v>11</v>
      </c>
      <c r="G2" s="13" t="s">
        <v>12</v>
      </c>
      <c r="H2" s="87" t="s">
        <v>13</v>
      </c>
      <c r="I2" s="86" t="s">
        <v>9</v>
      </c>
      <c r="J2" s="11" t="s">
        <v>10</v>
      </c>
      <c r="K2" s="12" t="s">
        <v>11</v>
      </c>
      <c r="L2" s="13" t="s">
        <v>12</v>
      </c>
      <c r="M2" s="87" t="s">
        <v>13</v>
      </c>
      <c r="N2" s="86" t="s">
        <v>9</v>
      </c>
      <c r="O2" s="11" t="s">
        <v>10</v>
      </c>
      <c r="P2" s="12" t="s">
        <v>11</v>
      </c>
      <c r="Q2" s="13" t="s">
        <v>12</v>
      </c>
      <c r="R2" s="87" t="s">
        <v>13</v>
      </c>
    </row>
    <row r="3">
      <c r="A3" s="114" t="s">
        <v>1290</v>
      </c>
      <c r="B3" s="114" t="s">
        <v>1291</v>
      </c>
      <c r="C3" s="114">
        <f t="shared" ref="C3:C57" si="1">SUM(
IFERROR(SUM(D3:R3)/(COUNTA(D3:R3)/3),0),
)</f>
        <v>1.5</v>
      </c>
      <c r="D3" s="86">
        <v>2.0</v>
      </c>
      <c r="E3" s="11">
        <v>2.0</v>
      </c>
      <c r="F3" s="12"/>
      <c r="G3" s="147">
        <v>2.0</v>
      </c>
      <c r="H3" s="87">
        <v>2.0</v>
      </c>
      <c r="I3" s="86">
        <v>-4.0</v>
      </c>
      <c r="J3" s="11">
        <v>-4.0</v>
      </c>
      <c r="K3" s="12"/>
      <c r="L3" s="147">
        <v>-4.0</v>
      </c>
      <c r="M3" s="87">
        <v>-4.0</v>
      </c>
      <c r="N3" s="86">
        <v>4.0</v>
      </c>
      <c r="O3" s="11">
        <v>4.0</v>
      </c>
      <c r="P3" s="12"/>
      <c r="Q3" s="147">
        <v>3.0</v>
      </c>
      <c r="R3" s="87">
        <v>3.0</v>
      </c>
    </row>
    <row r="4">
      <c r="A4" s="137" t="s">
        <v>1292</v>
      </c>
      <c r="B4" s="185" t="s">
        <v>1293</v>
      </c>
      <c r="C4" s="114">
        <f t="shared" si="1"/>
        <v>1</v>
      </c>
      <c r="D4" s="171">
        <v>4.0</v>
      </c>
      <c r="E4" s="96">
        <v>4.0</v>
      </c>
      <c r="F4" s="12"/>
      <c r="G4" s="13"/>
      <c r="H4" s="87"/>
      <c r="I4" s="171">
        <v>-5.0</v>
      </c>
      <c r="J4" s="96">
        <v>-6.0</v>
      </c>
      <c r="K4" s="12"/>
      <c r="L4" s="13"/>
      <c r="M4" s="87"/>
      <c r="N4" s="171">
        <v>4.0</v>
      </c>
      <c r="O4" s="96">
        <v>1.0</v>
      </c>
      <c r="P4" s="12"/>
      <c r="Q4" s="13"/>
      <c r="R4" s="87"/>
    </row>
    <row r="5">
      <c r="A5" s="185" t="s">
        <v>1294</v>
      </c>
      <c r="B5" s="185" t="s">
        <v>1295</v>
      </c>
      <c r="C5" s="114">
        <f t="shared" si="1"/>
        <v>1.5</v>
      </c>
      <c r="D5" s="171">
        <v>5.0</v>
      </c>
      <c r="E5" s="96">
        <v>4.0</v>
      </c>
      <c r="F5" s="12"/>
      <c r="G5" s="13"/>
      <c r="H5" s="87"/>
      <c r="I5" s="171">
        <v>-5.0</v>
      </c>
      <c r="J5" s="96">
        <v>-6.0</v>
      </c>
      <c r="K5" s="12"/>
      <c r="L5" s="13"/>
      <c r="M5" s="87"/>
      <c r="N5" s="171">
        <v>3.0</v>
      </c>
      <c r="O5" s="96">
        <v>2.0</v>
      </c>
      <c r="P5" s="12"/>
      <c r="Q5" s="13"/>
      <c r="R5" s="87"/>
    </row>
    <row r="6">
      <c r="A6" s="114" t="s">
        <v>1296</v>
      </c>
      <c r="B6" s="114" t="s">
        <v>1297</v>
      </c>
      <c r="C6" s="114">
        <f t="shared" si="1"/>
        <v>1.2</v>
      </c>
      <c r="D6" s="86">
        <v>4.0</v>
      </c>
      <c r="E6" s="11">
        <v>4.0</v>
      </c>
      <c r="F6" s="131">
        <v>4.0</v>
      </c>
      <c r="G6" s="147">
        <v>4.0</v>
      </c>
      <c r="H6" s="87">
        <v>4.0</v>
      </c>
      <c r="I6" s="86">
        <v>-5.0</v>
      </c>
      <c r="J6" s="11">
        <v>-5.0</v>
      </c>
      <c r="K6" s="131">
        <v>-5.0</v>
      </c>
      <c r="L6" s="147">
        <v>-5.0</v>
      </c>
      <c r="M6" s="87">
        <v>-5.0</v>
      </c>
      <c r="N6" s="86">
        <v>2.0</v>
      </c>
      <c r="O6" s="11">
        <v>2.0</v>
      </c>
      <c r="P6" s="131">
        <v>2.0</v>
      </c>
      <c r="Q6" s="147">
        <v>3.0</v>
      </c>
      <c r="R6" s="87">
        <v>2.0</v>
      </c>
    </row>
    <row r="7">
      <c r="A7" s="114" t="s">
        <v>1298</v>
      </c>
      <c r="B7" s="114" t="s">
        <v>1299</v>
      </c>
      <c r="C7" s="114">
        <f t="shared" si="1"/>
        <v>0.5</v>
      </c>
      <c r="D7" s="86">
        <v>2.0</v>
      </c>
      <c r="E7" s="11">
        <v>2.0</v>
      </c>
      <c r="F7" s="12"/>
      <c r="G7" s="147">
        <v>2.0</v>
      </c>
      <c r="H7" s="87">
        <v>2.0</v>
      </c>
      <c r="I7" s="86">
        <v>-5.0</v>
      </c>
      <c r="J7" s="11">
        <v>-4.0</v>
      </c>
      <c r="K7" s="12"/>
      <c r="L7" s="147">
        <v>-5.0</v>
      </c>
      <c r="M7" s="87">
        <v>-4.0</v>
      </c>
      <c r="N7" s="86">
        <v>3.0</v>
      </c>
      <c r="O7" s="11">
        <v>4.0</v>
      </c>
      <c r="P7" s="12"/>
      <c r="Q7" s="147">
        <v>3.0</v>
      </c>
      <c r="R7" s="87">
        <v>2.0</v>
      </c>
    </row>
    <row r="8">
      <c r="A8" s="114" t="s">
        <v>1300</v>
      </c>
      <c r="B8" s="114" t="s">
        <v>1301</v>
      </c>
      <c r="C8" s="114">
        <f t="shared" si="1"/>
        <v>2.25</v>
      </c>
      <c r="D8" s="86">
        <v>4.0</v>
      </c>
      <c r="E8" s="11">
        <v>3.0</v>
      </c>
      <c r="F8" s="12"/>
      <c r="G8" s="147">
        <v>3.0</v>
      </c>
      <c r="H8" s="87">
        <v>2.0</v>
      </c>
      <c r="I8" s="86">
        <v>-4.0</v>
      </c>
      <c r="J8" s="11">
        <v>-4.0</v>
      </c>
      <c r="K8" s="12"/>
      <c r="L8" s="147">
        <v>-5.0</v>
      </c>
      <c r="M8" s="87">
        <v>-4.0</v>
      </c>
      <c r="N8" s="86">
        <v>3.0</v>
      </c>
      <c r="O8" s="11">
        <v>3.0</v>
      </c>
      <c r="P8" s="12"/>
      <c r="Q8" s="147">
        <v>4.0</v>
      </c>
      <c r="R8" s="87">
        <v>4.0</v>
      </c>
    </row>
    <row r="9">
      <c r="A9" s="114" t="s">
        <v>1302</v>
      </c>
      <c r="B9" s="114" t="s">
        <v>1303</v>
      </c>
      <c r="C9" s="114">
        <f t="shared" si="1"/>
        <v>1.5</v>
      </c>
      <c r="D9" s="86">
        <v>1.0</v>
      </c>
      <c r="E9" s="11">
        <v>4.0</v>
      </c>
      <c r="F9" s="12"/>
      <c r="G9" s="147">
        <v>4.0</v>
      </c>
      <c r="H9" s="87">
        <v>4.0</v>
      </c>
      <c r="I9" s="86">
        <v>-5.0</v>
      </c>
      <c r="J9" s="11">
        <v>-5.0</v>
      </c>
      <c r="K9" s="12"/>
      <c r="L9" s="147">
        <v>-5.0</v>
      </c>
      <c r="M9" s="87">
        <v>-5.0</v>
      </c>
      <c r="N9" s="86">
        <v>3.0</v>
      </c>
      <c r="O9" s="11">
        <v>3.0</v>
      </c>
      <c r="P9" s="12"/>
      <c r="Q9" s="147">
        <v>4.0</v>
      </c>
      <c r="R9" s="87">
        <v>3.0</v>
      </c>
    </row>
    <row r="10">
      <c r="A10" s="114" t="s">
        <v>1304</v>
      </c>
      <c r="B10" s="114" t="s">
        <v>1305</v>
      </c>
      <c r="C10" s="114">
        <f t="shared" si="1"/>
        <v>1.25</v>
      </c>
      <c r="D10" s="86">
        <v>3.0</v>
      </c>
      <c r="E10" s="11">
        <v>4.0</v>
      </c>
      <c r="F10" s="12"/>
      <c r="G10" s="147">
        <v>5.0</v>
      </c>
      <c r="H10" s="87">
        <v>1.0</v>
      </c>
      <c r="I10" s="86">
        <v>-5.0</v>
      </c>
      <c r="J10" s="11">
        <v>-5.0</v>
      </c>
      <c r="K10" s="12"/>
      <c r="L10" s="147">
        <v>-5.0</v>
      </c>
      <c r="M10" s="87">
        <v>-4.0</v>
      </c>
      <c r="N10" s="86">
        <v>2.0</v>
      </c>
      <c r="O10" s="11">
        <v>2.0</v>
      </c>
      <c r="P10" s="12"/>
      <c r="Q10" s="147">
        <v>4.0</v>
      </c>
      <c r="R10" s="87">
        <v>3.0</v>
      </c>
    </row>
    <row r="11">
      <c r="A11" s="114" t="s">
        <v>1306</v>
      </c>
      <c r="B11" s="114" t="s">
        <v>1307</v>
      </c>
      <c r="C11" s="114">
        <f t="shared" si="1"/>
        <v>1.75</v>
      </c>
      <c r="D11" s="86">
        <v>1.0</v>
      </c>
      <c r="E11" s="11">
        <v>4.0</v>
      </c>
      <c r="F11" s="12"/>
      <c r="G11" s="147">
        <v>4.0</v>
      </c>
      <c r="H11" s="87">
        <v>4.0</v>
      </c>
      <c r="I11" s="86">
        <v>-5.0</v>
      </c>
      <c r="J11" s="11">
        <v>-5.0</v>
      </c>
      <c r="K11" s="12"/>
      <c r="L11" s="147">
        <v>-5.0</v>
      </c>
      <c r="M11" s="87">
        <v>-5.0</v>
      </c>
      <c r="N11" s="86">
        <v>4.0</v>
      </c>
      <c r="O11" s="11">
        <v>3.0</v>
      </c>
      <c r="P11" s="12"/>
      <c r="Q11" s="147">
        <v>4.0</v>
      </c>
      <c r="R11" s="87">
        <v>3.0</v>
      </c>
    </row>
    <row r="12">
      <c r="A12" s="185" t="s">
        <v>1308</v>
      </c>
      <c r="B12" s="185" t="s">
        <v>1309</v>
      </c>
      <c r="C12" s="114">
        <f t="shared" si="1"/>
        <v>5</v>
      </c>
      <c r="D12" s="171">
        <v>5.0</v>
      </c>
      <c r="E12" s="96">
        <v>4.0</v>
      </c>
      <c r="F12" s="12"/>
      <c r="G12" s="13"/>
      <c r="H12" s="87"/>
      <c r="I12" s="171">
        <v>-4.0</v>
      </c>
      <c r="J12" s="96">
        <v>-4.0</v>
      </c>
      <c r="K12" s="12"/>
      <c r="L12" s="13"/>
      <c r="M12" s="87"/>
      <c r="N12" s="171">
        <v>5.0</v>
      </c>
      <c r="O12" s="96">
        <v>4.0</v>
      </c>
      <c r="P12" s="12"/>
      <c r="Q12" s="13"/>
      <c r="R12" s="87"/>
    </row>
    <row r="13">
      <c r="A13" s="114" t="s">
        <v>1310</v>
      </c>
      <c r="B13" s="185" t="s">
        <v>1311</v>
      </c>
      <c r="C13" s="114">
        <f t="shared" si="1"/>
        <v>4</v>
      </c>
      <c r="D13" s="171">
        <v>5.0</v>
      </c>
      <c r="E13" s="96">
        <v>4.0</v>
      </c>
      <c r="F13" s="12"/>
      <c r="G13" s="13"/>
      <c r="H13" s="87"/>
      <c r="I13" s="171">
        <v>-5.0</v>
      </c>
      <c r="J13" s="96">
        <v>-4.0</v>
      </c>
      <c r="K13" s="12"/>
      <c r="L13" s="13"/>
      <c r="M13" s="87"/>
      <c r="N13" s="171">
        <v>5.0</v>
      </c>
      <c r="O13" s="96">
        <v>3.0</v>
      </c>
      <c r="P13" s="12"/>
      <c r="Q13" s="13"/>
      <c r="R13" s="87"/>
    </row>
    <row r="14">
      <c r="A14" s="185" t="s">
        <v>1312</v>
      </c>
      <c r="B14" s="185" t="s">
        <v>1313</v>
      </c>
      <c r="C14" s="114">
        <f t="shared" si="1"/>
        <v>3.5</v>
      </c>
      <c r="D14" s="171">
        <v>5.0</v>
      </c>
      <c r="E14" s="96">
        <v>4.0</v>
      </c>
      <c r="F14" s="12"/>
      <c r="G14" s="13"/>
      <c r="H14" s="87"/>
      <c r="I14" s="171">
        <v>-6.0</v>
      </c>
      <c r="J14" s="96">
        <v>-5.0</v>
      </c>
      <c r="K14" s="12"/>
      <c r="L14" s="13"/>
      <c r="M14" s="87"/>
      <c r="N14" s="171">
        <v>5.0</v>
      </c>
      <c r="O14" s="96">
        <v>4.0</v>
      </c>
      <c r="P14" s="12"/>
      <c r="Q14" s="13"/>
      <c r="R14" s="87"/>
    </row>
    <row r="15">
      <c r="A15" s="114" t="s">
        <v>1314</v>
      </c>
      <c r="B15" s="114" t="s">
        <v>1315</v>
      </c>
      <c r="C15" s="114">
        <f t="shared" si="1"/>
        <v>2.5</v>
      </c>
      <c r="D15" s="86">
        <v>5.0</v>
      </c>
      <c r="E15" s="11">
        <v>4.0</v>
      </c>
      <c r="F15" s="12"/>
      <c r="G15" s="147">
        <v>5.0</v>
      </c>
      <c r="H15" s="87">
        <v>4.0</v>
      </c>
      <c r="I15" s="86">
        <v>-5.0</v>
      </c>
      <c r="J15" s="11">
        <v>-5.0</v>
      </c>
      <c r="K15" s="12"/>
      <c r="L15" s="147">
        <v>-5.0</v>
      </c>
      <c r="M15" s="87">
        <v>-5.0</v>
      </c>
      <c r="N15" s="86">
        <v>2.0</v>
      </c>
      <c r="O15" s="11">
        <v>3.0</v>
      </c>
      <c r="P15" s="12"/>
      <c r="Q15" s="147">
        <v>4.0</v>
      </c>
      <c r="R15" s="87">
        <v>3.0</v>
      </c>
    </row>
    <row r="16">
      <c r="A16" s="114" t="s">
        <v>1316</v>
      </c>
      <c r="B16" s="114" t="s">
        <v>1317</v>
      </c>
      <c r="C16" s="114">
        <f t="shared" si="1"/>
        <v>1.75</v>
      </c>
      <c r="D16" s="86">
        <v>4.0</v>
      </c>
      <c r="E16" s="11">
        <v>4.0</v>
      </c>
      <c r="F16" s="12"/>
      <c r="G16" s="147">
        <v>4.0</v>
      </c>
      <c r="H16" s="87">
        <v>4.0</v>
      </c>
      <c r="I16" s="86">
        <v>-5.0</v>
      </c>
      <c r="J16" s="11">
        <v>-5.0</v>
      </c>
      <c r="K16" s="12"/>
      <c r="L16" s="147">
        <v>-5.0</v>
      </c>
      <c r="M16" s="87">
        <v>-5.0</v>
      </c>
      <c r="N16" s="86">
        <v>3.0</v>
      </c>
      <c r="O16" s="11">
        <v>3.0</v>
      </c>
      <c r="P16" s="12"/>
      <c r="Q16" s="147">
        <v>3.0</v>
      </c>
      <c r="R16" s="87">
        <v>2.0</v>
      </c>
    </row>
    <row r="17">
      <c r="A17" s="114" t="s">
        <v>1318</v>
      </c>
      <c r="B17" s="114" t="s">
        <v>1319</v>
      </c>
      <c r="C17" s="114">
        <f t="shared" si="1"/>
        <v>3.75</v>
      </c>
      <c r="D17" s="86">
        <v>5.0</v>
      </c>
      <c r="E17" s="11">
        <v>4.0</v>
      </c>
      <c r="F17" s="12"/>
      <c r="G17" s="147">
        <v>4.0</v>
      </c>
      <c r="H17" s="87">
        <v>4.0</v>
      </c>
      <c r="I17" s="86">
        <v>-5.0</v>
      </c>
      <c r="J17" s="11">
        <v>-5.0</v>
      </c>
      <c r="K17" s="12"/>
      <c r="L17" s="147">
        <v>-4.0</v>
      </c>
      <c r="M17" s="87">
        <v>-4.0</v>
      </c>
      <c r="N17" s="86">
        <v>5.0</v>
      </c>
      <c r="O17" s="11">
        <v>3.0</v>
      </c>
      <c r="P17" s="12"/>
      <c r="Q17" s="147">
        <v>5.0</v>
      </c>
      <c r="R17" s="87">
        <v>3.0</v>
      </c>
    </row>
    <row r="18">
      <c r="A18" s="114" t="s">
        <v>1320</v>
      </c>
      <c r="B18" s="185" t="s">
        <v>1321</v>
      </c>
      <c r="C18" s="114">
        <f t="shared" si="1"/>
        <v>2</v>
      </c>
      <c r="D18" s="171">
        <v>4.0</v>
      </c>
      <c r="E18" s="96">
        <v>4.0</v>
      </c>
      <c r="F18" s="12"/>
      <c r="G18" s="13"/>
      <c r="H18" s="87"/>
      <c r="I18" s="171">
        <v>-5.0</v>
      </c>
      <c r="J18" s="96">
        <v>-6.0</v>
      </c>
      <c r="K18" s="12"/>
      <c r="L18" s="13"/>
      <c r="M18" s="87"/>
      <c r="N18" s="171">
        <v>4.0</v>
      </c>
      <c r="O18" s="96">
        <v>3.0</v>
      </c>
      <c r="P18" s="12"/>
      <c r="Q18" s="13"/>
      <c r="R18" s="87"/>
    </row>
    <row r="19">
      <c r="A19" s="185" t="s">
        <v>1322</v>
      </c>
      <c r="B19" s="185" t="s">
        <v>1323</v>
      </c>
      <c r="C19" s="114">
        <f t="shared" si="1"/>
        <v>1</v>
      </c>
      <c r="D19" s="171">
        <v>4.0</v>
      </c>
      <c r="E19" s="96">
        <v>4.0</v>
      </c>
      <c r="F19" s="12"/>
      <c r="G19" s="13"/>
      <c r="H19" s="87"/>
      <c r="I19" s="171">
        <v>-6.0</v>
      </c>
      <c r="J19" s="96">
        <v>-6.0</v>
      </c>
      <c r="K19" s="12"/>
      <c r="L19" s="13"/>
      <c r="M19" s="87"/>
      <c r="N19" s="171">
        <v>3.0</v>
      </c>
      <c r="O19" s="96">
        <v>3.0</v>
      </c>
      <c r="P19" s="12"/>
      <c r="Q19" s="13"/>
      <c r="R19" s="87"/>
    </row>
    <row r="20">
      <c r="A20" s="114" t="s">
        <v>1324</v>
      </c>
      <c r="B20" s="114" t="s">
        <v>1305</v>
      </c>
      <c r="C20" s="114">
        <f t="shared" si="1"/>
        <v>2.5</v>
      </c>
      <c r="D20" s="86">
        <v>4.0</v>
      </c>
      <c r="E20" s="11">
        <v>4.0</v>
      </c>
      <c r="F20" s="12"/>
      <c r="G20" s="147">
        <v>5.0</v>
      </c>
      <c r="H20" s="87">
        <v>4.0</v>
      </c>
      <c r="I20" s="86">
        <v>-5.0</v>
      </c>
      <c r="J20" s="11">
        <v>-5.0</v>
      </c>
      <c r="K20" s="12"/>
      <c r="L20" s="147">
        <v>-5.0</v>
      </c>
      <c r="M20" s="87">
        <v>-5.0</v>
      </c>
      <c r="N20" s="86">
        <v>3.0</v>
      </c>
      <c r="O20" s="11">
        <v>3.0</v>
      </c>
      <c r="P20" s="12"/>
      <c r="Q20" s="147">
        <v>4.0</v>
      </c>
      <c r="R20" s="87">
        <v>3.0</v>
      </c>
    </row>
    <row r="21" ht="15.75" customHeight="1">
      <c r="A21" s="185" t="s">
        <v>1325</v>
      </c>
      <c r="B21" s="185" t="s">
        <v>1326</v>
      </c>
      <c r="C21" s="114">
        <f t="shared" si="1"/>
        <v>0.5</v>
      </c>
      <c r="D21" s="171">
        <v>4.0</v>
      </c>
      <c r="E21" s="96">
        <v>4.0</v>
      </c>
      <c r="F21" s="12"/>
      <c r="G21" s="13"/>
      <c r="H21" s="87"/>
      <c r="I21" s="171">
        <v>-6.0</v>
      </c>
      <c r="J21" s="96">
        <v>-6.0</v>
      </c>
      <c r="K21" s="12"/>
      <c r="L21" s="13"/>
      <c r="M21" s="87"/>
      <c r="N21" s="171">
        <v>3.0</v>
      </c>
      <c r="O21" s="96">
        <v>2.0</v>
      </c>
      <c r="P21" s="12"/>
      <c r="Q21" s="13"/>
      <c r="R21" s="87"/>
    </row>
    <row r="22" ht="15.75" customHeight="1">
      <c r="A22" s="114" t="s">
        <v>1327</v>
      </c>
      <c r="B22" s="114" t="s">
        <v>1328</v>
      </c>
      <c r="C22" s="114">
        <f t="shared" si="1"/>
        <v>1.75</v>
      </c>
      <c r="D22" s="86">
        <v>1.0</v>
      </c>
      <c r="E22" s="11">
        <v>4.0</v>
      </c>
      <c r="F22" s="12"/>
      <c r="G22" s="147">
        <v>4.0</v>
      </c>
      <c r="H22" s="87">
        <f>4-1</f>
        <v>3</v>
      </c>
      <c r="I22" s="86">
        <v>-5.0</v>
      </c>
      <c r="J22" s="11">
        <v>-5.0</v>
      </c>
      <c r="K22" s="12"/>
      <c r="L22" s="147">
        <v>-5.0</v>
      </c>
      <c r="M22" s="87">
        <v>-5.0</v>
      </c>
      <c r="N22" s="86">
        <v>4.0</v>
      </c>
      <c r="O22" s="11">
        <v>4.0</v>
      </c>
      <c r="P22" s="12"/>
      <c r="Q22" s="147">
        <v>4.0</v>
      </c>
      <c r="R22" s="87">
        <v>3.0</v>
      </c>
    </row>
    <row r="23" ht="15.75" customHeight="1">
      <c r="A23" s="114" t="s">
        <v>1329</v>
      </c>
      <c r="B23" s="114" t="s">
        <v>1330</v>
      </c>
      <c r="C23" s="114">
        <f t="shared" si="1"/>
        <v>0.25</v>
      </c>
      <c r="D23" s="86">
        <v>4.0</v>
      </c>
      <c r="E23" s="11">
        <v>4.0</v>
      </c>
      <c r="F23" s="12"/>
      <c r="G23" s="147">
        <v>4.0</v>
      </c>
      <c r="H23" s="87">
        <v>2.0</v>
      </c>
      <c r="I23" s="86">
        <v>-5.0</v>
      </c>
      <c r="J23" s="11">
        <v>-4.0</v>
      </c>
      <c r="K23" s="12"/>
      <c r="L23" s="147">
        <v>-4.0</v>
      </c>
      <c r="M23" s="87">
        <v>-4.0</v>
      </c>
      <c r="N23" s="86">
        <v>1.0</v>
      </c>
      <c r="O23" s="11">
        <v>1.0</v>
      </c>
      <c r="P23" s="12"/>
      <c r="Q23" s="147">
        <v>1.0</v>
      </c>
      <c r="R23" s="87">
        <v>1.0</v>
      </c>
    </row>
    <row r="24" ht="15.75" customHeight="1">
      <c r="A24" s="114" t="s">
        <v>1331</v>
      </c>
      <c r="B24" s="114" t="s">
        <v>1332</v>
      </c>
      <c r="C24" s="114">
        <f t="shared" si="1"/>
        <v>5.5</v>
      </c>
      <c r="D24" s="86">
        <v>5.0</v>
      </c>
      <c r="E24" s="11">
        <v>4.0</v>
      </c>
      <c r="F24" s="12"/>
      <c r="G24" s="147">
        <v>5.0</v>
      </c>
      <c r="H24" s="87">
        <v>4.0</v>
      </c>
      <c r="I24" s="86">
        <v>-4.0</v>
      </c>
      <c r="J24" s="11">
        <v>-4.0</v>
      </c>
      <c r="K24" s="12"/>
      <c r="L24" s="147">
        <v>-4.0</v>
      </c>
      <c r="M24" s="87">
        <v>-4.0</v>
      </c>
      <c r="N24" s="86">
        <v>5.0</v>
      </c>
      <c r="O24" s="11">
        <v>5.0</v>
      </c>
      <c r="P24" s="12"/>
      <c r="Q24" s="147">
        <v>5.0</v>
      </c>
      <c r="R24" s="87">
        <v>5.0</v>
      </c>
    </row>
    <row r="25" ht="15.75" customHeight="1">
      <c r="A25" s="114" t="s">
        <v>1021</v>
      </c>
      <c r="B25" s="114" t="s">
        <v>1333</v>
      </c>
      <c r="C25" s="114">
        <f t="shared" si="1"/>
        <v>4.5</v>
      </c>
      <c r="D25" s="86">
        <v>4.0</v>
      </c>
      <c r="E25" s="11">
        <v>4.0</v>
      </c>
      <c r="F25" s="12"/>
      <c r="G25" s="147">
        <v>4.0</v>
      </c>
      <c r="H25" s="87">
        <v>4.0</v>
      </c>
      <c r="I25" s="86">
        <v>-4.0</v>
      </c>
      <c r="J25" s="11">
        <v>-4.0</v>
      </c>
      <c r="K25" s="12"/>
      <c r="L25" s="147">
        <v>-4.0</v>
      </c>
      <c r="M25" s="87">
        <v>-4.0</v>
      </c>
      <c r="N25" s="86">
        <v>5.0</v>
      </c>
      <c r="O25" s="11">
        <v>5.0</v>
      </c>
      <c r="P25" s="12"/>
      <c r="Q25" s="147">
        <v>4.0</v>
      </c>
      <c r="R25" s="87">
        <v>4.0</v>
      </c>
    </row>
    <row r="26" ht="15.75" customHeight="1">
      <c r="A26" s="114" t="s">
        <v>1334</v>
      </c>
      <c r="B26" s="114" t="s">
        <v>1335</v>
      </c>
      <c r="C26" s="114">
        <f t="shared" si="1"/>
        <v>4</v>
      </c>
      <c r="D26" s="86">
        <v>4.0</v>
      </c>
      <c r="E26" s="11">
        <v>4.0</v>
      </c>
      <c r="F26" s="12"/>
      <c r="G26" s="147">
        <v>4.0</v>
      </c>
      <c r="H26" s="87">
        <v>4.0</v>
      </c>
      <c r="I26" s="86">
        <v>-5.0</v>
      </c>
      <c r="J26" s="11">
        <v>-5.0</v>
      </c>
      <c r="K26" s="12"/>
      <c r="L26" s="147">
        <v>-5.0</v>
      </c>
      <c r="M26" s="87">
        <v>-5.0</v>
      </c>
      <c r="N26" s="86">
        <v>5.0</v>
      </c>
      <c r="O26" s="11">
        <v>5.0</v>
      </c>
      <c r="P26" s="12"/>
      <c r="Q26" s="147">
        <v>5.0</v>
      </c>
      <c r="R26" s="87">
        <v>5.0</v>
      </c>
    </row>
    <row r="27" ht="15.75" customHeight="1">
      <c r="A27" s="114" t="s">
        <v>1336</v>
      </c>
      <c r="B27" s="114" t="s">
        <v>1337</v>
      </c>
      <c r="C27" s="114">
        <f t="shared" si="1"/>
        <v>1.25</v>
      </c>
      <c r="D27" s="86">
        <v>3.0</v>
      </c>
      <c r="E27" s="11">
        <v>3.0</v>
      </c>
      <c r="F27" s="12"/>
      <c r="G27" s="147">
        <v>3.0</v>
      </c>
      <c r="H27" s="87">
        <v>3.0</v>
      </c>
      <c r="I27" s="86">
        <v>-5.0</v>
      </c>
      <c r="J27" s="11">
        <v>-4.0</v>
      </c>
      <c r="K27" s="12"/>
      <c r="L27" s="147">
        <v>-4.0</v>
      </c>
      <c r="M27" s="87">
        <v>-4.0</v>
      </c>
      <c r="N27" s="86">
        <v>3.0</v>
      </c>
      <c r="O27" s="11">
        <v>2.0</v>
      </c>
      <c r="P27" s="12"/>
      <c r="Q27" s="147">
        <v>3.0</v>
      </c>
      <c r="R27" s="87">
        <v>2.0</v>
      </c>
    </row>
    <row r="28" ht="15.75" customHeight="1">
      <c r="A28" s="114" t="s">
        <v>1338</v>
      </c>
      <c r="B28" s="114" t="s">
        <v>1339</v>
      </c>
      <c r="C28" s="114">
        <f t="shared" si="1"/>
        <v>2</v>
      </c>
      <c r="D28" s="86">
        <v>4.0</v>
      </c>
      <c r="E28" s="11">
        <v>4.0</v>
      </c>
      <c r="F28" s="12"/>
      <c r="G28" s="147">
        <v>4.0</v>
      </c>
      <c r="H28" s="87">
        <v>4.0</v>
      </c>
      <c r="I28" s="86">
        <v>-5.0</v>
      </c>
      <c r="J28" s="11">
        <v>-5.0</v>
      </c>
      <c r="K28" s="12"/>
      <c r="L28" s="147">
        <v>-5.0</v>
      </c>
      <c r="M28" s="87">
        <v>-5.0</v>
      </c>
      <c r="N28" s="86">
        <v>3.0</v>
      </c>
      <c r="O28" s="11">
        <v>3.0</v>
      </c>
      <c r="P28" s="12"/>
      <c r="Q28" s="147">
        <v>4.0</v>
      </c>
      <c r="R28" s="87">
        <v>2.0</v>
      </c>
    </row>
    <row r="29" ht="15.75" customHeight="1">
      <c r="A29" s="114" t="s">
        <v>1340</v>
      </c>
      <c r="B29" s="114" t="s">
        <v>1341</v>
      </c>
      <c r="C29" s="114">
        <f t="shared" si="1"/>
        <v>1.25</v>
      </c>
      <c r="D29" s="86">
        <v>2.0</v>
      </c>
      <c r="E29" s="11">
        <v>3.0</v>
      </c>
      <c r="F29" s="12"/>
      <c r="G29" s="147">
        <v>2.0</v>
      </c>
      <c r="H29" s="87">
        <v>2.0</v>
      </c>
      <c r="I29" s="86">
        <v>-5.0</v>
      </c>
      <c r="J29" s="11">
        <v>-4.0</v>
      </c>
      <c r="K29" s="12"/>
      <c r="L29" s="147">
        <v>-4.0</v>
      </c>
      <c r="M29" s="87">
        <v>-4.0</v>
      </c>
      <c r="N29" s="86">
        <v>4.0</v>
      </c>
      <c r="O29" s="11">
        <v>4.0</v>
      </c>
      <c r="P29" s="12"/>
      <c r="Q29" s="147">
        <v>3.0</v>
      </c>
      <c r="R29" s="87">
        <v>2.0</v>
      </c>
    </row>
    <row r="30" ht="15.75" customHeight="1">
      <c r="A30" s="114" t="s">
        <v>1342</v>
      </c>
      <c r="B30" s="114" t="s">
        <v>1315</v>
      </c>
      <c r="C30" s="114">
        <f t="shared" si="1"/>
        <v>2</v>
      </c>
      <c r="D30" s="86">
        <v>5.0</v>
      </c>
      <c r="E30" s="11">
        <v>4.0</v>
      </c>
      <c r="F30" s="12"/>
      <c r="G30" s="147">
        <v>4.0</v>
      </c>
      <c r="H30" s="87">
        <v>4.0</v>
      </c>
      <c r="I30" s="86">
        <v>-5.0</v>
      </c>
      <c r="J30" s="11">
        <v>-5.0</v>
      </c>
      <c r="K30" s="12"/>
      <c r="L30" s="147">
        <v>-5.0</v>
      </c>
      <c r="M30" s="87">
        <v>-5.0</v>
      </c>
      <c r="N30" s="86">
        <v>3.0</v>
      </c>
      <c r="O30" s="11">
        <v>3.0</v>
      </c>
      <c r="P30" s="12"/>
      <c r="Q30" s="147">
        <v>3.0</v>
      </c>
      <c r="R30" s="87">
        <v>2.0</v>
      </c>
    </row>
    <row r="31" ht="15.75" customHeight="1">
      <c r="A31" s="185" t="s">
        <v>1343</v>
      </c>
      <c r="B31" s="185" t="s">
        <v>1344</v>
      </c>
      <c r="C31" s="114">
        <f t="shared" si="1"/>
        <v>4</v>
      </c>
      <c r="D31" s="171">
        <v>5.0</v>
      </c>
      <c r="E31" s="96">
        <v>4.0</v>
      </c>
      <c r="F31" s="12"/>
      <c r="G31" s="13"/>
      <c r="H31" s="87"/>
      <c r="I31" s="171">
        <v>-5.0</v>
      </c>
      <c r="J31" s="96">
        <v>-5.0</v>
      </c>
      <c r="K31" s="12"/>
      <c r="L31" s="13"/>
      <c r="M31" s="87"/>
      <c r="N31" s="171">
        <v>5.0</v>
      </c>
      <c r="O31" s="96">
        <v>4.0</v>
      </c>
      <c r="P31" s="12"/>
      <c r="Q31" s="13"/>
      <c r="R31" s="87"/>
    </row>
    <row r="32" ht="15.75" customHeight="1">
      <c r="A32" s="185" t="s">
        <v>1345</v>
      </c>
      <c r="B32" s="185" t="s">
        <v>1346</v>
      </c>
      <c r="C32" s="114">
        <f t="shared" si="1"/>
        <v>2</v>
      </c>
      <c r="D32" s="171">
        <v>1.0</v>
      </c>
      <c r="E32" s="96">
        <v>4.0</v>
      </c>
      <c r="F32" s="12"/>
      <c r="G32" s="13"/>
      <c r="H32" s="87"/>
      <c r="I32" s="171">
        <v>-4.0</v>
      </c>
      <c r="J32" s="96">
        <v>-5.0</v>
      </c>
      <c r="K32" s="12"/>
      <c r="L32" s="13"/>
      <c r="M32" s="87"/>
      <c r="N32" s="171">
        <v>3.0</v>
      </c>
      <c r="O32" s="96">
        <v>5.0</v>
      </c>
      <c r="P32" s="12"/>
      <c r="Q32" s="13"/>
      <c r="R32" s="87"/>
    </row>
    <row r="33" ht="15.75" customHeight="1">
      <c r="A33" s="114" t="s">
        <v>1347</v>
      </c>
      <c r="B33" s="114" t="s">
        <v>1348</v>
      </c>
      <c r="C33" s="114">
        <f t="shared" si="1"/>
        <v>5</v>
      </c>
      <c r="D33" s="174">
        <v>5.0</v>
      </c>
      <c r="E33" s="11">
        <v>4.0</v>
      </c>
      <c r="F33" s="186"/>
      <c r="G33" s="187">
        <v>4.0</v>
      </c>
      <c r="H33" s="179">
        <v>4.0</v>
      </c>
      <c r="I33" s="174">
        <v>-4.0</v>
      </c>
      <c r="J33" s="11">
        <v>-4.0</v>
      </c>
      <c r="K33" s="186"/>
      <c r="L33" s="187">
        <v>-4.0</v>
      </c>
      <c r="M33" s="179">
        <v>-5.0</v>
      </c>
      <c r="N33" s="174">
        <v>5.0</v>
      </c>
      <c r="O33" s="11">
        <v>5.0</v>
      </c>
      <c r="P33" s="186"/>
      <c r="Q33" s="187">
        <v>5.0</v>
      </c>
      <c r="R33" s="179">
        <v>5.0</v>
      </c>
    </row>
    <row r="34" ht="15.75" customHeight="1">
      <c r="A34" s="114" t="s">
        <v>1349</v>
      </c>
      <c r="B34" s="114" t="s">
        <v>1350</v>
      </c>
      <c r="C34" s="114">
        <f t="shared" si="1"/>
        <v>-1</v>
      </c>
      <c r="D34" s="86">
        <v>2.0</v>
      </c>
      <c r="E34" s="11">
        <v>1.0</v>
      </c>
      <c r="F34" s="12"/>
      <c r="G34" s="147">
        <v>2.0</v>
      </c>
      <c r="H34" s="87">
        <v>1.0</v>
      </c>
      <c r="I34" s="86">
        <v>-5.0</v>
      </c>
      <c r="J34" s="11">
        <v>-4.0</v>
      </c>
      <c r="K34" s="12"/>
      <c r="L34" s="147">
        <v>-4.0</v>
      </c>
      <c r="M34" s="87">
        <v>-4.0</v>
      </c>
      <c r="N34" s="86">
        <v>2.0</v>
      </c>
      <c r="O34" s="11">
        <v>1.0</v>
      </c>
      <c r="P34" s="12"/>
      <c r="Q34" s="147">
        <v>3.0</v>
      </c>
      <c r="R34" s="87">
        <v>1.0</v>
      </c>
    </row>
    <row r="35" ht="15.75" customHeight="1">
      <c r="A35" s="114" t="s">
        <v>1351</v>
      </c>
      <c r="B35" s="114" t="s">
        <v>1352</v>
      </c>
      <c r="C35" s="114">
        <f t="shared" si="1"/>
        <v>-1.363636364</v>
      </c>
      <c r="D35" s="86">
        <v>2.0</v>
      </c>
      <c r="E35" s="11">
        <v>1.0</v>
      </c>
      <c r="F35" s="12"/>
      <c r="G35" s="147">
        <v>2.0</v>
      </c>
      <c r="H35" s="87">
        <v>1.0</v>
      </c>
      <c r="I35" s="86">
        <v>-5.0</v>
      </c>
      <c r="J35" s="11">
        <v>-4.0</v>
      </c>
      <c r="K35" s="12"/>
      <c r="L35" s="147">
        <v>-4.0</v>
      </c>
      <c r="M35" s="87">
        <v>-5.0</v>
      </c>
      <c r="N35" s="86">
        <v>4.0</v>
      </c>
      <c r="O35" s="11"/>
      <c r="P35" s="12"/>
      <c r="Q35" s="147">
        <v>2.0</v>
      </c>
      <c r="R35" s="87">
        <v>1.0</v>
      </c>
    </row>
    <row r="36" ht="15.75" customHeight="1">
      <c r="A36" s="185" t="s">
        <v>1353</v>
      </c>
      <c r="B36" s="185" t="s">
        <v>1354</v>
      </c>
      <c r="C36" s="114">
        <f t="shared" si="1"/>
        <v>1.5</v>
      </c>
      <c r="D36" s="171">
        <v>4.0</v>
      </c>
      <c r="E36" s="96">
        <v>4.0</v>
      </c>
      <c r="F36" s="12"/>
      <c r="G36" s="13"/>
      <c r="H36" s="87"/>
      <c r="I36" s="171">
        <v>-4.0</v>
      </c>
      <c r="J36" s="96">
        <v>-6.0</v>
      </c>
      <c r="K36" s="12"/>
      <c r="L36" s="13"/>
      <c r="M36" s="87"/>
      <c r="N36" s="171">
        <v>3.0</v>
      </c>
      <c r="O36" s="96">
        <v>2.0</v>
      </c>
      <c r="P36" s="12"/>
      <c r="Q36" s="13"/>
      <c r="R36" s="87"/>
    </row>
    <row r="37" ht="15.75" customHeight="1">
      <c r="A37" s="185" t="s">
        <v>1355</v>
      </c>
      <c r="B37" s="185" t="s">
        <v>1356</v>
      </c>
      <c r="C37" s="114">
        <f t="shared" si="1"/>
        <v>1</v>
      </c>
      <c r="D37" s="171">
        <v>4.0</v>
      </c>
      <c r="E37" s="96">
        <v>4.0</v>
      </c>
      <c r="F37" s="12"/>
      <c r="G37" s="13"/>
      <c r="H37" s="87"/>
      <c r="I37" s="171">
        <v>-5.0</v>
      </c>
      <c r="J37" s="96">
        <v>-6.0</v>
      </c>
      <c r="K37" s="12"/>
      <c r="L37" s="13"/>
      <c r="M37" s="87"/>
      <c r="N37" s="171">
        <v>3.0</v>
      </c>
      <c r="O37" s="96">
        <v>2.0</v>
      </c>
      <c r="P37" s="12"/>
      <c r="Q37" s="13"/>
      <c r="R37" s="87"/>
    </row>
    <row r="38" ht="15.75" customHeight="1">
      <c r="A38" s="137" t="s">
        <v>1357</v>
      </c>
      <c r="B38" s="185" t="s">
        <v>1358</v>
      </c>
      <c r="C38" s="114">
        <f t="shared" si="1"/>
        <v>2.5</v>
      </c>
      <c r="D38" s="171">
        <v>4.0</v>
      </c>
      <c r="E38" s="96">
        <v>4.0</v>
      </c>
      <c r="F38" s="12"/>
      <c r="G38" s="13"/>
      <c r="H38" s="87"/>
      <c r="I38" s="171">
        <v>-4.0</v>
      </c>
      <c r="J38" s="96">
        <v>-4.0</v>
      </c>
      <c r="K38" s="12"/>
      <c r="L38" s="13"/>
      <c r="M38" s="87"/>
      <c r="N38" s="171">
        <v>3.0</v>
      </c>
      <c r="O38" s="96">
        <v>2.0</v>
      </c>
      <c r="P38" s="12"/>
      <c r="Q38" s="13"/>
      <c r="R38" s="87"/>
    </row>
    <row r="39" ht="15.75" customHeight="1">
      <c r="A39" s="185" t="s">
        <v>1359</v>
      </c>
      <c r="B39" s="185" t="s">
        <v>1360</v>
      </c>
      <c r="C39" s="114">
        <f t="shared" si="1"/>
        <v>-1.5</v>
      </c>
      <c r="D39" s="171">
        <v>1.0</v>
      </c>
      <c r="E39" s="96">
        <v>2.0</v>
      </c>
      <c r="F39" s="12"/>
      <c r="G39" s="13"/>
      <c r="H39" s="87"/>
      <c r="I39" s="171">
        <v>-4.0</v>
      </c>
      <c r="J39" s="96">
        <v>-5.0</v>
      </c>
      <c r="K39" s="12"/>
      <c r="L39" s="13"/>
      <c r="M39" s="87"/>
      <c r="N39" s="171">
        <v>1.0</v>
      </c>
      <c r="O39" s="96">
        <v>2.0</v>
      </c>
      <c r="P39" s="12"/>
      <c r="Q39" s="13"/>
      <c r="R39" s="87"/>
    </row>
    <row r="40" ht="15.75" customHeight="1">
      <c r="A40" s="114" t="s">
        <v>1361</v>
      </c>
      <c r="B40" s="114" t="s">
        <v>1362</v>
      </c>
      <c r="C40" s="114">
        <f t="shared" si="1"/>
        <v>2.5</v>
      </c>
      <c r="D40" s="86">
        <v>4.0</v>
      </c>
      <c r="E40" s="11">
        <v>4.0</v>
      </c>
      <c r="F40" s="12"/>
      <c r="G40" s="147">
        <v>4.0</v>
      </c>
      <c r="H40" s="87">
        <v>4.0</v>
      </c>
      <c r="I40" s="86">
        <v>-5.0</v>
      </c>
      <c r="J40" s="11">
        <v>-5.0</v>
      </c>
      <c r="K40" s="12"/>
      <c r="L40" s="147">
        <v>-5.0</v>
      </c>
      <c r="M40" s="87">
        <v>-5.0</v>
      </c>
      <c r="N40" s="86">
        <v>4.0</v>
      </c>
      <c r="O40" s="11">
        <v>3.0</v>
      </c>
      <c r="P40" s="12"/>
      <c r="Q40" s="147">
        <v>3.0</v>
      </c>
      <c r="R40" s="87">
        <v>4.0</v>
      </c>
    </row>
    <row r="41" ht="15.75" customHeight="1">
      <c r="A41" s="114" t="s">
        <v>1363</v>
      </c>
      <c r="B41" s="114" t="s">
        <v>1364</v>
      </c>
      <c r="C41" s="114">
        <f t="shared" si="1"/>
        <v>4.25</v>
      </c>
      <c r="D41" s="86">
        <v>4.0</v>
      </c>
      <c r="E41" s="11">
        <v>4.0</v>
      </c>
      <c r="F41" s="12"/>
      <c r="G41" s="147">
        <v>4.0</v>
      </c>
      <c r="H41" s="87">
        <v>4.0</v>
      </c>
      <c r="I41" s="86">
        <v>-5.0</v>
      </c>
      <c r="J41" s="11">
        <v>-4.0</v>
      </c>
      <c r="K41" s="12"/>
      <c r="L41" s="147">
        <v>-5.0</v>
      </c>
      <c r="M41" s="87">
        <v>-5.0</v>
      </c>
      <c r="N41" s="86">
        <v>5.0</v>
      </c>
      <c r="O41" s="11">
        <v>5.0</v>
      </c>
      <c r="P41" s="12"/>
      <c r="Q41" s="147">
        <v>5.0</v>
      </c>
      <c r="R41" s="87">
        <v>5.0</v>
      </c>
    </row>
    <row r="42" ht="15.75" customHeight="1">
      <c r="A42" s="185" t="s">
        <v>1365</v>
      </c>
      <c r="B42" s="185" t="s">
        <v>1366</v>
      </c>
      <c r="C42" s="114">
        <f t="shared" si="1"/>
        <v>0</v>
      </c>
      <c r="D42" s="171">
        <v>2.0</v>
      </c>
      <c r="E42" s="96">
        <v>2.0</v>
      </c>
      <c r="F42" s="12"/>
      <c r="G42" s="13"/>
      <c r="H42" s="87"/>
      <c r="I42" s="171">
        <v>-5.0</v>
      </c>
      <c r="J42" s="96">
        <v>-6.0</v>
      </c>
      <c r="K42" s="12"/>
      <c r="L42" s="13"/>
      <c r="M42" s="87"/>
      <c r="N42" s="171">
        <v>2.0</v>
      </c>
      <c r="O42" s="96">
        <v>5.0</v>
      </c>
      <c r="P42" s="12"/>
      <c r="Q42" s="13"/>
      <c r="R42" s="87"/>
    </row>
    <row r="43" ht="15.75" customHeight="1">
      <c r="A43" s="185" t="s">
        <v>1367</v>
      </c>
      <c r="B43" s="185" t="s">
        <v>1368</v>
      </c>
      <c r="C43" s="114">
        <f t="shared" si="1"/>
        <v>4</v>
      </c>
      <c r="D43" s="171">
        <v>3.0</v>
      </c>
      <c r="E43" s="96">
        <v>5.0</v>
      </c>
      <c r="F43" s="12"/>
      <c r="G43" s="13"/>
      <c r="H43" s="128">
        <v>4.0</v>
      </c>
      <c r="I43" s="171">
        <v>-4.0</v>
      </c>
      <c r="J43" s="96">
        <v>-4.0</v>
      </c>
      <c r="K43" s="12"/>
      <c r="L43" s="13"/>
      <c r="M43" s="128">
        <v>-2.0</v>
      </c>
      <c r="N43" s="171">
        <v>4.0</v>
      </c>
      <c r="O43" s="96">
        <v>2.0</v>
      </c>
      <c r="P43" s="12"/>
      <c r="Q43" s="13"/>
      <c r="R43" s="128">
        <v>4.0</v>
      </c>
    </row>
    <row r="44" ht="15.75" customHeight="1">
      <c r="A44" s="185" t="s">
        <v>1369</v>
      </c>
      <c r="B44" s="185" t="s">
        <v>1370</v>
      </c>
      <c r="C44" s="114">
        <f t="shared" si="1"/>
        <v>4.5</v>
      </c>
      <c r="D44" s="171">
        <v>5.0</v>
      </c>
      <c r="E44" s="96">
        <v>4.0</v>
      </c>
      <c r="F44" s="12"/>
      <c r="G44" s="13"/>
      <c r="H44" s="87"/>
      <c r="I44" s="171">
        <v>-6.0</v>
      </c>
      <c r="J44" s="96">
        <v>-4.0</v>
      </c>
      <c r="K44" s="12"/>
      <c r="L44" s="13"/>
      <c r="M44" s="87"/>
      <c r="N44" s="171">
        <v>5.0</v>
      </c>
      <c r="O44" s="96">
        <v>5.0</v>
      </c>
      <c r="P44" s="12"/>
      <c r="Q44" s="13"/>
      <c r="R44" s="87"/>
    </row>
    <row r="45" ht="15.75" customHeight="1">
      <c r="A45" s="114" t="s">
        <v>1371</v>
      </c>
      <c r="B45" s="114" t="s">
        <v>1372</v>
      </c>
      <c r="C45" s="114">
        <f t="shared" si="1"/>
        <v>2</v>
      </c>
      <c r="D45" s="86">
        <v>4.0</v>
      </c>
      <c r="E45" s="11">
        <v>4.0</v>
      </c>
      <c r="F45" s="12"/>
      <c r="G45" s="147">
        <v>4.0</v>
      </c>
      <c r="H45" s="87">
        <v>4.0</v>
      </c>
      <c r="I45" s="86">
        <v>-5.0</v>
      </c>
      <c r="J45" s="11">
        <v>-4.0</v>
      </c>
      <c r="K45" s="12"/>
      <c r="L45" s="147">
        <v>-5.0</v>
      </c>
      <c r="M45" s="87">
        <v>-5.0</v>
      </c>
      <c r="N45" s="86">
        <v>3.0</v>
      </c>
      <c r="O45" s="11">
        <v>3.0</v>
      </c>
      <c r="P45" s="12"/>
      <c r="Q45" s="147">
        <v>3.0</v>
      </c>
      <c r="R45" s="87">
        <v>2.0</v>
      </c>
    </row>
    <row r="46" ht="15.75" customHeight="1">
      <c r="A46" s="185" t="s">
        <v>1373</v>
      </c>
      <c r="B46" s="185" t="s">
        <v>1374</v>
      </c>
      <c r="C46" s="114">
        <f t="shared" si="1"/>
        <v>1.5</v>
      </c>
      <c r="D46" s="171">
        <v>1.0</v>
      </c>
      <c r="E46" s="96">
        <v>2.0</v>
      </c>
      <c r="F46" s="12"/>
      <c r="G46" s="13"/>
      <c r="H46" s="87"/>
      <c r="I46" s="171">
        <v>-4.0</v>
      </c>
      <c r="J46" s="96">
        <v>-5.0</v>
      </c>
      <c r="K46" s="12"/>
      <c r="L46" s="13"/>
      <c r="M46" s="87"/>
      <c r="N46" s="171">
        <v>5.0</v>
      </c>
      <c r="O46" s="96">
        <v>4.0</v>
      </c>
      <c r="P46" s="12"/>
      <c r="Q46" s="13"/>
      <c r="R46" s="87"/>
    </row>
    <row r="47" ht="15.75" customHeight="1">
      <c r="A47" s="185" t="s">
        <v>1375</v>
      </c>
      <c r="B47" s="185" t="s">
        <v>1376</v>
      </c>
      <c r="C47" s="114">
        <f t="shared" si="1"/>
        <v>1.5</v>
      </c>
      <c r="D47" s="171">
        <v>4.0</v>
      </c>
      <c r="E47" s="96">
        <v>4.0</v>
      </c>
      <c r="F47" s="12"/>
      <c r="G47" s="13"/>
      <c r="H47" s="87"/>
      <c r="I47" s="171">
        <v>-5.0</v>
      </c>
      <c r="J47" s="96">
        <v>-6.0</v>
      </c>
      <c r="K47" s="12"/>
      <c r="L47" s="13"/>
      <c r="M47" s="87"/>
      <c r="N47" s="171">
        <v>4.0</v>
      </c>
      <c r="O47" s="96">
        <v>2.0</v>
      </c>
      <c r="P47" s="12"/>
      <c r="Q47" s="13"/>
      <c r="R47" s="87"/>
    </row>
    <row r="48" ht="15.75" customHeight="1">
      <c r="A48" s="185" t="s">
        <v>1377</v>
      </c>
      <c r="B48" s="185" t="s">
        <v>1378</v>
      </c>
      <c r="C48" s="114">
        <f t="shared" si="1"/>
        <v>4</v>
      </c>
      <c r="D48" s="171">
        <v>5.0</v>
      </c>
      <c r="E48" s="96">
        <v>4.0</v>
      </c>
      <c r="F48" s="12"/>
      <c r="G48" s="13"/>
      <c r="H48" s="87"/>
      <c r="I48" s="171">
        <v>-4.0</v>
      </c>
      <c r="J48" s="96">
        <v>-4.0</v>
      </c>
      <c r="K48" s="12"/>
      <c r="L48" s="13"/>
      <c r="M48" s="87"/>
      <c r="N48" s="171">
        <v>4.0</v>
      </c>
      <c r="O48" s="96">
        <v>3.0</v>
      </c>
      <c r="P48" s="12"/>
      <c r="Q48" s="13"/>
      <c r="R48" s="87"/>
    </row>
    <row r="49" ht="15.75" customHeight="1">
      <c r="A49" s="114" t="s">
        <v>1379</v>
      </c>
      <c r="B49" s="114" t="s">
        <v>1380</v>
      </c>
      <c r="C49" s="114">
        <f t="shared" si="1"/>
        <v>4.5</v>
      </c>
      <c r="D49" s="86">
        <v>5.0</v>
      </c>
      <c r="E49" s="11">
        <v>4.0</v>
      </c>
      <c r="F49" s="12"/>
      <c r="G49" s="147">
        <v>4.0</v>
      </c>
      <c r="H49" s="87">
        <v>4.0</v>
      </c>
      <c r="I49" s="86">
        <v>-4.0</v>
      </c>
      <c r="J49" s="11">
        <v>-4.0</v>
      </c>
      <c r="K49" s="12"/>
      <c r="L49" s="147">
        <v>-4.0</v>
      </c>
      <c r="M49" s="87">
        <v>-4.0</v>
      </c>
      <c r="N49" s="86">
        <v>5.0</v>
      </c>
      <c r="O49" s="11">
        <v>4.0</v>
      </c>
      <c r="P49" s="12"/>
      <c r="Q49" s="147">
        <v>4.0</v>
      </c>
      <c r="R49" s="87">
        <v>4.0</v>
      </c>
    </row>
    <row r="50" ht="15.75" customHeight="1">
      <c r="A50" s="185" t="s">
        <v>1381</v>
      </c>
      <c r="B50" s="185" t="s">
        <v>1382</v>
      </c>
      <c r="C50" s="114">
        <f t="shared" si="1"/>
        <v>4.5</v>
      </c>
      <c r="D50" s="171">
        <v>5.0</v>
      </c>
      <c r="E50" s="96">
        <v>4.0</v>
      </c>
      <c r="F50" s="12"/>
      <c r="G50" s="13"/>
      <c r="H50" s="87"/>
      <c r="I50" s="171">
        <v>-4.0</v>
      </c>
      <c r="J50" s="96">
        <v>-5.0</v>
      </c>
      <c r="K50" s="12"/>
      <c r="L50" s="13"/>
      <c r="M50" s="87"/>
      <c r="N50" s="171">
        <v>5.0</v>
      </c>
      <c r="O50" s="96">
        <v>4.0</v>
      </c>
      <c r="P50" s="12"/>
      <c r="Q50" s="13"/>
      <c r="R50" s="87"/>
    </row>
    <row r="51" ht="15.75" customHeight="1">
      <c r="A51" s="114" t="s">
        <v>1383</v>
      </c>
      <c r="B51" s="114" t="s">
        <v>1384</v>
      </c>
      <c r="C51" s="114">
        <f t="shared" si="1"/>
        <v>0.5</v>
      </c>
      <c r="D51" s="86">
        <v>2.0</v>
      </c>
      <c r="E51" s="11">
        <v>2.0</v>
      </c>
      <c r="F51" s="12"/>
      <c r="G51" s="147">
        <v>2.0</v>
      </c>
      <c r="H51" s="87">
        <v>2.0</v>
      </c>
      <c r="I51" s="86">
        <v>-5.0</v>
      </c>
      <c r="J51" s="11">
        <v>-4.0</v>
      </c>
      <c r="K51" s="12"/>
      <c r="L51" s="147">
        <v>-4.0</v>
      </c>
      <c r="M51" s="87">
        <v>-4.0</v>
      </c>
      <c r="N51" s="86">
        <v>3.0</v>
      </c>
      <c r="O51" s="11">
        <v>3.0</v>
      </c>
      <c r="P51" s="12"/>
      <c r="Q51" s="147">
        <v>3.0</v>
      </c>
      <c r="R51" s="87">
        <v>2.0</v>
      </c>
    </row>
    <row r="52" ht="15.75" customHeight="1">
      <c r="A52" s="114" t="s">
        <v>1385</v>
      </c>
      <c r="B52" s="114" t="s">
        <v>1386</v>
      </c>
      <c r="C52" s="114">
        <f t="shared" si="1"/>
        <v>5</v>
      </c>
      <c r="D52" s="86">
        <v>5.0</v>
      </c>
      <c r="E52" s="11">
        <v>4.0</v>
      </c>
      <c r="F52" s="12"/>
      <c r="G52" s="147">
        <v>4.0</v>
      </c>
      <c r="H52" s="87">
        <v>4.0</v>
      </c>
      <c r="I52" s="86">
        <v>-4.0</v>
      </c>
      <c r="J52" s="11">
        <v>-4.0</v>
      </c>
      <c r="K52" s="12"/>
      <c r="L52" s="147">
        <v>-4.0</v>
      </c>
      <c r="M52" s="87">
        <v>-5.0</v>
      </c>
      <c r="N52" s="86">
        <v>5.0</v>
      </c>
      <c r="O52" s="11">
        <v>5.0</v>
      </c>
      <c r="P52" s="12"/>
      <c r="Q52" s="147">
        <v>5.0</v>
      </c>
      <c r="R52" s="87">
        <v>5.0</v>
      </c>
    </row>
    <row r="53" ht="15.75" customHeight="1">
      <c r="A53" s="185" t="s">
        <v>1387</v>
      </c>
      <c r="B53" s="185" t="s">
        <v>1388</v>
      </c>
      <c r="C53" s="114">
        <f t="shared" si="1"/>
        <v>5</v>
      </c>
      <c r="D53" s="171">
        <v>5.0</v>
      </c>
      <c r="E53" s="96">
        <v>4.0</v>
      </c>
      <c r="F53" s="12"/>
      <c r="G53" s="13"/>
      <c r="H53" s="87"/>
      <c r="I53" s="171">
        <v>-4.0</v>
      </c>
      <c r="J53" s="96">
        <v>-4.0</v>
      </c>
      <c r="K53" s="12"/>
      <c r="L53" s="13"/>
      <c r="M53" s="87"/>
      <c r="N53" s="171">
        <v>5.0</v>
      </c>
      <c r="O53" s="96">
        <v>4.0</v>
      </c>
      <c r="P53" s="12"/>
      <c r="Q53" s="13"/>
      <c r="R53" s="87"/>
    </row>
    <row r="54" ht="15.75" customHeight="1">
      <c r="A54" s="114" t="s">
        <v>1389</v>
      </c>
      <c r="B54" s="114" t="s">
        <v>1390</v>
      </c>
      <c r="C54" s="114">
        <f t="shared" si="1"/>
        <v>2</v>
      </c>
      <c r="D54" s="10">
        <v>4.0</v>
      </c>
      <c r="E54" s="11">
        <v>4.0</v>
      </c>
      <c r="F54" s="12"/>
      <c r="G54" s="147">
        <v>4.0</v>
      </c>
      <c r="H54" s="14">
        <v>4.0</v>
      </c>
      <c r="I54" s="10">
        <v>-5.0</v>
      </c>
      <c r="J54" s="11">
        <v>-5.0</v>
      </c>
      <c r="K54" s="12"/>
      <c r="L54" s="147">
        <v>-5.0</v>
      </c>
      <c r="M54" s="14">
        <v>-5.0</v>
      </c>
      <c r="N54" s="10">
        <v>3.0</v>
      </c>
      <c r="O54" s="11">
        <v>3.0</v>
      </c>
      <c r="P54" s="12"/>
      <c r="Q54" s="147">
        <v>4.0</v>
      </c>
      <c r="R54" s="14">
        <v>2.0</v>
      </c>
    </row>
    <row r="55" ht="15.75" customHeight="1">
      <c r="A55" s="185" t="s">
        <v>1391</v>
      </c>
      <c r="B55" s="185" t="s">
        <v>1392</v>
      </c>
      <c r="C55" s="114">
        <f t="shared" si="1"/>
        <v>3</v>
      </c>
      <c r="D55" s="188">
        <v>4.0</v>
      </c>
      <c r="E55" s="96">
        <v>4.0</v>
      </c>
      <c r="F55" s="12"/>
      <c r="G55" s="13"/>
      <c r="H55" s="14"/>
      <c r="I55" s="188">
        <v>-5.0</v>
      </c>
      <c r="J55" s="96">
        <v>-5.0</v>
      </c>
      <c r="K55" s="12"/>
      <c r="L55" s="13"/>
      <c r="M55" s="14"/>
      <c r="N55" s="188">
        <v>4.0</v>
      </c>
      <c r="O55" s="96">
        <v>4.0</v>
      </c>
      <c r="P55" s="12"/>
      <c r="Q55" s="13"/>
      <c r="R55" s="14"/>
    </row>
    <row r="56" ht="15.75" customHeight="1">
      <c r="A56" s="114" t="s">
        <v>1393</v>
      </c>
      <c r="B56" s="114" t="s">
        <v>1394</v>
      </c>
      <c r="C56" s="114">
        <f t="shared" si="1"/>
        <v>2.75</v>
      </c>
      <c r="D56" s="10">
        <v>4.0</v>
      </c>
      <c r="E56" s="11">
        <v>4.0</v>
      </c>
      <c r="F56" s="12"/>
      <c r="G56" s="147">
        <v>5.0</v>
      </c>
      <c r="H56" s="14">
        <v>4.0</v>
      </c>
      <c r="I56" s="10">
        <v>-5.0</v>
      </c>
      <c r="J56" s="11">
        <v>-5.0</v>
      </c>
      <c r="K56" s="12"/>
      <c r="L56" s="147">
        <v>-5.0</v>
      </c>
      <c r="M56" s="14">
        <v>-5.0</v>
      </c>
      <c r="N56" s="10">
        <v>3.0</v>
      </c>
      <c r="O56" s="11">
        <v>4.0</v>
      </c>
      <c r="P56" s="12"/>
      <c r="Q56" s="147">
        <v>4.0</v>
      </c>
      <c r="R56" s="14">
        <v>3.0</v>
      </c>
    </row>
    <row r="57" ht="15.75" customHeight="1">
      <c r="A57" s="114" t="s">
        <v>1395</v>
      </c>
      <c r="B57" s="114" t="s">
        <v>1396</v>
      </c>
      <c r="C57" s="114">
        <f t="shared" si="1"/>
        <v>2.5</v>
      </c>
      <c r="D57" s="10">
        <v>5.0</v>
      </c>
      <c r="E57" s="11">
        <v>4.0</v>
      </c>
      <c r="F57" s="12"/>
      <c r="G57" s="147">
        <v>4.0</v>
      </c>
      <c r="H57" s="14">
        <v>4.0</v>
      </c>
      <c r="I57" s="10">
        <v>-4.0</v>
      </c>
      <c r="J57" s="11">
        <v>-5.0</v>
      </c>
      <c r="K57" s="12"/>
      <c r="L57" s="147">
        <v>-5.0</v>
      </c>
      <c r="M57" s="14">
        <v>-5.0</v>
      </c>
      <c r="N57" s="10">
        <v>4.0</v>
      </c>
      <c r="O57" s="11">
        <v>2.0</v>
      </c>
      <c r="P57" s="12"/>
      <c r="Q57" s="147">
        <v>4.0</v>
      </c>
      <c r="R57" s="14">
        <v>2.0</v>
      </c>
    </row>
    <row r="58" ht="15.75" customHeight="1">
      <c r="A58" s="114"/>
      <c r="B58" s="189"/>
      <c r="C58" s="114"/>
      <c r="D58" s="10"/>
      <c r="E58" s="11"/>
      <c r="F58" s="12"/>
      <c r="G58" s="13"/>
      <c r="H58" s="14"/>
      <c r="I58" s="10"/>
      <c r="J58" s="11"/>
      <c r="K58" s="12"/>
      <c r="L58" s="13"/>
      <c r="M58" s="14"/>
      <c r="N58" s="10"/>
      <c r="O58" s="11"/>
      <c r="P58" s="12"/>
      <c r="Q58" s="13"/>
      <c r="R58" s="14"/>
    </row>
    <row r="59" ht="15.75" customHeight="1">
      <c r="A59" s="114"/>
      <c r="B59" s="189"/>
      <c r="C59" s="114"/>
      <c r="D59" s="10"/>
      <c r="E59" s="11"/>
      <c r="F59" s="12"/>
      <c r="G59" s="13"/>
      <c r="H59" s="14"/>
      <c r="I59" s="10"/>
      <c r="J59" s="11"/>
      <c r="K59" s="12"/>
      <c r="L59" s="13"/>
      <c r="M59" s="14"/>
      <c r="N59" s="10"/>
      <c r="O59" s="11"/>
      <c r="P59" s="12"/>
      <c r="Q59" s="13"/>
      <c r="R59" s="14"/>
    </row>
    <row r="60" ht="15.75" customHeight="1">
      <c r="A60" s="114"/>
      <c r="B60" s="189"/>
      <c r="C60" s="114"/>
      <c r="D60" s="10"/>
      <c r="E60" s="11"/>
      <c r="F60" s="12"/>
      <c r="G60" s="13"/>
      <c r="H60" s="14"/>
      <c r="I60" s="10"/>
      <c r="J60" s="11"/>
      <c r="K60" s="12"/>
      <c r="L60" s="13"/>
      <c r="M60" s="14"/>
      <c r="N60" s="10"/>
      <c r="O60" s="11"/>
      <c r="P60" s="12"/>
      <c r="Q60" s="13"/>
      <c r="R60" s="14"/>
    </row>
    <row r="61" ht="15.75" customHeight="1">
      <c r="A61" s="114"/>
      <c r="B61" s="189"/>
      <c r="C61" s="114"/>
      <c r="D61" s="10"/>
      <c r="E61" s="11"/>
      <c r="F61" s="12"/>
      <c r="G61" s="13"/>
      <c r="H61" s="14"/>
      <c r="I61" s="10"/>
      <c r="J61" s="11"/>
      <c r="K61" s="12"/>
      <c r="L61" s="13"/>
      <c r="M61" s="14"/>
      <c r="N61" s="10"/>
      <c r="O61" s="11"/>
      <c r="P61" s="12"/>
      <c r="Q61" s="13"/>
      <c r="R61" s="14"/>
    </row>
    <row r="62" ht="15.75" customHeight="1">
      <c r="A62" s="114"/>
      <c r="B62" s="189"/>
      <c r="C62" s="114"/>
      <c r="D62" s="10"/>
      <c r="E62" s="11"/>
      <c r="F62" s="12"/>
      <c r="G62" s="13"/>
      <c r="H62" s="14"/>
      <c r="I62" s="10"/>
      <c r="J62" s="11"/>
      <c r="K62" s="12"/>
      <c r="L62" s="13"/>
      <c r="M62" s="14"/>
      <c r="N62" s="10"/>
      <c r="O62" s="11"/>
      <c r="P62" s="12"/>
      <c r="Q62" s="13"/>
      <c r="R62" s="14"/>
    </row>
    <row r="63" ht="15.75" customHeight="1">
      <c r="A63" s="114"/>
      <c r="B63" s="189"/>
      <c r="C63" s="114"/>
      <c r="D63" s="10"/>
      <c r="E63" s="11"/>
      <c r="F63" s="12"/>
      <c r="G63" s="13"/>
      <c r="H63" s="14"/>
      <c r="I63" s="10"/>
      <c r="J63" s="11"/>
      <c r="K63" s="12"/>
      <c r="L63" s="13"/>
      <c r="M63" s="14"/>
      <c r="N63" s="10"/>
      <c r="O63" s="11"/>
      <c r="P63" s="12"/>
      <c r="Q63" s="13"/>
      <c r="R63" s="14"/>
    </row>
    <row r="64" ht="15.75" customHeight="1">
      <c r="A64" s="114"/>
      <c r="B64" s="189"/>
      <c r="C64" s="114"/>
      <c r="D64" s="10"/>
      <c r="E64" s="11"/>
      <c r="F64" s="12"/>
      <c r="G64" s="13"/>
      <c r="H64" s="14"/>
      <c r="I64" s="10"/>
      <c r="J64" s="11"/>
      <c r="K64" s="12"/>
      <c r="L64" s="13"/>
      <c r="M64" s="14"/>
      <c r="N64" s="10"/>
      <c r="O64" s="11"/>
      <c r="P64" s="12"/>
      <c r="Q64" s="13"/>
      <c r="R64" s="14"/>
    </row>
  </sheetData>
  <autoFilter ref="$A$2:$R$64">
    <sortState ref="A2:R64">
      <sortCondition ref="A2:A64"/>
    </sortState>
  </autoFilter>
  <mergeCells count="3">
    <mergeCell ref="D1:H1"/>
    <mergeCell ref="I1:M1"/>
    <mergeCell ref="N1:R1"/>
  </mergeCells>
  <conditionalFormatting sqref="A1:A64">
    <cfRule type="expression" dxfId="2" priority="1">
      <formula>AND(NOT(ISBLANK(A1)), COUNTIF($A:$A, "=" &amp; A1)&gt;1)</formula>
    </cfRule>
  </conditionalFormatting>
  <conditionalFormatting sqref="D1:R64">
    <cfRule type="containsBlanks" dxfId="0" priority="2">
      <formula>LEN(TRIM(D1))=0</formula>
    </cfRule>
  </conditionalFormatting>
  <conditionalFormatting sqref="C3:C64">
    <cfRule type="expression" dxfId="1" priority="3">
      <formula>COUNTA(D3:R3)/3 &gt; 1</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3.0"/>
    <col customWidth="1" min="2" max="2" width="6.63"/>
    <col customWidth="1" min="3" max="3" width="14.13"/>
    <col hidden="1" min="4" max="4" width="12.63"/>
    <col customWidth="1" hidden="1" min="5" max="5" width="13.75"/>
    <col customWidth="1" min="6" max="6" width="16.63"/>
    <col customWidth="1" min="7" max="7" width="7.0"/>
    <col customWidth="1" min="8" max="8" width="5.0"/>
    <col customWidth="1" min="9" max="9" width="6.63"/>
    <col hidden="1" min="11" max="12" width="12.63"/>
    <col customWidth="1" min="13" max="13" width="14.88"/>
    <col customWidth="1" min="14" max="14" width="9.63"/>
    <col customWidth="1" min="15" max="15" width="7.63"/>
    <col customWidth="1" min="16" max="16" width="11.13"/>
    <col customWidth="1" min="17" max="17" width="4.75"/>
    <col customWidth="1" min="18" max="18" width="15.88"/>
    <col customWidth="1" min="19" max="19" width="3.25"/>
    <col customWidth="1" min="20" max="20" width="5.25"/>
    <col customWidth="1" min="21" max="21" width="18.38"/>
    <col customWidth="1" min="22" max="22" width="8.75"/>
    <col customWidth="1" min="23" max="23" width="25.25"/>
    <col customWidth="1" min="24" max="24" width="20.13"/>
    <col customWidth="1" min="25" max="25" width="7.13"/>
    <col customWidth="1" min="26" max="26" width="4.88"/>
    <col customWidth="1" min="27" max="27" width="6.13"/>
    <col customWidth="1" min="28" max="28" width="4.75"/>
    <col customWidth="1" min="29" max="29" width="6.75"/>
    <col customWidth="1" min="30" max="30" width="5.0"/>
    <col customWidth="1" min="31" max="31" width="6.13"/>
    <col customWidth="1" min="32" max="32" width="4.63"/>
    <col customWidth="1" min="33" max="33" width="6.88"/>
    <col customWidth="1" min="34" max="34" width="5.63"/>
    <col customWidth="1" min="35" max="35" width="5.13"/>
    <col customWidth="1" min="36" max="36" width="4.5"/>
    <col customWidth="1" min="37" max="37" width="6.75"/>
    <col customWidth="1" min="38" max="38" width="3.88"/>
  </cols>
  <sheetData>
    <row r="1">
      <c r="A1" s="190"/>
      <c r="B1" s="191" t="s">
        <v>1397</v>
      </c>
      <c r="C1" s="7"/>
      <c r="D1" s="7"/>
      <c r="E1" s="7"/>
      <c r="F1" s="7"/>
      <c r="G1" s="8"/>
      <c r="H1" s="24"/>
      <c r="I1" s="191" t="s">
        <v>1398</v>
      </c>
      <c r="J1" s="7"/>
      <c r="K1" s="7"/>
      <c r="L1" s="7"/>
      <c r="M1" s="7"/>
      <c r="N1" s="8"/>
      <c r="P1" s="191" t="s">
        <v>1399</v>
      </c>
      <c r="Q1" s="7"/>
      <c r="R1" s="7"/>
      <c r="S1" s="7"/>
      <c r="T1" s="7"/>
      <c r="U1" s="7"/>
      <c r="V1" s="7"/>
      <c r="W1" s="7"/>
      <c r="X1" s="7"/>
      <c r="Y1" s="7"/>
      <c r="Z1" s="7"/>
      <c r="AA1" s="7"/>
      <c r="AB1" s="7"/>
      <c r="AC1" s="7"/>
      <c r="AD1" s="7"/>
      <c r="AE1" s="7"/>
      <c r="AF1" s="7"/>
      <c r="AG1" s="7"/>
      <c r="AH1" s="7"/>
      <c r="AI1" s="7"/>
      <c r="AJ1" s="7"/>
      <c r="AK1" s="8"/>
      <c r="AL1" s="190"/>
    </row>
    <row r="2">
      <c r="A2" s="24"/>
      <c r="B2" s="192" t="s">
        <v>1400</v>
      </c>
      <c r="C2" s="193" t="s">
        <v>435</v>
      </c>
      <c r="D2" s="194" t="s">
        <v>1400</v>
      </c>
      <c r="E2" s="80"/>
      <c r="F2" s="193" t="s">
        <v>434</v>
      </c>
      <c r="G2" s="81"/>
      <c r="H2" s="24"/>
      <c r="I2" s="192" t="s">
        <v>1400</v>
      </c>
      <c r="J2" s="193" t="s">
        <v>435</v>
      </c>
      <c r="K2" s="194" t="s">
        <v>1400</v>
      </c>
      <c r="L2" s="80"/>
      <c r="M2" s="193" t="s">
        <v>434</v>
      </c>
      <c r="N2" s="81"/>
      <c r="P2" s="192" t="s">
        <v>1400</v>
      </c>
      <c r="Q2" s="195" t="s">
        <v>1401</v>
      </c>
      <c r="R2" s="196" t="s">
        <v>1402</v>
      </c>
      <c r="S2" s="81"/>
      <c r="T2" s="196" t="s">
        <v>1403</v>
      </c>
      <c r="U2" s="80"/>
      <c r="V2" s="81"/>
      <c r="W2" s="196" t="s">
        <v>1404</v>
      </c>
      <c r="X2" s="80"/>
      <c r="Y2" s="80"/>
      <c r="Z2" s="197" t="s">
        <v>1405</v>
      </c>
      <c r="AA2" s="80"/>
      <c r="AB2" s="80"/>
      <c r="AC2" s="81"/>
      <c r="AD2" s="197" t="s">
        <v>1406</v>
      </c>
      <c r="AE2" s="80"/>
      <c r="AF2" s="80"/>
      <c r="AG2" s="81"/>
      <c r="AH2" s="197" t="s">
        <v>1407</v>
      </c>
      <c r="AI2" s="80"/>
      <c r="AJ2" s="80"/>
      <c r="AK2" s="81"/>
    </row>
    <row r="3">
      <c r="A3" s="134"/>
      <c r="B3" s="53"/>
      <c r="C3" s="198" t="s">
        <v>1408</v>
      </c>
      <c r="D3" s="199">
        <f>IFERROR(VLOOKUP(C3,'Heroes 1.1'!$A:$N,14,FALSE),)</f>
        <v>37.60025641</v>
      </c>
      <c r="F3" s="68" t="s">
        <v>1409</v>
      </c>
      <c r="G3" s="200"/>
      <c r="H3" s="9"/>
      <c r="I3" s="53"/>
      <c r="J3" s="198" t="s">
        <v>1410</v>
      </c>
      <c r="K3" s="199">
        <f>IFERROR(VLOOKUP(J3,'Heroes 1.1'!$A:$N,14,FALSE),)</f>
        <v>42.04</v>
      </c>
      <c r="M3" s="68" t="s">
        <v>1411</v>
      </c>
      <c r="N3" s="200"/>
      <c r="O3" s="201"/>
      <c r="P3" s="53"/>
      <c r="Q3" s="202"/>
      <c r="R3" s="69" t="s">
        <v>591</v>
      </c>
      <c r="S3" s="203"/>
      <c r="T3" s="69" t="s">
        <v>908</v>
      </c>
      <c r="U3" s="84"/>
      <c r="V3" s="203"/>
      <c r="W3" s="204" t="str">
        <f>IFERROR(__xludf.DUMMYFUNCTION("IFERROR (TRANSPOSE (SPLIT(FILTER(Campaigns!F:F , Campaigns!B:B = $U$5, Campaigns!C:C = $V$5), "", "", FALSE)) , )"),"Shadow Dragon")</f>
        <v>Shadow Dragon</v>
      </c>
      <c r="Z3" s="205" t="b">
        <v>0</v>
      </c>
      <c r="AA3" s="206" t="str">
        <f>IFERROR(__xludf.DUMMYFUNCTION(" IFERROR(
IF(AND(AD3=FALSE,AH3 = FALSE),
(FILTER(Monsters!$AQ:$AQ, Monsters!$A:$A = W3 , Monsters!$D:$D  = $T$5, Monsters!$B:$B = ""Master"")
*
FILTER(Monsters!$AN:$AN, Monsters!$A:$A = W3 , Monsters!$D:$D  = $T$5, Monsters!$B:$B = ""Master"")
)
+
(FILTER"&amp;"(Monsters!$AQ:$AQ, Monsters!$A:$A = W3 , Monsters!$D:$D  = $T$5, Monsters!$B:$B = ""Minion"")
*
FILTER(Monsters!$AN:$AN, Monsters!$A:$A = W3 , Monsters!$D:$D  = $T$5, Monsters!$B:$B = ""Minion"")
)
,)
,
)"),"")</f>
        <v/>
      </c>
      <c r="AC3" s="207" t="str">
        <f>IFERROR(__xludf.DUMMYFUNCTION(" IFERROR(
IF(AND(AD3=FALSE,AH3 = FALSE),
CONCATENATE(
FILTER(Monsters!$AN:$AN, Monsters!$A:$A = W3 , Monsters!$D:$D  = $T$5, Monsters!$B:$B = ""Master"")
,
""/""
,
FILTER(Monsters!$AN:$AN, Monsters!$A:$A = W3 , Monsters!$D:$D  = $T$5, Monsters!$B:$B = """&amp;"Minion"")
)
,)
)"),"")</f>
        <v/>
      </c>
      <c r="AD3" s="205" t="b">
        <v>1</v>
      </c>
      <c r="AE3" s="206">
        <f>IFERROR(__xludf.DUMMYFUNCTION(" IFERROR(
IF(AND(Z3=FALSE,AH3 = FALSE),
(FILTER(Monsters!$AQ:$AQ, Monsters!$A:$A = W3 , Monsters!$D:$D  = $T$5, Monsters!$B:$B = ""Master"")
*
FILTER(Monsters!$AL:$AL, Monsters!$A:$A = W3 , Monsters!$D:$D  = $T$5, Monsters!$B:$B = ""Master"")
)
+
(FILTER("&amp;"Monsters!$AQ:$AQ, Monsters!$A:$A = W3 , Monsters!$D:$D  = $T$5, Monsters!$B:$B = ""Minion"")
*
FILTER(Monsters!$AL:$AL, Monsters!$A:$A = W3 , Monsters!$D:$D  = $T$5, Monsters!$B:$B = ""Minion"")
)
,)
,
)"),50.48333333333333)</f>
        <v>50.48333333</v>
      </c>
      <c r="AG3" s="207" t="str">
        <f>IFERROR(__xludf.DUMMYFUNCTION(" IFERROR(
IF(AND(Z3=FALSE,AH3 = FALSE),
CONCATENATE(
FILTER(Monsters!$AL:$AL, Monsters!$A:$A = W3 , Monsters!$D:$D  = $T$5, Monsters!$B:$B = ""Master"")
,
""/""
,
FILTER(Monsters!$AL:$AL, Monsters!$A:$A = W3 , Monsters!$D:$D  = $T$5, Monsters!$B:$B = ""M"&amp;"inion"")
)
,)
)"),"1/0")</f>
        <v>1/0</v>
      </c>
      <c r="AH3" s="205" t="b">
        <v>0</v>
      </c>
      <c r="AI3" s="206" t="str">
        <f>IFERROR(__xludf.DUMMYFUNCTION(" IFERROR(
IF(AND(Z3=FALSE,AD3 = FALSE),
(FILTER(Monsters!$AQ:$AQ, Monsters!$A:$A = W3 , Monsters!$D:$D  = $T$5, Monsters!$B:$B = ""Master"")
*
FILTER(Monsters!$AJ:$AJ, Monsters!$A:$A = W3 , Monsters!$D:$D  = $T$5, Monsters!$B:$B = ""Master"")
)
+
(FILTER("&amp;"Monsters!$AQ:$AQ, Monsters!$A:$A = W3 , Monsters!$D:$D  = $T$5, Monsters!$B:$B = ""Minion"")
*
FILTER(Monsters!$AJ:$AJ, Monsters!$A:$A = W3 , Monsters!$D:$D  = $T$5, Monsters!$B:$B = ""Minion"")
)
,)
,
)"),"")</f>
        <v/>
      </c>
      <c r="AK3" s="207" t="str">
        <f>IFERROR(__xludf.DUMMYFUNCTION(" IFERROR(
IF(AND(Z3=FALSE,AD3 = FALSE),
CONCATENATE(
FILTER(Monsters!$AJ:$AJ, Monsters!$A:$A = W3 , Monsters!$D:$D  = $T$5, Monsters!$B:$B = ""Master"")
,
""/""
,
FILTER(Monsters!$AJ:$AJ, Monsters!$A:$A = W3 , Monsters!$D:$D  = $T$5, Monsters!$B:$B = ""Mi"&amp;"nion"")
)
,)
,
)"),"")</f>
        <v/>
      </c>
    </row>
    <row r="4">
      <c r="A4" s="24"/>
      <c r="B4" s="53"/>
      <c r="C4" s="193" t="s">
        <v>438</v>
      </c>
      <c r="D4" s="200"/>
      <c r="F4" s="208" t="str">
        <f>IF(OR(F3 = "Battlemage", F3 = "Truthseer", F3 = "Lorekeeper", F3 = "Steelcaster", F3 = "Avenger",F3 = "Raider", F3 = "Monk", F3 = "Trickster", F3 = "Ravager", F3 = "Watchman", F3 = "Crusader", F3 = "Heretic"), "Subclass: ", )</f>
        <v/>
      </c>
      <c r="G4" s="209" t="str">
        <f>IFERROR(
IFS(
OR(F3 = "Battlemage",F3 = "Ravager",F3 = "Crusader"), "Warrior",
OR(F3 = "Steelcaster",F3 = "Trickster",F3 = "Heretic"),"Mage",
OR(F3 = "Truthseer",F3 = "Raider",F3 = "Watchman"),"Scout",
OR(F3 = "Lorekeeper",F3 = "Avenger",F3 = "Monk"),"Healer"
),
)</f>
        <v/>
      </c>
      <c r="H4" s="24"/>
      <c r="I4" s="53"/>
      <c r="J4" s="193" t="s">
        <v>438</v>
      </c>
      <c r="K4" s="200"/>
      <c r="M4" s="208" t="str">
        <f>IF(OR(M3 = "Battlemage", M3 = "Truthseer", M3 = "Lorekeeper", M3 = "Steelcaster", M3 = "Avenger",M3 = "Raider", M3 = "Monk", M3 = "Trickster", M3 = "Ravager", M3 = "Watchman", M3 = "Crusader", M3 = "Heretic"), "Subclass: ", )</f>
        <v/>
      </c>
      <c r="N4" s="209" t="str">
        <f>IFERROR(
IFS(
OR(M3 = "Battlemage",M3 = "Ravager",M3 = "Crusader"), "Warrior",
OR(M3 = "Steelcaster",M3 = "Trickster",M3 = "Heretic"),"Mage",
OR(M3 = "Truthseer",M3 = "Raider",M3 = "Watchman"),"Scout",
OR(M3 = "Lorekeeper",M3 = "Avenger",M3 = "Monk"),"Healer"
),
)</f>
        <v/>
      </c>
      <c r="O4" s="201"/>
      <c r="P4" s="53"/>
      <c r="Q4" s="202"/>
      <c r="R4" s="210" t="s">
        <v>1412</v>
      </c>
      <c r="S4" s="200"/>
      <c r="T4" s="211" t="s">
        <v>1413</v>
      </c>
      <c r="U4" s="194" t="s">
        <v>1414</v>
      </c>
      <c r="V4" s="212" t="s">
        <v>1415</v>
      </c>
      <c r="W4" s="213"/>
      <c r="Z4" s="214" t="b">
        <v>0</v>
      </c>
      <c r="AA4" s="215" t="str">
        <f>IFERROR(__xludf.DUMMYFUNCTION(" IFERROR(
IF(AND(AD4=FALSE,AH4 = FALSE),
(FILTER(Monsters!$AQ:$AQ, Monsters!$A:$A = W4 , Monsters!$D:$D  = $T$5, Monsters!$B:$B = ""Master"")
*
FILTER(Monsters!$AN:$AN, Monsters!$A:$A = W4 , Monsters!$D:$D  = $T$5, Monsters!$B:$B = ""Master"")
)
+
(FILTER"&amp;"(Monsters!$AQ:$AQ, Monsters!$A:$A = W4 , Monsters!$D:$D  = $T$5, Monsters!$B:$B = ""Minion"")
*
FILTER(Monsters!$AN:$AN, Monsters!$A:$A = W4 , Monsters!$D:$D  = $T$5, Monsters!$B:$B = ""Minion"")
)
,)
,
)"),"")</f>
        <v/>
      </c>
      <c r="AC4" s="216" t="str">
        <f>IFERROR(__xludf.DUMMYFUNCTION(" IFERROR(
IF(AND(AD4=FALSE,AH4 = FALSE),
CONCATENATE(
FILTER(Monsters!$AN:$AN, Monsters!$A:$A = W4 , Monsters!$D:$D  = $T$5, Monsters!$B:$B = ""Master"")
,
""/""
,
FILTER(Monsters!$AN:$AN, Monsters!$A:$A = W4 , Monsters!$D:$D  = $T$5, Monsters!$B:$B = """&amp;"Minion"")
)
,)
)"),"")</f>
        <v/>
      </c>
      <c r="AD4" s="214" t="b">
        <v>0</v>
      </c>
      <c r="AE4" s="215" t="str">
        <f>IFERROR(__xludf.DUMMYFUNCTION(" IFERROR(
IF(AND(Z4=FALSE,AH4 = FALSE),
(FILTER(Monsters!$AQ:$AQ, Monsters!$A:$A = W4 , Monsters!$D:$D  = $T$5, Monsters!$B:$B = ""Master"")
*
FILTER(Monsters!$AL:$AL, Monsters!$A:$A = W4 , Monsters!$D:$D  = $T$5, Monsters!$B:$B = ""Master"")
)
+
(FILTER("&amp;"Monsters!$AQ:$AQ, Monsters!$A:$A = W4 , Monsters!$D:$D  = $T$5, Monsters!$B:$B = ""Minion"")
*
FILTER(Monsters!$AL:$AL, Monsters!$A:$A = W4 , Monsters!$D:$D  = $T$5, Monsters!$B:$B = ""Minion"")
)
,)
,
)"),"")</f>
        <v/>
      </c>
      <c r="AG4" s="216" t="str">
        <f>IFERROR(__xludf.DUMMYFUNCTION(" IFERROR(
IF(AND(Z4=FALSE,AH4 = FALSE),
CONCATENATE(
FILTER(Monsters!$AL:$AL, Monsters!$A:$A = W4 , Monsters!$D:$D  = $T$5, Monsters!$B:$B = ""Master"")
,
""/""
,
FILTER(Monsters!$AL:$AL, Monsters!$A:$A = W4 , Monsters!$D:$D  = $T$5, Monsters!$B:$B = ""M"&amp;"inion"")
)
,)
)"),"")</f>
        <v/>
      </c>
      <c r="AH4" s="214" t="b">
        <v>0</v>
      </c>
      <c r="AI4" s="215" t="str">
        <f>IFERROR(__xludf.DUMMYFUNCTION(" IFERROR(
IF(AND(Z4=FALSE,AD4 = FALSE),
(FILTER(Monsters!$AQ:$AQ, Monsters!$A:$A = W4 , Monsters!$D:$D  = $T$5, Monsters!$B:$B = ""Master"")
*
FILTER(Monsters!$AJ:$AJ, Monsters!$A:$A = W4 , Monsters!$D:$D  = $T$5, Monsters!$B:$B = ""Master"")
)
+
(FILTER("&amp;"Monsters!$AQ:$AQ, Monsters!$A:$A = W4 , Monsters!$D:$D  = $T$5, Monsters!$B:$B = ""Minion"")
*
FILTER(Monsters!$AJ:$AJ, Monsters!$A:$A = W4 , Monsters!$D:$D  = $T$5, Monsters!$B:$B = ""Minion"")
)
,)
,
)"),"")</f>
        <v/>
      </c>
      <c r="AK4" s="216" t="str">
        <f>IFERROR(__xludf.DUMMYFUNCTION(" IFERROR(
IF(AND(Z4=FALSE,AD4 = FALSE),
CONCATENATE(
FILTER(Monsters!$AJ:$AJ, Monsters!$A:$A = W4 , Monsters!$D:$D  = $T$5, Monsters!$B:$B = ""Master"")
,
""/""
,
FILTER(Monsters!$AJ:$AJ, Monsters!$A:$A = W4 , Monsters!$D:$D  = $T$5, Monsters!$B:$B = ""Mi"&amp;"nion"")
)
,)
,
)"),"")</f>
        <v/>
      </c>
    </row>
    <row r="5">
      <c r="A5" s="9"/>
      <c r="B5" s="53"/>
      <c r="C5" s="60" t="str">
        <f>IFERROR(VLOOKUP(C3, 'Heroes 1.1'!$A:$M, 2, FALSE),)</f>
        <v>Mage</v>
      </c>
      <c r="D5" s="203"/>
      <c r="F5" s="69"/>
      <c r="G5" s="203"/>
      <c r="H5" s="217"/>
      <c r="I5" s="53"/>
      <c r="J5" s="60" t="str">
        <f>IFERROR(VLOOKUP(J3, 'Heroes 1.1'!$A:$M, 2, FALSE),)</f>
        <v>Warrior</v>
      </c>
      <c r="K5" s="203"/>
      <c r="M5" s="69"/>
      <c r="N5" s="203"/>
      <c r="O5" s="201"/>
      <c r="P5" s="53"/>
      <c r="Q5" s="218">
        <f>VLOOKUP(R5,vote4OVERLORD!B:G,6,FALSE)</f>
        <v>4.5</v>
      </c>
      <c r="R5" s="219" t="str">
        <f>IFERROR(__xludf.DUMMYFUNCTION("{
FILTER(vote4OVERLORD!B:B, vote4OVERLORD!A:A=R3);
FILTER(vote4OVERLORD!B:B, vote4OVERLORD!A:A=R3 , vote4OVERLORD!D:D=2)
}"),"Dark Might")</f>
        <v>Dark Might</v>
      </c>
      <c r="S5" s="220" t="b">
        <v>0</v>
      </c>
      <c r="T5" s="221">
        <v>2.0</v>
      </c>
      <c r="U5" s="66" t="s">
        <v>1416</v>
      </c>
      <c r="V5" s="222">
        <v>2.0</v>
      </c>
      <c r="W5" s="223"/>
      <c r="X5" s="84"/>
      <c r="Y5" s="84"/>
      <c r="Z5" s="224" t="b">
        <v>0</v>
      </c>
      <c r="AA5" s="206" t="str">
        <f>IFERROR(__xludf.DUMMYFUNCTION(" IFERROR(
IF(AND(AD5=FALSE,AH5 = FALSE),
(FILTER(Monsters!$AQ:$AQ, Monsters!$A:$A = W5 , Monsters!$D:$D  = $T$5, Monsters!$B:$B = ""Master"")
*
FILTER(Monsters!$AN:$AN, Monsters!$A:$A = W5 , Monsters!$D:$D  = $T$5, Monsters!$B:$B = ""Master"")
)
+
(FILTER"&amp;"(Monsters!$AQ:$AQ, Monsters!$A:$A = W5 , Monsters!$D:$D  = $T$5, Monsters!$B:$B = ""Minion"")
*
FILTER(Monsters!$AN:$AN, Monsters!$A:$A = W5 , Monsters!$D:$D  = $T$5, Monsters!$B:$B = ""Minion"")
)
,)
,
)"),"")</f>
        <v/>
      </c>
      <c r="AC5" s="225" t="str">
        <f>IFERROR(__xludf.DUMMYFUNCTION(" IFERROR(
IF(AND(AD5=FALSE,AH5 = FALSE),
CONCATENATE(
FILTER(Monsters!$AN:$AN, Monsters!$A:$A = W5 , Monsters!$D:$D  = $T$5, Monsters!$B:$B = ""Master"")
,
""/""
,
FILTER(Monsters!$AN:$AN, Monsters!$A:$A = W5 , Monsters!$D:$D  = $T$5, Monsters!$B:$B = """&amp;"Minion"")
)
,)
)"),"")</f>
        <v/>
      </c>
      <c r="AD5" s="224" t="b">
        <v>0</v>
      </c>
      <c r="AE5" s="206" t="str">
        <f>IFERROR(__xludf.DUMMYFUNCTION(" IFERROR(
IF(AND(Z5=FALSE,AH5 = FALSE),
(FILTER(Monsters!$AQ:$AQ, Monsters!$A:$A = W5 , Monsters!$D:$D  = $T$5, Monsters!$B:$B = ""Master"")
*
FILTER(Monsters!$AL:$AL, Monsters!$A:$A = W5 , Monsters!$D:$D  = $T$5, Monsters!$B:$B = ""Master"")
)
+
(FILTER("&amp;"Monsters!$AQ:$AQ, Monsters!$A:$A = W5 , Monsters!$D:$D  = $T$5, Monsters!$B:$B = ""Minion"")
*
FILTER(Monsters!$AL:$AL, Monsters!$A:$A = W5 , Monsters!$D:$D  = $T$5, Monsters!$B:$B = ""Minion"")
)
,)
,
)"),"")</f>
        <v/>
      </c>
      <c r="AG5" s="207" t="str">
        <f>IFERROR(__xludf.DUMMYFUNCTION(" IFERROR(
IF(AND(Z5=FALSE,AH5 = FALSE),
CONCATENATE(
FILTER(Monsters!$AL:$AL, Monsters!$A:$A = W5 , Monsters!$D:$D  = $T$5, Monsters!$B:$B = ""Master"")
,
""/""
,
FILTER(Monsters!$AL:$AL, Monsters!$A:$A = W5 , Monsters!$D:$D  = $T$5, Monsters!$B:$B = ""M"&amp;"inion"")
)
,)
)"),"")</f>
        <v/>
      </c>
      <c r="AH5" s="224" t="b">
        <v>0</v>
      </c>
      <c r="AI5" s="206" t="str">
        <f>IFERROR(__xludf.DUMMYFUNCTION(" IFERROR(
IF(AND(Z5=FALSE,AD5 = FALSE),
(FILTER(Monsters!$AQ:$AQ, Monsters!$A:$A = W5 , Monsters!$D:$D  = $T$5, Monsters!$B:$B = ""Master"")
*
FILTER(Monsters!$AJ:$AJ, Monsters!$A:$A = W5 , Monsters!$D:$D  = $T$5, Monsters!$B:$B = ""Master"")
)
+
(FILTER("&amp;"Monsters!$AQ:$AQ, Monsters!$A:$A = W5 , Monsters!$D:$D  = $T$5, Monsters!$B:$B = ""Minion"")
*
FILTER(Monsters!$AJ:$AJ, Monsters!$A:$A = W5 , Monsters!$D:$D  = $T$5, Monsters!$B:$B = ""Minion"")
)
,)
,
)"),"")</f>
        <v/>
      </c>
      <c r="AK5" s="207" t="str">
        <f>IFERROR(__xludf.DUMMYFUNCTION(" IFERROR(
IF(AND(Z5=FALSE,AD5 = FALSE),
CONCATENATE(
FILTER(Monsters!$AJ:$AJ, Monsters!$A:$A = W5 , Monsters!$D:$D  = $T$5, Monsters!$B:$B = ""Master"")
,
""/""
,
FILTER(Monsters!$AJ:$AJ, Monsters!$A:$A = W5 , Monsters!$D:$D  = $T$5, Monsters!$B:$B = ""Mi"&amp;"nion"")
)
,)
,
)"),"")</f>
        <v/>
      </c>
    </row>
    <row r="6">
      <c r="A6" s="226"/>
      <c r="B6" s="227">
        <f>SUM(D3:E21)</f>
        <v>86.90692308</v>
      </c>
      <c r="C6" s="228" t="s">
        <v>1417</v>
      </c>
      <c r="D6" s="229"/>
      <c r="E6" s="226"/>
      <c r="F6" s="193" t="s">
        <v>1418</v>
      </c>
      <c r="G6" s="81"/>
      <c r="H6" s="226"/>
      <c r="I6" s="227">
        <f>SUM(K3:L21)</f>
        <v>82.45666667</v>
      </c>
      <c r="J6" s="228" t="s">
        <v>1417</v>
      </c>
      <c r="K6" s="229"/>
      <c r="L6" s="226"/>
      <c r="M6" s="193" t="s">
        <v>1418</v>
      </c>
      <c r="N6" s="81"/>
      <c r="O6" s="201"/>
      <c r="P6" s="227">
        <f>
SUMIFS(AA3:AA9,Z3:Z9, TRUE)
+
SUMIFS(AE3:AE9,AD3:AD9, TRUE)
+
SUMIFS(AI3:AI9,AH3:AH9, TRUE)
+
(SUMIFS(Q5:Q43,S5:S43,TRUE) * (1 - (COUNTIF(S5:S43,TRUE) / 100)))
+
SUMIFS(AA11:AA60,Z11:Z60, TRUE)
+
SUMIFS(AE11:AE60,AD11:AD60, TRUE)
+
SUMIFS(AI11:AI60,AH11:AH60, TRUE)
+
SUMIFS(T10:T19,V10:V19,TRUE)
+
SUM(Y7:Y9)
+
SUMIFS(T21:T22,V21:V22,TRUE)</f>
        <v>295.7833333</v>
      </c>
      <c r="Q6" s="218">
        <f>VLOOKUP(R6,vote4OVERLORD!B:G,6,FALSE)</f>
        <v>2</v>
      </c>
      <c r="R6" s="219" t="str">
        <f>IFERROR(__xludf.DUMMYFUNCTION("""COMPUTED_VALUE"""),"Tripwire")</f>
        <v>Tripwire</v>
      </c>
      <c r="S6" s="220" t="b">
        <v>1</v>
      </c>
      <c r="T6" s="194" t="s">
        <v>1419</v>
      </c>
      <c r="U6" s="80"/>
      <c r="V6" s="81"/>
      <c r="W6" s="190" t="s">
        <v>1420</v>
      </c>
      <c r="X6" s="210" t="s">
        <v>1421</v>
      </c>
      <c r="Y6" s="190" t="s">
        <v>1422</v>
      </c>
      <c r="Z6" s="197" t="s">
        <v>1423</v>
      </c>
      <c r="AA6" s="211" t="s">
        <v>1400</v>
      </c>
      <c r="AB6" s="211" t="s">
        <v>1424</v>
      </c>
      <c r="AC6" s="230" t="s">
        <v>1425</v>
      </c>
      <c r="AD6" s="197" t="s">
        <v>1426</v>
      </c>
      <c r="AE6" s="231" t="s">
        <v>1400</v>
      </c>
      <c r="AF6" s="211" t="s">
        <v>1424</v>
      </c>
      <c r="AG6" s="230" t="s">
        <v>1425</v>
      </c>
      <c r="AH6" s="197" t="s">
        <v>1427</v>
      </c>
      <c r="AI6" s="211" t="s">
        <v>1400</v>
      </c>
      <c r="AJ6" s="211" t="s">
        <v>1424</v>
      </c>
      <c r="AK6" s="230" t="s">
        <v>1425</v>
      </c>
    </row>
    <row r="7">
      <c r="A7" s="134"/>
      <c r="B7" s="53"/>
      <c r="C7" s="198" t="s">
        <v>1428</v>
      </c>
      <c r="D7" s="232">
        <f>IFERROR(VLOOKUP(C7,'Shop Items'!$C:$W,21,FALSE),0)</f>
        <v>11.58333333</v>
      </c>
      <c r="E7" s="118">
        <f>IFERROR(
IF(G7 = TRUE,
VLOOKUP(F7,Classes!$C:$H,6,FALSE),0)
,0)</f>
        <v>2.25</v>
      </c>
      <c r="F7" s="233" t="str">
        <f>IFERROR(__xludf.DUMMYFUNCTION("IF(
ISBLANK(F5),
FILTER(Classes!$C:$C,Classes!$B:$B=F3),
FILTER(Classes!$C:$C,(Classes!$B:$B=F3) + (Classes!$B:$B=F5))
)"),"Raise Dead")</f>
        <v>Raise Dead</v>
      </c>
      <c r="G7" s="234" t="b">
        <v>1</v>
      </c>
      <c r="H7" s="118"/>
      <c r="I7" s="53"/>
      <c r="J7" s="198" t="s">
        <v>892</v>
      </c>
      <c r="K7" s="232">
        <f>IFERROR(VLOOKUP(J7,'Shop Items'!$C:$W,21,FALSE),0)</f>
        <v>10.5</v>
      </c>
      <c r="L7" s="118">
        <f>IFERROR(
IF(N7 = TRUE,
VLOOKUP(M7,Classes!$C:$H,6,FALSE),0)
,0)</f>
        <v>3</v>
      </c>
      <c r="M7" s="233" t="str">
        <f>IFERROR(__xludf.DUMMYFUNCTION("IF(
ISBLANK(M5),
FILTER(Classes!$C:$C,Classes!$B:$B=M3),
FILTER(Classes!$C:$C,(Classes!$B:$B=M3) + (Classes!$B:$B=M5))
)"),"Dual Strike")</f>
        <v>Dual Strike</v>
      </c>
      <c r="N7" s="234" t="b">
        <v>1</v>
      </c>
      <c r="O7" s="201"/>
      <c r="P7" s="53"/>
      <c r="Q7" s="218">
        <f>VLOOKUP(R7,vote4OVERLORD!B:G,6,FALSE)</f>
        <v>4.5</v>
      </c>
      <c r="R7" s="219" t="str">
        <f>IFERROR(__xludf.DUMMYFUNCTION("""COMPUTED_VALUE"""),"Dash")</f>
        <v>Dash</v>
      </c>
      <c r="S7" s="220" t="b">
        <v>0</v>
      </c>
      <c r="T7" s="235">
        <f>IFERROR(__xludf.DUMMYFUNCTION("FILTER(Campaigns!G:G , Campaigns!B:B = U5, Campaigns!C:C = V5)"),1.0)</f>
        <v>1</v>
      </c>
      <c r="U7" s="84"/>
      <c r="V7" s="203"/>
      <c r="W7" s="83" t="str">
        <f>IFERROR(__xludf.DUMMYFUNCTION("IFERROR (TRANSPOSE (SPLIT(FILTER(Campaigns!E:E , Campaigns!B:B = $U$5, Campaigns!C:C = $V$5), "", "", FALSE)) , )"),"Belthir")</f>
        <v>Belthir</v>
      </c>
      <c r="X7" s="68" t="s">
        <v>1128</v>
      </c>
      <c r="Y7" s="94">
        <f>IF(ISBLANK(X7),,
VLOOKUP(X7,'Overlord relics'!B:M,12,FALSE)
)</f>
        <v>6</v>
      </c>
      <c r="Z7" s="236" t="b">
        <v>1</v>
      </c>
      <c r="AA7" s="237">
        <f>IFERROR(__xludf.DUMMYFUNCTION("IF(AND(AD7=FALSE,AH7 = FALSE),
IF(ISBLANK(W7),,
FILTER(Lieutenants!$AL:$AL, Lieutenants!A:A = W7, Lieutenants!B:B = $T$5)
+
FILTER(Lieutenants!$Q:$Q, Lieutenants!A:A = W7, Lieutenants!B:B = $T$5)
)
,)"),99.32)</f>
        <v>99.32</v>
      </c>
      <c r="AB7" s="118">
        <f>IFERROR(__xludf.DUMMYFUNCTION("IF(AND(AD7=FALSE,AH7 = FALSE),
IF(ISBLANK(W7),,
FILTER(Lieutenants!O:O, Lieutenants!A:A = W7, Lieutenants!B:B = $T$5)
)
,
)"),18.0)</f>
        <v>18</v>
      </c>
      <c r="AC7" s="118" t="str">
        <f>IFERROR(__xludf.DUMMYFUNCTION("IF(AND(AD7=FALSE,AH7 = FALSE),
IF(ISBLANK(W7),,
FILTER(Lieutenants!P:P, Lieutenants!A:A = W7, Lieutenants!B:B = $T$5)
)
,
)"),"Grey, Grey, Brown")</f>
        <v>Grey, Grey, Brown</v>
      </c>
      <c r="AD7" s="238" t="b">
        <v>0</v>
      </c>
      <c r="AE7" s="237" t="str">
        <f>IFERROR(__xludf.DUMMYFUNCTION("IF(AND(Z7=FALSE,AH7 = FALSE),
IF(ISBLANK(W7),,
FILTER(Lieutenants!$AL:$AL, Lieutenants!A:A = W7, Lieutenants!B:B = $T$5)
+
FILTER(Lieutenants!$M:$M, Lieutenants!A:A = W7 , Lieutenants!B:B = $T$5)
)
,)
"),"")</f>
        <v/>
      </c>
      <c r="AF7" s="118" t="str">
        <f>IFERROR(__xludf.DUMMYFUNCTION("IF(AND(Z7=FALSE,AH7 = FALSE),
IF(ISBLANK(W7),,
FILTER(Lieutenants!K:K, Lieutenants!A:A = W7, Lieutenants!B:B = $T$5)
)
,
)"),"")</f>
        <v/>
      </c>
      <c r="AG7" s="232" t="str">
        <f>IFERROR(__xludf.DUMMYFUNCTION("IF(AND(Z7=FALSE,AH7 = FALSE),
IF(ISBLANK(W7),,
FILTER(Lieutenants!L:L, Lieutenants!A:A = W7, Lieutenants!B:B = $T$5)
)
,
)"),"")</f>
        <v/>
      </c>
      <c r="AH7" s="238" t="b">
        <v>0</v>
      </c>
      <c r="AI7" s="237" t="str">
        <f>IFERROR(__xludf.DUMMYFUNCTION("IF(AND(Z7=FALSE,AD7 = FALSE),
IF(ISBLANK(W7),,
FILTER(Lieutenants!$AL:$AL, Lieutenants!A:A = W7, Lieutenants!B:B = $T$5)
+
FILTER(Lieutenants!I:I, Lieutenants!A:A = W7, Lieutenants!B:B = $T$5)
)
,)"),"")</f>
        <v/>
      </c>
      <c r="AJ7" s="118" t="str">
        <f>IFERROR(__xludf.DUMMYFUNCTION("IF(AND(Z7=FALSE,AD7 = FALSE),
IF(ISBLANK(W7),,
FILTER(Lieutenants!G:G, Lieutenants!A:A = W7, Lieutenants!B:B = $T$5)
)
,
)"),"")</f>
        <v/>
      </c>
      <c r="AK7" s="232" t="str">
        <f>IFERROR(__xludf.DUMMYFUNCTION("IF(AND(Z7=FALSE,AD7 = FALSE),
IF(ISBLANK(W7),,
FILTER(Lieutenants!H:H, Lieutenants!A:A = W7, Lieutenants!B:B = $T$5)
)
,
)"),"")</f>
        <v/>
      </c>
    </row>
    <row r="8">
      <c r="A8" s="134"/>
      <c r="B8" s="53"/>
      <c r="C8" s="198"/>
      <c r="D8" s="232">
        <f>IFERROR(VLOOKUP(C8,'Shop Items'!$C:$W,21,FALSE),0)</f>
        <v>0</v>
      </c>
      <c r="E8" s="118">
        <f>IFERROR(
IF(G8 = TRUE,
VLOOKUP(F8,Classes!$C:$H,6,FALSE),0)
,0)</f>
        <v>0</v>
      </c>
      <c r="F8" s="58" t="str">
        <f>IFERROR(__xludf.DUMMYFUNCTION("""COMPUTED_VALUE"""),"Corpse Blast")</f>
        <v>Corpse Blast</v>
      </c>
      <c r="G8" s="234" t="b">
        <v>0</v>
      </c>
      <c r="H8" s="118"/>
      <c r="I8" s="53"/>
      <c r="J8" s="198" t="s">
        <v>848</v>
      </c>
      <c r="K8" s="232">
        <f>IFERROR(VLOOKUP(J8,'Shop Items'!$C:$W,21,FALSE),0)</f>
        <v>10.91666667</v>
      </c>
      <c r="L8" s="118">
        <f>IFERROR(
IF(N8 = TRUE,
VLOOKUP(M8,Classes!$C:$H,6,FALSE),0)
,0)</f>
        <v>4.5</v>
      </c>
      <c r="M8" s="58" t="str">
        <f>IFERROR(__xludf.DUMMYFUNCTION("""COMPUTED_VALUE"""),"Back in Action")</f>
        <v>Back in Action</v>
      </c>
      <c r="N8" s="234" t="b">
        <v>1</v>
      </c>
      <c r="O8" s="201"/>
      <c r="P8" s="53"/>
      <c r="Q8" s="218">
        <f>VLOOKUP(R8,vote4OVERLORD!B:G,6,FALSE)</f>
        <v>6.5</v>
      </c>
      <c r="R8" s="219" t="str">
        <f>IFERROR(__xludf.DUMMYFUNCTION("""COMPUTED_VALUE"""),"Frenzy")</f>
        <v>Frenzy</v>
      </c>
      <c r="S8" s="220" t="b">
        <v>1</v>
      </c>
      <c r="T8" s="196" t="s">
        <v>1429</v>
      </c>
      <c r="U8" s="80"/>
      <c r="V8" s="81"/>
      <c r="W8" s="159"/>
      <c r="X8" s="213"/>
      <c r="Y8" s="83" t="str">
        <f>IF(ISBLANK(X8),,
VLOOKUP(X8,'Overlord relics'!B:M,12,FALSE)
)</f>
        <v/>
      </c>
      <c r="Z8" s="236" t="b">
        <v>0</v>
      </c>
      <c r="AA8" s="237" t="str">
        <f>IFERROR(__xludf.DUMMYFUNCTION("IF(AND(AD8=FALSE,AH8 = FALSE),
IF(ISBLANK(W8),,
FILTER(Lieutenants!$AL:$AL, Lieutenants!A:A = W8, Lieutenants!B:B = $T$5)
+
FILTER(Lieutenants!$Q:$Q, Lieutenants!A:A = W8, Lieutenants!B:B = $T$5)
)
,)"),"")</f>
        <v/>
      </c>
      <c r="AB8" s="118" t="str">
        <f>IFERROR(__xludf.DUMMYFUNCTION("IF(AND(AD8=FALSE,AH8 = FALSE),
IF(ISBLANK(W8),,
FILTER(Lieutenants!O:O, Lieutenants!A:A = W8, Lieutenants!B:B = $T$5)
)
,
)"),"")</f>
        <v/>
      </c>
      <c r="AC8" s="118" t="str">
        <f>IFERROR(__xludf.DUMMYFUNCTION("IF(AND(AD8=FALSE,AH8 = FALSE),
IF(ISBLANK(W8),,
FILTER(Lieutenants!P:P, Lieutenants!A:A = W8, Lieutenants!B:B = $T$5)
)
,
)"),"")</f>
        <v/>
      </c>
      <c r="AD8" s="238" t="b">
        <v>0</v>
      </c>
      <c r="AE8" s="237" t="str">
        <f>IFERROR(__xludf.DUMMYFUNCTION("IF(AND(Z8=FALSE,AH8 = FALSE),
IF(ISBLANK(W8),,
FILTER(Lieutenants!$AL:$AL, Lieutenants!A:A = W8, Lieutenants!B:B = $T$5)
+
FILTER(Lieutenants!$M:$M, Lieutenants!A:A = W8 , Lieutenants!B:B = $T$5)
)
,)
"),"")</f>
        <v/>
      </c>
      <c r="AF8" s="118" t="str">
        <f>IFERROR(__xludf.DUMMYFUNCTION("IF(AND(Z8=FALSE,AH8 = FALSE),
IF(ISBLANK(W8),,
FILTER(Lieutenants!K:K, Lieutenants!A:A = W8, Lieutenants!B:B = $T$5)
)
,
)"),"")</f>
        <v/>
      </c>
      <c r="AG8" s="232" t="str">
        <f>IFERROR(__xludf.DUMMYFUNCTION("IF(AND(Z8=FALSE,AH8 = FALSE),
IF(ISBLANK(W8),,
FILTER(Lieutenants!L:L, Lieutenants!A:A = W8, Lieutenants!B:B = $T$5)
)
,
)"),"")</f>
        <v/>
      </c>
      <c r="AH8" s="238" t="b">
        <v>0</v>
      </c>
      <c r="AI8" s="237" t="str">
        <f>IFERROR(__xludf.DUMMYFUNCTION("IF(AND(Z8=FALSE,AD8 = FALSE),
IF(ISBLANK(W8),,
FILTER(Lieutenants!$AL:$AL, Lieutenants!A:A = W8, Lieutenants!B:B = $T$5)
+
FILTER(Lieutenants!I:I, Lieutenants!A:A = W8, Lieutenants!B:B = $T$5)
)
,)"),"")</f>
        <v/>
      </c>
      <c r="AJ8" s="118" t="str">
        <f>IFERROR(__xludf.DUMMYFUNCTION("IF(AND(Z8=FALSE,AD8 = FALSE),
IF(ISBLANK(W8),,
FILTER(Lieutenants!G:G, Lieutenants!A:A = W8, Lieutenants!B:B = $T$5)
)
,
)"),"")</f>
        <v/>
      </c>
      <c r="AK8" s="232" t="str">
        <f>IFERROR(__xludf.DUMMYFUNCTION("IF(AND(Z8=FALSE,AD8 = FALSE),
IF(ISBLANK(W8),,
FILTER(Lieutenants!H:H, Lieutenants!A:A = W8, Lieutenants!B:B = $T$5)
)
,
)"),"")</f>
        <v/>
      </c>
    </row>
    <row r="9">
      <c r="A9" s="134"/>
      <c r="B9" s="53"/>
      <c r="C9" s="198" t="s">
        <v>834</v>
      </c>
      <c r="D9" s="232">
        <f>IFERROR(VLOOKUP(C9,'Shop Items'!$C:$W,21,FALSE),0)</f>
        <v>1.5</v>
      </c>
      <c r="E9" s="118">
        <f>IFERROR(
IF(G9 = TRUE,
VLOOKUP(F9,Classes!$C:$H,6,FALSE),0)
,0)</f>
        <v>1</v>
      </c>
      <c r="F9" s="58" t="str">
        <f>IFERROR(__xludf.DUMMYFUNCTION("""COMPUTED_VALUE"""),"Fury Of Undeath")</f>
        <v>Fury Of Undeath</v>
      </c>
      <c r="G9" s="234" t="b">
        <v>1</v>
      </c>
      <c r="H9" s="118"/>
      <c r="I9" s="53"/>
      <c r="J9" s="198"/>
      <c r="K9" s="232">
        <f>IFERROR(VLOOKUP(J9,'Shop Items'!$C:$W,21,FALSE),0)</f>
        <v>0</v>
      </c>
      <c r="L9" s="118">
        <f>IFERROR(
IF(N9 = TRUE,
VLOOKUP(M9,Classes!$C:$H,6,FALSE),0)
,0)</f>
        <v>7</v>
      </c>
      <c r="M9" s="58" t="str">
        <f>IFERROR(__xludf.DUMMYFUNCTION("""COMPUTED_VALUE"""),"Keen Edge")</f>
        <v>Keen Edge</v>
      </c>
      <c r="N9" s="234" t="b">
        <v>1</v>
      </c>
      <c r="O9" s="201"/>
      <c r="P9" s="53"/>
      <c r="Q9" s="218">
        <f>VLOOKUP(R9,vote4OVERLORD!B:G,6,FALSE)</f>
        <v>5.5</v>
      </c>
      <c r="R9" s="219" t="str">
        <f>IFERROR(__xludf.DUMMYFUNCTION("""COMPUTED_VALUE"""),"Dark Fortune")</f>
        <v>Dark Fortune</v>
      </c>
      <c r="S9" s="220" t="b">
        <v>1</v>
      </c>
      <c r="T9" s="69" t="s">
        <v>306</v>
      </c>
      <c r="U9" s="84"/>
      <c r="V9" s="203"/>
      <c r="W9" s="159"/>
      <c r="X9" s="213"/>
      <c r="Y9" s="83" t="str">
        <f>IF(ISBLANK(X9),,
VLOOKUP(X9,'Overlord relics'!B:M,12,FALSE)
)</f>
        <v/>
      </c>
      <c r="Z9" s="236" t="b">
        <v>0</v>
      </c>
      <c r="AA9" s="237" t="str">
        <f>IFERROR(__xludf.DUMMYFUNCTION("IF(AND(AD9=FALSE,AH9 = FALSE),
IF(ISBLANK(W9),,
FILTER(Lieutenants!$AL:$AL, Lieutenants!A:A = W9, Lieutenants!B:B = $T$5)
+
FILTER(Lieutenants!$Q:$Q, Lieutenants!A:A = W9, Lieutenants!B:B = $T$5)
)
,)"),"")</f>
        <v/>
      </c>
      <c r="AB9" s="118" t="str">
        <f>IFERROR(__xludf.DUMMYFUNCTION("IF(AND(AD9=FALSE,AH9 = FALSE),
IF(ISBLANK(W9),,
FILTER(Lieutenants!O:O, Lieutenants!A:A = W9, Lieutenants!B:B = $T$5)
)
,
)"),"")</f>
        <v/>
      </c>
      <c r="AC9" s="118" t="str">
        <f>IFERROR(__xludf.DUMMYFUNCTION("IF(AND(AD9=FALSE,AH9 = FALSE),
IF(ISBLANK(W9),,
FILTER(Lieutenants!P:P, Lieutenants!A:A = W9, Lieutenants!B:B = $T$5)
)
,
)"),"")</f>
        <v/>
      </c>
      <c r="AD9" s="238" t="b">
        <v>0</v>
      </c>
      <c r="AE9" s="237" t="str">
        <f>IFERROR(__xludf.DUMMYFUNCTION("IF(AND(Z9=FALSE,AH9 = FALSE),
IF(ISBLANK(W9),,
FILTER(Lieutenants!$AL:$AL, Lieutenants!A:A = W9, Lieutenants!B:B = $T$5)
+
FILTER(Lieutenants!$M:$M, Lieutenants!A:A = W9 , Lieutenants!B:B = $T$5)
)
,)
"),"")</f>
        <v/>
      </c>
      <c r="AF9" s="118" t="str">
        <f>IFERROR(__xludf.DUMMYFUNCTION("IF(AND(Z9=FALSE,AH9 = FALSE),
IF(ISBLANK(W9),,
FILTER(Lieutenants!K:K, Lieutenants!A:A = W9, Lieutenants!B:B = $T$5)
)
,
)"),"")</f>
        <v/>
      </c>
      <c r="AG9" s="232" t="str">
        <f>IFERROR(__xludf.DUMMYFUNCTION("IF(AND(Z9=FALSE,AH9 = FALSE),
IF(ISBLANK(W9),,
FILTER(Lieutenants!L:L, Lieutenants!A:A = W9, Lieutenants!B:B = $T$5)
)
,
)"),"")</f>
        <v/>
      </c>
      <c r="AH9" s="238" t="b">
        <v>0</v>
      </c>
      <c r="AI9" s="237" t="str">
        <f>IFERROR(__xludf.DUMMYFUNCTION("IF(AND(Z9=FALSE,AD9 = FALSE),
IF(ISBLANK(W9),,
FILTER(Lieutenants!$AL:$AL, Lieutenants!A:A = W9, Lieutenants!B:B = $T$5)
+
FILTER(Lieutenants!I:I, Lieutenants!A:A = W9, Lieutenants!B:B = $T$5)
)
,)"),"")</f>
        <v/>
      </c>
      <c r="AJ9" s="118" t="str">
        <f>IFERROR(__xludf.DUMMYFUNCTION("IF(AND(Z9=FALSE,AD9 = FALSE),
IF(ISBLANK(W9),,
FILTER(Lieutenants!G:G, Lieutenants!A:A = W9, Lieutenants!B:B = $T$5)
)
,
)"),"")</f>
        <v/>
      </c>
      <c r="AK9" s="232" t="str">
        <f>IFERROR(__xludf.DUMMYFUNCTION("IF(AND(Z9=FALSE,AD9 = FALSE),
IF(ISBLANK(W9),,
FILTER(Lieutenants!H:H, Lieutenants!A:A = W9, Lieutenants!B:B = $T$5)
)
,
)"),"")</f>
        <v/>
      </c>
    </row>
    <row r="10">
      <c r="A10" s="134"/>
      <c r="B10" s="53"/>
      <c r="C10" s="198"/>
      <c r="D10" s="232">
        <f>IFERROR(VLOOKUP(C10,'Shop Items'!$C:$W,21,FALSE),0)</f>
        <v>0</v>
      </c>
      <c r="E10" s="118">
        <f>IFERROR(
IF(G10 = TRUE,
VLOOKUP(F10,Classes!$C:$H,6,FALSE),0)
,0)</f>
        <v>0</v>
      </c>
      <c r="F10" s="58" t="str">
        <f>IFERROR(__xludf.DUMMYFUNCTION("""COMPUTED_VALUE"""),"Deathly Haste")</f>
        <v>Deathly Haste</v>
      </c>
      <c r="G10" s="234" t="b">
        <v>0</v>
      </c>
      <c r="H10" s="118"/>
      <c r="I10" s="53"/>
      <c r="J10" s="198"/>
      <c r="K10" s="232">
        <f>IFERROR(VLOOKUP(J10,'Shop Items'!$C:$W,21,FALSE),0)</f>
        <v>0</v>
      </c>
      <c r="L10" s="118">
        <f>IFERROR(
IF(N10 = TRUE,
VLOOKUP(M10,Classes!$C:$H,6,FALSE),0)
,0)</f>
        <v>0</v>
      </c>
      <c r="M10" s="58" t="str">
        <f>IFERROR(__xludf.DUMMYFUNCTION("""COMPUTED_VALUE"""),"Deep Wounds")</f>
        <v>Deep Wounds</v>
      </c>
      <c r="N10" s="234" t="b">
        <v>0</v>
      </c>
      <c r="O10" s="201"/>
      <c r="P10" s="53"/>
      <c r="Q10" s="218">
        <f>VLOOKUP(R10,vote4OVERLORD!B:G,6,FALSE)</f>
        <v>3.5</v>
      </c>
      <c r="R10" s="219" t="str">
        <f>IFERROR(__xludf.DUMMYFUNCTION("""COMPUTED_VALUE"""),"Pit Trap")</f>
        <v>Pit Trap</v>
      </c>
      <c r="S10" s="220" t="b">
        <v>1</v>
      </c>
      <c r="T10" s="239">
        <f>VLOOKUP(U10,vote4Plot!B:F,5,FALSE)</f>
        <v>4.5</v>
      </c>
      <c r="U10" s="219" t="str">
        <f>IFERROR(__xludf.DUMMYFUNCTION("IF(ISBLANK(T9),,
FILTER(vote4Plot!B3:B172,vote4Plot!B3:B172 &lt;&gt; """",vote4Plot!A3:A172 = T9)
)"),"Wild Energy")</f>
        <v>Wild Energy</v>
      </c>
      <c r="V10" s="240" t="b">
        <v>1</v>
      </c>
      <c r="W10" s="241" t="s">
        <v>1430</v>
      </c>
      <c r="X10" s="242"/>
      <c r="Y10" s="243"/>
      <c r="Z10" s="244" t="s">
        <v>1405</v>
      </c>
      <c r="AA10" s="242"/>
      <c r="AB10" s="242"/>
      <c r="AC10" s="243"/>
      <c r="AD10" s="245" t="s">
        <v>1406</v>
      </c>
      <c r="AE10" s="242"/>
      <c r="AF10" s="242"/>
      <c r="AG10" s="243"/>
      <c r="AH10" s="245" t="s">
        <v>1407</v>
      </c>
      <c r="AI10" s="242"/>
      <c r="AJ10" s="242"/>
      <c r="AK10" s="243"/>
    </row>
    <row r="11">
      <c r="A11" s="134"/>
      <c r="B11" s="53"/>
      <c r="C11" s="198"/>
      <c r="D11" s="232">
        <f>IFERROR(VLOOKUP(C11,'Shop Items'!$C:$W,21,FALSE),0)</f>
        <v>0</v>
      </c>
      <c r="E11" s="118">
        <f>IFERROR(
IF(G11 = TRUE,
VLOOKUP(F11,Classes!$C:$H,6,FALSE),0)
,0)</f>
        <v>0</v>
      </c>
      <c r="F11" s="58" t="str">
        <f>IFERROR(__xludf.DUMMYFUNCTION("""COMPUTED_VALUE"""),"Vampiric Blood")</f>
        <v>Vampiric Blood</v>
      </c>
      <c r="G11" s="232" t="b">
        <v>0</v>
      </c>
      <c r="H11" s="118"/>
      <c r="I11" s="53"/>
      <c r="J11" s="198"/>
      <c r="K11" s="232">
        <f>IFERROR(VLOOKUP(J11,'Shop Items'!$C:$W,21,FALSE),0)</f>
        <v>0</v>
      </c>
      <c r="L11" s="118">
        <f>IFERROR(
IF(N11 = TRUE,
VLOOKUP(M11,Classes!$C:$H,6,FALSE),0)
,0)</f>
        <v>0</v>
      </c>
      <c r="M11" s="58" t="str">
        <f>IFERROR(__xludf.DUMMYFUNCTION("""COMPUTED_VALUE"""),"Unrelenting")</f>
        <v>Unrelenting</v>
      </c>
      <c r="N11" s="232" t="b">
        <v>0</v>
      </c>
      <c r="O11" s="201"/>
      <c r="P11" s="53"/>
      <c r="Q11" s="218">
        <f>VLOOKUP(R11,vote4OVERLORD!B:G,6,FALSE)</f>
        <v>5</v>
      </c>
      <c r="R11" s="219" t="str">
        <f>IFERROR(__xludf.DUMMYFUNCTION("""COMPUTED_VALUE"""),"Critical Blow")</f>
        <v>Critical Blow</v>
      </c>
      <c r="S11" s="220" t="b">
        <v>1</v>
      </c>
      <c r="T11" s="239">
        <f>VLOOKUP(U11,vote4Plot!B:F,5,FALSE)</f>
        <v>4</v>
      </c>
      <c r="U11" s="68" t="str">
        <f>IFERROR(__xludf.DUMMYFUNCTION("""COMPUTED_VALUE"""),"Pariah")</f>
        <v>Pariah</v>
      </c>
      <c r="V11" s="240" t="b">
        <v>1</v>
      </c>
      <c r="W11" s="246" t="str">
        <f t="array" ref="W11:W1009">SORT(Variables!O2:O70,Variables!P2:P70,FALSE)</f>
        <v>Changeling</v>
      </c>
      <c r="Z11" s="205" t="b">
        <v>0</v>
      </c>
      <c r="AA11" s="206">
        <f>IFERROR(__xludf.DUMMYFUNCTION(" IFERROR(
IF(AND(AD11=FALSE,AH11 = FALSE),
(FILTER(Monsters!$AQ:$AQ, Monsters!$A:$A = W11 , Monsters!$D:$D  = $T$5, Monsters!$B:$B = ""Master"")
*
FILTER(Monsters!$AN:$AN, Monsters!$A:$A = W11 , Monsters!$D:$D  = $T$5, Monsters!$B:$B = ""Master"")
)
+
(FI"&amp;"LTER(Monsters!$AQ:$AQ, Monsters!$A:$A = W11 , Monsters!$D:$D  = $T$5, Monsters!$B:$B = ""Minion"")
*
FILTER(Monsters!$AN:$AN, Monsters!$A:$A = W11 , Monsters!$D:$D  = $T$5, Monsters!$B:$B = ""Minion"")
)
,)
,
)"),101.82166666666667)</f>
        <v>101.8216667</v>
      </c>
      <c r="AC11" s="207" t="str">
        <f>IFERROR(__xludf.DUMMYFUNCTION(" IFERROR(
IF(AND(AD11=FALSE,AH11 = FALSE),
CONCATENATE(
FILTER(Monsters!$AN:$AN, Monsters!$A:$A = W11 , Monsters!$D:$D  = $T$5, Monsters!$B:$B = ""Master"")
,
""/""
,
FILTER(Monsters!$AN:$AN, Monsters!$A:$A = W11 , Monsters!$D:$D  = $T$5, Monsters!$B:$B "&amp;"= ""Minion"")
)
,)
)"),"1/3")</f>
        <v>1/3</v>
      </c>
      <c r="AD11" s="205" t="b">
        <v>0</v>
      </c>
      <c r="AE11" s="206">
        <f>IFERROR(__xludf.DUMMYFUNCTION(" IFERROR(
IF(AND(Z11=FALSE,AH11 = FALSE),
(FILTER(Monsters!$AQ:$AQ, Monsters!$A:$A = W11 , Monsters!$D:$D  = $T$5, Monsters!$B:$B = ""Master"")
*
FILTER(Monsters!$AL:$AL, Monsters!$A:$A = W11 , Monsters!$D:$D  = $T$5, Monsters!$B:$B = ""Master"")
)
+
(FIL"&amp;"TER(Monsters!$AQ:$AQ, Monsters!$A:$A = W11 , Monsters!$D:$D  = $T$5, Monsters!$B:$B = ""Minion"")
*
FILTER(Monsters!$AL:$AL, Monsters!$A:$A = W11 , Monsters!$D:$D  = $T$5, Monsters!$B:$B = ""Minion"")
)
,)
,
)"),79.87666666666667)</f>
        <v>79.87666667</v>
      </c>
      <c r="AG11" s="207" t="str">
        <f>IFERROR(__xludf.DUMMYFUNCTION(" IFERROR(
IF(AND(Z11=FALSE,AH11 = FALSE),
CONCATENATE(
FILTER(Monsters!$AL:$AL, Monsters!$A:$A = W11 , Monsters!$D:$D  = $T$5, Monsters!$B:$B = ""Master"")
,
""/""
,
FILTER(Monsters!$AL:$AL, Monsters!$A:$A = W11 , Monsters!$D:$D  = $T$5, Monsters!$B:$B ="&amp;" ""Minion"")
)
,)
)"),"1/2")</f>
        <v>1/2</v>
      </c>
      <c r="AH11" s="205" t="b">
        <v>0</v>
      </c>
      <c r="AI11" s="206">
        <f>IFERROR(__xludf.DUMMYFUNCTION(" IFERROR(
IF(AND(Z11=FALSE,AD11 = FALSE),
(FILTER(Monsters!$AQ:$AQ, Monsters!$A:$A = W11 , Monsters!$D:$D  = $T$5, Monsters!$B:$B = ""Master"")
*
FILTER(Monsters!$AJ:$AJ, Monsters!$A:$A = W11 , Monsters!$D:$D  = $T$5, Monsters!$B:$B = ""Master"")
)
+
(FIL"&amp;"TER(Monsters!$AQ:$AQ, Monsters!$A:$A = W11 , Monsters!$D:$D  = $T$5, Monsters!$B:$B = ""Minion"")
*
FILTER(Monsters!$AJ:$AJ, Monsters!$A:$A = W11 , Monsters!$D:$D  = $T$5, Monsters!$B:$B = ""Minion"")
)
,)
,
)"),57.931666666666665)</f>
        <v>57.93166667</v>
      </c>
      <c r="AK11" s="207" t="str">
        <f>IFERROR(__xludf.DUMMYFUNCTION(" IFERROR(
IF(AND(Z11=FALSE,AD11 = FALSE),
CONCATENATE(
FILTER(Monsters!$AJ:$AJ, Monsters!$A:$A = W11 , Monsters!$D:$D  = $T$5, Monsters!$B:$B = ""Master"")
,
""/""
,
FILTER(Monsters!$AJ:$AJ, Monsters!$A:$A = W11 , Monsters!$D:$D  = $T$5, Monsters!$B:$B = "&amp;"""Minion"")
)
,)
,
)"),"1/1")</f>
        <v>1/1</v>
      </c>
    </row>
    <row r="12">
      <c r="A12" s="134"/>
      <c r="B12" s="53"/>
      <c r="C12" s="198"/>
      <c r="D12" s="232">
        <f>IFERROR(VLOOKUP(C12,'Shop Items'!$C:$W,21,FALSE),0)</f>
        <v>0</v>
      </c>
      <c r="E12" s="118">
        <f>IFERROR(
IF(G12 = TRUE,
VLOOKUP(F12,Classes!$C:$H,6,FALSE),0)
,0)</f>
        <v>6</v>
      </c>
      <c r="F12" s="58" t="str">
        <f>IFERROR(__xludf.DUMMYFUNCTION("""COMPUTED_VALUE"""),"Dark Pact")</f>
        <v>Dark Pact</v>
      </c>
      <c r="G12" s="234" t="b">
        <v>1</v>
      </c>
      <c r="H12" s="118"/>
      <c r="I12" s="53"/>
      <c r="J12" s="198"/>
      <c r="K12" s="232">
        <f>IFERROR(VLOOKUP(J12,'Shop Items'!$C:$W,21,FALSE),0)</f>
        <v>0</v>
      </c>
      <c r="L12" s="118">
        <f>IFERROR(
IF(N12 = TRUE,
VLOOKUP(M12,Classes!$C:$H,6,FALSE),0)
,0)</f>
        <v>0</v>
      </c>
      <c r="M12" s="58" t="str">
        <f>IFERROR(__xludf.DUMMYFUNCTION("""COMPUTED_VALUE"""),"Born in Battle")</f>
        <v>Born in Battle</v>
      </c>
      <c r="N12" s="234" t="b">
        <v>0</v>
      </c>
      <c r="O12" s="201"/>
      <c r="P12" s="53"/>
      <c r="Q12" s="218">
        <f>VLOOKUP(R12,vote4OVERLORD!B:G,6,FALSE)</f>
        <v>2.5</v>
      </c>
      <c r="R12" s="219" t="str">
        <f>IFERROR(__xludf.DUMMYFUNCTION("""COMPUTED_VALUE"""),"Poison Dart")</f>
        <v>Poison Dart</v>
      </c>
      <c r="S12" s="220" t="b">
        <v>0</v>
      </c>
      <c r="T12" s="239">
        <f>VLOOKUP(U12,vote4Plot!B:F,5,FALSE)</f>
        <v>0</v>
      </c>
      <c r="U12" s="219" t="str">
        <f>IFERROR(__xludf.DUMMYFUNCTION("""COMPUTED_VALUE"""),"Power and Sacrifice")</f>
        <v>Power and Sacrifice</v>
      </c>
      <c r="V12" s="240" t="b">
        <v>0</v>
      </c>
      <c r="W12" s="247" t="s">
        <v>1431</v>
      </c>
      <c r="Z12" s="214" t="b">
        <v>0</v>
      </c>
      <c r="AA12" s="215">
        <f>IFERROR(__xludf.DUMMYFUNCTION(" IFERROR(
IF(AND(AD12=FALSE,AH12 = FALSE),
(FILTER(Monsters!$AQ:$AQ, Monsters!$A:$A = W12 , Monsters!$D:$D  = $T$5, Monsters!$B:$B = ""Master"")
*
FILTER(Monsters!$AN:$AN, Monsters!$A:$A = W12 , Monsters!$D:$D  = $T$5, Monsters!$B:$B = ""Master"")
)
+
(FI"&amp;"LTER(Monsters!$AQ:$AQ, Monsters!$A:$A = W12 , Monsters!$D:$D  = $T$5, Monsters!$B:$B = ""Minion"")
*
FILTER(Monsters!$AN:$AN, Monsters!$A:$A = W12 , Monsters!$D:$D  = $T$5, Monsters!$B:$B = ""Minion"")
)
,)
,
)"),98.835)</f>
        <v>98.835</v>
      </c>
      <c r="AC12" s="216" t="str">
        <f>IFERROR(__xludf.DUMMYFUNCTION(" IFERROR(
IF(AND(AD12=FALSE,AH12 = FALSE),
CONCATENATE(
FILTER(Monsters!$AN:$AN, Monsters!$A:$A = W12 , Monsters!$D:$D  = $T$5, Monsters!$B:$B = ""Master"")
,
""/""
,
FILTER(Monsters!$AN:$AN, Monsters!$A:$A = W12 , Monsters!$D:$D  = $T$5, Monsters!$B:$B "&amp;"= ""Minion"")
)
,)
)"),"1/2")</f>
        <v>1/2</v>
      </c>
      <c r="AD12" s="214" t="b">
        <v>0</v>
      </c>
      <c r="AE12" s="215">
        <f>IFERROR(__xludf.DUMMYFUNCTION(" IFERROR(
IF(AND(Z12=FALSE,AH12 = FALSE),
(FILTER(Monsters!$AQ:$AQ, Monsters!$A:$A = W12 , Monsters!$D:$D  = $T$5, Monsters!$B:$B = ""Master"")
*
FILTER(Monsters!$AL:$AL, Monsters!$A:$A = W12 , Monsters!$D:$D  = $T$5, Monsters!$B:$B = ""Master"")
)
+
(FIL"&amp;"TER(Monsters!$AQ:$AQ, Monsters!$A:$A = W12 , Monsters!$D:$D  = $T$5, Monsters!$B:$B = ""Minion"")
*
FILTER(Monsters!$AL:$AL, Monsters!$A:$A = W12 , Monsters!$D:$D  = $T$5, Monsters!$B:$B = ""Minion"")
)
,)
,
)"),73.64)</f>
        <v>73.64</v>
      </c>
      <c r="AG12" s="216" t="str">
        <f>IFERROR(__xludf.DUMMYFUNCTION(" IFERROR(
IF(AND(Z12=FALSE,AH12 = FALSE),
CONCATENATE(
FILTER(Monsters!$AL:$AL, Monsters!$A:$A = W12 , Monsters!$D:$D  = $T$5, Monsters!$B:$B = ""Master"")
,
""/""
,
FILTER(Monsters!$AL:$AL, Monsters!$A:$A = W12 , Monsters!$D:$D  = $T$5, Monsters!$B:$B ="&amp;" ""Minion"")
)
,)
)"),"1/1")</f>
        <v>1/1</v>
      </c>
      <c r="AH12" s="214" t="b">
        <v>0</v>
      </c>
      <c r="AI12" s="215">
        <f>IFERROR(__xludf.DUMMYFUNCTION(" IFERROR(
IF(AND(Z12=FALSE,AD12 = FALSE),
(FILTER(Monsters!$AQ:$AQ, Monsters!$A:$A = W12 , Monsters!$D:$D  = $T$5, Monsters!$B:$B = ""Master"")
*
FILTER(Monsters!$AJ:$AJ, Monsters!$A:$A = W12 , Monsters!$D:$D  = $T$5, Monsters!$B:$B = ""Master"")
)
+
(FIL"&amp;"TER(Monsters!$AQ:$AQ, Monsters!$A:$A = W12 , Monsters!$D:$D  = $T$5, Monsters!$B:$B = ""Minion"")
*
FILTER(Monsters!$AJ:$AJ, Monsters!$A:$A = W12 , Monsters!$D:$D  = $T$5, Monsters!$B:$B = ""Minion"")
)
,)
,
)"),48.445)</f>
        <v>48.445</v>
      </c>
      <c r="AK12" s="216" t="str">
        <f>IFERROR(__xludf.DUMMYFUNCTION(" IFERROR(
IF(AND(Z12=FALSE,AD12 = FALSE),
CONCATENATE(
FILTER(Monsters!$AJ:$AJ, Monsters!$A:$A = W12 , Monsters!$D:$D  = $T$5, Monsters!$B:$B = ""Master"")
,
""/""
,
FILTER(Monsters!$AJ:$AJ, Monsters!$A:$A = W12 , Monsters!$D:$D  = $T$5, Monsters!$B:$B = "&amp;"""Minion"")
)
,)
,
)"),"1/0")</f>
        <v>1/0</v>
      </c>
    </row>
    <row r="13">
      <c r="A13" s="134"/>
      <c r="B13" s="53"/>
      <c r="C13" s="198"/>
      <c r="D13" s="232">
        <f>IFERROR(VLOOKUP(C13,'Shop Items'!$C:$W,21,FALSE),0)</f>
        <v>0</v>
      </c>
      <c r="E13" s="118">
        <f>IFERROR(
IF(G13 = TRUE,
VLOOKUP(F13,Classes!$C:$H,6,FALSE),0)
,0)</f>
        <v>1.5</v>
      </c>
      <c r="F13" s="58" t="str">
        <f>IFERROR(__xludf.DUMMYFUNCTION("""COMPUTED_VALUE"""),"Undead Might")</f>
        <v>Undead Might</v>
      </c>
      <c r="G13" s="234" t="b">
        <v>1</v>
      </c>
      <c r="H13" s="118"/>
      <c r="I13" s="53"/>
      <c r="J13" s="198"/>
      <c r="K13" s="232">
        <f>IFERROR(VLOOKUP(J13,'Shop Items'!$C:$W,21,FALSE),0)</f>
        <v>0</v>
      </c>
      <c r="L13" s="118">
        <f>IFERROR(
IF(N13 = TRUE,
VLOOKUP(M13,Classes!$C:$H,6,FALSE),0)
,0)</f>
        <v>0</v>
      </c>
      <c r="M13" s="58" t="str">
        <f>IFERROR(__xludf.DUMMYFUNCTION("""COMPUTED_VALUE"""),"Ever in Motion")</f>
        <v>Ever in Motion</v>
      </c>
      <c r="N13" s="234" t="b">
        <v>0</v>
      </c>
      <c r="O13" s="201"/>
      <c r="P13" s="53"/>
      <c r="Q13" s="218">
        <f>VLOOKUP(R13,vote4OVERLORD!B:G,6,FALSE)</f>
        <v>8.5</v>
      </c>
      <c r="R13" s="219" t="str">
        <f>IFERROR(__xludf.DUMMYFUNCTION("""COMPUTED_VALUE"""),"Word of Misery")</f>
        <v>Word of Misery</v>
      </c>
      <c r="S13" s="220" t="b">
        <v>1</v>
      </c>
      <c r="T13" s="239">
        <f>VLOOKUP(U13,vote4Plot!B:F,5,FALSE)</f>
        <v>2</v>
      </c>
      <c r="U13" s="219" t="str">
        <f>IFERROR(__xludf.DUMMYFUNCTION("""COMPUTED_VALUE"""),"Explosive Fall")</f>
        <v>Explosive Fall</v>
      </c>
      <c r="V13" s="240" t="b">
        <v>1</v>
      </c>
      <c r="W13" s="246" t="s">
        <v>1432</v>
      </c>
      <c r="Z13" s="205" t="b">
        <v>0</v>
      </c>
      <c r="AA13" s="206">
        <f>IFERROR(__xludf.DUMMYFUNCTION(" IFERROR(
IF(AND(AD13=FALSE,AH13 = FALSE),
(FILTER(Monsters!$AQ:$AQ, Monsters!$A:$A = W13 , Monsters!$D:$D  = $T$5, Monsters!$B:$B = ""Master"")
*
FILTER(Monsters!$AN:$AN, Monsters!$A:$A = W13 , Monsters!$D:$D  = $T$5, Monsters!$B:$B = ""Master"")
)
+
(FI"&amp;"LTER(Monsters!$AQ:$AQ, Monsters!$A:$A = W13 , Monsters!$D:$D  = $T$5, Monsters!$B:$B = ""Minion"")
*
FILTER(Monsters!$AN:$AN, Monsters!$A:$A = W13 , Monsters!$D:$D  = $T$5, Monsters!$B:$B = ""Minion"")
)
,)
,
)"),96.45999999999998)</f>
        <v>96.46</v>
      </c>
      <c r="AC13" s="207" t="str">
        <f>IFERROR(__xludf.DUMMYFUNCTION(" IFERROR(
IF(AND(AD13=FALSE,AH13 = FALSE),
CONCATENATE(
FILTER(Monsters!$AN:$AN, Monsters!$A:$A = W13 , Monsters!$D:$D  = $T$5, Monsters!$B:$B = ""Master"")
,
""/""
,
FILTER(Monsters!$AN:$AN, Monsters!$A:$A = W13 , Monsters!$D:$D  = $T$5, Monsters!$B:$B "&amp;"= ""Minion"")
)
,)
)"),"1/1")</f>
        <v>1/1</v>
      </c>
      <c r="AD13" s="205" t="b">
        <v>0</v>
      </c>
      <c r="AE13" s="206">
        <f>IFERROR(__xludf.DUMMYFUNCTION(" IFERROR(
IF(AND(Z13=FALSE,AH13 = FALSE),
(FILTER(Monsters!$AQ:$AQ, Monsters!$A:$A = W13 , Monsters!$D:$D  = $T$5, Monsters!$B:$B = ""Master"")
*
FILTER(Monsters!$AL:$AL, Monsters!$A:$A = W13 , Monsters!$D:$D  = $T$5, Monsters!$B:$B = ""Master"")
)
+
(FIL"&amp;"TER(Monsters!$AQ:$AQ, Monsters!$A:$A = W13 , Monsters!$D:$D  = $T$5, Monsters!$B:$B = ""Minion"")
*
FILTER(Monsters!$AL:$AL, Monsters!$A:$A = W13 , Monsters!$D:$D  = $T$5, Monsters!$B:$B = ""Minion"")
)
,)
,
)"),54.72999999999999)</f>
        <v>54.73</v>
      </c>
      <c r="AG13" s="207" t="str">
        <f>IFERROR(__xludf.DUMMYFUNCTION(" IFERROR(
IF(AND(Z13=FALSE,AH13 = FALSE),
CONCATENATE(
FILTER(Monsters!$AL:$AL, Monsters!$A:$A = W13 , Monsters!$D:$D  = $T$5, Monsters!$B:$B = ""Master"")
,
""/""
,
FILTER(Monsters!$AL:$AL, Monsters!$A:$A = W13 , Monsters!$D:$D  = $T$5, Monsters!$B:$B ="&amp;" ""Minion"")
)
,)
)"),"1/0")</f>
        <v>1/0</v>
      </c>
      <c r="AH13" s="205" t="b">
        <v>0</v>
      </c>
      <c r="AI13" s="206">
        <f>IFERROR(__xludf.DUMMYFUNCTION(" IFERROR(
IF(AND(Z13=FALSE,AD13 = FALSE),
(FILTER(Monsters!$AQ:$AQ, Monsters!$A:$A = W13 , Monsters!$D:$D  = $T$5, Monsters!$B:$B = ""Master"")
*
FILTER(Monsters!$AJ:$AJ, Monsters!$A:$A = W13 , Monsters!$D:$D  = $T$5, Monsters!$B:$B = ""Master"")
)
+
(FIL"&amp;"TER(Monsters!$AQ:$AQ, Monsters!$A:$A = W13 , Monsters!$D:$D  = $T$5, Monsters!$B:$B = ""Minion"")
*
FILTER(Monsters!$AJ:$AJ, Monsters!$A:$A = W13 , Monsters!$D:$D  = $T$5, Monsters!$B:$B = ""Minion"")
)
,)
,
)"),41.73)</f>
        <v>41.73</v>
      </c>
      <c r="AK13" s="207" t="str">
        <f>IFERROR(__xludf.DUMMYFUNCTION(" IFERROR(
IF(AND(Z13=FALSE,AD13 = FALSE),
CONCATENATE(
FILTER(Monsters!$AJ:$AJ, Monsters!$A:$A = W13 , Monsters!$D:$D  = $T$5, Monsters!$B:$B = ""Master"")
,
""/""
,
FILTER(Monsters!$AJ:$AJ, Monsters!$A:$A = W13 , Monsters!$D:$D  = $T$5, Monsters!$B:$B = "&amp;"""Minion"")
)
,)
,
)"),"0/1")</f>
        <v>0/1</v>
      </c>
    </row>
    <row r="14">
      <c r="A14" s="134"/>
      <c r="B14" s="53"/>
      <c r="C14" s="198"/>
      <c r="D14" s="232">
        <f>IFERROR(VLOOKUP(C14,'Shop Items'!$C:$W,21,FALSE),0)</f>
        <v>0</v>
      </c>
      <c r="E14" s="118">
        <f>IFERROR(
IF(G14 = TRUE,
VLOOKUP(F14,Classes!$C:$H,6,FALSE),0)
,0)</f>
        <v>0</v>
      </c>
      <c r="F14" s="58" t="str">
        <f>IFERROR(__xludf.DUMMYFUNCTION("""COMPUTED_VALUE"""),"Dying Command")</f>
        <v>Dying Command</v>
      </c>
      <c r="G14" s="232" t="b">
        <v>0</v>
      </c>
      <c r="H14" s="118"/>
      <c r="I14" s="53"/>
      <c r="J14" s="198"/>
      <c r="K14" s="232">
        <f>IFERROR(VLOOKUP(J14,'Shop Items'!$C:$W,21,FALSE),0)</f>
        <v>0</v>
      </c>
      <c r="L14" s="118">
        <f>IFERROR(
IF(N14 = TRUE,
VLOOKUP(M14,Classes!$C:$H,6,FALSE),0)
,0)</f>
        <v>4.5</v>
      </c>
      <c r="M14" s="58" t="str">
        <f>IFERROR(__xludf.DUMMYFUNCTION("""COMPUTED_VALUE"""),"Unstoppable")</f>
        <v>Unstoppable</v>
      </c>
      <c r="N14" s="234" t="b">
        <v>1</v>
      </c>
      <c r="O14" s="201"/>
      <c r="P14" s="53"/>
      <c r="Q14" s="218">
        <f>VLOOKUP(R14,vote4OVERLORD!B:G,6,FALSE)</f>
        <v>4</v>
      </c>
      <c r="R14" s="219" t="str">
        <f>IFERROR(__xludf.DUMMYFUNCTION("""COMPUTED_VALUE"""),"Dark Charm")</f>
        <v>Dark Charm</v>
      </c>
      <c r="S14" s="220" t="b">
        <v>1</v>
      </c>
      <c r="T14" s="239">
        <f>VLOOKUP(U14,vote4Plot!B:F,5,FALSE)</f>
        <v>-1</v>
      </c>
      <c r="U14" s="219" t="str">
        <f>IFERROR(__xludf.DUMMYFUNCTION("""COMPUTED_VALUE"""),"Mortal Coil")</f>
        <v>Mortal Coil</v>
      </c>
      <c r="V14" s="240" t="b">
        <v>1</v>
      </c>
      <c r="W14" s="247" t="s">
        <v>1433</v>
      </c>
      <c r="Z14" s="214" t="b">
        <v>0</v>
      </c>
      <c r="AA14" s="215">
        <f>IFERROR(__xludf.DUMMYFUNCTION(" IFERROR(
IF(AND(AD14=FALSE,AH14 = FALSE),
(FILTER(Monsters!$AQ:$AQ, Monsters!$A:$A = W14 , Monsters!$D:$D  = $T$5, Monsters!$B:$B = ""Master"")
*
FILTER(Monsters!$AN:$AN, Monsters!$A:$A = W14 , Monsters!$D:$D  = $T$5, Monsters!$B:$B = ""Master"")
)
+
(FI"&amp;"LTER(Monsters!$AQ:$AQ, Monsters!$A:$A = W14 , Monsters!$D:$D  = $T$5, Monsters!$B:$B = ""Minion"")
*
FILTER(Monsters!$AN:$AN, Monsters!$A:$A = W14 , Monsters!$D:$D  = $T$5, Monsters!$B:$B = ""Minion"")
)
,)
,
)"),90.41666666666667)</f>
        <v>90.41666667</v>
      </c>
      <c r="AC14" s="216" t="str">
        <f>IFERROR(__xludf.DUMMYFUNCTION(" IFERROR(
IF(AND(AD14=FALSE,AH14 = FALSE),
CONCATENATE(
FILTER(Monsters!$AN:$AN, Monsters!$A:$A = W14 , Monsters!$D:$D  = $T$5, Monsters!$B:$B = ""Master"")
,
""/""
,
FILTER(Monsters!$AN:$AN, Monsters!$A:$A = W14 , Monsters!$D:$D  = $T$5, Monsters!$B:$B "&amp;"= ""Minion"")
)
,)
)"),"1/4")</f>
        <v>1/4</v>
      </c>
      <c r="AD14" s="214" t="b">
        <v>0</v>
      </c>
      <c r="AE14" s="215">
        <f>IFERROR(__xludf.DUMMYFUNCTION(" IFERROR(
IF(AND(Z14=FALSE,AH14 = FALSE),
(FILTER(Monsters!$AQ:$AQ, Monsters!$A:$A = W14 , Monsters!$D:$D  = $T$5, Monsters!$B:$B = ""Master"")
*
FILTER(Monsters!$AL:$AL, Monsters!$A:$A = W14 , Monsters!$D:$D  = $T$5, Monsters!$B:$B = ""Master"")
)
+
(FIL"&amp;"TER(Monsters!$AQ:$AQ, Monsters!$A:$A = W14 , Monsters!$D:$D  = $T$5, Monsters!$B:$B = ""Minion"")
*
FILTER(Monsters!$AL:$AL, Monsters!$A:$A = W14 , Monsters!$D:$D  = $T$5, Monsters!$B:$B = ""Minion"")
)
,)
,
)"),74.35000000000001)</f>
        <v>74.35</v>
      </c>
      <c r="AG14" s="216" t="str">
        <f>IFERROR(__xludf.DUMMYFUNCTION(" IFERROR(
IF(AND(Z14=FALSE,AH14 = FALSE),
CONCATENATE(
FILTER(Monsters!$AL:$AL, Monsters!$A:$A = W14 , Monsters!$D:$D  = $T$5, Monsters!$B:$B = ""Master"")
,
""/""
,
FILTER(Monsters!$AL:$AL, Monsters!$A:$A = W14 , Monsters!$D:$D  = $T$5, Monsters!$B:$B ="&amp;" ""Minion"")
)
,)
)"),"1/3")</f>
        <v>1/3</v>
      </c>
      <c r="AH14" s="214" t="b">
        <v>0</v>
      </c>
      <c r="AI14" s="215">
        <f>IFERROR(__xludf.DUMMYFUNCTION(" IFERROR(
IF(AND(Z14=FALSE,AD14 = FALSE),
(FILTER(Monsters!$AQ:$AQ, Monsters!$A:$A = W14 , Monsters!$D:$D  = $T$5, Monsters!$B:$B = ""Master"")
*
FILTER(Monsters!$AJ:$AJ, Monsters!$A:$A = W14 , Monsters!$D:$D  = $T$5, Monsters!$B:$B = ""Master"")
)
+
(FIL"&amp;"TER(Monsters!$AQ:$AQ, Monsters!$A:$A = W14 , Monsters!$D:$D  = $T$5, Monsters!$B:$B = ""Minion"")
*
FILTER(Monsters!$AJ:$AJ, Monsters!$A:$A = W14 , Monsters!$D:$D  = $T$5, Monsters!$B:$B = ""Minion"")
)
,)
,
)"),58.28333333333333)</f>
        <v>58.28333333</v>
      </c>
      <c r="AK14" s="216" t="str">
        <f>IFERROR(__xludf.DUMMYFUNCTION(" IFERROR(
IF(AND(Z14=FALSE,AD14 = FALSE),
CONCATENATE(
FILTER(Monsters!$AJ:$AJ, Monsters!$A:$A = W14 , Monsters!$D:$D  = $T$5, Monsters!$B:$B = ""Master"")
,
""/""
,
FILTER(Monsters!$AJ:$AJ, Monsters!$A:$A = W14 , Monsters!$D:$D  = $T$5, Monsters!$B:$B = "&amp;"""Minion"")
)
,)
,
)"),"1/2")</f>
        <v>1/2</v>
      </c>
    </row>
    <row r="15">
      <c r="A15" s="134"/>
      <c r="B15" s="53"/>
      <c r="C15" s="198"/>
      <c r="D15" s="232">
        <f>IFERROR(VLOOKUP(C15,'Shop Items'!$C:$W,21,FALSE),0)</f>
        <v>0</v>
      </c>
      <c r="E15" s="118">
        <f>IFERROR(
IF(G15 = TRUE,
VLOOKUP(F15,Classes!$C:$H,6,FALSE),0)
,0)</f>
        <v>0</v>
      </c>
      <c r="F15" s="58" t="str">
        <f>IFERROR(__xludf.DUMMYFUNCTION("""COMPUTED_VALUE"""),"Army Of Death")</f>
        <v>Army Of Death</v>
      </c>
      <c r="G15" s="232" t="b">
        <v>0</v>
      </c>
      <c r="H15" s="118"/>
      <c r="I15" s="53"/>
      <c r="J15" s="198"/>
      <c r="K15" s="232">
        <f>IFERROR(VLOOKUP(J15,'Shop Items'!$C:$W,21,FALSE),0)</f>
        <v>0</v>
      </c>
      <c r="L15" s="118">
        <f>IFERROR(
IF(N15 = TRUE,
VLOOKUP(M15,Classes!$C:$H,6,FALSE),0)
,0)</f>
        <v>0</v>
      </c>
      <c r="M15" s="58" t="str">
        <f>IFERROR(__xludf.DUMMYFUNCTION("""COMPUTED_VALUE"""),"Carve a Path")</f>
        <v>Carve a Path</v>
      </c>
      <c r="N15" s="234" t="b">
        <v>0</v>
      </c>
      <c r="O15" s="201"/>
      <c r="P15" s="53"/>
      <c r="Q15" s="218">
        <f>VLOOKUP(R15,vote4OVERLORD!B:G,6,FALSE)</f>
        <v>4.5</v>
      </c>
      <c r="R15" s="219" t="str">
        <f>IFERROR(__xludf.DUMMYFUNCTION("""COMPUTED_VALUE"""),"Dark Might")</f>
        <v>Dark Might</v>
      </c>
      <c r="S15" s="220" t="b">
        <v>1</v>
      </c>
      <c r="T15" s="239">
        <f>VLOOKUP(U15,vote4Plot!B:F,5,FALSE)</f>
        <v>-4</v>
      </c>
      <c r="U15" s="219" t="str">
        <f>IFERROR(__xludf.DUMMYFUNCTION("""COMPUTED_VALUE"""),"Descend into Madness")</f>
        <v>Descend into Madness</v>
      </c>
      <c r="V15" s="83" t="b">
        <v>0</v>
      </c>
      <c r="W15" s="246" t="s">
        <v>1434</v>
      </c>
      <c r="Z15" s="205" t="b">
        <v>0</v>
      </c>
      <c r="AA15" s="206">
        <f>IFERROR(__xludf.DUMMYFUNCTION(" IFERROR(
IF(AND(AD15=FALSE,AH15 = FALSE),
(FILTER(Monsters!$AQ:$AQ, Monsters!$A:$A = W15 , Monsters!$D:$D  = $T$5, Monsters!$B:$B = ""Master"")
*
FILTER(Monsters!$AN:$AN, Monsters!$A:$A = W15 , Monsters!$D:$D  = $T$5, Monsters!$B:$B = ""Master"")
)
+
(FI"&amp;"LTER(Monsters!$AQ:$AQ, Monsters!$A:$A = W15 , Monsters!$D:$D  = $T$5, Monsters!$B:$B = ""Minion"")
*
FILTER(Monsters!$AN:$AN, Monsters!$A:$A = W15 , Monsters!$D:$D  = $T$5, Monsters!$B:$B = ""Minion"")
)
,)
,
)"),87.88333333333333)</f>
        <v>87.88333333</v>
      </c>
      <c r="AC15" s="207" t="str">
        <f>IFERROR(__xludf.DUMMYFUNCTION(" IFERROR(
IF(AND(AD15=FALSE,AH15 = FALSE),
CONCATENATE(
FILTER(Monsters!$AN:$AN, Monsters!$A:$A = W15 , Monsters!$D:$D  = $T$5, Monsters!$B:$B = ""Master"")
,
""/""
,
FILTER(Monsters!$AN:$AN, Monsters!$A:$A = W15 , Monsters!$D:$D  = $T$5, Monsters!$B:$B "&amp;"= ""Minion"")
)
,)
)"),"1/1")</f>
        <v>1/1</v>
      </c>
      <c r="AD15" s="205" t="b">
        <v>0</v>
      </c>
      <c r="AE15" s="206">
        <f>IFERROR(__xludf.DUMMYFUNCTION(" IFERROR(
IF(AND(Z15=FALSE,AH15 = FALSE),
(FILTER(Monsters!$AQ:$AQ, Monsters!$A:$A = W15 , Monsters!$D:$D  = $T$5, Monsters!$B:$B = ""Master"")
*
FILTER(Monsters!$AL:$AL, Monsters!$A:$A = W15 , Monsters!$D:$D  = $T$5, Monsters!$B:$B = ""Master"")
)
+
(FIL"&amp;"TER(Monsters!$AQ:$AQ, Monsters!$A:$A = W15 , Monsters!$D:$D  = $T$5, Monsters!$B:$B = ""Minion"")
*
FILTER(Monsters!$AL:$AL, Monsters!$A:$A = W15 , Monsters!$D:$D  = $T$5, Monsters!$B:$B = ""Minion"")
)
,)
,
)"),49.94166666666666)</f>
        <v>49.94166667</v>
      </c>
      <c r="AG15" s="207" t="str">
        <f>IFERROR(__xludf.DUMMYFUNCTION(" IFERROR(
IF(AND(Z15=FALSE,AH15 = FALSE),
CONCATENATE(
FILTER(Monsters!$AL:$AL, Monsters!$A:$A = W15 , Monsters!$D:$D  = $T$5, Monsters!$B:$B = ""Master"")
,
""/""
,
FILTER(Monsters!$AL:$AL, Monsters!$A:$A = W15 , Monsters!$D:$D  = $T$5, Monsters!$B:$B ="&amp;" ""Minion"")
)
,)
)"),"1/0")</f>
        <v>1/0</v>
      </c>
      <c r="AH15" s="205" t="b">
        <v>0</v>
      </c>
      <c r="AI15" s="206">
        <f>IFERROR(__xludf.DUMMYFUNCTION(" IFERROR(
IF(AND(Z15=FALSE,AD15 = FALSE),
(FILTER(Monsters!$AQ:$AQ, Monsters!$A:$A = W15 , Monsters!$D:$D  = $T$5, Monsters!$B:$B = ""Master"")
*
FILTER(Monsters!$AJ:$AJ, Monsters!$A:$A = W15 , Monsters!$D:$D  = $T$5, Monsters!$B:$B = ""Master"")
)
+
(FIL"&amp;"TER(Monsters!$AQ:$AQ, Monsters!$A:$A = W15 , Monsters!$D:$D  = $T$5, Monsters!$B:$B = ""Minion"")
*
FILTER(Monsters!$AJ:$AJ, Monsters!$A:$A = W15 , Monsters!$D:$D  = $T$5, Monsters!$B:$B = ""Minion"")
)
,)
,
)"),37.94166666666666)</f>
        <v>37.94166667</v>
      </c>
      <c r="AK15" s="207" t="str">
        <f>IFERROR(__xludf.DUMMYFUNCTION(" IFERROR(
IF(AND(Z15=FALSE,AD15 = FALSE),
CONCATENATE(
FILTER(Monsters!$AJ:$AJ, Monsters!$A:$A = W15 , Monsters!$D:$D  = $T$5, Monsters!$B:$B = ""Master"")
,
""/""
,
FILTER(Monsters!$AJ:$AJ, Monsters!$A:$A = W15 , Monsters!$D:$D  = $T$5, Monsters!$B:$B = "&amp;"""Minion"")
)
,)
,
)"),"0/1")</f>
        <v>0/1</v>
      </c>
      <c r="AL15" s="83"/>
    </row>
    <row r="16">
      <c r="A16" s="134"/>
      <c r="B16" s="53"/>
      <c r="C16" s="198"/>
      <c r="D16" s="232">
        <f>IFERROR(VLOOKUP(C16,'Shop Items'!$C:$W,21,FALSE),0)</f>
        <v>0</v>
      </c>
      <c r="E16" s="118">
        <f>IFERROR(
IF(G16 = TRUE,
VLOOKUP(F16,Classes!$C:$H,6,FALSE),0)
,0)</f>
        <v>0</v>
      </c>
      <c r="F16" s="204"/>
      <c r="G16" s="232" t="b">
        <v>0</v>
      </c>
      <c r="H16" s="118"/>
      <c r="I16" s="53"/>
      <c r="J16" s="198"/>
      <c r="K16" s="232">
        <f>IFERROR(VLOOKUP(J16,'Shop Items'!$C:$W,21,FALSE),0)</f>
        <v>0</v>
      </c>
      <c r="L16" s="118">
        <f>IFERROR(
IF(N16 = TRUE,
VLOOKUP(M16,Classes!$C:$H,6,FALSE),0)
,0)</f>
        <v>0</v>
      </c>
      <c r="M16" s="204"/>
      <c r="N16" s="234" t="b">
        <v>0</v>
      </c>
      <c r="O16" s="201"/>
      <c r="P16" s="53"/>
      <c r="Q16" s="218">
        <f>VLOOKUP(R16,vote4OVERLORD!B:G,6,FALSE)</f>
        <v>2</v>
      </c>
      <c r="R16" s="219" t="str">
        <f>IFERROR(__xludf.DUMMYFUNCTION("""COMPUTED_VALUE"""),"Tripwire")</f>
        <v>Tripwire</v>
      </c>
      <c r="S16" s="220" t="b">
        <v>1</v>
      </c>
      <c r="T16" s="239">
        <f>VLOOKUP(U16,vote4Plot!B:F,5,FALSE)</f>
        <v>2</v>
      </c>
      <c r="U16" s="219" t="str">
        <f>IFERROR(__xludf.DUMMYFUNCTION("""COMPUTED_VALUE"""),"Onslaught")</f>
        <v>Onslaught</v>
      </c>
      <c r="V16" s="65" t="b">
        <v>1</v>
      </c>
      <c r="W16" s="247" t="s">
        <v>1435</v>
      </c>
      <c r="Z16" s="214" t="b">
        <v>0</v>
      </c>
      <c r="AA16" s="215">
        <f>IFERROR(__xludf.DUMMYFUNCTION(" IFERROR(
IF(AND(AD16=FALSE,AH16 = FALSE),
(FILTER(Monsters!$AQ:$AQ, Monsters!$A:$A = W16 , Monsters!$D:$D  = $T$5, Monsters!$B:$B = ""Master"")
*
FILTER(Monsters!$AN:$AN, Monsters!$A:$A = W16 , Monsters!$D:$D  = $T$5, Monsters!$B:$B = ""Master"")
)
+
(FI"&amp;"LTER(Monsters!$AQ:$AQ, Monsters!$A:$A = W16 , Monsters!$D:$D  = $T$5, Monsters!$B:$B = ""Minion"")
*
FILTER(Monsters!$AN:$AN, Monsters!$A:$A = W16 , Monsters!$D:$D  = $T$5, Monsters!$B:$B = ""Minion"")
)
,)
,
)"),83.87083333333332)</f>
        <v>83.87083333</v>
      </c>
      <c r="AC16" s="216" t="str">
        <f>IFERROR(__xludf.DUMMYFUNCTION(" IFERROR(
IF(AND(AD16=FALSE,AH16 = FALSE),
CONCATENATE(
FILTER(Monsters!$AN:$AN, Monsters!$A:$A = W16 , Monsters!$D:$D  = $T$5, Monsters!$B:$B = ""Master"")
,
""/""
,
FILTER(Monsters!$AN:$AN, Monsters!$A:$A = W16 , Monsters!$D:$D  = $T$5, Monsters!$B:$B "&amp;"= ""Minion"")
)
,)
)"),"1/4")</f>
        <v>1/4</v>
      </c>
      <c r="AD16" s="214" t="b">
        <v>0</v>
      </c>
      <c r="AE16" s="215">
        <f>IFERROR(__xludf.DUMMYFUNCTION(" IFERROR(
IF(AND(Z16=FALSE,AH16 = FALSE),
(FILTER(Monsters!$AQ:$AQ, Monsters!$A:$A = W16 , Monsters!$D:$D  = $T$5, Monsters!$B:$B = ""Master"")
*
FILTER(Monsters!$AL:$AL, Monsters!$A:$A = W16 , Monsters!$D:$D  = $T$5, Monsters!$B:$B = ""Master"")
)
+
(FIL"&amp;"TER(Monsters!$AQ:$AQ, Monsters!$A:$A = W16 , Monsters!$D:$D  = $T$5, Monsters!$B:$B = ""Minion"")
*
FILTER(Monsters!$AL:$AL, Monsters!$A:$A = W16 , Monsters!$D:$D  = $T$5, Monsters!$B:$B = ""Minion"")
)
,)
,
)"),67.77999999999999)</f>
        <v>67.78</v>
      </c>
      <c r="AG16" s="216" t="str">
        <f>IFERROR(__xludf.DUMMYFUNCTION(" IFERROR(
IF(AND(Z16=FALSE,AH16 = FALSE),
CONCATENATE(
FILTER(Monsters!$AL:$AL, Monsters!$A:$A = W16 , Monsters!$D:$D  = $T$5, Monsters!$B:$B = ""Master"")
,
""/""
,
FILTER(Monsters!$AL:$AL, Monsters!$A:$A = W16 , Monsters!$D:$D  = $T$5, Monsters!$B:$B ="&amp;" ""Minion"")
)
,)
)"),"1/3")</f>
        <v>1/3</v>
      </c>
      <c r="AH16" s="214" t="b">
        <v>0</v>
      </c>
      <c r="AI16" s="215">
        <f>IFERROR(__xludf.DUMMYFUNCTION(" IFERROR(
IF(AND(Z16=FALSE,AD16 = FALSE),
(FILTER(Monsters!$AQ:$AQ, Monsters!$A:$A = W16 , Monsters!$D:$D  = $T$5, Monsters!$B:$B = ""Master"")
*
FILTER(Monsters!$AJ:$AJ, Monsters!$A:$A = W16 , Monsters!$D:$D  = $T$5, Monsters!$B:$B = ""Master"")
)
+
(FIL"&amp;"TER(Monsters!$AQ:$AQ, Monsters!$A:$A = W16 , Monsters!$D:$D  = $T$5, Monsters!$B:$B = ""Minion"")
*
FILTER(Monsters!$AJ:$AJ, Monsters!$A:$A = W16 , Monsters!$D:$D  = $T$5, Monsters!$B:$B = ""Minion"")
)
,)
,
)"),51.689166666666665)</f>
        <v>51.68916667</v>
      </c>
      <c r="AK16" s="216" t="str">
        <f>IFERROR(__xludf.DUMMYFUNCTION(" IFERROR(
IF(AND(Z16=FALSE,AD16 = FALSE),
CONCATENATE(
FILTER(Monsters!$AJ:$AJ, Monsters!$A:$A = W16 , Monsters!$D:$D  = $T$5, Monsters!$B:$B = ""Master"")
,
""/""
,
FILTER(Monsters!$AJ:$AJ, Monsters!$A:$A = W16 , Monsters!$D:$D  = $T$5, Monsters!$B:$B = "&amp;"""Minion"")
)
,)
,
)"),"1/2")</f>
        <v>1/2</v>
      </c>
      <c r="AL16" s="83"/>
    </row>
    <row r="17">
      <c r="A17" s="134"/>
      <c r="B17" s="53"/>
      <c r="C17" s="198"/>
      <c r="D17" s="232">
        <f>IFERROR(VLOOKUP(C17,'Shop Items'!$C:$W,21,FALSE),0)</f>
        <v>0</v>
      </c>
      <c r="E17" s="118">
        <f>IFERROR(
IF(G17 = TRUE,
VLOOKUP(F17,Classes!$C:$H,6,FALSE),0)
,0)</f>
        <v>0</v>
      </c>
      <c r="F17" s="204"/>
      <c r="G17" s="232" t="b">
        <v>0</v>
      </c>
      <c r="H17" s="118"/>
      <c r="I17" s="53"/>
      <c r="J17" s="198"/>
      <c r="K17" s="232">
        <f>IFERROR(VLOOKUP(J17,'Shop Items'!$C:$W,21,FALSE),0)</f>
        <v>0</v>
      </c>
      <c r="L17" s="118">
        <f>IFERROR(
IF(N17 = TRUE,
VLOOKUP(M17,Classes!$C:$H,6,FALSE),0)
,0)</f>
        <v>0</v>
      </c>
      <c r="M17" s="204"/>
      <c r="N17" s="232" t="b">
        <v>0</v>
      </c>
      <c r="O17" s="201"/>
      <c r="P17" s="53"/>
      <c r="Q17" s="218">
        <f>VLOOKUP(R17,vote4OVERLORD!B:G,6,FALSE)</f>
        <v>4.5</v>
      </c>
      <c r="R17" s="219" t="str">
        <f>IFERROR(__xludf.DUMMYFUNCTION("""COMPUTED_VALUE"""),"Dash")</f>
        <v>Dash</v>
      </c>
      <c r="S17" s="220" t="b">
        <v>1</v>
      </c>
      <c r="T17" s="239">
        <f>VLOOKUP(U17,vote4Plot!B:F,5,FALSE)</f>
        <v>-4</v>
      </c>
      <c r="U17" s="219" t="str">
        <f>IFERROR(__xludf.DUMMYFUNCTION("""COMPUTED_VALUE"""),"Love of Chaos")</f>
        <v>Love of Chaos</v>
      </c>
      <c r="V17" s="83" t="b">
        <v>0</v>
      </c>
      <c r="W17" s="246" t="s">
        <v>1436</v>
      </c>
      <c r="Z17" s="205" t="b">
        <v>0</v>
      </c>
      <c r="AA17" s="206">
        <f>IFERROR(__xludf.DUMMYFUNCTION(" IFERROR(
IF(AND(AD17=FALSE,AH17 = FALSE),
(FILTER(Monsters!$AQ:$AQ, Monsters!$A:$A = W17 , Monsters!$D:$D  = $T$5, Monsters!$B:$B = ""Master"")
*
FILTER(Monsters!$AN:$AN, Monsters!$A:$A = W17 , Monsters!$D:$D  = $T$5, Monsters!$B:$B = ""Master"")
)
+
(FI"&amp;"LTER(Monsters!$AQ:$AQ, Monsters!$A:$A = W17 , Monsters!$D:$D  = $T$5, Monsters!$B:$B = ""Minion"")
*
FILTER(Monsters!$AN:$AN, Monsters!$A:$A = W17 , Monsters!$D:$D  = $T$5, Monsters!$B:$B = ""Minion"")
)
,)
,
)"),80.89)</f>
        <v>80.89</v>
      </c>
      <c r="AC17" s="207" t="str">
        <f>IFERROR(__xludf.DUMMYFUNCTION(" IFERROR(
IF(AND(AD17=FALSE,AH17 = FALSE),
CONCATENATE(
FILTER(Monsters!$AN:$AN, Monsters!$A:$A = W17 , Monsters!$D:$D  = $T$5, Monsters!$B:$B = ""Master"")
,
""/""
,
FILTER(Monsters!$AN:$AN, Monsters!$A:$A = W17 , Monsters!$D:$D  = $T$5, Monsters!$B:$B "&amp;"= ""Minion"")
)
,)
)"),"1/1")</f>
        <v>1/1</v>
      </c>
      <c r="AD17" s="205" t="b">
        <v>0</v>
      </c>
      <c r="AE17" s="206">
        <f>IFERROR(__xludf.DUMMYFUNCTION(" IFERROR(
IF(AND(Z17=FALSE,AH17 = FALSE),
(FILTER(Monsters!$AQ:$AQ, Monsters!$A:$A = W17 , Monsters!$D:$D  = $T$5, Monsters!$B:$B = ""Master"")
*
FILTER(Monsters!$AL:$AL, Monsters!$A:$A = W17 , Monsters!$D:$D  = $T$5, Monsters!$B:$B = ""Master"")
)
+
(FIL"&amp;"TER(Monsters!$AQ:$AQ, Monsters!$A:$A = W17 , Monsters!$D:$D  = $T$5, Monsters!$B:$B = ""Minion"")
*
FILTER(Monsters!$AL:$AL, Monsters!$A:$A = W17 , Monsters!$D:$D  = $T$5, Monsters!$B:$B = ""Minion"")
)
,)
,
)"),48.32)</f>
        <v>48.32</v>
      </c>
      <c r="AG17" s="207" t="str">
        <f>IFERROR(__xludf.DUMMYFUNCTION(" IFERROR(
IF(AND(Z17=FALSE,AH17 = FALSE),
CONCATENATE(
FILTER(Monsters!$AL:$AL, Monsters!$A:$A = W17 , Monsters!$D:$D  = $T$5, Monsters!$B:$B = ""Master"")
,
""/""
,
FILTER(Monsters!$AL:$AL, Monsters!$A:$A = W17 , Monsters!$D:$D  = $T$5, Monsters!$B:$B ="&amp;" ""Minion"")
)
,)
)"),"1/0")</f>
        <v>1/0</v>
      </c>
      <c r="AH17" s="205" t="b">
        <v>0</v>
      </c>
      <c r="AI17" s="206">
        <f>IFERROR(__xludf.DUMMYFUNCTION(" IFERROR(
IF(AND(Z17=FALSE,AD17 = FALSE),
(FILTER(Monsters!$AQ:$AQ, Monsters!$A:$A = W17 , Monsters!$D:$D  = $T$5, Monsters!$B:$B = ""Master"")
*
FILTER(Monsters!$AJ:$AJ, Monsters!$A:$A = W17 , Monsters!$D:$D  = $T$5, Monsters!$B:$B = ""Master"")
)
+
(FIL"&amp;"TER(Monsters!$AQ:$AQ, Monsters!$A:$A = W17 , Monsters!$D:$D  = $T$5, Monsters!$B:$B = ""Minion"")
*
FILTER(Monsters!$AJ:$AJ, Monsters!$A:$A = W17 , Monsters!$D:$D  = $T$5, Monsters!$B:$B = ""Minion"")
)
,)
,
)"),32.57)</f>
        <v>32.57</v>
      </c>
      <c r="AK17" s="207" t="str">
        <f>IFERROR(__xludf.DUMMYFUNCTION(" IFERROR(
IF(AND(Z17=FALSE,AD17 = FALSE),
CONCATENATE(
FILTER(Monsters!$AJ:$AJ, Monsters!$A:$A = W17 , Monsters!$D:$D  = $T$5, Monsters!$B:$B = ""Master"")
,
""/""
,
FILTER(Monsters!$AJ:$AJ, Monsters!$A:$A = W17 , Monsters!$D:$D  = $T$5, Monsters!$B:$B = "&amp;"""Minion"")
)
,)
,
)"),"0/1")</f>
        <v>0/1</v>
      </c>
      <c r="AL17" s="83"/>
    </row>
    <row r="18">
      <c r="A18" s="134"/>
      <c r="B18" s="53"/>
      <c r="C18" s="248"/>
      <c r="D18" s="232">
        <f>IFERROR(VLOOKUP(C18,'Shop Items'!$C:$W,21,FALSE),0)</f>
        <v>0</v>
      </c>
      <c r="E18" s="118">
        <f>IFERROR(
IF(G18 = TRUE,
VLOOKUP(F18,Classes!$C:$H,6,FALSE),0)
,0)</f>
        <v>0</v>
      </c>
      <c r="F18" s="204"/>
      <c r="G18" s="232" t="b">
        <v>0</v>
      </c>
      <c r="H18" s="118"/>
      <c r="I18" s="53"/>
      <c r="J18" s="248"/>
      <c r="K18" s="232">
        <f>IFERROR(VLOOKUP(J18,'Shop Items'!$C:$W,21,FALSE),0)</f>
        <v>0</v>
      </c>
      <c r="L18" s="118">
        <f>IFERROR(
IF(N18 = TRUE,
VLOOKUP(M18,Classes!$C:$H,6,FALSE),0)
,0)</f>
        <v>0</v>
      </c>
      <c r="M18" s="204"/>
      <c r="N18" s="232" t="b">
        <v>0</v>
      </c>
      <c r="O18" s="201"/>
      <c r="P18" s="53"/>
      <c r="Q18" s="218">
        <f>VLOOKUP(R18,vote4OVERLORD!B:G,6,FALSE)</f>
        <v>6.5</v>
      </c>
      <c r="R18" s="219" t="str">
        <f>IFERROR(__xludf.DUMMYFUNCTION("""COMPUTED_VALUE"""),"Frenzy")</f>
        <v>Frenzy</v>
      </c>
      <c r="S18" s="220" t="b">
        <v>1</v>
      </c>
      <c r="T18" s="239">
        <f>VLOOKUP(U18,vote4Plot!B:F,5,FALSE)</f>
        <v>-4</v>
      </c>
      <c r="U18" s="219" t="str">
        <f>IFERROR(__xludf.DUMMYFUNCTION("""COMPUTED_VALUE"""),"Soul Ensnare")</f>
        <v>Soul Ensnare</v>
      </c>
      <c r="V18" s="83" t="b">
        <v>0</v>
      </c>
      <c r="W18" s="247" t="s">
        <v>1437</v>
      </c>
      <c r="Z18" s="214" t="b">
        <v>0</v>
      </c>
      <c r="AA18" s="215">
        <f>IFERROR(__xludf.DUMMYFUNCTION(" IFERROR(
IF(AND(AD18=FALSE,AH18 = FALSE),
(FILTER(Monsters!$AQ:$AQ, Monsters!$A:$A = W18 , Monsters!$D:$D  = $T$5, Monsters!$B:$B = ""Master"")
*
FILTER(Monsters!$AN:$AN, Monsters!$A:$A = W18 , Monsters!$D:$D  = $T$5, Monsters!$B:$B = ""Master"")
)
+
(FI"&amp;"LTER(Monsters!$AQ:$AQ, Monsters!$A:$A = W18 , Monsters!$D:$D  = $T$5, Monsters!$B:$B = ""Minion"")
*
FILTER(Monsters!$AN:$AN, Monsters!$A:$A = W18 , Monsters!$D:$D  = $T$5, Monsters!$B:$B = ""Minion"")
)
,)
,
)"),80.61666666666667)</f>
        <v>80.61666667</v>
      </c>
      <c r="AC18" s="216" t="str">
        <f>IFERROR(__xludf.DUMMYFUNCTION(" IFERROR(
IF(AND(AD18=FALSE,AH18 = FALSE),
CONCATENATE(
FILTER(Monsters!$AN:$AN, Monsters!$A:$A = W18 , Monsters!$D:$D  = $T$5, Monsters!$B:$B = ""Master"")
,
""/""
,
FILTER(Monsters!$AN:$AN, Monsters!$A:$A = W18 , Monsters!$D:$D  = $T$5, Monsters!$B:$B "&amp;"= ""Minion"")
)
,)
)"),"1/2")</f>
        <v>1/2</v>
      </c>
      <c r="AD18" s="214" t="b">
        <v>0</v>
      </c>
      <c r="AE18" s="215">
        <f>IFERROR(__xludf.DUMMYFUNCTION(" IFERROR(
IF(AND(Z18=FALSE,AH18 = FALSE),
(FILTER(Monsters!$AQ:$AQ, Monsters!$A:$A = W18 , Monsters!$D:$D  = $T$5, Monsters!$B:$B = ""Master"")
*
FILTER(Monsters!$AL:$AL, Monsters!$A:$A = W18 , Monsters!$D:$D  = $T$5, Monsters!$B:$B = ""Master"")
)
+
(FIL"&amp;"TER(Monsters!$AQ:$AQ, Monsters!$A:$A = W18 , Monsters!$D:$D  = $T$5, Monsters!$B:$B = ""Minion"")
*
FILTER(Monsters!$AL:$AL, Monsters!$A:$A = W18 , Monsters!$D:$D  = $T$5, Monsters!$B:$B = ""Minion"")
)
,)
,
)"),57.88333333333333)</f>
        <v>57.88333333</v>
      </c>
      <c r="AG18" s="216" t="str">
        <f>IFERROR(__xludf.DUMMYFUNCTION(" IFERROR(
IF(AND(Z18=FALSE,AH18 = FALSE),
CONCATENATE(
FILTER(Monsters!$AL:$AL, Monsters!$A:$A = W18 , Monsters!$D:$D  = $T$5, Monsters!$B:$B = ""Master"")
,
""/""
,
FILTER(Monsters!$AL:$AL, Monsters!$A:$A = W18 , Monsters!$D:$D  = $T$5, Monsters!$B:$B ="&amp;" ""Minion"")
)
,)
)"),"1/1")</f>
        <v>1/1</v>
      </c>
      <c r="AH18" s="214" t="b">
        <v>0</v>
      </c>
      <c r="AI18" s="215">
        <f>IFERROR(__xludf.DUMMYFUNCTION(" IFERROR(
IF(AND(Z18=FALSE,AD18 = FALSE),
(FILTER(Monsters!$AQ:$AQ, Monsters!$A:$A = W18 , Monsters!$D:$D  = $T$5, Monsters!$B:$B = ""Master"")
*
FILTER(Monsters!$AJ:$AJ, Monsters!$A:$A = W18 , Monsters!$D:$D  = $T$5, Monsters!$B:$B = ""Master"")
)
+
(FIL"&amp;"TER(Monsters!$AQ:$AQ, Monsters!$A:$A = W18 , Monsters!$D:$D  = $T$5, Monsters!$B:$B = ""Minion"")
*
FILTER(Monsters!$AJ:$AJ, Monsters!$A:$A = W18 , Monsters!$D:$D  = $T$5, Monsters!$B:$B = ""Minion"")
)
,)
,
)"),35.15)</f>
        <v>35.15</v>
      </c>
      <c r="AK18" s="216" t="str">
        <f>IFERROR(__xludf.DUMMYFUNCTION(" IFERROR(
IF(AND(Z18=FALSE,AD18 = FALSE),
CONCATENATE(
FILTER(Monsters!$AJ:$AJ, Monsters!$A:$A = W18 , Monsters!$D:$D  = $T$5, Monsters!$B:$B = ""Master"")
,
""/""
,
FILTER(Monsters!$AJ:$AJ, Monsters!$A:$A = W18 , Monsters!$D:$D  = $T$5, Monsters!$B:$B = "&amp;"""Minion"")
)
,)
,
)"),"1/0")</f>
        <v>1/0</v>
      </c>
      <c r="AL18" s="83"/>
    </row>
    <row r="19">
      <c r="A19" s="226"/>
      <c r="B19" s="53"/>
      <c r="C19" s="249" t="s">
        <v>1438</v>
      </c>
      <c r="D19" s="140"/>
      <c r="E19" s="118">
        <f>IFERROR(
IF(G19 = TRUE,
VLOOKUP(F19,Classes!$C:$H,6,FALSE),0)
,0)</f>
        <v>0</v>
      </c>
      <c r="F19" s="250"/>
      <c r="G19" s="232" t="b">
        <v>0</v>
      </c>
      <c r="H19" s="226"/>
      <c r="I19" s="53"/>
      <c r="J19" s="249" t="s">
        <v>1438</v>
      </c>
      <c r="K19" s="140"/>
      <c r="L19" s="118">
        <f>IFERROR(
IF(N19 = TRUE,
VLOOKUP(M19,Classes!$C:$H,6,FALSE),0)
,0)</f>
        <v>0</v>
      </c>
      <c r="M19" s="250"/>
      <c r="N19" s="232" t="b">
        <v>0</v>
      </c>
      <c r="O19" s="201"/>
      <c r="P19" s="53"/>
      <c r="Q19" s="218">
        <f>VLOOKUP(R19,vote4OVERLORD!B:G,6,FALSE)</f>
        <v>5.5</v>
      </c>
      <c r="R19" s="219" t="str">
        <f>IFERROR(__xludf.DUMMYFUNCTION("""COMPUTED_VALUE"""),"Dark Fortune")</f>
        <v>Dark Fortune</v>
      </c>
      <c r="S19" s="220" t="b">
        <v>1</v>
      </c>
      <c r="T19" s="251">
        <f>VLOOKUP(U19,vote4Plot!B:F,5,FALSE)</f>
        <v>-2</v>
      </c>
      <c r="U19" s="252" t="str">
        <f>IFERROR(__xludf.DUMMYFUNCTION("""COMPUTED_VALUE"""),"Summon - Tristayne")</f>
        <v>Summon - Tristayne</v>
      </c>
      <c r="V19" s="66" t="b">
        <v>0</v>
      </c>
      <c r="W19" s="246" t="s">
        <v>1439</v>
      </c>
      <c r="Z19" s="205" t="b">
        <v>0</v>
      </c>
      <c r="AA19" s="206">
        <f>IFERROR(__xludf.DUMMYFUNCTION(" IFERROR(
IF(AND(AD19=FALSE,AH19 = FALSE),
(FILTER(Monsters!$AQ:$AQ, Monsters!$A:$A = W19 , Monsters!$D:$D  = $T$5, Monsters!$B:$B = ""Master"")
*
FILTER(Monsters!$AN:$AN, Monsters!$A:$A = W19 , Monsters!$D:$D  = $T$5, Monsters!$B:$B = ""Master"")
)
+
(FI"&amp;"LTER(Monsters!$AQ:$AQ, Monsters!$A:$A = W19 , Monsters!$D:$D  = $T$5, Monsters!$B:$B = ""Minion"")
*
FILTER(Monsters!$AN:$AN, Monsters!$A:$A = W19 , Monsters!$D:$D  = $T$5, Monsters!$B:$B = ""Minion"")
)
,)
,
)"),78.795)</f>
        <v>78.795</v>
      </c>
      <c r="AC19" s="207" t="str">
        <f>IFERROR(__xludf.DUMMYFUNCTION(" IFERROR(
IF(AND(AD19=FALSE,AH19 = FALSE),
CONCATENATE(
FILTER(Monsters!$AN:$AN, Monsters!$A:$A = W19 , Monsters!$D:$D  = $T$5, Monsters!$B:$B = ""Master"")
,
""/""
,
FILTER(Monsters!$AN:$AN, Monsters!$A:$A = W19 , Monsters!$D:$D  = $T$5, Monsters!$B:$B "&amp;"= ""Minion"")
)
,)
)"),"1/3")</f>
        <v>1/3</v>
      </c>
      <c r="AD19" s="205" t="b">
        <v>0</v>
      </c>
      <c r="AE19" s="206">
        <f>IFERROR(__xludf.DUMMYFUNCTION(" IFERROR(
IF(AND(Z19=FALSE,AH19 = FALSE),
(FILTER(Monsters!$AQ:$AQ, Monsters!$A:$A = W19 , Monsters!$D:$D  = $T$5, Monsters!$B:$B = ""Master"")
*
FILTER(Monsters!$AL:$AL, Monsters!$A:$A = W19 , Monsters!$D:$D  = $T$5, Monsters!$B:$B = ""Master"")
)
+
(FIL"&amp;"TER(Monsters!$AQ:$AQ, Monsters!$A:$A = W19 , Monsters!$D:$D  = $T$5, Monsters!$B:$B = ""Minion"")
*
FILTER(Monsters!$AL:$AL, Monsters!$A:$A = W19 , Monsters!$D:$D  = $T$5, Monsters!$B:$B = ""Minion"")
)
,)
,
)"),61.44)</f>
        <v>61.44</v>
      </c>
      <c r="AG19" s="207" t="str">
        <f>IFERROR(__xludf.DUMMYFUNCTION(" IFERROR(
IF(AND(Z19=FALSE,AH19 = FALSE),
CONCATENATE(
FILTER(Monsters!$AL:$AL, Monsters!$A:$A = W19 , Monsters!$D:$D  = $T$5, Monsters!$B:$B = ""Master"")
,
""/""
,
FILTER(Monsters!$AL:$AL, Monsters!$A:$A = W19 , Monsters!$D:$D  = $T$5, Monsters!$B:$B ="&amp;" ""Minion"")
)
,)
)"),"1/2")</f>
        <v>1/2</v>
      </c>
      <c r="AH19" s="205" t="b">
        <v>0</v>
      </c>
      <c r="AI19" s="206">
        <f>IFERROR(__xludf.DUMMYFUNCTION(" IFERROR(
IF(AND(Z19=FALSE,AD19 = FALSE),
(FILTER(Monsters!$AQ:$AQ, Monsters!$A:$A = W19 , Monsters!$D:$D  = $T$5, Monsters!$B:$B = ""Master"")
*
FILTER(Monsters!$AJ:$AJ, Monsters!$A:$A = W19 , Monsters!$D:$D  = $T$5, Monsters!$B:$B = ""Master"")
)
+
(FIL"&amp;"TER(Monsters!$AQ:$AQ, Monsters!$A:$A = W19 , Monsters!$D:$D  = $T$5, Monsters!$B:$B = ""Minion"")
*
FILTER(Monsters!$AJ:$AJ, Monsters!$A:$A = W19 , Monsters!$D:$D  = $T$5, Monsters!$B:$B = ""Minion"")
)
,)
,
)"),44.085)</f>
        <v>44.085</v>
      </c>
      <c r="AK19" s="207" t="str">
        <f>IFERROR(__xludf.DUMMYFUNCTION(" IFERROR(
IF(AND(Z19=FALSE,AD19 = FALSE),
CONCATENATE(
FILTER(Monsters!$AJ:$AJ, Monsters!$A:$A = W19 , Monsters!$D:$D  = $T$5, Monsters!$B:$B = ""Master"")
,
""/""
,
FILTER(Monsters!$AJ:$AJ, Monsters!$A:$A = W19 , Monsters!$D:$D  = $T$5, Monsters!$B:$B = "&amp;"""Minion"")
)
,)
,
)"),"1/1")</f>
        <v>1/1</v>
      </c>
      <c r="AL19" s="83"/>
    </row>
    <row r="20">
      <c r="A20" s="140"/>
      <c r="B20" s="53"/>
      <c r="C20" s="253" t="str">
        <f>IFERROR(__xludf.DUMMYFUNCTION("IFERROR(
FILTER(Familiars!$B:$B,
(Familiars!$A:$A = C3) + (Familiars!$A:$A = F3),
Familiars!$A:$A &lt;&gt; """"
),)"),"Reanimate")</f>
        <v>Reanimate</v>
      </c>
      <c r="D20" s="140">
        <f>IFERROR(VLOOKUP(C20,Familiars!$B:$P,15,FALSE),0)</f>
        <v>9.823333333</v>
      </c>
      <c r="E20" s="118">
        <f>IFERROR(
IF(G20 = TRUE,
VLOOKUP(F20,Classes!$C:$H,6,FALSE),0)
,0)</f>
        <v>0</v>
      </c>
      <c r="F20" s="250"/>
      <c r="G20" s="232" t="b">
        <v>0</v>
      </c>
      <c r="H20" s="140"/>
      <c r="I20" s="53"/>
      <c r="J20" s="250" t="str">
        <f>IFERROR(__xludf.DUMMYFUNCTION("IFERROR(FILTER(Familiars!$B:$B,(Familiars!$A:$A = J3) + (Familiars!$A:$A = M3),
Familiars!$A:$A &lt;&gt; """"),)"),"")</f>
        <v/>
      </c>
      <c r="K20" s="140">
        <f>IFERROR(VLOOKUP(J20,Familiars!$B:$P,15,FALSE),0)</f>
        <v>0</v>
      </c>
      <c r="L20" s="118">
        <f>IFERROR(
IF(N20 = TRUE,
VLOOKUP(M20,Classes!$C:$H,6,FALSE),0)
,0)</f>
        <v>0</v>
      </c>
      <c r="M20" s="250"/>
      <c r="N20" s="232" t="b">
        <v>0</v>
      </c>
      <c r="O20" s="254"/>
      <c r="P20" s="53"/>
      <c r="Q20" s="218">
        <f>IFERROR(
IF(S20 = TRUE,
VLOOKUP(R20,vote4OVERLORD!B:G,6,FALSE),0)
,0)</f>
        <v>0.5</v>
      </c>
      <c r="R20" s="68" t="s">
        <v>454</v>
      </c>
      <c r="S20" s="220" t="b">
        <v>1</v>
      </c>
      <c r="T20" s="196" t="s">
        <v>1438</v>
      </c>
      <c r="U20" s="80"/>
      <c r="V20" s="81"/>
      <c r="W20" s="247" t="s">
        <v>1440</v>
      </c>
      <c r="Z20" s="214" t="b">
        <v>0</v>
      </c>
      <c r="AA20" s="215">
        <f>IFERROR(__xludf.DUMMYFUNCTION(" IFERROR(
IF(AND(AD20=FALSE,AH20 = FALSE),
(FILTER(Monsters!$AQ:$AQ, Monsters!$A:$A = W20 , Monsters!$D:$D  = $T$5, Monsters!$B:$B = ""Master"")
*
FILTER(Monsters!$AN:$AN, Monsters!$A:$A = W20 , Monsters!$D:$D  = $T$5, Monsters!$B:$B = ""Master"")
)
+
(FI"&amp;"LTER(Monsters!$AQ:$AQ, Monsters!$A:$A = W20 , Monsters!$D:$D  = $T$5, Monsters!$B:$B = ""Minion"")
*
FILTER(Monsters!$AN:$AN, Monsters!$A:$A = W20 , Monsters!$D:$D  = $T$5, Monsters!$B:$B = ""Minion"")
)
,)
,
)"),77.7825)</f>
        <v>77.7825</v>
      </c>
      <c r="AC20" s="216" t="str">
        <f>IFERROR(__xludf.DUMMYFUNCTION(" IFERROR(
IF(AND(AD20=FALSE,AH20 = FALSE),
CONCATENATE(
FILTER(Monsters!$AN:$AN, Monsters!$A:$A = W20 , Monsters!$D:$D  = $T$5, Monsters!$B:$B = ""Master"")
,
""/""
,
FILTER(Monsters!$AN:$AN, Monsters!$A:$A = W20 , Monsters!$D:$D  = $T$5, Monsters!$B:$B "&amp;"= ""Minion"")
)
,)
)"),"1/2")</f>
        <v>1/2</v>
      </c>
      <c r="AD20" s="214" t="b">
        <v>0</v>
      </c>
      <c r="AE20" s="215">
        <f>IFERROR(__xludf.DUMMYFUNCTION(" IFERROR(
IF(AND(Z20=FALSE,AH20 = FALSE),
(FILTER(Monsters!$AQ:$AQ, Monsters!$A:$A = W20 , Monsters!$D:$D  = $T$5, Monsters!$B:$B = ""Master"")
*
FILTER(Monsters!$AL:$AL, Monsters!$A:$A = W20 , Monsters!$D:$D  = $T$5, Monsters!$B:$B = ""Master"")
)
+
(FIL"&amp;"TER(Monsters!$AQ:$AQ, Monsters!$A:$A = W20 , Monsters!$D:$D  = $T$5, Monsters!$B:$B = ""Minion"")
*
FILTER(Monsters!$AL:$AL, Monsters!$A:$A = W20 , Monsters!$D:$D  = $T$5, Monsters!$B:$B = ""Minion"")
)
,)
,
)"),55.438333333333325)</f>
        <v>55.43833333</v>
      </c>
      <c r="AG20" s="216" t="str">
        <f>IFERROR(__xludf.DUMMYFUNCTION(" IFERROR(
IF(AND(Z20=FALSE,AH20 = FALSE),
CONCATENATE(
FILTER(Monsters!$AL:$AL, Monsters!$A:$A = W20 , Monsters!$D:$D  = $T$5, Monsters!$B:$B = ""Master"")
,
""/""
,
FILTER(Monsters!$AL:$AL, Monsters!$A:$A = W20 , Monsters!$D:$D  = $T$5, Monsters!$B:$B ="&amp;" ""Minion"")
)
,)
)"),"1/1")</f>
        <v>1/1</v>
      </c>
      <c r="AH20" s="214" t="b">
        <v>0</v>
      </c>
      <c r="AI20" s="215">
        <f>IFERROR(__xludf.DUMMYFUNCTION(" IFERROR(
IF(AND(Z20=FALSE,AD20 = FALSE),
(FILTER(Monsters!$AQ:$AQ, Monsters!$A:$A = W20 , Monsters!$D:$D  = $T$5, Monsters!$B:$B = ""Master"")
*
FILTER(Monsters!$AJ:$AJ, Monsters!$A:$A = W20 , Monsters!$D:$D  = $T$5, Monsters!$B:$B = ""Master"")
)
+
(FIL"&amp;"TER(Monsters!$AQ:$AQ, Monsters!$A:$A = W20 , Monsters!$D:$D  = $T$5, Monsters!$B:$B = ""Minion"")
*
FILTER(Monsters!$AJ:$AJ, Monsters!$A:$A = W20 , Monsters!$D:$D  = $T$5, Monsters!$B:$B = ""Minion"")
)
,)
,
)"),33.09416666666666)</f>
        <v>33.09416667</v>
      </c>
      <c r="AK20" s="216" t="str">
        <f>IFERROR(__xludf.DUMMYFUNCTION(" IFERROR(
IF(AND(Z20=FALSE,AD20 = FALSE),
CONCATENATE(
FILTER(Monsters!$AJ:$AJ, Monsters!$A:$A = W20 , Monsters!$D:$D  = $T$5, Monsters!$B:$B = ""Master"")
,
""/""
,
FILTER(Monsters!$AJ:$AJ, Monsters!$A:$A = W20 , Monsters!$D:$D  = $T$5, Monsters!$B:$B = "&amp;"""Minion"")
)
,)
,
)"),"1/0")</f>
        <v>1/0</v>
      </c>
      <c r="AL20" s="83"/>
    </row>
    <row r="21">
      <c r="A21" s="140"/>
      <c r="B21" s="52"/>
      <c r="C21" s="255" t="str">
        <f>IFERROR(__xludf.DUMMYFUNCTION("""COMPUTED_VALUE"""),"Brightblaze")</f>
        <v>Brightblaze</v>
      </c>
      <c r="D21" s="140">
        <f>IFERROR(VLOOKUP(C21,Familiars!$B:$P,15,FALSE),0)</f>
        <v>15.65</v>
      </c>
      <c r="E21" s="118">
        <f>IFERROR(
IF(G21 = TRUE,
VLOOKUP(F21,Classes!$C:$H,6,FALSE),0)
,0)</f>
        <v>0</v>
      </c>
      <c r="F21" s="256"/>
      <c r="G21" s="257" t="b">
        <v>0</v>
      </c>
      <c r="H21" s="140"/>
      <c r="I21" s="52"/>
      <c r="J21" s="256"/>
      <c r="K21" s="140">
        <f>IFERROR(VLOOKUP(J21,Familiars!$B:$P,15,FALSE),0)</f>
        <v>0</v>
      </c>
      <c r="L21" s="118">
        <f>IFERROR(
IF(N21 = TRUE,
VLOOKUP(M21,Classes!$C:$H,6,FALSE),0)
,0)</f>
        <v>0</v>
      </c>
      <c r="M21" s="256"/>
      <c r="N21" s="257" t="b">
        <v>0</v>
      </c>
      <c r="O21" s="254"/>
      <c r="P21" s="52"/>
      <c r="Q21" s="218">
        <f>IFERROR(
IF(S21 = TRUE,
VLOOKUP(R21,vote4OVERLORD!B:G,6,FALSE),0)
,0)</f>
        <v>0</v>
      </c>
      <c r="R21" s="68" t="s">
        <v>454</v>
      </c>
      <c r="S21" s="220" t="b">
        <v>0</v>
      </c>
      <c r="T21" s="258">
        <v>3.9966666666666666</v>
      </c>
      <c r="U21" s="75" t="s">
        <v>1122</v>
      </c>
      <c r="V21" s="240" t="b">
        <v>1</v>
      </c>
      <c r="W21" s="246" t="s">
        <v>1441</v>
      </c>
      <c r="Z21" s="205" t="b">
        <v>0</v>
      </c>
      <c r="AA21" s="206">
        <f>IFERROR(__xludf.DUMMYFUNCTION(" IFERROR(
IF(AND(AD21=FALSE,AH21 = FALSE),
(FILTER(Monsters!$AQ:$AQ, Monsters!$A:$A = W21 , Monsters!$D:$D  = $T$5, Monsters!$B:$B = ""Master"")
*
FILTER(Monsters!$AN:$AN, Monsters!$A:$A = W21 , Monsters!$D:$D  = $T$5, Monsters!$B:$B = ""Master"")
)
+
(FI"&amp;"LTER(Monsters!$AQ:$AQ, Monsters!$A:$A = W21 , Monsters!$D:$D  = $T$5, Monsters!$B:$B = ""Minion"")
*
FILTER(Monsters!$AN:$AN, Monsters!$A:$A = W21 , Monsters!$D:$D  = $T$5, Monsters!$B:$B = ""Minion"")
)
,)
,
)"),76.12666666666667)</f>
        <v>76.12666667</v>
      </c>
      <c r="AC21" s="207" t="str">
        <f>IFERROR(__xludf.DUMMYFUNCTION(" IFERROR(
IF(AND(AD21=FALSE,AH21 = FALSE),
CONCATENATE(
FILTER(Monsters!$AN:$AN, Monsters!$A:$A = W21 , Monsters!$D:$D  = $T$5, Monsters!$B:$B = ""Master"")
,
""/""
,
FILTER(Monsters!$AN:$AN, Monsters!$A:$A = W21 , Monsters!$D:$D  = $T$5, Monsters!$B:$B "&amp;"= ""Minion"")
)
,)
)"),"1/2")</f>
        <v>1/2</v>
      </c>
      <c r="AD21" s="205" t="b">
        <v>0</v>
      </c>
      <c r="AE21" s="206">
        <f>IFERROR(__xludf.DUMMYFUNCTION(" IFERROR(
IF(AND(Z21=FALSE,AH21 = FALSE),
(FILTER(Monsters!$AQ:$AQ, Monsters!$A:$A = W21 , Monsters!$D:$D  = $T$5, Monsters!$B:$B = ""Master"")
*
FILTER(Monsters!$AL:$AL, Monsters!$A:$A = W21 , Monsters!$D:$D  = $T$5, Monsters!$B:$B = ""Master"")
)
+
(FIL"&amp;"TER(Monsters!$AQ:$AQ, Monsters!$A:$A = W21 , Monsters!$D:$D  = $T$5, Monsters!$B:$B = ""Minion"")
*
FILTER(Monsters!$AL:$AL, Monsters!$A:$A = W21 , Monsters!$D:$D  = $T$5, Monsters!$B:$B = ""Minion"")
)
,)
,
)"),54.84833333333333)</f>
        <v>54.84833333</v>
      </c>
      <c r="AG21" s="207" t="str">
        <f>IFERROR(__xludf.DUMMYFUNCTION(" IFERROR(
IF(AND(Z21=FALSE,AH21 = FALSE),
CONCATENATE(
FILTER(Monsters!$AL:$AL, Monsters!$A:$A = W21 , Monsters!$D:$D  = $T$5, Monsters!$B:$B = ""Master"")
,
""/""
,
FILTER(Monsters!$AL:$AL, Monsters!$A:$A = W21 , Monsters!$D:$D  = $T$5, Monsters!$B:$B ="&amp;" ""Minion"")
)
,)
)"),"1/1")</f>
        <v>1/1</v>
      </c>
      <c r="AH21" s="205" t="b">
        <v>0</v>
      </c>
      <c r="AI21" s="206">
        <f>IFERROR(__xludf.DUMMYFUNCTION(" IFERROR(
IF(AND(Z21=FALSE,AD21 = FALSE),
(FILTER(Monsters!$AQ:$AQ, Monsters!$A:$A = W21 , Monsters!$D:$D  = $T$5, Monsters!$B:$B = ""Master"")
*
FILTER(Monsters!$AJ:$AJ, Monsters!$A:$A = W21 , Monsters!$D:$D  = $T$5, Monsters!$B:$B = ""Master"")
)
+
(FIL"&amp;"TER(Monsters!$AQ:$AQ, Monsters!$A:$A = W21 , Monsters!$D:$D  = $T$5, Monsters!$B:$B = ""Minion"")
*
FILTER(Monsters!$AJ:$AJ, Monsters!$A:$A = W21 , Monsters!$D:$D  = $T$5, Monsters!$B:$B = ""Minion"")
)
,)
,
)"),33.57)</f>
        <v>33.57</v>
      </c>
      <c r="AK21" s="207" t="str">
        <f>IFERROR(__xludf.DUMMYFUNCTION(" IFERROR(
IF(AND(Z21=FALSE,AD21 = FALSE),
CONCATENATE(
FILTER(Monsters!$AJ:$AJ, Monsters!$A:$A = W21 , Monsters!$D:$D  = $T$5, Monsters!$B:$B = ""Master"")
,
""/""
,
FILTER(Monsters!$AJ:$AJ, Monsters!$A:$A = W21 , Monsters!$D:$D  = $T$5, Monsters!$B:$B = "&amp;"""Minion"")
)
,)
,
)"),"1/0")</f>
        <v>1/0</v>
      </c>
      <c r="AL21" s="65"/>
    </row>
    <row r="22">
      <c r="H22" s="259">
        <f>B6+I6+B28+I28</f>
        <v>319.1252564</v>
      </c>
      <c r="J22" s="118"/>
      <c r="K22" s="118"/>
      <c r="O22" s="254"/>
      <c r="P22" s="260" t="s">
        <v>1442</v>
      </c>
      <c r="Q22" s="218">
        <f>IFERROR(
IF(S22 = TRUE,
VLOOKUP(R22,vote4OVERLORD!B:G,6,FALSE),0)
,0)</f>
        <v>1.5</v>
      </c>
      <c r="R22" s="68" t="s">
        <v>529</v>
      </c>
      <c r="S22" s="220" t="b">
        <v>1</v>
      </c>
      <c r="T22" s="258">
        <v>11.736666666666666</v>
      </c>
      <c r="U22" s="75" t="s">
        <v>1443</v>
      </c>
      <c r="V22" s="240" t="b">
        <v>1</v>
      </c>
      <c r="W22" s="247" t="s">
        <v>1444</v>
      </c>
      <c r="Z22" s="214" t="b">
        <v>0</v>
      </c>
      <c r="AA22" s="215" t="str">
        <f>IFERROR(__xludf.DUMMYFUNCTION(" IFERROR(
IF(AND(AD22=FALSE,AH22 = FALSE),
(FILTER(Monsters!$AQ:$AQ, Monsters!$A:$A = W22 , Monsters!$D:$D  = $T$5, Monsters!$B:$B = ""Master"")
*
FILTER(Monsters!$AN:$AN, Monsters!$A:$A = W22 , Monsters!$D:$D  = $T$5, Monsters!$B:$B = ""Master"")
)
+
(FI"&amp;"LTER(Monsters!$AQ:$AQ, Monsters!$A:$A = W22 , Monsters!$D:$D  = $T$5, Monsters!$B:$B = ""Minion"")
*
FILTER(Monsters!$AN:$AN, Monsters!$A:$A = W22 , Monsters!$D:$D  = $T$5, Monsters!$B:$B = ""Minion"")
)
,)
,
)"),"")</f>
        <v/>
      </c>
      <c r="AC22" s="216" t="str">
        <f>IFERROR(__xludf.DUMMYFUNCTION(" IFERROR(
IF(AND(AD22=FALSE,AH22 = FALSE),
CONCATENATE(
FILTER(Monsters!$AN:$AN, Monsters!$A:$A = W22 , Monsters!$D:$D  = $T$5, Monsters!$B:$B = ""Master"")
,
""/""
,
FILTER(Monsters!$AN:$AN, Monsters!$A:$A = W22 , Monsters!$D:$D  = $T$5, Monsters!$B:$B "&amp;"= ""Minion"")
)
,)
)"),"")</f>
        <v/>
      </c>
      <c r="AD22" s="214" t="b">
        <v>1</v>
      </c>
      <c r="AE22" s="215">
        <f>IFERROR(__xludf.DUMMYFUNCTION(" IFERROR(
IF(AND(Z22=FALSE,AH22 = FALSE),
(FILTER(Monsters!$AQ:$AQ, Monsters!$A:$A = W22 , Monsters!$D:$D  = $T$5, Monsters!$B:$B = ""Master"")
*
FILTER(Monsters!$AL:$AL, Monsters!$A:$A = W22 , Monsters!$D:$D  = $T$5, Monsters!$B:$B = ""Master"")
)
+
(FIL"&amp;"TER(Monsters!$AQ:$AQ, Monsters!$A:$A = W22 , Monsters!$D:$D  = $T$5, Monsters!$B:$B = ""Minion"")
*
FILTER(Monsters!$AL:$AL, Monsters!$A:$A = W22 , Monsters!$D:$D  = $T$5, Monsters!$B:$B = ""Minion"")
)
,)
,
)"),42.32)</f>
        <v>42.32</v>
      </c>
      <c r="AG22" s="216" t="str">
        <f>IFERROR(__xludf.DUMMYFUNCTION(" IFERROR(
IF(AND(Z22=FALSE,AH22 = FALSE),
CONCATENATE(
FILTER(Monsters!$AL:$AL, Monsters!$A:$A = W22 , Monsters!$D:$D  = $T$5, Monsters!$B:$B = ""Master"")
,
""/""
,
FILTER(Monsters!$AL:$AL, Monsters!$A:$A = W22 , Monsters!$D:$D  = $T$5, Monsters!$B:$B ="&amp;" ""Minion"")
)
,)
)"),"1/0")</f>
        <v>1/0</v>
      </c>
      <c r="AH22" s="214" t="b">
        <v>0</v>
      </c>
      <c r="AI22" s="215" t="str">
        <f>IFERROR(__xludf.DUMMYFUNCTION(" IFERROR(
IF(AND(Z22=FALSE,AD22 = FALSE),
(FILTER(Monsters!$AQ:$AQ, Monsters!$A:$A = W22 , Monsters!$D:$D  = $T$5, Monsters!$B:$B = ""Master"")
*
FILTER(Monsters!$AJ:$AJ, Monsters!$A:$A = W22 , Monsters!$D:$D  = $T$5, Monsters!$B:$B = ""Master"")
)
+
(FIL"&amp;"TER(Monsters!$AQ:$AQ, Monsters!$A:$A = W22 , Monsters!$D:$D  = $T$5, Monsters!$B:$B = ""Minion"")
*
FILTER(Monsters!$AJ:$AJ, Monsters!$A:$A = W22 , Monsters!$D:$D  = $T$5, Monsters!$B:$B = ""Minion"")
)
,)
,
)"),"")</f>
        <v/>
      </c>
      <c r="AK22" s="216" t="str">
        <f>IFERROR(__xludf.DUMMYFUNCTION(" IFERROR(
IF(AND(Z22=FALSE,AD22 = FALSE),
CONCATENATE(
FILTER(Monsters!$AJ:$AJ, Monsters!$A:$A = W22 , Monsters!$D:$D  = $T$5, Monsters!$B:$B = ""Master"")
,
""/""
,
FILTER(Monsters!$AJ:$AJ, Monsters!$A:$A = W22 , Monsters!$D:$D  = $T$5, Monsters!$B:$B = "&amp;"""Minion"")
)
,)
,
)"),"")</f>
        <v/>
      </c>
      <c r="AL22" s="83"/>
    </row>
    <row r="23">
      <c r="B23" s="191" t="s">
        <v>1445</v>
      </c>
      <c r="C23" s="7"/>
      <c r="D23" s="7"/>
      <c r="E23" s="7"/>
      <c r="F23" s="7"/>
      <c r="G23" s="8"/>
      <c r="I23" s="191" t="s">
        <v>1446</v>
      </c>
      <c r="J23" s="7"/>
      <c r="K23" s="7"/>
      <c r="L23" s="7"/>
      <c r="M23" s="7"/>
      <c r="N23" s="8"/>
      <c r="P23" s="53"/>
      <c r="Q23" s="218">
        <f>IFERROR(
IF(S23 = TRUE,
VLOOKUP(R23,vote4OVERLORD!B:G,6,FALSE),0)
,0)</f>
        <v>4.5</v>
      </c>
      <c r="R23" s="68" t="s">
        <v>525</v>
      </c>
      <c r="S23" s="220" t="b">
        <v>1</v>
      </c>
      <c r="W23" s="246" t="s">
        <v>1447</v>
      </c>
      <c r="Z23" s="246" t="b">
        <v>0</v>
      </c>
      <c r="AA23" s="206">
        <f>IFERROR(__xludf.DUMMYFUNCTION(" IFERROR(
IF(AND(AD23=FALSE,AH23 = FALSE),
(FILTER(Monsters!$AQ:$AQ, Monsters!$A:$A = W23 , Monsters!$D:$D  = $T$5, Monsters!$B:$B = ""Master"")
*
FILTER(Monsters!$AN:$AN, Monsters!$A:$A = W23 , Monsters!$D:$D  = $T$5, Monsters!$B:$B = ""Master"")
)
+
(FI"&amp;"LTER(Monsters!$AQ:$AQ, Monsters!$A:$A = W23 , Monsters!$D:$D  = $T$5, Monsters!$B:$B = ""Minion"")
*
FILTER(Monsters!$AN:$AN, Monsters!$A:$A = W23 , Monsters!$D:$D  = $T$5, Monsters!$B:$B = ""Minion"")
)
,)
,
)"),74.61666666666667)</f>
        <v>74.61666667</v>
      </c>
      <c r="AC23" s="207" t="str">
        <f>IFERROR(__xludf.DUMMYFUNCTION(" IFERROR(
IF(AND(AD23=FALSE,AH23 = FALSE),
CONCATENATE(
FILTER(Monsters!$AN:$AN, Monsters!$A:$A = W23 , Monsters!$D:$D  = $T$5, Monsters!$B:$B = ""Master"")
,
""/""
,
FILTER(Monsters!$AN:$AN, Monsters!$A:$A = W23 , Monsters!$D:$D  = $T$5, Monsters!$B:$B "&amp;"= ""Minion"")
)
,)
)"),"1/2")</f>
        <v>1/2</v>
      </c>
      <c r="AD23" s="246" t="b">
        <v>0</v>
      </c>
      <c r="AE23" s="206">
        <f>IFERROR(__xludf.DUMMYFUNCTION(" IFERROR(
IF(AND(Z23=FALSE,AH23 = FALSE),
(FILTER(Monsters!$AQ:$AQ, Monsters!$A:$A = W23 , Monsters!$D:$D  = $T$5, Monsters!$B:$B = ""Master"")
*
FILTER(Monsters!$AL:$AL, Monsters!$A:$A = W23 , Monsters!$D:$D  = $T$5, Monsters!$B:$B = ""Master"")
)
+
(FIL"&amp;"TER(Monsters!$AQ:$AQ, Monsters!$A:$A = W23 , Monsters!$D:$D  = $T$5, Monsters!$B:$B = ""Minion"")
*
FILTER(Monsters!$AL:$AL, Monsters!$A:$A = W23 , Monsters!$D:$D  = $T$5, Monsters!$B:$B = ""Minion"")
)
,)
,
)"),53.84166666666667)</f>
        <v>53.84166667</v>
      </c>
      <c r="AG23" s="207" t="str">
        <f>IFERROR(__xludf.DUMMYFUNCTION(" IFERROR(
IF(AND(Z23=FALSE,AH23 = FALSE),
CONCATENATE(
FILTER(Monsters!$AL:$AL, Monsters!$A:$A = W23 , Monsters!$D:$D  = $T$5, Monsters!$B:$B = ""Master"")
,
""/""
,
FILTER(Monsters!$AL:$AL, Monsters!$A:$A = W23 , Monsters!$D:$D  = $T$5, Monsters!$B:$B ="&amp;" ""Minion"")
)
,)
)"),"1/1")</f>
        <v>1/1</v>
      </c>
      <c r="AH23" s="205" t="b">
        <v>0</v>
      </c>
      <c r="AI23" s="206">
        <f>IFERROR(__xludf.DUMMYFUNCTION(" IFERROR(
IF(AND(Z23=FALSE,AD23 = FALSE),
(FILTER(Monsters!$AQ:$AQ, Monsters!$A:$A = W23 , Monsters!$D:$D  = $T$5, Monsters!$B:$B = ""Master"")
*
FILTER(Monsters!$AJ:$AJ, Monsters!$A:$A = W23 , Monsters!$D:$D  = $T$5, Monsters!$B:$B = ""Master"")
)
+
(FIL"&amp;"TER(Monsters!$AQ:$AQ, Monsters!$A:$A = W23 , Monsters!$D:$D  = $T$5, Monsters!$B:$B = ""Minion"")
*
FILTER(Monsters!$AJ:$AJ, Monsters!$A:$A = W23 , Monsters!$D:$D  = $T$5, Monsters!$B:$B = ""Minion"")
)
,)
,
)"),33.06666666666666)</f>
        <v>33.06666667</v>
      </c>
      <c r="AK23" s="207" t="str">
        <f>IFERROR(__xludf.DUMMYFUNCTION(" IFERROR(
IF(AND(Z23=FALSE,AD23 = FALSE),
CONCATENATE(
FILTER(Monsters!$AJ:$AJ, Monsters!$A:$A = W23 , Monsters!$D:$D  = $T$5, Monsters!$B:$B = ""Master"")
,
""/""
,
FILTER(Monsters!$AJ:$AJ, Monsters!$A:$A = W23 , Monsters!$D:$D  = $T$5, Monsters!$B:$B = "&amp;"""Minion"")
)
,)
,
)"),"1/0")</f>
        <v>1/0</v>
      </c>
      <c r="AL23" s="83"/>
    </row>
    <row r="24">
      <c r="B24" s="192" t="s">
        <v>1400</v>
      </c>
      <c r="C24" s="193" t="s">
        <v>435</v>
      </c>
      <c r="D24" s="194" t="s">
        <v>1400</v>
      </c>
      <c r="E24" s="80"/>
      <c r="F24" s="193" t="s">
        <v>434</v>
      </c>
      <c r="G24" s="81"/>
      <c r="I24" s="192" t="s">
        <v>1400</v>
      </c>
      <c r="J24" s="193" t="s">
        <v>435</v>
      </c>
      <c r="K24" s="194" t="s">
        <v>1400</v>
      </c>
      <c r="L24" s="80"/>
      <c r="M24" s="193" t="s">
        <v>434</v>
      </c>
      <c r="N24" s="81"/>
      <c r="P24" s="53"/>
      <c r="Q24" s="218">
        <f>IFERROR(
IF(S24 = TRUE,
VLOOKUP(R24,vote4OVERLORD!B:G,6,FALSE),0)
,0)</f>
        <v>0</v>
      </c>
      <c r="R24" s="68" t="s">
        <v>523</v>
      </c>
      <c r="S24" s="220" t="b">
        <v>0</v>
      </c>
      <c r="W24" s="247" t="s">
        <v>1448</v>
      </c>
      <c r="Z24" s="247" t="b">
        <v>0</v>
      </c>
      <c r="AA24" s="215">
        <f>IFERROR(__xludf.DUMMYFUNCTION(" IFERROR(
IF(AND(AD24=FALSE,AH24 = FALSE),
(FILTER(Monsters!$AQ:$AQ, Monsters!$A:$A = W24 , Monsters!$D:$D  = $T$5, Monsters!$B:$B = ""Master"")
*
FILTER(Monsters!$AN:$AN, Monsters!$A:$A = W24 , Monsters!$D:$D  = $T$5, Monsters!$B:$B = ""Master"")
)
+
(FI"&amp;"LTER(Monsters!$AQ:$AQ, Monsters!$A:$A = W24 , Monsters!$D:$D  = $T$5, Monsters!$B:$B = ""Minion"")
*
FILTER(Monsters!$AN:$AN, Monsters!$A:$A = W24 , Monsters!$D:$D  = $T$5, Monsters!$B:$B = ""Minion"")
)
,)
,
)"),72.22333333333333)</f>
        <v>72.22333333</v>
      </c>
      <c r="AC24" s="216" t="str">
        <f>IFERROR(__xludf.DUMMYFUNCTION(" IFERROR(
IF(AND(AD24=FALSE,AH24 = FALSE),
CONCATENATE(
FILTER(Monsters!$AN:$AN, Monsters!$A:$A = W24 , Monsters!$D:$D  = $T$5, Monsters!$B:$B = ""Master"")
,
""/""
,
FILTER(Monsters!$AN:$AN, Monsters!$A:$A = W24 , Monsters!$D:$D  = $T$5, Monsters!$B:$B "&amp;"= ""Minion"")
)
,)
)"),"1/1")</f>
        <v>1/1</v>
      </c>
      <c r="AD24" s="247" t="b">
        <v>0</v>
      </c>
      <c r="AE24" s="215">
        <f>IFERROR(__xludf.DUMMYFUNCTION(" IFERROR(
IF(AND(Z24=FALSE,AH24 = FALSE),
(FILTER(Monsters!$AQ:$AQ, Monsters!$A:$A = W24 , Monsters!$D:$D  = $T$5, Monsters!$B:$B = ""Master"")
*
FILTER(Monsters!$AL:$AL, Monsters!$A:$A = W24 , Monsters!$D:$D  = $T$5, Monsters!$B:$B = ""Master"")
)
+
(FIL"&amp;"TER(Monsters!$AQ:$AQ, Monsters!$A:$A = W24 , Monsters!$D:$D  = $T$5, Monsters!$B:$B = ""Minion"")
*
FILTER(Monsters!$AL:$AL, Monsters!$A:$A = W24 , Monsters!$D:$D  = $T$5, Monsters!$B:$B = ""Minion"")
)
,)
,
)"),42.736666666666665)</f>
        <v>42.73666667</v>
      </c>
      <c r="AG24" s="216" t="str">
        <f>IFERROR(__xludf.DUMMYFUNCTION(" IFERROR(
IF(AND(Z24=FALSE,AH24 = FALSE),
CONCATENATE(
FILTER(Monsters!$AL:$AL, Monsters!$A:$A = W24 , Monsters!$D:$D  = $T$5, Monsters!$B:$B = ""Master"")
,
""/""
,
FILTER(Monsters!$AL:$AL, Monsters!$A:$A = W24 , Monsters!$D:$D  = $T$5, Monsters!$B:$B ="&amp;" ""Minion"")
)
,)
)"),"1/0")</f>
        <v>1/0</v>
      </c>
      <c r="AH24" s="247" t="b">
        <v>0</v>
      </c>
      <c r="AI24" s="215">
        <f>IFERROR(__xludf.DUMMYFUNCTION(" IFERROR(
IF(AND(Z24=FALSE,AD24 = FALSE),
(FILTER(Monsters!$AQ:$AQ, Monsters!$A:$A = W24 , Monsters!$D:$D  = $T$5, Monsters!$B:$B = ""Master"")
*
FILTER(Monsters!$AJ:$AJ, Monsters!$A:$A = W24 , Monsters!$D:$D  = $T$5, Monsters!$B:$B = ""Master"")
)
+
(FIL"&amp;"TER(Monsters!$AQ:$AQ, Monsters!$A:$A = W24 , Monsters!$D:$D  = $T$5, Monsters!$B:$B = ""Minion"")
*
FILTER(Monsters!$AJ:$AJ, Monsters!$A:$A = W24 , Monsters!$D:$D  = $T$5, Monsters!$B:$B = ""Minion"")
)
,)
,
)"),29.486666666666668)</f>
        <v>29.48666667</v>
      </c>
      <c r="AK24" s="216" t="str">
        <f>IFERROR(__xludf.DUMMYFUNCTION(" IFERROR(
IF(AND(Z24=FALSE,AD24 = FALSE),
CONCATENATE(
FILTER(Monsters!$AJ:$AJ, Monsters!$A:$A = W24 , Monsters!$D:$D  = $T$5, Monsters!$B:$B = ""Master"")
,
""/""
,
FILTER(Monsters!$AJ:$AJ, Monsters!$A:$A = W24 , Monsters!$D:$D  = $T$5, Monsters!$B:$B = "&amp;"""Minion"")
)
,)
,
)"),"0/1")</f>
        <v>0/1</v>
      </c>
      <c r="AL24" s="83"/>
    </row>
    <row r="25">
      <c r="B25" s="53"/>
      <c r="C25" s="198" t="s">
        <v>1449</v>
      </c>
      <c r="D25" s="199">
        <f>IFERROR(VLOOKUP(C25,'Heroes 1.1'!$A:$N,14,FALSE),)</f>
        <v>39.11666667</v>
      </c>
      <c r="F25" s="68" t="s">
        <v>1450</v>
      </c>
      <c r="G25" s="200"/>
      <c r="I25" s="53"/>
      <c r="J25" s="198" t="s">
        <v>1451</v>
      </c>
      <c r="K25" s="199">
        <f>IFERROR(VLOOKUP(J25,'Heroes 1.1'!$A:$N,14,FALSE),)</f>
        <v>44.52</v>
      </c>
      <c r="M25" s="68" t="s">
        <v>1452</v>
      </c>
      <c r="N25" s="200"/>
      <c r="P25" s="53"/>
      <c r="Q25" s="218">
        <f>IFERROR(
IF(S25 = TRUE,
VLOOKUP(R25,vote4OVERLORD!B:G,6,FALSE),0)
,0)</f>
        <v>0</v>
      </c>
      <c r="R25" s="68" t="s">
        <v>449</v>
      </c>
      <c r="S25" s="220" t="b">
        <v>1</v>
      </c>
      <c r="W25" s="246" t="s">
        <v>1453</v>
      </c>
      <c r="Z25" s="205" t="b">
        <v>0</v>
      </c>
      <c r="AA25" s="206">
        <f>IFERROR(__xludf.DUMMYFUNCTION(" IFERROR(
IF(AND(AD25=FALSE,AH25 = FALSE),
(FILTER(Monsters!$AQ:$AQ, Monsters!$A:$A = W25 , Monsters!$D:$D  = $T$5, Monsters!$B:$B = ""Master"")
*
FILTER(Monsters!$AN:$AN, Monsters!$A:$A = W25 , Monsters!$D:$D  = $T$5, Monsters!$B:$B = ""Master"")
)
+
(FI"&amp;"LTER(Monsters!$AQ:$AQ, Monsters!$A:$A = W25 , Monsters!$D:$D  = $T$5, Monsters!$B:$B = ""Minion"")
*
FILTER(Monsters!$AN:$AN, Monsters!$A:$A = W25 , Monsters!$D:$D  = $T$5, Monsters!$B:$B = ""Minion"")
)
,)
,
)"),70.69666666666667)</f>
        <v>70.69666667</v>
      </c>
      <c r="AC25" s="207" t="str">
        <f>IFERROR(__xludf.DUMMYFUNCTION(" IFERROR(
IF(AND(AD25=FALSE,AH25 = FALSE),
CONCATENATE(
FILTER(Monsters!$AN:$AN, Monsters!$A:$A = W25 , Monsters!$D:$D  = $T$5, Monsters!$B:$B = ""Master"")
,
""/""
,
FILTER(Monsters!$AN:$AN, Monsters!$A:$A = W25 , Monsters!$D:$D  = $T$5, Monsters!$B:$B "&amp;"= ""Minion"")
)
,)
)"),"1/3")</f>
        <v>1/3</v>
      </c>
      <c r="AD25" s="205" t="b">
        <v>0</v>
      </c>
      <c r="AE25" s="206">
        <f>IFERROR(__xludf.DUMMYFUNCTION(" IFERROR(
IF(AND(Z25=FALSE,AH25 = FALSE),
(FILTER(Monsters!$AQ:$AQ, Monsters!$A:$A = W25 , Monsters!$D:$D  = $T$5, Monsters!$B:$B = ""Master"")
*
FILTER(Monsters!$AL:$AL, Monsters!$A:$A = W25 , Monsters!$D:$D  = $T$5, Monsters!$B:$B = ""Master"")
)
+
(FIL"&amp;"TER(Monsters!$AQ:$AQ, Monsters!$A:$A = W25 , Monsters!$D:$D  = $T$5, Monsters!$B:$B = ""Minion"")
*
FILTER(Monsters!$AL:$AL, Monsters!$A:$A = W25 , Monsters!$D:$D  = $T$5, Monsters!$B:$B = ""Minion"")
)
,)
,
)"),54.96000000000001)</f>
        <v>54.96</v>
      </c>
      <c r="AG25" s="207" t="str">
        <f>IFERROR(__xludf.DUMMYFUNCTION(" IFERROR(
IF(AND(Z25=FALSE,AH25 = FALSE),
CONCATENATE(
FILTER(Monsters!$AL:$AL, Monsters!$A:$A = W25 , Monsters!$D:$D  = $T$5, Monsters!$B:$B = ""Master"")
,
""/""
,
FILTER(Monsters!$AL:$AL, Monsters!$A:$A = W25 , Monsters!$D:$D  = $T$5, Monsters!$B:$B ="&amp;" ""Minion"")
)
,)
)"),"1/2")</f>
        <v>1/2</v>
      </c>
      <c r="AH25" s="205" t="b">
        <v>0</v>
      </c>
      <c r="AI25" s="206">
        <f>IFERROR(__xludf.DUMMYFUNCTION(" IFERROR(
IF(AND(Z25=FALSE,AD25 = FALSE),
(FILTER(Monsters!$AQ:$AQ, Monsters!$A:$A = W25 , Monsters!$D:$D  = $T$5, Monsters!$B:$B = ""Master"")
*
FILTER(Monsters!$AJ:$AJ, Monsters!$A:$A = W25 , Monsters!$D:$D  = $T$5, Monsters!$B:$B = ""Master"")
)
+
(FIL"&amp;"TER(Monsters!$AQ:$AQ, Monsters!$A:$A = W25 , Monsters!$D:$D  = $T$5, Monsters!$B:$B = ""Minion"")
*
FILTER(Monsters!$AJ:$AJ, Monsters!$A:$A = W25 , Monsters!$D:$D  = $T$5, Monsters!$B:$B = ""Minion"")
)
,)
,
)"),39.223333333333336)</f>
        <v>39.22333333</v>
      </c>
      <c r="AK25" s="207" t="str">
        <f>IFERROR(__xludf.DUMMYFUNCTION(" IFERROR(
IF(AND(Z25=FALSE,AD25 = FALSE),
CONCATENATE(
FILTER(Monsters!$AJ:$AJ, Monsters!$A:$A = W25 , Monsters!$D:$D  = $T$5, Monsters!$B:$B = ""Master"")
,
""/""
,
FILTER(Monsters!$AJ:$AJ, Monsters!$A:$A = W25 , Monsters!$D:$D  = $T$5, Monsters!$B:$B = "&amp;"""Minion"")
)
,)
,
)"),"1/1")</f>
        <v>1/1</v>
      </c>
      <c r="AL25" s="83"/>
    </row>
    <row r="26">
      <c r="B26" s="53"/>
      <c r="C26" s="193" t="s">
        <v>438</v>
      </c>
      <c r="D26" s="200"/>
      <c r="F26" s="208" t="str">
        <f>IF(OR(F25 = "Battlemage", F25 = "Truthseer", F25 = "Lorekeeper", F25 = "Steelcaster", F25 = "Avenger",F25 = "Raider", F25 = "Monk", F25 = "Trickster", F25 = "Ravager", F25 = "Watchman", F25 = "Crusader", F25 = "Heretic"), "Subclass: ", )</f>
        <v/>
      </c>
      <c r="G26" s="209" t="str">
        <f>IFERROR(
IFS(
OR(F25 = "Battlemage",F25 = "Ravager",F25 = "Crusader"), "Warrior",
OR(F25 = "Steelcaster",F25 = "Trickster",F25 = "Heretic"),"Mage",
OR(F25 = "Truthseer",F25 = "Raider",F25 = "Watchman"),"Scout",
OR(F25 = "Lorekeeper",F25 = "Avenger",F25 = "Monk"),"Healer"
),
)</f>
        <v/>
      </c>
      <c r="I26" s="53"/>
      <c r="J26" s="193" t="s">
        <v>438</v>
      </c>
      <c r="K26" s="200"/>
      <c r="M26" s="208" t="str">
        <f>IF(OR(M25 = "Battlemage", M25 = "Truthseer", M25 = "Lorekeeper", M25 = "Steelcaster", M25 = "Avenger",M25 = "Raider", M25 = "Monk", M25 = "Trickster", M25 = "Ravager", M25 = "Watchman", M25 = "Crusader", M25 = "Heretic"), "Subclass: ", )</f>
        <v/>
      </c>
      <c r="N26" s="209" t="str">
        <f>IFERROR(
IFS(
OR(M25 = "Battlemage",M25 = "Ravager",M25 = "Crusader"), "Warrior",
OR(M25 = "Steelcaster",M25 = "Trickster",M25 = "Heretic"),"Mage",
OR(M25 = "Truthseer",M25 = "Raider",M25 = "Watchman"),"Scout",
OR(M25 = "Lorekeeper",M25 = "Avenger",M25 = "Monk"),"Healer"
),
)</f>
        <v/>
      </c>
      <c r="P26" s="227">
        <f>H22 - P6</f>
        <v>23.34192308</v>
      </c>
      <c r="Q26" s="218">
        <f>IFERROR(
IF(S26 = TRUE,
VLOOKUP(R26,vote4OVERLORD!B:G,6,FALSE),0)
,0)</f>
        <v>5.333333333</v>
      </c>
      <c r="R26" s="68" t="s">
        <v>445</v>
      </c>
      <c r="S26" s="220" t="b">
        <v>1</v>
      </c>
      <c r="W26" s="247" t="s">
        <v>1454</v>
      </c>
      <c r="Z26" s="214" t="b">
        <v>0</v>
      </c>
      <c r="AA26" s="215">
        <f>IFERROR(__xludf.DUMMYFUNCTION(" IFERROR(
IF(AND(AD26=FALSE,AH26 = FALSE),
(FILTER(Monsters!$AQ:$AQ, Monsters!$A:$A = W26 , Monsters!$D:$D  = $T$5, Monsters!$B:$B = ""Master"")
*
FILTER(Monsters!$AN:$AN, Monsters!$A:$A = W26 , Monsters!$D:$D  = $T$5, Monsters!$B:$B = ""Master"")
)
+
(FI"&amp;"LTER(Monsters!$AQ:$AQ, Monsters!$A:$A = W26 , Monsters!$D:$D  = $T$5, Monsters!$B:$B = ""Minion"")
*
FILTER(Monsters!$AN:$AN, Monsters!$A:$A = W26 , Monsters!$D:$D  = $T$5, Monsters!$B:$B = ""Minion"")
)
,)
,
)"),68.53333333333333)</f>
        <v>68.53333333</v>
      </c>
      <c r="AC26" s="216" t="str">
        <f>IFERROR(__xludf.DUMMYFUNCTION(" IFERROR(
IF(AND(AD26=FALSE,AH26 = FALSE),
CONCATENATE(
FILTER(Monsters!$AN:$AN, Monsters!$A:$A = W26 , Monsters!$D:$D  = $T$5, Monsters!$B:$B = ""Master"")
,
""/""
,
FILTER(Monsters!$AN:$AN, Monsters!$A:$A = W26 , Monsters!$D:$D  = $T$5, Monsters!$B:$B "&amp;"= ""Minion"")
)
,)
)"),"1/2")</f>
        <v>1/2</v>
      </c>
      <c r="AD26" s="214" t="b">
        <v>0</v>
      </c>
      <c r="AE26" s="215">
        <f>IFERROR(__xludf.DUMMYFUNCTION(" IFERROR(
IF(AND(Z26=FALSE,AH26 = FALSE),
(FILTER(Monsters!$AQ:$AQ, Monsters!$A:$A = W26 , Monsters!$D:$D  = $T$5, Monsters!$B:$B = ""Master"")
*
FILTER(Monsters!$AL:$AL, Monsters!$A:$A = W26 , Monsters!$D:$D  = $T$5, Monsters!$B:$B = ""Master"")
)
+
(FIL"&amp;"TER(Monsters!$AQ:$AQ, Monsters!$A:$A = W26 , Monsters!$D:$D  = $T$5, Monsters!$B:$B = ""Minion"")
*
FILTER(Monsters!$AL:$AL, Monsters!$A:$A = W26 , Monsters!$D:$D  = $T$5, Monsters!$B:$B = ""Minion"")
)
,)
,
)"),50.21666666666667)</f>
        <v>50.21666667</v>
      </c>
      <c r="AG26" s="216" t="str">
        <f>IFERROR(__xludf.DUMMYFUNCTION(" IFERROR(
IF(AND(Z26=FALSE,AH26 = FALSE),
CONCATENATE(
FILTER(Monsters!$AL:$AL, Monsters!$A:$A = W26 , Monsters!$D:$D  = $T$5, Monsters!$B:$B = ""Master"")
,
""/""
,
FILTER(Monsters!$AL:$AL, Monsters!$A:$A = W26 , Monsters!$D:$D  = $T$5, Monsters!$B:$B ="&amp;" ""Minion"")
)
,)
)"),"1/1")</f>
        <v>1/1</v>
      </c>
      <c r="AH26" s="214" t="b">
        <v>0</v>
      </c>
      <c r="AI26" s="215">
        <f>IFERROR(__xludf.DUMMYFUNCTION(" IFERROR(
IF(AND(Z26=FALSE,AD26 = FALSE),
(FILTER(Monsters!$AQ:$AQ, Monsters!$A:$A = W26 , Monsters!$D:$D  = $T$5, Monsters!$B:$B = ""Master"")
*
FILTER(Monsters!$AJ:$AJ, Monsters!$A:$A = W26 , Monsters!$D:$D  = $T$5, Monsters!$B:$B = ""Master"")
)
+
(FIL"&amp;"TER(Monsters!$AQ:$AQ, Monsters!$A:$A = W26 , Monsters!$D:$D  = $T$5, Monsters!$B:$B = ""Minion"")
*
FILTER(Monsters!$AJ:$AJ, Monsters!$A:$A = W26 , Monsters!$D:$D  = $T$5, Monsters!$B:$B = ""Minion"")
)
,)
,
)"),31.900000000000002)</f>
        <v>31.9</v>
      </c>
      <c r="AK26" s="216" t="str">
        <f>IFERROR(__xludf.DUMMYFUNCTION(" IFERROR(
IF(AND(Z26=FALSE,AD26 = FALSE),
CONCATENATE(
FILTER(Monsters!$AJ:$AJ, Monsters!$A:$A = W26 , Monsters!$D:$D  = $T$5, Monsters!$B:$B = ""Master"")
,
""/""
,
FILTER(Monsters!$AJ:$AJ, Monsters!$A:$A = W26 , Monsters!$D:$D  = $T$5, Monsters!$B:$B = "&amp;"""Minion"")
)
,)
,
)"),"1/0")</f>
        <v>1/0</v>
      </c>
      <c r="AL26" s="83"/>
    </row>
    <row r="27">
      <c r="B27" s="53"/>
      <c r="C27" s="60" t="str">
        <f>IFERROR(VLOOKUP(C25, 'Heroes 1.1'!$A:$M, 2, FALSE),)</f>
        <v>Scout</v>
      </c>
      <c r="D27" s="203"/>
      <c r="F27" s="69"/>
      <c r="G27" s="203"/>
      <c r="I27" s="53"/>
      <c r="J27" s="60" t="str">
        <f>IFERROR(VLOOKUP(J25, 'Heroes 1.1'!$A:$M, 2, FALSE),)</f>
        <v>Healer</v>
      </c>
      <c r="K27" s="203"/>
      <c r="M27" s="69"/>
      <c r="N27" s="203"/>
      <c r="P27" s="53"/>
      <c r="Q27" s="218">
        <f>IFERROR(
IF(S27 = TRUE,
VLOOKUP(R27,vote4OVERLORD!B:G,6,FALSE),0)
,0)</f>
        <v>2.666666667</v>
      </c>
      <c r="R27" s="68" t="s">
        <v>447</v>
      </c>
      <c r="S27" s="220" t="b">
        <v>1</v>
      </c>
      <c r="W27" s="246" t="s">
        <v>1455</v>
      </c>
      <c r="Z27" s="205" t="b">
        <v>0</v>
      </c>
      <c r="AA27" s="206">
        <f>IFERROR(__xludf.DUMMYFUNCTION(" IFERROR(
IF(AND(AD27=FALSE,AH27 = FALSE),
(FILTER(Monsters!$AQ:$AQ, Monsters!$A:$A = W27 , Monsters!$D:$D  = $T$5, Monsters!$B:$B = ""Master"")
*
FILTER(Monsters!$AN:$AN, Monsters!$A:$A = W27 , Monsters!$D:$D  = $T$5, Monsters!$B:$B = ""Master"")
)
+
(FI"&amp;"LTER(Monsters!$AQ:$AQ, Monsters!$A:$A = W27 , Monsters!$D:$D  = $T$5, Monsters!$B:$B = ""Minion"")
*
FILTER(Monsters!$AN:$AN, Monsters!$A:$A = W27 , Monsters!$D:$D  = $T$5, Monsters!$B:$B = ""Minion"")
)
,)
,
)"),68.39666666666668)</f>
        <v>68.39666667</v>
      </c>
      <c r="AC27" s="207" t="str">
        <f>IFERROR(__xludf.DUMMYFUNCTION(" IFERROR(
IF(AND(AD27=FALSE,AH27 = FALSE),
CONCATENATE(
FILTER(Monsters!$AN:$AN, Monsters!$A:$A = W27 , Monsters!$D:$D  = $T$5, Monsters!$B:$B = ""Master"")
,
""/""
,
FILTER(Monsters!$AN:$AN, Monsters!$A:$A = W27 , Monsters!$D:$D  = $T$5, Monsters!$B:$B "&amp;"= ""Minion"")
)
,)
)"),"1/2")</f>
        <v>1/2</v>
      </c>
      <c r="AD27" s="246" t="b">
        <v>0</v>
      </c>
      <c r="AE27" s="206">
        <f>IFERROR(__xludf.DUMMYFUNCTION(" IFERROR(
IF(AND(Z27=FALSE,AH27 = FALSE),
(FILTER(Monsters!$AQ:$AQ, Monsters!$A:$A = W27 , Monsters!$D:$D  = $T$5, Monsters!$B:$B = ""Master"")
*
FILTER(Monsters!$AL:$AL, Monsters!$A:$A = W27 , Monsters!$D:$D  = $T$5, Monsters!$B:$B = ""Master"")
)
+
(FIL"&amp;"TER(Monsters!$AQ:$AQ, Monsters!$A:$A = W27 , Monsters!$D:$D  = $T$5, Monsters!$B:$B = ""Minion"")
*
FILTER(Monsters!$AL:$AL, Monsters!$A:$A = W27 , Monsters!$D:$D  = $T$5, Monsters!$B:$B = ""Minion"")
)
,)
,
)"),48.44500000000001)</f>
        <v>48.445</v>
      </c>
      <c r="AG27" s="207" t="str">
        <f>IFERROR(__xludf.DUMMYFUNCTION(" IFERROR(
IF(AND(Z27=FALSE,AH27 = FALSE),
CONCATENATE(
FILTER(Monsters!$AL:$AL, Monsters!$A:$A = W27 , Monsters!$D:$D  = $T$5, Monsters!$B:$B = ""Master"")
,
""/""
,
FILTER(Monsters!$AL:$AL, Monsters!$A:$A = W27 , Monsters!$D:$D  = $T$5, Monsters!$B:$B ="&amp;" ""Minion"")
)
,)
)"),"1/1")</f>
        <v>1/1</v>
      </c>
      <c r="AH27" s="246" t="b">
        <v>0</v>
      </c>
      <c r="AI27" s="206">
        <f>IFERROR(__xludf.DUMMYFUNCTION(" IFERROR(
IF(AND(Z27=FALSE,AD27 = FALSE),
(FILTER(Monsters!$AQ:$AQ, Monsters!$A:$A = W27 , Monsters!$D:$D  = $T$5, Monsters!$B:$B = ""Master"")
*
FILTER(Monsters!$AJ:$AJ, Monsters!$A:$A = W27 , Monsters!$D:$D  = $T$5, Monsters!$B:$B = ""Master"")
)
+
(FIL"&amp;"TER(Monsters!$AQ:$AQ, Monsters!$A:$A = W27 , Monsters!$D:$D  = $T$5, Monsters!$B:$B = ""Minion"")
*
FILTER(Monsters!$AJ:$AJ, Monsters!$A:$A = W27 , Monsters!$D:$D  = $T$5, Monsters!$B:$B = ""Minion"")
)
,)
,
)"),39.903333333333336)</f>
        <v>39.90333333</v>
      </c>
      <c r="AK27" s="207" t="str">
        <f>IFERROR(__xludf.DUMMYFUNCTION(" IFERROR(
IF(AND(Z27=FALSE,AD27 = FALSE),
CONCATENATE(
FILTER(Monsters!$AJ:$AJ, Monsters!$A:$A = W27 , Monsters!$D:$D  = $T$5, Monsters!$B:$B = ""Master"")
,
""/""
,
FILTER(Monsters!$AJ:$AJ, Monsters!$A:$A = W27 , Monsters!$D:$D  = $T$5, Monsters!$B:$B = "&amp;"""Minion"")
)
,)
,
)"),"0/2")</f>
        <v>0/2</v>
      </c>
      <c r="AL27" s="83"/>
    </row>
    <row r="28">
      <c r="B28" s="227">
        <f>SUM(D25:E43)</f>
        <v>77.65833333</v>
      </c>
      <c r="C28" s="228" t="s">
        <v>1417</v>
      </c>
      <c r="D28" s="229"/>
      <c r="E28" s="226"/>
      <c r="F28" s="193" t="s">
        <v>1418</v>
      </c>
      <c r="G28" s="81"/>
      <c r="I28" s="227">
        <f>SUM(K25:L43)</f>
        <v>72.10333333</v>
      </c>
      <c r="J28" s="228" t="s">
        <v>1417</v>
      </c>
      <c r="K28" s="229"/>
      <c r="L28" s="226"/>
      <c r="M28" s="193" t="s">
        <v>1418</v>
      </c>
      <c r="N28" s="81"/>
      <c r="P28" s="53"/>
      <c r="Q28" s="218">
        <f>IFERROR(
IF(S28 = TRUE,
VLOOKUP(R28,vote4OVERLORD!B:G,6,FALSE),0)
,0)</f>
        <v>4.333333333</v>
      </c>
      <c r="R28" s="68" t="s">
        <v>442</v>
      </c>
      <c r="S28" s="220" t="b">
        <v>1</v>
      </c>
      <c r="W28" s="247" t="s">
        <v>1456</v>
      </c>
      <c r="Z28" s="214" t="b">
        <v>0</v>
      </c>
      <c r="AA28" s="215">
        <f>IFERROR(__xludf.DUMMYFUNCTION(" IFERROR(
IF(AND(AD28=FALSE,AH28 = FALSE),
(FILTER(Monsters!$AQ:$AQ, Monsters!$A:$A = W28 , Monsters!$D:$D  = $T$5, Monsters!$B:$B = ""Master"")
*
FILTER(Monsters!$AN:$AN, Monsters!$A:$A = W28 , Monsters!$D:$D  = $T$5, Monsters!$B:$B = ""Master"")
)
+
(FI"&amp;"LTER(Monsters!$AQ:$AQ, Monsters!$A:$A = W28 , Monsters!$D:$D  = $T$5, Monsters!$B:$B = ""Minion"")
*
FILTER(Monsters!$AN:$AN, Monsters!$A:$A = W28 , Monsters!$D:$D  = $T$5, Monsters!$B:$B = ""Minion"")
)
,)
,
)"),68.2)</f>
        <v>68.2</v>
      </c>
      <c r="AC28" s="216" t="str">
        <f>IFERROR(__xludf.DUMMYFUNCTION(" IFERROR(
IF(AND(AD28=FALSE,AH28 = FALSE),
CONCATENATE(
FILTER(Monsters!$AN:$AN, Monsters!$A:$A = W28 , Monsters!$D:$D  = $T$5, Monsters!$B:$B = ""Master"")
,
""/""
,
FILTER(Monsters!$AN:$AN, Monsters!$A:$A = W28 , Monsters!$D:$D  = $T$5, Monsters!$B:$B "&amp;"= ""Minion"")
)
,)
)"),"1/2")</f>
        <v>1/2</v>
      </c>
      <c r="AD28" s="214" t="b">
        <v>0</v>
      </c>
      <c r="AE28" s="215">
        <f>IFERROR(__xludf.DUMMYFUNCTION(" IFERROR(
IF(AND(Z28=FALSE,AH28 = FALSE),
(FILTER(Monsters!$AQ:$AQ, Monsters!$A:$A = W28 , Monsters!$D:$D  = $T$5, Monsters!$B:$B = ""Master"")
*
FILTER(Monsters!$AL:$AL, Monsters!$A:$A = W28 , Monsters!$D:$D  = $T$5, Monsters!$B:$B = ""Master"")
)
+
(FIL"&amp;"TER(Monsters!$AQ:$AQ, Monsters!$A:$A = W28 , Monsters!$D:$D  = $T$5, Monsters!$B:$B = ""Minion"")
*
FILTER(Monsters!$AL:$AL, Monsters!$A:$A = W28 , Monsters!$D:$D  = $T$5, Monsters!$B:$B = ""Minion"")
)
,)
,
)"),48.550000000000004)</f>
        <v>48.55</v>
      </c>
      <c r="AG28" s="216" t="str">
        <f>IFERROR(__xludf.DUMMYFUNCTION(" IFERROR(
IF(AND(Z28=FALSE,AH28 = FALSE),
CONCATENATE(
FILTER(Monsters!$AL:$AL, Monsters!$A:$A = W28 , Monsters!$D:$D  = $T$5, Monsters!$B:$B = ""Master"")
,
""/""
,
FILTER(Monsters!$AL:$AL, Monsters!$A:$A = W28 , Monsters!$D:$D  = $T$5, Monsters!$B:$B ="&amp;" ""Minion"")
)
,)
)"),"1/1")</f>
        <v>1/1</v>
      </c>
      <c r="AH28" s="214" t="b">
        <v>0</v>
      </c>
      <c r="AI28" s="215">
        <f>IFERROR(__xludf.DUMMYFUNCTION(" IFERROR(
IF(AND(Z28=FALSE,AD28 = FALSE),
(FILTER(Monsters!$AQ:$AQ, Monsters!$A:$A = W28 , Monsters!$D:$D  = $T$5, Monsters!$B:$B = ""Master"")
*
FILTER(Monsters!$AJ:$AJ, Monsters!$A:$A = W28 , Monsters!$D:$D  = $T$5, Monsters!$B:$B = ""Master"")
)
+
(FIL"&amp;"TER(Monsters!$AQ:$AQ, Monsters!$A:$A = W28 , Monsters!$D:$D  = $T$5, Monsters!$B:$B = ""Minion"")
*
FILTER(Monsters!$AJ:$AJ, Monsters!$A:$A = W28 , Monsters!$D:$D  = $T$5, Monsters!$B:$B = ""Minion"")
)
,)
,
)"),28.900000000000002)</f>
        <v>28.9</v>
      </c>
      <c r="AK28" s="216" t="str">
        <f>IFERROR(__xludf.DUMMYFUNCTION(" IFERROR(
IF(AND(Z28=FALSE,AD28 = FALSE),
CONCATENATE(
FILTER(Monsters!$AJ:$AJ, Monsters!$A:$A = W28 , Monsters!$D:$D  = $T$5, Monsters!$B:$B = ""Master"")
,
""/""
,
FILTER(Monsters!$AJ:$AJ, Monsters!$A:$A = W28 , Monsters!$D:$D  = $T$5, Monsters!$B:$B = "&amp;"""Minion"")
)
,)
,
)"),"1/0")</f>
        <v>1/0</v>
      </c>
      <c r="AL28" s="83"/>
    </row>
    <row r="29">
      <c r="B29" s="53"/>
      <c r="C29" s="198" t="s">
        <v>723</v>
      </c>
      <c r="D29" s="232">
        <f>IFERROR(VLOOKUP(C29,'Shop Items'!$C:$W,21,FALSE),0)</f>
        <v>6</v>
      </c>
      <c r="E29" s="118">
        <f>IFERROR(
IF(G29 = TRUE,
VLOOKUP(F29,Classes!$C:$H,6,FALSE),0)
,0)</f>
        <v>1.666666667</v>
      </c>
      <c r="F29" s="233" t="str">
        <f>IFERROR(__xludf.DUMMYFUNCTION("IF(
ISBLANK(F27),
FILTER(Classes!$C:$C,Classes!$B:$B=F25),
FILTER(Classes!$C:$C,(Classes!$B:$B=F25) + (Classes!$B:$B=F27))
)"),"Nimble")</f>
        <v>Nimble</v>
      </c>
      <c r="G29" s="234" t="b">
        <v>1</v>
      </c>
      <c r="I29" s="53"/>
      <c r="J29" s="198" t="s">
        <v>761</v>
      </c>
      <c r="K29" s="232">
        <f>IFERROR(VLOOKUP(J29,'Shop Items'!$C:$W,21,FALSE),0)</f>
        <v>11.58333333</v>
      </c>
      <c r="L29" s="118">
        <f>IFERROR(
IF(N29 = TRUE,
VLOOKUP(M29,Classes!$C:$H,6,FALSE),0)
,0)</f>
        <v>1.666666667</v>
      </c>
      <c r="M29" s="233" t="str">
        <f>IFERROR(__xludf.DUMMYFUNCTION("IF(
ISBLANK(M27),
FILTER(Classes!$C:$C,Classes!$B:$B=M25),
FILTER(Classes!$C:$C,(Classes!$B:$B=M25) + (Classes!$B:$B=M27))
)"),"Stoneskin")</f>
        <v>Stoneskin</v>
      </c>
      <c r="N29" s="234" t="b">
        <v>1</v>
      </c>
      <c r="P29" s="53"/>
      <c r="Q29" s="218">
        <f>IFERROR(
IF(S29 = TRUE,
VLOOKUP(R29,vote4OVERLORD!B:G,6,FALSE),0)
,0)</f>
        <v>0</v>
      </c>
      <c r="R29" s="68" t="s">
        <v>442</v>
      </c>
      <c r="S29" s="261" t="b">
        <v>0</v>
      </c>
      <c r="W29" s="246" t="s">
        <v>1457</v>
      </c>
      <c r="Z29" s="205" t="b">
        <v>0</v>
      </c>
      <c r="AA29" s="206">
        <f>IFERROR(__xludf.DUMMYFUNCTION(" IFERROR(
IF(AND(AD29=FALSE,AH29 = FALSE),
(FILTER(Monsters!$AQ:$AQ, Monsters!$A:$A = W29 , Monsters!$D:$D  = $T$5, Monsters!$B:$B = ""Master"")
*
FILTER(Monsters!$AN:$AN, Monsters!$A:$A = W29 , Monsters!$D:$D  = $T$5, Monsters!$B:$B = ""Master"")
)
+
(FI"&amp;"LTER(Monsters!$AQ:$AQ, Monsters!$A:$A = W29 , Monsters!$D:$D  = $T$5, Monsters!$B:$B = ""Minion"")
*
FILTER(Monsters!$AN:$AN, Monsters!$A:$A = W29 , Monsters!$D:$D  = $T$5, Monsters!$B:$B = ""Minion"")
)
,)
,
)"),67.96000000000001)</f>
        <v>67.96</v>
      </c>
      <c r="AC29" s="207" t="str">
        <f>IFERROR(__xludf.DUMMYFUNCTION(" IFERROR(
IF(AND(AD29=FALSE,AH29 = FALSE),
CONCATENATE(
FILTER(Monsters!$AN:$AN, Monsters!$A:$A = W29 , Monsters!$D:$D  = $T$5, Monsters!$B:$B = ""Master"")
,
""/""
,
FILTER(Monsters!$AN:$AN, Monsters!$A:$A = W29 , Monsters!$D:$D  = $T$5, Monsters!$B:$B "&amp;"= ""Minion"")
)
,)
)"),"1/2")</f>
        <v>1/2</v>
      </c>
      <c r="AD29" s="205" t="b">
        <v>0</v>
      </c>
      <c r="AE29" s="206">
        <f>IFERROR(__xludf.DUMMYFUNCTION(" IFERROR(
IF(AND(Z29=FALSE,AH29 = FALSE),
(FILTER(Monsters!$AQ:$AQ, Monsters!$A:$A = W29 , Monsters!$D:$D  = $T$5, Monsters!$B:$B = ""Master"")
*
FILTER(Monsters!$AL:$AL, Monsters!$A:$A = W29 , Monsters!$D:$D  = $T$5, Monsters!$B:$B = ""Master"")
)
+
(FIL"&amp;"TER(Monsters!$AQ:$AQ, Monsters!$A:$A = W29 , Monsters!$D:$D  = $T$5, Monsters!$B:$B = ""Minion"")
*
FILTER(Monsters!$AL:$AL, Monsters!$A:$A = W29 , Monsters!$D:$D  = $T$5, Monsters!$B:$B = ""Minion"")
)
,)
,
)"),48.64)</f>
        <v>48.64</v>
      </c>
      <c r="AG29" s="207" t="str">
        <f>IFERROR(__xludf.DUMMYFUNCTION(" IFERROR(
IF(AND(Z29=FALSE,AH29 = FALSE),
CONCATENATE(
FILTER(Monsters!$AL:$AL, Monsters!$A:$A = W29 , Monsters!$D:$D  = $T$5, Monsters!$B:$B = ""Master"")
,
""/""
,
FILTER(Monsters!$AL:$AL, Monsters!$A:$A = W29 , Monsters!$D:$D  = $T$5, Monsters!$B:$B ="&amp;" ""Minion"")
)
,)
)"),"1/1")</f>
        <v>1/1</v>
      </c>
      <c r="AH29" s="205" t="b">
        <v>0</v>
      </c>
      <c r="AI29" s="206">
        <f>IFERROR(__xludf.DUMMYFUNCTION(" IFERROR(
IF(AND(Z29=FALSE,AD29 = FALSE),
(FILTER(Monsters!$AQ:$AQ, Monsters!$A:$A = W29 , Monsters!$D:$D  = $T$5, Monsters!$B:$B = ""Master"")
*
FILTER(Monsters!$AJ:$AJ, Monsters!$A:$A = W29 , Monsters!$D:$D  = $T$5, Monsters!$B:$B = ""Master"")
)
+
(FIL"&amp;"TER(Monsters!$AQ:$AQ, Monsters!$A:$A = W29 , Monsters!$D:$D  = $T$5, Monsters!$B:$B = ""Minion"")
*
FILTER(Monsters!$AJ:$AJ, Monsters!$A:$A = W29 , Monsters!$D:$D  = $T$5, Monsters!$B:$B = ""Minion"")
)
,)
,
)"),29.320000000000004)</f>
        <v>29.32</v>
      </c>
      <c r="AK29" s="207" t="str">
        <f>IFERROR(__xludf.DUMMYFUNCTION(" IFERROR(
IF(AND(Z29=FALSE,AD29 = FALSE),
CONCATENATE(
FILTER(Monsters!$AJ:$AJ, Monsters!$A:$A = W29 , Monsters!$D:$D  = $T$5, Monsters!$B:$B = ""Master"")
,
""/""
,
FILTER(Monsters!$AJ:$AJ, Monsters!$A:$A = W29 , Monsters!$D:$D  = $T$5, Monsters!$B:$B = "&amp;"""Minion"")
)
,)
,
)"),"1/0")</f>
        <v>1/0</v>
      </c>
      <c r="AL29" s="83"/>
    </row>
    <row r="30">
      <c r="B30" s="53"/>
      <c r="C30" s="198" t="s">
        <v>1458</v>
      </c>
      <c r="D30" s="232">
        <f>IFERROR(VLOOKUP(C30,'Shop Items'!$C:$W,21,FALSE),0)</f>
        <v>2.666666667</v>
      </c>
      <c r="E30" s="118">
        <f>IFERROR(
IF(G30 = TRUE,
VLOOKUP(F30,Classes!$C:$H,6,FALSE),0)
,0)</f>
        <v>5</v>
      </c>
      <c r="F30" s="58" t="str">
        <f>IFERROR(__xludf.DUMMYFUNCTION("""COMPUTED_VALUE"""),"Accurate")</f>
        <v>Accurate</v>
      </c>
      <c r="G30" s="234" t="b">
        <v>1</v>
      </c>
      <c r="I30" s="53"/>
      <c r="J30" s="198" t="s">
        <v>896</v>
      </c>
      <c r="K30" s="232">
        <f>IFERROR(VLOOKUP(J30,'Shop Items'!$C:$W,21,FALSE),0)</f>
        <v>3.666666667</v>
      </c>
      <c r="L30" s="118">
        <f>IFERROR(
IF(N30 = TRUE,
VLOOKUP(M30,Classes!$C:$H,6,FALSE),0)
,0)</f>
        <v>2.666666667</v>
      </c>
      <c r="M30" s="58" t="str">
        <f>IFERROR(__xludf.DUMMYFUNCTION("""COMPUTED_VALUE"""),"Healing Rain")</f>
        <v>Healing Rain</v>
      </c>
      <c r="N30" s="234" t="b">
        <v>1</v>
      </c>
      <c r="P30" s="53"/>
      <c r="Q30" s="218">
        <f>IFERROR(
IF(S30 = TRUE,
VLOOKUP(R30,vote4OVERLORD!B:G,6,FALSE),0)
,0)</f>
        <v>5.333333333</v>
      </c>
      <c r="R30" s="68" t="s">
        <v>445</v>
      </c>
      <c r="S30" s="220" t="b">
        <v>1</v>
      </c>
      <c r="W30" s="247" t="s">
        <v>1459</v>
      </c>
      <c r="Z30" s="214" t="b">
        <v>0</v>
      </c>
      <c r="AA30" s="215">
        <f>IFERROR(__xludf.DUMMYFUNCTION(" IFERROR(
IF(AND(AD30=FALSE,AH30 = FALSE),
(FILTER(Monsters!$AQ:$AQ, Monsters!$A:$A = W30 , Monsters!$D:$D  = $T$5, Monsters!$B:$B = ""Master"")
*
FILTER(Monsters!$AN:$AN, Monsters!$A:$A = W30 , Monsters!$D:$D  = $T$5, Monsters!$B:$B = ""Master"")
)
+
(FI"&amp;"LTER(Monsters!$AQ:$AQ, Monsters!$A:$A = W30 , Monsters!$D:$D  = $T$5, Monsters!$B:$B = ""Minion"")
*
FILTER(Monsters!$AN:$AN, Monsters!$A:$A = W30 , Monsters!$D:$D  = $T$5, Monsters!$B:$B = ""Minion"")
)
,)
,
)"),66.45)</f>
        <v>66.45</v>
      </c>
      <c r="AC30" s="216" t="str">
        <f>IFERROR(__xludf.DUMMYFUNCTION(" IFERROR(
IF(AND(AD30=FALSE,AH30 = FALSE),
CONCATENATE(
FILTER(Monsters!$AN:$AN, Monsters!$A:$A = W30 , Monsters!$D:$D  = $T$5, Monsters!$B:$B = ""Master"")
,
""/""
,
FILTER(Monsters!$AN:$AN, Monsters!$A:$A = W30 , Monsters!$D:$D  = $T$5, Monsters!$B:$B "&amp;"= ""Minion"")
)
,)
)"),"1/2")</f>
        <v>1/2</v>
      </c>
      <c r="AD30" s="214" t="b">
        <v>0</v>
      </c>
      <c r="AE30" s="215">
        <f>IFERROR(__xludf.DUMMYFUNCTION(" IFERROR(
IF(AND(Z30=FALSE,AH30 = FALSE),
(FILTER(Monsters!$AQ:$AQ, Monsters!$A:$A = W30 , Monsters!$D:$D  = $T$5, Monsters!$B:$B = ""Master"")
*
FILTER(Monsters!$AL:$AL, Monsters!$A:$A = W30 , Monsters!$D:$D  = $T$5, Monsters!$B:$B = ""Master"")
)
+
(FIL"&amp;"TER(Monsters!$AQ:$AQ, Monsters!$A:$A = W30 , Monsters!$D:$D  = $T$5, Monsters!$B:$B = ""Minion"")
*
FILTER(Monsters!$AL:$AL, Monsters!$A:$A = W30 , Monsters!$D:$D  = $T$5, Monsters!$B:$B = ""Minion"")
)
,)
,
)"),46.71666666666667)</f>
        <v>46.71666667</v>
      </c>
      <c r="AG30" s="216" t="str">
        <f>IFERROR(__xludf.DUMMYFUNCTION(" IFERROR(
IF(AND(Z30=FALSE,AH30 = FALSE),
CONCATENATE(
FILTER(Monsters!$AL:$AL, Monsters!$A:$A = W30 , Monsters!$D:$D  = $T$5, Monsters!$B:$B = ""Master"")
,
""/""
,
FILTER(Monsters!$AL:$AL, Monsters!$A:$A = W30 , Monsters!$D:$D  = $T$5, Monsters!$B:$B ="&amp;" ""Minion"")
)
,)
)"),"1/1")</f>
        <v>1/1</v>
      </c>
      <c r="AH30" s="214" t="b">
        <v>0</v>
      </c>
      <c r="AI30" s="215">
        <f>IFERROR(__xludf.DUMMYFUNCTION(" IFERROR(
IF(AND(Z30=FALSE,AD30 = FALSE),
(FILTER(Monsters!$AQ:$AQ, Monsters!$A:$A = W30 , Monsters!$D:$D  = $T$5, Monsters!$B:$B = ""Master"")
*
FILTER(Monsters!$AJ:$AJ, Monsters!$A:$A = W30 , Monsters!$D:$D  = $T$5, Monsters!$B:$B = ""Master"")
)
+
(FIL"&amp;"TER(Monsters!$AQ:$AQ, Monsters!$A:$A = W30 , Monsters!$D:$D  = $T$5, Monsters!$B:$B = ""Minion"")
*
FILTER(Monsters!$AJ:$AJ, Monsters!$A:$A = W30 , Monsters!$D:$D  = $T$5, Monsters!$B:$B = ""Minion"")
)
,)
,
)"),26.98333333333333)</f>
        <v>26.98333333</v>
      </c>
      <c r="AK30" s="216" t="str">
        <f>IFERROR(__xludf.DUMMYFUNCTION(" IFERROR(
IF(AND(Z30=FALSE,AD30 = FALSE),
CONCATENATE(
FILTER(Monsters!$AJ:$AJ, Monsters!$A:$A = W30 , Monsters!$D:$D  = $T$5, Monsters!$B:$B = ""Master"")
,
""/""
,
FILTER(Monsters!$AJ:$AJ, Monsters!$A:$A = W30 , Monsters!$D:$D  = $T$5, Monsters!$B:$B = "&amp;"""Minion"")
)
,)
,
)"),"1/0")</f>
        <v>1/0</v>
      </c>
      <c r="AL30" s="83"/>
    </row>
    <row r="31">
      <c r="B31" s="53"/>
      <c r="C31" s="198" t="s">
        <v>735</v>
      </c>
      <c r="D31" s="232">
        <f>IFERROR(VLOOKUP(C31,'Shop Items'!$C:$W,21,FALSE),0)</f>
        <v>16.20833333</v>
      </c>
      <c r="E31" s="118">
        <f>IFERROR(
IF(G31 = TRUE,
VLOOKUP(F31,Classes!$C:$H,6,FALSE),0)
,0)</f>
        <v>0</v>
      </c>
      <c r="F31" s="58" t="str">
        <f>IFERROR(__xludf.DUMMYFUNCTION("""COMPUTED_VALUE"""),"Danger Sense")</f>
        <v>Danger Sense</v>
      </c>
      <c r="G31" s="234" t="b">
        <v>0</v>
      </c>
      <c r="I31" s="53"/>
      <c r="J31" s="198"/>
      <c r="K31" s="232">
        <f>IFERROR(VLOOKUP(J31,'Shop Items'!$C:$W,21,FALSE),0)</f>
        <v>0</v>
      </c>
      <c r="L31" s="118">
        <f>IFERROR(
IF(N31 = TRUE,
VLOOKUP(M31,Classes!$C:$H,6,FALSE),0)
,0)</f>
        <v>2.333333333</v>
      </c>
      <c r="M31" s="58" t="str">
        <f>IFERROR(__xludf.DUMMYFUNCTION("""COMPUTED_VALUE"""),"Drain Spirit")</f>
        <v>Drain Spirit</v>
      </c>
      <c r="N31" s="234" t="b">
        <v>1</v>
      </c>
      <c r="P31" s="53"/>
      <c r="Q31" s="218">
        <f>IFERROR(
IF(S31 = TRUE,
VLOOKUP(R31,vote4OVERLORD!B:G,6,FALSE),0)
,0)</f>
        <v>1</v>
      </c>
      <c r="R31" s="68" t="s">
        <v>534</v>
      </c>
      <c r="S31" s="220" t="b">
        <v>1</v>
      </c>
      <c r="U31" s="83"/>
      <c r="V31" s="83"/>
      <c r="W31" s="246" t="s">
        <v>1460</v>
      </c>
      <c r="Z31" s="205" t="b">
        <v>0</v>
      </c>
      <c r="AA31" s="206">
        <f>IFERROR(__xludf.DUMMYFUNCTION(" IFERROR(
IF(AND(AD31=FALSE,AH31 = FALSE),
(FILTER(Monsters!$AQ:$AQ, Monsters!$A:$A = W31 , Monsters!$D:$D  = $T$5, Monsters!$B:$B = ""Master"")
*
FILTER(Monsters!$AN:$AN, Monsters!$A:$A = W31 , Monsters!$D:$D  = $T$5, Monsters!$B:$B = ""Master"")
)
+
(FI"&amp;"LTER(Monsters!$AQ:$AQ, Monsters!$A:$A = W31 , Monsters!$D:$D  = $T$5, Monsters!$B:$B = ""Minion"")
*
FILTER(Monsters!$AN:$AN, Monsters!$A:$A = W31 , Monsters!$D:$D  = $T$5, Monsters!$B:$B = ""Minion"")
)
,)
,
)"),66.375)</f>
        <v>66.375</v>
      </c>
      <c r="AC31" s="207" t="str">
        <f>IFERROR(__xludf.DUMMYFUNCTION(" IFERROR(
IF(AND(AD31=FALSE,AH31 = FALSE),
CONCATENATE(
FILTER(Monsters!$AN:$AN, Monsters!$A:$A = W31 , Monsters!$D:$D  = $T$5, Monsters!$B:$B = ""Master"")
,
""/""
,
FILTER(Monsters!$AN:$AN, Monsters!$A:$A = W31 , Monsters!$D:$D  = $T$5, Monsters!$B:$B "&amp;"= ""Minion"")
)
,)
)"),"2/3")</f>
        <v>2/3</v>
      </c>
      <c r="AD31" s="246" t="b">
        <v>0</v>
      </c>
      <c r="AE31" s="206">
        <f>IFERROR(__xludf.DUMMYFUNCTION(" IFERROR(
IF(AND(Z31=FALSE,AH31 = FALSE),
(FILTER(Monsters!$AQ:$AQ, Monsters!$A:$A = W31 , Monsters!$D:$D  = $T$5, Monsters!$B:$B = ""Master"")
*
FILTER(Monsters!$AL:$AL, Monsters!$A:$A = W31 , Monsters!$D:$D  = $T$5, Monsters!$B:$B = ""Master"")
)
+
(FIL"&amp;"TER(Monsters!$AQ:$AQ, Monsters!$A:$A = W31 , Monsters!$D:$D  = $T$5, Monsters!$B:$B = ""Minion"")
*
FILTER(Monsters!$AL:$AL, Monsters!$A:$A = W31 , Monsters!$D:$D  = $T$5, Monsters!$B:$B = ""Minion"")
)
,)
,
)"),48.97500000000001)</f>
        <v>48.975</v>
      </c>
      <c r="AG31" s="207" t="str">
        <f>IFERROR(__xludf.DUMMYFUNCTION(" IFERROR(
IF(AND(Z31=FALSE,AH31 = FALSE),
CONCATENATE(
FILTER(Monsters!$AL:$AL, Monsters!$A:$A = W31 , Monsters!$D:$D  = $T$5, Monsters!$B:$B = ""Master"")
,
""/""
,
FILTER(Monsters!$AL:$AL, Monsters!$A:$A = W31 , Monsters!$D:$D  = $T$5, Monsters!$B:$B ="&amp;" ""Minion"")
)
,)
)"),"1/3")</f>
        <v>1/3</v>
      </c>
      <c r="AH31" s="246" t="b">
        <v>0</v>
      </c>
      <c r="AI31" s="206">
        <f>IFERROR(__xludf.DUMMYFUNCTION(" IFERROR(
IF(AND(Z31=FALSE,AD31 = FALSE),
(FILTER(Monsters!$AQ:$AQ, Monsters!$A:$A = W31 , Monsters!$D:$D  = $T$5, Monsters!$B:$B = ""Master"")
*
FILTER(Monsters!$AJ:$AJ, Monsters!$A:$A = W31 , Monsters!$D:$D  = $T$5, Monsters!$B:$B = ""Master"")
)
+
(FIL"&amp;"TER(Monsters!$AQ:$AQ, Monsters!$A:$A = W31 , Monsters!$D:$D  = $T$5, Monsters!$B:$B = ""Minion"")
*
FILTER(Monsters!$AJ:$AJ, Monsters!$A:$A = W31 , Monsters!$D:$D  = $T$5, Monsters!$B:$B = ""Minion"")
)
,)
,
)"),38.45)</f>
        <v>38.45</v>
      </c>
      <c r="AK31" s="207" t="str">
        <f>IFERROR(__xludf.DUMMYFUNCTION(" IFERROR(
IF(AND(Z31=FALSE,AD31 = FALSE),
CONCATENATE(
FILTER(Monsters!$AJ:$AJ, Monsters!$A:$A = W31 , Monsters!$D:$D  = $T$5, Monsters!$B:$B = ""Master"")
,
""/""
,
FILTER(Monsters!$AJ:$AJ, Monsters!$A:$A = W31 , Monsters!$D:$D  = $T$5, Monsters!$B:$B = "&amp;"""Minion"")
)
,)
,
)"),"1/2")</f>
        <v>1/2</v>
      </c>
      <c r="AL31" s="83"/>
    </row>
    <row r="32">
      <c r="B32" s="53"/>
      <c r="C32" s="198"/>
      <c r="D32" s="232">
        <f>IFERROR(VLOOKUP(C32,'Shop Items'!$C:$W,21,FALSE),0)</f>
        <v>0</v>
      </c>
      <c r="E32" s="118">
        <f>IFERROR(
IF(G32 = TRUE,
VLOOKUP(F32,Classes!$C:$H,6,FALSE),0)
,0)</f>
        <v>4.666666667</v>
      </c>
      <c r="F32" s="58" t="str">
        <f>IFERROR(__xludf.DUMMYFUNCTION("""COMPUTED_VALUE"""),"Eagle Eyes")</f>
        <v>Eagle Eyes</v>
      </c>
      <c r="G32" s="234" t="b">
        <v>1</v>
      </c>
      <c r="I32" s="53"/>
      <c r="J32" s="198"/>
      <c r="K32" s="232">
        <f>IFERROR(VLOOKUP(J32,'Shop Items'!$C:$W,21,FALSE),0)</f>
        <v>0</v>
      </c>
      <c r="L32" s="118">
        <f>IFERROR(
IF(N32 = TRUE,
VLOOKUP(M32,Classes!$C:$H,6,FALSE),0)
,0)</f>
        <v>2.333333333</v>
      </c>
      <c r="M32" s="58" t="str">
        <f>IFERROR(__xludf.DUMMYFUNCTION("""COMPUTED_VALUE"""),"Shared Pain")</f>
        <v>Shared Pain</v>
      </c>
      <c r="N32" s="234" t="b">
        <v>1</v>
      </c>
      <c r="P32" s="53"/>
      <c r="Q32" s="218">
        <f>IFERROR(
IF(S32 = TRUE,
VLOOKUP(R32,vote4OVERLORD!B:G,6,FALSE),0)
,0)</f>
        <v>5</v>
      </c>
      <c r="R32" s="68" t="s">
        <v>554</v>
      </c>
      <c r="S32" s="220" t="b">
        <v>1</v>
      </c>
      <c r="T32" s="83"/>
      <c r="U32" s="83"/>
      <c r="V32" s="83"/>
      <c r="W32" s="247" t="s">
        <v>1101</v>
      </c>
      <c r="Z32" s="214" t="b">
        <v>0</v>
      </c>
      <c r="AA32" s="215">
        <f>IFERROR(__xludf.DUMMYFUNCTION(" IFERROR(
IF(AND(AD32=FALSE,AH32 = FALSE),
(FILTER(Monsters!$AQ:$AQ, Monsters!$A:$A = W32 , Monsters!$D:$D  = $T$5, Monsters!$B:$B = ""Master"")
*
FILTER(Monsters!$AN:$AN, Monsters!$A:$A = W32 , Monsters!$D:$D  = $T$5, Monsters!$B:$B = ""Master"")
)
+
(FI"&amp;"LTER(Monsters!$AQ:$AQ, Monsters!$A:$A = W32 , Monsters!$D:$D  = $T$5, Monsters!$B:$B = ""Minion"")
*
FILTER(Monsters!$AN:$AN, Monsters!$A:$A = W32 , Monsters!$D:$D  = $T$5, Monsters!$B:$B = ""Minion"")
)
,)
,
)"),66.27333333333334)</f>
        <v>66.27333333</v>
      </c>
      <c r="AC32" s="216" t="str">
        <f>IFERROR(__xludf.DUMMYFUNCTION(" IFERROR(
IF(AND(AD32=FALSE,AH32 = FALSE),
CONCATENATE(
FILTER(Monsters!$AN:$AN, Monsters!$A:$A = W32 , Monsters!$D:$D  = $T$5, Monsters!$B:$B = ""Master"")
,
""/""
,
FILTER(Monsters!$AN:$AN, Monsters!$A:$A = W32 , Monsters!$D:$D  = $T$5, Monsters!$B:$B "&amp;"= ""Minion"")
)
,)
)"),"2/4")</f>
        <v>2/4</v>
      </c>
      <c r="AD32" s="214" t="b">
        <v>0</v>
      </c>
      <c r="AE32" s="215">
        <f>IFERROR(__xludf.DUMMYFUNCTION(" IFERROR(
IF(AND(Z32=FALSE,AH32 = FALSE),
(FILTER(Monsters!$AQ:$AQ, Monsters!$A:$A = W32 , Monsters!$D:$D  = $T$5, Monsters!$B:$B = ""Master"")
*
FILTER(Monsters!$AL:$AL, Monsters!$A:$A = W32 , Monsters!$D:$D  = $T$5, Monsters!$B:$B = ""Master"")
)
+
(FIL"&amp;"TER(Monsters!$AQ:$AQ, Monsters!$A:$A = W32 , Monsters!$D:$D  = $T$5, Monsters!$B:$B = ""Minion"")
*
FILTER(Monsters!$AL:$AL, Monsters!$A:$A = W32 , Monsters!$D:$D  = $T$5, Monsters!$B:$B = ""Minion"")
)
,)
,
)"),57.45)</f>
        <v>57.45</v>
      </c>
      <c r="AG32" s="216" t="str">
        <f>IFERROR(__xludf.DUMMYFUNCTION(" IFERROR(
IF(AND(Z32=FALSE,AH32 = FALSE),
CONCATENATE(
FILTER(Monsters!$AL:$AL, Monsters!$A:$A = W32 , Monsters!$D:$D  = $T$5, Monsters!$B:$B = ""Master"")
,
""/""
,
FILTER(Monsters!$AL:$AL, Monsters!$A:$A = W32 , Monsters!$D:$D  = $T$5, Monsters!$B:$B ="&amp;" ""Minion"")
)
,)
)"),"2/3")</f>
        <v>2/3</v>
      </c>
      <c r="AH32" s="214" t="b">
        <v>0</v>
      </c>
      <c r="AI32" s="215">
        <f>IFERROR(__xludf.DUMMYFUNCTION(" IFERROR(
IF(AND(Z32=FALSE,AD32 = FALSE),
(FILTER(Monsters!$AQ:$AQ, Monsters!$A:$A = W32 , Monsters!$D:$D  = $T$5, Monsters!$B:$B = ""Master"")
*
FILTER(Monsters!$AJ:$AJ, Monsters!$A:$A = W32 , Monsters!$D:$D  = $T$5, Monsters!$B:$B = ""Master"")
)
+
(FIL"&amp;"TER(Monsters!$AQ:$AQ, Monsters!$A:$A = W32 , Monsters!$D:$D  = $T$5, Monsters!$B:$B = ""Minion"")
*
FILTER(Monsters!$AJ:$AJ, Monsters!$A:$A = W32 , Monsters!$D:$D  = $T$5, Monsters!$B:$B = ""Minion"")
)
,)
,
)"),41.96000000000001)</f>
        <v>41.96</v>
      </c>
      <c r="AK32" s="216" t="str">
        <f>IFERROR(__xludf.DUMMYFUNCTION(" IFERROR(
IF(AND(Z32=FALSE,AD32 = FALSE),
CONCATENATE(
FILTER(Monsters!$AJ:$AJ, Monsters!$A:$A = W32 , Monsters!$D:$D  = $T$5, Monsters!$B:$B = ""Master"")
,
""/""
,
FILTER(Monsters!$AJ:$AJ, Monsters!$A:$A = W32 , Monsters!$D:$D  = $T$5, Monsters!$B:$B = "&amp;"""Minion"")
)
,)
,
)"),"1/3")</f>
        <v>1/3</v>
      </c>
      <c r="AL32" s="83"/>
    </row>
    <row r="33">
      <c r="B33" s="53"/>
      <c r="C33" s="198"/>
      <c r="D33" s="232">
        <f>IFERROR(VLOOKUP(C33,'Shop Items'!$C:$W,21,FALSE),0)</f>
        <v>0</v>
      </c>
      <c r="E33" s="118">
        <f>IFERROR(
IF(G33 = TRUE,
VLOOKUP(F33,Classes!$C:$H,6,FALSE),0)
,0)</f>
        <v>0</v>
      </c>
      <c r="F33" s="58" t="str">
        <f>IFERROR(__xludf.DUMMYFUNCTION("""COMPUTED_VALUE"""),"Bow Mastery")</f>
        <v>Bow Mastery</v>
      </c>
      <c r="G33" s="232" t="b">
        <v>0</v>
      </c>
      <c r="I33" s="53"/>
      <c r="J33" s="198"/>
      <c r="K33" s="232">
        <f>IFERROR(VLOOKUP(J33,'Shop Items'!$C:$W,21,FALSE),0)</f>
        <v>0</v>
      </c>
      <c r="L33" s="118">
        <f>IFERROR(
IF(N33 = TRUE,
VLOOKUP(M33,Classes!$C:$H,6,FALSE),0)
,0)</f>
        <v>0</v>
      </c>
      <c r="M33" s="58" t="str">
        <f>IFERROR(__xludf.DUMMYFUNCTION("""COMPUTED_VALUE"""),"Tempest")</f>
        <v>Tempest</v>
      </c>
      <c r="N33" s="232" t="b">
        <v>0</v>
      </c>
      <c r="P33" s="53"/>
      <c r="Q33" s="218">
        <f>IFERROR(
IF(S33 = TRUE,
VLOOKUP(R33,vote4OVERLORD!B:G,6,FALSE),0)
,0)</f>
        <v>6.5</v>
      </c>
      <c r="R33" s="68" t="s">
        <v>558</v>
      </c>
      <c r="S33" s="220" t="b">
        <v>1</v>
      </c>
      <c r="T33" s="83"/>
      <c r="U33" s="83"/>
      <c r="V33" s="83"/>
      <c r="W33" s="246" t="s">
        <v>1461</v>
      </c>
      <c r="Z33" s="205" t="b">
        <v>0</v>
      </c>
      <c r="AA33" s="206">
        <f>IFERROR(__xludf.DUMMYFUNCTION(" IFERROR(
IF(AND(AD33=FALSE,AH33 = FALSE),
(FILTER(Monsters!$AQ:$AQ, Monsters!$A:$A = W33 , Monsters!$D:$D  = $T$5, Monsters!$B:$B = ""Master"")
*
FILTER(Monsters!$AN:$AN, Monsters!$A:$A = W33 , Monsters!$D:$D  = $T$5, Monsters!$B:$B = ""Master"")
)
+
(FI"&amp;"LTER(Monsters!$AQ:$AQ, Monsters!$A:$A = W33 , Monsters!$D:$D  = $T$5, Monsters!$B:$B = ""Minion"")
*
FILTER(Monsters!$AN:$AN, Monsters!$A:$A = W33 , Monsters!$D:$D  = $T$5, Monsters!$B:$B = ""Minion"")
)
,)
,
)"),64.43333333333334)</f>
        <v>64.43333333</v>
      </c>
      <c r="AC33" s="207" t="str">
        <f>IFERROR(__xludf.DUMMYFUNCTION(" IFERROR(
IF(AND(AD33=FALSE,AH33 = FALSE),
CONCATENATE(
FILTER(Monsters!$AN:$AN, Monsters!$A:$A = W33 , Monsters!$D:$D  = $T$5, Monsters!$B:$B = ""Master"")
,
""/""
,
FILTER(Monsters!$AN:$AN, Monsters!$A:$A = W33 , Monsters!$D:$D  = $T$5, Monsters!$B:$B "&amp;"= ""Minion"")
)
,)
)"),"1/4")</f>
        <v>1/4</v>
      </c>
      <c r="AD33" s="205" t="b">
        <v>0</v>
      </c>
      <c r="AE33" s="206">
        <f>IFERROR(__xludf.DUMMYFUNCTION(" IFERROR(
IF(AND(Z33=FALSE,AH33 = FALSE),
(FILTER(Monsters!$AQ:$AQ, Monsters!$A:$A = W33 , Monsters!$D:$D  = $T$5, Monsters!$B:$B = ""Master"")
*
FILTER(Monsters!$AL:$AL, Monsters!$A:$A = W33 , Monsters!$D:$D  = $T$5, Monsters!$B:$B = ""Master"")
)
+
(FIL"&amp;"TER(Monsters!$AQ:$AQ, Monsters!$A:$A = W33 , Monsters!$D:$D  = $T$5, Monsters!$B:$B = ""Minion"")
*
FILTER(Monsters!$AL:$AL, Monsters!$A:$A = W33 , Monsters!$D:$D  = $T$5, Monsters!$B:$B = ""Minion"")
)
,)
,
)"),52.36333333333333)</f>
        <v>52.36333333</v>
      </c>
      <c r="AG33" s="207" t="str">
        <f>IFERROR(__xludf.DUMMYFUNCTION(" IFERROR(
IF(AND(Z33=FALSE,AH33 = FALSE),
CONCATENATE(
FILTER(Monsters!$AL:$AL, Monsters!$A:$A = W33 , Monsters!$D:$D  = $T$5, Monsters!$B:$B = ""Master"")
,
""/""
,
FILTER(Monsters!$AL:$AL, Monsters!$A:$A = W33 , Monsters!$D:$D  = $T$5, Monsters!$B:$B ="&amp;" ""Minion"")
)
,)
)"),"1/3")</f>
        <v>1/3</v>
      </c>
      <c r="AH33" s="205" t="b">
        <v>0</v>
      </c>
      <c r="AI33" s="206">
        <f>IFERROR(__xludf.DUMMYFUNCTION(" IFERROR(
IF(AND(Z33=FALSE,AD33 = FALSE),
(FILTER(Monsters!$AQ:$AQ, Monsters!$A:$A = W33 , Monsters!$D:$D  = $T$5, Monsters!$B:$B = ""Master"")
*
FILTER(Monsters!$AJ:$AJ, Monsters!$A:$A = W33 , Monsters!$D:$D  = $T$5, Monsters!$B:$B = ""Master"")
)
+
(FIL"&amp;"TER(Monsters!$AQ:$AQ, Monsters!$A:$A = W33 , Monsters!$D:$D  = $T$5, Monsters!$B:$B = ""Minion"")
*
FILTER(Monsters!$AJ:$AJ, Monsters!$A:$A = W33 , Monsters!$D:$D  = $T$5, Monsters!$B:$B = ""Minion"")
)
,)
,
)"),40.29333333333334)</f>
        <v>40.29333333</v>
      </c>
      <c r="AK33" s="207" t="str">
        <f>IFERROR(__xludf.DUMMYFUNCTION(" IFERROR(
IF(AND(Z33=FALSE,AD33 = FALSE),
CONCATENATE(
FILTER(Monsters!$AJ:$AJ, Monsters!$A:$A = W33 , Monsters!$D:$D  = $T$5, Monsters!$B:$B = ""Master"")
,
""/""
,
FILTER(Monsters!$AJ:$AJ, Monsters!$A:$A = W33 , Monsters!$D:$D  = $T$5, Monsters!$B:$B = "&amp;"""Minion"")
)
,)
,
)"),"1/2")</f>
        <v>1/2</v>
      </c>
      <c r="AL33" s="83"/>
    </row>
    <row r="34">
      <c r="B34" s="53"/>
      <c r="C34" s="198"/>
      <c r="D34" s="232">
        <f>IFERROR(VLOOKUP(C34,'Shop Items'!$C:$W,21,FALSE),0)</f>
        <v>0</v>
      </c>
      <c r="E34" s="118">
        <f>IFERROR(
IF(G34 = TRUE,
VLOOKUP(F34,Classes!$C:$H,6,FALSE),0)
,0)</f>
        <v>0</v>
      </c>
      <c r="F34" s="58" t="str">
        <f>IFERROR(__xludf.DUMMYFUNCTION("""COMPUTED_VALUE"""),"Fleet Of Foot")</f>
        <v>Fleet Of Foot</v>
      </c>
      <c r="G34" s="232" t="b">
        <v>0</v>
      </c>
      <c r="I34" s="53"/>
      <c r="J34" s="198"/>
      <c r="K34" s="232">
        <f>IFERROR(VLOOKUP(J34,'Shop Items'!$C:$W,21,FALSE),0)</f>
        <v>0</v>
      </c>
      <c r="L34" s="118">
        <f>IFERROR(
IF(N34 = TRUE,
VLOOKUP(M34,Classes!$C:$H,6,FALSE),0)
,0)</f>
        <v>3.333333333</v>
      </c>
      <c r="M34" s="58" t="str">
        <f>IFERROR(__xludf.DUMMYFUNCTION("""COMPUTED_VALUE"""),"Cloud Of Mist")</f>
        <v>Cloud Of Mist</v>
      </c>
      <c r="N34" s="234" t="b">
        <v>1</v>
      </c>
      <c r="P34" s="53"/>
      <c r="Q34" s="218">
        <f>IFERROR(
IF(S34 = TRUE,
VLOOKUP(R34,vote4OVERLORD!B:G,6,FALSE),0)
,0)</f>
        <v>-2</v>
      </c>
      <c r="R34" s="68" t="s">
        <v>451</v>
      </c>
      <c r="S34" s="220" t="b">
        <v>1</v>
      </c>
      <c r="T34" s="83"/>
      <c r="U34" s="83"/>
      <c r="V34" s="83"/>
      <c r="W34" s="247" t="s">
        <v>1462</v>
      </c>
      <c r="Z34" s="214" t="b">
        <v>0</v>
      </c>
      <c r="AA34" s="215">
        <f>IFERROR(__xludf.DUMMYFUNCTION(" IFERROR(
IF(AND(AD34=FALSE,AH34 = FALSE),
(FILTER(Monsters!$AQ:$AQ, Monsters!$A:$A = W34 , Monsters!$D:$D  = $T$5, Monsters!$B:$B = ""Master"")
*
FILTER(Monsters!$AN:$AN, Monsters!$A:$A = W34 , Monsters!$D:$D  = $T$5, Monsters!$B:$B = ""Master"")
)
+
(FI"&amp;"LTER(Monsters!$AQ:$AQ, Monsters!$A:$A = W34 , Monsters!$D:$D  = $T$5, Monsters!$B:$B = ""Minion"")
*
FILTER(Monsters!$AN:$AN, Monsters!$A:$A = W34 , Monsters!$D:$D  = $T$5, Monsters!$B:$B = ""Minion"")
)
,)
,
)"),63.749999999999986)</f>
        <v>63.75</v>
      </c>
      <c r="AC34" s="216" t="str">
        <f>IFERROR(__xludf.DUMMYFUNCTION(" IFERROR(
IF(AND(AD34=FALSE,AH34 = FALSE),
CONCATENATE(
FILTER(Monsters!$AN:$AN, Monsters!$A:$A = W34 , Monsters!$D:$D  = $T$5, Monsters!$B:$B = ""Master"")
,
""/""
,
FILTER(Monsters!$AN:$AN, Monsters!$A:$A = W34 , Monsters!$D:$D  = $T$5, Monsters!$B:$B "&amp;"= ""Minion"")
)
,)
)"),"1/4")</f>
        <v>1/4</v>
      </c>
      <c r="AD34" s="214" t="b">
        <v>0</v>
      </c>
      <c r="AE34" s="215">
        <f>IFERROR(__xludf.DUMMYFUNCTION(" IFERROR(
IF(AND(Z34=FALSE,AH34 = FALSE),
(FILTER(Monsters!$AQ:$AQ, Monsters!$A:$A = W34 , Monsters!$D:$D  = $T$5, Monsters!$B:$B = ""Master"")
*
FILTER(Monsters!$AL:$AL, Monsters!$A:$A = W34 , Monsters!$D:$D  = $T$5, Monsters!$B:$B = ""Master"")
)
+
(FIL"&amp;"TER(Monsters!$AQ:$AQ, Monsters!$A:$A = W34 , Monsters!$D:$D  = $T$5, Monsters!$B:$B = ""Minion"")
*
FILTER(Monsters!$AL:$AL, Monsters!$A:$A = W34 , Monsters!$D:$D  = $T$5, Monsters!$B:$B = ""Minion"")
)
,)
,
)"),52.32916666666665)</f>
        <v>52.32916667</v>
      </c>
      <c r="AG34" s="216" t="str">
        <f>IFERROR(__xludf.DUMMYFUNCTION(" IFERROR(
IF(AND(Z34=FALSE,AH34 = FALSE),
CONCATENATE(
FILTER(Monsters!$AL:$AL, Monsters!$A:$A = W34 , Monsters!$D:$D  = $T$5, Monsters!$B:$B = ""Master"")
,
""/""
,
FILTER(Monsters!$AL:$AL, Monsters!$A:$A = W34 , Monsters!$D:$D  = $T$5, Monsters!$B:$B ="&amp;" ""Minion"")
)
,)
)"),"1/3")</f>
        <v>1/3</v>
      </c>
      <c r="AH34" s="214" t="b">
        <v>0</v>
      </c>
      <c r="AI34" s="215">
        <f>IFERROR(__xludf.DUMMYFUNCTION(" IFERROR(
IF(AND(Z34=FALSE,AD34 = FALSE),
(FILTER(Monsters!$AQ:$AQ, Monsters!$A:$A = W34 , Monsters!$D:$D  = $T$5, Monsters!$B:$B = ""Master"")
*
FILTER(Monsters!$AJ:$AJ, Monsters!$A:$A = W34 , Monsters!$D:$D  = $T$5, Monsters!$B:$B = ""Master"")
)
+
(FIL"&amp;"TER(Monsters!$AQ:$AQ, Monsters!$A:$A = W34 , Monsters!$D:$D  = $T$5, Monsters!$B:$B = ""Minion"")
*
FILTER(Monsters!$AJ:$AJ, Monsters!$A:$A = W34 , Monsters!$D:$D  = $T$5, Monsters!$B:$B = ""Minion"")
)
,)
,
)"),40.90833333333333)</f>
        <v>40.90833333</v>
      </c>
      <c r="AK34" s="216" t="str">
        <f>IFERROR(__xludf.DUMMYFUNCTION(" IFERROR(
IF(AND(Z34=FALSE,AD34 = FALSE),
CONCATENATE(
FILTER(Monsters!$AJ:$AJ, Monsters!$A:$A = W34 , Monsters!$D:$D  = $T$5, Monsters!$B:$B = ""Master"")
,
""/""
,
FILTER(Monsters!$AJ:$AJ, Monsters!$A:$A = W34 , Monsters!$D:$D  = $T$5, Monsters!$B:$B = "&amp;"""Minion"")
)
,)
,
)"),"1/2")</f>
        <v>1/2</v>
      </c>
      <c r="AL34" s="83"/>
    </row>
    <row r="35">
      <c r="B35" s="53"/>
      <c r="C35" s="198"/>
      <c r="D35" s="232">
        <f>IFERROR(VLOOKUP(C35,'Shop Items'!$C:$W,21,FALSE),0)</f>
        <v>0</v>
      </c>
      <c r="E35" s="118">
        <f>IFERROR(
IF(G35 = TRUE,
VLOOKUP(F35,Classes!$C:$H,6,FALSE),0)
,0)</f>
        <v>0</v>
      </c>
      <c r="F35" s="58" t="str">
        <f>IFERROR(__xludf.DUMMYFUNCTION("""COMPUTED_VALUE"""),"First Strike")</f>
        <v>First Strike</v>
      </c>
      <c r="G35" s="232" t="b">
        <v>0</v>
      </c>
      <c r="I35" s="53"/>
      <c r="J35" s="198"/>
      <c r="K35" s="232">
        <f>IFERROR(VLOOKUP(J35,'Shop Items'!$C:$W,21,FALSE),0)</f>
        <v>0</v>
      </c>
      <c r="L35" s="118">
        <f>IFERROR(
IF(N35 = TRUE,
VLOOKUP(M35,Classes!$C:$H,6,FALSE),0)
,0)</f>
        <v>0</v>
      </c>
      <c r="M35" s="58" t="str">
        <f>IFERROR(__xludf.DUMMYFUNCTION("""COMPUTED_VALUE"""),"Nature's Bounty")</f>
        <v>Nature's Bounty</v>
      </c>
      <c r="N35" s="232" t="b">
        <v>0</v>
      </c>
      <c r="P35" s="53"/>
      <c r="Q35" s="218">
        <f>IFERROR(
IF(S35 = TRUE,
VLOOKUP(R35,vote4OVERLORD!B:G,6,FALSE),0)
,0)</f>
        <v>0</v>
      </c>
      <c r="R35" s="219"/>
      <c r="S35" s="261" t="b">
        <v>0</v>
      </c>
      <c r="T35" s="83"/>
      <c r="U35" s="83"/>
      <c r="V35" s="83"/>
      <c r="W35" s="246" t="s">
        <v>1463</v>
      </c>
      <c r="Z35" s="205" t="b">
        <v>0</v>
      </c>
      <c r="AA35" s="206">
        <f>IFERROR(__xludf.DUMMYFUNCTION(" IFERROR(
IF(AND(AD35=FALSE,AH35 = FALSE),
(FILTER(Monsters!$AQ:$AQ, Monsters!$A:$A = W35 , Monsters!$D:$D  = $T$5, Monsters!$B:$B = ""Master"")
*
FILTER(Monsters!$AN:$AN, Monsters!$A:$A = W35 , Monsters!$D:$D  = $T$5, Monsters!$B:$B = ""Master"")
)
+
(FI"&amp;"LTER(Monsters!$AQ:$AQ, Monsters!$A:$A = W35 , Monsters!$D:$D  = $T$5, Monsters!$B:$B = ""Minion"")
*
FILTER(Monsters!$AN:$AN, Monsters!$A:$A = W35 , Monsters!$D:$D  = $T$5, Monsters!$B:$B = ""Minion"")
)
,)
,
)"),63.425833333333344)</f>
        <v>63.42583333</v>
      </c>
      <c r="AC35" s="207" t="str">
        <f>IFERROR(__xludf.DUMMYFUNCTION(" IFERROR(
IF(AND(AD35=FALSE,AH35 = FALSE),
CONCATENATE(
FILTER(Monsters!$AN:$AN, Monsters!$A:$A = W35 , Monsters!$D:$D  = $T$5, Monsters!$B:$B = ""Master"")
,
""/""
,
FILTER(Monsters!$AN:$AN, Monsters!$A:$A = W35 , Monsters!$D:$D  = $T$5, Monsters!$B:$B "&amp;"= ""Minion"")
)
,)
)"),"1/3")</f>
        <v>1/3</v>
      </c>
      <c r="AD35" s="246" t="b">
        <v>0</v>
      </c>
      <c r="AE35" s="206">
        <f>IFERROR(__xludf.DUMMYFUNCTION(" IFERROR(
IF(AND(Z35=FALSE,AH35 = FALSE),
(FILTER(Monsters!$AQ:$AQ, Monsters!$A:$A = W35 , Monsters!$D:$D  = $T$5, Monsters!$B:$B = ""Master"")
*
FILTER(Monsters!$AL:$AL, Monsters!$A:$A = W35 , Monsters!$D:$D  = $T$5, Monsters!$B:$B = ""Master"")
)
+
(FIL"&amp;"TER(Monsters!$AQ:$AQ, Monsters!$A:$A = W35 , Monsters!$D:$D  = $T$5, Monsters!$B:$B = ""Minion"")
*
FILTER(Monsters!$AL:$AL, Monsters!$A:$A = W35 , Monsters!$D:$D  = $T$5, Monsters!$B:$B = ""Minion"")
)
,)
,
)"),49.58500000000001)</f>
        <v>49.585</v>
      </c>
      <c r="AG35" s="207" t="str">
        <f>IFERROR(__xludf.DUMMYFUNCTION(" IFERROR(
IF(AND(Z35=FALSE,AH35 = FALSE),
CONCATENATE(
FILTER(Monsters!$AL:$AL, Monsters!$A:$A = W35 , Monsters!$D:$D  = $T$5, Monsters!$B:$B = ""Master"")
,
""/""
,
FILTER(Monsters!$AL:$AL, Monsters!$A:$A = W35 , Monsters!$D:$D  = $T$5, Monsters!$B:$B ="&amp;" ""Minion"")
)
,)
)"),"1/2")</f>
        <v>1/2</v>
      </c>
      <c r="AH35" s="246" t="b">
        <v>0</v>
      </c>
      <c r="AI35" s="206">
        <f>IFERROR(__xludf.DUMMYFUNCTION(" IFERROR(
IF(AND(Z35=FALSE,AD35 = FALSE),
(FILTER(Monsters!$AQ:$AQ, Monsters!$A:$A = W35 , Monsters!$D:$D  = $T$5, Monsters!$B:$B = ""Master"")
*
FILTER(Monsters!$AJ:$AJ, Monsters!$A:$A = W35 , Monsters!$D:$D  = $T$5, Monsters!$B:$B = ""Master"")
)
+
(FIL"&amp;"TER(Monsters!$AQ:$AQ, Monsters!$A:$A = W35 , Monsters!$D:$D  = $T$5, Monsters!$B:$B = ""Minion"")
*
FILTER(Monsters!$AJ:$AJ, Monsters!$A:$A = W35 , Monsters!$D:$D  = $T$5, Monsters!$B:$B = ""Minion"")
)
,)
,
)"),35.74416666666667)</f>
        <v>35.74416667</v>
      </c>
      <c r="AK35" s="207" t="str">
        <f>IFERROR(__xludf.DUMMYFUNCTION(" IFERROR(
IF(AND(Z35=FALSE,AD35 = FALSE),
CONCATENATE(
FILTER(Monsters!$AJ:$AJ, Monsters!$A:$A = W35 , Monsters!$D:$D  = $T$5, Monsters!$B:$B = ""Master"")
,
""/""
,
FILTER(Monsters!$AJ:$AJ, Monsters!$A:$A = W35 , Monsters!$D:$D  = $T$5, Monsters!$B:$B = "&amp;"""Minion"")
)
,)
,
)"),"1/1")</f>
        <v>1/1</v>
      </c>
      <c r="AL35" s="83"/>
    </row>
    <row r="36">
      <c r="B36" s="53"/>
      <c r="C36" s="198"/>
      <c r="D36" s="232">
        <f>IFERROR(VLOOKUP(C36,'Shop Items'!$C:$W,21,FALSE),0)</f>
        <v>0</v>
      </c>
      <c r="E36" s="118">
        <f>IFERROR(
IF(G36 = TRUE,
VLOOKUP(F36,Classes!$C:$H,6,FALSE),0)
,0)</f>
        <v>0</v>
      </c>
      <c r="F36" s="58" t="str">
        <f>IFERROR(__xludf.DUMMYFUNCTION("""COMPUTED_VALUE"""),"Black Arrow")</f>
        <v>Black Arrow</v>
      </c>
      <c r="G36" s="232" t="b">
        <v>0</v>
      </c>
      <c r="I36" s="53"/>
      <c r="J36" s="198"/>
      <c r="K36" s="232">
        <f>IFERROR(VLOOKUP(J36,'Shop Items'!$C:$W,21,FALSE),0)</f>
        <v>0</v>
      </c>
      <c r="L36" s="118">
        <f>IFERROR(
IF(N36 = TRUE,
VLOOKUP(M36,Classes!$C:$H,6,FALSE),0)
,0)</f>
        <v>0</v>
      </c>
      <c r="M36" s="58" t="str">
        <f>IFERROR(__xludf.DUMMYFUNCTION("""COMPUTED_VALUE"""),"Ancestor Spirits")</f>
        <v>Ancestor Spirits</v>
      </c>
      <c r="N36" s="232" t="b">
        <v>0</v>
      </c>
      <c r="P36" s="53"/>
      <c r="Q36" s="218">
        <f>IFERROR(
IF(S36 = TRUE,
VLOOKUP(R36,vote4OVERLORD!B:G,6,FALSE),0)
,0)</f>
        <v>0</v>
      </c>
      <c r="R36" s="219"/>
      <c r="S36" s="261" t="b">
        <v>0</v>
      </c>
      <c r="T36" s="83"/>
      <c r="U36" s="83"/>
      <c r="V36" s="83"/>
      <c r="W36" s="247" t="s">
        <v>1464</v>
      </c>
      <c r="Z36" s="214" t="b">
        <v>0</v>
      </c>
      <c r="AA36" s="215">
        <f>IFERROR(__xludf.DUMMYFUNCTION(" IFERROR(
IF(AND(AD36=FALSE,AH36 = FALSE),
(FILTER(Monsters!$AQ:$AQ, Monsters!$A:$A = W36 , Monsters!$D:$D  = $T$5, Monsters!$B:$B = ""Master"")
*
FILTER(Monsters!$AN:$AN, Monsters!$A:$A = W36 , Monsters!$D:$D  = $T$5, Monsters!$B:$B = ""Master"")
)
+
(FI"&amp;"LTER(Monsters!$AQ:$AQ, Monsters!$A:$A = W36 , Monsters!$D:$D  = $T$5, Monsters!$B:$B = ""Minion"")
*
FILTER(Monsters!$AN:$AN, Monsters!$A:$A = W36 , Monsters!$D:$D  = $T$5, Monsters!$B:$B = ""Minion"")
)
,)
,
)"),59.959999999999994)</f>
        <v>59.96</v>
      </c>
      <c r="AC36" s="216" t="str">
        <f>IFERROR(__xludf.DUMMYFUNCTION(" IFERROR(
IF(AND(AD36=FALSE,AH36 = FALSE),
CONCATENATE(
FILTER(Monsters!$AN:$AN, Monsters!$A:$A = W36 , Monsters!$D:$D  = $T$5, Monsters!$B:$B = ""Master"")
,
""/""
,
FILTER(Monsters!$AN:$AN, Monsters!$A:$A = W36 , Monsters!$D:$D  = $T$5, Monsters!$B:$B "&amp;"= ""Minion"")
)
,)
)"),"1/2")</f>
        <v>1/2</v>
      </c>
      <c r="AD36" s="214" t="b">
        <v>0</v>
      </c>
      <c r="AE36" s="215">
        <f>IFERROR(__xludf.DUMMYFUNCTION(" IFERROR(
IF(AND(Z36=FALSE,AH36 = FALSE),
(FILTER(Monsters!$AQ:$AQ, Monsters!$A:$A = W36 , Monsters!$D:$D  = $T$5, Monsters!$B:$B = ""Master"")
*
FILTER(Monsters!$AL:$AL, Monsters!$A:$A = W36 , Monsters!$D:$D  = $T$5, Monsters!$B:$B = ""Master"")
)
+
(FIL"&amp;"TER(Monsters!$AQ:$AQ, Monsters!$A:$A = W36 , Monsters!$D:$D  = $T$5, Monsters!$B:$B = ""Minion"")
*
FILTER(Monsters!$AL:$AL, Monsters!$A:$A = W36 , Monsters!$D:$D  = $T$5, Monsters!$B:$B = ""Minion"")
)
,)
,
)"),42.306666666666665)</f>
        <v>42.30666667</v>
      </c>
      <c r="AG36" s="216" t="str">
        <f>IFERROR(__xludf.DUMMYFUNCTION(" IFERROR(
IF(AND(Z36=FALSE,AH36 = FALSE),
CONCATENATE(
FILTER(Monsters!$AL:$AL, Monsters!$A:$A = W36 , Monsters!$D:$D  = $T$5, Monsters!$B:$B = ""Master"")
,
""/""
,
FILTER(Monsters!$AL:$AL, Monsters!$A:$A = W36 , Monsters!$D:$D  = $T$5, Monsters!$B:$B ="&amp;" ""Minion"")
)
,)
)"),"1/1")</f>
        <v>1/1</v>
      </c>
      <c r="AH36" s="214" t="b">
        <v>0</v>
      </c>
      <c r="AI36" s="215">
        <f>IFERROR(__xludf.DUMMYFUNCTION(" IFERROR(
IF(AND(Z36=FALSE,AD36 = FALSE),
(FILTER(Monsters!$AQ:$AQ, Monsters!$A:$A = W36 , Monsters!$D:$D  = $T$5, Monsters!$B:$B = ""Master"")
*
FILTER(Monsters!$AJ:$AJ, Monsters!$A:$A = W36 , Monsters!$D:$D  = $T$5, Monsters!$B:$B = ""Master"")
)
+
(FIL"&amp;"TER(Monsters!$AQ:$AQ, Monsters!$A:$A = W36 , Monsters!$D:$D  = $T$5, Monsters!$B:$B = ""Minion"")
*
FILTER(Monsters!$AJ:$AJ, Monsters!$A:$A = W36 , Monsters!$D:$D  = $T$5, Monsters!$B:$B = ""Minion"")
)
,)
,
)"),35.306666666666665)</f>
        <v>35.30666667</v>
      </c>
      <c r="AK36" s="216" t="str">
        <f>IFERROR(__xludf.DUMMYFUNCTION(" IFERROR(
IF(AND(Z36=FALSE,AD36 = FALSE),
CONCATENATE(
FILTER(Monsters!$AJ:$AJ, Monsters!$A:$A = W36 , Monsters!$D:$D  = $T$5, Monsters!$B:$B = ""Master"")
,
""/""
,
FILTER(Monsters!$AJ:$AJ, Monsters!$A:$A = W36 , Monsters!$D:$D  = $T$5, Monsters!$B:$B = "&amp;"""Minion"")
)
,)
,
)"),"0/2")</f>
        <v>0/2</v>
      </c>
      <c r="AL36" s="83"/>
    </row>
    <row r="37">
      <c r="B37" s="53"/>
      <c r="C37" s="198"/>
      <c r="D37" s="232">
        <f>IFERROR(VLOOKUP(C37,'Shop Items'!$C:$W,21,FALSE),0)</f>
        <v>0</v>
      </c>
      <c r="E37" s="118">
        <f>IFERROR(
IF(G37 = TRUE,
VLOOKUP(F37,Classes!$C:$H,6,FALSE),0)
,0)</f>
        <v>2.333333333</v>
      </c>
      <c r="F37" s="58" t="str">
        <f>IFERROR(__xludf.DUMMYFUNCTION("""COMPUTED_VALUE"""),"Running Shot")</f>
        <v>Running Shot</v>
      </c>
      <c r="G37" s="234" t="b">
        <v>1</v>
      </c>
      <c r="I37" s="53"/>
      <c r="J37" s="198"/>
      <c r="K37" s="232">
        <f>IFERROR(VLOOKUP(J37,'Shop Items'!$C:$W,21,FALSE),0)</f>
        <v>0</v>
      </c>
      <c r="L37" s="118">
        <f>IFERROR(
IF(N37 = TRUE,
VLOOKUP(M37,Classes!$C:$H,6,FALSE),0)
,0)</f>
        <v>0</v>
      </c>
      <c r="M37" s="58" t="str">
        <f>IFERROR(__xludf.DUMMYFUNCTION("""COMPUTED_VALUE"""),"Vigor")</f>
        <v>Vigor</v>
      </c>
      <c r="N37" s="232" t="b">
        <v>0</v>
      </c>
      <c r="P37" s="53"/>
      <c r="Q37" s="218">
        <f>IFERROR(
IF(S37 = TRUE,
VLOOKUP(R37,vote4OVERLORD!B:G,6,FALSE),0)
,0)</f>
        <v>0</v>
      </c>
      <c r="R37" s="219"/>
      <c r="S37" s="261" t="b">
        <v>0</v>
      </c>
      <c r="T37" s="83"/>
      <c r="U37" s="83"/>
      <c r="V37" s="83"/>
      <c r="W37" s="246" t="s">
        <v>1465</v>
      </c>
      <c r="Z37" s="246" t="b">
        <v>0</v>
      </c>
      <c r="AA37" s="206">
        <f>IFERROR(__xludf.DUMMYFUNCTION(" IFERROR(
IF(AND(AD37=FALSE,AH37 = FALSE),
(FILTER(Monsters!$AQ:$AQ, Monsters!$A:$A = W37 , Monsters!$D:$D  = $T$5, Monsters!$B:$B = ""Master"")
*
FILTER(Monsters!$AN:$AN, Monsters!$A:$A = W37 , Monsters!$D:$D  = $T$5, Monsters!$B:$B = ""Master"")
)
+
(FI"&amp;"LTER(Monsters!$AQ:$AQ, Monsters!$A:$A = W37 , Monsters!$D:$D  = $T$5, Monsters!$B:$B = ""Minion"")
*
FILTER(Monsters!$AN:$AN, Monsters!$A:$A = W37 , Monsters!$D:$D  = $T$5, Monsters!$B:$B = ""Minion"")
)
,)
,
)"),58.616666666666674)</f>
        <v>58.61666667</v>
      </c>
      <c r="AC37" s="207" t="str">
        <f>IFERROR(__xludf.DUMMYFUNCTION(" IFERROR(
IF(AND(AD37=FALSE,AH37 = FALSE),
CONCATENATE(
FILTER(Monsters!$AN:$AN, Monsters!$A:$A = W37 , Monsters!$D:$D  = $T$5, Monsters!$B:$B = ""Master"")
,
""/""
,
FILTER(Monsters!$AN:$AN, Monsters!$A:$A = W37 , Monsters!$D:$D  = $T$5, Monsters!$B:$B "&amp;"= ""Minion"")
)
,)
)"),"1/2")</f>
        <v>1/2</v>
      </c>
      <c r="AD37" s="246" t="b">
        <v>0</v>
      </c>
      <c r="AE37" s="206">
        <f>IFERROR(__xludf.DUMMYFUNCTION(" IFERROR(
IF(AND(Z37=FALSE,AH37 = FALSE),
(FILTER(Monsters!$AQ:$AQ, Monsters!$A:$A = W37 , Monsters!$D:$D  = $T$5, Monsters!$B:$B = ""Master"")
*
FILTER(Monsters!$AL:$AL, Monsters!$A:$A = W37 , Monsters!$D:$D  = $T$5, Monsters!$B:$B = ""Master"")
)
+
(FIL"&amp;"TER(Monsters!$AQ:$AQ, Monsters!$A:$A = W37 , Monsters!$D:$D  = $T$5, Monsters!$B:$B = ""Minion"")
*
FILTER(Monsters!$AL:$AL, Monsters!$A:$A = W37 , Monsters!$D:$D  = $T$5, Monsters!$B:$B = ""Minion"")
)
,)
,
)"),42.46666666666667)</f>
        <v>42.46666667</v>
      </c>
      <c r="AG37" s="207" t="str">
        <f>IFERROR(__xludf.DUMMYFUNCTION(" IFERROR(
IF(AND(Z37=FALSE,AH37 = FALSE),
CONCATENATE(
FILTER(Monsters!$AL:$AL, Monsters!$A:$A = W37 , Monsters!$D:$D  = $T$5, Monsters!$B:$B = ""Master"")
,
""/""
,
FILTER(Monsters!$AL:$AL, Monsters!$A:$A = W37 , Monsters!$D:$D  = $T$5, Monsters!$B:$B ="&amp;" ""Minion"")
)
,)
)"),"1/1")</f>
        <v>1/1</v>
      </c>
      <c r="AH37" s="205" t="b">
        <v>0</v>
      </c>
      <c r="AI37" s="206">
        <f>IFERROR(__xludf.DUMMYFUNCTION(" IFERROR(
IF(AND(Z37=FALSE,AD37 = FALSE),
(FILTER(Monsters!$AQ:$AQ, Monsters!$A:$A = W37 , Monsters!$D:$D  = $T$5, Monsters!$B:$B = ""Master"")
*
FILTER(Monsters!$AJ:$AJ, Monsters!$A:$A = W37 , Monsters!$D:$D  = $T$5, Monsters!$B:$B = ""Master"")
)
+
(FIL"&amp;"TER(Monsters!$AQ:$AQ, Monsters!$A:$A = W37 , Monsters!$D:$D  = $T$5, Monsters!$B:$B = ""Minion"")
*
FILTER(Monsters!$AJ:$AJ, Monsters!$A:$A = W37 , Monsters!$D:$D  = $T$5, Monsters!$B:$B = ""Minion"")
)
,)
,
)"),26.316666666666666)</f>
        <v>26.31666667</v>
      </c>
      <c r="AK37" s="207" t="str">
        <f>IFERROR(__xludf.DUMMYFUNCTION(" IFERROR(
IF(AND(Z37=FALSE,AD37 = FALSE),
CONCATENATE(
FILTER(Monsters!$AJ:$AJ, Monsters!$A:$A = W37 , Monsters!$D:$D  = $T$5, Monsters!$B:$B = ""Master"")
,
""/""
,
FILTER(Monsters!$AJ:$AJ, Monsters!$A:$A = W37 , Monsters!$D:$D  = $T$5, Monsters!$B:$B = "&amp;"""Minion"")
)
,)
,
)"),"1/0")</f>
        <v>1/0</v>
      </c>
      <c r="AL37" s="83"/>
    </row>
    <row r="38">
      <c r="B38" s="53"/>
      <c r="C38" s="198"/>
      <c r="D38" s="232">
        <f>IFERROR(VLOOKUP(C38,'Shop Items'!$C:$W,21,FALSE),0)</f>
        <v>0</v>
      </c>
      <c r="E38" s="118">
        <f>IFERROR(
IF(G38 = TRUE,
VLOOKUP(F38,Classes!$C:$H,6,FALSE),0)
,0)</f>
        <v>0</v>
      </c>
      <c r="F38" s="204"/>
      <c r="G38" s="232" t="b">
        <v>0</v>
      </c>
      <c r="I38" s="53"/>
      <c r="J38" s="198"/>
      <c r="K38" s="232">
        <f>IFERROR(VLOOKUP(J38,'Shop Items'!$C:$W,21,FALSE),0)</f>
        <v>0</v>
      </c>
      <c r="L38" s="118">
        <f>IFERROR(
IF(N38 = TRUE,
VLOOKUP(M38,Classes!$C:$H,6,FALSE),0)
,0)</f>
        <v>0</v>
      </c>
      <c r="M38" s="204"/>
      <c r="N38" s="232" t="b">
        <v>0</v>
      </c>
      <c r="P38" s="53"/>
      <c r="Q38" s="218">
        <f>IFERROR(
IF(S38 = TRUE,
VLOOKUP(R38,vote4OVERLORD!B:G,6,FALSE),0)
,0)</f>
        <v>0</v>
      </c>
      <c r="R38" s="219"/>
      <c r="S38" s="261" t="b">
        <v>0</v>
      </c>
      <c r="T38" s="83"/>
      <c r="U38" s="83"/>
      <c r="V38" s="83"/>
      <c r="W38" s="247" t="s">
        <v>1466</v>
      </c>
      <c r="Z38" s="247" t="b">
        <v>0</v>
      </c>
      <c r="AA38" s="215">
        <f>IFERROR(__xludf.DUMMYFUNCTION(" IFERROR(
IF(AND(AD38=FALSE,AH38 = FALSE),
(FILTER(Monsters!$AQ:$AQ, Monsters!$A:$A = W38 , Monsters!$D:$D  = $T$5, Monsters!$B:$B = ""Master"")
*
FILTER(Monsters!$AN:$AN, Monsters!$A:$A = W38 , Monsters!$D:$D  = $T$5, Monsters!$B:$B = ""Master"")
)
+
(FI"&amp;"LTER(Monsters!$AQ:$AQ, Monsters!$A:$A = W38 , Monsters!$D:$D  = $T$5, Monsters!$B:$B = ""Minion"")
*
FILTER(Monsters!$AN:$AN, Monsters!$A:$A = W38 , Monsters!$D:$D  = $T$5, Monsters!$B:$B = ""Minion"")
)
,)
,
)"),58.14)</f>
        <v>58.14</v>
      </c>
      <c r="AC38" s="216" t="str">
        <f>IFERROR(__xludf.DUMMYFUNCTION(" IFERROR(
IF(AND(AD38=FALSE,AH38 = FALSE),
CONCATENATE(
FILTER(Monsters!$AN:$AN, Monsters!$A:$A = W38 , Monsters!$D:$D  = $T$5, Monsters!$B:$B = ""Master"")
,
""/""
,
FILTER(Monsters!$AN:$AN, Monsters!$A:$A = W38 , Monsters!$D:$D  = $T$5, Monsters!$B:$B "&amp;"= ""Minion"")
)
,)
)"),"1/1")</f>
        <v>1/1</v>
      </c>
      <c r="AD38" s="247" t="b">
        <v>0</v>
      </c>
      <c r="AE38" s="215">
        <f>IFERROR(__xludf.DUMMYFUNCTION(" IFERROR(
IF(AND(Z38=FALSE,AH38 = FALSE),
(FILTER(Monsters!$AQ:$AQ, Monsters!$A:$A = W38 , Monsters!$D:$D  = $T$5, Monsters!$B:$B = ""Master"")
*
FILTER(Monsters!$AL:$AL, Monsters!$A:$A = W38 , Monsters!$D:$D  = $T$5, Monsters!$B:$B = ""Master"")
)
+
(FIL"&amp;"TER(Monsters!$AQ:$AQ, Monsters!$A:$A = W38 , Monsters!$D:$D  = $T$5, Monsters!$B:$B = ""Minion"")
*
FILTER(Monsters!$AL:$AL, Monsters!$A:$A = W38 , Monsters!$D:$D  = $T$5, Monsters!$B:$B = ""Minion"")
)
,)
,
)"),33.57)</f>
        <v>33.57</v>
      </c>
      <c r="AG38" s="216" t="str">
        <f>IFERROR(__xludf.DUMMYFUNCTION(" IFERROR(
IF(AND(Z38=FALSE,AH38 = FALSE),
CONCATENATE(
FILTER(Monsters!$AL:$AL, Monsters!$A:$A = W38 , Monsters!$D:$D  = $T$5, Monsters!$B:$B = ""Master"")
,
""/""
,
FILTER(Monsters!$AL:$AL, Monsters!$A:$A = W38 , Monsters!$D:$D  = $T$5, Monsters!$B:$B ="&amp;" ""Minion"")
)
,)
)"),"1/0")</f>
        <v>1/0</v>
      </c>
      <c r="AH38" s="247" t="b">
        <v>0</v>
      </c>
      <c r="AI38" s="215">
        <f>IFERROR(__xludf.DUMMYFUNCTION(" IFERROR(
IF(AND(Z38=FALSE,AD38 = FALSE),
(FILTER(Monsters!$AQ:$AQ, Monsters!$A:$A = W38 , Monsters!$D:$D  = $T$5, Monsters!$B:$B = ""Master"")
*
FILTER(Monsters!$AJ:$AJ, Monsters!$A:$A = W38 , Monsters!$D:$D  = $T$5, Monsters!$B:$B = ""Master"")
)
+
(FIL"&amp;"TER(Monsters!$AQ:$AQ, Monsters!$A:$A = W38 , Monsters!$D:$D  = $T$5, Monsters!$B:$B = ""Minion"")
*
FILTER(Monsters!$AJ:$AJ, Monsters!$A:$A = W38 , Monsters!$D:$D  = $T$5, Monsters!$B:$B = ""Minion"")
)
,)
,
)"),24.57)</f>
        <v>24.57</v>
      </c>
      <c r="AK38" s="216" t="str">
        <f>IFERROR(__xludf.DUMMYFUNCTION(" IFERROR(
IF(AND(Z38=FALSE,AD38 = FALSE),
CONCATENATE(
FILTER(Monsters!$AJ:$AJ, Monsters!$A:$A = W38 , Monsters!$D:$D  = $T$5, Monsters!$B:$B = ""Master"")
,
""/""
,
FILTER(Monsters!$AJ:$AJ, Monsters!$A:$A = W38 , Monsters!$D:$D  = $T$5, Monsters!$B:$B = "&amp;"""Minion"")
)
,)
,
)"),"0/1")</f>
        <v>0/1</v>
      </c>
      <c r="AL38" s="83"/>
    </row>
    <row r="39">
      <c r="B39" s="53"/>
      <c r="C39" s="198"/>
      <c r="D39" s="232">
        <f>IFERROR(VLOOKUP(C39,'Shop Items'!$C:$W,21,FALSE),0)</f>
        <v>0</v>
      </c>
      <c r="E39" s="118">
        <f>IFERROR(
IF(G39 = TRUE,
VLOOKUP(F39,Classes!$C:$H,6,FALSE),0)
,0)</f>
        <v>0</v>
      </c>
      <c r="F39" s="204"/>
      <c r="G39" s="232" t="b">
        <v>0</v>
      </c>
      <c r="I39" s="53"/>
      <c r="J39" s="198"/>
      <c r="K39" s="232">
        <f>IFERROR(VLOOKUP(J39,'Shop Items'!$C:$W,21,FALSE),0)</f>
        <v>0</v>
      </c>
      <c r="L39" s="118">
        <f>IFERROR(
IF(N39 = TRUE,
VLOOKUP(M39,Classes!$C:$H,6,FALSE),0)
,0)</f>
        <v>0</v>
      </c>
      <c r="M39" s="204"/>
      <c r="N39" s="232" t="b">
        <v>0</v>
      </c>
      <c r="P39" s="53"/>
      <c r="Q39" s="218">
        <f>IFERROR(
IF(S39 = TRUE,
VLOOKUP(R39,vote4OVERLORD!B:G,6,FALSE),0)
,0)</f>
        <v>0</v>
      </c>
      <c r="R39" s="219"/>
      <c r="S39" s="261" t="b">
        <v>0</v>
      </c>
      <c r="T39" s="83"/>
      <c r="U39" s="83"/>
      <c r="V39" s="83"/>
      <c r="W39" s="246" t="s">
        <v>1467</v>
      </c>
      <c r="Z39" s="205" t="b">
        <v>0</v>
      </c>
      <c r="AA39" s="206">
        <f>IFERROR(__xludf.DUMMYFUNCTION(" IFERROR(
IF(AND(AD39=FALSE,AH39 = FALSE),
(FILTER(Monsters!$AQ:$AQ, Monsters!$A:$A = W39 , Monsters!$D:$D  = $T$5, Monsters!$B:$B = ""Master"")
*
FILTER(Monsters!$AN:$AN, Monsters!$A:$A = W39 , Monsters!$D:$D  = $T$5, Monsters!$B:$B = ""Master"")
)
+
(FI"&amp;"LTER(Monsters!$AQ:$AQ, Monsters!$A:$A = W39 , Monsters!$D:$D  = $T$5, Monsters!$B:$B = ""Minion"")
*
FILTER(Monsters!$AN:$AN, Monsters!$A:$A = W39 , Monsters!$D:$D  = $T$5, Monsters!$B:$B = ""Minion"")
)
,)
,
)"),53.88333333333333)</f>
        <v>53.88333333</v>
      </c>
      <c r="AC39" s="207" t="str">
        <f>IFERROR(__xludf.DUMMYFUNCTION(" IFERROR(
IF(AND(AD39=FALSE,AH39 = FALSE),
CONCATENATE(
FILTER(Monsters!$AN:$AN, Monsters!$A:$A = W39 , Monsters!$D:$D  = $T$5, Monsters!$B:$B = ""Master"")
,
""/""
,
FILTER(Monsters!$AN:$AN, Monsters!$A:$A = W39 , Monsters!$D:$D  = $T$5, Monsters!$B:$B "&amp;"= ""Minion"")
)
,)
)"),"1/1")</f>
        <v>1/1</v>
      </c>
      <c r="AD39" s="205" t="b">
        <v>0</v>
      </c>
      <c r="AE39" s="206">
        <f>IFERROR(__xludf.DUMMYFUNCTION(" IFERROR(
IF(AND(Z39=FALSE,AH39 = FALSE),
(FILTER(Monsters!$AQ:$AQ, Monsters!$A:$A = W39 , Monsters!$D:$D  = $T$5, Monsters!$B:$B = ""Master"")
*
FILTER(Monsters!$AL:$AL, Monsters!$A:$A = W39 , Monsters!$D:$D  = $T$5, Monsters!$B:$B = ""Master"")
)
+
(FIL"&amp;"TER(Monsters!$AQ:$AQ, Monsters!$A:$A = W39 , Monsters!$D:$D  = $T$5, Monsters!$B:$B = ""Minion"")
*
FILTER(Monsters!$AL:$AL, Monsters!$A:$A = W39 , Monsters!$D:$D  = $T$5, Monsters!$B:$B = ""Minion"")
)
,)
,
)"),32.44166666666666)</f>
        <v>32.44166667</v>
      </c>
      <c r="AG39" s="207" t="str">
        <f>IFERROR(__xludf.DUMMYFUNCTION(" IFERROR(
IF(AND(Z39=FALSE,AH39 = FALSE),
CONCATENATE(
FILTER(Monsters!$AL:$AL, Monsters!$A:$A = W39 , Monsters!$D:$D  = $T$5, Monsters!$B:$B = ""Master"")
,
""/""
,
FILTER(Monsters!$AL:$AL, Monsters!$A:$A = W39 , Monsters!$D:$D  = $T$5, Monsters!$B:$B ="&amp;" ""Minion"")
)
,)
)"),"1/0")</f>
        <v>1/0</v>
      </c>
      <c r="AH39" s="205" t="b">
        <v>0</v>
      </c>
      <c r="AI39" s="206">
        <f>IFERROR(__xludf.DUMMYFUNCTION(" IFERROR(
IF(AND(Z39=FALSE,AD39 = FALSE),
(FILTER(Monsters!$AQ:$AQ, Monsters!$A:$A = W39 , Monsters!$D:$D  = $T$5, Monsters!$B:$B = ""Master"")
*
FILTER(Monsters!$AJ:$AJ, Monsters!$A:$A = W39 , Monsters!$D:$D  = $T$5, Monsters!$B:$B = ""Master"")
)
+
(FIL"&amp;"TER(Monsters!$AQ:$AQ, Monsters!$A:$A = W39 , Monsters!$D:$D  = $T$5, Monsters!$B:$B = ""Minion"")
*
FILTER(Monsters!$AJ:$AJ, Monsters!$A:$A = W39 , Monsters!$D:$D  = $T$5, Monsters!$B:$B = ""Minion"")
)
,)
,
)"),21.44166666666667)</f>
        <v>21.44166667</v>
      </c>
      <c r="AK39" s="207" t="str">
        <f>IFERROR(__xludf.DUMMYFUNCTION(" IFERROR(
IF(AND(Z39=FALSE,AD39 = FALSE),
CONCATENATE(
FILTER(Monsters!$AJ:$AJ, Monsters!$A:$A = W39 , Monsters!$D:$D  = $T$5, Monsters!$B:$B = ""Master"")
,
""/""
,
FILTER(Monsters!$AJ:$AJ, Monsters!$A:$A = W39 , Monsters!$D:$D  = $T$5, Monsters!$B:$B = "&amp;"""Minion"")
)
,)
,
)"),"0/1")</f>
        <v>0/1</v>
      </c>
      <c r="AL39" s="83"/>
    </row>
    <row r="40">
      <c r="B40" s="53"/>
      <c r="C40" s="248"/>
      <c r="D40" s="232">
        <f>IFERROR(VLOOKUP(C40,'Shop Items'!$C:$W,21,FALSE),0)</f>
        <v>0</v>
      </c>
      <c r="E40" s="118">
        <f>IFERROR(
IF(G40 = TRUE,
VLOOKUP(F40,Classes!$C:$H,6,FALSE),0)
,0)</f>
        <v>0</v>
      </c>
      <c r="F40" s="204"/>
      <c r="G40" s="232" t="b">
        <v>0</v>
      </c>
      <c r="I40" s="53"/>
      <c r="J40" s="248"/>
      <c r="K40" s="232">
        <f>IFERROR(VLOOKUP(J40,'Shop Items'!$C:$W,21,FALSE),0)</f>
        <v>0</v>
      </c>
      <c r="L40" s="118">
        <f>IFERROR(
IF(N40 = TRUE,
VLOOKUP(M40,Classes!$C:$H,6,FALSE),0)
,0)</f>
        <v>0</v>
      </c>
      <c r="M40" s="204"/>
      <c r="N40" s="232" t="b">
        <v>0</v>
      </c>
      <c r="P40" s="53"/>
      <c r="Q40" s="218">
        <f>IFERROR(
IF(S40 = TRUE,
VLOOKUP(R40,vote4OVERLORD!B:G,6,FALSE),0)
,0)</f>
        <v>0</v>
      </c>
      <c r="R40" s="219"/>
      <c r="S40" s="261" t="b">
        <v>0</v>
      </c>
      <c r="T40" s="83"/>
      <c r="U40" s="83"/>
      <c r="V40" s="83"/>
      <c r="W40" s="247" t="s">
        <v>1468</v>
      </c>
      <c r="Z40" s="214" t="b">
        <v>0</v>
      </c>
      <c r="AA40" s="215">
        <f>IFERROR(__xludf.DUMMYFUNCTION(" IFERROR(
IF(AND(AD40=FALSE,AH40 = FALSE),
(FILTER(Monsters!$AQ:$AQ, Monsters!$A:$A = W40 , Monsters!$D:$D  = $T$5, Monsters!$B:$B = ""Master"")
*
FILTER(Monsters!$AN:$AN, Monsters!$A:$A = W40 , Monsters!$D:$D  = $T$5, Monsters!$B:$B = ""Master"")
)
+
(FI"&amp;"LTER(Monsters!$AQ:$AQ, Monsters!$A:$A = W40 , Monsters!$D:$D  = $T$5, Monsters!$B:$B = ""Minion"")
*
FILTER(Monsters!$AN:$AN, Monsters!$A:$A = W40 , Monsters!$D:$D  = $T$5, Monsters!$B:$B = ""Minion"")
)
,)
,
)"),49.855000000000004)</f>
        <v>49.855</v>
      </c>
      <c r="AC40" s="216" t="str">
        <f>IFERROR(__xludf.DUMMYFUNCTION(" IFERROR(
IF(AND(AD40=FALSE,AH40 = FALSE),
CONCATENATE(
FILTER(Monsters!$AN:$AN, Monsters!$A:$A = W40 , Monsters!$D:$D  = $T$5, Monsters!$B:$B = ""Master"")
,
""/""
,
FILTER(Monsters!$AN:$AN, Monsters!$A:$A = W40 , Monsters!$D:$D  = $T$5, Monsters!$B:$B "&amp;"= ""Minion"")
)
,)
)"),"1/3")</f>
        <v>1/3</v>
      </c>
      <c r="AD40" s="214" t="b">
        <v>0</v>
      </c>
      <c r="AE40" s="215">
        <f>IFERROR(__xludf.DUMMYFUNCTION(" IFERROR(
IF(AND(Z40=FALSE,AH40 = FALSE),
(FILTER(Monsters!$AQ:$AQ, Monsters!$A:$A = W40 , Monsters!$D:$D  = $T$5, Monsters!$B:$B = ""Master"")
*
FILTER(Monsters!$AL:$AL, Monsters!$A:$A = W40 , Monsters!$D:$D  = $T$5, Monsters!$B:$B = ""Master"")
)
+
(FIL"&amp;"TER(Monsters!$AQ:$AQ, Monsters!$A:$A = W40 , Monsters!$D:$D  = $T$5, Monsters!$B:$B = ""Minion"")
*
FILTER(Monsters!$AL:$AL, Monsters!$A:$A = W40 , Monsters!$D:$D  = $T$5, Monsters!$B:$B = ""Minion"")
)
,)
,
)"),38.41000000000001)</f>
        <v>38.41</v>
      </c>
      <c r="AG40" s="216" t="str">
        <f>IFERROR(__xludf.DUMMYFUNCTION(" IFERROR(
IF(AND(Z40=FALSE,AH40 = FALSE),
CONCATENATE(
FILTER(Monsters!$AL:$AL, Monsters!$A:$A = W40 , Monsters!$D:$D  = $T$5, Monsters!$B:$B = ""Master"")
,
""/""
,
FILTER(Monsters!$AL:$AL, Monsters!$A:$A = W40 , Monsters!$D:$D  = $T$5, Monsters!$B:$B ="&amp;" ""Minion"")
)
,)
)"),"1/2")</f>
        <v>1/2</v>
      </c>
      <c r="AH40" s="214" t="b">
        <v>0</v>
      </c>
      <c r="AI40" s="215">
        <f>IFERROR(__xludf.DUMMYFUNCTION(" IFERROR(
IF(AND(Z40=FALSE,AD40 = FALSE),
(FILTER(Monsters!$AQ:$AQ, Monsters!$A:$A = W40 , Monsters!$D:$D  = $T$5, Monsters!$B:$B = ""Master"")
*
FILTER(Monsters!$AJ:$AJ, Monsters!$A:$A = W40 , Monsters!$D:$D  = $T$5, Monsters!$B:$B = ""Master"")
)
+
(FIL"&amp;"TER(Monsters!$AQ:$AQ, Monsters!$A:$A = W40 , Monsters!$D:$D  = $T$5, Monsters!$B:$B = ""Minion"")
*
FILTER(Monsters!$AJ:$AJ, Monsters!$A:$A = W40 , Monsters!$D:$D  = $T$5, Monsters!$B:$B = ""Minion"")
)
,)
,
)"),26.965000000000003)</f>
        <v>26.965</v>
      </c>
      <c r="AK40" s="216" t="str">
        <f>IFERROR(__xludf.DUMMYFUNCTION(" IFERROR(
IF(AND(Z40=FALSE,AD40 = FALSE),
CONCATENATE(
FILTER(Monsters!$AJ:$AJ, Monsters!$A:$A = W40 , Monsters!$D:$D  = $T$5, Monsters!$B:$B = ""Master"")
,
""/""
,
FILTER(Monsters!$AJ:$AJ, Monsters!$A:$A = W40 , Monsters!$D:$D  = $T$5, Monsters!$B:$B = "&amp;"""Minion"")
)
,)
,
)"),"1/1")</f>
        <v>1/1</v>
      </c>
      <c r="AL40" s="83"/>
    </row>
    <row r="41">
      <c r="B41" s="53"/>
      <c r="C41" s="249" t="s">
        <v>1438</v>
      </c>
      <c r="D41" s="140"/>
      <c r="E41" s="118">
        <f>IFERROR(
IF(G41 = TRUE,
VLOOKUP(F41,Classes!$C:$H,6,FALSE),0)
,0)</f>
        <v>0</v>
      </c>
      <c r="F41" s="250"/>
      <c r="G41" s="232" t="b">
        <v>0</v>
      </c>
      <c r="I41" s="53"/>
      <c r="J41" s="249" t="s">
        <v>1438</v>
      </c>
      <c r="K41" s="140"/>
      <c r="L41" s="118">
        <f>IFERROR(
IF(N41 = TRUE,
VLOOKUP(M41,Classes!$C:$H,6,FALSE),0)
,0)</f>
        <v>0</v>
      </c>
      <c r="M41" s="250"/>
      <c r="N41" s="232" t="b">
        <v>0</v>
      </c>
      <c r="P41" s="53"/>
      <c r="Q41" s="218">
        <f>IFERROR(
IF(S41 = TRUE,
VLOOKUP(R41,vote4OVERLORD!B:G,6,FALSE),0)
,0)</f>
        <v>0</v>
      </c>
      <c r="R41" s="219"/>
      <c r="S41" s="261" t="b">
        <v>0</v>
      </c>
      <c r="T41" s="83"/>
      <c r="U41" s="83"/>
      <c r="V41" s="83"/>
      <c r="W41" s="246" t="s">
        <v>1469</v>
      </c>
      <c r="Z41" s="205" t="b">
        <v>0</v>
      </c>
      <c r="AA41" s="206">
        <f>IFERROR(__xludf.DUMMYFUNCTION(" IFERROR(
IF(AND(AD41=FALSE,AH41 = FALSE),
(FILTER(Monsters!$AQ:$AQ, Monsters!$A:$A = W41 , Monsters!$D:$D  = $T$5, Monsters!$B:$B = ""Master"")
*
FILTER(Monsters!$AN:$AN, Monsters!$A:$A = W41 , Monsters!$D:$D  = $T$5, Monsters!$B:$B = ""Master"")
)
+
(FI"&amp;"LTER(Monsters!$AQ:$AQ, Monsters!$A:$A = W41 , Monsters!$D:$D  = $T$5, Monsters!$B:$B = ""Minion"")
*
FILTER(Monsters!$AN:$AN, Monsters!$A:$A = W41 , Monsters!$D:$D  = $T$5, Monsters!$B:$B = ""Minion"")
)
,)
,
)"),49.265)</f>
        <v>49.265</v>
      </c>
      <c r="AC41" s="207" t="str">
        <f>IFERROR(__xludf.DUMMYFUNCTION(" IFERROR(
IF(AND(AD41=FALSE,AH41 = FALSE),
CONCATENATE(
FILTER(Monsters!$AN:$AN, Monsters!$A:$A = W41 , Monsters!$D:$D  = $T$5, Monsters!$B:$B = ""Master"")
,
""/""
,
FILTER(Monsters!$AN:$AN, Monsters!$A:$A = W41 , Monsters!$D:$D  = $T$5, Monsters!$B:$B "&amp;"= ""Minion"")
)
,)
)"),"1/1")</f>
        <v>1/1</v>
      </c>
      <c r="AD41" s="205" t="b">
        <v>0</v>
      </c>
      <c r="AE41" s="206">
        <f>IFERROR(__xludf.DUMMYFUNCTION(" IFERROR(
IF(AND(Z41=FALSE,AH41 = FALSE),
(FILTER(Monsters!$AQ:$AQ, Monsters!$A:$A = W41 , Monsters!$D:$D  = $T$5, Monsters!$B:$B = ""Master"")
*
FILTER(Monsters!$AL:$AL, Monsters!$A:$A = W41 , Monsters!$D:$D  = $T$5, Monsters!$B:$B = ""Master"")
)
+
(FIL"&amp;"TER(Monsters!$AQ:$AQ, Monsters!$A:$A = W41 , Monsters!$D:$D  = $T$5, Monsters!$B:$B = ""Minion"")
*
FILTER(Monsters!$AL:$AL, Monsters!$A:$A = W41 , Monsters!$D:$D  = $T$5, Monsters!$B:$B = ""Minion"")
)
,)
,
)"),26.528333333333332)</f>
        <v>26.52833333</v>
      </c>
      <c r="AG41" s="207" t="str">
        <f>IFERROR(__xludf.DUMMYFUNCTION(" IFERROR(
IF(AND(Z41=FALSE,AH41 = FALSE),
CONCATENATE(
FILTER(Monsters!$AL:$AL, Monsters!$A:$A = W41 , Monsters!$D:$D  = $T$5, Monsters!$B:$B = ""Master"")
,
""/""
,
FILTER(Monsters!$AL:$AL, Monsters!$A:$A = W41 , Monsters!$D:$D  = $T$5, Monsters!$B:$B ="&amp;" ""Minion"")
)
,)
)"),"1/0")</f>
        <v>1/0</v>
      </c>
      <c r="AH41" s="205" t="b">
        <v>0</v>
      </c>
      <c r="AI41" s="206">
        <f>IFERROR(__xludf.DUMMYFUNCTION(" IFERROR(
IF(AND(Z41=FALSE,AD41 = FALSE),
(FILTER(Monsters!$AQ:$AQ, Monsters!$A:$A = W41 , Monsters!$D:$D  = $T$5, Monsters!$B:$B = ""Master"")
*
FILTER(Monsters!$AJ:$AJ, Monsters!$A:$A = W41 , Monsters!$D:$D  = $T$5, Monsters!$B:$B = ""Master"")
)
+
(FIL"&amp;"TER(Monsters!$AQ:$AQ, Monsters!$A:$A = W41 , Monsters!$D:$D  = $T$5, Monsters!$B:$B = ""Minion"")
*
FILTER(Monsters!$AJ:$AJ, Monsters!$A:$A = W41 , Monsters!$D:$D  = $T$5, Monsters!$B:$B = ""Minion"")
)
,)
,
)"),22.736666666666668)</f>
        <v>22.73666667</v>
      </c>
      <c r="AK41" s="207" t="str">
        <f>IFERROR(__xludf.DUMMYFUNCTION(" IFERROR(
IF(AND(Z41=FALSE,AD41 = FALSE),
CONCATENATE(
FILTER(Monsters!$AJ:$AJ, Monsters!$A:$A = W41 , Monsters!$D:$D  = $T$5, Monsters!$B:$B = ""Master"")
,
""/""
,
FILTER(Monsters!$AJ:$AJ, Monsters!$A:$A = W41 , Monsters!$D:$D  = $T$5, Monsters!$B:$B = "&amp;"""Minion"")
)
,)
,
)"),"0/1")</f>
        <v>0/1</v>
      </c>
      <c r="AL41" s="83"/>
    </row>
    <row r="42">
      <c r="B42" s="53"/>
      <c r="C42" s="250" t="str">
        <f>IFERROR(__xludf.DUMMYFUNCTION("IFERROR(FILTER(Familiars!$B:$B,(Familiars!$A:$A = C25) + (Familiars!$A:$A = F25),
Familiars!$A:$A &lt;&gt; """"),)"),"")</f>
        <v/>
      </c>
      <c r="D42" s="140">
        <f>IFERROR(VLOOKUP(C42,Familiars!$B:$P,15,FALSE),0)</f>
        <v>0</v>
      </c>
      <c r="E42" s="118">
        <f>IFERROR(
IF(G42 = TRUE,
VLOOKUP(F42,Classes!$C:$H,6,FALSE),0)
,0)</f>
        <v>0</v>
      </c>
      <c r="F42" s="250"/>
      <c r="G42" s="232" t="b">
        <v>0</v>
      </c>
      <c r="I42" s="53"/>
      <c r="J42" s="250" t="str">
        <f>IFERROR(__xludf.DUMMYFUNCTION("IFERROR(FILTER(Familiars!$B:$B,(Familiars!$A:$A = J25) + (Familiars!$A:$A = M25),
Familiars!$A:$A &lt;&gt; """"),)"),"")</f>
        <v/>
      </c>
      <c r="K42" s="140">
        <f>IFERROR(VLOOKUP(J42,Familiars!$B:$P,15,FALSE),0)</f>
        <v>0</v>
      </c>
      <c r="L42" s="118">
        <f>IFERROR(
IF(N42 = TRUE,
VLOOKUP(M42,Classes!$C:$H,6,FALSE),0)
,0)</f>
        <v>0</v>
      </c>
      <c r="M42" s="250"/>
      <c r="N42" s="232" t="b">
        <v>0</v>
      </c>
      <c r="P42" s="53"/>
      <c r="Q42" s="218">
        <f>IFERROR(
IF(S42 = TRUE,
VLOOKUP(R42,vote4OVERLORD!B:G,6,FALSE),0)
,0)</f>
        <v>0</v>
      </c>
      <c r="R42" s="219"/>
      <c r="S42" s="261" t="b">
        <v>0</v>
      </c>
      <c r="T42" s="83"/>
      <c r="W42" s="247" t="s">
        <v>1470</v>
      </c>
      <c r="Z42" s="247" t="b">
        <v>0</v>
      </c>
      <c r="AA42" s="215">
        <f>IFERROR(__xludf.DUMMYFUNCTION(" IFERROR(
IF(AND(AD42=FALSE,AH42 = FALSE),
(FILTER(Monsters!$AQ:$AQ, Monsters!$A:$A = W42 , Monsters!$D:$D  = $T$5, Monsters!$B:$B = ""Master"")
*
FILTER(Monsters!$AN:$AN, Monsters!$A:$A = W42 , Monsters!$D:$D  = $T$5, Monsters!$B:$B = ""Master"")
)
+
(FI"&amp;"LTER(Monsters!$AQ:$AQ, Monsters!$A:$A = W42 , Monsters!$D:$D  = $T$5, Monsters!$B:$B = ""Minion"")
*
FILTER(Monsters!$AN:$AN, Monsters!$A:$A = W42 , Monsters!$D:$D  = $T$5, Monsters!$B:$B = ""Minion"")
)
,)
,
)"),47.806666666666665)</f>
        <v>47.80666667</v>
      </c>
      <c r="AC42" s="216" t="str">
        <f>IFERROR(__xludf.DUMMYFUNCTION(" IFERROR(
IF(AND(AD42=FALSE,AH42 = FALSE),
CONCATENATE(
FILTER(Monsters!$AN:$AN, Monsters!$A:$A = W42 , Monsters!$D:$D  = $T$5, Monsters!$B:$B = ""Master"")
,
""/""
,
FILTER(Monsters!$AN:$AN, Monsters!$A:$A = W42 , Monsters!$D:$D  = $T$5, Monsters!$B:$B "&amp;"= ""Minion"")
)
,)
)"),"1/1")</f>
        <v>1/1</v>
      </c>
      <c r="AD42" s="247" t="b">
        <v>0</v>
      </c>
      <c r="AE42" s="215">
        <f>IFERROR(__xludf.DUMMYFUNCTION(" IFERROR(
IF(AND(Z42=FALSE,AH42 = FALSE),
(FILTER(Monsters!$AQ:$AQ, Monsters!$A:$A = W42 , Monsters!$D:$D  = $T$5, Monsters!$B:$B = ""Master"")
*
FILTER(Monsters!$AL:$AL, Monsters!$A:$A = W42 , Monsters!$D:$D  = $T$5, Monsters!$B:$B = ""Master"")
)
+
(FIL"&amp;"TER(Monsters!$AQ:$AQ, Monsters!$A:$A = W42 , Monsters!$D:$D  = $T$5, Monsters!$B:$B = ""Minion"")
*
FILTER(Monsters!$AL:$AL, Monsters!$A:$A = W42 , Monsters!$D:$D  = $T$5, Monsters!$B:$B = ""Minion"")
)
,)
,
)"),28.903333333333332)</f>
        <v>28.90333333</v>
      </c>
      <c r="AG42" s="216" t="str">
        <f>IFERROR(__xludf.DUMMYFUNCTION(" IFERROR(
IF(AND(Z42=FALSE,AH42 = FALSE),
CONCATENATE(
FILTER(Monsters!$AL:$AL, Monsters!$A:$A = W42 , Monsters!$D:$D  = $T$5, Monsters!$B:$B = ""Master"")
,
""/""
,
FILTER(Monsters!$AL:$AL, Monsters!$A:$A = W42 , Monsters!$D:$D  = $T$5, Monsters!$B:$B ="&amp;" ""Minion"")
)
,)
)"),"1/0")</f>
        <v>1/0</v>
      </c>
      <c r="AH42" s="247" t="b">
        <v>0</v>
      </c>
      <c r="AI42" s="215">
        <f>IFERROR(__xludf.DUMMYFUNCTION(" IFERROR(
IF(AND(Z42=FALSE,AD42 = FALSE),
(FILTER(Monsters!$AQ:$AQ, Monsters!$A:$A = W42 , Monsters!$D:$D  = $T$5, Monsters!$B:$B = ""Master"")
*
FILTER(Monsters!$AJ:$AJ, Monsters!$A:$A = W42 , Monsters!$D:$D  = $T$5, Monsters!$B:$B = ""Master"")
)
+
(FIL"&amp;"TER(Monsters!$AQ:$AQ, Monsters!$A:$A = W42 , Monsters!$D:$D  = $T$5, Monsters!$B:$B = ""Minion"")
*
FILTER(Monsters!$AJ:$AJ, Monsters!$A:$A = W42 , Monsters!$D:$D  = $T$5, Monsters!$B:$B = ""Minion"")
)
,)
,
)"),18.903333333333332)</f>
        <v>18.90333333</v>
      </c>
      <c r="AK42" s="216" t="str">
        <f>IFERROR(__xludf.DUMMYFUNCTION(" IFERROR(
IF(AND(Z42=FALSE,AD42 = FALSE),
CONCATENATE(
FILTER(Monsters!$AJ:$AJ, Monsters!$A:$A = W42 , Monsters!$D:$D  = $T$5, Monsters!$B:$B = ""Master"")
,
""/""
,
FILTER(Monsters!$AJ:$AJ, Monsters!$A:$A = W42 , Monsters!$D:$D  = $T$5, Monsters!$B:$B = "&amp;"""Minion"")
)
,)
,
)"),"0/1")</f>
        <v>0/1</v>
      </c>
      <c r="AL42" s="83"/>
    </row>
    <row r="43">
      <c r="B43" s="52"/>
      <c r="C43" s="256"/>
      <c r="D43" s="140">
        <f>IFERROR(VLOOKUP(C43,Familiars!$B:$P,15,FALSE),0)</f>
        <v>0</v>
      </c>
      <c r="E43" s="118">
        <f>IFERROR(
IF(G43 = TRUE,
VLOOKUP(F43,Classes!$C:$H,6,FALSE),0)
,0)</f>
        <v>0</v>
      </c>
      <c r="F43" s="256"/>
      <c r="G43" s="257" t="b">
        <v>0</v>
      </c>
      <c r="I43" s="52"/>
      <c r="J43" s="256"/>
      <c r="K43" s="140">
        <f>IFERROR(VLOOKUP(J43,Familiars!$B:$P,15,FALSE),0)</f>
        <v>0</v>
      </c>
      <c r="L43" s="118">
        <f>IFERROR(
IF(N43 = TRUE,
VLOOKUP(M43,Classes!$C:$H,6,FALSE),0)
,0)</f>
        <v>0</v>
      </c>
      <c r="M43" s="256"/>
      <c r="N43" s="257" t="b">
        <v>0</v>
      </c>
      <c r="P43" s="52"/>
      <c r="Q43" s="262">
        <f>IFERROR(
IF(S43 = TRUE,
VLOOKUP(R43,vote4OVERLORD!B:G,6,FALSE),0)
,0)</f>
        <v>0</v>
      </c>
      <c r="R43" s="252"/>
      <c r="S43" s="263" t="b">
        <v>0</v>
      </c>
      <c r="T43" s="83"/>
      <c r="W43" s="246" t="s">
        <v>1471</v>
      </c>
      <c r="Z43" s="205" t="b">
        <v>0</v>
      </c>
      <c r="AA43" s="206">
        <f>IFERROR(__xludf.DUMMYFUNCTION(" IFERROR(
IF(AND(AD43=FALSE,AH43 = FALSE),
(FILTER(Monsters!$AQ:$AQ, Monsters!$A:$A = W43 , Monsters!$D:$D  = $T$5, Monsters!$B:$B = ""Master"")
*
FILTER(Monsters!$AN:$AN, Monsters!$A:$A = W43 , Monsters!$D:$D  = $T$5, Monsters!$B:$B = ""Master"")
)
+
(FI"&amp;"LTER(Monsters!$AQ:$AQ, Monsters!$A:$A = W43 , Monsters!$D:$D  = $T$5, Monsters!$B:$B = ""Minion"")
*
FILTER(Monsters!$AN:$AN, Monsters!$A:$A = W43 , Monsters!$D:$D  = $T$5, Monsters!$B:$B = ""Minion"")
)
,)
,
)"),45.80500000000001)</f>
        <v>45.805</v>
      </c>
      <c r="AC43" s="207" t="str">
        <f>IFERROR(__xludf.DUMMYFUNCTION(" IFERROR(
IF(AND(AD43=FALSE,AH43 = FALSE),
CONCATENATE(
FILTER(Monsters!$AN:$AN, Monsters!$A:$A = W43 , Monsters!$D:$D  = $T$5, Monsters!$B:$B = ""Master"")
,
""/""
,
FILTER(Monsters!$AN:$AN, Monsters!$A:$A = W43 , Monsters!$D:$D  = $T$5, Monsters!$B:$B "&amp;"= ""Minion"")
)
,)
)"),"1/3")</f>
        <v>1/3</v>
      </c>
      <c r="AD43" s="205" t="b">
        <v>0</v>
      </c>
      <c r="AE43" s="206">
        <f>IFERROR(__xludf.DUMMYFUNCTION(" IFERROR(
IF(AND(Z43=FALSE,AH43 = FALSE),
(FILTER(Monsters!$AQ:$AQ, Monsters!$A:$A = W43 , Monsters!$D:$D  = $T$5, Monsters!$B:$B = ""Master"")
*
FILTER(Monsters!$AL:$AL, Monsters!$A:$A = W43 , Monsters!$D:$D  = $T$5, Monsters!$B:$B = ""Master"")
)
+
(FIL"&amp;"TER(Monsters!$AQ:$AQ, Monsters!$A:$A = W43 , Monsters!$D:$D  = $T$5, Monsters!$B:$B = ""Minion"")
*
FILTER(Monsters!$AL:$AL, Monsters!$A:$A = W43 , Monsters!$D:$D  = $T$5, Monsters!$B:$B = ""Minion"")
)
,)
,
)"),35.94666666666667)</f>
        <v>35.94666667</v>
      </c>
      <c r="AG43" s="207" t="str">
        <f>IFERROR(__xludf.DUMMYFUNCTION(" IFERROR(
IF(AND(Z43=FALSE,AH43 = FALSE),
CONCATENATE(
FILTER(Monsters!$AL:$AL, Monsters!$A:$A = W43 , Monsters!$D:$D  = $T$5, Monsters!$B:$B = ""Master"")
,
""/""
,
FILTER(Monsters!$AL:$AL, Monsters!$A:$A = W43 , Monsters!$D:$D  = $T$5, Monsters!$B:$B ="&amp;" ""Minion"")
)
,)
)"),"1/2")</f>
        <v>1/2</v>
      </c>
      <c r="AH43" s="205" t="b">
        <v>0</v>
      </c>
      <c r="AI43" s="206">
        <f>IFERROR(__xludf.DUMMYFUNCTION(" IFERROR(
IF(AND(Z43=FALSE,AD43 = FALSE),
(FILTER(Monsters!$AQ:$AQ, Monsters!$A:$A = W43 , Monsters!$D:$D  = $T$5, Monsters!$B:$B = ""Master"")
*
FILTER(Monsters!$AJ:$AJ, Monsters!$A:$A = W43 , Monsters!$D:$D  = $T$5, Monsters!$B:$B = ""Master"")
)
+
(FIL"&amp;"TER(Monsters!$AQ:$AQ, Monsters!$A:$A = W43 , Monsters!$D:$D  = $T$5, Monsters!$B:$B = ""Minion"")
*
FILTER(Monsters!$AJ:$AJ, Monsters!$A:$A = W43 , Monsters!$D:$D  = $T$5, Monsters!$B:$B = ""Minion"")
)
,)
,
)"),26.088333333333335)</f>
        <v>26.08833333</v>
      </c>
      <c r="AK43" s="207" t="str">
        <f>IFERROR(__xludf.DUMMYFUNCTION(" IFERROR(
IF(AND(Z43=FALSE,AD43 = FALSE),
CONCATENATE(
FILTER(Monsters!$AJ:$AJ, Monsters!$A:$A = W43 , Monsters!$D:$D  = $T$5, Monsters!$B:$B = ""Master"")
,
""/""
,
FILTER(Monsters!$AJ:$AJ, Monsters!$A:$A = W43 , Monsters!$D:$D  = $T$5, Monsters!$B:$B = "&amp;"""Minion"")
)
,)
,
)"),"1/1")</f>
        <v>1/1</v>
      </c>
      <c r="AL43" s="83"/>
    </row>
    <row r="44">
      <c r="P44" s="83"/>
      <c r="Q44" s="83"/>
      <c r="R44" s="83"/>
      <c r="S44" s="83"/>
      <c r="T44" s="83"/>
      <c r="U44" s="83"/>
      <c r="V44" s="83"/>
      <c r="W44" s="247" t="s">
        <v>1472</v>
      </c>
      <c r="Z44" s="214" t="b">
        <v>0</v>
      </c>
      <c r="AA44" s="215">
        <f>IFERROR(__xludf.DUMMYFUNCTION(" IFERROR(
IF(AND(AD44=FALSE,AH44 = FALSE),
(FILTER(Monsters!$AQ:$AQ, Monsters!$A:$A = W44 , Monsters!$D:$D  = $T$5, Monsters!$B:$B = ""Master"")
*
FILTER(Monsters!$AN:$AN, Monsters!$A:$A = W44 , Monsters!$D:$D  = $T$5, Monsters!$B:$B = ""Master"")
)
+
(FI"&amp;"LTER(Monsters!$AQ:$AQ, Monsters!$A:$A = W44 , Monsters!$D:$D  = $T$5, Monsters!$B:$B = ""Minion"")
*
FILTER(Monsters!$AN:$AN, Monsters!$A:$A = W44 , Monsters!$D:$D  = $T$5, Monsters!$B:$B = ""Minion"")
)
,)
,
)"),43.34)</f>
        <v>43.34</v>
      </c>
      <c r="AC44" s="216" t="str">
        <f>IFERROR(__xludf.DUMMYFUNCTION(" IFERROR(
IF(AND(AD44=FALSE,AH44 = FALSE),
CONCATENATE(
FILTER(Monsters!$AN:$AN, Monsters!$A:$A = W44 , Monsters!$D:$D  = $T$5, Monsters!$B:$B = ""Master"")
,
""/""
,
FILTER(Monsters!$AN:$AN, Monsters!$A:$A = W44 , Monsters!$D:$D  = $T$5, Monsters!$B:$B "&amp;"= ""Minion"")
)
,)
)"),"3/9")</f>
        <v>3/9</v>
      </c>
      <c r="AD44" s="264" t="b">
        <v>0</v>
      </c>
      <c r="AE44" s="215">
        <f>IFERROR(__xludf.DUMMYFUNCTION(" IFERROR(
IF(AND(Z44=FALSE,AH44 = FALSE),
(FILTER(Monsters!$AQ:$AQ, Monsters!$A:$A = W44 , Monsters!$D:$D  = $T$5, Monsters!$B:$B = ""Master"")
*
FILTER(Monsters!$AL:$AL, Monsters!$A:$A = W44 , Monsters!$D:$D  = $T$5, Monsters!$B:$B = ""Master"")
)
+
(FIL"&amp;"TER(Monsters!$AQ:$AQ, Monsters!$A:$A = W44 , Monsters!$D:$D  = $T$5, Monsters!$B:$B = ""Minion"")
*
FILTER(Monsters!$AL:$AL, Monsters!$A:$A = W44 , Monsters!$D:$D  = $T$5, Monsters!$B:$B = ""Minion"")
)
,)
,
)"),31.200000000000003)</f>
        <v>31.2</v>
      </c>
      <c r="AG44" s="265" t="str">
        <f>IFERROR(__xludf.DUMMYFUNCTION(" IFERROR(
IF(AND(Z44=FALSE,AH44 = FALSE),
CONCATENATE(
FILTER(Monsters!$AL:$AL, Monsters!$A:$A = W44 , Monsters!$D:$D  = $T$5, Monsters!$B:$B = ""Master"")
,
""/""
,
FILTER(Monsters!$AL:$AL, Monsters!$A:$A = W44 , Monsters!$D:$D  = $T$5, Monsters!$B:$B ="&amp;" ""Minion"")
)
,)
)"),"2/8")</f>
        <v>2/8</v>
      </c>
      <c r="AH44" s="214" t="b">
        <v>0</v>
      </c>
      <c r="AI44" s="215">
        <f>IFERROR(__xludf.DUMMYFUNCTION(" IFERROR(
IF(AND(Z44=FALSE,AD44 = FALSE),
(FILTER(Monsters!$AQ:$AQ, Monsters!$A:$A = W44 , Monsters!$D:$D  = $T$5, Monsters!$B:$B = ""Master"")
*
FILTER(Monsters!$AJ:$AJ, Monsters!$A:$A = W44 , Monsters!$D:$D  = $T$5, Monsters!$B:$B = ""Master"")
)
+
(FIL"&amp;"TER(Monsters!$AQ:$AQ, Monsters!$A:$A = W44 , Monsters!$D:$D  = $T$5, Monsters!$B:$B = ""Minion"")
*
FILTER(Monsters!$AJ:$AJ, Monsters!$A:$A = W44 , Monsters!$D:$D  = $T$5, Monsters!$B:$B = ""Minion"")
)
,)
,
)"),26.58666666666667)</f>
        <v>26.58666667</v>
      </c>
      <c r="AK44" s="216" t="str">
        <f>IFERROR(__xludf.DUMMYFUNCTION(" IFERROR(
IF(AND(Z44=FALSE,AD44 = FALSE),
CONCATENATE(
FILTER(Monsters!$AJ:$AJ, Monsters!$A:$A = W44 , Monsters!$D:$D  = $T$5, Monsters!$B:$B = ""Master"")
,
""/""
,
FILTER(Monsters!$AJ:$AJ, Monsters!$A:$A = W44 , Monsters!$D:$D  = $T$5, Monsters!$B:$B = "&amp;"""Minion"")
)
,)
,
)"),"2/4")</f>
        <v>2/4</v>
      </c>
      <c r="AL44" s="83"/>
    </row>
    <row r="45">
      <c r="P45" s="83"/>
      <c r="Q45" s="83"/>
      <c r="R45" s="83"/>
      <c r="S45" s="83"/>
      <c r="T45" s="83"/>
      <c r="U45" s="83"/>
      <c r="V45" s="83"/>
      <c r="W45" s="246" t="s">
        <v>1473</v>
      </c>
      <c r="Z45" s="205" t="b">
        <v>0</v>
      </c>
      <c r="AA45" s="206">
        <f>IFERROR(__xludf.DUMMYFUNCTION(" IFERROR(
IF(AND(AD45=FALSE,AH45 = FALSE),
(FILTER(Monsters!$AQ:$AQ, Monsters!$A:$A = W45 , Monsters!$D:$D  = $T$5, Monsters!$B:$B = ""Master"")
*
FILTER(Monsters!$AN:$AN, Monsters!$A:$A = W45 , Monsters!$D:$D  = $T$5, Monsters!$B:$B = ""Master"")
)
+
(FI"&amp;"LTER(Monsters!$AQ:$AQ, Monsters!$A:$A = W45 , Monsters!$D:$D  = $T$5, Monsters!$B:$B = ""Minion"")
*
FILTER(Monsters!$AN:$AN, Monsters!$A:$A = W45 , Monsters!$D:$D  = $T$5, Monsters!$B:$B = ""Minion"")
)
,)
,
)"),42.98833333333333)</f>
        <v>42.98833333</v>
      </c>
      <c r="AC45" s="207" t="str">
        <f>IFERROR(__xludf.DUMMYFUNCTION(" IFERROR(
IF(AND(AD45=FALSE,AH45 = FALSE),
CONCATENATE(
FILTER(Monsters!$AN:$AN, Monsters!$A:$A = W45 , Monsters!$D:$D  = $T$5, Monsters!$B:$B = ""Master"")
,
""/""
,
FILTER(Monsters!$AN:$AN, Monsters!$A:$A = W45 , Monsters!$D:$D  = $T$5, Monsters!$B:$B "&amp;"= ""Minion"")
)
,)
)"),"1/3")</f>
        <v>1/3</v>
      </c>
      <c r="AD45" s="266" t="b">
        <v>0</v>
      </c>
      <c r="AE45" s="206">
        <f>IFERROR(__xludf.DUMMYFUNCTION(" IFERROR(
IF(AND(Z45=FALSE,AH45 = FALSE),
(FILTER(Monsters!$AQ:$AQ, Monsters!$A:$A = W45 , Monsters!$D:$D  = $T$5, Monsters!$B:$B = ""Master"")
*
FILTER(Monsters!$AL:$AL, Monsters!$A:$A = W45 , Monsters!$D:$D  = $T$5, Monsters!$B:$B = ""Master"")
)
+
(FIL"&amp;"TER(Monsters!$AQ:$AQ, Monsters!$A:$A = W45 , Monsters!$D:$D  = $T$5, Monsters!$B:$B = ""Minion"")
*
FILTER(Monsters!$AL:$AL, Monsters!$A:$A = W45 , Monsters!$D:$D  = $T$5, Monsters!$B:$B = ""Minion"")
)
,)
,
)"),34.959999999999994)</f>
        <v>34.96</v>
      </c>
      <c r="AG45" s="267" t="str">
        <f>IFERROR(__xludf.DUMMYFUNCTION(" IFERROR(
IF(AND(Z45=FALSE,AH45 = FALSE),
CONCATENATE(
FILTER(Monsters!$AL:$AL, Monsters!$A:$A = W45 , Monsters!$D:$D  = $T$5, Monsters!$B:$B = ""Master"")
,
""/""
,
FILTER(Monsters!$AL:$AL, Monsters!$A:$A = W45 , Monsters!$D:$D  = $T$5, Monsters!$B:$B ="&amp;" ""Minion"")
)
,)
)"),"1/2")</f>
        <v>1/2</v>
      </c>
      <c r="AH45" s="205" t="b">
        <v>0</v>
      </c>
      <c r="AI45" s="206">
        <f>IFERROR(__xludf.DUMMYFUNCTION(" IFERROR(
IF(AND(Z45=FALSE,AD45 = FALSE),
(FILTER(Monsters!$AQ:$AQ, Monsters!$A:$A = W45 , Monsters!$D:$D  = $T$5, Monsters!$B:$B = ""Master"")
*
FILTER(Monsters!$AJ:$AJ, Monsters!$A:$A = W45 , Monsters!$D:$D  = $T$5, Monsters!$B:$B = ""Master"")
)
+
(FIL"&amp;"TER(Monsters!$AQ:$AQ, Monsters!$A:$A = W45 , Monsters!$D:$D  = $T$5, Monsters!$B:$B = ""Minion"")
*
FILTER(Monsters!$AJ:$AJ, Monsters!$A:$A = W45 , Monsters!$D:$D  = $T$5, Monsters!$B:$B = ""Minion"")
)
,)
,
)"),26.931666666666665)</f>
        <v>26.93166667</v>
      </c>
      <c r="AK45" s="207" t="str">
        <f>IFERROR(__xludf.DUMMYFUNCTION(" IFERROR(
IF(AND(Z45=FALSE,AD45 = FALSE),
CONCATENATE(
FILTER(Monsters!$AJ:$AJ, Monsters!$A:$A = W45 , Monsters!$D:$D  = $T$5, Monsters!$B:$B = ""Master"")
,
""/""
,
FILTER(Monsters!$AJ:$AJ, Monsters!$A:$A = W45 , Monsters!$D:$D  = $T$5, Monsters!$B:$B = "&amp;"""Minion"")
)
,)
,
)"),"1/1")</f>
        <v>1/1</v>
      </c>
      <c r="AL45" s="83"/>
    </row>
    <row r="46">
      <c r="P46" s="83"/>
      <c r="Q46" s="83"/>
      <c r="R46" s="83"/>
      <c r="S46" s="83"/>
      <c r="T46" s="83"/>
      <c r="U46" s="83"/>
      <c r="V46" s="83"/>
      <c r="W46" s="247" t="s">
        <v>1474</v>
      </c>
      <c r="Z46" s="214" t="b">
        <v>0</v>
      </c>
      <c r="AA46" s="215">
        <f>IFERROR(__xludf.DUMMYFUNCTION(" IFERROR(
IF(AND(AD46=FALSE,AH46 = FALSE),
(FILTER(Monsters!$AQ:$AQ, Monsters!$A:$A = W46 , Monsters!$D:$D  = $T$5, Monsters!$B:$B = ""Master"")
*
FILTER(Monsters!$AN:$AN, Monsters!$A:$A = W46 , Monsters!$D:$D  = $T$5, Monsters!$B:$B = ""Master"")
)
+
(FI"&amp;"LTER(Monsters!$AQ:$AQ, Monsters!$A:$A = W46 , Monsters!$D:$D  = $T$5, Monsters!$B:$B = ""Minion"")
*
FILTER(Monsters!$AN:$AN, Monsters!$A:$A = W46 , Monsters!$D:$D  = $T$5, Monsters!$B:$B = ""Minion"")
)
,)
,
)"),40.36916666666667)</f>
        <v>40.36916667</v>
      </c>
      <c r="AC46" s="216" t="str">
        <f>IFERROR(__xludf.DUMMYFUNCTION(" IFERROR(
IF(AND(AD46=FALSE,AH46 = FALSE),
CONCATENATE(
FILTER(Monsters!$AN:$AN, Monsters!$A:$A = W46 , Monsters!$D:$D  = $T$5, Monsters!$B:$B = ""Master"")
,
""/""
,
FILTER(Monsters!$AN:$AN, Monsters!$A:$A = W46 , Monsters!$D:$D  = $T$5, Monsters!$B:$B "&amp;"= ""Minion"")
)
,)
)"),"1/1")</f>
        <v>1/1</v>
      </c>
      <c r="AD46" s="264" t="b">
        <v>0</v>
      </c>
      <c r="AE46" s="215">
        <f>IFERROR(__xludf.DUMMYFUNCTION(" IFERROR(
IF(AND(Z46=FALSE,AH46 = FALSE),
(FILTER(Monsters!$AQ:$AQ, Monsters!$A:$A = W46 , Monsters!$D:$D  = $T$5, Monsters!$B:$B = ""Master"")
*
FILTER(Monsters!$AL:$AL, Monsters!$A:$A = W46 , Monsters!$D:$D  = $T$5, Monsters!$B:$B = ""Master"")
)
+
(FIL"&amp;"TER(Monsters!$AQ:$AQ, Monsters!$A:$A = W46 , Monsters!$D:$D  = $T$5, Monsters!$B:$B = ""Minion"")
*
FILTER(Monsters!$AL:$AL, Monsters!$A:$A = W46 , Monsters!$D:$D  = $T$5, Monsters!$B:$B = ""Minion"")
)
,)
,
)"),25.278333333333332)</f>
        <v>25.27833333</v>
      </c>
      <c r="AG46" s="265" t="str">
        <f>IFERROR(__xludf.DUMMYFUNCTION(" IFERROR(
IF(AND(Z46=FALSE,AH46 = FALSE),
CONCATENATE(
FILTER(Monsters!$AL:$AL, Monsters!$A:$A = W46 , Monsters!$D:$D  = $T$5, Monsters!$B:$B = ""Master"")
,
""/""
,
FILTER(Monsters!$AL:$AL, Monsters!$A:$A = W46 , Monsters!$D:$D  = $T$5, Monsters!$B:$B ="&amp;" ""Minion"")
)
,)
)"),"1/0")</f>
        <v>1/0</v>
      </c>
      <c r="AH46" s="214" t="b">
        <v>0</v>
      </c>
      <c r="AI46" s="215">
        <f>IFERROR(__xludf.DUMMYFUNCTION(" IFERROR(
IF(AND(Z46=FALSE,AD46 = FALSE),
(FILTER(Monsters!$AQ:$AQ, Monsters!$A:$A = W46 , Monsters!$D:$D  = $T$5, Monsters!$B:$B = ""Master"")
*
FILTER(Monsters!$AJ:$AJ, Monsters!$A:$A = W46 , Monsters!$D:$D  = $T$5, Monsters!$B:$B = ""Master"")
)
+
(FIL"&amp;"TER(Monsters!$AQ:$AQ, Monsters!$A:$A = W46 , Monsters!$D:$D  = $T$5, Monsters!$B:$B = ""Minion"")
*
FILTER(Monsters!$AJ:$AJ, Monsters!$A:$A = W46 , Monsters!$D:$D  = $T$5, Monsters!$B:$B = ""Minion"")
)
,)
,
)"),15.090833333333336)</f>
        <v>15.09083333</v>
      </c>
      <c r="AK46" s="216" t="str">
        <f>IFERROR(__xludf.DUMMYFUNCTION(" IFERROR(
IF(AND(Z46=FALSE,AD46 = FALSE),
CONCATENATE(
FILTER(Monsters!$AJ:$AJ, Monsters!$A:$A = W46 , Monsters!$D:$D  = $T$5, Monsters!$B:$B = ""Master"")
,
""/""
,
FILTER(Monsters!$AJ:$AJ, Monsters!$A:$A = W46 , Monsters!$D:$D  = $T$5, Monsters!$B:$B = "&amp;"""Minion"")
)
,)
,
)"),"0/1")</f>
        <v>0/1</v>
      </c>
      <c r="AL46" s="83"/>
    </row>
    <row r="47">
      <c r="P47" s="83"/>
      <c r="Q47" s="83"/>
      <c r="R47" s="83"/>
      <c r="S47" s="83"/>
      <c r="T47" s="83"/>
      <c r="U47" s="83"/>
      <c r="V47" s="83"/>
      <c r="W47" s="246" t="s">
        <v>1475</v>
      </c>
      <c r="Z47" s="205" t="b">
        <v>0</v>
      </c>
      <c r="AA47" s="206">
        <f>IFERROR(__xludf.DUMMYFUNCTION(" IFERROR(
IF(AND(AD47=FALSE,AH47 = FALSE),
(FILTER(Monsters!$AQ:$AQ, Monsters!$A:$A = W47 , Monsters!$D:$D  = $T$5, Monsters!$B:$B = ""Master"")
*
FILTER(Monsters!$AN:$AN, Monsters!$A:$A = W47 , Monsters!$D:$D  = $T$5, Monsters!$B:$B = ""Master"")
)
+
(FI"&amp;"LTER(Monsters!$AQ:$AQ, Monsters!$A:$A = W47 , Monsters!$D:$D  = $T$5, Monsters!$B:$B = ""Minion"")
*
FILTER(Monsters!$AN:$AN, Monsters!$A:$A = W47 , Monsters!$D:$D  = $T$5, Monsters!$B:$B = ""Minion"")
)
,)
,
)"),23.366666666666667)</f>
        <v>23.36666667</v>
      </c>
      <c r="AC47" s="207" t="str">
        <f>IFERROR(__xludf.DUMMYFUNCTION(" IFERROR(
IF(AND(AD47=FALSE,AH47 = FALSE),
CONCATENATE(
FILTER(Monsters!$AN:$AN, Monsters!$A:$A = W47 , Monsters!$D:$D  = $T$5, Monsters!$B:$B = ""Master"")
,
""/""
,
FILTER(Monsters!$AN:$AN, Monsters!$A:$A = W47 , Monsters!$D:$D  = $T$5, Monsters!$B:$B "&amp;"= ""Minion"")
)
,)
)"),"1/4")</f>
        <v>1/4</v>
      </c>
      <c r="AD47" s="266" t="b">
        <v>0</v>
      </c>
      <c r="AE47" s="206">
        <f>IFERROR(__xludf.DUMMYFUNCTION(" IFERROR(
IF(AND(Z47=FALSE,AH47 = FALSE),
(FILTER(Monsters!$AQ:$AQ, Monsters!$A:$A = W47 , Monsters!$D:$D  = $T$5, Monsters!$B:$B = ""Master"")
*
FILTER(Monsters!$AL:$AL, Monsters!$A:$A = W47 , Monsters!$D:$D  = $T$5, Monsters!$B:$B = ""Master"")
)
+
(FIL"&amp;"TER(Monsters!$AQ:$AQ, Monsters!$A:$A = W47 , Monsters!$D:$D  = $T$5, Monsters!$B:$B = ""Minion"")
*
FILTER(Monsters!$AL:$AL, Monsters!$A:$A = W47 , Monsters!$D:$D  = $T$5, Monsters!$B:$B = ""Minion"")
)
,)
,
)"),20.12666666666667)</f>
        <v>20.12666667</v>
      </c>
      <c r="AG47" s="267" t="str">
        <f>IFERROR(__xludf.DUMMYFUNCTION(" IFERROR(
IF(AND(Z47=FALSE,AH47 = FALSE),
CONCATENATE(
FILTER(Monsters!$AL:$AL, Monsters!$A:$A = W47 , Monsters!$D:$D  = $T$5, Monsters!$B:$B = ""Master"")
,
""/""
,
FILTER(Monsters!$AL:$AL, Monsters!$A:$A = W47 , Monsters!$D:$D  = $T$5, Monsters!$B:$B ="&amp;" ""Minion"")
)
,)
)"),"1/3")</f>
        <v>1/3</v>
      </c>
      <c r="AH47" s="205" t="b">
        <v>0</v>
      </c>
      <c r="AI47" s="206">
        <f>IFERROR(__xludf.DUMMYFUNCTION(" IFERROR(
IF(AND(Z47=FALSE,AD47 = FALSE),
(FILTER(Monsters!$AQ:$AQ, Monsters!$A:$A = W47 , Monsters!$D:$D  = $T$5, Monsters!$B:$B = ""Master"")
*
FILTER(Monsters!$AJ:$AJ, Monsters!$A:$A = W47 , Monsters!$D:$D  = $T$5, Monsters!$B:$B = ""Master"")
)
+
(FIL"&amp;"TER(Monsters!$AQ:$AQ, Monsters!$A:$A = W47 , Monsters!$D:$D  = $T$5, Monsters!$B:$B = ""Minion"")
*
FILTER(Monsters!$AJ:$AJ, Monsters!$A:$A = W47 , Monsters!$D:$D  = $T$5, Monsters!$B:$B = ""Minion"")
)
,)
,
)"),16.88666666666667)</f>
        <v>16.88666667</v>
      </c>
      <c r="AK47" s="207" t="str">
        <f>IFERROR(__xludf.DUMMYFUNCTION(" IFERROR(
IF(AND(Z47=FALSE,AD47 = FALSE),
CONCATENATE(
FILTER(Monsters!$AJ:$AJ, Monsters!$A:$A = W47 , Monsters!$D:$D  = $T$5, Monsters!$B:$B = ""Master"")
,
""/""
,
FILTER(Monsters!$AJ:$AJ, Monsters!$A:$A = W47 , Monsters!$D:$D  = $T$5, Monsters!$B:$B = "&amp;"""Minion"")
)
,)
,
)"),"1/2")</f>
        <v>1/2</v>
      </c>
      <c r="AL47" s="83"/>
    </row>
    <row r="48">
      <c r="P48" s="83"/>
      <c r="Q48" s="83"/>
      <c r="R48" s="83"/>
      <c r="S48" s="83"/>
      <c r="T48" s="83"/>
      <c r="U48" s="83"/>
      <c r="V48" s="83"/>
      <c r="W48" s="247"/>
      <c r="Z48" s="214" t="b">
        <v>0</v>
      </c>
      <c r="AA48" s="215" t="str">
        <f>IFERROR(__xludf.DUMMYFUNCTION(" IFERROR(
IF(AND(AD48=FALSE,AH48 = FALSE),
(FILTER(Monsters!$AQ:$AQ, Monsters!$A:$A = W48 , Monsters!$D:$D  = $T$5, Monsters!$B:$B = ""Master"")
*
FILTER(Monsters!$AN:$AN, Monsters!$A:$A = W48 , Monsters!$D:$D  = $T$5, Monsters!$B:$B = ""Master"")
)
+
(FI"&amp;"LTER(Monsters!$AQ:$AQ, Monsters!$A:$A = W48 , Monsters!$D:$D  = $T$5, Monsters!$B:$B = ""Minion"")
*
FILTER(Monsters!$AN:$AN, Monsters!$A:$A = W48 , Monsters!$D:$D  = $T$5, Monsters!$B:$B = ""Minion"")
)
,)
,
)"),"")</f>
        <v/>
      </c>
      <c r="AC48" s="216" t="str">
        <f>IFERROR(__xludf.DUMMYFUNCTION(" IFERROR(
IF(AND(AD48=FALSE,AH48 = FALSE),
CONCATENATE(
FILTER(Monsters!$AN:$AN, Monsters!$A:$A = W48 , Monsters!$D:$D  = $T$5, Monsters!$B:$B = ""Master"")
,
""/""
,
FILTER(Monsters!$AN:$AN, Monsters!$A:$A = W48 , Monsters!$D:$D  = $T$5, Monsters!$B:$B "&amp;"= ""Minion"")
)
,)
)"),"")</f>
        <v/>
      </c>
      <c r="AD48" s="264" t="b">
        <v>0</v>
      </c>
      <c r="AE48" s="215" t="str">
        <f>IFERROR(__xludf.DUMMYFUNCTION(" IFERROR(
IF(AND(Z48=FALSE,AH48 = FALSE),
(FILTER(Monsters!$AQ:$AQ, Monsters!$A:$A = W48 , Monsters!$D:$D  = $T$5, Monsters!$B:$B = ""Master"")
*
FILTER(Monsters!$AL:$AL, Monsters!$A:$A = W48 , Monsters!$D:$D  = $T$5, Monsters!$B:$B = ""Master"")
)
+
(FIL"&amp;"TER(Monsters!$AQ:$AQ, Monsters!$A:$A = W48 , Monsters!$D:$D  = $T$5, Monsters!$B:$B = ""Minion"")
*
FILTER(Monsters!$AL:$AL, Monsters!$A:$A = W48 , Monsters!$D:$D  = $T$5, Monsters!$B:$B = ""Minion"")
)
,)
,
)"),"")</f>
        <v/>
      </c>
      <c r="AG48" s="265" t="str">
        <f>IFERROR(__xludf.DUMMYFUNCTION(" IFERROR(
IF(AND(Z48=FALSE,AH48 = FALSE),
CONCATENATE(
FILTER(Monsters!$AL:$AL, Monsters!$A:$A = W48 , Monsters!$D:$D  = $T$5, Monsters!$B:$B = ""Master"")
,
""/""
,
FILTER(Monsters!$AL:$AL, Monsters!$A:$A = W48 , Monsters!$D:$D  = $T$5, Monsters!$B:$B ="&amp;" ""Minion"")
)
,)
)"),"")</f>
        <v/>
      </c>
      <c r="AH48" s="214" t="b">
        <v>0</v>
      </c>
      <c r="AI48" s="215" t="str">
        <f>IFERROR(__xludf.DUMMYFUNCTION(" IFERROR(
IF(AND(Z48=FALSE,AD48 = FALSE),
(FILTER(Monsters!$AQ:$AQ, Monsters!$A:$A = W48 , Monsters!$D:$D  = $T$5, Monsters!$B:$B = ""Master"")
*
FILTER(Monsters!$AJ:$AJ, Monsters!$A:$A = W48 , Monsters!$D:$D  = $T$5, Monsters!$B:$B = ""Master"")
)
+
(FIL"&amp;"TER(Monsters!$AQ:$AQ, Monsters!$A:$A = W48 , Monsters!$D:$D  = $T$5, Monsters!$B:$B = ""Minion"")
*
FILTER(Monsters!$AJ:$AJ, Monsters!$A:$A = W48 , Monsters!$D:$D  = $T$5, Monsters!$B:$B = ""Minion"")
)
,)
,
)"),"")</f>
        <v/>
      </c>
      <c r="AK48" s="216" t="str">
        <f>IFERROR(__xludf.DUMMYFUNCTION(" IFERROR(
IF(AND(Z48=FALSE,AD48 = FALSE),
CONCATENATE(
FILTER(Monsters!$AJ:$AJ, Monsters!$A:$A = W48 , Monsters!$D:$D  = $T$5, Monsters!$B:$B = ""Master"")
,
""/""
,
FILTER(Monsters!$AJ:$AJ, Monsters!$A:$A = W48 , Monsters!$D:$D  = $T$5, Monsters!$B:$B = "&amp;"""Minion"")
)
,)
,
)"),"")</f>
        <v/>
      </c>
      <c r="AL48" s="83"/>
    </row>
    <row r="49">
      <c r="P49" s="83"/>
      <c r="Q49" s="83"/>
      <c r="R49" s="83"/>
      <c r="S49" s="83"/>
      <c r="T49" s="83"/>
      <c r="U49" s="83"/>
      <c r="V49" s="83"/>
      <c r="W49" s="246"/>
      <c r="Z49" s="205" t="b">
        <v>0</v>
      </c>
      <c r="AA49" s="206" t="str">
        <f>IFERROR(__xludf.DUMMYFUNCTION(" IFERROR(
IF(AND(AD49=FALSE,AH49 = FALSE),
(FILTER(Monsters!$AQ:$AQ, Monsters!$A:$A = W49 , Monsters!$D:$D  = $T$5, Monsters!$B:$B = ""Master"")
*
FILTER(Monsters!$AN:$AN, Monsters!$A:$A = W49 , Monsters!$D:$D  = $T$5, Monsters!$B:$B = ""Master"")
)
+
(FI"&amp;"LTER(Monsters!$AQ:$AQ, Monsters!$A:$A = W49 , Monsters!$D:$D  = $T$5, Monsters!$B:$B = ""Minion"")
*
FILTER(Monsters!$AN:$AN, Monsters!$A:$A = W49 , Monsters!$D:$D  = $T$5, Monsters!$B:$B = ""Minion"")
)
,)
,
)"),"")</f>
        <v/>
      </c>
      <c r="AC49" s="207" t="str">
        <f>IFERROR(__xludf.DUMMYFUNCTION(" IFERROR(
IF(AND(AD49=FALSE,AH49 = FALSE),
CONCATENATE(
FILTER(Monsters!$AN:$AN, Monsters!$A:$A = W49 , Monsters!$D:$D  = $T$5, Monsters!$B:$B = ""Master"")
,
""/""
,
FILTER(Monsters!$AN:$AN, Monsters!$A:$A = W49 , Monsters!$D:$D  = $T$5, Monsters!$B:$B "&amp;"= ""Minion"")
)
,)
)"),"")</f>
        <v/>
      </c>
      <c r="AD49" s="266" t="b">
        <v>0</v>
      </c>
      <c r="AE49" s="206" t="str">
        <f>IFERROR(__xludf.DUMMYFUNCTION(" IFERROR(
IF(AND(Z49=FALSE,AH49 = FALSE),
(FILTER(Monsters!$AQ:$AQ, Monsters!$A:$A = W49 , Monsters!$D:$D  = $T$5, Monsters!$B:$B = ""Master"")
*
FILTER(Monsters!$AL:$AL, Monsters!$A:$A = W49 , Monsters!$D:$D  = $T$5, Monsters!$B:$B = ""Master"")
)
+
(FIL"&amp;"TER(Monsters!$AQ:$AQ, Monsters!$A:$A = W49 , Monsters!$D:$D  = $T$5, Monsters!$B:$B = ""Minion"")
*
FILTER(Monsters!$AL:$AL, Monsters!$A:$A = W49 , Monsters!$D:$D  = $T$5, Monsters!$B:$B = ""Minion"")
)
,)
,
)"),"")</f>
        <v/>
      </c>
      <c r="AG49" s="267" t="str">
        <f>IFERROR(__xludf.DUMMYFUNCTION(" IFERROR(
IF(AND(Z49=FALSE,AH49 = FALSE),
CONCATENATE(
FILTER(Monsters!$AL:$AL, Monsters!$A:$A = W49 , Monsters!$D:$D  = $T$5, Monsters!$B:$B = ""Master"")
,
""/""
,
FILTER(Monsters!$AL:$AL, Monsters!$A:$A = W49 , Monsters!$D:$D  = $T$5, Monsters!$B:$B ="&amp;" ""Minion"")
)
,)
)"),"")</f>
        <v/>
      </c>
      <c r="AH49" s="205" t="b">
        <v>0</v>
      </c>
      <c r="AI49" s="206" t="str">
        <f>IFERROR(__xludf.DUMMYFUNCTION(" IFERROR(
IF(AND(Z49=FALSE,AD49 = FALSE),
(FILTER(Monsters!$AQ:$AQ, Monsters!$A:$A = W49 , Monsters!$D:$D  = $T$5, Monsters!$B:$B = ""Master"")
*
FILTER(Monsters!$AJ:$AJ, Monsters!$A:$A = W49 , Monsters!$D:$D  = $T$5, Monsters!$B:$B = ""Master"")
)
+
(FIL"&amp;"TER(Monsters!$AQ:$AQ, Monsters!$A:$A = W49 , Monsters!$D:$D  = $T$5, Monsters!$B:$B = ""Minion"")
*
FILTER(Monsters!$AJ:$AJ, Monsters!$A:$A = W49 , Monsters!$D:$D  = $T$5, Monsters!$B:$B = ""Minion"")
)
,)
,
)"),"")</f>
        <v/>
      </c>
      <c r="AK49" s="207" t="str">
        <f>IFERROR(__xludf.DUMMYFUNCTION(" IFERROR(
IF(AND(Z49=FALSE,AD49 = FALSE),
CONCATENATE(
FILTER(Monsters!$AJ:$AJ, Monsters!$A:$A = W49 , Monsters!$D:$D  = $T$5, Monsters!$B:$B = ""Master"")
,
""/""
,
FILTER(Monsters!$AJ:$AJ, Monsters!$A:$A = W49 , Monsters!$D:$D  = $T$5, Monsters!$B:$B = "&amp;"""Minion"")
)
,)
,
)"),"")</f>
        <v/>
      </c>
      <c r="AL49" s="83"/>
    </row>
    <row r="50">
      <c r="P50" s="83"/>
      <c r="Q50" s="83"/>
      <c r="R50" s="83"/>
      <c r="S50" s="83"/>
      <c r="T50" s="83"/>
      <c r="U50" s="83"/>
      <c r="V50" s="83"/>
      <c r="W50" s="247"/>
      <c r="Z50" s="214" t="b">
        <v>0</v>
      </c>
      <c r="AA50" s="215" t="str">
        <f>IFERROR(__xludf.DUMMYFUNCTION(" IFERROR(
IF(AND(AD50=FALSE,AH50 = FALSE),
(FILTER(Monsters!$AQ:$AQ, Monsters!$A:$A = W50 , Monsters!$D:$D  = $T$5, Monsters!$B:$B = ""Master"")
*
FILTER(Monsters!$AN:$AN, Monsters!$A:$A = W50 , Monsters!$D:$D  = $T$5, Monsters!$B:$B = ""Master"")
)
+
(FI"&amp;"LTER(Monsters!$AQ:$AQ, Monsters!$A:$A = W50 , Monsters!$D:$D  = $T$5, Monsters!$B:$B = ""Minion"")
*
FILTER(Monsters!$AN:$AN, Monsters!$A:$A = W50 , Monsters!$D:$D  = $T$5, Monsters!$B:$B = ""Minion"")
)
,)
,
)"),"")</f>
        <v/>
      </c>
      <c r="AC50" s="216" t="str">
        <f>IFERROR(__xludf.DUMMYFUNCTION(" IFERROR(
IF(AND(AD50=FALSE,AH50 = FALSE),
CONCATENATE(
FILTER(Monsters!$AN:$AN, Monsters!$A:$A = W50 , Monsters!$D:$D  = $T$5, Monsters!$B:$B = ""Master"")
,
""/""
,
FILTER(Monsters!$AN:$AN, Monsters!$A:$A = W50 , Monsters!$D:$D  = $T$5, Monsters!$B:$B "&amp;"= ""Minion"")
)
,)
)"),"")</f>
        <v/>
      </c>
      <c r="AD50" s="264" t="b">
        <v>0</v>
      </c>
      <c r="AE50" s="215" t="str">
        <f>IFERROR(__xludf.DUMMYFUNCTION(" IFERROR(
IF(AND(Z50=FALSE,AH50 = FALSE),
(FILTER(Monsters!$AQ:$AQ, Monsters!$A:$A = W50 , Monsters!$D:$D  = $T$5, Monsters!$B:$B = ""Master"")
*
FILTER(Monsters!$AL:$AL, Monsters!$A:$A = W50 , Monsters!$D:$D  = $T$5, Monsters!$B:$B = ""Master"")
)
+
(FIL"&amp;"TER(Monsters!$AQ:$AQ, Monsters!$A:$A = W50 , Monsters!$D:$D  = $T$5, Monsters!$B:$B = ""Minion"")
*
FILTER(Monsters!$AL:$AL, Monsters!$A:$A = W50 , Monsters!$D:$D  = $T$5, Monsters!$B:$B = ""Minion"")
)
,)
,
)"),"")</f>
        <v/>
      </c>
      <c r="AG50" s="265" t="str">
        <f>IFERROR(__xludf.DUMMYFUNCTION(" IFERROR(
IF(AND(Z50=FALSE,AH50 = FALSE),
CONCATENATE(
FILTER(Monsters!$AL:$AL, Monsters!$A:$A = W50 , Monsters!$D:$D  = $T$5, Monsters!$B:$B = ""Master"")
,
""/""
,
FILTER(Monsters!$AL:$AL, Monsters!$A:$A = W50 , Monsters!$D:$D  = $T$5, Monsters!$B:$B ="&amp;" ""Minion"")
)
,)
)"),"")</f>
        <v/>
      </c>
      <c r="AH50" s="214" t="b">
        <v>0</v>
      </c>
      <c r="AI50" s="215" t="str">
        <f>IFERROR(__xludf.DUMMYFUNCTION(" IFERROR(
IF(AND(Z50=FALSE,AD50 = FALSE),
(FILTER(Monsters!$AQ:$AQ, Monsters!$A:$A = W50 , Monsters!$D:$D  = $T$5, Monsters!$B:$B = ""Master"")
*
FILTER(Monsters!$AJ:$AJ, Monsters!$A:$A = W50 , Monsters!$D:$D  = $T$5, Monsters!$B:$B = ""Master"")
)
+
(FIL"&amp;"TER(Monsters!$AQ:$AQ, Monsters!$A:$A = W50 , Monsters!$D:$D  = $T$5, Monsters!$B:$B = ""Minion"")
*
FILTER(Monsters!$AJ:$AJ, Monsters!$A:$A = W50 , Monsters!$D:$D  = $T$5, Monsters!$B:$B = ""Minion"")
)
,)
,
)"),"")</f>
        <v/>
      </c>
      <c r="AK50" s="216" t="str">
        <f>IFERROR(__xludf.DUMMYFUNCTION(" IFERROR(
IF(AND(Z50=FALSE,AD50 = FALSE),
CONCATENATE(
FILTER(Monsters!$AJ:$AJ, Monsters!$A:$A = W50 , Monsters!$D:$D  = $T$5, Monsters!$B:$B = ""Master"")
,
""/""
,
FILTER(Monsters!$AJ:$AJ, Monsters!$A:$A = W50 , Monsters!$D:$D  = $T$5, Monsters!$B:$B = "&amp;"""Minion"")
)
,)
,
)"),"")</f>
        <v/>
      </c>
      <c r="AL50" s="83"/>
    </row>
    <row r="51">
      <c r="P51" s="83"/>
      <c r="Q51" s="83"/>
      <c r="R51" s="83"/>
      <c r="S51" s="83"/>
      <c r="T51" s="83"/>
      <c r="U51" s="83"/>
      <c r="V51" s="83"/>
      <c r="W51" s="246"/>
      <c r="Z51" s="205" t="b">
        <v>0</v>
      </c>
      <c r="AA51" s="206" t="str">
        <f>IFERROR(__xludf.DUMMYFUNCTION(" IFERROR(
IF(AND(AD51=FALSE,AH51 = FALSE),
(FILTER(Monsters!$AQ:$AQ, Monsters!$A:$A = W51 , Monsters!$D:$D  = $T$5, Monsters!$B:$B = ""Master"")
*
FILTER(Monsters!$AN:$AN, Monsters!$A:$A = W51 , Monsters!$D:$D  = $T$5, Monsters!$B:$B = ""Master"")
)
+
(FI"&amp;"LTER(Monsters!$AQ:$AQ, Monsters!$A:$A = W51 , Monsters!$D:$D  = $T$5, Monsters!$B:$B = ""Minion"")
*
FILTER(Monsters!$AN:$AN, Monsters!$A:$A = W51 , Monsters!$D:$D  = $T$5, Monsters!$B:$B = ""Minion"")
)
,)
,
)"),"")</f>
        <v/>
      </c>
      <c r="AC51" s="207" t="str">
        <f>IFERROR(__xludf.DUMMYFUNCTION(" IFERROR(
IF(AND(AD51=FALSE,AH51 = FALSE),
CONCATENATE(
FILTER(Monsters!$AN:$AN, Monsters!$A:$A = W51 , Monsters!$D:$D  = $T$5, Monsters!$B:$B = ""Master"")
,
""/""
,
FILTER(Monsters!$AN:$AN, Monsters!$A:$A = W51 , Monsters!$D:$D  = $T$5, Monsters!$B:$B "&amp;"= ""Minion"")
)
,)
)"),"")</f>
        <v/>
      </c>
      <c r="AD51" s="266" t="b">
        <v>0</v>
      </c>
      <c r="AE51" s="206" t="str">
        <f>IFERROR(__xludf.DUMMYFUNCTION(" IFERROR(
IF(AND(Z51=FALSE,AH51 = FALSE),
(FILTER(Monsters!$AQ:$AQ, Monsters!$A:$A = W51 , Monsters!$D:$D  = $T$5, Monsters!$B:$B = ""Master"")
*
FILTER(Monsters!$AL:$AL, Monsters!$A:$A = W51 , Monsters!$D:$D  = $T$5, Monsters!$B:$B = ""Master"")
)
+
(FIL"&amp;"TER(Monsters!$AQ:$AQ, Monsters!$A:$A = W51 , Monsters!$D:$D  = $T$5, Monsters!$B:$B = ""Minion"")
*
FILTER(Monsters!$AL:$AL, Monsters!$A:$A = W51 , Monsters!$D:$D  = $T$5, Monsters!$B:$B = ""Minion"")
)
,)
,
)"),"")</f>
        <v/>
      </c>
      <c r="AG51" s="267" t="str">
        <f>IFERROR(__xludf.DUMMYFUNCTION(" IFERROR(
IF(AND(Z51=FALSE,AH51 = FALSE),
CONCATENATE(
FILTER(Monsters!$AL:$AL, Monsters!$A:$A = W51 , Monsters!$D:$D  = $T$5, Monsters!$B:$B = ""Master"")
,
""/""
,
FILTER(Monsters!$AL:$AL, Monsters!$A:$A = W51 , Monsters!$D:$D  = $T$5, Monsters!$B:$B ="&amp;" ""Minion"")
)
,)
)"),"")</f>
        <v/>
      </c>
      <c r="AH51" s="205" t="b">
        <v>0</v>
      </c>
      <c r="AI51" s="206" t="str">
        <f>IFERROR(__xludf.DUMMYFUNCTION(" IFERROR(
IF(AND(Z51=FALSE,AD51 = FALSE),
(FILTER(Monsters!$AQ:$AQ, Monsters!$A:$A = W51 , Monsters!$D:$D  = $T$5, Monsters!$B:$B = ""Master"")
*
FILTER(Monsters!$AJ:$AJ, Monsters!$A:$A = W51 , Monsters!$D:$D  = $T$5, Monsters!$B:$B = ""Master"")
)
+
(FIL"&amp;"TER(Monsters!$AQ:$AQ, Monsters!$A:$A = W51 , Monsters!$D:$D  = $T$5, Monsters!$B:$B = ""Minion"")
*
FILTER(Monsters!$AJ:$AJ, Monsters!$A:$A = W51 , Monsters!$D:$D  = $T$5, Monsters!$B:$B = ""Minion"")
)
,)
,
)"),"")</f>
        <v/>
      </c>
      <c r="AK51" s="207" t="str">
        <f>IFERROR(__xludf.DUMMYFUNCTION(" IFERROR(
IF(AND(Z51=FALSE,AD51 = FALSE),
CONCATENATE(
FILTER(Monsters!$AJ:$AJ, Monsters!$A:$A = W51 , Monsters!$D:$D  = $T$5, Monsters!$B:$B = ""Master"")
,
""/""
,
FILTER(Monsters!$AJ:$AJ, Monsters!$A:$A = W51 , Monsters!$D:$D  = $T$5, Monsters!$B:$B = "&amp;"""Minion"")
)
,)
,
)"),"")</f>
        <v/>
      </c>
      <c r="AL51" s="83"/>
    </row>
    <row r="52">
      <c r="P52" s="83"/>
      <c r="Q52" s="83"/>
      <c r="R52" s="83"/>
      <c r="S52" s="83"/>
      <c r="T52" s="83"/>
      <c r="U52" s="83"/>
      <c r="V52" s="83"/>
      <c r="W52" s="247"/>
      <c r="Z52" s="214" t="b">
        <v>0</v>
      </c>
      <c r="AA52" s="215" t="str">
        <f>IFERROR(__xludf.DUMMYFUNCTION(" IFERROR(
IF(AND(AD52=FALSE,AH52 = FALSE),
(FILTER(Monsters!$AQ:$AQ, Monsters!$A:$A = W52 , Monsters!$D:$D  = $T$5, Monsters!$B:$B = ""Master"")
*
FILTER(Monsters!$AN:$AN, Monsters!$A:$A = W52 , Monsters!$D:$D  = $T$5, Monsters!$B:$B = ""Master"")
)
+
(FI"&amp;"LTER(Monsters!$AQ:$AQ, Monsters!$A:$A = W52 , Monsters!$D:$D  = $T$5, Monsters!$B:$B = ""Minion"")
*
FILTER(Monsters!$AN:$AN, Monsters!$A:$A = W52 , Monsters!$D:$D  = $T$5, Monsters!$B:$B = ""Minion"")
)
,)
,
)"),"")</f>
        <v/>
      </c>
      <c r="AC52" s="216" t="str">
        <f>IFERROR(__xludf.DUMMYFUNCTION(" IFERROR(
IF(AND(AD52=FALSE,AH52 = FALSE),
CONCATENATE(
FILTER(Monsters!$AN:$AN, Monsters!$A:$A = W52 , Monsters!$D:$D  = $T$5, Monsters!$B:$B = ""Master"")
,
""/""
,
FILTER(Monsters!$AN:$AN, Monsters!$A:$A = W52 , Monsters!$D:$D  = $T$5, Monsters!$B:$B "&amp;"= ""Minion"")
)
,)
)"),"")</f>
        <v/>
      </c>
      <c r="AD52" s="264" t="b">
        <v>0</v>
      </c>
      <c r="AE52" s="215" t="str">
        <f>IFERROR(__xludf.DUMMYFUNCTION(" IFERROR(
IF(AND(Z52=FALSE,AH52 = FALSE),
(FILTER(Monsters!$AQ:$AQ, Monsters!$A:$A = W52 , Monsters!$D:$D  = $T$5, Monsters!$B:$B = ""Master"")
*
FILTER(Monsters!$AL:$AL, Monsters!$A:$A = W52 , Monsters!$D:$D  = $T$5, Monsters!$B:$B = ""Master"")
)
+
(FIL"&amp;"TER(Monsters!$AQ:$AQ, Monsters!$A:$A = W52 , Monsters!$D:$D  = $T$5, Monsters!$B:$B = ""Minion"")
*
FILTER(Monsters!$AL:$AL, Monsters!$A:$A = W52 , Monsters!$D:$D  = $T$5, Monsters!$B:$B = ""Minion"")
)
,)
,
)"),"")</f>
        <v/>
      </c>
      <c r="AG52" s="265" t="str">
        <f>IFERROR(__xludf.DUMMYFUNCTION(" IFERROR(
IF(AND(Z52=FALSE,AH52 = FALSE),
CONCATENATE(
FILTER(Monsters!$AL:$AL, Monsters!$A:$A = W52 , Monsters!$D:$D  = $T$5, Monsters!$B:$B = ""Master"")
,
""/""
,
FILTER(Monsters!$AL:$AL, Monsters!$A:$A = W52 , Monsters!$D:$D  = $T$5, Monsters!$B:$B ="&amp;" ""Minion"")
)
,)
)"),"")</f>
        <v/>
      </c>
      <c r="AH52" s="214" t="b">
        <v>0</v>
      </c>
      <c r="AI52" s="215" t="str">
        <f>IFERROR(__xludf.DUMMYFUNCTION(" IFERROR(
IF(AND(Z52=FALSE,AD52 = FALSE),
(FILTER(Monsters!$AQ:$AQ, Monsters!$A:$A = W52 , Monsters!$D:$D  = $T$5, Monsters!$B:$B = ""Master"")
*
FILTER(Monsters!$AJ:$AJ, Monsters!$A:$A = W52 , Monsters!$D:$D  = $T$5, Monsters!$B:$B = ""Master"")
)
+
(FIL"&amp;"TER(Monsters!$AQ:$AQ, Monsters!$A:$A = W52 , Monsters!$D:$D  = $T$5, Monsters!$B:$B = ""Minion"")
*
FILTER(Monsters!$AJ:$AJ, Monsters!$A:$A = W52 , Monsters!$D:$D  = $T$5, Monsters!$B:$B = ""Minion"")
)
,)
,
)"),"")</f>
        <v/>
      </c>
      <c r="AK52" s="216" t="str">
        <f>IFERROR(__xludf.DUMMYFUNCTION(" IFERROR(
IF(AND(Z52=FALSE,AD52 = FALSE),
CONCATENATE(
FILTER(Monsters!$AJ:$AJ, Monsters!$A:$A = W52 , Monsters!$D:$D  = $T$5, Monsters!$B:$B = ""Master"")
,
""/""
,
FILTER(Monsters!$AJ:$AJ, Monsters!$A:$A = W52 , Monsters!$D:$D  = $T$5, Monsters!$B:$B = "&amp;"""Minion"")
)
,)
,
)"),"")</f>
        <v/>
      </c>
      <c r="AL52" s="83"/>
    </row>
    <row r="53">
      <c r="P53" s="83"/>
      <c r="Q53" s="83"/>
      <c r="R53" s="83"/>
      <c r="S53" s="83"/>
      <c r="T53" s="83"/>
      <c r="U53" s="83"/>
      <c r="V53" s="83"/>
      <c r="W53" s="246"/>
      <c r="Z53" s="205" t="b">
        <v>0</v>
      </c>
      <c r="AA53" s="206" t="str">
        <f>IFERROR(__xludf.DUMMYFUNCTION(" IFERROR(
IF(AND(AD53=FALSE,AH53 = FALSE),
(FILTER(Monsters!$AQ:$AQ, Monsters!$A:$A = W53 , Monsters!$D:$D  = $T$5, Monsters!$B:$B = ""Master"")
*
FILTER(Monsters!$AN:$AN, Monsters!$A:$A = W53 , Monsters!$D:$D  = $T$5, Monsters!$B:$B = ""Master"")
)
+
(FI"&amp;"LTER(Monsters!$AQ:$AQ, Monsters!$A:$A = W53 , Monsters!$D:$D  = $T$5, Monsters!$B:$B = ""Minion"")
*
FILTER(Monsters!$AN:$AN, Monsters!$A:$A = W53 , Monsters!$D:$D  = $T$5, Monsters!$B:$B = ""Minion"")
)
,)
,
)"),"")</f>
        <v/>
      </c>
      <c r="AC53" s="207" t="str">
        <f>IFERROR(__xludf.DUMMYFUNCTION(" IFERROR(
IF(AND(AD53=FALSE,AH53 = FALSE),
CONCATENATE(
FILTER(Monsters!$AN:$AN, Monsters!$A:$A = W53 , Monsters!$D:$D  = $T$5, Monsters!$B:$B = ""Master"")
,
""/""
,
FILTER(Monsters!$AN:$AN, Monsters!$A:$A = W53 , Monsters!$D:$D  = $T$5, Monsters!$B:$B "&amp;"= ""Minion"")
)
,)
)"),"")</f>
        <v/>
      </c>
      <c r="AD53" s="266" t="b">
        <v>0</v>
      </c>
      <c r="AE53" s="206" t="str">
        <f>IFERROR(__xludf.DUMMYFUNCTION(" IFERROR(
IF(AND(Z53=FALSE,AH53 = FALSE),
(FILTER(Monsters!$AQ:$AQ, Monsters!$A:$A = W53 , Monsters!$D:$D  = $T$5, Monsters!$B:$B = ""Master"")
*
FILTER(Monsters!$AL:$AL, Monsters!$A:$A = W53 , Monsters!$D:$D  = $T$5, Monsters!$B:$B = ""Master"")
)
+
(FIL"&amp;"TER(Monsters!$AQ:$AQ, Monsters!$A:$A = W53 , Monsters!$D:$D  = $T$5, Monsters!$B:$B = ""Minion"")
*
FILTER(Monsters!$AL:$AL, Monsters!$A:$A = W53 , Monsters!$D:$D  = $T$5, Monsters!$B:$B = ""Minion"")
)
,)
,
)"),"")</f>
        <v/>
      </c>
      <c r="AG53" s="267" t="str">
        <f>IFERROR(__xludf.DUMMYFUNCTION(" IFERROR(
IF(AND(Z53=FALSE,AH53 = FALSE),
CONCATENATE(
FILTER(Monsters!$AL:$AL, Monsters!$A:$A = W53 , Monsters!$D:$D  = $T$5, Monsters!$B:$B = ""Master"")
,
""/""
,
FILTER(Monsters!$AL:$AL, Monsters!$A:$A = W53 , Monsters!$D:$D  = $T$5, Monsters!$B:$B ="&amp;" ""Minion"")
)
,)
)"),"")</f>
        <v/>
      </c>
      <c r="AH53" s="205" t="b">
        <v>0</v>
      </c>
      <c r="AI53" s="206" t="str">
        <f>IFERROR(__xludf.DUMMYFUNCTION(" IFERROR(
IF(AND(Z53=FALSE,AD53 = FALSE),
(FILTER(Monsters!$AQ:$AQ, Monsters!$A:$A = W53 , Monsters!$D:$D  = $T$5, Monsters!$B:$B = ""Master"")
*
FILTER(Monsters!$AJ:$AJ, Monsters!$A:$A = W53 , Monsters!$D:$D  = $T$5, Monsters!$B:$B = ""Master"")
)
+
(FIL"&amp;"TER(Monsters!$AQ:$AQ, Monsters!$A:$A = W53 , Monsters!$D:$D  = $T$5, Monsters!$B:$B = ""Minion"")
*
FILTER(Monsters!$AJ:$AJ, Monsters!$A:$A = W53 , Monsters!$D:$D  = $T$5, Monsters!$B:$B = ""Minion"")
)
,)
,
)"),"")</f>
        <v/>
      </c>
      <c r="AK53" s="207" t="str">
        <f>IFERROR(__xludf.DUMMYFUNCTION(" IFERROR(
IF(AND(Z53=FALSE,AD53 = FALSE),
CONCATENATE(
FILTER(Monsters!$AJ:$AJ, Monsters!$A:$A = W53 , Monsters!$D:$D  = $T$5, Monsters!$B:$B = ""Master"")
,
""/""
,
FILTER(Monsters!$AJ:$AJ, Monsters!$A:$A = W53 , Monsters!$D:$D  = $T$5, Monsters!$B:$B = "&amp;"""Minion"")
)
,)
,
)"),"")</f>
        <v/>
      </c>
      <c r="AL53" s="83"/>
    </row>
    <row r="54">
      <c r="P54" s="83"/>
      <c r="Q54" s="83"/>
      <c r="R54" s="83"/>
      <c r="S54" s="83"/>
      <c r="T54" s="83"/>
      <c r="U54" s="83"/>
      <c r="V54" s="83"/>
      <c r="W54" s="247"/>
      <c r="Z54" s="214" t="b">
        <v>0</v>
      </c>
      <c r="AA54" s="215" t="str">
        <f>IFERROR(__xludf.DUMMYFUNCTION(" IFERROR(
IF(AND(AD54=FALSE,AH54 = FALSE),
(FILTER(Monsters!$AQ:$AQ, Monsters!$A:$A = W54 , Monsters!$D:$D  = $T$5, Monsters!$B:$B = ""Master"")
*
FILTER(Monsters!$AN:$AN, Monsters!$A:$A = W54 , Monsters!$D:$D  = $T$5, Monsters!$B:$B = ""Master"")
)
+
(FI"&amp;"LTER(Monsters!$AQ:$AQ, Monsters!$A:$A = W54 , Monsters!$D:$D  = $T$5, Monsters!$B:$B = ""Minion"")
*
FILTER(Monsters!$AN:$AN, Monsters!$A:$A = W54 , Monsters!$D:$D  = $T$5, Monsters!$B:$B = ""Minion"")
)
,)
,
)"),"")</f>
        <v/>
      </c>
      <c r="AC54" s="216" t="str">
        <f>IFERROR(__xludf.DUMMYFUNCTION(" IFERROR(
IF(AND(AD54=FALSE,AH54 = FALSE),
CONCATENATE(
FILTER(Monsters!$AN:$AN, Monsters!$A:$A = W54 , Monsters!$D:$D  = $T$5, Monsters!$B:$B = ""Master"")
,
""/""
,
FILTER(Monsters!$AN:$AN, Monsters!$A:$A = W54 , Monsters!$D:$D  = $T$5, Monsters!$B:$B "&amp;"= ""Minion"")
)
,)
)"),"")</f>
        <v/>
      </c>
      <c r="AD54" s="264" t="b">
        <v>0</v>
      </c>
      <c r="AE54" s="215" t="str">
        <f>IFERROR(__xludf.DUMMYFUNCTION(" IFERROR(
IF(AND(Z54=FALSE,AH54 = FALSE),
(FILTER(Monsters!$AQ:$AQ, Monsters!$A:$A = W54 , Monsters!$D:$D  = $T$5, Monsters!$B:$B = ""Master"")
*
FILTER(Monsters!$AL:$AL, Monsters!$A:$A = W54 , Monsters!$D:$D  = $T$5, Monsters!$B:$B = ""Master"")
)
+
(FIL"&amp;"TER(Monsters!$AQ:$AQ, Monsters!$A:$A = W54 , Monsters!$D:$D  = $T$5, Monsters!$B:$B = ""Minion"")
*
FILTER(Monsters!$AL:$AL, Monsters!$A:$A = W54 , Monsters!$D:$D  = $T$5, Monsters!$B:$B = ""Minion"")
)
,)
,
)"),"")</f>
        <v/>
      </c>
      <c r="AG54" s="265" t="str">
        <f>IFERROR(__xludf.DUMMYFUNCTION(" IFERROR(
IF(AND(Z54=FALSE,AH54 = FALSE),
CONCATENATE(
FILTER(Monsters!$AL:$AL, Monsters!$A:$A = W54 , Monsters!$D:$D  = $T$5, Monsters!$B:$B = ""Master"")
,
""/""
,
FILTER(Monsters!$AL:$AL, Monsters!$A:$A = W54 , Monsters!$D:$D  = $T$5, Monsters!$B:$B ="&amp;" ""Minion"")
)
,)
)"),"")</f>
        <v/>
      </c>
      <c r="AH54" s="214" t="b">
        <v>0</v>
      </c>
      <c r="AI54" s="215" t="str">
        <f>IFERROR(__xludf.DUMMYFUNCTION(" IFERROR(
IF(AND(Z54=FALSE,AD54 = FALSE),
(FILTER(Monsters!$AQ:$AQ, Monsters!$A:$A = W54 , Monsters!$D:$D  = $T$5, Monsters!$B:$B = ""Master"")
*
FILTER(Monsters!$AJ:$AJ, Monsters!$A:$A = W54 , Monsters!$D:$D  = $T$5, Monsters!$B:$B = ""Master"")
)
+
(FIL"&amp;"TER(Monsters!$AQ:$AQ, Monsters!$A:$A = W54 , Monsters!$D:$D  = $T$5, Monsters!$B:$B = ""Minion"")
*
FILTER(Monsters!$AJ:$AJ, Monsters!$A:$A = W54 , Monsters!$D:$D  = $T$5, Monsters!$B:$B = ""Minion"")
)
,)
,
)"),"")</f>
        <v/>
      </c>
      <c r="AK54" s="216" t="str">
        <f>IFERROR(__xludf.DUMMYFUNCTION(" IFERROR(
IF(AND(Z54=FALSE,AD54 = FALSE),
CONCATENATE(
FILTER(Monsters!$AJ:$AJ, Monsters!$A:$A = W54 , Monsters!$D:$D  = $T$5, Monsters!$B:$B = ""Master"")
,
""/""
,
FILTER(Monsters!$AJ:$AJ, Monsters!$A:$A = W54 , Monsters!$D:$D  = $T$5, Monsters!$B:$B = "&amp;"""Minion"")
)
,)
,
)"),"")</f>
        <v/>
      </c>
      <c r="AL54" s="83"/>
    </row>
    <row r="55">
      <c r="P55" s="83"/>
      <c r="Q55" s="83"/>
      <c r="R55" s="83"/>
      <c r="S55" s="83"/>
      <c r="T55" s="83"/>
      <c r="U55" s="83"/>
      <c r="V55" s="83"/>
      <c r="W55" s="246"/>
      <c r="Z55" s="205" t="b">
        <v>0</v>
      </c>
      <c r="AA55" s="206" t="str">
        <f>IFERROR(__xludf.DUMMYFUNCTION(" IFERROR(
IF(AND(AD55=FALSE,AH55 = FALSE),
(FILTER(Monsters!$AQ:$AQ, Monsters!$A:$A = W55 , Monsters!$D:$D  = $T$5, Monsters!$B:$B = ""Master"")
*
FILTER(Monsters!$AN:$AN, Monsters!$A:$A = W55 , Monsters!$D:$D  = $T$5, Monsters!$B:$B = ""Master"")
)
+
(FI"&amp;"LTER(Monsters!$AQ:$AQ, Monsters!$A:$A = W55 , Monsters!$D:$D  = $T$5, Monsters!$B:$B = ""Minion"")
*
FILTER(Monsters!$AN:$AN, Monsters!$A:$A = W55 , Monsters!$D:$D  = $T$5, Monsters!$B:$B = ""Minion"")
)
,)
,
)"),"")</f>
        <v/>
      </c>
      <c r="AC55" s="207" t="str">
        <f>IFERROR(__xludf.DUMMYFUNCTION(" IFERROR(
IF(AND(AD55=FALSE,AH55 = FALSE),
CONCATENATE(
FILTER(Monsters!$AN:$AN, Monsters!$A:$A = W55 , Monsters!$D:$D  = $T$5, Monsters!$B:$B = ""Master"")
,
""/""
,
FILTER(Monsters!$AN:$AN, Monsters!$A:$A = W55 , Monsters!$D:$D  = $T$5, Monsters!$B:$B "&amp;"= ""Minion"")
)
,)
)"),"")</f>
        <v/>
      </c>
      <c r="AD55" s="266" t="b">
        <v>0</v>
      </c>
      <c r="AE55" s="206" t="str">
        <f>IFERROR(__xludf.DUMMYFUNCTION(" IFERROR(
IF(AND(Z55=FALSE,AH55 = FALSE),
(FILTER(Monsters!$AQ:$AQ, Monsters!$A:$A = W55 , Monsters!$D:$D  = $T$5, Monsters!$B:$B = ""Master"")
*
FILTER(Monsters!$AL:$AL, Monsters!$A:$A = W55 , Monsters!$D:$D  = $T$5, Monsters!$B:$B = ""Master"")
)
+
(FIL"&amp;"TER(Monsters!$AQ:$AQ, Monsters!$A:$A = W55 , Monsters!$D:$D  = $T$5, Monsters!$B:$B = ""Minion"")
*
FILTER(Monsters!$AL:$AL, Monsters!$A:$A = W55 , Monsters!$D:$D  = $T$5, Monsters!$B:$B = ""Minion"")
)
,)
,
)"),"")</f>
        <v/>
      </c>
      <c r="AG55" s="267" t="str">
        <f>IFERROR(__xludf.DUMMYFUNCTION(" IFERROR(
IF(AND(Z55=FALSE,AH55 = FALSE),
CONCATENATE(
FILTER(Monsters!$AL:$AL, Monsters!$A:$A = W55 , Monsters!$D:$D  = $T$5, Monsters!$B:$B = ""Master"")
,
""/""
,
FILTER(Monsters!$AL:$AL, Monsters!$A:$A = W55 , Monsters!$D:$D  = $T$5, Monsters!$B:$B ="&amp;" ""Minion"")
)
,)
)"),"")</f>
        <v/>
      </c>
      <c r="AH55" s="205" t="b">
        <v>0</v>
      </c>
      <c r="AI55" s="206" t="str">
        <f>IFERROR(__xludf.DUMMYFUNCTION(" IFERROR(
IF(AND(Z55=FALSE,AD55 = FALSE),
(FILTER(Monsters!$AQ:$AQ, Monsters!$A:$A = W55 , Monsters!$D:$D  = $T$5, Monsters!$B:$B = ""Master"")
*
FILTER(Monsters!$AJ:$AJ, Monsters!$A:$A = W55 , Monsters!$D:$D  = $T$5, Monsters!$B:$B = ""Master"")
)
+
(FIL"&amp;"TER(Monsters!$AQ:$AQ, Monsters!$A:$A = W55 , Monsters!$D:$D  = $T$5, Monsters!$B:$B = ""Minion"")
*
FILTER(Monsters!$AJ:$AJ, Monsters!$A:$A = W55 , Monsters!$D:$D  = $T$5, Monsters!$B:$B = ""Minion"")
)
,)
,
)"),"")</f>
        <v/>
      </c>
      <c r="AK55" s="207" t="str">
        <f>IFERROR(__xludf.DUMMYFUNCTION(" IFERROR(
IF(AND(Z55=FALSE,AD55 = FALSE),
CONCATENATE(
FILTER(Monsters!$AJ:$AJ, Monsters!$A:$A = W55 , Monsters!$D:$D  = $T$5, Monsters!$B:$B = ""Master"")
,
""/""
,
FILTER(Monsters!$AJ:$AJ, Monsters!$A:$A = W55 , Monsters!$D:$D  = $T$5, Monsters!$B:$B = "&amp;"""Minion"")
)
,)
,
)"),"")</f>
        <v/>
      </c>
      <c r="AL55" s="83"/>
    </row>
    <row r="56">
      <c r="P56" s="83"/>
      <c r="Q56" s="83"/>
      <c r="R56" s="83"/>
      <c r="S56" s="83"/>
      <c r="T56" s="83"/>
      <c r="U56" s="83"/>
      <c r="V56" s="83"/>
      <c r="W56" s="247"/>
      <c r="Z56" s="214" t="b">
        <v>0</v>
      </c>
      <c r="AA56" s="215" t="str">
        <f>IFERROR(__xludf.DUMMYFUNCTION(" IFERROR(
IF(AND(AD56=FALSE,AH56 = FALSE),
(FILTER(Monsters!$AQ:$AQ, Monsters!$A:$A = W56 , Monsters!$D:$D  = $T$5, Monsters!$B:$B = ""Master"")
*
FILTER(Monsters!$AN:$AN, Monsters!$A:$A = W56 , Monsters!$D:$D  = $T$5, Monsters!$B:$B = ""Master"")
)
+
(FI"&amp;"LTER(Monsters!$AQ:$AQ, Monsters!$A:$A = W56 , Monsters!$D:$D  = $T$5, Monsters!$B:$B = ""Minion"")
*
FILTER(Monsters!$AN:$AN, Monsters!$A:$A = W56 , Monsters!$D:$D  = $T$5, Monsters!$B:$B = ""Minion"")
)
,)
,
)"),"")</f>
        <v/>
      </c>
      <c r="AC56" s="216" t="str">
        <f>IFERROR(__xludf.DUMMYFUNCTION(" IFERROR(
IF(AND(AD56=FALSE,AH56 = FALSE),
CONCATENATE(
FILTER(Monsters!$AN:$AN, Monsters!$A:$A = W56 , Monsters!$D:$D  = $T$5, Monsters!$B:$B = ""Master"")
,
""/""
,
FILTER(Monsters!$AN:$AN, Monsters!$A:$A = W56 , Monsters!$D:$D  = $T$5, Monsters!$B:$B "&amp;"= ""Minion"")
)
,)
)"),"")</f>
        <v/>
      </c>
      <c r="AD56" s="264" t="b">
        <v>0</v>
      </c>
      <c r="AE56" s="215" t="str">
        <f>IFERROR(__xludf.DUMMYFUNCTION(" IFERROR(
IF(AND(Z56=FALSE,AH56 = FALSE),
(FILTER(Monsters!$AQ:$AQ, Monsters!$A:$A = W56 , Monsters!$D:$D  = $T$5, Monsters!$B:$B = ""Master"")
*
FILTER(Monsters!$AL:$AL, Monsters!$A:$A = W56 , Monsters!$D:$D  = $T$5, Monsters!$B:$B = ""Master"")
)
+
(FIL"&amp;"TER(Monsters!$AQ:$AQ, Monsters!$A:$A = W56 , Monsters!$D:$D  = $T$5, Monsters!$B:$B = ""Minion"")
*
FILTER(Monsters!$AL:$AL, Monsters!$A:$A = W56 , Monsters!$D:$D  = $T$5, Monsters!$B:$B = ""Minion"")
)
,)
,
)"),"")</f>
        <v/>
      </c>
      <c r="AG56" s="265" t="str">
        <f>IFERROR(__xludf.DUMMYFUNCTION(" IFERROR(
IF(AND(Z56=FALSE,AH56 = FALSE),
CONCATENATE(
FILTER(Monsters!$AL:$AL, Monsters!$A:$A = W56 , Monsters!$D:$D  = $T$5, Monsters!$B:$B = ""Master"")
,
""/""
,
FILTER(Monsters!$AL:$AL, Monsters!$A:$A = W56 , Monsters!$D:$D  = $T$5, Monsters!$B:$B ="&amp;" ""Minion"")
)
,)
)"),"")</f>
        <v/>
      </c>
      <c r="AH56" s="214" t="b">
        <v>0</v>
      </c>
      <c r="AI56" s="215" t="str">
        <f>IFERROR(__xludf.DUMMYFUNCTION(" IFERROR(
IF(AND(Z56=FALSE,AD56 = FALSE),
(FILTER(Monsters!$AQ:$AQ, Monsters!$A:$A = W56 , Monsters!$D:$D  = $T$5, Monsters!$B:$B = ""Master"")
*
FILTER(Monsters!$AJ:$AJ, Monsters!$A:$A = W56 , Monsters!$D:$D  = $T$5, Monsters!$B:$B = ""Master"")
)
+
(FIL"&amp;"TER(Monsters!$AQ:$AQ, Monsters!$A:$A = W56 , Monsters!$D:$D  = $T$5, Monsters!$B:$B = ""Minion"")
*
FILTER(Monsters!$AJ:$AJ, Monsters!$A:$A = W56 , Monsters!$D:$D  = $T$5, Monsters!$B:$B = ""Minion"")
)
,)
,
)"),"")</f>
        <v/>
      </c>
      <c r="AK56" s="216" t="str">
        <f>IFERROR(__xludf.DUMMYFUNCTION(" IFERROR(
IF(AND(Z56=FALSE,AD56 = FALSE),
CONCATENATE(
FILTER(Monsters!$AJ:$AJ, Monsters!$A:$A = W56 , Monsters!$D:$D  = $T$5, Monsters!$B:$B = ""Master"")
,
""/""
,
FILTER(Monsters!$AJ:$AJ, Monsters!$A:$A = W56 , Monsters!$D:$D  = $T$5, Monsters!$B:$B = "&amp;"""Minion"")
)
,)
,
)"),"")</f>
        <v/>
      </c>
      <c r="AL56" s="83"/>
    </row>
    <row r="57">
      <c r="P57" s="83"/>
      <c r="Q57" s="83"/>
      <c r="R57" s="83"/>
      <c r="S57" s="83"/>
      <c r="T57" s="83"/>
      <c r="U57" s="83"/>
      <c r="V57" s="83"/>
      <c r="W57" s="246"/>
      <c r="Z57" s="205" t="b">
        <v>0</v>
      </c>
      <c r="AA57" s="206" t="str">
        <f>IFERROR(__xludf.DUMMYFUNCTION(" IFERROR(
IF(AND(AD57=FALSE,AH57 = FALSE),
(FILTER(Monsters!$AQ:$AQ, Monsters!$A:$A = W57 , Monsters!$D:$D  = $T$5, Monsters!$B:$B = ""Master"")
*
FILTER(Monsters!$AN:$AN, Monsters!$A:$A = W57 , Monsters!$D:$D  = $T$5, Monsters!$B:$B = ""Master"")
)
+
(FI"&amp;"LTER(Monsters!$AQ:$AQ, Monsters!$A:$A = W57 , Monsters!$D:$D  = $T$5, Monsters!$B:$B = ""Minion"")
*
FILTER(Monsters!$AN:$AN, Monsters!$A:$A = W57 , Monsters!$D:$D  = $T$5, Monsters!$B:$B = ""Minion"")
)
,)
,
)"),"")</f>
        <v/>
      </c>
      <c r="AC57" s="207" t="str">
        <f>IFERROR(__xludf.DUMMYFUNCTION(" IFERROR(
IF(AND(AD57=FALSE,AH57 = FALSE),
CONCATENATE(
FILTER(Monsters!$AN:$AN, Monsters!$A:$A = W57 , Monsters!$D:$D  = $T$5, Monsters!$B:$B = ""Master"")
,
""/""
,
FILTER(Monsters!$AN:$AN, Monsters!$A:$A = W57 , Monsters!$D:$D  = $T$5, Monsters!$B:$B "&amp;"= ""Minion"")
)
,)
)"),"")</f>
        <v/>
      </c>
      <c r="AD57" s="266" t="b">
        <v>0</v>
      </c>
      <c r="AE57" s="206" t="str">
        <f>IFERROR(__xludf.DUMMYFUNCTION(" IFERROR(
IF(AND(Z57=FALSE,AH57 = FALSE),
(FILTER(Monsters!$AQ:$AQ, Monsters!$A:$A = W57 , Monsters!$D:$D  = $T$5, Monsters!$B:$B = ""Master"")
*
FILTER(Monsters!$AL:$AL, Monsters!$A:$A = W57 , Monsters!$D:$D  = $T$5, Monsters!$B:$B = ""Master"")
)
+
(FIL"&amp;"TER(Monsters!$AQ:$AQ, Monsters!$A:$A = W57 , Monsters!$D:$D  = $T$5, Monsters!$B:$B = ""Minion"")
*
FILTER(Monsters!$AL:$AL, Monsters!$A:$A = W57 , Monsters!$D:$D  = $T$5, Monsters!$B:$B = ""Minion"")
)
,)
,
)"),"")</f>
        <v/>
      </c>
      <c r="AG57" s="267" t="str">
        <f>IFERROR(__xludf.DUMMYFUNCTION(" IFERROR(
IF(AND(Z57=FALSE,AH57 = FALSE),
CONCATENATE(
FILTER(Monsters!$AL:$AL, Monsters!$A:$A = W57 , Monsters!$D:$D  = $T$5, Monsters!$B:$B = ""Master"")
,
""/""
,
FILTER(Monsters!$AL:$AL, Monsters!$A:$A = W57 , Monsters!$D:$D  = $T$5, Monsters!$B:$B ="&amp;" ""Minion"")
)
,)
)"),"")</f>
        <v/>
      </c>
      <c r="AH57" s="205" t="b">
        <v>0</v>
      </c>
      <c r="AI57" s="206" t="str">
        <f>IFERROR(__xludf.DUMMYFUNCTION(" IFERROR(
IF(AND(Z57=FALSE,AD57 = FALSE),
(FILTER(Monsters!$AQ:$AQ, Monsters!$A:$A = W57 , Monsters!$D:$D  = $T$5, Monsters!$B:$B = ""Master"")
*
FILTER(Monsters!$AJ:$AJ, Monsters!$A:$A = W57 , Monsters!$D:$D  = $T$5, Monsters!$B:$B = ""Master"")
)
+
(FIL"&amp;"TER(Monsters!$AQ:$AQ, Monsters!$A:$A = W57 , Monsters!$D:$D  = $T$5, Monsters!$B:$B = ""Minion"")
*
FILTER(Monsters!$AJ:$AJ, Monsters!$A:$A = W57 , Monsters!$D:$D  = $T$5, Monsters!$B:$B = ""Minion"")
)
,)
,
)"),"")</f>
        <v/>
      </c>
      <c r="AK57" s="207" t="str">
        <f>IFERROR(__xludf.DUMMYFUNCTION(" IFERROR(
IF(AND(Z57=FALSE,AD57 = FALSE),
CONCATENATE(
FILTER(Monsters!$AJ:$AJ, Monsters!$A:$A = W57 , Monsters!$D:$D  = $T$5, Monsters!$B:$B = ""Master"")
,
""/""
,
FILTER(Monsters!$AJ:$AJ, Monsters!$A:$A = W57 , Monsters!$D:$D  = $T$5, Monsters!$B:$B = "&amp;"""Minion"")
)
,)
,
)"),"")</f>
        <v/>
      </c>
      <c r="AL57" s="83"/>
    </row>
    <row r="58">
      <c r="P58" s="83"/>
      <c r="Q58" s="83"/>
      <c r="R58" s="83"/>
      <c r="S58" s="83"/>
      <c r="T58" s="83"/>
      <c r="U58" s="83"/>
      <c r="V58" s="83"/>
      <c r="W58" s="247"/>
      <c r="Z58" s="214" t="b">
        <v>0</v>
      </c>
      <c r="AA58" s="215" t="str">
        <f>IFERROR(__xludf.DUMMYFUNCTION(" IFERROR(
IF(AND(AD58=FALSE,AH58 = FALSE),
(FILTER(Monsters!$AQ:$AQ, Monsters!$A:$A = W58 , Monsters!$D:$D  = $T$5, Monsters!$B:$B = ""Master"")
*
FILTER(Monsters!$AN:$AN, Monsters!$A:$A = W58 , Monsters!$D:$D  = $T$5, Monsters!$B:$B = ""Master"")
)
+
(FI"&amp;"LTER(Monsters!$AQ:$AQ, Monsters!$A:$A = W58 , Monsters!$D:$D  = $T$5, Monsters!$B:$B = ""Minion"")
*
FILTER(Monsters!$AN:$AN, Monsters!$A:$A = W58 , Monsters!$D:$D  = $T$5, Monsters!$B:$B = ""Minion"")
)
,)
,
)"),"")</f>
        <v/>
      </c>
      <c r="AC58" s="216" t="str">
        <f>IFERROR(__xludf.DUMMYFUNCTION(" IFERROR(
IF(AND(AD58=FALSE,AH58 = FALSE),
CONCATENATE(
FILTER(Monsters!$AN:$AN, Monsters!$A:$A = W58 , Monsters!$D:$D  = $T$5, Monsters!$B:$B = ""Master"")
,
""/""
,
FILTER(Monsters!$AN:$AN, Monsters!$A:$A = W58 , Monsters!$D:$D  = $T$5, Monsters!$B:$B "&amp;"= ""Minion"")
)
,)
)"),"")</f>
        <v/>
      </c>
      <c r="AD58" s="264" t="b">
        <v>0</v>
      </c>
      <c r="AE58" s="215" t="str">
        <f>IFERROR(__xludf.DUMMYFUNCTION(" IFERROR(
IF(AND(Z58=FALSE,AH58 = FALSE),
(FILTER(Monsters!$AQ:$AQ, Monsters!$A:$A = W58 , Monsters!$D:$D  = $T$5, Monsters!$B:$B = ""Master"")
*
FILTER(Monsters!$AL:$AL, Monsters!$A:$A = W58 , Monsters!$D:$D  = $T$5, Monsters!$B:$B = ""Master"")
)
+
(FIL"&amp;"TER(Monsters!$AQ:$AQ, Monsters!$A:$A = W58 , Monsters!$D:$D  = $T$5, Monsters!$B:$B = ""Minion"")
*
FILTER(Monsters!$AL:$AL, Monsters!$A:$A = W58 , Monsters!$D:$D  = $T$5, Monsters!$B:$B = ""Minion"")
)
,)
,
)"),"")</f>
        <v/>
      </c>
      <c r="AG58" s="265" t="str">
        <f>IFERROR(__xludf.DUMMYFUNCTION(" IFERROR(
IF(AND(Z58=FALSE,AH58 = FALSE),
CONCATENATE(
FILTER(Monsters!$AL:$AL, Monsters!$A:$A = W58 , Monsters!$D:$D  = $T$5, Monsters!$B:$B = ""Master"")
,
""/""
,
FILTER(Monsters!$AL:$AL, Monsters!$A:$A = W58 , Monsters!$D:$D  = $T$5, Monsters!$B:$B ="&amp;" ""Minion"")
)
,)
)"),"")</f>
        <v/>
      </c>
      <c r="AH58" s="214" t="b">
        <v>0</v>
      </c>
      <c r="AI58" s="215" t="str">
        <f>IFERROR(__xludf.DUMMYFUNCTION(" IFERROR(
IF(AND(Z58=FALSE,AD58 = FALSE),
(FILTER(Monsters!$AQ:$AQ, Monsters!$A:$A = W58 , Monsters!$D:$D  = $T$5, Monsters!$B:$B = ""Master"")
*
FILTER(Monsters!$AJ:$AJ, Monsters!$A:$A = W58 , Monsters!$D:$D  = $T$5, Monsters!$B:$B = ""Master"")
)
+
(FIL"&amp;"TER(Monsters!$AQ:$AQ, Monsters!$A:$A = W58 , Monsters!$D:$D  = $T$5, Monsters!$B:$B = ""Minion"")
*
FILTER(Monsters!$AJ:$AJ, Monsters!$A:$A = W58 , Monsters!$D:$D  = $T$5, Monsters!$B:$B = ""Minion"")
)
,)
,
)"),"")</f>
        <v/>
      </c>
      <c r="AK58" s="216" t="str">
        <f>IFERROR(__xludf.DUMMYFUNCTION(" IFERROR(
IF(AND(Z58=FALSE,AD58 = FALSE),
CONCATENATE(
FILTER(Monsters!$AJ:$AJ, Monsters!$A:$A = W58 , Monsters!$D:$D  = $T$5, Monsters!$B:$B = ""Master"")
,
""/""
,
FILTER(Monsters!$AJ:$AJ, Monsters!$A:$A = W58 , Monsters!$D:$D  = $T$5, Monsters!$B:$B = "&amp;"""Minion"")
)
,)
,
)"),"")</f>
        <v/>
      </c>
      <c r="AL58" s="83"/>
    </row>
    <row r="59">
      <c r="P59" s="83"/>
      <c r="Q59" s="83"/>
      <c r="R59" s="83"/>
      <c r="S59" s="83"/>
      <c r="T59" s="83"/>
      <c r="U59" s="83"/>
      <c r="V59" s="83"/>
      <c r="W59" s="246"/>
      <c r="Z59" s="205" t="b">
        <v>0</v>
      </c>
      <c r="AA59" s="206" t="str">
        <f>IFERROR(__xludf.DUMMYFUNCTION(" IFERROR(
IF(AND(AD59=FALSE,AH59 = FALSE),
(FILTER(Monsters!$AQ:$AQ, Monsters!$A:$A = W59 , Monsters!$D:$D  = $T$5, Monsters!$B:$B = ""Master"")
*
FILTER(Monsters!$AN:$AN, Monsters!$A:$A = W59 , Monsters!$D:$D  = $T$5, Monsters!$B:$B = ""Master"")
)
+
(FI"&amp;"LTER(Monsters!$AQ:$AQ, Monsters!$A:$A = W59 , Monsters!$D:$D  = $T$5, Monsters!$B:$B = ""Minion"")
*
FILTER(Monsters!$AN:$AN, Monsters!$A:$A = W59 , Monsters!$D:$D  = $T$5, Monsters!$B:$B = ""Minion"")
)
,)
,
)"),"")</f>
        <v/>
      </c>
      <c r="AC59" s="207" t="str">
        <f>IFERROR(__xludf.DUMMYFUNCTION(" IFERROR(
IF(AND(AD59=FALSE,AH59 = FALSE),
CONCATENATE(
FILTER(Monsters!$AN:$AN, Monsters!$A:$A = W59 , Monsters!$D:$D  = $T$5, Monsters!$B:$B = ""Master"")
,
""/""
,
FILTER(Monsters!$AN:$AN, Monsters!$A:$A = W59 , Monsters!$D:$D  = $T$5, Monsters!$B:$B "&amp;"= ""Minion"")
)
,)
)"),"")</f>
        <v/>
      </c>
      <c r="AD59" s="266" t="b">
        <v>0</v>
      </c>
      <c r="AE59" s="206" t="str">
        <f>IFERROR(__xludf.DUMMYFUNCTION(" IFERROR(
IF(AND(Z59=FALSE,AH59 = FALSE),
(FILTER(Monsters!$AQ:$AQ, Monsters!$A:$A = W59 , Monsters!$D:$D  = $T$5, Monsters!$B:$B = ""Master"")
*
FILTER(Monsters!$AL:$AL, Monsters!$A:$A = W59 , Monsters!$D:$D  = $T$5, Monsters!$B:$B = ""Master"")
)
+
(FIL"&amp;"TER(Monsters!$AQ:$AQ, Monsters!$A:$A = W59 , Monsters!$D:$D  = $T$5, Monsters!$B:$B = ""Minion"")
*
FILTER(Monsters!$AL:$AL, Monsters!$A:$A = W59 , Monsters!$D:$D  = $T$5, Monsters!$B:$B = ""Minion"")
)
,)
,
)"),"")</f>
        <v/>
      </c>
      <c r="AG59" s="267" t="str">
        <f>IFERROR(__xludf.DUMMYFUNCTION(" IFERROR(
IF(AND(Z59=FALSE,AH59 = FALSE),
CONCATENATE(
FILTER(Monsters!$AL:$AL, Monsters!$A:$A = W59 , Monsters!$D:$D  = $T$5, Monsters!$B:$B = ""Master"")
,
""/""
,
FILTER(Monsters!$AL:$AL, Monsters!$A:$A = W59 , Monsters!$D:$D  = $T$5, Monsters!$B:$B ="&amp;" ""Minion"")
)
,)
)"),"")</f>
        <v/>
      </c>
      <c r="AH59" s="205" t="b">
        <v>0</v>
      </c>
      <c r="AI59" s="206" t="str">
        <f>IFERROR(__xludf.DUMMYFUNCTION(" IFERROR(
IF(AND(Z59=FALSE,AD59 = FALSE),
(FILTER(Monsters!$AQ:$AQ, Monsters!$A:$A = W59 , Monsters!$D:$D  = $T$5, Monsters!$B:$B = ""Master"")
*
FILTER(Monsters!$AJ:$AJ, Monsters!$A:$A = W59 , Monsters!$D:$D  = $T$5, Monsters!$B:$B = ""Master"")
)
+
(FIL"&amp;"TER(Monsters!$AQ:$AQ, Monsters!$A:$A = W59 , Monsters!$D:$D  = $T$5, Monsters!$B:$B = ""Minion"")
*
FILTER(Monsters!$AJ:$AJ, Monsters!$A:$A = W59 , Monsters!$D:$D  = $T$5, Monsters!$B:$B = ""Minion"")
)
,)
,
)"),"")</f>
        <v/>
      </c>
      <c r="AK59" s="207" t="str">
        <f>IFERROR(__xludf.DUMMYFUNCTION(" IFERROR(
IF(AND(Z59=FALSE,AD59 = FALSE),
CONCATENATE(
FILTER(Monsters!$AJ:$AJ, Monsters!$A:$A = W59 , Monsters!$D:$D  = $T$5, Monsters!$B:$B = ""Master"")
,
""/""
,
FILTER(Monsters!$AJ:$AJ, Monsters!$A:$A = W59 , Monsters!$D:$D  = $T$5, Monsters!$B:$B = "&amp;"""Minion"")
)
,)
,
)"),"")</f>
        <v/>
      </c>
      <c r="AL59" s="83"/>
    </row>
    <row r="60">
      <c r="P60" s="83"/>
      <c r="Q60" s="83"/>
      <c r="R60" s="83"/>
      <c r="S60" s="83"/>
      <c r="T60" s="83"/>
      <c r="U60" s="83"/>
      <c r="V60" s="83"/>
      <c r="W60" s="268"/>
      <c r="X60" s="269"/>
      <c r="Y60" s="269"/>
      <c r="Z60" s="270" t="b">
        <v>0</v>
      </c>
      <c r="AA60" s="271" t="str">
        <f>IFERROR(__xludf.DUMMYFUNCTION(" IFERROR(
IF(AND(AD60=FALSE,AH60 = FALSE),
(FILTER(Monsters!$AQ:$AQ, Monsters!$A:$A = W60 , Monsters!$D:$D  = $T$5, Monsters!$B:$B = ""Master"")
*
FILTER(Monsters!$AN:$AN, Monsters!$A:$A = W60 , Monsters!$D:$D  = $T$5, Monsters!$B:$B = ""Master"")
)
+
(FI"&amp;"LTER(Monsters!$AQ:$AQ, Monsters!$A:$A = W60 , Monsters!$D:$D  = $T$5, Monsters!$B:$B = ""Minion"")
*
FILTER(Monsters!$AN:$AN, Monsters!$A:$A = W60 , Monsters!$D:$D  = $T$5, Monsters!$B:$B = ""Minion"")
)
,)
,
)"),"")</f>
        <v/>
      </c>
      <c r="AB60" s="269"/>
      <c r="AC60" s="272" t="str">
        <f>IFERROR(__xludf.DUMMYFUNCTION(" IFERROR(
IF(AND(AD60=FALSE,AH60 = FALSE),
CONCATENATE(
FILTER(Monsters!$AN:$AN, Monsters!$A:$A = W60 , Monsters!$D:$D  = $T$5, Monsters!$B:$B = ""Master"")
,
""/""
,
FILTER(Monsters!$AN:$AN, Monsters!$A:$A = W60 , Monsters!$D:$D  = $T$5, Monsters!$B:$B "&amp;"= ""Minion"")
)
,)
)"),"")</f>
        <v/>
      </c>
      <c r="AD60" s="273" t="b">
        <v>0</v>
      </c>
      <c r="AE60" s="271" t="str">
        <f>IFERROR(__xludf.DUMMYFUNCTION(" IFERROR(
IF(AND(Z60=FALSE,AH60 = FALSE),
(FILTER(Monsters!$AQ:$AQ, Monsters!$A:$A = W60 , Monsters!$D:$D  = $T$5, Monsters!$B:$B = ""Master"")
*
FILTER(Monsters!$AL:$AL, Monsters!$A:$A = W60 , Monsters!$D:$D  = $T$5, Monsters!$B:$B = ""Master"")
)
+
(FIL"&amp;"TER(Monsters!$AQ:$AQ, Monsters!$A:$A = W60 , Monsters!$D:$D  = $T$5, Monsters!$B:$B = ""Minion"")
*
FILTER(Monsters!$AL:$AL, Monsters!$A:$A = W60 , Monsters!$D:$D  = $T$5, Monsters!$B:$B = ""Minion"")
)
,)
,
)"),"")</f>
        <v/>
      </c>
      <c r="AF60" s="269"/>
      <c r="AG60" s="274" t="str">
        <f>IFERROR(__xludf.DUMMYFUNCTION(" IFERROR(
IF(AND(Z60=FALSE,AH60 = FALSE),
CONCATENATE(
FILTER(Monsters!$AL:$AL, Monsters!$A:$A = W60 , Monsters!$D:$D  = $T$5, Monsters!$B:$B = ""Master"")
,
""/""
,
FILTER(Monsters!$AL:$AL, Monsters!$A:$A = W60 , Monsters!$D:$D  = $T$5, Monsters!$B:$B ="&amp;" ""Minion"")
)
,)
)"),"")</f>
        <v/>
      </c>
      <c r="AH60" s="270" t="b">
        <v>0</v>
      </c>
      <c r="AI60" s="271" t="str">
        <f>IFERROR(__xludf.DUMMYFUNCTION(" IFERROR(
IF(AND(Z60=FALSE,AD60 = FALSE),
(FILTER(Monsters!$AQ:$AQ, Monsters!$A:$A = W60 , Monsters!$D:$D  = $T$5, Monsters!$B:$B = ""Master"")
*
FILTER(Monsters!$AJ:$AJ, Monsters!$A:$A = W60 , Monsters!$D:$D  = $T$5, Monsters!$B:$B = ""Master"")
)
+
(FIL"&amp;"TER(Monsters!$AQ:$AQ, Monsters!$A:$A = W60 , Monsters!$D:$D  = $T$5, Monsters!$B:$B = ""Minion"")
*
FILTER(Monsters!$AJ:$AJ, Monsters!$A:$A = W60 , Monsters!$D:$D  = $T$5, Monsters!$B:$B = ""Minion"")
)
,)
,
)"),"")</f>
        <v/>
      </c>
      <c r="AJ60" s="269"/>
      <c r="AK60" s="272" t="str">
        <f>IFERROR(__xludf.DUMMYFUNCTION(" IFERROR(
IF(AND(Z60=FALSE,AD60 = FALSE),
CONCATENATE(
FILTER(Monsters!$AJ:$AJ, Monsters!$A:$A = W60 , Monsters!$D:$D  = $T$5, Monsters!$B:$B = ""Master"")
,
""/""
,
FILTER(Monsters!$AJ:$AJ, Monsters!$A:$A = W60 , Monsters!$D:$D  = $T$5, Monsters!$B:$B = "&amp;"""Minion"")
)
,)
,
)"),"")</f>
        <v/>
      </c>
      <c r="AL60" s="83"/>
    </row>
    <row r="61">
      <c r="P61" s="83"/>
      <c r="Q61" s="83"/>
      <c r="R61" s="83"/>
      <c r="S61" s="83"/>
      <c r="T61" s="83"/>
      <c r="U61" s="83"/>
      <c r="V61" s="83"/>
      <c r="W61" s="83"/>
      <c r="X61" s="83"/>
      <c r="Y61" s="83"/>
      <c r="Z61" s="83"/>
      <c r="AA61" s="94"/>
      <c r="AB61" s="83"/>
      <c r="AC61" s="83"/>
      <c r="AD61" s="83"/>
      <c r="AE61" s="83"/>
      <c r="AF61" s="83"/>
      <c r="AG61" s="83"/>
      <c r="AH61" s="83"/>
      <c r="AI61" s="83"/>
      <c r="AJ61" s="83"/>
      <c r="AK61" s="83"/>
      <c r="AL61" s="83"/>
    </row>
    <row r="62">
      <c r="P62" s="83"/>
      <c r="Q62" s="83"/>
      <c r="R62" s="83"/>
      <c r="S62" s="83"/>
      <c r="T62" s="83"/>
      <c r="U62" s="83"/>
      <c r="V62" s="83"/>
      <c r="W62" s="83"/>
      <c r="X62" s="83"/>
      <c r="Y62" s="83"/>
      <c r="Z62" s="83"/>
      <c r="AA62" s="94"/>
      <c r="AB62" s="83"/>
      <c r="AC62" s="83"/>
      <c r="AD62" s="83"/>
      <c r="AE62" s="83"/>
      <c r="AF62" s="83"/>
      <c r="AG62" s="83"/>
      <c r="AH62" s="83"/>
      <c r="AI62" s="83"/>
      <c r="AJ62" s="83"/>
      <c r="AK62" s="83"/>
      <c r="AL62" s="83"/>
    </row>
    <row r="63">
      <c r="P63" s="83"/>
      <c r="Q63" s="83"/>
      <c r="R63" s="83"/>
      <c r="S63" s="83"/>
      <c r="T63" s="83"/>
      <c r="U63" s="83"/>
      <c r="V63" s="83"/>
      <c r="W63" s="83"/>
      <c r="X63" s="83"/>
      <c r="Y63" s="83"/>
      <c r="Z63" s="83"/>
      <c r="AA63" s="94"/>
      <c r="AB63" s="83"/>
      <c r="AC63" s="83"/>
      <c r="AD63" s="83"/>
      <c r="AE63" s="83"/>
      <c r="AF63" s="83"/>
      <c r="AG63" s="83"/>
      <c r="AH63" s="83"/>
      <c r="AI63" s="83"/>
      <c r="AJ63" s="83"/>
      <c r="AK63" s="83"/>
      <c r="AL63" s="83"/>
    </row>
    <row r="64">
      <c r="P64" s="83"/>
      <c r="Q64" s="83"/>
      <c r="R64" s="83"/>
      <c r="S64" s="83"/>
      <c r="T64" s="83"/>
      <c r="U64" s="83"/>
      <c r="V64" s="83"/>
      <c r="W64" s="83"/>
      <c r="X64" s="83"/>
      <c r="Y64" s="83"/>
      <c r="Z64" s="83"/>
      <c r="AA64" s="94"/>
      <c r="AB64" s="83"/>
      <c r="AC64" s="83"/>
      <c r="AD64" s="83"/>
      <c r="AE64" s="83"/>
      <c r="AF64" s="83"/>
      <c r="AG64" s="83"/>
      <c r="AH64" s="83"/>
      <c r="AI64" s="83"/>
      <c r="AJ64" s="83"/>
      <c r="AK64" s="83"/>
      <c r="AL64" s="83"/>
    </row>
    <row r="65">
      <c r="P65" s="83"/>
      <c r="Q65" s="83"/>
      <c r="R65" s="83"/>
      <c r="S65" s="83"/>
      <c r="T65" s="83"/>
      <c r="U65" s="83"/>
      <c r="V65" s="83"/>
      <c r="W65" s="83"/>
      <c r="X65" s="83"/>
      <c r="Y65" s="83"/>
      <c r="Z65" s="83"/>
      <c r="AA65" s="94"/>
      <c r="AB65" s="83"/>
      <c r="AC65" s="83"/>
      <c r="AD65" s="83"/>
      <c r="AE65" s="83"/>
      <c r="AF65" s="83"/>
      <c r="AG65" s="83"/>
      <c r="AH65" s="83"/>
      <c r="AI65" s="83"/>
      <c r="AJ65" s="83"/>
      <c r="AK65" s="83"/>
      <c r="AL65" s="83"/>
    </row>
    <row r="66">
      <c r="P66" s="83"/>
      <c r="Q66" s="83"/>
      <c r="R66" s="83"/>
      <c r="S66" s="83"/>
      <c r="T66" s="83"/>
      <c r="U66" s="83"/>
      <c r="V66" s="83"/>
      <c r="W66" s="83"/>
      <c r="X66" s="83"/>
      <c r="Y66" s="83"/>
      <c r="Z66" s="83"/>
      <c r="AA66" s="94"/>
      <c r="AB66" s="83"/>
      <c r="AC66" s="83"/>
      <c r="AD66" s="83"/>
      <c r="AE66" s="83"/>
      <c r="AF66" s="83"/>
      <c r="AG66" s="83"/>
      <c r="AH66" s="83"/>
      <c r="AI66" s="83"/>
      <c r="AJ66" s="83"/>
      <c r="AK66" s="83"/>
      <c r="AL66" s="83"/>
    </row>
    <row r="67">
      <c r="P67" s="83"/>
      <c r="Q67" s="83"/>
      <c r="R67" s="83"/>
      <c r="S67" s="83"/>
      <c r="T67" s="83"/>
      <c r="U67" s="83"/>
      <c r="V67" s="83"/>
      <c r="W67" s="83"/>
      <c r="X67" s="83"/>
      <c r="Y67" s="83"/>
      <c r="Z67" s="83"/>
      <c r="AA67" s="94"/>
      <c r="AB67" s="83"/>
      <c r="AC67" s="83"/>
      <c r="AD67" s="83"/>
      <c r="AE67" s="83"/>
      <c r="AF67" s="83"/>
      <c r="AG67" s="83"/>
      <c r="AH67" s="83"/>
      <c r="AI67" s="83"/>
      <c r="AJ67" s="83"/>
      <c r="AK67" s="83"/>
      <c r="AL67" s="83"/>
    </row>
    <row r="68">
      <c r="P68" s="83"/>
      <c r="Q68" s="83"/>
      <c r="R68" s="83"/>
      <c r="S68" s="83"/>
      <c r="T68" s="83"/>
      <c r="U68" s="83"/>
      <c r="V68" s="83"/>
      <c r="W68" s="83"/>
      <c r="X68" s="83"/>
      <c r="Y68" s="83"/>
      <c r="Z68" s="83"/>
      <c r="AA68" s="94"/>
      <c r="AB68" s="83"/>
      <c r="AC68" s="83"/>
      <c r="AD68" s="83"/>
      <c r="AE68" s="83"/>
      <c r="AF68" s="83"/>
      <c r="AG68" s="83"/>
      <c r="AH68" s="83"/>
      <c r="AI68" s="83"/>
      <c r="AJ68" s="83"/>
      <c r="AK68" s="83"/>
      <c r="AL68" s="83"/>
    </row>
    <row r="69">
      <c r="P69" s="83"/>
      <c r="Q69" s="83"/>
      <c r="R69" s="83"/>
      <c r="S69" s="83"/>
      <c r="T69" s="83"/>
      <c r="U69" s="83"/>
      <c r="V69" s="83"/>
      <c r="W69" s="83"/>
      <c r="X69" s="83"/>
      <c r="Y69" s="83"/>
      <c r="Z69" s="83"/>
      <c r="AA69" s="94"/>
      <c r="AB69" s="83"/>
      <c r="AC69" s="83"/>
      <c r="AD69" s="83"/>
      <c r="AE69" s="83"/>
      <c r="AF69" s="83"/>
      <c r="AG69" s="83"/>
      <c r="AH69" s="83"/>
      <c r="AI69" s="83"/>
      <c r="AJ69" s="83"/>
      <c r="AK69" s="83"/>
      <c r="AL69" s="83"/>
    </row>
    <row r="70">
      <c r="P70" s="83"/>
      <c r="Q70" s="83"/>
      <c r="R70" s="83"/>
      <c r="S70" s="83"/>
      <c r="T70" s="83"/>
      <c r="U70" s="83"/>
      <c r="V70" s="83"/>
      <c r="W70" s="83"/>
      <c r="X70" s="83"/>
      <c r="Y70" s="83"/>
      <c r="Z70" s="83"/>
      <c r="AA70" s="94"/>
      <c r="AB70" s="83"/>
      <c r="AC70" s="83"/>
      <c r="AD70" s="83"/>
      <c r="AE70" s="83"/>
      <c r="AF70" s="83"/>
      <c r="AG70" s="83"/>
      <c r="AH70" s="83"/>
      <c r="AI70" s="83"/>
      <c r="AJ70" s="83"/>
      <c r="AK70" s="83"/>
      <c r="AL70" s="83"/>
    </row>
  </sheetData>
  <mergeCells count="272">
    <mergeCell ref="AI34:AJ34"/>
    <mergeCell ref="AI35:AJ35"/>
    <mergeCell ref="AI27:AJ27"/>
    <mergeCell ref="AI28:AJ28"/>
    <mergeCell ref="AI29:AJ29"/>
    <mergeCell ref="AI30:AJ30"/>
    <mergeCell ref="AI31:AJ31"/>
    <mergeCell ref="AI32:AJ32"/>
    <mergeCell ref="AI33:AJ33"/>
    <mergeCell ref="W20:Y20"/>
    <mergeCell ref="W21:Y21"/>
    <mergeCell ref="AA21:AB21"/>
    <mergeCell ref="AE21:AF21"/>
    <mergeCell ref="AA22:AB22"/>
    <mergeCell ref="AE22:AF22"/>
    <mergeCell ref="AI22:AJ22"/>
    <mergeCell ref="AA25:AB25"/>
    <mergeCell ref="AA26:AB26"/>
    <mergeCell ref="AI26:AJ26"/>
    <mergeCell ref="W22:Y22"/>
    <mergeCell ref="W24:Y24"/>
    <mergeCell ref="AA24:AB24"/>
    <mergeCell ref="AE24:AF24"/>
    <mergeCell ref="W25:Y25"/>
    <mergeCell ref="AE25:AF25"/>
    <mergeCell ref="AE26:AF26"/>
    <mergeCell ref="AA28:AB28"/>
    <mergeCell ref="AA29:AB29"/>
    <mergeCell ref="AA30:AB30"/>
    <mergeCell ref="AA31:AB31"/>
    <mergeCell ref="AA32:AB32"/>
    <mergeCell ref="AA33:AB33"/>
    <mergeCell ref="AA34:AB34"/>
    <mergeCell ref="AA35:AB35"/>
    <mergeCell ref="W29:Y29"/>
    <mergeCell ref="W30:Y30"/>
    <mergeCell ref="W31:Y31"/>
    <mergeCell ref="W32:Y32"/>
    <mergeCell ref="W33:Y33"/>
    <mergeCell ref="W34:Y34"/>
    <mergeCell ref="W35:Y35"/>
    <mergeCell ref="AE30:AF30"/>
    <mergeCell ref="AE31:AF31"/>
    <mergeCell ref="AE32:AF32"/>
    <mergeCell ref="AE33:AF33"/>
    <mergeCell ref="AE34:AF34"/>
    <mergeCell ref="AE35:AF35"/>
    <mergeCell ref="W26:Y26"/>
    <mergeCell ref="W27:Y27"/>
    <mergeCell ref="AA27:AB27"/>
    <mergeCell ref="AE27:AF27"/>
    <mergeCell ref="W28:Y28"/>
    <mergeCell ref="AE28:AF28"/>
    <mergeCell ref="AE29:AF29"/>
    <mergeCell ref="AA51:AB51"/>
    <mergeCell ref="AA52:AB52"/>
    <mergeCell ref="AA53:AB53"/>
    <mergeCell ref="AA46:AB46"/>
    <mergeCell ref="AA47:AB47"/>
    <mergeCell ref="AA48:AB48"/>
    <mergeCell ref="AA49:AB49"/>
    <mergeCell ref="AA50:AB50"/>
    <mergeCell ref="AE50:AF50"/>
    <mergeCell ref="AE51:AF51"/>
    <mergeCell ref="AA57:AB57"/>
    <mergeCell ref="AA58:AB58"/>
    <mergeCell ref="W59:Y59"/>
    <mergeCell ref="AA59:AB59"/>
    <mergeCell ref="W60:Y60"/>
    <mergeCell ref="AA60:AB60"/>
    <mergeCell ref="W54:Y54"/>
    <mergeCell ref="W55:Y55"/>
    <mergeCell ref="AA55:AB55"/>
    <mergeCell ref="W56:Y56"/>
    <mergeCell ref="AA56:AB56"/>
    <mergeCell ref="W57:Y57"/>
    <mergeCell ref="W58:Y58"/>
    <mergeCell ref="W15:Y15"/>
    <mergeCell ref="W16:Y16"/>
    <mergeCell ref="AA16:AB16"/>
    <mergeCell ref="AE16:AF16"/>
    <mergeCell ref="W17:Y17"/>
    <mergeCell ref="AE17:AF17"/>
    <mergeCell ref="AE18:AF18"/>
    <mergeCell ref="AA17:AB17"/>
    <mergeCell ref="AA18:AB18"/>
    <mergeCell ref="W36:Y36"/>
    <mergeCell ref="AA36:AB36"/>
    <mergeCell ref="AE36:AF36"/>
    <mergeCell ref="AA37:AB37"/>
    <mergeCell ref="AE37:AF37"/>
    <mergeCell ref="W37:Y37"/>
    <mergeCell ref="W38:Y38"/>
    <mergeCell ref="AA38:AB38"/>
    <mergeCell ref="AE38:AF38"/>
    <mergeCell ref="W39:Y39"/>
    <mergeCell ref="AE39:AF39"/>
    <mergeCell ref="AE40:AF40"/>
    <mergeCell ref="AA39:AB39"/>
    <mergeCell ref="AA40:AB40"/>
    <mergeCell ref="AA41:AB41"/>
    <mergeCell ref="AA42:AB42"/>
    <mergeCell ref="AA43:AB43"/>
    <mergeCell ref="AA44:AB44"/>
    <mergeCell ref="AA45:AB45"/>
    <mergeCell ref="W40:Y40"/>
    <mergeCell ref="W41:Y41"/>
    <mergeCell ref="W42:Y42"/>
    <mergeCell ref="W43:Y43"/>
    <mergeCell ref="W44:Y44"/>
    <mergeCell ref="W45:Y45"/>
    <mergeCell ref="W46:Y46"/>
    <mergeCell ref="W47:Y47"/>
    <mergeCell ref="W48:Y48"/>
    <mergeCell ref="W49:Y49"/>
    <mergeCell ref="W50:Y50"/>
    <mergeCell ref="W51:Y51"/>
    <mergeCell ref="W52:Y52"/>
    <mergeCell ref="W53:Y53"/>
    <mergeCell ref="AE58:AF58"/>
    <mergeCell ref="AE59:AF59"/>
    <mergeCell ref="AE60:AF60"/>
    <mergeCell ref="AE52:AF52"/>
    <mergeCell ref="AE53:AF53"/>
    <mergeCell ref="AA54:AB54"/>
    <mergeCell ref="AE54:AF54"/>
    <mergeCell ref="AE55:AF55"/>
    <mergeCell ref="AE56:AF56"/>
    <mergeCell ref="AE57:AF57"/>
    <mergeCell ref="K2:L2"/>
    <mergeCell ref="M2:N2"/>
    <mergeCell ref="P2:P5"/>
    <mergeCell ref="Q2:Q4"/>
    <mergeCell ref="R2:S2"/>
    <mergeCell ref="T2:V2"/>
    <mergeCell ref="W2:Y2"/>
    <mergeCell ref="Z2:AC2"/>
    <mergeCell ref="AD2:AG2"/>
    <mergeCell ref="AH2:AK2"/>
    <mergeCell ref="F2:G2"/>
    <mergeCell ref="F3:G3"/>
    <mergeCell ref="R3:S3"/>
    <mergeCell ref="T3:V3"/>
    <mergeCell ref="K3:K5"/>
    <mergeCell ref="M3:N3"/>
    <mergeCell ref="M5:N5"/>
    <mergeCell ref="W3:Y3"/>
    <mergeCell ref="AA3:AB3"/>
    <mergeCell ref="AE3:AF3"/>
    <mergeCell ref="AI3:AJ3"/>
    <mergeCell ref="R4:S4"/>
    <mergeCell ref="W4:Y4"/>
    <mergeCell ref="AA4:AB4"/>
    <mergeCell ref="AE4:AF4"/>
    <mergeCell ref="W5:Y5"/>
    <mergeCell ref="AA5:AB5"/>
    <mergeCell ref="AI4:AJ4"/>
    <mergeCell ref="AI5:AJ5"/>
    <mergeCell ref="AA14:AB14"/>
    <mergeCell ref="AA15:AB15"/>
    <mergeCell ref="W12:Y12"/>
    <mergeCell ref="W13:Y13"/>
    <mergeCell ref="AA13:AB13"/>
    <mergeCell ref="AE13:AF13"/>
    <mergeCell ref="W14:Y14"/>
    <mergeCell ref="AE14:AF14"/>
    <mergeCell ref="AE15:AF15"/>
    <mergeCell ref="AI13:AJ13"/>
    <mergeCell ref="AI14:AJ14"/>
    <mergeCell ref="AI15:AJ15"/>
    <mergeCell ref="AI16:AJ16"/>
    <mergeCell ref="AI17:AJ17"/>
    <mergeCell ref="AI18:AJ18"/>
    <mergeCell ref="AI19:AJ19"/>
    <mergeCell ref="AI20:AJ20"/>
    <mergeCell ref="AI21:AJ21"/>
    <mergeCell ref="AI36:AJ36"/>
    <mergeCell ref="AI37:AJ37"/>
    <mergeCell ref="AI38:AJ38"/>
    <mergeCell ref="AI39:AJ39"/>
    <mergeCell ref="AI40:AJ40"/>
    <mergeCell ref="AI41:AJ41"/>
    <mergeCell ref="AI42:AJ42"/>
    <mergeCell ref="AI43:AJ43"/>
    <mergeCell ref="AI44:AJ44"/>
    <mergeCell ref="AI45:AJ45"/>
    <mergeCell ref="AI46:AJ46"/>
    <mergeCell ref="AI47:AJ47"/>
    <mergeCell ref="AI55:AJ55"/>
    <mergeCell ref="AI56:AJ56"/>
    <mergeCell ref="AI57:AJ57"/>
    <mergeCell ref="AI58:AJ58"/>
    <mergeCell ref="AI59:AJ59"/>
    <mergeCell ref="AI60:AJ60"/>
    <mergeCell ref="AI48:AJ48"/>
    <mergeCell ref="AI49:AJ49"/>
    <mergeCell ref="AI50:AJ50"/>
    <mergeCell ref="AI51:AJ51"/>
    <mergeCell ref="AI52:AJ52"/>
    <mergeCell ref="AI53:AJ53"/>
    <mergeCell ref="AI54:AJ54"/>
    <mergeCell ref="F24:G24"/>
    <mergeCell ref="K24:L24"/>
    <mergeCell ref="M24:N24"/>
    <mergeCell ref="M25:N25"/>
    <mergeCell ref="P26:P43"/>
    <mergeCell ref="M27:N27"/>
    <mergeCell ref="M28:N28"/>
    <mergeCell ref="D3:D5"/>
    <mergeCell ref="F5:G5"/>
    <mergeCell ref="B6:B21"/>
    <mergeCell ref="F6:G6"/>
    <mergeCell ref="I6:I21"/>
    <mergeCell ref="P6:P21"/>
    <mergeCell ref="P22:P25"/>
    <mergeCell ref="F27:G27"/>
    <mergeCell ref="F28:G28"/>
    <mergeCell ref="B24:B27"/>
    <mergeCell ref="D24:E24"/>
    <mergeCell ref="I24:I27"/>
    <mergeCell ref="D25:D27"/>
    <mergeCell ref="F25:G25"/>
    <mergeCell ref="K25:K27"/>
    <mergeCell ref="B28:B43"/>
    <mergeCell ref="I28:I43"/>
    <mergeCell ref="B1:G1"/>
    <mergeCell ref="I1:N1"/>
    <mergeCell ref="P1:AK1"/>
    <mergeCell ref="B2:B5"/>
    <mergeCell ref="D2:E2"/>
    <mergeCell ref="I2:I5"/>
    <mergeCell ref="AE5:AF5"/>
    <mergeCell ref="AD10:AG10"/>
    <mergeCell ref="AH10:AK10"/>
    <mergeCell ref="M6:N6"/>
    <mergeCell ref="T6:V6"/>
    <mergeCell ref="T7:V7"/>
    <mergeCell ref="T8:V8"/>
    <mergeCell ref="T9:V9"/>
    <mergeCell ref="W10:Y10"/>
    <mergeCell ref="Z10:AC10"/>
    <mergeCell ref="W11:Y11"/>
    <mergeCell ref="AA11:AB11"/>
    <mergeCell ref="AE11:AF11"/>
    <mergeCell ref="AI11:AJ11"/>
    <mergeCell ref="AA12:AB12"/>
    <mergeCell ref="AE12:AF12"/>
    <mergeCell ref="AI12:AJ12"/>
    <mergeCell ref="W18:Y18"/>
    <mergeCell ref="W19:Y19"/>
    <mergeCell ref="AA19:AB19"/>
    <mergeCell ref="AE19:AF19"/>
    <mergeCell ref="T20:V20"/>
    <mergeCell ref="AA20:AB20"/>
    <mergeCell ref="AE20:AF20"/>
    <mergeCell ref="B23:G23"/>
    <mergeCell ref="I23:N23"/>
    <mergeCell ref="W23:Y23"/>
    <mergeCell ref="AA23:AB23"/>
    <mergeCell ref="AE23:AF23"/>
    <mergeCell ref="AI23:AJ23"/>
    <mergeCell ref="AI24:AJ24"/>
    <mergeCell ref="AI25:AJ25"/>
    <mergeCell ref="AE48:AF48"/>
    <mergeCell ref="AE49:AF49"/>
    <mergeCell ref="AE41:AF41"/>
    <mergeCell ref="AE42:AF42"/>
    <mergeCell ref="AE43:AF43"/>
    <mergeCell ref="AE44:AF44"/>
    <mergeCell ref="AE45:AF45"/>
    <mergeCell ref="AE46:AF46"/>
    <mergeCell ref="AE47:AF47"/>
  </mergeCells>
  <conditionalFormatting sqref="S20:S43">
    <cfRule type="expression" dxfId="7" priority="1">
      <formula>R20 = ""</formula>
    </cfRule>
  </conditionalFormatting>
  <conditionalFormatting sqref="T7:V7">
    <cfRule type="cellIs" dxfId="8" priority="2" operator="equal">
      <formula>COUNTIF(Z11:AK60, "=TRUE")</formula>
    </cfRule>
  </conditionalFormatting>
  <conditionalFormatting sqref="T7:V7">
    <cfRule type="cellIs" dxfId="9" priority="3" operator="lessThan">
      <formula>COUNTIF(Z11:AK43, "=TRUE")</formula>
    </cfRule>
  </conditionalFormatting>
  <conditionalFormatting sqref="Z3:AC5 Z7:AC9 Z11:AC60">
    <cfRule type="expression" dxfId="2" priority="4">
      <formula>IF(ISBLANK($W3), ,AND($Z3 = FALSE, $AA3 &gt;= $P$26))</formula>
    </cfRule>
  </conditionalFormatting>
  <conditionalFormatting sqref="W3:AK5 W7:AK9">
    <cfRule type="expression" dxfId="3" priority="5">
      <formula>IF(ISBLANK($W3), FALSE, AND($Z3 = FALSE, $AD3 = FALSE, $AH3 = FALSE))</formula>
    </cfRule>
  </conditionalFormatting>
  <conditionalFormatting sqref="AD3:AG5 AD7:AG9 AD11:AG60">
    <cfRule type="expression" dxfId="2" priority="6">
      <formula>IF(ISBLANK($W3), ,AND($AD3 = FALSE, $AE3 &gt;= $P$26))</formula>
    </cfRule>
  </conditionalFormatting>
  <conditionalFormatting sqref="AH3:AK5 AH7:AK9 AH11:AK60">
    <cfRule type="expression" dxfId="2" priority="7">
      <formula>IF(ISBLANK($W3), ,AND($AH3 = FALSE, $AI3 &gt;= $P$26))</formula>
    </cfRule>
  </conditionalFormatting>
  <conditionalFormatting sqref="W3:AK60">
    <cfRule type="expression" dxfId="8" priority="8">
      <formula>OR($Z3 = TRUE, $AD3 = TRUE, $AH3 = TRUE)</formula>
    </cfRule>
  </conditionalFormatting>
  <dataValidations>
    <dataValidation type="list" allowBlank="1" sqref="F5">
      <formula1>Variables!$G:$G</formula1>
    </dataValidation>
    <dataValidation type="list" allowBlank="1" showErrorMessage="1" sqref="M3">
      <formula1>Variables!$H:$H</formula1>
    </dataValidation>
    <dataValidation type="list" allowBlank="1" showErrorMessage="1" sqref="F25">
      <formula1>Variables!$J:$J</formula1>
    </dataValidation>
    <dataValidation type="list" allowBlank="1" showErrorMessage="1" sqref="T9">
      <formula1>Variables!$S$2:$S$1000</formula1>
    </dataValidation>
    <dataValidation type="list" allowBlank="1" showErrorMessage="1" sqref="T5 V5">
      <formula1>"1,2"</formula1>
    </dataValidation>
    <dataValidation type="list" allowBlank="1" sqref="F27 M27">
      <formula1>Variables!$G$2:$G$1000</formula1>
    </dataValidation>
    <dataValidation type="list" allowBlank="1" showErrorMessage="1" sqref="T3">
      <formula1>Campaigns!$A$3:$A$984</formula1>
    </dataValidation>
    <dataValidation type="list" allowBlank="1" showErrorMessage="1" sqref="M5">
      <formula1>Variables!$I$2:$I$1000</formula1>
    </dataValidation>
    <dataValidation type="list" allowBlank="1" showErrorMessage="1" sqref="F3">
      <formula1>Variables!$F$2:$F$1000</formula1>
    </dataValidation>
    <dataValidation type="list" allowBlank="1" showErrorMessage="1" sqref="M25">
      <formula1>Variables!$L:$L</formula1>
    </dataValidation>
    <dataValidation type="list" allowBlank="1" sqref="C3 J3 C25 J25">
      <formula1>'Heroes 1.1'!$A$4:$A$63</formula1>
    </dataValidation>
    <dataValidation type="list" allowBlank="1" showErrorMessage="1" sqref="R3">
      <formula1>"Basic I,Basic II"</formula1>
    </dataValidation>
    <dataValidation type="list" allowBlank="1" showErrorMessage="1" sqref="C7:C18 J7:J18 C29:C40 J29:J40">
      <formula1>'Shop Items'!$C$2:$C$250</formula1>
    </dataValidation>
    <dataValidation type="list" allowBlank="1" showErrorMessage="1" sqref="U5">
      <formula1>Variables!$N$2:$N$1000</formula1>
    </dataValidation>
    <dataValidation type="list" allowBlank="1" showErrorMessage="1" sqref="R20:R43">
      <formula1>vote4OVERLORD!$B:$B</formula1>
    </dataValidation>
    <dataValidation type="list" allowBlank="1" showErrorMessage="1" sqref="X7:X9">
      <formula1>'Overlord relics'!$B:$B</formula1>
    </dataValidation>
  </dataValidations>
  <hyperlinks>
    <hyperlink r:id="rId1" ref="C21"/>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88"/>
    <col customWidth="1" min="2" max="2" width="7.0"/>
    <col customWidth="1" min="3" max="3" width="17.0"/>
    <col customWidth="1" min="4" max="4" width="6.75"/>
    <col customWidth="1" min="5" max="5" width="8.75"/>
    <col customWidth="1" min="6" max="6" width="7.38"/>
    <col customWidth="1" min="7" max="7" width="7.88"/>
    <col customWidth="1" min="8" max="8" width="6.38"/>
    <col customWidth="1" min="9" max="9" width="10.88"/>
    <col customWidth="1" min="10" max="10" width="11.0"/>
    <col customWidth="1" min="11" max="11" width="20.13"/>
    <col customWidth="1" min="12" max="12" width="3.63"/>
    <col customWidth="1" min="13" max="13" width="12.63"/>
    <col customWidth="1" min="14" max="14" width="7.0"/>
    <col customWidth="1" min="15" max="15" width="17.0"/>
    <col customWidth="1" min="16" max="16" width="6.75"/>
    <col customWidth="1" min="17" max="17" width="8.75"/>
    <col customWidth="1" min="18" max="18" width="7.38"/>
    <col customWidth="1" min="19" max="19" width="7.88"/>
    <col customWidth="1" min="20" max="20" width="6.38"/>
    <col customWidth="1" min="21" max="21" width="10.88"/>
    <col customWidth="1" min="22" max="22" width="11.0"/>
    <col customWidth="1" min="23" max="23" width="16.63"/>
    <col customWidth="1" min="24" max="24" width="3.63"/>
    <col customWidth="1" min="25" max="26" width="12.63"/>
    <col customWidth="1" min="27" max="27" width="20.0"/>
  </cols>
  <sheetData>
    <row r="1">
      <c r="A1" s="9"/>
      <c r="B1" s="9"/>
      <c r="C1" s="9"/>
      <c r="D1" s="9"/>
      <c r="E1" s="9"/>
      <c r="F1" s="9"/>
      <c r="G1" s="24"/>
      <c r="H1" s="24"/>
      <c r="I1" s="24"/>
      <c r="J1" s="24"/>
      <c r="M1" s="275"/>
      <c r="N1" s="65"/>
      <c r="O1" s="9"/>
      <c r="P1" s="9"/>
      <c r="Q1" s="9"/>
      <c r="R1" s="9"/>
      <c r="S1" s="24"/>
      <c r="T1" s="24"/>
      <c r="U1" s="24"/>
      <c r="V1" s="24"/>
      <c r="Y1" s="275"/>
      <c r="Z1" s="65"/>
      <c r="AA1" s="65"/>
    </row>
    <row r="2">
      <c r="A2" s="9"/>
      <c r="B2" s="276">
        <f>'Main Page 1'!B6</f>
        <v>70.15692308</v>
      </c>
      <c r="C2" s="193" t="s">
        <v>435</v>
      </c>
      <c r="D2" s="277" t="s">
        <v>438</v>
      </c>
      <c r="E2" s="277" t="s">
        <v>434</v>
      </c>
      <c r="F2" s="81"/>
      <c r="G2" s="193" t="s">
        <v>1476</v>
      </c>
      <c r="H2" s="278" t="s">
        <v>1477</v>
      </c>
      <c r="I2" s="193" t="s">
        <v>1478</v>
      </c>
      <c r="J2" s="278" t="s">
        <v>1479</v>
      </c>
      <c r="K2" s="279" t="s">
        <v>1418</v>
      </c>
      <c r="L2" s="8"/>
      <c r="M2" s="201"/>
      <c r="N2" s="276">
        <f>'Main Page'!I6</f>
        <v>82.45666667</v>
      </c>
      <c r="O2" s="193" t="s">
        <v>435</v>
      </c>
      <c r="P2" s="277" t="s">
        <v>438</v>
      </c>
      <c r="Q2" s="277" t="s">
        <v>434</v>
      </c>
      <c r="R2" s="81"/>
      <c r="S2" s="193" t="s">
        <v>1476</v>
      </c>
      <c r="T2" s="278" t="s">
        <v>1477</v>
      </c>
      <c r="U2" s="193" t="s">
        <v>1478</v>
      </c>
      <c r="V2" s="278" t="s">
        <v>1479</v>
      </c>
      <c r="W2" s="279" t="s">
        <v>1418</v>
      </c>
      <c r="X2" s="8"/>
      <c r="Y2" s="201"/>
      <c r="Z2" s="280"/>
      <c r="AA2" s="9"/>
    </row>
    <row r="3">
      <c r="A3" s="9"/>
      <c r="B3" s="53"/>
      <c r="C3" s="198" t="str">
        <f>'Main Page 1'!C3</f>
        <v>Challara</v>
      </c>
      <c r="D3" s="9" t="str">
        <f>IFERROR(VLOOKUP(C3, 'Heroes 1.1'!$A:$M, 2, FALSE),)</f>
        <v>Mage</v>
      </c>
      <c r="E3" s="65" t="str">
        <f>'Main Page 1'!F3</f>
        <v>Necromancer</v>
      </c>
      <c r="F3" s="200"/>
      <c r="G3" s="58">
        <f>IFERROR(VLOOKUP(C3, 'Heroes 1.1'!$A:$M, 3, FALSE),)</f>
        <v>3</v>
      </c>
      <c r="H3" s="199">
        <f>IFERROR(VLOOKUP(C3, 'Heroes 1.1'!$A:$M, 4, FALSE),)</f>
        <v>10</v>
      </c>
      <c r="I3" s="58">
        <f>IFERROR(VLOOKUP(C3, 'Heroes 1.1'!$A:$M, 7, FALSE),)</f>
        <v>3</v>
      </c>
      <c r="J3" s="199">
        <f>IFERROR(VLOOKUP(C3, 'Heroes 1.1'!$A:$M, 9, FALSE),)</f>
        <v>4</v>
      </c>
      <c r="K3" s="233" t="str">
        <f>IFERROR(__xludf.DUMMYFUNCTION("IF(
ISBLANK(E5),
FILTER(Classes!$C:$C,Classes!$B:$B=E3),
FILTER(Classes!$C:$C,(Classes!$B:$B=E3) + (Classes!$B:$B=E5))
)"),"Raise Dead")</f>
        <v>Raise Dead</v>
      </c>
      <c r="L3" s="281"/>
      <c r="M3" s="201"/>
      <c r="N3" s="53"/>
      <c r="O3" s="198" t="str">
        <f>'Main Page'!J3</f>
        <v>Trenloe the Strong</v>
      </c>
      <c r="P3" s="9" t="str">
        <f>IFERROR(VLOOKUP(O3, 'Heroes 1.1'!$A:$M, 2, FALSE),)</f>
        <v>Warrior</v>
      </c>
      <c r="Q3" s="65" t="str">
        <f>'Main Page'!M3</f>
        <v>Skirmisher</v>
      </c>
      <c r="R3" s="200"/>
      <c r="S3" s="58">
        <f>IFERROR(VLOOKUP(O3, 'Heroes 1.1'!$A:$M, 3, FALSE),)</f>
        <v>3</v>
      </c>
      <c r="T3" s="199">
        <f>IFERROR(VLOOKUP(O3, 'Heroes 1.1'!$A:$M, 4, FALSE),)</f>
        <v>12</v>
      </c>
      <c r="U3" s="58">
        <f>IFERROR(VLOOKUP(O3, 'Heroes 1.1'!$A:$M, 7, FALSE),)</f>
        <v>4</v>
      </c>
      <c r="V3" s="199">
        <f>IFERROR(VLOOKUP(O3, 'Heroes 1.1'!$A:$M, 9, FALSE),)</f>
        <v>1</v>
      </c>
      <c r="W3" s="233" t="str">
        <f>IFERROR(__xludf.DUMMYFUNCTION("IF(
ISBLANK(Q5),
FILTER(Classes!$C:$C,Classes!$B:$B=Q3),
FILTER(Classes!$C:$C,(Classes!$B:$B=Q3) + (Classes!$B:$B=Q5))
)"),"Dual Strike")</f>
        <v>Dual Strike</v>
      </c>
      <c r="X3" s="281"/>
      <c r="Y3" s="201"/>
      <c r="Z3" s="280"/>
      <c r="AA3" s="9"/>
    </row>
    <row r="4">
      <c r="A4" s="9"/>
      <c r="B4" s="53"/>
      <c r="C4" s="202"/>
      <c r="E4" s="24" t="str">
        <f>IF(OR(E3 = "Battlemage", E3 = "Truthseer", E3 = "Lorekeeper", E3 = "Steelcaster", E3 = "Avenger",E3 = "Raider", E3 = "Monk", E3 = "Trickster", E3 = "Ravager", E3 = "Watchman", E3 = "Crusader", E3 = "Heretic"), "Subclass: ", )</f>
        <v/>
      </c>
      <c r="F4" s="280" t="str">
        <f>IFERROR(
IFS(
OR(E3 = "Battlemage",E3 = "Ravager",E3 = "Crusader"), "Warrior",
OR(E3 = "Steelcaster",E3 = "Trickster",E3 = "Heretic"),"Mage",
OR(E3 = "Truthseer",E3 = "Raider",E3 = "Watchman"),"Scout",
OR(E3 = "Lorekeeper",E3 = "Avenger",E3 = "Monk"),"Healer"
),
)</f>
        <v/>
      </c>
      <c r="G4" s="208" t="s">
        <v>1480</v>
      </c>
      <c r="H4" s="282" t="s">
        <v>1481</v>
      </c>
      <c r="I4" s="208" t="s">
        <v>1482</v>
      </c>
      <c r="J4" s="282" t="s">
        <v>1483</v>
      </c>
      <c r="K4" s="58" t="str">
        <f>IFERROR(__xludf.DUMMYFUNCTION("""COMPUTED_VALUE"""),"Corpse Blast")</f>
        <v>Corpse Blast</v>
      </c>
      <c r="L4" s="283"/>
      <c r="M4" s="201"/>
      <c r="N4" s="53"/>
      <c r="O4" s="202"/>
      <c r="Q4" s="24" t="str">
        <f>IF(OR(Q3 = "Battlemage", Q3 = "Truthseer", Q3 = "Lorekeeper", Q3 = "Steelcaster", Q3 = "Avenger",Q3 = "Raider", Q3 = "Monk", Q3 = "Trickster", Q3 = "Ravager", Q3 = "Watchman", Q3 = "Crusader", Q3 = "Heretic"), "Subclass: ", )</f>
        <v/>
      </c>
      <c r="R4" s="280" t="str">
        <f>IFERROR(
IFS(
OR(Q3 = "Battlemage",Q3 = "Ravager",Q3 = "Crusader"), "Warrior",
OR(Q3 = "Steelcaster",Q3 = "Trickster",Q3 = "Heretic"),"Mage",
OR(Q3 = "Truthseer",Q3 = "Raider",Q3 = "Watchman"),"Scout",
OR(Q3 = "Lorekeeper",Q3 = "Avenger",Q3 = "Monk"),"Healer"
),
)</f>
        <v/>
      </c>
      <c r="S4" s="208" t="s">
        <v>1480</v>
      </c>
      <c r="T4" s="282" t="s">
        <v>1481</v>
      </c>
      <c r="U4" s="208" t="s">
        <v>1482</v>
      </c>
      <c r="V4" s="282" t="s">
        <v>1483</v>
      </c>
      <c r="W4" s="58" t="str">
        <f>IFERROR(__xludf.DUMMYFUNCTION("""COMPUTED_VALUE"""),"Back in Action")</f>
        <v>Back in Action</v>
      </c>
      <c r="X4" s="283"/>
      <c r="Y4" s="201"/>
      <c r="Z4" s="9"/>
      <c r="AA4" s="9"/>
    </row>
    <row r="5">
      <c r="A5" s="9"/>
      <c r="B5" s="53"/>
      <c r="C5" s="85"/>
      <c r="D5" s="84"/>
      <c r="E5" s="66" t="str">
        <f>'Main Page 1'!F5</f>
        <v/>
      </c>
      <c r="F5" s="203"/>
      <c r="G5" s="284">
        <f>IFERROR(VLOOKUP(C3, 'Heroes 1.1'!$A:$M, 5, FALSE),)</f>
        <v>4</v>
      </c>
      <c r="H5" s="285" t="str">
        <f>IFERROR(VLOOKUP(C3, 'Heroes 1.1'!$A:$M, 6, FALSE),)</f>
        <v>Grey</v>
      </c>
      <c r="I5" s="60">
        <f>IFERROR(VLOOKUP(C3, 'Heroes 1.1'!$A:$M, 8, FALSE),)</f>
        <v>3</v>
      </c>
      <c r="J5" s="285">
        <f>IFERROR(VLOOKUP(C3, 'Heroes 1.1'!$A:$M, 10, FALSE),)</f>
        <v>1</v>
      </c>
      <c r="K5" s="58" t="str">
        <f>IFERROR(__xludf.DUMMYFUNCTION("""COMPUTED_VALUE"""),"Fury Of Undeath")</f>
        <v>Fury Of Undeath</v>
      </c>
      <c r="L5" s="283"/>
      <c r="M5" s="201"/>
      <c r="N5" s="53"/>
      <c r="O5" s="85"/>
      <c r="P5" s="84"/>
      <c r="Q5" s="66" t="str">
        <f>'Main Page'!M5</f>
        <v/>
      </c>
      <c r="R5" s="203"/>
      <c r="S5" s="284">
        <f>IFERROR(VLOOKUP(O3, 'Heroes 1.1'!$A:$M, 5, FALSE),)</f>
        <v>3</v>
      </c>
      <c r="T5" s="285" t="str">
        <f>IFERROR(VLOOKUP(O3, 'Heroes 1.1'!$A:$M, 6, FALSE),)</f>
        <v>Grey</v>
      </c>
      <c r="U5" s="60">
        <f>IFERROR(VLOOKUP(O3, 'Heroes 1.1'!$A:$M, 8, FALSE),)</f>
        <v>4</v>
      </c>
      <c r="V5" s="285">
        <f>IFERROR(VLOOKUP(O3, 'Heroes 1.1'!$A:$M, 10, FALSE),)</f>
        <v>2</v>
      </c>
      <c r="W5" s="58" t="str">
        <f>IFERROR(__xludf.DUMMYFUNCTION("""COMPUTED_VALUE"""),"Keen Edge")</f>
        <v>Keen Edge</v>
      </c>
      <c r="X5" s="283"/>
      <c r="Y5" s="201"/>
      <c r="Z5" s="9"/>
      <c r="AA5" s="9"/>
    </row>
    <row r="6">
      <c r="A6" s="9"/>
      <c r="B6" s="53"/>
      <c r="C6" s="228" t="s">
        <v>1417</v>
      </c>
      <c r="D6" s="80"/>
      <c r="E6" s="80"/>
      <c r="F6" s="80"/>
      <c r="G6" s="80"/>
      <c r="H6" s="80"/>
      <c r="I6" s="80"/>
      <c r="J6" s="81"/>
      <c r="K6" s="58" t="str">
        <f>IFERROR(__xludf.DUMMYFUNCTION("""COMPUTED_VALUE"""),"Deathly Haste")</f>
        <v>Deathly Haste</v>
      </c>
      <c r="L6" s="283"/>
      <c r="M6" s="201"/>
      <c r="N6" s="53"/>
      <c r="O6" s="228" t="s">
        <v>1417</v>
      </c>
      <c r="P6" s="80"/>
      <c r="Q6" s="80"/>
      <c r="R6" s="80"/>
      <c r="S6" s="80"/>
      <c r="T6" s="80"/>
      <c r="U6" s="80"/>
      <c r="V6" s="81"/>
      <c r="W6" s="58" t="str">
        <f>IFERROR(__xludf.DUMMYFUNCTION("""COMPUTED_VALUE"""),"Deep Wounds")</f>
        <v>Deep Wounds</v>
      </c>
      <c r="X6" s="283"/>
      <c r="Y6" s="201"/>
      <c r="Z6" s="9"/>
      <c r="AA6" s="9"/>
    </row>
    <row r="7">
      <c r="A7" s="9"/>
      <c r="B7" s="53"/>
      <c r="C7" s="256" t="s">
        <v>435</v>
      </c>
      <c r="D7" s="286" t="s">
        <v>1484</v>
      </c>
      <c r="E7" s="286" t="s">
        <v>1485</v>
      </c>
      <c r="F7" s="286" t="s">
        <v>1486</v>
      </c>
      <c r="G7" s="286" t="s">
        <v>1487</v>
      </c>
      <c r="H7" s="287" t="s">
        <v>1488</v>
      </c>
      <c r="I7" s="286" t="s">
        <v>670</v>
      </c>
      <c r="J7" s="203"/>
      <c r="K7" s="58" t="str">
        <f>IFERROR(__xludf.DUMMYFUNCTION("""COMPUTED_VALUE"""),"Vampiric Blood")</f>
        <v>Vampiric Blood</v>
      </c>
      <c r="L7" s="283"/>
      <c r="M7" s="201"/>
      <c r="N7" s="53"/>
      <c r="O7" s="256" t="s">
        <v>435</v>
      </c>
      <c r="P7" s="286" t="s">
        <v>1484</v>
      </c>
      <c r="Q7" s="286" t="s">
        <v>1485</v>
      </c>
      <c r="R7" s="286" t="s">
        <v>1486</v>
      </c>
      <c r="S7" s="286" t="s">
        <v>1487</v>
      </c>
      <c r="T7" s="287" t="s">
        <v>1488</v>
      </c>
      <c r="U7" s="286" t="s">
        <v>670</v>
      </c>
      <c r="V7" s="203"/>
      <c r="W7" s="58" t="str">
        <f>IFERROR(__xludf.DUMMYFUNCTION("""COMPUTED_VALUE"""),"Unrelenting")</f>
        <v>Unrelenting</v>
      </c>
      <c r="X7" s="283"/>
      <c r="Y7" s="201"/>
      <c r="Z7" s="9"/>
      <c r="AA7" s="9"/>
    </row>
    <row r="8">
      <c r="A8" s="9"/>
      <c r="B8" s="53"/>
      <c r="C8" s="198" t="str">
        <f>'Main Page 1'!C7</f>
        <v>Reaper's Scythe</v>
      </c>
      <c r="D8" s="118">
        <f>IFERROR(VLOOKUP(C8,'Shop Items'!$C:$W,2,FALSE),)</f>
        <v>0</v>
      </c>
      <c r="E8" s="118" t="str">
        <f>IFERROR(VLOOKUP(C8,'Shop Items'!$C:$W,3,FALSE),)</f>
        <v>Two Hands</v>
      </c>
      <c r="F8" s="118" t="str">
        <f>IFERROR(IF(VLOOKUP(C8,'Shop Items'!$C:$W,4,FALSE) = "", "-", VLOOKUP(C8,'Shop Items'!$C:$W,4,FALSE)),)</f>
        <v>Range</v>
      </c>
      <c r="G8" s="118" t="str">
        <f>IFERROR(IF(VLOOKUP(C8,'Shop Items'!$C:$W,5,FALSE) = "", "-", VLOOKUP(C8,'Shop Items'!$C:$W,5,FALSE)),)</f>
        <v>Blue, Yellow</v>
      </c>
      <c r="H8" s="118" t="str">
        <f>IFERROR(VLOOKUP(C8,'Shop Items'!$C:$W,7,FALSE),)</f>
        <v>Magic, Staff</v>
      </c>
      <c r="I8" s="118" t="str">
        <f> IFERROR(
CONCATENATE(
IF(VLOOKUP(C8,'Shop Items'!$C:$W,8,FALSE) = "",, CONCATENATE(VLOOKUP(C8,'Shop Items'!$C:$W,8,FALSE))),
IF(VLOOKUP(C8,'Shop Items'!$C:$W,10,FALSE) = "",,CONCATENATE(CHAR(10), CHAR(10), VLOOKUP(C8,'Shop Items'!$C:$W,10,FALSE))),
IF(VLOOKUP(C8,'Shop Items'!$C:$W,12,FALSE) = "",, CONCATENATE(CHAR(10), CHAR(10), VLOOKUP(C8,'Shop Items'!$C:$W,12,FALSE))),
IF(VLOOKUP(C8,'Shop Items'!$C:$W,14,FALSE) = "",, CONCATENATE(CHAR(10), CHAR(10), VLOOKUP(C8,'Shop Items'!$C:$W,14,FALSE))),
)
,)
</f>
        <v>
Each time you defeat a monster with this weapon, recover 1 Heart.
S: +1 Range</v>
      </c>
      <c r="J8" s="200"/>
      <c r="K8" s="58" t="str">
        <f>IFERROR(__xludf.DUMMYFUNCTION("""COMPUTED_VALUE"""),"Dark Pact")</f>
        <v>Dark Pact</v>
      </c>
      <c r="L8" s="283"/>
      <c r="M8" s="201"/>
      <c r="N8" s="53"/>
      <c r="O8" s="198" t="str">
        <f>'Main Page'!J7</f>
        <v>Steel Broadsword</v>
      </c>
      <c r="P8" s="118">
        <f>IFERROR(VLOOKUP(O8,'Shop Items'!$C:$W,2,FALSE),)</f>
        <v>100</v>
      </c>
      <c r="Q8" s="118" t="str">
        <f>IFERROR(VLOOKUP(O8,'Shop Items'!$C:$W,3,FALSE),)</f>
        <v>One Hand</v>
      </c>
      <c r="R8" s="118" t="str">
        <f>IFERROR(IF(VLOOKUP(O8,'Shop Items'!$C:$W,4,FALSE) = "", "-", VLOOKUP(O8,'Shop Items'!$C:$W,4,FALSE)),)</f>
        <v>Melee</v>
      </c>
      <c r="S8" s="118" t="str">
        <f>IFERROR(IF(VLOOKUP(O8,'Shop Items'!$C:$W,5,FALSE) = "", "-", VLOOKUP(O8,'Shop Items'!$C:$W,5,FALSE)),)</f>
        <v>Blue, Red</v>
      </c>
      <c r="T8" s="118" t="str">
        <f>IFERROR(VLOOKUP(O8,'Shop Items'!$C:$W,7,FALSE),)</f>
        <v>Blade</v>
      </c>
      <c r="U8" s="118" t="str">
        <f> IFERROR(
CONCATENATE(
IF(VLOOKUP(O8,'Shop Items'!$C:$W,8,FALSE) = "",, CONCATENATE(VLOOKUP(O8,'Shop Items'!$C:$W,8,FALSE))),
IF(VLOOKUP(O8,'Shop Items'!$C:$W,10,FALSE) = "",,CONCATENATE(CHAR(10), CHAR(10), VLOOKUP(O8,'Shop Items'!$C:$W,10,FALSE))),
IF(VLOOKUP(O8,'Shop Items'!$C:$W,12,FALSE) = "",, CONCATENATE(CHAR(10), CHAR(10), "S: ", VLOOKUP(O8,'Shop Items'!$C:$W,12,FALSE))),
IF(VLOOKUP(O8,'Shop Items'!$C:$W,14,FALSE) = "",, CONCATENATE(CHAR(10), CHAR(10), "SS: ", VLOOKUP(O8,'Shop Items'!$C:$W,14,FALSE))),
)
,)
</f>
        <v>Once per attack roll, you may reroll 1 red power die.
S: S: +1 Wound</v>
      </c>
      <c r="V8" s="200"/>
      <c r="W8" s="58" t="str">
        <f>IFERROR(__xludf.DUMMYFUNCTION("""COMPUTED_VALUE"""),"Born in Battle")</f>
        <v>Born in Battle</v>
      </c>
      <c r="X8" s="283"/>
      <c r="Y8" s="201"/>
      <c r="Z8" s="9"/>
      <c r="AA8" s="9"/>
    </row>
    <row r="9">
      <c r="A9" s="9"/>
      <c r="B9" s="53"/>
      <c r="C9" s="198" t="str">
        <f>'Main Page 1'!C8</f>
        <v/>
      </c>
      <c r="D9" s="118" t="str">
        <f>IFERROR(VLOOKUP(C9,'Shop Items'!$C:$W,2,FALSE),)</f>
        <v/>
      </c>
      <c r="E9" s="118" t="str">
        <f>IFERROR(VLOOKUP(C9,'Shop Items'!$C:$W,3,FALSE),)</f>
        <v/>
      </c>
      <c r="F9" s="118" t="str">
        <f>IFERROR(IF(VLOOKUP(C9,'Shop Items'!$C:$W,4,FALSE) = "", "-", VLOOKUP(C9,'Shop Items'!$C:$W,4,FALSE)),)</f>
        <v/>
      </c>
      <c r="G9" s="118" t="str">
        <f>IFERROR(IF(VLOOKUP(C9,'Shop Items'!$C:$W,5,FALSE) = "", "-", VLOOKUP(C9,'Shop Items'!$C:$W,5,FALSE)),)</f>
        <v/>
      </c>
      <c r="H9" s="118" t="str">
        <f>IFERROR(VLOOKUP(C9,'Shop Items'!$C:$W,7,FALSE),)</f>
        <v/>
      </c>
      <c r="I9" s="118" t="str">
        <f> IFERROR(
CONCATENATE(
IF(VLOOKUP(C9,'Shop Items'!$C:$W,8,FALSE) = "",, CONCATENATE(VLOOKUP(C9,'Shop Items'!$C:$W,8,FALSE))),
IF(VLOOKUP(C9,'Shop Items'!$C:$W,10,FALSE) = "",,CONCATENATE(CHAR(10), CHAR(10), VLOOKUP(C9,'Shop Items'!$C:$W,10,FALSE))),
IF(VLOOKUP(C9,'Shop Items'!$C:$W,12,FALSE) = "",, CONCATENATE(CHAR(10), CHAR(10), "S: ", VLOOKUP(C9,'Shop Items'!$C:$W,12,FALSE))),
IF(VLOOKUP(C9,'Shop Items'!$C:$W,14,FALSE) = "",, CONCATENATE(CHAR(10), CHAR(10), "SS: ", VLOOKUP(C9,'Shop Items'!$C:$W,14,FALSE))),
)
,)
</f>
        <v/>
      </c>
      <c r="J9" s="200"/>
      <c r="K9" s="58" t="str">
        <f>IFERROR(__xludf.DUMMYFUNCTION("""COMPUTED_VALUE"""),"Undead Might")</f>
        <v>Undead Might</v>
      </c>
      <c r="L9" s="283"/>
      <c r="M9" s="201"/>
      <c r="N9" s="53"/>
      <c r="O9" s="198" t="str">
        <f>'Main Page'!J8</f>
        <v>Rusted Handaxe</v>
      </c>
      <c r="P9" s="118">
        <f>IFERROR(VLOOKUP(O9,'Shop Items'!$C:$W,2,FALSE),)</f>
        <v>0</v>
      </c>
      <c r="Q9" s="118" t="str">
        <f>IFERROR(VLOOKUP(O9,'Shop Items'!$C:$W,3,FALSE),)</f>
        <v>One Hand</v>
      </c>
      <c r="R9" s="118" t="str">
        <f>IFERROR(IF(VLOOKUP(O9,'Shop Items'!$C:$W,4,FALSE) = "", "-", VLOOKUP(O9,'Shop Items'!$C:$W,4,FALSE)),)</f>
        <v>Melee</v>
      </c>
      <c r="S9" s="118" t="str">
        <f>IFERROR(IF(VLOOKUP(O9,'Shop Items'!$C:$W,5,FALSE) = "", "-", VLOOKUP(O9,'Shop Items'!$C:$W,5,FALSE)),)</f>
        <v>Blue, Yellow</v>
      </c>
      <c r="T9" s="118" t="str">
        <f>IFERROR(VLOOKUP(O9,'Shop Items'!$C:$W,7,FALSE),)</f>
        <v>Axe</v>
      </c>
      <c r="U9" s="118" t="str">
        <f> IFERROR(
CONCATENATE(
IF(VLOOKUP(O9,'Shop Items'!$C:$W,8,FALSE) = "",, CONCATENATE(VLOOKUP(O9,'Shop Items'!$C:$W,8,FALSE))),
IF(VLOOKUP(O9,'Shop Items'!$C:$W,10,FALSE) = "",,CONCATENATE(CHAR(10), CHAR(10), VLOOKUP(O9,'Shop Items'!$C:$W,10,FALSE))),
IF(VLOOKUP(O9,'Shop Items'!$C:$W,12,FALSE) = "",, CONCATENATE(CHAR(10), CHAR(10), "S: ", VLOOKUP(O9,'Shop Items'!$C:$W,12,FALSE))),
IF(VLOOKUP(O9,'Shop Items'!$C:$W,14,FALSE) = "",, CONCATENATE(CHAR(10), CHAR(10), "SS: ", VLOOKUP(O9,'Shop Items'!$C:$W,14,FALSE))),
)
,)
</f>
        <v>After you roll attack dice, you may suffer 1 Fatigue to reroll 1 power die.
S: S: +2 Wounds</v>
      </c>
      <c r="V9" s="200"/>
      <c r="W9" s="58" t="str">
        <f>IFERROR(__xludf.DUMMYFUNCTION("""COMPUTED_VALUE"""),"Ever in Motion")</f>
        <v>Ever in Motion</v>
      </c>
      <c r="X9" s="283"/>
      <c r="Y9" s="201"/>
      <c r="Z9" s="9"/>
      <c r="AA9" s="9"/>
    </row>
    <row r="10">
      <c r="A10" s="9"/>
      <c r="B10" s="53"/>
      <c r="C10" s="198" t="str">
        <f>'Main Page 1'!C9</f>
        <v/>
      </c>
      <c r="D10" s="118" t="str">
        <f>IFERROR(VLOOKUP(C10,'Shop Items'!$C:$W,2,FALSE),)</f>
        <v/>
      </c>
      <c r="E10" s="118" t="str">
        <f>IFERROR(VLOOKUP(C10,'Shop Items'!$C:$W,3,FALSE),)</f>
        <v/>
      </c>
      <c r="F10" s="118" t="str">
        <f>IFERROR(IF(VLOOKUP(C10,'Shop Items'!$C:$W,4,FALSE) = "", "-", VLOOKUP(C10,'Shop Items'!$C:$W,4,FALSE)),)</f>
        <v/>
      </c>
      <c r="G10" s="118" t="str">
        <f>IFERROR(IF(VLOOKUP(C10,'Shop Items'!$C:$W,5,FALSE) = "", "-", VLOOKUP(C10,'Shop Items'!$C:$W,5,FALSE)),)</f>
        <v/>
      </c>
      <c r="H10" s="118" t="str">
        <f>IFERROR(VLOOKUP(C10,'Shop Items'!$C:$W,7,FALSE),)</f>
        <v/>
      </c>
      <c r="I10" s="118" t="str">
        <f> IFERROR(
CONCATENATE(
IF(VLOOKUP(C10,'Shop Items'!$C:$W,8,FALSE) = "",, CONCATENATE(VLOOKUP(C10,'Shop Items'!$C:$W,8,FALSE))),
IF(VLOOKUP(C10,'Shop Items'!$C:$W,10,FALSE) = "",,CONCATENATE(CHAR(10), CHAR(10), VLOOKUP(C10,'Shop Items'!$C:$W,10,FALSE))),
IF(VLOOKUP(C10,'Shop Items'!$C:$W,12,FALSE) = "",, CONCATENATE(CHAR(10), CHAR(10), "S: ", VLOOKUP(C10,'Shop Items'!$C:$W,12,FALSE))),
IF(VLOOKUP(C10,'Shop Items'!$C:$W,14,FALSE) = "",, CONCATENATE(CHAR(10), CHAR(10), "SS: ", VLOOKUP(C10,'Shop Items'!$C:$W,14,FALSE))),
)
,)
</f>
        <v/>
      </c>
      <c r="J10" s="200"/>
      <c r="K10" s="58" t="str">
        <f>IFERROR(__xludf.DUMMYFUNCTION("""COMPUTED_VALUE"""),"Dying Command")</f>
        <v>Dying Command</v>
      </c>
      <c r="L10" s="283"/>
      <c r="M10" s="201"/>
      <c r="N10" s="53"/>
      <c r="O10" s="198" t="str">
        <f>'Main Page'!J9</f>
        <v/>
      </c>
      <c r="P10" s="118" t="str">
        <f>IFERROR(VLOOKUP(O10,'Shop Items'!$C:$W,2,FALSE),)</f>
        <v/>
      </c>
      <c r="Q10" s="118" t="str">
        <f>IFERROR(VLOOKUP(O10,'Shop Items'!$C:$W,3,FALSE),)</f>
        <v/>
      </c>
      <c r="R10" s="118" t="str">
        <f>IFERROR(IF(VLOOKUP(O10,'Shop Items'!$C:$W,4,FALSE) = "", "-", VLOOKUP(O10,'Shop Items'!$C:$W,4,FALSE)),)</f>
        <v/>
      </c>
      <c r="S10" s="118" t="str">
        <f>IFERROR(IF(VLOOKUP(O10,'Shop Items'!$C:$W,5,FALSE) = "", "-", VLOOKUP(O10,'Shop Items'!$C:$W,5,FALSE)),)</f>
        <v/>
      </c>
      <c r="T10" s="118" t="str">
        <f>IFERROR(VLOOKUP(O10,'Shop Items'!$C:$W,7,FALSE),)</f>
        <v/>
      </c>
      <c r="U10" s="118" t="str">
        <f> IFERROR(
CONCATENATE(
IF(VLOOKUP(O10,'Shop Items'!$C:$W,8,FALSE) = "",, CONCATENATE(VLOOKUP(O10,'Shop Items'!$C:$W,8,FALSE))),
IF(VLOOKUP(O10,'Shop Items'!$C:$W,10,FALSE) = "",,CONCATENATE(CHAR(10), CHAR(10), VLOOKUP(O10,'Shop Items'!$C:$W,10,FALSE))),
IF(VLOOKUP(O10,'Shop Items'!$C:$W,12,FALSE) = "",, CONCATENATE(CHAR(10), CHAR(10), "S: ", VLOOKUP(O10,'Shop Items'!$C:$W,12,FALSE))),
IF(VLOOKUP(O10,'Shop Items'!$C:$W,14,FALSE) = "",, CONCATENATE(CHAR(10), CHAR(10), "SS: ", VLOOKUP(O10,'Shop Items'!$C:$W,14,FALSE))),
)
,)
</f>
        <v/>
      </c>
      <c r="V10" s="200"/>
      <c r="W10" s="58" t="str">
        <f>IFERROR(__xludf.DUMMYFUNCTION("""COMPUTED_VALUE"""),"Unstoppable")</f>
        <v>Unstoppable</v>
      </c>
      <c r="X10" s="283"/>
      <c r="Y10" s="201"/>
      <c r="Z10" s="9"/>
      <c r="AA10" s="9"/>
    </row>
    <row r="11">
      <c r="A11" s="9"/>
      <c r="B11" s="53"/>
      <c r="C11" s="198" t="str">
        <f>'Main Page 1'!C10</f>
        <v/>
      </c>
      <c r="D11" s="118" t="str">
        <f>IFERROR(VLOOKUP(C11,'Shop Items'!$C:$W,2,FALSE),)</f>
        <v/>
      </c>
      <c r="E11" s="118" t="str">
        <f>IFERROR(VLOOKUP(C11,'Shop Items'!$C:$W,3,FALSE),)</f>
        <v/>
      </c>
      <c r="F11" s="118" t="str">
        <f>IFERROR(IF(VLOOKUP(C11,'Shop Items'!$C:$W,4,FALSE) = "", "-", VLOOKUP(C11,'Shop Items'!$C:$W,4,FALSE)),)</f>
        <v/>
      </c>
      <c r="G11" s="118" t="str">
        <f>IFERROR(IF(VLOOKUP(C11,'Shop Items'!$C:$W,5,FALSE) = "", "-", VLOOKUP(C11,'Shop Items'!$C:$W,5,FALSE)),)</f>
        <v/>
      </c>
      <c r="H11" s="118" t="str">
        <f>IFERROR(VLOOKUP(C11,'Shop Items'!$C:$W,7,FALSE),)</f>
        <v/>
      </c>
      <c r="I11" s="118" t="str">
        <f> IFERROR(
CONCATENATE(
IF(VLOOKUP(C11,'Shop Items'!$C:$W,8,FALSE) = "",, CONCATENATE(VLOOKUP(C11,'Shop Items'!$C:$W,8,FALSE))),
IF(VLOOKUP(C11,'Shop Items'!$C:$W,10,FALSE) = "",,CONCATENATE(CHAR(10), CHAR(10), VLOOKUP(C11,'Shop Items'!$C:$W,10,FALSE))),
IF(VLOOKUP(C11,'Shop Items'!$C:$W,12,FALSE) = "",, CONCATENATE(CHAR(10), CHAR(10), "S: ", VLOOKUP(C11,'Shop Items'!$C:$W,12,FALSE))),
IF(VLOOKUP(C11,'Shop Items'!$C:$W,14,FALSE) = "",, CONCATENATE(CHAR(10), CHAR(10), "SS: ", VLOOKUP(C11,'Shop Items'!$C:$W,14,FALSE))),
)
,)
</f>
        <v/>
      </c>
      <c r="J11" s="200"/>
      <c r="K11" s="58" t="str">
        <f>IFERROR(__xludf.DUMMYFUNCTION("""COMPUTED_VALUE"""),"Army Of Death")</f>
        <v>Army Of Death</v>
      </c>
      <c r="L11" s="283"/>
      <c r="M11" s="201"/>
      <c r="N11" s="53"/>
      <c r="O11" s="198" t="str">
        <f>'Main Page'!J10</f>
        <v/>
      </c>
      <c r="P11" s="118" t="str">
        <f>IFERROR(VLOOKUP(O11,'Shop Items'!$C:$W,2,FALSE),)</f>
        <v/>
      </c>
      <c r="Q11" s="118" t="str">
        <f>IFERROR(VLOOKUP(O11,'Shop Items'!$C:$W,3,FALSE),)</f>
        <v/>
      </c>
      <c r="R11" s="118" t="str">
        <f>IFERROR(IF(VLOOKUP(O11,'Shop Items'!$C:$W,4,FALSE) = "", "-", VLOOKUP(O11,'Shop Items'!$C:$W,4,FALSE)),)</f>
        <v/>
      </c>
      <c r="S11" s="118" t="str">
        <f>IFERROR(IF(VLOOKUP(O11,'Shop Items'!$C:$W,5,FALSE) = "", "-", VLOOKUP(O11,'Shop Items'!$C:$W,5,FALSE)),)</f>
        <v/>
      </c>
      <c r="T11" s="118" t="str">
        <f>IFERROR(VLOOKUP(O11,'Shop Items'!$C:$W,7,FALSE),)</f>
        <v/>
      </c>
      <c r="U11" s="118" t="str">
        <f> IFERROR(
CONCATENATE(
IF(VLOOKUP(O11,'Shop Items'!$C:$W,8,FALSE) = "",, CONCATENATE(VLOOKUP(O11,'Shop Items'!$C:$W,8,FALSE))),
IF(VLOOKUP(O11,'Shop Items'!$C:$W,10,FALSE) = "",,CONCATENATE(CHAR(10), CHAR(10), VLOOKUP(O11,'Shop Items'!$C:$W,10,FALSE))),
IF(VLOOKUP(O11,'Shop Items'!$C:$W,12,FALSE) = "",, CONCATENATE(CHAR(10), CHAR(10), "S: ", VLOOKUP(O11,'Shop Items'!$C:$W,12,FALSE))),
IF(VLOOKUP(O11,'Shop Items'!$C:$W,14,FALSE) = "",, CONCATENATE(CHAR(10), CHAR(10), "SS: ", VLOOKUP(O11,'Shop Items'!$C:$W,14,FALSE))),
)
,)
</f>
        <v/>
      </c>
      <c r="V11" s="200"/>
      <c r="W11" s="58" t="str">
        <f>IFERROR(__xludf.DUMMYFUNCTION("""COMPUTED_VALUE"""),"Carve a Path")</f>
        <v>Carve a Path</v>
      </c>
      <c r="X11" s="283"/>
      <c r="Y11" s="201"/>
      <c r="Z11" s="9"/>
      <c r="AA11" s="9"/>
    </row>
    <row r="12">
      <c r="A12" s="9"/>
      <c r="B12" s="53"/>
      <c r="C12" s="198" t="str">
        <f>'Main Page 1'!C11</f>
        <v/>
      </c>
      <c r="D12" s="118" t="str">
        <f>IFERROR(VLOOKUP(C12,'Shop Items'!$C:$W,2,FALSE),)</f>
        <v/>
      </c>
      <c r="E12" s="118" t="str">
        <f>IFERROR(VLOOKUP(C12,'Shop Items'!$C:$W,3,FALSE),)</f>
        <v/>
      </c>
      <c r="F12" s="118" t="str">
        <f>IFERROR(IF(VLOOKUP(C12,'Shop Items'!$C:$W,4,FALSE) = "", "-", VLOOKUP(C12,'Shop Items'!$C:$W,4,FALSE)),)</f>
        <v/>
      </c>
      <c r="G12" s="118" t="str">
        <f>IFERROR(IF(VLOOKUP(C12,'Shop Items'!$C:$W,5,FALSE) = "", "-", VLOOKUP(C12,'Shop Items'!$C:$W,5,FALSE)),)</f>
        <v/>
      </c>
      <c r="H12" s="118" t="str">
        <f>IFERROR(VLOOKUP(C12,'Shop Items'!$C:$W,7,FALSE),)</f>
        <v/>
      </c>
      <c r="I12" s="118" t="str">
        <f> IFERROR(
CONCATENATE(
IF(VLOOKUP(C12,'Shop Items'!$C:$W,8,FALSE) = "",, CONCATENATE(VLOOKUP(C12,'Shop Items'!$C:$W,8,FALSE))),
IF(VLOOKUP(C12,'Shop Items'!$C:$W,10,FALSE) = "",,CONCATENATE(CHAR(10), CHAR(10), VLOOKUP(C12,'Shop Items'!$C:$W,10,FALSE))),
IF(VLOOKUP(C12,'Shop Items'!$C:$W,12,FALSE) = "",, CONCATENATE(CHAR(10), CHAR(10), "S: ", VLOOKUP(C12,'Shop Items'!$C:$W,12,FALSE))),
IF(VLOOKUP(C12,'Shop Items'!$C:$W,14,FALSE) = "",, CONCATENATE(CHAR(10), CHAR(10), "SS: ", VLOOKUP(C12,'Shop Items'!$C:$W,14,FALSE))),
)
,)
</f>
        <v/>
      </c>
      <c r="J12" s="200"/>
      <c r="K12" s="58"/>
      <c r="L12" s="282"/>
      <c r="M12" s="201"/>
      <c r="N12" s="53"/>
      <c r="O12" s="198" t="str">
        <f>'Main Page'!J11</f>
        <v/>
      </c>
      <c r="P12" s="118" t="str">
        <f>IFERROR(VLOOKUP(O12,'Shop Items'!$C:$W,2,FALSE),)</f>
        <v/>
      </c>
      <c r="Q12" s="118" t="str">
        <f>IFERROR(VLOOKUP(O12,'Shop Items'!$C:$W,3,FALSE),)</f>
        <v/>
      </c>
      <c r="R12" s="118" t="str">
        <f>IFERROR(IF(VLOOKUP(O12,'Shop Items'!$C:$W,4,FALSE) = "", "-", VLOOKUP(O12,'Shop Items'!$C:$W,4,FALSE)),)</f>
        <v/>
      </c>
      <c r="S12" s="118" t="str">
        <f>IFERROR(IF(VLOOKUP(O12,'Shop Items'!$C:$W,5,FALSE) = "", "-", VLOOKUP(O12,'Shop Items'!$C:$W,5,FALSE)),)</f>
        <v/>
      </c>
      <c r="T12" s="118" t="str">
        <f>IFERROR(VLOOKUP(O12,'Shop Items'!$C:$W,7,FALSE),)</f>
        <v/>
      </c>
      <c r="U12" s="118" t="str">
        <f> IFERROR(
CONCATENATE(
IF(VLOOKUP(O12,'Shop Items'!$C:$W,8,FALSE) = "",, CONCATENATE(VLOOKUP(O12,'Shop Items'!$C:$W,8,FALSE))),
IF(VLOOKUP(O12,'Shop Items'!$C:$W,10,FALSE) = "",,CONCATENATE(CHAR(10), CHAR(10), VLOOKUP(O12,'Shop Items'!$C:$W,10,FALSE))),
IF(VLOOKUP(O12,'Shop Items'!$C:$W,12,FALSE) = "",, CONCATENATE(CHAR(10), CHAR(10), "S: ", VLOOKUP(O12,'Shop Items'!$C:$W,12,FALSE))),
IF(VLOOKUP(O12,'Shop Items'!$C:$W,14,FALSE) = "",, CONCATENATE(CHAR(10), CHAR(10), "SS: ", VLOOKUP(O12,'Shop Items'!$C:$W,14,FALSE))),
)
,)
</f>
        <v/>
      </c>
      <c r="V12" s="200"/>
      <c r="W12" s="58"/>
      <c r="X12" s="282"/>
      <c r="Y12" s="201"/>
      <c r="Z12" s="9"/>
      <c r="AA12" s="9"/>
    </row>
    <row r="13">
      <c r="A13" s="9"/>
      <c r="B13" s="53"/>
      <c r="C13" s="198" t="str">
        <f>'Main Page 1'!C12</f>
        <v/>
      </c>
      <c r="D13" s="118" t="str">
        <f>IFERROR(VLOOKUP(C13,'Shop Items'!$C:$W,2,FALSE),)</f>
        <v/>
      </c>
      <c r="E13" s="118" t="str">
        <f>IFERROR(VLOOKUP(C13,'Shop Items'!$C:$W,3,FALSE),)</f>
        <v/>
      </c>
      <c r="F13" s="118" t="str">
        <f>IFERROR(IF(VLOOKUP(C13,'Shop Items'!$C:$W,4,FALSE) = "", "-", VLOOKUP(C13,'Shop Items'!$C:$W,4,FALSE)),)</f>
        <v/>
      </c>
      <c r="G13" s="118" t="str">
        <f>IFERROR(IF(VLOOKUP(C13,'Shop Items'!$C:$W,5,FALSE) = "", "-", VLOOKUP(C13,'Shop Items'!$C:$W,5,FALSE)),)</f>
        <v/>
      </c>
      <c r="H13" s="118" t="str">
        <f>IFERROR(VLOOKUP(C13,'Shop Items'!$C:$W,7,FALSE),)</f>
        <v/>
      </c>
      <c r="I13" s="118" t="str">
        <f> IFERROR(
CONCATENATE(
IF(VLOOKUP(C13,'Shop Items'!$C:$W,8,FALSE) = "",, CONCATENATE(VLOOKUP(C13,'Shop Items'!$C:$W,8,FALSE))),
IF(VLOOKUP(C13,'Shop Items'!$C:$W,10,FALSE) = "",,CONCATENATE(CHAR(10), CHAR(10), VLOOKUP(C13,'Shop Items'!$C:$W,10,FALSE))),
IF(VLOOKUP(C13,'Shop Items'!$C:$W,12,FALSE) = "",, CONCATENATE(CHAR(10), CHAR(10), "S: ", VLOOKUP(C13,'Shop Items'!$C:$W,12,FALSE))),
IF(VLOOKUP(C13,'Shop Items'!$C:$W,14,FALSE) = "",, CONCATENATE(CHAR(10), CHAR(10), "SS: ", VLOOKUP(C13,'Shop Items'!$C:$W,14,FALSE))),
)
,)
</f>
        <v/>
      </c>
      <c r="J13" s="200"/>
      <c r="K13" s="58"/>
      <c r="L13" s="282"/>
      <c r="M13" s="201"/>
      <c r="N13" s="53"/>
      <c r="O13" s="198" t="str">
        <f>'Main Page'!J12</f>
        <v/>
      </c>
      <c r="P13" s="118" t="str">
        <f>IFERROR(VLOOKUP(O13,'Shop Items'!$C:$W,2,FALSE),)</f>
        <v/>
      </c>
      <c r="Q13" s="118" t="str">
        <f>IFERROR(VLOOKUP(O13,'Shop Items'!$C:$W,3,FALSE),)</f>
        <v/>
      </c>
      <c r="R13" s="118" t="str">
        <f>IFERROR(IF(VLOOKUP(O13,'Shop Items'!$C:$W,4,FALSE) = "", "-", VLOOKUP(O13,'Shop Items'!$C:$W,4,FALSE)),)</f>
        <v/>
      </c>
      <c r="S13" s="118" t="str">
        <f>IFERROR(IF(VLOOKUP(O13,'Shop Items'!$C:$W,5,FALSE) = "", "-", VLOOKUP(O13,'Shop Items'!$C:$W,5,FALSE)),)</f>
        <v/>
      </c>
      <c r="T13" s="118" t="str">
        <f>IFERROR(VLOOKUP(O13,'Shop Items'!$C:$W,7,FALSE),)</f>
        <v/>
      </c>
      <c r="U13" s="118" t="str">
        <f> IFERROR(
CONCATENATE(
IF(VLOOKUP(O13,'Shop Items'!$C:$W,8,FALSE) = "",, CONCATENATE(VLOOKUP(O13,'Shop Items'!$C:$W,8,FALSE))),
IF(VLOOKUP(O13,'Shop Items'!$C:$W,10,FALSE) = "",,CONCATENATE(CHAR(10), CHAR(10), VLOOKUP(O13,'Shop Items'!$C:$W,10,FALSE))),
IF(VLOOKUP(O13,'Shop Items'!$C:$W,12,FALSE) = "",, CONCATENATE(CHAR(10), CHAR(10), "S: ", VLOOKUP(O13,'Shop Items'!$C:$W,12,FALSE))),
IF(VLOOKUP(O13,'Shop Items'!$C:$W,14,FALSE) = "",, CONCATENATE(CHAR(10), CHAR(10), "SS: ", VLOOKUP(O13,'Shop Items'!$C:$W,14,FALSE))),
)
,)
</f>
        <v/>
      </c>
      <c r="V13" s="200"/>
      <c r="W13" s="58"/>
      <c r="X13" s="282"/>
      <c r="Y13" s="201"/>
      <c r="Z13" s="9"/>
      <c r="AA13" s="9"/>
    </row>
    <row r="14">
      <c r="A14" s="9"/>
      <c r="B14" s="53"/>
      <c r="C14" s="198" t="str">
        <f>'Main Page 1'!C13</f>
        <v/>
      </c>
      <c r="D14" s="118" t="str">
        <f>IFERROR(VLOOKUP(C14,'Shop Items'!$C:$W,2,FALSE),)</f>
        <v/>
      </c>
      <c r="E14" s="118" t="str">
        <f>IFERROR(VLOOKUP(C14,'Shop Items'!$C:$W,3,FALSE),)</f>
        <v/>
      </c>
      <c r="F14" s="118" t="str">
        <f>IFERROR(IF(VLOOKUP(C14,'Shop Items'!$C:$W,4,FALSE) = "", "-", VLOOKUP(C14,'Shop Items'!$C:$W,4,FALSE)),)</f>
        <v/>
      </c>
      <c r="G14" s="118" t="str">
        <f>IFERROR(IF(VLOOKUP(C14,'Shop Items'!$C:$W,5,FALSE) = "", "-", VLOOKUP(C14,'Shop Items'!$C:$W,5,FALSE)),)</f>
        <v/>
      </c>
      <c r="H14" s="118" t="str">
        <f>IFERROR(VLOOKUP(C14,'Shop Items'!$C:$W,7,FALSE),)</f>
        <v/>
      </c>
      <c r="I14" s="118" t="str">
        <f> IFERROR(
CONCATENATE(
IF(VLOOKUP(C14,'Shop Items'!$C:$W,8,FALSE) = "",, CONCATENATE(VLOOKUP(C14,'Shop Items'!$C:$W,8,FALSE))),
IF(VLOOKUP(C14,'Shop Items'!$C:$W,10,FALSE) = "",,CONCATENATE(CHAR(10), CHAR(10), VLOOKUP(C14,'Shop Items'!$C:$W,10,FALSE))),
IF(VLOOKUP(C14,'Shop Items'!$C:$W,12,FALSE) = "",, CONCATENATE(CHAR(10), CHAR(10), "S: ", VLOOKUP(C14,'Shop Items'!$C:$W,12,FALSE))),
IF(VLOOKUP(C14,'Shop Items'!$C:$W,14,FALSE) = "",, CONCATENATE(CHAR(10), CHAR(10), "SS: ", VLOOKUP(C14,'Shop Items'!$C:$W,14,FALSE))),
)
,)
</f>
        <v/>
      </c>
      <c r="K14" s="58"/>
      <c r="L14" s="282"/>
      <c r="M14" s="201"/>
      <c r="N14" s="53"/>
      <c r="O14" s="198" t="str">
        <f>'Main Page'!J13</f>
        <v/>
      </c>
      <c r="P14" s="118" t="str">
        <f>IFERROR(VLOOKUP(O14,'Shop Items'!$C:$W,2,FALSE),)</f>
        <v/>
      </c>
      <c r="Q14" s="118" t="str">
        <f>IFERROR(VLOOKUP(O14,'Shop Items'!$C:$W,3,FALSE),)</f>
        <v/>
      </c>
      <c r="R14" s="118" t="str">
        <f>IFERROR(IF(VLOOKUP(O14,'Shop Items'!$C:$W,4,FALSE) = "", "-", VLOOKUP(O14,'Shop Items'!$C:$W,4,FALSE)),)</f>
        <v/>
      </c>
      <c r="S14" s="118" t="str">
        <f>IFERROR(IF(VLOOKUP(O14,'Shop Items'!$C:$W,5,FALSE) = "", "-", VLOOKUP(O14,'Shop Items'!$C:$W,5,FALSE)),)</f>
        <v/>
      </c>
      <c r="T14" s="118" t="str">
        <f>IFERROR(VLOOKUP(O14,'Shop Items'!$C:$W,7,FALSE),)</f>
        <v/>
      </c>
      <c r="U14" s="118" t="str">
        <f> IFERROR(
CONCATENATE(
IF(VLOOKUP(O14,'Shop Items'!$C:$W,8,FALSE) = "",, CONCATENATE(VLOOKUP(O14,'Shop Items'!$C:$W,8,FALSE))),
IF(VLOOKUP(O14,'Shop Items'!$C:$W,10,FALSE) = "",,CONCATENATE(CHAR(10), CHAR(10), VLOOKUP(O14,'Shop Items'!$C:$W,10,FALSE))),
IF(VLOOKUP(O14,'Shop Items'!$C:$W,12,FALSE) = "",, CONCATENATE(CHAR(10), CHAR(10), "S: ", VLOOKUP(O14,'Shop Items'!$C:$W,12,FALSE))),
IF(VLOOKUP(O14,'Shop Items'!$C:$W,14,FALSE) = "",, CONCATENATE(CHAR(10), CHAR(10), "SS: ", VLOOKUP(O14,'Shop Items'!$C:$W,14,FALSE))),
)
,)
</f>
        <v/>
      </c>
      <c r="W14" s="58"/>
      <c r="X14" s="282"/>
      <c r="Y14" s="201"/>
      <c r="Z14" s="9"/>
      <c r="AA14" s="9"/>
    </row>
    <row r="15">
      <c r="A15" s="9"/>
      <c r="B15" s="53"/>
      <c r="C15" s="198" t="str">
        <f>'Main Page 1'!C14</f>
        <v/>
      </c>
      <c r="D15" s="118" t="str">
        <f>IFERROR(VLOOKUP(C15,'Shop Items'!$C:$W,2,FALSE),)</f>
        <v/>
      </c>
      <c r="E15" s="118" t="str">
        <f>IFERROR(VLOOKUP(C15,'Shop Items'!$C:$W,3,FALSE),)</f>
        <v/>
      </c>
      <c r="F15" s="118" t="str">
        <f>IFERROR(IF(VLOOKUP(C15,'Shop Items'!$C:$W,4,FALSE) = "", "-", VLOOKUP(C15,'Shop Items'!$C:$W,4,FALSE)),)</f>
        <v/>
      </c>
      <c r="G15" s="118" t="str">
        <f>IFERROR(IF(VLOOKUP(C15,'Shop Items'!$C:$W,5,FALSE) = "", "-", VLOOKUP(C15,'Shop Items'!$C:$W,5,FALSE)),)</f>
        <v/>
      </c>
      <c r="H15" s="118" t="str">
        <f>IFERROR(VLOOKUP(C15,'Shop Items'!$C:$W,7,FALSE),)</f>
        <v/>
      </c>
      <c r="I15" s="118" t="str">
        <f> IFERROR(
CONCATENATE(
IF(VLOOKUP(C15,'Shop Items'!$C:$W,8,FALSE) = "",, CONCATENATE(VLOOKUP(C15,'Shop Items'!$C:$W,8,FALSE))),
IF(VLOOKUP(C15,'Shop Items'!$C:$W,10,FALSE) = "",,CONCATENATE(CHAR(10), CHAR(10), VLOOKUP(C15,'Shop Items'!$C:$W,10,FALSE))),
IF(VLOOKUP(C15,'Shop Items'!$C:$W,12,FALSE) = "",, CONCATENATE(CHAR(10), CHAR(10), "S: ", VLOOKUP(C15,'Shop Items'!$C:$W,12,FALSE))),
IF(VLOOKUP(C15,'Shop Items'!$C:$W,14,FALSE) = "",, CONCATENATE(CHAR(10), CHAR(10), "SS: ", VLOOKUP(C15,'Shop Items'!$C:$W,14,FALSE))),
)
,)
</f>
        <v/>
      </c>
      <c r="K15" s="58"/>
      <c r="L15" s="282"/>
      <c r="M15" s="201"/>
      <c r="N15" s="53"/>
      <c r="O15" s="198" t="str">
        <f>'Main Page'!J14</f>
        <v/>
      </c>
      <c r="P15" s="118" t="str">
        <f>IFERROR(VLOOKUP(O15,'Shop Items'!$C:$W,2,FALSE),)</f>
        <v/>
      </c>
      <c r="Q15" s="118" t="str">
        <f>IFERROR(VLOOKUP(O15,'Shop Items'!$C:$W,3,FALSE),)</f>
        <v/>
      </c>
      <c r="R15" s="118" t="str">
        <f>IFERROR(IF(VLOOKUP(O15,'Shop Items'!$C:$W,4,FALSE) = "", "-", VLOOKUP(O15,'Shop Items'!$C:$W,4,FALSE)),)</f>
        <v/>
      </c>
      <c r="S15" s="118" t="str">
        <f>IFERROR(IF(VLOOKUP(O15,'Shop Items'!$C:$W,5,FALSE) = "", "-", VLOOKUP(O15,'Shop Items'!$C:$W,5,FALSE)),)</f>
        <v/>
      </c>
      <c r="T15" s="118" t="str">
        <f>IFERROR(VLOOKUP(O15,'Shop Items'!$C:$W,7,FALSE),)</f>
        <v/>
      </c>
      <c r="U15" s="118" t="str">
        <f> IFERROR(
CONCATENATE(
IF(VLOOKUP(O15,'Shop Items'!$C:$W,8,FALSE) = "",, CONCATENATE(VLOOKUP(O15,'Shop Items'!$C:$W,8,FALSE))),
IF(VLOOKUP(O15,'Shop Items'!$C:$W,10,FALSE) = "",,CONCATENATE(CHAR(10), CHAR(10), VLOOKUP(O15,'Shop Items'!$C:$W,10,FALSE))),
IF(VLOOKUP(O15,'Shop Items'!$C:$W,12,FALSE) = "",, CONCATENATE(CHAR(10), CHAR(10), "S: ", VLOOKUP(O15,'Shop Items'!$C:$W,12,FALSE))),
IF(VLOOKUP(O15,'Shop Items'!$C:$W,14,FALSE) = "",, CONCATENATE(CHAR(10), CHAR(10), "SS: ", VLOOKUP(O15,'Shop Items'!$C:$W,14,FALSE))),
)
,)
</f>
        <v/>
      </c>
      <c r="W15" s="58"/>
      <c r="X15" s="282"/>
      <c r="Y15" s="201"/>
      <c r="Z15" s="9"/>
      <c r="AA15" s="9"/>
    </row>
    <row r="16">
      <c r="A16" s="9"/>
      <c r="B16" s="53"/>
      <c r="C16" s="198" t="str">
        <f>'Main Page 1'!C15</f>
        <v/>
      </c>
      <c r="D16" s="118" t="str">
        <f>IFERROR(VLOOKUP(C16,'Shop Items'!$C:$W,2,FALSE),)</f>
        <v/>
      </c>
      <c r="E16" s="118" t="str">
        <f>IFERROR(VLOOKUP(C16,'Shop Items'!$C:$W,3,FALSE),)</f>
        <v/>
      </c>
      <c r="F16" s="118" t="str">
        <f>IFERROR(IF(VLOOKUP(C16,'Shop Items'!$C:$W,4,FALSE) = "", "-", VLOOKUP(C16,'Shop Items'!$C:$W,4,FALSE)),)</f>
        <v/>
      </c>
      <c r="G16" s="118" t="str">
        <f>IFERROR(IF(VLOOKUP(C16,'Shop Items'!$C:$W,5,FALSE) = "", "-", VLOOKUP(C16,'Shop Items'!$C:$W,5,FALSE)),)</f>
        <v/>
      </c>
      <c r="H16" s="118" t="str">
        <f>IFERROR(VLOOKUP(C16,'Shop Items'!$C:$W,7,FALSE),)</f>
        <v/>
      </c>
      <c r="I16" s="118" t="str">
        <f> IFERROR(
CONCATENATE(
IF(VLOOKUP(C16,'Shop Items'!$C:$W,8,FALSE) = "",, CONCATENATE(VLOOKUP(C16,'Shop Items'!$C:$W,8,FALSE))),
IF(VLOOKUP(C16,'Shop Items'!$C:$W,10,FALSE) = "",,CONCATENATE(CHAR(10), CHAR(10), VLOOKUP(C16,'Shop Items'!$C:$W,10,FALSE))),
IF(VLOOKUP(C16,'Shop Items'!$C:$W,12,FALSE) = "",, CONCATENATE(CHAR(10), CHAR(10), "S: ", VLOOKUP(C16,'Shop Items'!$C:$W,12,FALSE))),
IF(VLOOKUP(C16,'Shop Items'!$C:$W,14,FALSE) = "",, CONCATENATE(CHAR(10), CHAR(10), "SS: ", VLOOKUP(C16,'Shop Items'!$C:$W,14,FALSE))),
)
,)
</f>
        <v/>
      </c>
      <c r="K16" s="58"/>
      <c r="L16" s="282"/>
      <c r="M16" s="201"/>
      <c r="N16" s="53"/>
      <c r="O16" s="198" t="str">
        <f>'Main Page'!J15</f>
        <v/>
      </c>
      <c r="P16" s="118" t="str">
        <f>IFERROR(VLOOKUP(O16,'Shop Items'!$C:$W,2,FALSE),)</f>
        <v/>
      </c>
      <c r="Q16" s="118" t="str">
        <f>IFERROR(VLOOKUP(O16,'Shop Items'!$C:$W,3,FALSE),)</f>
        <v/>
      </c>
      <c r="R16" s="118" t="str">
        <f>IFERROR(IF(VLOOKUP(O16,'Shop Items'!$C:$W,4,FALSE) = "", "-", VLOOKUP(O16,'Shop Items'!$C:$W,4,FALSE)),)</f>
        <v/>
      </c>
      <c r="S16" s="118" t="str">
        <f>IFERROR(IF(VLOOKUP(O16,'Shop Items'!$C:$W,5,FALSE) = "", "-", VLOOKUP(O16,'Shop Items'!$C:$W,5,FALSE)),)</f>
        <v/>
      </c>
      <c r="T16" s="118" t="str">
        <f>IFERROR(VLOOKUP(O16,'Shop Items'!$C:$W,7,FALSE),)</f>
        <v/>
      </c>
      <c r="U16" s="118" t="str">
        <f> IFERROR(
CONCATENATE(
IF(VLOOKUP(O16,'Shop Items'!$C:$W,8,FALSE) = "",, CONCATENATE(VLOOKUP(O16,'Shop Items'!$C:$W,8,FALSE))),
IF(VLOOKUP(O16,'Shop Items'!$C:$W,10,FALSE) = "",,CONCATENATE(CHAR(10), CHAR(10), VLOOKUP(O16,'Shop Items'!$C:$W,10,FALSE))),
IF(VLOOKUP(O16,'Shop Items'!$C:$W,12,FALSE) = "",, CONCATENATE(CHAR(10), CHAR(10), "S: ", VLOOKUP(O16,'Shop Items'!$C:$W,12,FALSE))),
IF(VLOOKUP(O16,'Shop Items'!$C:$W,14,FALSE) = "",, CONCATENATE(CHAR(10), CHAR(10), "SS: ", VLOOKUP(O16,'Shop Items'!$C:$W,14,FALSE))),
)
,)
</f>
        <v/>
      </c>
      <c r="W16" s="58"/>
      <c r="X16" s="282"/>
      <c r="Y16" s="201"/>
      <c r="Z16" s="9"/>
      <c r="AA16" s="9"/>
    </row>
    <row r="17">
      <c r="A17" s="9"/>
      <c r="B17" s="53"/>
      <c r="C17" s="198" t="str">
        <f>'Main Page 1'!C16</f>
        <v/>
      </c>
      <c r="D17" s="118" t="str">
        <f>IFERROR(VLOOKUP(C17,'Shop Items'!$C:$W,2,FALSE),)</f>
        <v/>
      </c>
      <c r="E17" s="118" t="str">
        <f>IFERROR(VLOOKUP(C17,'Shop Items'!$C:$W,3,FALSE),)</f>
        <v/>
      </c>
      <c r="F17" s="118" t="str">
        <f>IFERROR(IF(VLOOKUP(C17,'Shop Items'!$C:$W,4,FALSE) = "", "-", VLOOKUP(C17,'Shop Items'!$C:$W,4,FALSE)),)</f>
        <v/>
      </c>
      <c r="G17" s="118" t="str">
        <f>IFERROR(IF(VLOOKUP(C17,'Shop Items'!$C:$W,5,FALSE) = "", "-", VLOOKUP(C17,'Shop Items'!$C:$W,5,FALSE)),)</f>
        <v/>
      </c>
      <c r="H17" s="118" t="str">
        <f>IFERROR(VLOOKUP(C17,'Shop Items'!$C:$W,7,FALSE),)</f>
        <v/>
      </c>
      <c r="I17" s="118" t="str">
        <f> IFERROR(
CONCATENATE(
IF(VLOOKUP(C17,'Shop Items'!$C:$W,8,FALSE) = "",, CONCATENATE(VLOOKUP(C17,'Shop Items'!$C:$W,8,FALSE))),
IF(VLOOKUP(C17,'Shop Items'!$C:$W,10,FALSE) = "",,CONCATENATE(CHAR(10), CHAR(10), VLOOKUP(C17,'Shop Items'!$C:$W,10,FALSE))),
IF(VLOOKUP(C17,'Shop Items'!$C:$W,12,FALSE) = "",, CONCATENATE(CHAR(10), CHAR(10), "S: ", VLOOKUP(C17,'Shop Items'!$C:$W,12,FALSE))),
IF(VLOOKUP(C17,'Shop Items'!$C:$W,14,FALSE) = "",, CONCATENATE(CHAR(10), CHAR(10), "SS: ", VLOOKUP(C17,'Shop Items'!$C:$W,14,FALSE))),
)
,)
</f>
        <v/>
      </c>
      <c r="K17" s="58"/>
      <c r="L17" s="282"/>
      <c r="M17" s="201"/>
      <c r="N17" s="53"/>
      <c r="O17" s="198" t="str">
        <f>'Main Page'!J16</f>
        <v/>
      </c>
      <c r="P17" s="118" t="str">
        <f>IFERROR(VLOOKUP(O17,'Shop Items'!$C:$W,2,FALSE),)</f>
        <v/>
      </c>
      <c r="Q17" s="118" t="str">
        <f>IFERROR(VLOOKUP(O17,'Shop Items'!$C:$W,3,FALSE),)</f>
        <v/>
      </c>
      <c r="R17" s="118" t="str">
        <f>IFERROR(IF(VLOOKUP(O17,'Shop Items'!$C:$W,4,FALSE) = "", "-", VLOOKUP(O17,'Shop Items'!$C:$W,4,FALSE)),)</f>
        <v/>
      </c>
      <c r="S17" s="118" t="str">
        <f>IFERROR(IF(VLOOKUP(O17,'Shop Items'!$C:$W,5,FALSE) = "", "-", VLOOKUP(O17,'Shop Items'!$C:$W,5,FALSE)),)</f>
        <v/>
      </c>
      <c r="T17" s="118" t="str">
        <f>IFERROR(VLOOKUP(O17,'Shop Items'!$C:$W,7,FALSE),)</f>
        <v/>
      </c>
      <c r="U17" s="118" t="str">
        <f> IFERROR(
CONCATENATE(
IF(VLOOKUP(O17,'Shop Items'!$C:$W,8,FALSE) = "",, CONCATENATE(VLOOKUP(O17,'Shop Items'!$C:$W,8,FALSE))),
IF(VLOOKUP(O17,'Shop Items'!$C:$W,10,FALSE) = "",,CONCATENATE(CHAR(10), CHAR(10), VLOOKUP(O17,'Shop Items'!$C:$W,10,FALSE))),
IF(VLOOKUP(O17,'Shop Items'!$C:$W,12,FALSE) = "",, CONCATENATE(CHAR(10), CHAR(10), "S: ", VLOOKUP(O17,'Shop Items'!$C:$W,12,FALSE))),
IF(VLOOKUP(O17,'Shop Items'!$C:$W,14,FALSE) = "",, CONCATENATE(CHAR(10), CHAR(10), "SS: ", VLOOKUP(O17,'Shop Items'!$C:$W,14,FALSE))),
)
,)
</f>
        <v/>
      </c>
      <c r="W17" s="58"/>
      <c r="X17" s="282"/>
      <c r="Y17" s="201"/>
      <c r="Z17" s="9"/>
      <c r="AA17" s="9"/>
    </row>
    <row r="18">
      <c r="A18" s="9"/>
      <c r="B18" s="53"/>
      <c r="C18" s="198" t="str">
        <f>'Main Page 1'!C17</f>
        <v/>
      </c>
      <c r="D18" s="118" t="str">
        <f>IFERROR(VLOOKUP(C18,'Shop Items'!$C:$W,2,FALSE),)</f>
        <v/>
      </c>
      <c r="E18" s="118" t="str">
        <f>IFERROR(VLOOKUP(C18,'Shop Items'!$C:$W,3,FALSE),)</f>
        <v/>
      </c>
      <c r="F18" s="118" t="str">
        <f>IFERROR(IF(VLOOKUP(C18,'Shop Items'!$C:$W,4,FALSE) = "", "-", VLOOKUP(C18,'Shop Items'!$C:$W,4,FALSE)),)</f>
        <v/>
      </c>
      <c r="G18" s="118" t="str">
        <f>IFERROR(IF(VLOOKUP(C18,'Shop Items'!$C:$W,5,FALSE) = "", "-", VLOOKUP(C18,'Shop Items'!$C:$W,5,FALSE)),)</f>
        <v/>
      </c>
      <c r="H18" s="118" t="str">
        <f>IFERROR(VLOOKUP(C18,'Shop Items'!$C:$W,7,FALSE),)</f>
        <v/>
      </c>
      <c r="I18" s="118" t="str">
        <f> IFERROR(
CONCATENATE(
IF(VLOOKUP(C18,'Shop Items'!$C:$W,8,FALSE) = "",, CONCATENATE(VLOOKUP(C18,'Shop Items'!$C:$W,8,FALSE))),
IF(VLOOKUP(C18,'Shop Items'!$C:$W,10,FALSE) = "",,CONCATENATE(CHAR(10), CHAR(10), VLOOKUP(C18,'Shop Items'!$C:$W,10,FALSE))),
IF(VLOOKUP(C18,'Shop Items'!$C:$W,12,FALSE) = "",, CONCATENATE(CHAR(10), CHAR(10), "S: ", VLOOKUP(C18,'Shop Items'!$C:$W,12,FALSE))),
IF(VLOOKUP(C18,'Shop Items'!$C:$W,14,FALSE) = "",, CONCATENATE(CHAR(10), CHAR(10), "SS: ", VLOOKUP(C18,'Shop Items'!$C:$W,14,FALSE))),
)
,)
</f>
        <v/>
      </c>
      <c r="K18" s="58"/>
      <c r="L18" s="282"/>
      <c r="M18" s="201"/>
      <c r="N18" s="53"/>
      <c r="O18" s="198" t="str">
        <f>'Main Page'!J17</f>
        <v/>
      </c>
      <c r="P18" s="118" t="str">
        <f>IFERROR(VLOOKUP(O18,'Shop Items'!$C:$W,2,FALSE),)</f>
        <v/>
      </c>
      <c r="Q18" s="118" t="str">
        <f>IFERROR(VLOOKUP(O18,'Shop Items'!$C:$W,3,FALSE),)</f>
        <v/>
      </c>
      <c r="R18" s="118" t="str">
        <f>IFERROR(IF(VLOOKUP(O18,'Shop Items'!$C:$W,4,FALSE) = "", "-", VLOOKUP(O18,'Shop Items'!$C:$W,4,FALSE)),)</f>
        <v/>
      </c>
      <c r="S18" s="118" t="str">
        <f>IFERROR(IF(VLOOKUP(O18,'Shop Items'!$C:$W,5,FALSE) = "", "-", VLOOKUP(O18,'Shop Items'!$C:$W,5,FALSE)),)</f>
        <v/>
      </c>
      <c r="T18" s="118" t="str">
        <f>IFERROR(VLOOKUP(O18,'Shop Items'!$C:$W,7,FALSE),)</f>
        <v/>
      </c>
      <c r="U18" s="118" t="str">
        <f> IFERROR(
CONCATENATE(
IF(VLOOKUP(O18,'Shop Items'!$C:$W,8,FALSE) = "",, CONCATENATE(VLOOKUP(O18,'Shop Items'!$C:$W,8,FALSE))),
IF(VLOOKUP(O18,'Shop Items'!$C:$W,10,FALSE) = "",,CONCATENATE(CHAR(10), CHAR(10), VLOOKUP(O18,'Shop Items'!$C:$W,10,FALSE))),
IF(VLOOKUP(O18,'Shop Items'!$C:$W,12,FALSE) = "",, CONCATENATE(CHAR(10), CHAR(10), "S: ", VLOOKUP(O18,'Shop Items'!$C:$W,12,FALSE))),
IF(VLOOKUP(O18,'Shop Items'!$C:$W,14,FALSE) = "",, CONCATENATE(CHAR(10), CHAR(10), "SS: ", VLOOKUP(O18,'Shop Items'!$C:$W,14,FALSE))),
)
,)
</f>
        <v/>
      </c>
      <c r="W18" s="58"/>
      <c r="X18" s="282"/>
      <c r="Y18" s="201"/>
      <c r="Z18" s="9"/>
      <c r="AA18" s="9"/>
    </row>
    <row r="19">
      <c r="A19" s="9"/>
      <c r="B19" s="53"/>
      <c r="C19" s="198" t="str">
        <f>'Main Page 1'!C18</f>
        <v/>
      </c>
      <c r="D19" s="118" t="str">
        <f>IFERROR(VLOOKUP(C19,'Shop Items'!$C:$W,2,FALSE),)</f>
        <v/>
      </c>
      <c r="E19" s="118" t="str">
        <f>IFERROR(VLOOKUP(C19,'Shop Items'!$C:$W,3,FALSE),)</f>
        <v/>
      </c>
      <c r="F19" s="118" t="str">
        <f>IFERROR(IF(VLOOKUP(C19,'Shop Items'!$C:$W,4,FALSE) = "", "-", VLOOKUP(C19,'Shop Items'!$C:$W,4,FALSE)),)</f>
        <v/>
      </c>
      <c r="G19" s="118" t="str">
        <f>IFERROR(IF(VLOOKUP(C19,'Shop Items'!$C:$W,5,FALSE) = "", "-", VLOOKUP(C19,'Shop Items'!$C:$W,5,FALSE)),)</f>
        <v/>
      </c>
      <c r="H19" s="118" t="str">
        <f>IFERROR(VLOOKUP(C19,'Shop Items'!$C:$W,7,FALSE),)</f>
        <v/>
      </c>
      <c r="I19" s="118" t="str">
        <f> IFERROR(
CONCATENATE(
IF(VLOOKUP(C19,'Shop Items'!$C:$W,8,FALSE) = "",, CONCATENATE(VLOOKUP(C19,'Shop Items'!$C:$W,8,FALSE))),
IF(VLOOKUP(C19,'Shop Items'!$C:$W,10,FALSE) = "",,CONCATENATE(CHAR(10), CHAR(10), VLOOKUP(C19,'Shop Items'!$C:$W,10,FALSE))),
IF(VLOOKUP(C19,'Shop Items'!$C:$W,12,FALSE) = "",, CONCATENATE(CHAR(10), CHAR(10), "S: ", VLOOKUP(C19,'Shop Items'!$C:$W,12,FALSE))),
IF(VLOOKUP(C19,'Shop Items'!$C:$W,14,FALSE) = "",, CONCATENATE(CHAR(10), CHAR(10), "SS: ", VLOOKUP(C19,'Shop Items'!$C:$W,14,FALSE))),
)
,)
</f>
        <v/>
      </c>
      <c r="K19" s="58"/>
      <c r="L19" s="282"/>
      <c r="M19" s="201"/>
      <c r="N19" s="53"/>
      <c r="O19" s="198" t="str">
        <f>'Main Page'!J18</f>
        <v/>
      </c>
      <c r="P19" s="118" t="str">
        <f>IFERROR(VLOOKUP(O19,'Shop Items'!$C:$W,2,FALSE),)</f>
        <v/>
      </c>
      <c r="Q19" s="118" t="str">
        <f>IFERROR(VLOOKUP(O19,'Shop Items'!$C:$W,3,FALSE),)</f>
        <v/>
      </c>
      <c r="R19" s="118" t="str">
        <f>IFERROR(IF(VLOOKUP(O19,'Shop Items'!$C:$W,4,FALSE) = "", "-", VLOOKUP(O19,'Shop Items'!$C:$W,4,FALSE)),)</f>
        <v/>
      </c>
      <c r="S19" s="118" t="str">
        <f>IFERROR(IF(VLOOKUP(O19,'Shop Items'!$C:$W,5,FALSE) = "", "-", VLOOKUP(O19,'Shop Items'!$C:$W,5,FALSE)),)</f>
        <v/>
      </c>
      <c r="T19" s="118" t="str">
        <f>IFERROR(VLOOKUP(O19,'Shop Items'!$C:$W,7,FALSE),)</f>
        <v/>
      </c>
      <c r="U19" s="118" t="str">
        <f> IFERROR(
CONCATENATE(
IF(VLOOKUP(O19,'Shop Items'!$C:$W,8,FALSE) = "",, CONCATENATE(VLOOKUP(O19,'Shop Items'!$C:$W,8,FALSE))),
IF(VLOOKUP(O19,'Shop Items'!$C:$W,10,FALSE) = "",,CONCATENATE(CHAR(10), CHAR(10), VLOOKUP(O19,'Shop Items'!$C:$W,10,FALSE))),
IF(VLOOKUP(O19,'Shop Items'!$C:$W,12,FALSE) = "",, CONCATENATE(CHAR(10), CHAR(10), "S: ", VLOOKUP(O19,'Shop Items'!$C:$W,12,FALSE))),
IF(VLOOKUP(O19,'Shop Items'!$C:$W,14,FALSE) = "",, CONCATENATE(CHAR(10), CHAR(10), "SS: ", VLOOKUP(O19,'Shop Items'!$C:$W,14,FALSE))),
)
,)
</f>
        <v/>
      </c>
      <c r="W19" s="58"/>
      <c r="X19" s="282"/>
      <c r="Y19" s="201"/>
      <c r="Z19" s="9"/>
      <c r="AA19" s="9"/>
    </row>
    <row r="20">
      <c r="A20" s="9"/>
      <c r="B20" s="53"/>
      <c r="C20" s="228" t="s">
        <v>1438</v>
      </c>
      <c r="D20" s="80"/>
      <c r="E20" s="80"/>
      <c r="F20" s="80"/>
      <c r="G20" s="80"/>
      <c r="H20" s="80"/>
      <c r="I20" s="80"/>
      <c r="J20" s="80"/>
      <c r="K20" s="80"/>
      <c r="L20" s="81"/>
      <c r="M20" s="201"/>
      <c r="N20" s="53"/>
      <c r="O20" s="228" t="s">
        <v>1438</v>
      </c>
      <c r="P20" s="80"/>
      <c r="Q20" s="80"/>
      <c r="R20" s="80"/>
      <c r="S20" s="80"/>
      <c r="T20" s="80"/>
      <c r="U20" s="80"/>
      <c r="V20" s="80"/>
      <c r="W20" s="80"/>
      <c r="X20" s="81"/>
      <c r="Y20" s="201"/>
      <c r="Z20" s="9"/>
      <c r="AA20" s="9"/>
    </row>
    <row r="21">
      <c r="A21" s="9"/>
      <c r="B21" s="53"/>
      <c r="C21" s="256" t="s">
        <v>435</v>
      </c>
      <c r="D21" s="287" t="s">
        <v>1489</v>
      </c>
      <c r="E21" s="286" t="s">
        <v>1490</v>
      </c>
      <c r="F21" s="287" t="s">
        <v>1425</v>
      </c>
      <c r="G21" s="286" t="s">
        <v>1491</v>
      </c>
      <c r="H21" s="286" t="s">
        <v>1492</v>
      </c>
      <c r="I21" s="287" t="s">
        <v>1493</v>
      </c>
      <c r="J21" s="287" t="s">
        <v>1494</v>
      </c>
      <c r="K21" s="84"/>
      <c r="L21" s="203"/>
      <c r="M21" s="254"/>
      <c r="N21" s="53"/>
      <c r="O21" s="256" t="s">
        <v>435</v>
      </c>
      <c r="P21" s="287" t="s">
        <v>1489</v>
      </c>
      <c r="Q21" s="286" t="s">
        <v>1490</v>
      </c>
      <c r="R21" s="287" t="s">
        <v>1425</v>
      </c>
      <c r="S21" s="286" t="s">
        <v>1491</v>
      </c>
      <c r="T21" s="286" t="s">
        <v>1492</v>
      </c>
      <c r="U21" s="287" t="s">
        <v>1493</v>
      </c>
      <c r="V21" s="287" t="s">
        <v>1494</v>
      </c>
      <c r="W21" s="84"/>
      <c r="X21" s="203"/>
      <c r="Y21" s="254"/>
      <c r="Z21" s="9"/>
      <c r="AA21" s="9"/>
    </row>
    <row r="22">
      <c r="A22" s="9"/>
      <c r="B22" s="53"/>
      <c r="C22" s="288" t="str">
        <f>'Main Page 1'!C20</f>
        <v>Reanimate</v>
      </c>
      <c r="D22" s="289">
        <f>IFERROR(VLOOKUP(C22,Familiars!$B:$P,4,FALSE),)</f>
        <v>3</v>
      </c>
      <c r="E22" s="289">
        <f>IFERROR(VLOOKUP(C22,Familiars!$B:$P,5,FALSE),)</f>
        <v>4</v>
      </c>
      <c r="F22" s="289" t="str">
        <f>IFERROR(VLOOKUP(C22,Familiars!$B:$P,6,FALSE),)</f>
        <v>-</v>
      </c>
      <c r="G22" s="289" t="str">
        <f>IFERROR(VLOOKUP(C22,Familiars!$B:$P,8,FALSE),)</f>
        <v>Melee</v>
      </c>
      <c r="H22" s="289">
        <f>IFERROR(VLOOKUP(C22,Familiars!$B:$P,10,FALSE),)</f>
        <v>3.333333333</v>
      </c>
      <c r="I22" s="289" t="str">
        <f>IFERROR(VLOOKUP(C22,Familiars!$B:$P,12,FALSE),)</f>
        <v>+1 Wound</v>
      </c>
      <c r="J22" s="140" t="str">
        <f>IFERROR(VLOOKUP(C22,vote4TRAITS!$A:$B,2,FALSE),)</f>
        <v>This familiar cannot recover any amount of Heart. It may perform 1 attack action during its activation.</v>
      </c>
      <c r="L22" s="200"/>
      <c r="M22" s="254"/>
      <c r="N22" s="53"/>
      <c r="O22" s="290" t="str">
        <f>IFERROR(__xludf.DUMMYFUNCTION("IFERROR(FILTER(Familiars!$B:$B,(Familiars!$A:$A = O3) + (Familiars!$A:$A = Q3)),)"),"")</f>
        <v/>
      </c>
      <c r="P22" s="289" t="str">
        <f>IFERROR(VLOOKUP(O22,Familiars!$B:$P,4,FALSE),)</f>
        <v/>
      </c>
      <c r="Q22" s="289" t="str">
        <f>IFERROR(VLOOKUP(O22,Familiars!$B:$P,5,FALSE),)</f>
        <v/>
      </c>
      <c r="R22" s="289" t="str">
        <f>IFERROR(VLOOKUP(O22,Familiars!$B:$P,6,FALSE),)</f>
        <v/>
      </c>
      <c r="S22" s="289" t="str">
        <f>IFERROR(VLOOKUP(O22,Familiars!$B:$P,8,FALSE),)</f>
        <v/>
      </c>
      <c r="T22" s="289" t="str">
        <f>IFERROR(VLOOKUP(O22,Familiars!$B:$P,10,FALSE),)</f>
        <v/>
      </c>
      <c r="U22" s="289" t="str">
        <f>IFERROR(VLOOKUP(O22,Familiars!$B:$P,12,FALSE),)</f>
        <v/>
      </c>
      <c r="V22" s="140" t="str">
        <f>IFERROR(VLOOKUP(O22,vote4TRAITS!$A:$B,2,FALSE),)</f>
        <v/>
      </c>
      <c r="X22" s="200"/>
      <c r="Y22" s="254"/>
      <c r="Z22" s="9"/>
      <c r="AA22" s="9"/>
    </row>
    <row r="23" ht="15.75" customHeight="1">
      <c r="A23" s="9"/>
      <c r="B23" s="52"/>
      <c r="C23" s="291" t="str">
        <f>'Main Page 1'!C21</f>
        <v>Brightblaze</v>
      </c>
      <c r="D23" s="286">
        <f>IFERROR(VLOOKUP(C23,Familiars!$B:$P,4,FALSE),)</f>
        <v>5</v>
      </c>
      <c r="E23" s="286">
        <f>IFERROR(VLOOKUP(C23,Familiars!$B:$P,5,FALSE),)</f>
        <v>6</v>
      </c>
      <c r="F23" s="286" t="str">
        <f>IFERROR(VLOOKUP(C23,Familiars!$B:$P,6,FALSE),)</f>
        <v>Grey</v>
      </c>
      <c r="G23" s="286" t="str">
        <f>IFERROR(VLOOKUP(C23,Familiars!$B:$P,8,FALSE),)</f>
        <v>Melee</v>
      </c>
      <c r="H23" s="286">
        <f>IFERROR(VLOOKUP(C23,Familiars!$B:$P,10,FALSE),)</f>
        <v>0</v>
      </c>
      <c r="I23" s="286" t="str">
        <f>IFERROR(VLOOKUP(C23,Familiars!$B:$P,12,FALSE),)</f>
        <v>-</v>
      </c>
      <c r="J23" s="286" t="str">
        <f>IFERROR(VLOOKUP(C23,vote4TRAITS!$A:$B,2,FALSE),)</f>
        <v>This familiar is treated as a figure.
It may perform 1 Melee attack during its activation using the dice and abilities of a Magic weapon you have equipped.</v>
      </c>
      <c r="K23" s="84"/>
      <c r="L23" s="203"/>
      <c r="M23" s="254"/>
      <c r="N23" s="52"/>
      <c r="O23" s="256"/>
      <c r="P23" s="286" t="str">
        <f>IFERROR(VLOOKUP(O23,Familiars!$B:$P,4,FALSE),)</f>
        <v/>
      </c>
      <c r="Q23" s="286" t="str">
        <f>IFERROR(VLOOKUP(O23,Familiars!$B:$P,5,FALSE),)</f>
        <v/>
      </c>
      <c r="R23" s="286" t="str">
        <f>IFERROR(VLOOKUP(O23,Familiars!$B:$P,6,FALSE),)</f>
        <v/>
      </c>
      <c r="S23" s="286" t="str">
        <f>IFERROR(VLOOKUP(O23,Familiars!$B:$P,8,FALSE),)</f>
        <v/>
      </c>
      <c r="T23" s="286" t="str">
        <f>IFERROR(VLOOKUP(O23,Familiars!$B:$P,10,FALSE),)</f>
        <v/>
      </c>
      <c r="U23" s="286" t="str">
        <f>IFERROR(VLOOKUP(O23,Familiars!$B:$P,12,FALSE),)</f>
        <v/>
      </c>
      <c r="V23" s="286" t="str">
        <f>IFERROR(VLOOKUP(O23,vote4TRAITS!$A:$B,2,FALSE),)</f>
        <v/>
      </c>
      <c r="W23" s="84"/>
      <c r="X23" s="203"/>
      <c r="Y23" s="254"/>
      <c r="Z23" s="9"/>
      <c r="AA23" s="9"/>
    </row>
    <row r="24" ht="15.75" customHeight="1">
      <c r="A24" s="9"/>
      <c r="M24" s="94"/>
      <c r="Y24" s="94"/>
      <c r="Z24" s="9"/>
      <c r="AA24" s="9"/>
    </row>
    <row r="25" ht="15.75" customHeight="1">
      <c r="A25" s="9"/>
      <c r="C25" s="9"/>
      <c r="D25" s="9"/>
      <c r="E25" s="9"/>
      <c r="F25" s="9"/>
      <c r="G25" s="24"/>
      <c r="H25" s="24"/>
      <c r="I25" s="24"/>
      <c r="J25" s="24"/>
      <c r="M25" s="275"/>
      <c r="O25" s="9"/>
      <c r="P25" s="9"/>
      <c r="Q25" s="9"/>
      <c r="R25" s="9"/>
      <c r="S25" s="24"/>
      <c r="T25" s="24"/>
      <c r="U25" s="24"/>
      <c r="V25" s="24"/>
      <c r="Y25" s="275"/>
    </row>
    <row r="26" ht="15.75" customHeight="1">
      <c r="A26" s="9"/>
      <c r="B26" s="276">
        <f>'Main Page'!B28</f>
        <v>77.65833333</v>
      </c>
      <c r="C26" s="193" t="s">
        <v>435</v>
      </c>
      <c r="D26" s="277" t="s">
        <v>438</v>
      </c>
      <c r="E26" s="277" t="s">
        <v>434</v>
      </c>
      <c r="F26" s="81"/>
      <c r="G26" s="193" t="s">
        <v>1476</v>
      </c>
      <c r="H26" s="278" t="s">
        <v>1477</v>
      </c>
      <c r="I26" s="193" t="s">
        <v>1478</v>
      </c>
      <c r="J26" s="278" t="s">
        <v>1479</v>
      </c>
      <c r="K26" s="279" t="s">
        <v>1418</v>
      </c>
      <c r="L26" s="8"/>
      <c r="M26" s="201"/>
      <c r="O26" s="193" t="s">
        <v>435</v>
      </c>
      <c r="P26" s="277" t="s">
        <v>438</v>
      </c>
      <c r="Q26" s="277" t="s">
        <v>434</v>
      </c>
      <c r="R26" s="81"/>
      <c r="S26" s="193" t="s">
        <v>1476</v>
      </c>
      <c r="T26" s="278" t="s">
        <v>1477</v>
      </c>
      <c r="U26" s="193" t="s">
        <v>1478</v>
      </c>
      <c r="V26" s="278" t="s">
        <v>1479</v>
      </c>
      <c r="W26" s="279" t="s">
        <v>1418</v>
      </c>
      <c r="X26" s="8"/>
      <c r="Y26" s="201"/>
    </row>
    <row r="27" ht="15.75" customHeight="1">
      <c r="A27" s="9"/>
      <c r="B27" s="53"/>
      <c r="C27" s="198" t="str">
        <f>'Main Page'!C25</f>
        <v>Jaine Fairwood</v>
      </c>
      <c r="D27" s="9" t="str">
        <f>IFERROR(VLOOKUP(C27, 'Heroes 1.1'!$A:$M, 2, FALSE),)</f>
        <v>Scout</v>
      </c>
      <c r="E27" s="65" t="str">
        <f>'Main Page'!F25</f>
        <v>Wildlander</v>
      </c>
      <c r="F27" s="200"/>
      <c r="G27" s="58">
        <f>IFERROR(VLOOKUP(C27, 'Heroes 1.1'!$A:$M, 3, FALSE),)</f>
        <v>5</v>
      </c>
      <c r="H27" s="199">
        <f>IFERROR(VLOOKUP(C27, 'Heroes 1.1'!$A:$M, 4, FALSE),)</f>
        <v>8</v>
      </c>
      <c r="I27" s="58">
        <f>IFERROR(VLOOKUP(C27, 'Heroes 1.1'!$A:$M, 7, FALSE),)</f>
        <v>2</v>
      </c>
      <c r="J27" s="199">
        <f>IFERROR(VLOOKUP(C27, 'Heroes 1.1'!$A:$M, 9, FALSE),)</f>
        <v>3</v>
      </c>
      <c r="K27" s="233" t="str">
        <f>IFERROR(__xludf.DUMMYFUNCTION("IF(
ISBLANK(E29),
FILTER(Classes!$C:$C,Classes!$B:$B=E27),
FILTER(Classes!$C:$C,(Classes!$B:$B=E27) + (Classes!$B:$B=E29))
)"),"Nimble")</f>
        <v>Nimble</v>
      </c>
      <c r="L27" s="281"/>
      <c r="M27" s="201"/>
      <c r="O27" s="198"/>
      <c r="P27" s="9" t="str">
        <f>IFERROR(VLOOKUP(O27, 'Heroes 1.1'!$A:$M, 2, FALSE),)</f>
        <v/>
      </c>
      <c r="Q27" s="65"/>
      <c r="R27" s="200"/>
      <c r="S27" s="58" t="str">
        <f>IFERROR(VLOOKUP(O27, 'Heroes 1.1'!$A:$M, 3, FALSE),)</f>
        <v/>
      </c>
      <c r="T27" s="199" t="str">
        <f>IFERROR(VLOOKUP(O27, 'Heroes 1.1'!$A:$M, 4, FALSE),)</f>
        <v/>
      </c>
      <c r="U27" s="58" t="str">
        <f>IFERROR(VLOOKUP(O27, 'Heroes 1.1'!$A:$M, 7, FALSE),)</f>
        <v/>
      </c>
      <c r="V27" s="199" t="str">
        <f>IFERROR(VLOOKUP(O27, 'Heroes 1.1'!$A:$M, 9, FALSE),)</f>
        <v/>
      </c>
      <c r="W27" s="233" t="str">
        <f>IFERROR(__xludf.DUMMYFUNCTION("IF(
ISBLANK(Q29),
FILTER(Classes!$C:$C,Classes!$B:$B=Q27),
FILTER(Classes!$C:$C,(Classes!$B:$B=Q27) + (Classes!$B:$B=Q29))
)"),"")</f>
        <v/>
      </c>
      <c r="X27" s="281"/>
      <c r="Y27" s="201"/>
      <c r="Z27" s="280"/>
      <c r="AA27" s="9"/>
    </row>
    <row r="28" ht="15.75" customHeight="1">
      <c r="A28" s="9"/>
      <c r="B28" s="53"/>
      <c r="C28" s="202"/>
      <c r="E28" s="24" t="str">
        <f>IF(OR(E27 = "Battlemage", E27 = "Truthseer", E27 = "Lorekeeper", E27 = "Steelcaster", E27 = "Avenger",E27 = "Raider", E27 = "Monk", E27 = "Trickster", E27 = "Ravager", E27 = "Watchman", E27 = "Crusader", E27 = "Heretic"), "Subclass: ", )</f>
        <v/>
      </c>
      <c r="F28" s="280" t="str">
        <f>IFERROR(
IFS(
OR(E27 = "Battlemage",E27 = "Ravager",E27 = "Crusader"), "Warrior",
OR(E27 = "Steelcaster",E27 = "Trickster",E27 = "Heretic"),"Mage",
OR(E27 = "Truthseer",E27 = "Raider",E27 = "Watchman"),"Scout",
OR(E27 = "Lorekeeper",E27 = "Avenger",E27 = "Monk"),"Healer"
),
)</f>
        <v/>
      </c>
      <c r="G28" s="208" t="s">
        <v>1480</v>
      </c>
      <c r="H28" s="282" t="s">
        <v>1481</v>
      </c>
      <c r="I28" s="208" t="s">
        <v>1482</v>
      </c>
      <c r="J28" s="282" t="s">
        <v>1483</v>
      </c>
      <c r="K28" s="58" t="str">
        <f>IFERROR(__xludf.DUMMYFUNCTION("""COMPUTED_VALUE"""),"Accurate")</f>
        <v>Accurate</v>
      </c>
      <c r="L28" s="281"/>
      <c r="M28" s="201"/>
      <c r="O28" s="202"/>
      <c r="Q28" s="24" t="str">
        <f>IF(OR(Q27 = "Battlemage", Q27 = "Truthseer", Q27 = "Lorekeeper", Q27 = "Steelcaster", Q27 = "Avenger",Q27 = "Raider", Q27 = "Monk", Q27 = "Trickster", Q27 = "Ravager", Q27 = "Watchman", Q27 = "Crusader", Q27 = "Heretic"), "Subclass: ", )</f>
        <v/>
      </c>
      <c r="R28" s="280" t="str">
        <f>IFERROR(
IFS(
OR(Q27 = "Battlemage",Q27 = "Ravager",Q27 = "Crusader"), "Warrior",
OR(Q27 = "Steelcaster",Q27 = "Trickster",Q27 = "Heretic"),"Mage",
OR(Q27 = "Truthseer",Q27 = "Raider",Q27 = "Watchman"),"Scout",
OR(Q27 = "Lorekeeper",Q27 = "Avenger",Q27 = "Monk"),"Healer"
),
)</f>
        <v/>
      </c>
      <c r="S28" s="208" t="s">
        <v>1480</v>
      </c>
      <c r="T28" s="282" t="s">
        <v>1481</v>
      </c>
      <c r="U28" s="208" t="s">
        <v>1482</v>
      </c>
      <c r="V28" s="282" t="s">
        <v>1483</v>
      </c>
      <c r="W28" s="58"/>
      <c r="X28" s="283"/>
      <c r="Y28" s="201"/>
      <c r="Z28" s="9"/>
      <c r="AA28" s="9"/>
    </row>
    <row r="29" ht="15.75" customHeight="1">
      <c r="A29" s="9"/>
      <c r="B29" s="53"/>
      <c r="C29" s="85"/>
      <c r="D29" s="84"/>
      <c r="E29" s="66" t="str">
        <f>'Main Page'!F27</f>
        <v/>
      </c>
      <c r="F29" s="203"/>
      <c r="G29" s="284">
        <f>IFERROR(VLOOKUP(C27, 'Heroes 1.1'!$A:$M, 5, FALSE),)</f>
        <v>5</v>
      </c>
      <c r="H29" s="285" t="str">
        <f>IFERROR(VLOOKUP(C27, 'Heroes 1.1'!$A:$M, 6, FALSE),)</f>
        <v>Grey</v>
      </c>
      <c r="I29" s="60">
        <f>IFERROR(VLOOKUP(C27, 'Heroes 1.1'!$A:$M, 8, FALSE),)</f>
        <v>2</v>
      </c>
      <c r="J29" s="285">
        <f>IFERROR(VLOOKUP(C27, 'Heroes 1.1'!$A:$M, 10, FALSE),)</f>
        <v>4</v>
      </c>
      <c r="K29" s="58" t="str">
        <f>IFERROR(__xludf.DUMMYFUNCTION("""COMPUTED_VALUE"""),"Danger Sense")</f>
        <v>Danger Sense</v>
      </c>
      <c r="L29" s="281"/>
      <c r="M29" s="201"/>
      <c r="O29" s="85"/>
      <c r="P29" s="84"/>
      <c r="Q29" s="66"/>
      <c r="R29" s="203"/>
      <c r="S29" s="284" t="str">
        <f>IFERROR(VLOOKUP(O27, 'Heroes 1.1'!$A:$M, 5, FALSE),)</f>
        <v/>
      </c>
      <c r="T29" s="285" t="str">
        <f>IFERROR(VLOOKUP(O27, 'Heroes 1.1'!$A:$M, 6, FALSE),)</f>
        <v/>
      </c>
      <c r="U29" s="60" t="str">
        <f>IFERROR(VLOOKUP(O27, 'Heroes 1.1'!$A:$M, 8, FALSE),)</f>
        <v/>
      </c>
      <c r="V29" s="285" t="str">
        <f>IFERROR(VLOOKUP(O27, 'Heroes 1.1'!$A:$M, 10, FALSE),)</f>
        <v/>
      </c>
      <c r="W29" s="58"/>
      <c r="X29" s="283"/>
      <c r="Y29" s="201"/>
      <c r="Z29" s="9"/>
      <c r="AA29" s="9"/>
    </row>
    <row r="30" ht="15.75" customHeight="1">
      <c r="A30" s="9"/>
      <c r="B30" s="53"/>
      <c r="C30" s="228" t="s">
        <v>1417</v>
      </c>
      <c r="D30" s="80"/>
      <c r="E30" s="80"/>
      <c r="F30" s="80"/>
      <c r="G30" s="80"/>
      <c r="H30" s="80"/>
      <c r="I30" s="80"/>
      <c r="J30" s="81"/>
      <c r="K30" s="58" t="str">
        <f>IFERROR(__xludf.DUMMYFUNCTION("""COMPUTED_VALUE"""),"Eagle Eyes")</f>
        <v>Eagle Eyes</v>
      </c>
      <c r="L30" s="281"/>
      <c r="M30" s="201"/>
      <c r="O30" s="228" t="s">
        <v>1417</v>
      </c>
      <c r="P30" s="80"/>
      <c r="Q30" s="80"/>
      <c r="R30" s="80"/>
      <c r="S30" s="80"/>
      <c r="T30" s="80"/>
      <c r="U30" s="80"/>
      <c r="V30" s="81"/>
      <c r="W30" s="58"/>
      <c r="X30" s="283"/>
      <c r="Y30" s="201"/>
      <c r="Z30" s="9"/>
      <c r="AA30" s="9"/>
    </row>
    <row r="31" ht="15.75" customHeight="1">
      <c r="A31" s="9"/>
      <c r="B31" s="53"/>
      <c r="C31" s="256" t="s">
        <v>435</v>
      </c>
      <c r="D31" s="286" t="s">
        <v>1484</v>
      </c>
      <c r="E31" s="286" t="s">
        <v>1485</v>
      </c>
      <c r="F31" s="286" t="s">
        <v>1486</v>
      </c>
      <c r="G31" s="286" t="s">
        <v>1487</v>
      </c>
      <c r="H31" s="287" t="s">
        <v>1488</v>
      </c>
      <c r="I31" s="286" t="s">
        <v>670</v>
      </c>
      <c r="J31" s="203"/>
      <c r="K31" s="58" t="str">
        <f>IFERROR(__xludf.DUMMYFUNCTION("""COMPUTED_VALUE"""),"Bow Mastery")</f>
        <v>Bow Mastery</v>
      </c>
      <c r="L31" s="281"/>
      <c r="M31" s="201"/>
      <c r="O31" s="256" t="s">
        <v>435</v>
      </c>
      <c r="P31" s="286" t="s">
        <v>1484</v>
      </c>
      <c r="Q31" s="286" t="s">
        <v>1485</v>
      </c>
      <c r="R31" s="286" t="s">
        <v>1486</v>
      </c>
      <c r="S31" s="286" t="s">
        <v>1487</v>
      </c>
      <c r="T31" s="287" t="s">
        <v>1488</v>
      </c>
      <c r="U31" s="286" t="s">
        <v>670</v>
      </c>
      <c r="V31" s="203"/>
      <c r="W31" s="58"/>
      <c r="X31" s="283"/>
      <c r="Y31" s="201"/>
      <c r="Z31" s="9"/>
      <c r="AA31" s="9"/>
    </row>
    <row r="32" ht="15.75" customHeight="1">
      <c r="A32" s="9"/>
      <c r="B32" s="53"/>
      <c r="C32" s="198" t="str">
        <f>'Main Page'!C29</f>
        <v>Corpsebug Brooch</v>
      </c>
      <c r="D32" s="118">
        <f>IFERROR(VLOOKUP(C32,'Shop Items'!$C:$W,2,FALSE),)</f>
        <v>75</v>
      </c>
      <c r="E32" s="118" t="str">
        <f>IFERROR(VLOOKUP(C32,'Shop Items'!$C:$W,3,FALSE),)</f>
        <v>Other</v>
      </c>
      <c r="F32" s="118" t="str">
        <f>IFERROR(IF(VLOOKUP(C32,'Shop Items'!$C:$W,4,FALSE) = "", "-", VLOOKUP(C32,'Shop Items'!$C:$W,4,FALSE)),)</f>
        <v>-</v>
      </c>
      <c r="G32" s="118" t="str">
        <f>IFERROR(IF(VLOOKUP(C32,'Shop Items'!$C:$W,5,FALSE) = "", "-", VLOOKUP(C32,'Shop Items'!$C:$W,5,FALSE)),)</f>
        <v>-</v>
      </c>
      <c r="H32" s="118" t="str">
        <f>IFERROR(VLOOKUP(C32,'Shop Items'!$C:$W,7,FALSE),)</f>
        <v>Trinket</v>
      </c>
      <c r="I32" s="118" t="str">
        <f> IFERROR(
CONCATENATE(
IF(VLOOKUP(C32,'Shop Items'!$C:$W,8,FALSE) = "",, CONCATENATE(VLOOKUP(C32,'Shop Items'!$C:$W,8,FALSE))),
IF(VLOOKUP(C32,'Shop Items'!$C:$W,10,FALSE) = "",,CONCATENATE(CHAR(10), CHAR(10), VLOOKUP(C32,'Shop Items'!$C:$W,10,FALSE))),
IF(VLOOKUP(C32,'Shop Items'!$C:$W,12,FALSE) = "",, CONCATENATE(CHAR(10), CHAR(10), "S: ", VLOOKUP(C32,'Shop Items'!$C:$W,12,FALSE))),
IF(VLOOKUP(C32,'Shop Items'!$C:$W,14,FALSE) = "",, CONCATENATE(CHAR(10), CHAR(10), "SS: ", VLOOKUP(C32,'Shop Items'!$C:$W,14,FALSE))),
)
,)
</f>
        <v>If you end your turn in a hazard space, you are not defeated.
You gain +2 Health</v>
      </c>
      <c r="J32" s="200"/>
      <c r="K32" s="58" t="str">
        <f>IFERROR(__xludf.DUMMYFUNCTION("""COMPUTED_VALUE"""),"Fleet Of Foot")</f>
        <v>Fleet Of Foot</v>
      </c>
      <c r="L32" s="281"/>
      <c r="M32" s="201"/>
      <c r="O32" s="198"/>
      <c r="P32" s="118" t="str">
        <f>IFERROR(VLOOKUP(O32,'Shop Items'!$C:$W,2,FALSE),)</f>
        <v/>
      </c>
      <c r="Q32" s="118" t="str">
        <f>IFERROR(VLOOKUP(O32,'Shop Items'!$C:$W,3,FALSE),)</f>
        <v/>
      </c>
      <c r="R32" s="118" t="str">
        <f>IFERROR(IF(VLOOKUP(O32,'Shop Items'!$C:$W,4,FALSE) = "", "-", VLOOKUP(O32,'Shop Items'!$C:$W,4,FALSE)),)</f>
        <v/>
      </c>
      <c r="S32" s="118" t="str">
        <f>IFERROR(IF(VLOOKUP(O32,'Shop Items'!$C:$W,5,FALSE) = "", "-", VLOOKUP(O32,'Shop Items'!$C:$W,5,FALSE)),)</f>
        <v/>
      </c>
      <c r="T32" s="118" t="str">
        <f>IFERROR(VLOOKUP(O32,'Shop Items'!$C:$W,7,FALSE),)</f>
        <v/>
      </c>
      <c r="U32" s="118" t="str">
        <f> IFERROR(
CONCATENATE(
IF(VLOOKUP(O32,'Shop Items'!$C:$W,8,FALSE) = "",, CONCATENATE(VLOOKUP(O32,'Shop Items'!$C:$W,8,FALSE))),
IF(VLOOKUP(O32,'Shop Items'!$C:$W,10,FALSE) = "",,CONCATENATE(CHAR(10), CHAR(10), VLOOKUP(O32,'Shop Items'!$C:$W,10,FALSE))),
IF(VLOOKUP(O32,'Shop Items'!$C:$W,12,FALSE) = "",, CONCATENATE(CHAR(10), CHAR(10), "S: ", VLOOKUP(O32,'Shop Items'!$C:$W,12,FALSE))),
IF(VLOOKUP(O32,'Shop Items'!$C:$W,14,FALSE) = "",, CONCATENATE(CHAR(10), CHAR(10), "SS: ", VLOOKUP(O32,'Shop Items'!$C:$W,14,FALSE))),
)
,)
</f>
        <v/>
      </c>
      <c r="V32" s="200"/>
      <c r="W32" s="58"/>
      <c r="X32" s="283"/>
      <c r="Y32" s="201"/>
      <c r="Z32" s="9"/>
      <c r="AA32" s="9"/>
    </row>
    <row r="33" ht="15.75" customHeight="1">
      <c r="A33" s="9"/>
      <c r="B33" s="53"/>
      <c r="C33" s="198" t="str">
        <f>'Main Page'!C30</f>
        <v>Leather Armor</v>
      </c>
      <c r="D33" s="118">
        <f>IFERROR(VLOOKUP(C33,'Shop Items'!$C:$W,2,FALSE),)</f>
        <v>75</v>
      </c>
      <c r="E33" s="118" t="str">
        <f>IFERROR(VLOOKUP(C33,'Shop Items'!$C:$W,3,FALSE),)</f>
        <v>Armor</v>
      </c>
      <c r="F33" s="118" t="str">
        <f>IFERROR(IF(VLOOKUP(C33,'Shop Items'!$C:$W,4,FALSE) = "", "-", VLOOKUP(C33,'Shop Items'!$C:$W,4,FALSE)),)</f>
        <v>-</v>
      </c>
      <c r="G33" s="118" t="str">
        <f>IFERROR(IF(VLOOKUP(C33,'Shop Items'!$C:$W,5,FALSE) = "", "-", VLOOKUP(C33,'Shop Items'!$C:$W,5,FALSE)),)</f>
        <v>Brown</v>
      </c>
      <c r="H33" s="118" t="str">
        <f>IFERROR(VLOOKUP(C33,'Shop Items'!$C:$W,7,FALSE),)</f>
        <v>Light Armor</v>
      </c>
      <c r="I33" s="118" t="str">
        <f> IFERROR(
CONCATENATE(
IF(VLOOKUP(C33,'Shop Items'!$C:$W,8,FALSE) = "",, CONCATENATE(VLOOKUP(C33,'Shop Items'!$C:$W,8,FALSE))),
IF(VLOOKUP(C33,'Shop Items'!$C:$W,10,FALSE) = "",,CONCATENATE(CHAR(10), CHAR(10), VLOOKUP(C33,'Shop Items'!$C:$W,10,FALSE))),
IF(VLOOKUP(C33,'Shop Items'!$C:$W,12,FALSE) = "",, CONCATENATE(CHAR(10), CHAR(10), "S: ", VLOOKUP(C33,'Shop Items'!$C:$W,12,FALSE))),
IF(VLOOKUP(C33,'Shop Items'!$C:$W,14,FALSE) = "",, CONCATENATE(CHAR(10), CHAR(10), "SS: ", VLOOKUP(C33,'Shop Items'!$C:$W,14,FALSE))),
)
,)
</f>
        <v>
You gain +1 Health</v>
      </c>
      <c r="J33" s="200"/>
      <c r="K33" s="58" t="str">
        <f>IFERROR(__xludf.DUMMYFUNCTION("""COMPUTED_VALUE"""),"First Strike")</f>
        <v>First Strike</v>
      </c>
      <c r="L33" s="281"/>
      <c r="M33" s="201"/>
      <c r="O33" s="198"/>
      <c r="P33" s="118" t="str">
        <f>IFERROR(VLOOKUP(O33,'Shop Items'!$C:$W,2,FALSE),)</f>
        <v/>
      </c>
      <c r="Q33" s="118" t="str">
        <f>IFERROR(VLOOKUP(O33,'Shop Items'!$C:$W,3,FALSE),)</f>
        <v/>
      </c>
      <c r="R33" s="118" t="str">
        <f>IFERROR(IF(VLOOKUP(O33,'Shop Items'!$C:$W,4,FALSE) = "", "-", VLOOKUP(O33,'Shop Items'!$C:$W,4,FALSE)),)</f>
        <v/>
      </c>
      <c r="S33" s="118" t="str">
        <f>IFERROR(IF(VLOOKUP(O33,'Shop Items'!$C:$W,5,FALSE) = "", "-", VLOOKUP(O33,'Shop Items'!$C:$W,5,FALSE)),)</f>
        <v/>
      </c>
      <c r="T33" s="118" t="str">
        <f>IFERROR(VLOOKUP(O33,'Shop Items'!$C:$W,7,FALSE),)</f>
        <v/>
      </c>
      <c r="U33" s="118" t="str">
        <f> IFERROR(
CONCATENATE(
IF(VLOOKUP(O33,'Shop Items'!$C:$W,8,FALSE) = "",, CONCATENATE(VLOOKUP(O33,'Shop Items'!$C:$W,8,FALSE))),
IF(VLOOKUP(O33,'Shop Items'!$C:$W,10,FALSE) = "",,CONCATENATE(CHAR(10), CHAR(10), VLOOKUP(O33,'Shop Items'!$C:$W,10,FALSE))),
IF(VLOOKUP(O33,'Shop Items'!$C:$W,12,FALSE) = "",, CONCATENATE(CHAR(10), CHAR(10), "S: ", VLOOKUP(O33,'Shop Items'!$C:$W,12,FALSE))),
IF(VLOOKUP(O33,'Shop Items'!$C:$W,14,FALSE) = "",, CONCATENATE(CHAR(10), CHAR(10), "SS: ", VLOOKUP(O33,'Shop Items'!$C:$W,14,FALSE))),
)
,)
</f>
        <v/>
      </c>
      <c r="V33" s="200"/>
      <c r="W33" s="58"/>
      <c r="X33" s="283"/>
      <c r="Y33" s="201"/>
      <c r="Z33" s="9"/>
      <c r="AA33" s="9"/>
    </row>
    <row r="34" ht="15.75" customHeight="1">
      <c r="A34" s="9"/>
      <c r="B34" s="53"/>
      <c r="C34" s="198" t="str">
        <f>'Main Page'!C31</f>
        <v>Elm Greatbow</v>
      </c>
      <c r="D34" s="118">
        <f>IFERROR(VLOOKUP(C34,'Shop Items'!$C:$W,2,FALSE),)</f>
        <v>100</v>
      </c>
      <c r="E34" s="118" t="str">
        <f>IFERROR(VLOOKUP(C34,'Shop Items'!$C:$W,3,FALSE),)</f>
        <v>Two Hands</v>
      </c>
      <c r="F34" s="118" t="str">
        <f>IFERROR(IF(VLOOKUP(C34,'Shop Items'!$C:$W,4,FALSE) = "", "-", VLOOKUP(C34,'Shop Items'!$C:$W,4,FALSE)),)</f>
        <v>Range</v>
      </c>
      <c r="G34" s="118" t="str">
        <f>IFERROR(IF(VLOOKUP(C34,'Shop Items'!$C:$W,5,FALSE) = "", "-", VLOOKUP(C34,'Shop Items'!$C:$W,5,FALSE)),)</f>
        <v>Blue, Yellow</v>
      </c>
      <c r="H34" s="118" t="str">
        <f>IFERROR(VLOOKUP(C34,'Shop Items'!$C:$W,7,FALSE),)</f>
        <v>Bow</v>
      </c>
      <c r="I34" s="118" t="str">
        <f> IFERROR(
CONCATENATE(
IF(VLOOKUP(C34,'Shop Items'!$C:$W,8,FALSE) = "",, CONCATENATE(VLOOKUP(C34,'Shop Items'!$C:$W,8,FALSE))),
IF(VLOOKUP(C34,'Shop Items'!$C:$W,10,FALSE) = "",,CONCATENATE(CHAR(10), CHAR(10), VLOOKUP(C34,'Shop Items'!$C:$W,10,FALSE))),
IF(VLOOKUP(C34,'Shop Items'!$C:$W,12,FALSE) = "",, CONCATENATE(CHAR(10), CHAR(10), "S: ", VLOOKUP(C34,'Shop Items'!$C:$W,12,FALSE))),
IF(VLOOKUP(C34,'Shop Items'!$C:$W,14,FALSE) = "",, CONCATENATE(CHAR(10), CHAR(10), "SS: ", VLOOKUP(C34,'Shop Items'!$C:$W,14,FALSE))),
)
,)
</f>
        <v>Adjacent figures do not block your line of sight
S: S: +2 Wounds
SS: S: +2 Range</v>
      </c>
      <c r="J34" s="200"/>
      <c r="K34" s="58" t="str">
        <f>IFERROR(__xludf.DUMMYFUNCTION("""COMPUTED_VALUE"""),"Black Arrow")</f>
        <v>Black Arrow</v>
      </c>
      <c r="L34" s="281"/>
      <c r="M34" s="201"/>
      <c r="O34" s="198"/>
      <c r="P34" s="118" t="str">
        <f>IFERROR(VLOOKUP(O34,'Shop Items'!$C:$W,2,FALSE),)</f>
        <v/>
      </c>
      <c r="Q34" s="118" t="str">
        <f>IFERROR(VLOOKUP(O34,'Shop Items'!$C:$W,3,FALSE),)</f>
        <v/>
      </c>
      <c r="R34" s="118" t="str">
        <f>IFERROR(IF(VLOOKUP(O34,'Shop Items'!$C:$W,4,FALSE) = "", "-", VLOOKUP(O34,'Shop Items'!$C:$W,4,FALSE)),)</f>
        <v/>
      </c>
      <c r="S34" s="118" t="str">
        <f>IFERROR(IF(VLOOKUP(O34,'Shop Items'!$C:$W,5,FALSE) = "", "-", VLOOKUP(O34,'Shop Items'!$C:$W,5,FALSE)),)</f>
        <v/>
      </c>
      <c r="T34" s="118" t="str">
        <f>IFERROR(VLOOKUP(O34,'Shop Items'!$C:$W,7,FALSE),)</f>
        <v/>
      </c>
      <c r="U34" s="118" t="str">
        <f> IFERROR(
CONCATENATE(
IF(VLOOKUP(O34,'Shop Items'!$C:$W,8,FALSE) = "",, CONCATENATE(VLOOKUP(O34,'Shop Items'!$C:$W,8,FALSE))),
IF(VLOOKUP(O34,'Shop Items'!$C:$W,10,FALSE) = "",,CONCATENATE(CHAR(10), CHAR(10), VLOOKUP(O34,'Shop Items'!$C:$W,10,FALSE))),
IF(VLOOKUP(O34,'Shop Items'!$C:$W,12,FALSE) = "",, CONCATENATE(CHAR(10), CHAR(10), "S: ", VLOOKUP(O34,'Shop Items'!$C:$W,12,FALSE))),
IF(VLOOKUP(O34,'Shop Items'!$C:$W,14,FALSE) = "",, CONCATENATE(CHAR(10), CHAR(10), "SS: ", VLOOKUP(O34,'Shop Items'!$C:$W,14,FALSE))),
)
,)
</f>
        <v/>
      </c>
      <c r="V34" s="200"/>
      <c r="W34" s="58"/>
      <c r="X34" s="283"/>
      <c r="Y34" s="201"/>
      <c r="Z34" s="9"/>
      <c r="AA34" s="9"/>
    </row>
    <row r="35" ht="15.75" customHeight="1">
      <c r="A35" s="9"/>
      <c r="B35" s="53"/>
      <c r="C35" s="198" t="str">
        <f>'Main Page'!C32</f>
        <v/>
      </c>
      <c r="D35" s="118" t="str">
        <f>IFERROR(VLOOKUP(C35,'Shop Items'!$C:$W,2,FALSE),)</f>
        <v/>
      </c>
      <c r="E35" s="118" t="str">
        <f>IFERROR(VLOOKUP(C35,'Shop Items'!$C:$W,3,FALSE),)</f>
        <v/>
      </c>
      <c r="F35" s="118" t="str">
        <f>IFERROR(IF(VLOOKUP(C35,'Shop Items'!$C:$W,4,FALSE) = "", "-", VLOOKUP(C35,'Shop Items'!$C:$W,4,FALSE)),)</f>
        <v/>
      </c>
      <c r="G35" s="118" t="str">
        <f>IFERROR(IF(VLOOKUP(C35,'Shop Items'!$C:$W,5,FALSE) = "", "-", VLOOKUP(C35,'Shop Items'!$C:$W,5,FALSE)),)</f>
        <v/>
      </c>
      <c r="H35" s="118" t="str">
        <f>IFERROR(VLOOKUP(C35,'Shop Items'!$C:$W,7,FALSE),)</f>
        <v/>
      </c>
      <c r="I35" s="118" t="str">
        <f> IFERROR(
CONCATENATE(
IF(VLOOKUP(C35,'Shop Items'!$C:$W,8,FALSE) = "",, CONCATENATE(VLOOKUP(C35,'Shop Items'!$C:$W,8,FALSE))),
IF(VLOOKUP(C35,'Shop Items'!$C:$W,10,FALSE) = "",,CONCATENATE(CHAR(10), CHAR(10), VLOOKUP(C35,'Shop Items'!$C:$W,10,FALSE))),
IF(VLOOKUP(C35,'Shop Items'!$C:$W,12,FALSE) = "",, CONCATENATE(CHAR(10), CHAR(10), "S: ", VLOOKUP(C35,'Shop Items'!$C:$W,12,FALSE))),
IF(VLOOKUP(C35,'Shop Items'!$C:$W,14,FALSE) = "",, CONCATENATE(CHAR(10), CHAR(10), "SS: ", VLOOKUP(C35,'Shop Items'!$C:$W,14,FALSE))),
)
,)
</f>
        <v/>
      </c>
      <c r="J35" s="200"/>
      <c r="K35" s="58" t="str">
        <f>IFERROR(__xludf.DUMMYFUNCTION("""COMPUTED_VALUE"""),"Running Shot")</f>
        <v>Running Shot</v>
      </c>
      <c r="L35" s="281"/>
      <c r="M35" s="201"/>
      <c r="N35" s="9"/>
      <c r="O35" s="198"/>
      <c r="P35" s="118" t="str">
        <f>IFERROR(VLOOKUP(O35,'Shop Items'!$C:$W,2,FALSE),)</f>
        <v/>
      </c>
      <c r="Q35" s="118" t="str">
        <f>IFERROR(VLOOKUP(O35,'Shop Items'!$C:$W,3,FALSE),)</f>
        <v/>
      </c>
      <c r="R35" s="118" t="str">
        <f>IFERROR(IF(VLOOKUP(O35,'Shop Items'!$C:$W,4,FALSE) = "", "-", VLOOKUP(O35,'Shop Items'!$C:$W,4,FALSE)),)</f>
        <v/>
      </c>
      <c r="S35" s="118" t="str">
        <f>IFERROR(IF(VLOOKUP(O35,'Shop Items'!$C:$W,5,FALSE) = "", "-", VLOOKUP(O35,'Shop Items'!$C:$W,5,FALSE)),)</f>
        <v/>
      </c>
      <c r="T35" s="118" t="str">
        <f>IFERROR(VLOOKUP(O35,'Shop Items'!$C:$W,7,FALSE),)</f>
        <v/>
      </c>
      <c r="U35" s="118" t="str">
        <f> IFERROR(
CONCATENATE(
IF(VLOOKUP(O35,'Shop Items'!$C:$W,8,FALSE) = "",, CONCATENATE(VLOOKUP(O35,'Shop Items'!$C:$W,8,FALSE))),
IF(VLOOKUP(O35,'Shop Items'!$C:$W,10,FALSE) = "",,CONCATENATE(CHAR(10), CHAR(10), VLOOKUP(O35,'Shop Items'!$C:$W,10,FALSE))),
IF(VLOOKUP(O35,'Shop Items'!$C:$W,12,FALSE) = "",, CONCATENATE(CHAR(10), CHAR(10), "S: ", VLOOKUP(O35,'Shop Items'!$C:$W,12,FALSE))),
IF(VLOOKUP(O35,'Shop Items'!$C:$W,14,FALSE) = "",, CONCATENATE(CHAR(10), CHAR(10), "SS: ", VLOOKUP(O35,'Shop Items'!$C:$W,14,FALSE))),
)
,)
</f>
        <v/>
      </c>
      <c r="V35" s="200"/>
      <c r="W35" s="58"/>
      <c r="X35" s="283"/>
      <c r="Y35" s="201"/>
      <c r="Z35" s="9"/>
      <c r="AA35" s="9"/>
    </row>
    <row r="36" ht="15.75" customHeight="1">
      <c r="A36" s="9"/>
      <c r="B36" s="53"/>
      <c r="C36" s="198" t="str">
        <f>'Main Page'!C33</f>
        <v/>
      </c>
      <c r="D36" s="118" t="str">
        <f>IFERROR(VLOOKUP(C36,'Shop Items'!$C:$W,2,FALSE),)</f>
        <v/>
      </c>
      <c r="E36" s="118" t="str">
        <f>IFERROR(VLOOKUP(C36,'Shop Items'!$C:$W,3,FALSE),)</f>
        <v/>
      </c>
      <c r="F36" s="118" t="str">
        <f>IFERROR(IF(VLOOKUP(C36,'Shop Items'!$C:$W,4,FALSE) = "", "-", VLOOKUP(C36,'Shop Items'!$C:$W,4,FALSE)),)</f>
        <v/>
      </c>
      <c r="G36" s="118" t="str">
        <f>IFERROR(IF(VLOOKUP(C36,'Shop Items'!$C:$W,5,FALSE) = "", "-", VLOOKUP(C36,'Shop Items'!$C:$W,5,FALSE)),)</f>
        <v/>
      </c>
      <c r="H36" s="118" t="str">
        <f>IFERROR(VLOOKUP(C36,'Shop Items'!$C:$W,7,FALSE),)</f>
        <v/>
      </c>
      <c r="I36" s="118" t="str">
        <f> IFERROR(
CONCATENATE(
IF(VLOOKUP(C36,'Shop Items'!$C:$W,8,FALSE) = "",, CONCATENATE(VLOOKUP(C36,'Shop Items'!$C:$W,8,FALSE))),
IF(VLOOKUP(C36,'Shop Items'!$C:$W,10,FALSE) = "",,CONCATENATE(CHAR(10), CHAR(10), VLOOKUP(C36,'Shop Items'!$C:$W,10,FALSE))),
IF(VLOOKUP(C36,'Shop Items'!$C:$W,12,FALSE) = "",, CONCATENATE(CHAR(10), CHAR(10), "S: ", VLOOKUP(C36,'Shop Items'!$C:$W,12,FALSE))),
IF(VLOOKUP(C36,'Shop Items'!$C:$W,14,FALSE) = "",, CONCATENATE(CHAR(10), CHAR(10), "SS: ", VLOOKUP(C36,'Shop Items'!$C:$W,14,FALSE))),
)
,)
</f>
        <v/>
      </c>
      <c r="J36" s="200"/>
      <c r="K36" s="58"/>
      <c r="L36" s="281"/>
      <c r="M36" s="201"/>
      <c r="N36" s="9"/>
      <c r="O36" s="198"/>
      <c r="P36" s="118" t="str">
        <f>IFERROR(VLOOKUP(O36,'Shop Items'!$C:$W,2,FALSE),)</f>
        <v/>
      </c>
      <c r="Q36" s="118" t="str">
        <f>IFERROR(VLOOKUP(O36,'Shop Items'!$C:$W,3,FALSE),)</f>
        <v/>
      </c>
      <c r="R36" s="118" t="str">
        <f>IFERROR(IF(VLOOKUP(O36,'Shop Items'!$C:$W,4,FALSE) = "", "-", VLOOKUP(O36,'Shop Items'!$C:$W,4,FALSE)),)</f>
        <v/>
      </c>
      <c r="S36" s="118" t="str">
        <f>IFERROR(IF(VLOOKUP(O36,'Shop Items'!$C:$W,5,FALSE) = "", "-", VLOOKUP(O36,'Shop Items'!$C:$W,5,FALSE)),)</f>
        <v/>
      </c>
      <c r="T36" s="118" t="str">
        <f>IFERROR(VLOOKUP(O36,'Shop Items'!$C:$W,7,FALSE),)</f>
        <v/>
      </c>
      <c r="U36" s="118" t="str">
        <f> IFERROR(
CONCATENATE(
IF(VLOOKUP(O36,'Shop Items'!$C:$W,8,FALSE) = "",, CONCATENATE(VLOOKUP(O36,'Shop Items'!$C:$W,8,FALSE))),
IF(VLOOKUP(O36,'Shop Items'!$C:$W,10,FALSE) = "",,CONCATENATE(CHAR(10), CHAR(10), VLOOKUP(O36,'Shop Items'!$C:$W,10,FALSE))),
IF(VLOOKUP(O36,'Shop Items'!$C:$W,12,FALSE) = "",, CONCATENATE(CHAR(10), CHAR(10), "S: ", VLOOKUP(O36,'Shop Items'!$C:$W,12,FALSE))),
IF(VLOOKUP(O36,'Shop Items'!$C:$W,14,FALSE) = "",, CONCATENATE(CHAR(10), CHAR(10), "SS: ", VLOOKUP(O36,'Shop Items'!$C:$W,14,FALSE))),
)
,)
</f>
        <v/>
      </c>
      <c r="V36" s="200"/>
      <c r="W36" s="58"/>
      <c r="X36" s="283"/>
      <c r="Y36" s="201"/>
      <c r="Z36" s="9"/>
      <c r="AA36" s="9"/>
    </row>
    <row r="37" ht="15.75" customHeight="1">
      <c r="A37" s="9"/>
      <c r="B37" s="53"/>
      <c r="C37" s="198" t="str">
        <f>'Main Page'!C34</f>
        <v/>
      </c>
      <c r="D37" s="118" t="str">
        <f>IFERROR(VLOOKUP(C37,'Shop Items'!$C:$W,2,FALSE),)</f>
        <v/>
      </c>
      <c r="E37" s="118" t="str">
        <f>IFERROR(VLOOKUP(C37,'Shop Items'!$C:$W,3,FALSE),)</f>
        <v/>
      </c>
      <c r="F37" s="118" t="str">
        <f>IFERROR(IF(VLOOKUP(C37,'Shop Items'!$C:$W,4,FALSE) = "", "-", VLOOKUP(C37,'Shop Items'!$C:$W,4,FALSE)),)</f>
        <v/>
      </c>
      <c r="G37" s="118" t="str">
        <f>IFERROR(IF(VLOOKUP(C37,'Shop Items'!$C:$W,5,FALSE) = "", "-", VLOOKUP(C37,'Shop Items'!$C:$W,5,FALSE)),)</f>
        <v/>
      </c>
      <c r="H37" s="118" t="str">
        <f>IFERROR(VLOOKUP(C37,'Shop Items'!$C:$W,7,FALSE),)</f>
        <v/>
      </c>
      <c r="I37" s="118" t="str">
        <f> IFERROR(
CONCATENATE(
IF(VLOOKUP(C37,'Shop Items'!$C:$W,8,FALSE) = "",, CONCATENATE(VLOOKUP(C37,'Shop Items'!$C:$W,8,FALSE))),
IF(VLOOKUP(C37,'Shop Items'!$C:$W,10,FALSE) = "",,CONCATENATE(CHAR(10), CHAR(10), VLOOKUP(C37,'Shop Items'!$C:$W,10,FALSE))),
IF(VLOOKUP(C37,'Shop Items'!$C:$W,12,FALSE) = "",, CONCATENATE(CHAR(10), CHAR(10), "S: ", VLOOKUP(C37,'Shop Items'!$C:$W,12,FALSE))),
IF(VLOOKUP(C37,'Shop Items'!$C:$W,14,FALSE) = "",, CONCATENATE(CHAR(10), CHAR(10), "SS: ", VLOOKUP(C37,'Shop Items'!$C:$W,14,FALSE))),
)
,)
</f>
        <v/>
      </c>
      <c r="J37" s="200"/>
      <c r="K37" s="58"/>
      <c r="L37" s="281"/>
      <c r="M37" s="201"/>
      <c r="N37" s="9"/>
      <c r="O37" s="198"/>
      <c r="P37" s="118" t="str">
        <f>IFERROR(VLOOKUP(O37,'Shop Items'!$C:$W,2,FALSE),)</f>
        <v/>
      </c>
      <c r="Q37" s="118" t="str">
        <f>IFERROR(VLOOKUP(O37,'Shop Items'!$C:$W,3,FALSE),)</f>
        <v/>
      </c>
      <c r="R37" s="118" t="str">
        <f>IFERROR(IF(VLOOKUP(O37,'Shop Items'!$C:$W,4,FALSE) = "", "-", VLOOKUP(O37,'Shop Items'!$C:$W,4,FALSE)),)</f>
        <v/>
      </c>
      <c r="S37" s="118" t="str">
        <f>IFERROR(IF(VLOOKUP(O37,'Shop Items'!$C:$W,5,FALSE) = "", "-", VLOOKUP(O37,'Shop Items'!$C:$W,5,FALSE)),)</f>
        <v/>
      </c>
      <c r="T37" s="118" t="str">
        <f>IFERROR(VLOOKUP(O37,'Shop Items'!$C:$W,7,FALSE),)</f>
        <v/>
      </c>
      <c r="U37" s="118" t="str">
        <f> IFERROR(
CONCATENATE(
IF(VLOOKUP(O37,'Shop Items'!$C:$W,8,FALSE) = "",, CONCATENATE(VLOOKUP(O37,'Shop Items'!$C:$W,8,FALSE))),
IF(VLOOKUP(O37,'Shop Items'!$C:$W,10,FALSE) = "",,CONCATENATE(CHAR(10), CHAR(10), VLOOKUP(O37,'Shop Items'!$C:$W,10,FALSE))),
IF(VLOOKUP(O37,'Shop Items'!$C:$W,12,FALSE) = "",, CONCATENATE(CHAR(10), CHAR(10), "S: ", VLOOKUP(O37,'Shop Items'!$C:$W,12,FALSE))),
IF(VLOOKUP(O37,'Shop Items'!$C:$W,14,FALSE) = "",, CONCATENATE(CHAR(10), CHAR(10), "SS: ", VLOOKUP(O37,'Shop Items'!$C:$W,14,FALSE))),
)
,)
</f>
        <v/>
      </c>
      <c r="V37" s="200"/>
      <c r="W37" s="58"/>
      <c r="X37" s="282"/>
      <c r="Y37" s="201"/>
      <c r="Z37" s="9"/>
      <c r="AA37" s="9"/>
    </row>
    <row r="38" ht="15.75" customHeight="1">
      <c r="A38" s="9"/>
      <c r="B38" s="53"/>
      <c r="C38" s="198" t="str">
        <f>'Main Page'!C35</f>
        <v/>
      </c>
      <c r="D38" s="118" t="str">
        <f>IFERROR(VLOOKUP(C38,'Shop Items'!$C:$W,2,FALSE),)</f>
        <v/>
      </c>
      <c r="E38" s="118" t="str">
        <f>IFERROR(VLOOKUP(C38,'Shop Items'!$C:$W,3,FALSE),)</f>
        <v/>
      </c>
      <c r="F38" s="118" t="str">
        <f>IFERROR(IF(VLOOKUP(C38,'Shop Items'!$C:$W,4,FALSE) = "", "-", VLOOKUP(C38,'Shop Items'!$C:$W,4,FALSE)),)</f>
        <v/>
      </c>
      <c r="G38" s="118" t="str">
        <f>IFERROR(IF(VLOOKUP(C38,'Shop Items'!$C:$W,5,FALSE) = "", "-", VLOOKUP(C38,'Shop Items'!$C:$W,5,FALSE)),)</f>
        <v/>
      </c>
      <c r="H38" s="118" t="str">
        <f>IFERROR(VLOOKUP(C38,'Shop Items'!$C:$W,7,FALSE),)</f>
        <v/>
      </c>
      <c r="I38" s="118" t="str">
        <f> IFERROR(
CONCATENATE(
IF(VLOOKUP(C38,'Shop Items'!$C:$W,8,FALSE) = "",, CONCATENATE(VLOOKUP(C38,'Shop Items'!$C:$W,8,FALSE))),
IF(VLOOKUP(C38,'Shop Items'!$C:$W,10,FALSE) = "",,CONCATENATE(CHAR(10), CHAR(10), VLOOKUP(C38,'Shop Items'!$C:$W,10,FALSE))),
IF(VLOOKUP(C38,'Shop Items'!$C:$W,12,FALSE) = "",, CONCATENATE(CHAR(10), CHAR(10), "S: ", VLOOKUP(C38,'Shop Items'!$C:$W,12,FALSE))),
IF(VLOOKUP(C38,'Shop Items'!$C:$W,14,FALSE) = "",, CONCATENATE(CHAR(10), CHAR(10), "SS: ", VLOOKUP(C38,'Shop Items'!$C:$W,14,FALSE))),
)
,)
</f>
        <v/>
      </c>
      <c r="K38" s="58"/>
      <c r="L38" s="281"/>
      <c r="M38" s="201"/>
      <c r="N38" s="9"/>
      <c r="O38" s="198"/>
      <c r="P38" s="118" t="str">
        <f>IFERROR(VLOOKUP(O38,'Shop Items'!$C:$W,2,FALSE),)</f>
        <v/>
      </c>
      <c r="Q38" s="118" t="str">
        <f>IFERROR(VLOOKUP(O38,'Shop Items'!$C:$W,3,FALSE),)</f>
        <v/>
      </c>
      <c r="R38" s="118" t="str">
        <f>IFERROR(IF(VLOOKUP(O38,'Shop Items'!$C:$W,4,FALSE) = "", "-", VLOOKUP(O38,'Shop Items'!$C:$W,4,FALSE)),)</f>
        <v/>
      </c>
      <c r="S38" s="118" t="str">
        <f>IFERROR(IF(VLOOKUP(O38,'Shop Items'!$C:$W,5,FALSE) = "", "-", VLOOKUP(O38,'Shop Items'!$C:$W,5,FALSE)),)</f>
        <v/>
      </c>
      <c r="T38" s="118" t="str">
        <f>IFERROR(VLOOKUP(O38,'Shop Items'!$C:$W,7,FALSE),)</f>
        <v/>
      </c>
      <c r="U38" s="118" t="str">
        <f> IFERROR(
CONCATENATE(
IF(VLOOKUP(O38,'Shop Items'!$C:$W,8,FALSE) = "",, CONCATENATE(VLOOKUP(O38,'Shop Items'!$C:$W,8,FALSE))),
IF(VLOOKUP(O38,'Shop Items'!$C:$W,10,FALSE) = "",,CONCATENATE(CHAR(10), CHAR(10), VLOOKUP(O38,'Shop Items'!$C:$W,10,FALSE))),
IF(VLOOKUP(O38,'Shop Items'!$C:$W,12,FALSE) = "",, CONCATENATE(CHAR(10), CHAR(10), "S: ", VLOOKUP(O38,'Shop Items'!$C:$W,12,FALSE))),
IF(VLOOKUP(O38,'Shop Items'!$C:$W,14,FALSE) = "",, CONCATENATE(CHAR(10), CHAR(10), "SS: ", VLOOKUP(O38,'Shop Items'!$C:$W,14,FALSE))),
)
,)
</f>
        <v/>
      </c>
      <c r="W38" s="58"/>
      <c r="X38" s="282"/>
      <c r="Y38" s="201"/>
      <c r="Z38" s="9"/>
      <c r="AA38" s="9"/>
    </row>
    <row r="39" ht="15.75" customHeight="1">
      <c r="A39" s="9"/>
      <c r="B39" s="53"/>
      <c r="C39" s="198" t="str">
        <f>'Main Page'!C36</f>
        <v/>
      </c>
      <c r="D39" s="118" t="str">
        <f>IFERROR(VLOOKUP(C39,'Shop Items'!$C:$W,2,FALSE),)</f>
        <v/>
      </c>
      <c r="E39" s="118" t="str">
        <f>IFERROR(VLOOKUP(C39,'Shop Items'!$C:$W,3,FALSE),)</f>
        <v/>
      </c>
      <c r="F39" s="118" t="str">
        <f>IFERROR(IF(VLOOKUP(C39,'Shop Items'!$C:$W,4,FALSE) = "", "-", VLOOKUP(C39,'Shop Items'!$C:$W,4,FALSE)),)</f>
        <v/>
      </c>
      <c r="G39" s="118" t="str">
        <f>IFERROR(IF(VLOOKUP(C39,'Shop Items'!$C:$W,5,FALSE) = "", "-", VLOOKUP(C39,'Shop Items'!$C:$W,5,FALSE)),)</f>
        <v/>
      </c>
      <c r="H39" s="118" t="str">
        <f>IFERROR(VLOOKUP(C39,'Shop Items'!$C:$W,7,FALSE),)</f>
        <v/>
      </c>
      <c r="I39" s="118" t="str">
        <f> IFERROR(
CONCATENATE(
IF(VLOOKUP(C39,'Shop Items'!$C:$W,8,FALSE) = "",, CONCATENATE(VLOOKUP(C39,'Shop Items'!$C:$W,8,FALSE))),
IF(VLOOKUP(C39,'Shop Items'!$C:$W,10,FALSE) = "",,CONCATENATE(CHAR(10), CHAR(10), VLOOKUP(C39,'Shop Items'!$C:$W,10,FALSE))),
IF(VLOOKUP(C39,'Shop Items'!$C:$W,12,FALSE) = "",, CONCATENATE(CHAR(10), CHAR(10), "S: ", VLOOKUP(C39,'Shop Items'!$C:$W,12,FALSE))),
IF(VLOOKUP(C39,'Shop Items'!$C:$W,14,FALSE) = "",, CONCATENATE(CHAR(10), CHAR(10), "SS: ", VLOOKUP(C39,'Shop Items'!$C:$W,14,FALSE))),
)
,)
</f>
        <v/>
      </c>
      <c r="K39" s="58"/>
      <c r="L39" s="281"/>
      <c r="M39" s="201"/>
      <c r="N39" s="9"/>
      <c r="O39" s="198"/>
      <c r="P39" s="118" t="str">
        <f>IFERROR(VLOOKUP(O39,'Shop Items'!$C:$W,2,FALSE),)</f>
        <v/>
      </c>
      <c r="Q39" s="118" t="str">
        <f>IFERROR(VLOOKUP(O39,'Shop Items'!$C:$W,3,FALSE),)</f>
        <v/>
      </c>
      <c r="R39" s="118" t="str">
        <f>IFERROR(IF(VLOOKUP(O39,'Shop Items'!$C:$W,4,FALSE) = "", "-", VLOOKUP(O39,'Shop Items'!$C:$W,4,FALSE)),)</f>
        <v/>
      </c>
      <c r="S39" s="118" t="str">
        <f>IFERROR(IF(VLOOKUP(O39,'Shop Items'!$C:$W,5,FALSE) = "", "-", VLOOKUP(O39,'Shop Items'!$C:$W,5,FALSE)),)</f>
        <v/>
      </c>
      <c r="T39" s="118" t="str">
        <f>IFERROR(VLOOKUP(O39,'Shop Items'!$C:$W,7,FALSE),)</f>
        <v/>
      </c>
      <c r="U39" s="118" t="str">
        <f> IFERROR(
CONCATENATE(
IF(VLOOKUP(O39,'Shop Items'!$C:$W,8,FALSE) = "",, CONCATENATE(VLOOKUP(O39,'Shop Items'!$C:$W,8,FALSE))),
IF(VLOOKUP(O39,'Shop Items'!$C:$W,10,FALSE) = "",,CONCATENATE(CHAR(10), CHAR(10), VLOOKUP(O39,'Shop Items'!$C:$W,10,FALSE))),
IF(VLOOKUP(O39,'Shop Items'!$C:$W,12,FALSE) = "",, CONCATENATE(CHAR(10), CHAR(10), "S: ", VLOOKUP(O39,'Shop Items'!$C:$W,12,FALSE))),
IF(VLOOKUP(O39,'Shop Items'!$C:$W,14,FALSE) = "",, CONCATENATE(CHAR(10), CHAR(10), "SS: ", VLOOKUP(O39,'Shop Items'!$C:$W,14,FALSE))),
)
,)
</f>
        <v/>
      </c>
      <c r="W39" s="58"/>
      <c r="X39" s="282"/>
      <c r="Y39" s="201"/>
      <c r="Z39" s="9"/>
      <c r="AA39" s="9"/>
    </row>
    <row r="40" ht="15.75" customHeight="1">
      <c r="A40" s="9"/>
      <c r="B40" s="53"/>
      <c r="C40" s="198" t="str">
        <f>'Main Page'!C37</f>
        <v/>
      </c>
      <c r="D40" s="118" t="str">
        <f>IFERROR(VLOOKUP(C40,'Shop Items'!$C:$W,2,FALSE),)</f>
        <v/>
      </c>
      <c r="E40" s="118" t="str">
        <f>IFERROR(VLOOKUP(C40,'Shop Items'!$C:$W,3,FALSE),)</f>
        <v/>
      </c>
      <c r="F40" s="118" t="str">
        <f>IFERROR(IF(VLOOKUP(C40,'Shop Items'!$C:$W,4,FALSE) = "", "-", VLOOKUP(C40,'Shop Items'!$C:$W,4,FALSE)),)</f>
        <v/>
      </c>
      <c r="G40" s="118" t="str">
        <f>IFERROR(IF(VLOOKUP(C40,'Shop Items'!$C:$W,5,FALSE) = "", "-", VLOOKUP(C40,'Shop Items'!$C:$W,5,FALSE)),)</f>
        <v/>
      </c>
      <c r="H40" s="118" t="str">
        <f>IFERROR(VLOOKUP(C40,'Shop Items'!$C:$W,7,FALSE),)</f>
        <v/>
      </c>
      <c r="I40" s="118" t="str">
        <f> IFERROR(
CONCATENATE(
IF(VLOOKUP(C40,'Shop Items'!$C:$W,8,FALSE) = "",, CONCATENATE(VLOOKUP(C40,'Shop Items'!$C:$W,8,FALSE))),
IF(VLOOKUP(C40,'Shop Items'!$C:$W,10,FALSE) = "",,CONCATENATE(CHAR(10), CHAR(10), VLOOKUP(C40,'Shop Items'!$C:$W,10,FALSE))),
IF(VLOOKUP(C40,'Shop Items'!$C:$W,12,FALSE) = "",, CONCATENATE(CHAR(10), CHAR(10), "S: ", VLOOKUP(C40,'Shop Items'!$C:$W,12,FALSE))),
IF(VLOOKUP(C40,'Shop Items'!$C:$W,14,FALSE) = "",, CONCATENATE(CHAR(10), CHAR(10), "SS: ", VLOOKUP(C40,'Shop Items'!$C:$W,14,FALSE))),
)
,)
</f>
        <v/>
      </c>
      <c r="K40" s="58"/>
      <c r="L40" s="281"/>
      <c r="M40" s="201"/>
      <c r="N40" s="9"/>
      <c r="O40" s="198"/>
      <c r="P40" s="118" t="str">
        <f>IFERROR(VLOOKUP(O40,'Shop Items'!$C:$W,2,FALSE),)</f>
        <v/>
      </c>
      <c r="Q40" s="118" t="str">
        <f>IFERROR(VLOOKUP(O40,'Shop Items'!$C:$W,3,FALSE),)</f>
        <v/>
      </c>
      <c r="R40" s="118" t="str">
        <f>IFERROR(IF(VLOOKUP(O40,'Shop Items'!$C:$W,4,FALSE) = "", "-", VLOOKUP(O40,'Shop Items'!$C:$W,4,FALSE)),)</f>
        <v/>
      </c>
      <c r="S40" s="118" t="str">
        <f>IFERROR(IF(VLOOKUP(O40,'Shop Items'!$C:$W,5,FALSE) = "", "-", VLOOKUP(O40,'Shop Items'!$C:$W,5,FALSE)),)</f>
        <v/>
      </c>
      <c r="T40" s="118" t="str">
        <f>IFERROR(VLOOKUP(O40,'Shop Items'!$C:$W,7,FALSE),)</f>
        <v/>
      </c>
      <c r="U40" s="118" t="str">
        <f> IFERROR(
CONCATENATE(
IF(VLOOKUP(O40,'Shop Items'!$C:$W,8,FALSE) = "",, CONCATENATE(VLOOKUP(O40,'Shop Items'!$C:$W,8,FALSE))),
IF(VLOOKUP(O40,'Shop Items'!$C:$W,10,FALSE) = "",,CONCATENATE(CHAR(10), CHAR(10), VLOOKUP(O40,'Shop Items'!$C:$W,10,FALSE))),
IF(VLOOKUP(O40,'Shop Items'!$C:$W,12,FALSE) = "",, CONCATENATE(CHAR(10), CHAR(10), "S: ", VLOOKUP(O40,'Shop Items'!$C:$W,12,FALSE))),
IF(VLOOKUP(O40,'Shop Items'!$C:$W,14,FALSE) = "",, CONCATENATE(CHAR(10), CHAR(10), "SS: ", VLOOKUP(O40,'Shop Items'!$C:$W,14,FALSE))),
)
,)
</f>
        <v/>
      </c>
      <c r="W40" s="58"/>
      <c r="X40" s="282"/>
      <c r="Y40" s="201"/>
      <c r="Z40" s="9"/>
      <c r="AA40" s="9"/>
    </row>
    <row r="41" ht="15.75" customHeight="1">
      <c r="A41" s="9"/>
      <c r="B41" s="53"/>
      <c r="C41" s="198" t="str">
        <f>'Main Page'!C38</f>
        <v/>
      </c>
      <c r="D41" s="118" t="str">
        <f>IFERROR(VLOOKUP(C41,'Shop Items'!$C:$W,2,FALSE),)</f>
        <v/>
      </c>
      <c r="E41" s="118" t="str">
        <f>IFERROR(VLOOKUP(C41,'Shop Items'!$C:$W,3,FALSE),)</f>
        <v/>
      </c>
      <c r="F41" s="118" t="str">
        <f>IFERROR(IF(VLOOKUP(C41,'Shop Items'!$C:$W,4,FALSE) = "", "-", VLOOKUP(C41,'Shop Items'!$C:$W,4,FALSE)),)</f>
        <v/>
      </c>
      <c r="G41" s="118" t="str">
        <f>IFERROR(IF(VLOOKUP(C41,'Shop Items'!$C:$W,5,FALSE) = "", "-", VLOOKUP(C41,'Shop Items'!$C:$W,5,FALSE)),)</f>
        <v/>
      </c>
      <c r="H41" s="118" t="str">
        <f>IFERROR(VLOOKUP(C41,'Shop Items'!$C:$W,7,FALSE),)</f>
        <v/>
      </c>
      <c r="I41" s="118" t="str">
        <f> IFERROR(
CONCATENATE(
IF(VLOOKUP(C41,'Shop Items'!$C:$W,8,FALSE) = "",, CONCATENATE(VLOOKUP(C41,'Shop Items'!$C:$W,8,FALSE))),
IF(VLOOKUP(C41,'Shop Items'!$C:$W,10,FALSE) = "",,CONCATENATE(CHAR(10), CHAR(10), VLOOKUP(C41,'Shop Items'!$C:$W,10,FALSE))),
IF(VLOOKUP(C41,'Shop Items'!$C:$W,12,FALSE) = "",, CONCATENATE(CHAR(10), CHAR(10), "S: ", VLOOKUP(C41,'Shop Items'!$C:$W,12,FALSE))),
IF(VLOOKUP(C41,'Shop Items'!$C:$W,14,FALSE) = "",, CONCATENATE(CHAR(10), CHAR(10), "SS: ", VLOOKUP(C41,'Shop Items'!$C:$W,14,FALSE))),
)
,)
</f>
        <v/>
      </c>
      <c r="K41" s="58"/>
      <c r="L41" s="281"/>
      <c r="M41" s="201"/>
      <c r="N41" s="9"/>
      <c r="O41" s="198"/>
      <c r="P41" s="118" t="str">
        <f>IFERROR(VLOOKUP(O41,'Shop Items'!$C:$W,2,FALSE),)</f>
        <v/>
      </c>
      <c r="Q41" s="118" t="str">
        <f>IFERROR(VLOOKUP(O41,'Shop Items'!$C:$W,3,FALSE),)</f>
        <v/>
      </c>
      <c r="R41" s="118" t="str">
        <f>IFERROR(IF(VLOOKUP(O41,'Shop Items'!$C:$W,4,FALSE) = "", "-", VLOOKUP(O41,'Shop Items'!$C:$W,4,FALSE)),)</f>
        <v/>
      </c>
      <c r="S41" s="118" t="str">
        <f>IFERROR(IF(VLOOKUP(O41,'Shop Items'!$C:$W,5,FALSE) = "", "-", VLOOKUP(O41,'Shop Items'!$C:$W,5,FALSE)),)</f>
        <v/>
      </c>
      <c r="T41" s="118" t="str">
        <f>IFERROR(VLOOKUP(O41,'Shop Items'!$C:$W,7,FALSE),)</f>
        <v/>
      </c>
      <c r="U41" s="118" t="str">
        <f> IFERROR(
CONCATENATE(
IF(VLOOKUP(O41,'Shop Items'!$C:$W,8,FALSE) = "",, CONCATENATE(VLOOKUP(O41,'Shop Items'!$C:$W,8,FALSE))),
IF(VLOOKUP(O41,'Shop Items'!$C:$W,10,FALSE) = "",,CONCATENATE(CHAR(10), CHAR(10), VLOOKUP(O41,'Shop Items'!$C:$W,10,FALSE))),
IF(VLOOKUP(O41,'Shop Items'!$C:$W,12,FALSE) = "",, CONCATENATE(CHAR(10), CHAR(10), "S: ", VLOOKUP(O41,'Shop Items'!$C:$W,12,FALSE))),
IF(VLOOKUP(O41,'Shop Items'!$C:$W,14,FALSE) = "",, CONCATENATE(CHAR(10), CHAR(10), "SS: ", VLOOKUP(O41,'Shop Items'!$C:$W,14,FALSE))),
)
,)
</f>
        <v/>
      </c>
      <c r="W41" s="58"/>
      <c r="X41" s="282"/>
      <c r="Y41" s="201"/>
      <c r="Z41" s="9"/>
      <c r="AA41" s="9"/>
    </row>
    <row r="42" ht="15.75" customHeight="1">
      <c r="A42" s="9"/>
      <c r="B42" s="53"/>
      <c r="C42" s="198" t="str">
        <f>'Main Page'!C39</f>
        <v/>
      </c>
      <c r="D42" s="118" t="str">
        <f>IFERROR(VLOOKUP(C42,'Shop Items'!$C:$W,2,FALSE),)</f>
        <v/>
      </c>
      <c r="E42" s="118" t="str">
        <f>IFERROR(VLOOKUP(C42,'Shop Items'!$C:$W,3,FALSE),)</f>
        <v/>
      </c>
      <c r="F42" s="118" t="str">
        <f>IFERROR(IF(VLOOKUP(C42,'Shop Items'!$C:$W,4,FALSE) = "", "-", VLOOKUP(C42,'Shop Items'!$C:$W,4,FALSE)),)</f>
        <v/>
      </c>
      <c r="G42" s="118" t="str">
        <f>IFERROR(IF(VLOOKUP(C42,'Shop Items'!$C:$W,5,FALSE) = "", "-", VLOOKUP(C42,'Shop Items'!$C:$W,5,FALSE)),)</f>
        <v/>
      </c>
      <c r="H42" s="118" t="str">
        <f>IFERROR(VLOOKUP(C42,'Shop Items'!$C:$W,7,FALSE),)</f>
        <v/>
      </c>
      <c r="I42" s="118" t="str">
        <f> IFERROR(
CONCATENATE(
IF(VLOOKUP(C42,'Shop Items'!$C:$W,8,FALSE) = "",, CONCATENATE(VLOOKUP(C42,'Shop Items'!$C:$W,8,FALSE))),
IF(VLOOKUP(C42,'Shop Items'!$C:$W,10,FALSE) = "",,CONCATENATE(CHAR(10), CHAR(10), VLOOKUP(C42,'Shop Items'!$C:$W,10,FALSE))),
IF(VLOOKUP(C42,'Shop Items'!$C:$W,12,FALSE) = "",, CONCATENATE(CHAR(10), CHAR(10), "S: ", VLOOKUP(C42,'Shop Items'!$C:$W,12,FALSE))),
IF(VLOOKUP(C42,'Shop Items'!$C:$W,14,FALSE) = "",, CONCATENATE(CHAR(10), CHAR(10), "SS: ", VLOOKUP(C42,'Shop Items'!$C:$W,14,FALSE))),
)
,)
</f>
        <v/>
      </c>
      <c r="K42" s="58"/>
      <c r="L42" s="281"/>
      <c r="M42" s="201"/>
      <c r="N42" s="9"/>
      <c r="O42" s="198"/>
      <c r="P42" s="118" t="str">
        <f>IFERROR(VLOOKUP(O42,'Shop Items'!$C:$W,2,FALSE),)</f>
        <v/>
      </c>
      <c r="Q42" s="118" t="str">
        <f>IFERROR(VLOOKUP(O42,'Shop Items'!$C:$W,3,FALSE),)</f>
        <v/>
      </c>
      <c r="R42" s="118" t="str">
        <f>IFERROR(IF(VLOOKUP(O42,'Shop Items'!$C:$W,4,FALSE) = "", "-", VLOOKUP(O42,'Shop Items'!$C:$W,4,FALSE)),)</f>
        <v/>
      </c>
      <c r="S42" s="118" t="str">
        <f>IFERROR(IF(VLOOKUP(O42,'Shop Items'!$C:$W,5,FALSE) = "", "-", VLOOKUP(O42,'Shop Items'!$C:$W,5,FALSE)),)</f>
        <v/>
      </c>
      <c r="T42" s="118" t="str">
        <f>IFERROR(VLOOKUP(O42,'Shop Items'!$C:$W,7,FALSE),)</f>
        <v/>
      </c>
      <c r="U42" s="118" t="str">
        <f> IFERROR(
CONCATENATE(
IF(VLOOKUP(O42,'Shop Items'!$C:$W,8,FALSE) = "",, CONCATENATE(VLOOKUP(O42,'Shop Items'!$C:$W,8,FALSE))),
IF(VLOOKUP(O42,'Shop Items'!$C:$W,10,FALSE) = "",,CONCATENATE(CHAR(10), CHAR(10), VLOOKUP(O42,'Shop Items'!$C:$W,10,FALSE))),
IF(VLOOKUP(O42,'Shop Items'!$C:$W,12,FALSE) = "",, CONCATENATE(CHAR(10), CHAR(10), "S: ", VLOOKUP(O42,'Shop Items'!$C:$W,12,FALSE))),
IF(VLOOKUP(O42,'Shop Items'!$C:$W,14,FALSE) = "",, CONCATENATE(CHAR(10), CHAR(10), "SS: ", VLOOKUP(O42,'Shop Items'!$C:$W,14,FALSE))),
)
,)
</f>
        <v/>
      </c>
      <c r="W42" s="58"/>
      <c r="X42" s="282"/>
      <c r="Y42" s="201"/>
      <c r="Z42" s="9"/>
      <c r="AA42" s="9"/>
    </row>
    <row r="43" ht="15.75" customHeight="1">
      <c r="A43" s="9"/>
      <c r="B43" s="53"/>
      <c r="C43" s="198" t="str">
        <f>'Main Page'!C40</f>
        <v/>
      </c>
      <c r="D43" s="118" t="str">
        <f>IFERROR(VLOOKUP(C43,'Shop Items'!$C:$W,2,FALSE),)</f>
        <v/>
      </c>
      <c r="E43" s="118" t="str">
        <f>IFERROR(VLOOKUP(C43,'Shop Items'!$C:$W,3,FALSE),)</f>
        <v/>
      </c>
      <c r="F43" s="118" t="str">
        <f>IFERROR(IF(VLOOKUP(C43,'Shop Items'!$C:$W,4,FALSE) = "", "-", VLOOKUP(C43,'Shop Items'!$C:$W,4,FALSE)),)</f>
        <v/>
      </c>
      <c r="G43" s="118" t="str">
        <f>IFERROR(IF(VLOOKUP(C43,'Shop Items'!$C:$W,5,FALSE) = "", "-", VLOOKUP(C43,'Shop Items'!$C:$W,5,FALSE)),)</f>
        <v/>
      </c>
      <c r="H43" s="118" t="str">
        <f>IFERROR(VLOOKUP(C43,'Shop Items'!$C:$W,7,FALSE),)</f>
        <v/>
      </c>
      <c r="I43" s="118" t="str">
        <f> IFERROR(
CONCATENATE(
IF(VLOOKUP(C43,'Shop Items'!$C:$W,8,FALSE) = "",, CONCATENATE(VLOOKUP(C43,'Shop Items'!$C:$W,8,FALSE))),
IF(VLOOKUP(C43,'Shop Items'!$C:$W,10,FALSE) = "",,CONCATENATE(CHAR(10), CHAR(10), VLOOKUP(C43,'Shop Items'!$C:$W,10,FALSE))),
IF(VLOOKUP(C43,'Shop Items'!$C:$W,12,FALSE) = "",, CONCATENATE(CHAR(10), CHAR(10), "S: ", VLOOKUP(C43,'Shop Items'!$C:$W,12,FALSE))),
IF(VLOOKUP(C43,'Shop Items'!$C:$W,14,FALSE) = "",, CONCATENATE(CHAR(10), CHAR(10), "SS: ", VLOOKUP(C43,'Shop Items'!$C:$W,14,FALSE))),
)
,)
</f>
        <v/>
      </c>
      <c r="K43" s="58"/>
      <c r="L43" s="281"/>
      <c r="M43" s="201"/>
      <c r="N43" s="9"/>
      <c r="O43" s="198"/>
      <c r="P43" s="118" t="str">
        <f>IFERROR(VLOOKUP(O43,'Shop Items'!$C:$W,2,FALSE),)</f>
        <v/>
      </c>
      <c r="Q43" s="118" t="str">
        <f>IFERROR(VLOOKUP(O43,'Shop Items'!$C:$W,3,FALSE),)</f>
        <v/>
      </c>
      <c r="R43" s="118" t="str">
        <f>IFERROR(IF(VLOOKUP(O43,'Shop Items'!$C:$W,4,FALSE) = "", "-", VLOOKUP(O43,'Shop Items'!$C:$W,4,FALSE)),)</f>
        <v/>
      </c>
      <c r="S43" s="118" t="str">
        <f>IFERROR(IF(VLOOKUP(O43,'Shop Items'!$C:$W,5,FALSE) = "", "-", VLOOKUP(O43,'Shop Items'!$C:$W,5,FALSE)),)</f>
        <v/>
      </c>
      <c r="T43" s="118" t="str">
        <f>IFERROR(VLOOKUP(O43,'Shop Items'!$C:$W,7,FALSE),)</f>
        <v/>
      </c>
      <c r="U43" s="118" t="str">
        <f> IFERROR(
CONCATENATE(
IF(VLOOKUP(O43,'Shop Items'!$C:$W,8,FALSE) = "",, CONCATENATE(VLOOKUP(O43,'Shop Items'!$C:$W,8,FALSE))),
IF(VLOOKUP(O43,'Shop Items'!$C:$W,10,FALSE) = "",,CONCATENATE(CHAR(10), CHAR(10), VLOOKUP(O43,'Shop Items'!$C:$W,10,FALSE))),
IF(VLOOKUP(O43,'Shop Items'!$C:$W,12,FALSE) = "",, CONCATENATE(CHAR(10), CHAR(10), "S: ", VLOOKUP(O43,'Shop Items'!$C:$W,12,FALSE))),
IF(VLOOKUP(O43,'Shop Items'!$C:$W,14,FALSE) = "",, CONCATENATE(CHAR(10), CHAR(10), "SS: ", VLOOKUP(O43,'Shop Items'!$C:$W,14,FALSE))),
)
,)
</f>
        <v/>
      </c>
      <c r="W43" s="58"/>
      <c r="X43" s="282"/>
      <c r="Y43" s="201"/>
      <c r="Z43" s="9"/>
      <c r="AA43" s="9"/>
    </row>
    <row r="44" ht="15.75" customHeight="1">
      <c r="A44" s="9"/>
      <c r="B44" s="53"/>
      <c r="C44" s="228" t="s">
        <v>1438</v>
      </c>
      <c r="D44" s="80"/>
      <c r="E44" s="80"/>
      <c r="F44" s="80"/>
      <c r="G44" s="80"/>
      <c r="H44" s="80"/>
      <c r="I44" s="80"/>
      <c r="J44" s="80"/>
      <c r="K44" s="80"/>
      <c r="L44" s="81"/>
      <c r="M44" s="201"/>
      <c r="N44" s="9"/>
      <c r="O44" s="228" t="s">
        <v>1438</v>
      </c>
      <c r="P44" s="80"/>
      <c r="Q44" s="80"/>
      <c r="R44" s="80"/>
      <c r="S44" s="80"/>
      <c r="T44" s="80"/>
      <c r="U44" s="80"/>
      <c r="V44" s="80"/>
      <c r="W44" s="80"/>
      <c r="X44" s="81"/>
      <c r="Y44" s="201"/>
      <c r="Z44" s="9"/>
      <c r="AA44" s="9"/>
    </row>
    <row r="45" ht="15.75" customHeight="1">
      <c r="A45" s="9"/>
      <c r="B45" s="53"/>
      <c r="C45" s="256" t="s">
        <v>435</v>
      </c>
      <c r="D45" s="287" t="s">
        <v>1489</v>
      </c>
      <c r="E45" s="286" t="s">
        <v>1490</v>
      </c>
      <c r="F45" s="287" t="s">
        <v>1425</v>
      </c>
      <c r="G45" s="286" t="s">
        <v>1491</v>
      </c>
      <c r="H45" s="286" t="s">
        <v>1492</v>
      </c>
      <c r="I45" s="287" t="s">
        <v>1493</v>
      </c>
      <c r="J45" s="287" t="s">
        <v>1494</v>
      </c>
      <c r="K45" s="84"/>
      <c r="L45" s="203"/>
      <c r="M45" s="254"/>
      <c r="N45" s="9"/>
      <c r="O45" s="256" t="s">
        <v>435</v>
      </c>
      <c r="P45" s="287" t="s">
        <v>1489</v>
      </c>
      <c r="Q45" s="286" t="s">
        <v>1490</v>
      </c>
      <c r="R45" s="287" t="s">
        <v>1425</v>
      </c>
      <c r="S45" s="286" t="s">
        <v>1491</v>
      </c>
      <c r="T45" s="286" t="s">
        <v>1492</v>
      </c>
      <c r="U45" s="287" t="s">
        <v>1493</v>
      </c>
      <c r="V45" s="287" t="s">
        <v>1494</v>
      </c>
      <c r="W45" s="84"/>
      <c r="X45" s="203"/>
      <c r="Y45" s="254"/>
      <c r="Z45" s="9"/>
      <c r="AA45" s="9"/>
    </row>
    <row r="46" ht="15.75" customHeight="1">
      <c r="A46" s="9"/>
      <c r="B46" s="53"/>
      <c r="C46" s="290" t="str">
        <f>IFERROR(__xludf.DUMMYFUNCTION("IFERROR(FILTER(Familiars!$B:$B,(Familiars!$A:$A = C27) + (Familiars!$A:$A = E27)),)"),"")</f>
        <v/>
      </c>
      <c r="D46" s="289" t="str">
        <f>IFERROR(VLOOKUP(C46,Familiars!$B:$P,4,FALSE),)</f>
        <v/>
      </c>
      <c r="E46" s="289" t="str">
        <f>IFERROR(VLOOKUP(C46,Familiars!$B:$P,5,FALSE),)</f>
        <v/>
      </c>
      <c r="F46" s="289" t="str">
        <f>IFERROR(VLOOKUP(C46,Familiars!$B:$P,6,FALSE),)</f>
        <v/>
      </c>
      <c r="G46" s="289" t="str">
        <f>IFERROR(VLOOKUP(C46,Familiars!$B:$P,8,FALSE),)</f>
        <v/>
      </c>
      <c r="H46" s="289" t="str">
        <f>IFERROR(VLOOKUP(C46,Familiars!$B:$P,10,FALSE),)</f>
        <v/>
      </c>
      <c r="I46" s="289" t="str">
        <f>IFERROR(VLOOKUP(C46,Familiars!$B:$P,12,FALSE),)</f>
        <v/>
      </c>
      <c r="J46" s="140" t="str">
        <f>IFERROR(VLOOKUP(C46,vote4TRAITS!$A:$B,2,FALSE),)</f>
        <v/>
      </c>
      <c r="L46" s="200"/>
      <c r="M46" s="254"/>
      <c r="N46" s="9"/>
      <c r="O46" s="288" t="str">
        <f>IFERROR(__xludf.DUMMYFUNCTION("IFERROR(FILTER(Familiars!$B:$B,(Familiars!$A:$A = $C$3) + (Familiars!$A:$A = $E$3)),)"),"Reanimate")</f>
        <v>Reanimate</v>
      </c>
      <c r="P46" s="289">
        <f>IFERROR(VLOOKUP(O46,Familiars!$B:$P,4,FALSE),)</f>
        <v>3</v>
      </c>
      <c r="Q46" s="289">
        <f>IFERROR(VLOOKUP(O46,Familiars!$B:$P,5,FALSE),)</f>
        <v>4</v>
      </c>
      <c r="R46" s="289" t="str">
        <f>IFERROR(VLOOKUP(O46,Familiars!$B:$P,6,FALSE),)</f>
        <v>-</v>
      </c>
      <c r="S46" s="289" t="str">
        <f>IFERROR(VLOOKUP(O46,Familiars!$B:$P,8,FALSE),)</f>
        <v>Melee</v>
      </c>
      <c r="T46" s="289">
        <f>IFERROR(VLOOKUP(O46,Familiars!$B:$P,10,FALSE),)</f>
        <v>3.333333333</v>
      </c>
      <c r="U46" s="289" t="str">
        <f>IFERROR(VLOOKUP(O46,Familiars!$B:$P,12,FALSE),)</f>
        <v>+1 Wound</v>
      </c>
      <c r="V46" s="140" t="str">
        <f>IFERROR(VLOOKUP(O46,vote4TRAITS!$A:$B,2,FALSE),)</f>
        <v>This familiar cannot recover any amount of Heart. It may perform 1 attack action during its activation.</v>
      </c>
      <c r="X46" s="200"/>
      <c r="Y46" s="254"/>
      <c r="Z46" s="9"/>
      <c r="AA46" s="9"/>
    </row>
    <row r="47" ht="15.75" customHeight="1">
      <c r="A47" s="9"/>
      <c r="B47" s="52"/>
      <c r="C47" s="256"/>
      <c r="D47" s="286" t="str">
        <f>IFERROR(VLOOKUP(C47,Familiars!$B:$P,4,FALSE),)</f>
        <v/>
      </c>
      <c r="E47" s="286" t="str">
        <f>IFERROR(VLOOKUP(C47,Familiars!$B:$P,5,FALSE),)</f>
        <v/>
      </c>
      <c r="F47" s="286" t="str">
        <f>IFERROR(VLOOKUP(C47,Familiars!$B:$P,6,FALSE),)</f>
        <v/>
      </c>
      <c r="G47" s="286" t="str">
        <f>IFERROR(VLOOKUP(C47,Familiars!$B:$P,8,FALSE),)</f>
        <v/>
      </c>
      <c r="H47" s="286" t="str">
        <f>IFERROR(VLOOKUP(C47,Familiars!$B:$P,10,FALSE),)</f>
        <v/>
      </c>
      <c r="I47" s="286" t="str">
        <f>IFERROR(VLOOKUP(C47,Familiars!$B:$P,12,FALSE),)</f>
        <v/>
      </c>
      <c r="J47" s="286" t="str">
        <f>IFERROR(VLOOKUP(C47,vote4TRAITS!$A:$B,2,FALSE),)</f>
        <v/>
      </c>
      <c r="K47" s="84"/>
      <c r="L47" s="203"/>
      <c r="M47" s="254"/>
      <c r="N47" s="9"/>
      <c r="O47" s="255" t="str">
        <f>IFERROR(__xludf.DUMMYFUNCTION("""COMPUTED_VALUE"""),"Brightblaze")</f>
        <v>Brightblaze</v>
      </c>
      <c r="P47" s="286">
        <f>IFERROR(VLOOKUP(O47,Familiars!$B:$P,4,FALSE),)</f>
        <v>5</v>
      </c>
      <c r="Q47" s="286">
        <f>IFERROR(VLOOKUP(O47,Familiars!$B:$P,5,FALSE),)</f>
        <v>6</v>
      </c>
      <c r="R47" s="286" t="str">
        <f>IFERROR(VLOOKUP(O47,Familiars!$B:$P,6,FALSE),)</f>
        <v>Grey</v>
      </c>
      <c r="S47" s="286" t="str">
        <f>IFERROR(VLOOKUP(O47,Familiars!$B:$P,8,FALSE),)</f>
        <v>Melee</v>
      </c>
      <c r="T47" s="286">
        <f>IFERROR(VLOOKUP(O47,Familiars!$B:$P,10,FALSE),)</f>
        <v>0</v>
      </c>
      <c r="U47" s="286" t="str">
        <f>IFERROR(VLOOKUP(O47,Familiars!$B:$P,12,FALSE),)</f>
        <v>-</v>
      </c>
      <c r="V47" s="286" t="str">
        <f>IFERROR(VLOOKUP(O47,vote4TRAITS!$A:$B,2,FALSE),)</f>
        <v>This familiar is treated as a figure.
It may perform 1 Melee attack during its activation using the dice and abilities of a Magic weapon you have equipped.</v>
      </c>
      <c r="W47" s="84"/>
      <c r="X47" s="203"/>
      <c r="Y47" s="254"/>
      <c r="Z47" s="9"/>
      <c r="AA47" s="9"/>
    </row>
    <row r="48" ht="15.75" customHeight="1">
      <c r="A48" s="9"/>
      <c r="B48" s="9"/>
      <c r="C48" s="9"/>
      <c r="D48" s="9"/>
      <c r="E48" s="9"/>
      <c r="F48" s="9"/>
      <c r="G48" s="9"/>
      <c r="H48" s="9"/>
      <c r="I48" s="9"/>
      <c r="J48" s="9"/>
      <c r="K48" s="9"/>
      <c r="L48" s="9"/>
      <c r="M48" s="94"/>
      <c r="N48" s="9"/>
      <c r="O48" s="9"/>
      <c r="P48" s="9"/>
      <c r="Q48" s="9"/>
      <c r="R48" s="9"/>
      <c r="S48" s="9"/>
      <c r="T48" s="9"/>
      <c r="U48" s="9"/>
      <c r="V48" s="9"/>
      <c r="W48" s="9"/>
      <c r="X48" s="9"/>
      <c r="Y48" s="94"/>
      <c r="Z48" s="9"/>
      <c r="AA48" s="9"/>
    </row>
    <row r="49" ht="15.75" customHeight="1">
      <c r="A49" s="9"/>
      <c r="B49" s="9"/>
      <c r="C49" s="9"/>
      <c r="D49" s="9"/>
      <c r="E49" s="9"/>
      <c r="F49" s="9"/>
      <c r="G49" s="9"/>
      <c r="H49" s="9"/>
      <c r="I49" s="9"/>
      <c r="J49" s="9"/>
      <c r="K49" s="9"/>
      <c r="L49" s="9"/>
      <c r="M49" s="94"/>
      <c r="N49" s="9"/>
      <c r="O49" s="9"/>
      <c r="P49" s="9"/>
      <c r="Q49" s="9"/>
      <c r="R49" s="9"/>
      <c r="S49" s="9"/>
      <c r="T49" s="9"/>
      <c r="U49" s="9"/>
      <c r="V49" s="9"/>
      <c r="W49" s="9"/>
      <c r="X49" s="9"/>
      <c r="Y49" s="94"/>
      <c r="Z49" s="9"/>
      <c r="AA49" s="9"/>
    </row>
    <row r="50" ht="15.75" customHeight="1">
      <c r="A50" s="9"/>
      <c r="B50" s="9"/>
      <c r="C50" s="9"/>
      <c r="D50" s="9"/>
      <c r="E50" s="9"/>
      <c r="F50" s="9"/>
      <c r="G50" s="9"/>
      <c r="H50" s="9"/>
      <c r="I50" s="9"/>
      <c r="J50" s="9"/>
      <c r="K50" s="9"/>
      <c r="L50" s="9"/>
      <c r="M50" s="94"/>
      <c r="N50" s="9"/>
      <c r="O50" s="9"/>
      <c r="P50" s="9"/>
      <c r="Q50" s="9"/>
      <c r="R50" s="9"/>
      <c r="S50" s="9"/>
      <c r="T50" s="9"/>
      <c r="U50" s="9"/>
      <c r="V50" s="9"/>
      <c r="W50" s="9"/>
      <c r="X50" s="9"/>
      <c r="Y50" s="94"/>
      <c r="Z50" s="9"/>
      <c r="AA50" s="9"/>
    </row>
    <row r="51" ht="15.75" customHeight="1">
      <c r="A51" s="9"/>
      <c r="B51" s="9"/>
      <c r="C51" s="9"/>
      <c r="D51" s="9"/>
      <c r="E51" s="9"/>
      <c r="F51" s="9"/>
      <c r="G51" s="9"/>
      <c r="H51" s="9"/>
      <c r="I51" s="9"/>
      <c r="J51" s="9"/>
      <c r="K51" s="9"/>
      <c r="L51" s="9"/>
      <c r="M51" s="94"/>
      <c r="N51" s="9"/>
      <c r="O51" s="9"/>
      <c r="P51" s="9"/>
      <c r="Q51" s="9"/>
      <c r="R51" s="9"/>
      <c r="S51" s="9"/>
      <c r="T51" s="9"/>
      <c r="U51" s="9"/>
      <c r="V51" s="9"/>
      <c r="W51" s="9"/>
      <c r="X51" s="9"/>
      <c r="Y51" s="94"/>
      <c r="Z51" s="9"/>
      <c r="AA51" s="9"/>
    </row>
    <row r="52" ht="15.75" customHeight="1">
      <c r="A52" s="9"/>
      <c r="B52" s="9"/>
      <c r="C52" s="9"/>
      <c r="D52" s="9"/>
      <c r="E52" s="9"/>
      <c r="F52" s="9"/>
      <c r="G52" s="9"/>
      <c r="H52" s="9"/>
      <c r="I52" s="9"/>
      <c r="J52" s="9"/>
      <c r="K52" s="9"/>
      <c r="L52" s="9"/>
      <c r="M52" s="94"/>
      <c r="N52" s="9"/>
      <c r="O52" s="9"/>
      <c r="P52" s="9"/>
      <c r="Q52" s="9"/>
      <c r="R52" s="9"/>
      <c r="S52" s="9"/>
      <c r="T52" s="9"/>
      <c r="U52" s="9"/>
      <c r="V52" s="9"/>
      <c r="W52" s="9"/>
      <c r="X52" s="9"/>
      <c r="Y52" s="94"/>
      <c r="Z52" s="9"/>
      <c r="AA52" s="9"/>
    </row>
    <row r="53" ht="15.75" customHeight="1">
      <c r="A53" s="9"/>
      <c r="B53" s="9"/>
      <c r="C53" s="9"/>
      <c r="D53" s="9"/>
      <c r="E53" s="9"/>
      <c r="F53" s="9"/>
      <c r="G53" s="9"/>
      <c r="H53" s="9"/>
      <c r="I53" s="9"/>
      <c r="J53" s="9"/>
      <c r="K53" s="9"/>
      <c r="L53" s="9"/>
      <c r="M53" s="94"/>
      <c r="N53" s="9"/>
      <c r="O53" s="9"/>
      <c r="P53" s="9"/>
      <c r="Q53" s="9"/>
      <c r="R53" s="9"/>
      <c r="S53" s="9"/>
      <c r="T53" s="9"/>
      <c r="U53" s="9"/>
      <c r="V53" s="9"/>
      <c r="W53" s="9"/>
      <c r="X53" s="9"/>
      <c r="Y53" s="94"/>
      <c r="Z53" s="9"/>
      <c r="AA53" s="9"/>
    </row>
    <row r="54" ht="15.75" customHeight="1">
      <c r="A54" s="9"/>
      <c r="B54" s="9"/>
      <c r="C54" s="9"/>
      <c r="D54" s="9"/>
      <c r="E54" s="9"/>
      <c r="F54" s="9"/>
      <c r="G54" s="9"/>
      <c r="H54" s="9"/>
      <c r="I54" s="9"/>
      <c r="J54" s="9"/>
      <c r="K54" s="9"/>
      <c r="L54" s="9"/>
      <c r="M54" s="94"/>
      <c r="N54" s="9"/>
      <c r="O54" s="9"/>
      <c r="P54" s="9"/>
      <c r="Q54" s="9"/>
      <c r="R54" s="9"/>
      <c r="S54" s="9"/>
      <c r="T54" s="9"/>
      <c r="U54" s="9"/>
      <c r="V54" s="9"/>
      <c r="W54" s="9"/>
      <c r="X54" s="9"/>
      <c r="Y54" s="94"/>
      <c r="Z54" s="9"/>
      <c r="AA54" s="9"/>
    </row>
    <row r="55" ht="15.75" customHeight="1">
      <c r="A55" s="9"/>
      <c r="B55" s="9"/>
      <c r="C55" s="9"/>
      <c r="D55" s="9"/>
      <c r="E55" s="9"/>
      <c r="F55" s="9"/>
      <c r="G55" s="9"/>
      <c r="H55" s="9"/>
      <c r="I55" s="9"/>
      <c r="J55" s="9"/>
      <c r="K55" s="9"/>
      <c r="L55" s="9"/>
      <c r="M55" s="94"/>
      <c r="N55" s="9"/>
      <c r="O55" s="9"/>
      <c r="P55" s="9"/>
      <c r="Q55" s="9"/>
      <c r="R55" s="9"/>
      <c r="S55" s="9"/>
      <c r="T55" s="9"/>
      <c r="U55" s="9"/>
      <c r="V55" s="9"/>
      <c r="W55" s="9"/>
      <c r="X55" s="9"/>
      <c r="Y55" s="94"/>
      <c r="Z55" s="9"/>
      <c r="AA55" s="9"/>
    </row>
    <row r="56" ht="15.75" customHeight="1">
      <c r="A56" s="9"/>
      <c r="B56" s="9"/>
      <c r="C56" s="9"/>
      <c r="D56" s="9"/>
      <c r="E56" s="9"/>
      <c r="F56" s="9"/>
      <c r="G56" s="9"/>
      <c r="H56" s="9"/>
      <c r="I56" s="9"/>
      <c r="J56" s="9"/>
      <c r="K56" s="9"/>
      <c r="L56" s="9"/>
      <c r="M56" s="94"/>
      <c r="N56" s="9"/>
      <c r="O56" s="9"/>
      <c r="P56" s="9"/>
      <c r="Q56" s="9"/>
      <c r="R56" s="9"/>
      <c r="S56" s="9"/>
      <c r="T56" s="9"/>
      <c r="U56" s="9"/>
      <c r="V56" s="9"/>
      <c r="W56" s="9"/>
      <c r="X56" s="9"/>
      <c r="Y56" s="94"/>
      <c r="Z56" s="9"/>
      <c r="AA56" s="9"/>
    </row>
    <row r="57" ht="15.75" customHeight="1">
      <c r="A57" s="9"/>
      <c r="B57" s="9"/>
      <c r="C57" s="9"/>
      <c r="D57" s="9"/>
      <c r="E57" s="9"/>
      <c r="F57" s="9"/>
      <c r="G57" s="9"/>
      <c r="H57" s="9"/>
      <c r="I57" s="9"/>
      <c r="J57" s="9"/>
      <c r="K57" s="9"/>
      <c r="L57" s="9"/>
      <c r="M57" s="94"/>
      <c r="N57" s="9"/>
      <c r="O57" s="9"/>
      <c r="P57" s="9"/>
      <c r="Q57" s="9"/>
      <c r="R57" s="9"/>
      <c r="S57" s="9"/>
      <c r="T57" s="9"/>
      <c r="U57" s="9"/>
      <c r="V57" s="9"/>
      <c r="W57" s="9"/>
      <c r="X57" s="9"/>
      <c r="Y57" s="94"/>
      <c r="Z57" s="9"/>
      <c r="AA57" s="9"/>
    </row>
    <row r="58" ht="15.75" customHeight="1">
      <c r="A58" s="9"/>
      <c r="B58" s="9"/>
      <c r="C58" s="9"/>
      <c r="D58" s="9"/>
      <c r="E58" s="9"/>
      <c r="F58" s="9"/>
      <c r="G58" s="9"/>
      <c r="H58" s="9"/>
      <c r="I58" s="9"/>
      <c r="J58" s="9"/>
      <c r="K58" s="9"/>
      <c r="L58" s="9"/>
      <c r="M58" s="94"/>
      <c r="N58" s="9"/>
      <c r="O58" s="9"/>
      <c r="P58" s="9"/>
      <c r="Q58" s="9"/>
      <c r="R58" s="9"/>
      <c r="S58" s="9"/>
      <c r="T58" s="9"/>
      <c r="U58" s="9"/>
      <c r="V58" s="9"/>
      <c r="W58" s="9"/>
      <c r="X58" s="9"/>
      <c r="Y58" s="94"/>
      <c r="Z58" s="9"/>
      <c r="AA58" s="9"/>
    </row>
    <row r="59" ht="15.75" customHeight="1">
      <c r="A59" s="9"/>
      <c r="B59" s="9"/>
      <c r="C59" s="9"/>
      <c r="D59" s="9"/>
      <c r="E59" s="9"/>
      <c r="F59" s="9"/>
      <c r="G59" s="9"/>
      <c r="H59" s="9"/>
      <c r="I59" s="9"/>
      <c r="J59" s="9"/>
      <c r="K59" s="9"/>
      <c r="L59" s="9"/>
      <c r="M59" s="94"/>
      <c r="N59" s="9"/>
      <c r="O59" s="9"/>
      <c r="P59" s="9"/>
      <c r="Q59" s="9"/>
      <c r="R59" s="9"/>
      <c r="S59" s="9"/>
      <c r="T59" s="9"/>
      <c r="U59" s="9"/>
      <c r="V59" s="9"/>
      <c r="W59" s="9"/>
      <c r="X59" s="9"/>
      <c r="Y59" s="94"/>
      <c r="Z59" s="9"/>
      <c r="AA59" s="9"/>
    </row>
    <row r="60" ht="15.75" customHeight="1">
      <c r="A60" s="9"/>
      <c r="B60" s="9"/>
      <c r="C60" s="9"/>
      <c r="D60" s="9"/>
      <c r="E60" s="9"/>
      <c r="F60" s="9"/>
      <c r="G60" s="9"/>
      <c r="H60" s="9"/>
      <c r="I60" s="9"/>
      <c r="J60" s="9"/>
      <c r="K60" s="9"/>
      <c r="L60" s="9"/>
      <c r="M60" s="94"/>
      <c r="N60" s="9"/>
      <c r="O60" s="9"/>
      <c r="P60" s="9"/>
      <c r="Q60" s="9"/>
      <c r="R60" s="9"/>
      <c r="S60" s="9"/>
      <c r="T60" s="9"/>
      <c r="U60" s="9"/>
      <c r="V60" s="9"/>
      <c r="W60" s="9"/>
      <c r="X60" s="9"/>
      <c r="Y60" s="94"/>
      <c r="Z60" s="9"/>
      <c r="AA60" s="9"/>
    </row>
    <row r="61" ht="15.75" customHeight="1">
      <c r="A61" s="9"/>
      <c r="B61" s="9"/>
      <c r="C61" s="9"/>
      <c r="D61" s="9"/>
      <c r="E61" s="9"/>
      <c r="F61" s="9"/>
      <c r="G61" s="9"/>
      <c r="H61" s="9"/>
      <c r="I61" s="9"/>
      <c r="J61" s="9"/>
      <c r="K61" s="9"/>
      <c r="L61" s="9"/>
      <c r="M61" s="94"/>
      <c r="N61" s="9"/>
      <c r="O61" s="9"/>
      <c r="P61" s="9"/>
      <c r="Q61" s="9"/>
      <c r="R61" s="9"/>
      <c r="S61" s="9"/>
      <c r="T61" s="9"/>
      <c r="U61" s="9"/>
      <c r="V61" s="9"/>
      <c r="W61" s="9"/>
      <c r="X61" s="9"/>
      <c r="Y61" s="94"/>
      <c r="Z61" s="9"/>
      <c r="AA61" s="9"/>
    </row>
    <row r="62" ht="15.75" customHeight="1">
      <c r="A62" s="9"/>
      <c r="B62" s="9"/>
      <c r="C62" s="9"/>
      <c r="D62" s="9"/>
      <c r="E62" s="9"/>
      <c r="F62" s="9"/>
      <c r="G62" s="9"/>
      <c r="H62" s="9"/>
      <c r="I62" s="9"/>
      <c r="J62" s="9"/>
      <c r="K62" s="9"/>
      <c r="L62" s="9"/>
      <c r="M62" s="94"/>
      <c r="N62" s="9"/>
      <c r="O62" s="9"/>
      <c r="P62" s="9"/>
      <c r="Q62" s="9"/>
      <c r="R62" s="9"/>
      <c r="S62" s="9"/>
      <c r="T62" s="9"/>
      <c r="U62" s="9"/>
      <c r="V62" s="9"/>
      <c r="W62" s="9"/>
      <c r="X62" s="9"/>
      <c r="Y62" s="94"/>
      <c r="Z62" s="9"/>
      <c r="AA62" s="9"/>
    </row>
    <row r="63" ht="15.75" customHeight="1">
      <c r="A63" s="9"/>
      <c r="B63" s="9"/>
      <c r="C63" s="9"/>
      <c r="D63" s="9"/>
      <c r="E63" s="9"/>
      <c r="F63" s="9"/>
      <c r="G63" s="9"/>
      <c r="H63" s="9"/>
      <c r="I63" s="9"/>
      <c r="J63" s="9"/>
      <c r="K63" s="9"/>
      <c r="L63" s="9"/>
      <c r="M63" s="94"/>
      <c r="N63" s="9"/>
      <c r="O63" s="9"/>
      <c r="P63" s="9"/>
      <c r="Q63" s="9"/>
      <c r="R63" s="9"/>
      <c r="S63" s="9"/>
      <c r="T63" s="9"/>
      <c r="U63" s="9"/>
      <c r="V63" s="9"/>
      <c r="W63" s="9"/>
      <c r="X63" s="9"/>
      <c r="Y63" s="94"/>
      <c r="Z63" s="9"/>
      <c r="AA63" s="9"/>
    </row>
    <row r="64" ht="15.75" customHeight="1">
      <c r="A64" s="9"/>
      <c r="B64" s="9"/>
      <c r="C64" s="9"/>
      <c r="D64" s="9"/>
      <c r="E64" s="9"/>
      <c r="F64" s="9"/>
      <c r="G64" s="9"/>
      <c r="H64" s="9"/>
      <c r="I64" s="9"/>
      <c r="J64" s="9"/>
      <c r="K64" s="9"/>
      <c r="L64" s="9"/>
      <c r="M64" s="94"/>
      <c r="N64" s="9"/>
      <c r="O64" s="9"/>
      <c r="P64" s="9"/>
      <c r="Q64" s="9"/>
      <c r="R64" s="9"/>
      <c r="S64" s="9"/>
      <c r="T64" s="9"/>
      <c r="U64" s="9"/>
      <c r="V64" s="9"/>
      <c r="W64" s="9"/>
      <c r="X64" s="9"/>
      <c r="Y64" s="94"/>
      <c r="Z64" s="9"/>
      <c r="AA64" s="9"/>
    </row>
    <row r="65" ht="15.75" customHeight="1">
      <c r="A65" s="9"/>
      <c r="B65" s="9"/>
      <c r="C65" s="9"/>
      <c r="D65" s="9"/>
      <c r="E65" s="9"/>
      <c r="F65" s="9"/>
      <c r="G65" s="9"/>
      <c r="H65" s="9"/>
      <c r="I65" s="9"/>
      <c r="J65" s="9"/>
      <c r="K65" s="9"/>
      <c r="L65" s="9"/>
      <c r="M65" s="94"/>
      <c r="N65" s="9"/>
      <c r="O65" s="9"/>
      <c r="P65" s="9"/>
      <c r="Q65" s="9"/>
      <c r="R65" s="9"/>
      <c r="S65" s="9"/>
      <c r="T65" s="9"/>
      <c r="U65" s="9"/>
      <c r="V65" s="9"/>
      <c r="W65" s="9"/>
      <c r="X65" s="9"/>
      <c r="Y65" s="94"/>
      <c r="Z65" s="9"/>
      <c r="AA65" s="9"/>
    </row>
    <row r="66" ht="15.75" customHeight="1">
      <c r="A66" s="9"/>
      <c r="B66" s="9"/>
      <c r="C66" s="9"/>
      <c r="D66" s="9"/>
      <c r="E66" s="9"/>
      <c r="F66" s="9"/>
      <c r="G66" s="9"/>
      <c r="H66" s="9"/>
      <c r="I66" s="9"/>
      <c r="J66" s="9"/>
      <c r="K66" s="9"/>
      <c r="L66" s="9"/>
      <c r="M66" s="94"/>
      <c r="N66" s="9"/>
      <c r="O66" s="9"/>
      <c r="P66" s="9"/>
      <c r="Q66" s="9"/>
      <c r="R66" s="9"/>
      <c r="S66" s="9"/>
      <c r="T66" s="9"/>
      <c r="U66" s="9"/>
      <c r="V66" s="9"/>
      <c r="W66" s="9"/>
      <c r="X66" s="9"/>
      <c r="Y66" s="94"/>
      <c r="Z66" s="9"/>
      <c r="AA66" s="9"/>
    </row>
    <row r="67" ht="15.75" customHeight="1">
      <c r="A67" s="9"/>
      <c r="B67" s="9"/>
      <c r="C67" s="9"/>
      <c r="D67" s="9"/>
      <c r="E67" s="9"/>
      <c r="F67" s="9"/>
      <c r="G67" s="9"/>
      <c r="H67" s="9"/>
      <c r="I67" s="9"/>
      <c r="J67" s="9"/>
      <c r="K67" s="9"/>
      <c r="L67" s="9"/>
      <c r="M67" s="94"/>
      <c r="N67" s="9"/>
      <c r="O67" s="9"/>
      <c r="P67" s="9"/>
      <c r="Q67" s="9"/>
      <c r="R67" s="9"/>
      <c r="S67" s="9"/>
      <c r="T67" s="9"/>
      <c r="U67" s="9"/>
      <c r="V67" s="9"/>
      <c r="W67" s="9"/>
      <c r="X67" s="9"/>
      <c r="Y67" s="94"/>
      <c r="Z67" s="9"/>
      <c r="AA67" s="9"/>
    </row>
    <row r="68" ht="15.75" customHeight="1">
      <c r="A68" s="9"/>
      <c r="B68" s="9"/>
      <c r="C68" s="9"/>
      <c r="D68" s="9"/>
      <c r="E68" s="9"/>
      <c r="F68" s="9"/>
      <c r="G68" s="9"/>
      <c r="H68" s="9"/>
      <c r="I68" s="9"/>
      <c r="J68" s="9"/>
      <c r="K68" s="9"/>
      <c r="L68" s="9"/>
      <c r="M68" s="94"/>
      <c r="N68" s="9"/>
      <c r="O68" s="9"/>
      <c r="P68" s="9"/>
      <c r="Q68" s="9"/>
      <c r="R68" s="9"/>
      <c r="S68" s="9"/>
      <c r="T68" s="9"/>
      <c r="U68" s="9"/>
      <c r="V68" s="9"/>
      <c r="W68" s="9"/>
      <c r="X68" s="9"/>
      <c r="Y68" s="94"/>
      <c r="Z68" s="9"/>
      <c r="AA68" s="9"/>
    </row>
    <row r="69" ht="15.75" customHeight="1">
      <c r="A69" s="9"/>
      <c r="B69" s="9"/>
      <c r="C69" s="9"/>
      <c r="D69" s="9"/>
      <c r="E69" s="9"/>
      <c r="F69" s="9"/>
      <c r="G69" s="9"/>
      <c r="H69" s="9"/>
      <c r="I69" s="9"/>
      <c r="J69" s="9"/>
      <c r="K69" s="9"/>
      <c r="L69" s="9"/>
      <c r="M69" s="94"/>
      <c r="N69" s="9"/>
      <c r="O69" s="9"/>
      <c r="P69" s="9"/>
      <c r="Q69" s="9"/>
      <c r="R69" s="9"/>
      <c r="S69" s="9"/>
      <c r="T69" s="9"/>
      <c r="U69" s="9"/>
      <c r="V69" s="9"/>
      <c r="W69" s="9"/>
      <c r="X69" s="9"/>
      <c r="Y69" s="94"/>
      <c r="Z69" s="9"/>
      <c r="AA69" s="9"/>
    </row>
    <row r="70" ht="15.75" customHeight="1">
      <c r="A70" s="9"/>
      <c r="B70" s="9"/>
      <c r="C70" s="9"/>
      <c r="D70" s="9"/>
      <c r="E70" s="9"/>
      <c r="F70" s="9"/>
      <c r="G70" s="9"/>
      <c r="H70" s="9"/>
      <c r="I70" s="9"/>
      <c r="J70" s="9"/>
      <c r="K70" s="9"/>
      <c r="L70" s="9"/>
      <c r="M70" s="94"/>
      <c r="N70" s="9"/>
      <c r="O70" s="9"/>
      <c r="P70" s="9"/>
      <c r="Q70" s="9"/>
      <c r="R70" s="9"/>
      <c r="S70" s="9"/>
      <c r="T70" s="9"/>
      <c r="U70" s="9"/>
      <c r="V70" s="9"/>
      <c r="W70" s="9"/>
      <c r="X70" s="9"/>
      <c r="Y70" s="94"/>
      <c r="Z70" s="9"/>
      <c r="AA70" s="9"/>
    </row>
    <row r="71" ht="15.75" customHeight="1">
      <c r="A71" s="9"/>
      <c r="B71" s="9"/>
      <c r="C71" s="9"/>
      <c r="D71" s="9"/>
      <c r="E71" s="9"/>
      <c r="F71" s="9"/>
      <c r="G71" s="9"/>
      <c r="H71" s="9"/>
      <c r="I71" s="9"/>
      <c r="J71" s="9"/>
      <c r="K71" s="9"/>
      <c r="L71" s="9"/>
      <c r="M71" s="94"/>
      <c r="N71" s="9"/>
      <c r="O71" s="9"/>
      <c r="P71" s="9"/>
      <c r="Q71" s="9"/>
      <c r="R71" s="9"/>
      <c r="S71" s="9"/>
      <c r="T71" s="9"/>
      <c r="U71" s="9"/>
      <c r="V71" s="9"/>
      <c r="W71" s="9"/>
      <c r="X71" s="9"/>
      <c r="Y71" s="94"/>
      <c r="Z71" s="9"/>
      <c r="AA71" s="9"/>
    </row>
    <row r="72" ht="15.75" customHeight="1">
      <c r="A72" s="9"/>
      <c r="B72" s="9"/>
      <c r="C72" s="9"/>
      <c r="D72" s="9"/>
      <c r="E72" s="9"/>
      <c r="F72" s="9"/>
      <c r="G72" s="9"/>
      <c r="H72" s="9"/>
      <c r="I72" s="9"/>
      <c r="J72" s="9"/>
      <c r="K72" s="9"/>
      <c r="L72" s="9"/>
      <c r="M72" s="94"/>
      <c r="N72" s="9"/>
      <c r="O72" s="9"/>
      <c r="P72" s="9"/>
      <c r="Q72" s="9"/>
      <c r="R72" s="9"/>
      <c r="S72" s="9"/>
      <c r="T72" s="9"/>
      <c r="U72" s="9"/>
      <c r="V72" s="9"/>
      <c r="W72" s="9"/>
      <c r="X72" s="9"/>
      <c r="Y72" s="94"/>
      <c r="Z72" s="9"/>
      <c r="AA72" s="9"/>
    </row>
    <row r="73" ht="15.75" customHeight="1">
      <c r="A73" s="9"/>
      <c r="B73" s="9"/>
      <c r="C73" s="9"/>
      <c r="D73" s="9"/>
      <c r="E73" s="9"/>
      <c r="F73" s="9"/>
      <c r="G73" s="9"/>
      <c r="H73" s="9"/>
      <c r="I73" s="9"/>
      <c r="J73" s="9"/>
      <c r="K73" s="9"/>
      <c r="L73" s="9"/>
      <c r="M73" s="94"/>
      <c r="N73" s="9"/>
      <c r="O73" s="9"/>
      <c r="P73" s="9"/>
      <c r="Q73" s="9"/>
      <c r="R73" s="9"/>
      <c r="S73" s="9"/>
      <c r="T73" s="9"/>
      <c r="U73" s="9"/>
      <c r="V73" s="9"/>
      <c r="W73" s="9"/>
      <c r="X73" s="9"/>
      <c r="Y73" s="94"/>
      <c r="Z73" s="9"/>
      <c r="AA73" s="9"/>
    </row>
    <row r="74" ht="15.75" customHeight="1">
      <c r="A74" s="9"/>
      <c r="B74" s="9"/>
      <c r="C74" s="9"/>
      <c r="D74" s="9"/>
      <c r="E74" s="9"/>
      <c r="F74" s="9"/>
      <c r="G74" s="9"/>
      <c r="H74" s="9"/>
      <c r="I74" s="9"/>
      <c r="J74" s="9"/>
      <c r="K74" s="9"/>
      <c r="L74" s="9"/>
      <c r="M74" s="94"/>
      <c r="N74" s="9"/>
      <c r="O74" s="9"/>
      <c r="P74" s="9"/>
      <c r="Q74" s="9"/>
      <c r="R74" s="9"/>
      <c r="S74" s="9"/>
      <c r="T74" s="9"/>
      <c r="U74" s="9"/>
      <c r="V74" s="9"/>
      <c r="W74" s="9"/>
      <c r="X74" s="9"/>
      <c r="Y74" s="94"/>
      <c r="Z74" s="9"/>
      <c r="AA74" s="9"/>
    </row>
    <row r="75" ht="15.75" customHeight="1">
      <c r="A75" s="9"/>
      <c r="B75" s="9"/>
      <c r="C75" s="9"/>
      <c r="D75" s="9"/>
      <c r="E75" s="9"/>
      <c r="F75" s="9"/>
      <c r="G75" s="9"/>
      <c r="H75" s="9"/>
      <c r="I75" s="9"/>
      <c r="J75" s="9"/>
      <c r="K75" s="9"/>
      <c r="L75" s="9"/>
      <c r="M75" s="94"/>
      <c r="N75" s="9"/>
      <c r="O75" s="9"/>
      <c r="P75" s="9"/>
      <c r="Q75" s="9"/>
      <c r="R75" s="9"/>
      <c r="S75" s="9"/>
      <c r="T75" s="9"/>
      <c r="U75" s="9"/>
      <c r="V75" s="9"/>
      <c r="W75" s="9"/>
      <c r="X75" s="9"/>
      <c r="Y75" s="94"/>
      <c r="Z75" s="9"/>
      <c r="AA75" s="9"/>
    </row>
    <row r="76" ht="15.75" customHeight="1">
      <c r="A76" s="9"/>
      <c r="B76" s="9"/>
      <c r="C76" s="9"/>
      <c r="D76" s="9"/>
      <c r="E76" s="9"/>
      <c r="F76" s="9"/>
      <c r="G76" s="9"/>
      <c r="H76" s="9"/>
      <c r="I76" s="9"/>
      <c r="J76" s="9"/>
      <c r="K76" s="9"/>
      <c r="L76" s="9"/>
      <c r="M76" s="94"/>
      <c r="N76" s="9"/>
      <c r="O76" s="9"/>
      <c r="P76" s="9"/>
      <c r="Q76" s="9"/>
      <c r="R76" s="9"/>
      <c r="S76" s="9"/>
      <c r="T76" s="9"/>
      <c r="U76" s="9"/>
      <c r="V76" s="9"/>
      <c r="W76" s="9"/>
      <c r="X76" s="9"/>
      <c r="Y76" s="94"/>
      <c r="Z76" s="9"/>
      <c r="AA76" s="9"/>
    </row>
    <row r="77" ht="15.75" customHeight="1">
      <c r="A77" s="9"/>
      <c r="B77" s="9"/>
      <c r="C77" s="9"/>
      <c r="D77" s="9"/>
      <c r="E77" s="9"/>
      <c r="F77" s="9"/>
      <c r="G77" s="9"/>
      <c r="H77" s="9"/>
      <c r="I77" s="9"/>
      <c r="J77" s="9"/>
      <c r="K77" s="9"/>
      <c r="L77" s="9"/>
      <c r="M77" s="94"/>
      <c r="N77" s="9"/>
      <c r="O77" s="9"/>
      <c r="P77" s="9"/>
      <c r="Q77" s="9"/>
      <c r="R77" s="9"/>
      <c r="S77" s="9"/>
      <c r="T77" s="9"/>
      <c r="U77" s="9"/>
      <c r="V77" s="9"/>
      <c r="W77" s="9"/>
      <c r="X77" s="9"/>
      <c r="Y77" s="94"/>
      <c r="Z77" s="9"/>
      <c r="AA77" s="9"/>
    </row>
    <row r="78" ht="15.75" customHeight="1">
      <c r="A78" s="9"/>
      <c r="B78" s="9"/>
      <c r="C78" s="9"/>
      <c r="D78" s="9"/>
      <c r="E78" s="9"/>
      <c r="F78" s="9"/>
      <c r="G78" s="9"/>
      <c r="H78" s="9"/>
      <c r="I78" s="9"/>
      <c r="J78" s="9"/>
      <c r="K78" s="9"/>
      <c r="L78" s="9"/>
      <c r="M78" s="94"/>
      <c r="N78" s="9"/>
      <c r="O78" s="9"/>
      <c r="P78" s="9"/>
      <c r="Q78" s="9"/>
      <c r="R78" s="9"/>
      <c r="S78" s="9"/>
      <c r="T78" s="9"/>
      <c r="U78" s="9"/>
      <c r="V78" s="9"/>
      <c r="W78" s="9"/>
      <c r="X78" s="9"/>
      <c r="Y78" s="94"/>
      <c r="Z78" s="9"/>
      <c r="AA78" s="9"/>
    </row>
    <row r="79" ht="15.75" customHeight="1">
      <c r="A79" s="9"/>
      <c r="B79" s="9"/>
      <c r="C79" s="9"/>
      <c r="D79" s="9"/>
      <c r="E79" s="9"/>
      <c r="F79" s="9"/>
      <c r="G79" s="9"/>
      <c r="H79" s="9"/>
      <c r="I79" s="9"/>
      <c r="J79" s="9"/>
      <c r="K79" s="9"/>
      <c r="L79" s="9"/>
      <c r="M79" s="94"/>
      <c r="N79" s="9"/>
      <c r="O79" s="9"/>
      <c r="P79" s="9"/>
      <c r="Q79" s="9"/>
      <c r="R79" s="9"/>
      <c r="S79" s="9"/>
      <c r="T79" s="9"/>
      <c r="U79" s="9"/>
      <c r="V79" s="9"/>
      <c r="W79" s="9"/>
      <c r="X79" s="9"/>
      <c r="Y79" s="94"/>
      <c r="Z79" s="9"/>
      <c r="AA79" s="9"/>
    </row>
    <row r="80" ht="15.75" customHeight="1">
      <c r="A80" s="9"/>
      <c r="B80" s="9"/>
      <c r="C80" s="9"/>
      <c r="D80" s="9"/>
      <c r="E80" s="9"/>
      <c r="F80" s="9"/>
      <c r="G80" s="9"/>
      <c r="H80" s="9"/>
      <c r="I80" s="9"/>
      <c r="J80" s="9"/>
      <c r="K80" s="9"/>
      <c r="L80" s="9"/>
      <c r="M80" s="94"/>
      <c r="N80" s="9"/>
      <c r="O80" s="9"/>
      <c r="P80" s="9"/>
      <c r="Q80" s="9"/>
      <c r="R80" s="9"/>
      <c r="S80" s="9"/>
      <c r="T80" s="9"/>
      <c r="U80" s="9"/>
      <c r="V80" s="9"/>
      <c r="W80" s="9"/>
      <c r="X80" s="9"/>
      <c r="Y80" s="94"/>
      <c r="Z80" s="9"/>
      <c r="AA80" s="9"/>
    </row>
    <row r="81" ht="15.75" customHeight="1">
      <c r="A81" s="9"/>
      <c r="B81" s="9"/>
      <c r="C81" s="9"/>
      <c r="D81" s="9"/>
      <c r="E81" s="9"/>
      <c r="F81" s="9"/>
      <c r="G81" s="9"/>
      <c r="H81" s="9"/>
      <c r="I81" s="9"/>
      <c r="J81" s="9"/>
      <c r="K81" s="9"/>
      <c r="L81" s="9"/>
      <c r="M81" s="94"/>
      <c r="N81" s="9"/>
      <c r="O81" s="9"/>
      <c r="P81" s="9"/>
      <c r="Q81" s="9"/>
      <c r="R81" s="9"/>
      <c r="S81" s="9"/>
      <c r="T81" s="9"/>
      <c r="U81" s="9"/>
      <c r="V81" s="9"/>
      <c r="W81" s="9"/>
      <c r="X81" s="9"/>
      <c r="Y81" s="94"/>
      <c r="Z81" s="9"/>
      <c r="AA81" s="9"/>
    </row>
    <row r="82" ht="15.75" customHeight="1">
      <c r="A82" s="9"/>
      <c r="B82" s="9"/>
      <c r="C82" s="9"/>
      <c r="D82" s="9"/>
      <c r="E82" s="9"/>
      <c r="F82" s="9"/>
      <c r="G82" s="9"/>
      <c r="H82" s="9"/>
      <c r="I82" s="9"/>
      <c r="J82" s="9"/>
      <c r="K82" s="9"/>
      <c r="L82" s="9"/>
      <c r="M82" s="94"/>
      <c r="N82" s="9"/>
      <c r="O82" s="9"/>
      <c r="P82" s="9"/>
      <c r="Q82" s="9"/>
      <c r="R82" s="9"/>
      <c r="S82" s="9"/>
      <c r="T82" s="9"/>
      <c r="U82" s="9"/>
      <c r="V82" s="9"/>
      <c r="W82" s="9"/>
      <c r="X82" s="9"/>
      <c r="Y82" s="94"/>
      <c r="Z82" s="9"/>
      <c r="AA82" s="9"/>
    </row>
    <row r="83" ht="15.75" customHeight="1">
      <c r="A83" s="9"/>
      <c r="B83" s="9"/>
      <c r="C83" s="9"/>
      <c r="D83" s="9"/>
      <c r="E83" s="9"/>
      <c r="F83" s="9"/>
      <c r="G83" s="9"/>
      <c r="H83" s="9"/>
      <c r="I83" s="9"/>
      <c r="J83" s="9"/>
      <c r="K83" s="9"/>
      <c r="L83" s="9"/>
      <c r="M83" s="94"/>
      <c r="N83" s="9"/>
      <c r="O83" s="9"/>
      <c r="P83" s="9"/>
      <c r="Q83" s="9"/>
      <c r="R83" s="9"/>
      <c r="S83" s="9"/>
      <c r="T83" s="9"/>
      <c r="U83" s="9"/>
      <c r="V83" s="9"/>
      <c r="W83" s="9"/>
      <c r="X83" s="9"/>
      <c r="Y83" s="94"/>
      <c r="Z83" s="9"/>
      <c r="AA83" s="9"/>
    </row>
    <row r="84" ht="15.75" customHeight="1">
      <c r="A84" s="9"/>
      <c r="B84" s="9"/>
      <c r="C84" s="9"/>
      <c r="D84" s="9"/>
      <c r="E84" s="9"/>
      <c r="F84" s="9"/>
      <c r="G84" s="9"/>
      <c r="H84" s="9"/>
      <c r="I84" s="9"/>
      <c r="J84" s="9"/>
      <c r="K84" s="9"/>
      <c r="L84" s="9"/>
      <c r="M84" s="94"/>
      <c r="N84" s="9"/>
      <c r="O84" s="9"/>
      <c r="P84" s="9"/>
      <c r="Q84" s="9"/>
      <c r="R84" s="9"/>
      <c r="S84" s="9"/>
      <c r="T84" s="9"/>
      <c r="U84" s="9"/>
      <c r="V84" s="9"/>
      <c r="W84" s="9"/>
      <c r="X84" s="9"/>
      <c r="Y84" s="94"/>
      <c r="Z84" s="9"/>
      <c r="AA84" s="9"/>
    </row>
    <row r="85" ht="15.75" customHeight="1">
      <c r="A85" s="9"/>
      <c r="B85" s="9"/>
      <c r="C85" s="9"/>
      <c r="D85" s="9"/>
      <c r="E85" s="9"/>
      <c r="F85" s="9"/>
      <c r="G85" s="9"/>
      <c r="H85" s="9"/>
      <c r="I85" s="9"/>
      <c r="J85" s="9"/>
      <c r="K85" s="9"/>
      <c r="L85" s="9"/>
      <c r="M85" s="94"/>
      <c r="N85" s="9"/>
      <c r="O85" s="9"/>
      <c r="P85" s="9"/>
      <c r="Q85" s="9"/>
      <c r="R85" s="9"/>
      <c r="S85" s="9"/>
      <c r="T85" s="9"/>
      <c r="U85" s="9"/>
      <c r="V85" s="9"/>
      <c r="W85" s="9"/>
      <c r="X85" s="9"/>
      <c r="Y85" s="94"/>
      <c r="Z85" s="9"/>
      <c r="AA85" s="9"/>
    </row>
    <row r="86" ht="15.75" customHeight="1">
      <c r="A86" s="9"/>
      <c r="B86" s="9"/>
      <c r="C86" s="9"/>
      <c r="D86" s="9"/>
      <c r="E86" s="9"/>
      <c r="F86" s="9"/>
      <c r="G86" s="9"/>
      <c r="H86" s="9"/>
      <c r="I86" s="9"/>
      <c r="J86" s="9"/>
      <c r="K86" s="9"/>
      <c r="L86" s="9"/>
      <c r="M86" s="94"/>
      <c r="N86" s="9"/>
      <c r="O86" s="9"/>
      <c r="P86" s="9"/>
      <c r="Q86" s="9"/>
      <c r="R86" s="9"/>
      <c r="S86" s="9"/>
      <c r="T86" s="9"/>
      <c r="U86" s="9"/>
      <c r="V86" s="9"/>
      <c r="W86" s="9"/>
      <c r="X86" s="9"/>
      <c r="Y86" s="94"/>
      <c r="Z86" s="9"/>
      <c r="AA86" s="9"/>
    </row>
    <row r="87" ht="15.75" customHeight="1">
      <c r="A87" s="9"/>
      <c r="B87" s="9"/>
      <c r="C87" s="9"/>
      <c r="D87" s="9"/>
      <c r="E87" s="9"/>
      <c r="F87" s="9"/>
      <c r="G87" s="9"/>
      <c r="H87" s="9"/>
      <c r="I87" s="9"/>
      <c r="J87" s="9"/>
      <c r="K87" s="9"/>
      <c r="L87" s="9"/>
      <c r="M87" s="94"/>
      <c r="N87" s="9"/>
      <c r="O87" s="9"/>
      <c r="P87" s="9"/>
      <c r="Q87" s="9"/>
      <c r="R87" s="9"/>
      <c r="S87" s="9"/>
      <c r="T87" s="9"/>
      <c r="U87" s="9"/>
      <c r="V87" s="9"/>
      <c r="W87" s="9"/>
      <c r="X87" s="9"/>
      <c r="Y87" s="94"/>
      <c r="Z87" s="9"/>
      <c r="AA87" s="9"/>
    </row>
    <row r="88" ht="15.75" customHeight="1">
      <c r="A88" s="9"/>
      <c r="B88" s="9"/>
      <c r="C88" s="9"/>
      <c r="D88" s="9"/>
      <c r="E88" s="9"/>
      <c r="F88" s="9"/>
      <c r="G88" s="9"/>
      <c r="H88" s="9"/>
      <c r="I88" s="9"/>
      <c r="J88" s="9"/>
      <c r="K88" s="9"/>
      <c r="L88" s="9"/>
      <c r="M88" s="94"/>
      <c r="N88" s="9"/>
      <c r="O88" s="9"/>
      <c r="P88" s="9"/>
      <c r="Q88" s="9"/>
      <c r="R88" s="9"/>
      <c r="S88" s="9"/>
      <c r="T88" s="9"/>
      <c r="U88" s="9"/>
      <c r="V88" s="9"/>
      <c r="W88" s="9"/>
      <c r="X88" s="9"/>
      <c r="Y88" s="94"/>
      <c r="Z88" s="9"/>
      <c r="AA88" s="9"/>
    </row>
    <row r="89" ht="15.75" customHeight="1">
      <c r="A89" s="9"/>
      <c r="B89" s="9"/>
      <c r="C89" s="9"/>
      <c r="D89" s="9"/>
      <c r="E89" s="9"/>
      <c r="F89" s="9"/>
      <c r="G89" s="9"/>
      <c r="H89" s="9"/>
      <c r="I89" s="9"/>
      <c r="J89" s="9"/>
      <c r="K89" s="9"/>
      <c r="L89" s="9"/>
      <c r="M89" s="94"/>
      <c r="N89" s="9"/>
      <c r="O89" s="9"/>
      <c r="P89" s="9"/>
      <c r="Q89" s="9"/>
      <c r="R89" s="9"/>
      <c r="S89" s="9"/>
      <c r="T89" s="9"/>
      <c r="U89" s="9"/>
      <c r="V89" s="9"/>
      <c r="W89" s="9"/>
      <c r="X89" s="9"/>
      <c r="Y89" s="94"/>
      <c r="Z89" s="9"/>
      <c r="AA89" s="9"/>
    </row>
    <row r="90" ht="15.75" customHeight="1">
      <c r="A90" s="9"/>
      <c r="B90" s="9"/>
      <c r="C90" s="9"/>
      <c r="D90" s="9"/>
      <c r="E90" s="9"/>
      <c r="F90" s="9"/>
      <c r="G90" s="9"/>
      <c r="H90" s="9"/>
      <c r="I90" s="9"/>
      <c r="J90" s="9"/>
      <c r="K90" s="9"/>
      <c r="L90" s="9"/>
      <c r="M90" s="94"/>
      <c r="N90" s="9"/>
      <c r="O90" s="9"/>
      <c r="P90" s="9"/>
      <c r="Q90" s="9"/>
      <c r="R90" s="9"/>
      <c r="S90" s="9"/>
      <c r="T90" s="9"/>
      <c r="U90" s="9"/>
      <c r="V90" s="9"/>
      <c r="W90" s="9"/>
      <c r="X90" s="9"/>
      <c r="Y90" s="94"/>
      <c r="Z90" s="9"/>
      <c r="AA90" s="9"/>
    </row>
    <row r="91" ht="15.75" customHeight="1">
      <c r="A91" s="9"/>
      <c r="B91" s="9"/>
      <c r="C91" s="9"/>
      <c r="D91" s="9"/>
      <c r="E91" s="9"/>
      <c r="F91" s="9"/>
      <c r="G91" s="9"/>
      <c r="H91" s="9"/>
      <c r="I91" s="9"/>
      <c r="J91" s="9"/>
      <c r="K91" s="9"/>
      <c r="L91" s="9"/>
      <c r="M91" s="94"/>
      <c r="N91" s="9"/>
      <c r="O91" s="9"/>
      <c r="P91" s="9"/>
      <c r="Q91" s="9"/>
      <c r="R91" s="9"/>
      <c r="S91" s="9"/>
      <c r="T91" s="9"/>
      <c r="U91" s="9"/>
      <c r="V91" s="9"/>
      <c r="W91" s="9"/>
      <c r="X91" s="9"/>
      <c r="Y91" s="94"/>
      <c r="Z91" s="9"/>
      <c r="AA91" s="9"/>
    </row>
    <row r="92" ht="15.75" customHeight="1">
      <c r="A92" s="9"/>
      <c r="B92" s="9"/>
      <c r="C92" s="9"/>
      <c r="D92" s="9"/>
      <c r="E92" s="9"/>
      <c r="F92" s="9"/>
      <c r="G92" s="9"/>
      <c r="H92" s="9"/>
      <c r="I92" s="9"/>
      <c r="J92" s="9"/>
      <c r="K92" s="9"/>
      <c r="L92" s="9"/>
      <c r="M92" s="94"/>
      <c r="N92" s="9"/>
      <c r="O92" s="9"/>
      <c r="P92" s="9"/>
      <c r="Q92" s="9"/>
      <c r="R92" s="9"/>
      <c r="S92" s="9"/>
      <c r="T92" s="9"/>
      <c r="U92" s="9"/>
      <c r="V92" s="9"/>
      <c r="W92" s="9"/>
      <c r="X92" s="9"/>
      <c r="Y92" s="94"/>
      <c r="Z92" s="9"/>
      <c r="AA92" s="9"/>
    </row>
    <row r="93" ht="15.75" customHeight="1">
      <c r="A93" s="9"/>
      <c r="B93" s="9"/>
      <c r="C93" s="9"/>
      <c r="D93" s="9"/>
      <c r="E93" s="9"/>
      <c r="F93" s="9"/>
      <c r="G93" s="9"/>
      <c r="H93" s="9"/>
      <c r="I93" s="9"/>
      <c r="J93" s="9"/>
      <c r="K93" s="9"/>
      <c r="L93" s="9"/>
      <c r="M93" s="94"/>
      <c r="N93" s="9"/>
      <c r="O93" s="9"/>
      <c r="P93" s="9"/>
      <c r="Q93" s="9"/>
      <c r="R93" s="9"/>
      <c r="S93" s="9"/>
      <c r="T93" s="9"/>
      <c r="U93" s="9"/>
      <c r="V93" s="9"/>
      <c r="W93" s="9"/>
      <c r="X93" s="9"/>
      <c r="Y93" s="94"/>
      <c r="Z93" s="9"/>
      <c r="AA93" s="9"/>
    </row>
    <row r="94" ht="15.75" customHeight="1">
      <c r="A94" s="9"/>
      <c r="B94" s="9"/>
      <c r="C94" s="9"/>
      <c r="D94" s="9"/>
      <c r="E94" s="9"/>
      <c r="F94" s="9"/>
      <c r="G94" s="9"/>
      <c r="H94" s="9"/>
      <c r="I94" s="9"/>
      <c r="J94" s="9"/>
      <c r="K94" s="9"/>
      <c r="L94" s="9"/>
      <c r="M94" s="94"/>
      <c r="N94" s="9"/>
      <c r="O94" s="9"/>
      <c r="P94" s="9"/>
      <c r="Q94" s="9"/>
      <c r="R94" s="9"/>
      <c r="S94" s="9"/>
      <c r="T94" s="9"/>
      <c r="U94" s="9"/>
      <c r="V94" s="9"/>
      <c r="W94" s="9"/>
      <c r="X94" s="9"/>
      <c r="Y94" s="94"/>
      <c r="Z94" s="9"/>
      <c r="AA94" s="9"/>
    </row>
    <row r="95" ht="15.75" customHeight="1">
      <c r="A95" s="9"/>
      <c r="B95" s="9"/>
      <c r="C95" s="9"/>
      <c r="D95" s="9"/>
      <c r="E95" s="9"/>
      <c r="F95" s="9"/>
      <c r="G95" s="9"/>
      <c r="H95" s="9"/>
      <c r="I95" s="9"/>
      <c r="J95" s="9"/>
      <c r="K95" s="9"/>
      <c r="L95" s="9"/>
      <c r="M95" s="94"/>
      <c r="N95" s="9"/>
      <c r="O95" s="9"/>
      <c r="P95" s="9"/>
      <c r="Q95" s="9"/>
      <c r="R95" s="9"/>
      <c r="S95" s="9"/>
      <c r="T95" s="9"/>
      <c r="U95" s="9"/>
      <c r="V95" s="9"/>
      <c r="W95" s="9"/>
      <c r="X95" s="9"/>
      <c r="Y95" s="94"/>
      <c r="Z95" s="9"/>
      <c r="AA95" s="9"/>
    </row>
    <row r="96" ht="15.75" customHeight="1">
      <c r="A96" s="9"/>
      <c r="B96" s="9"/>
      <c r="C96" s="9"/>
      <c r="D96" s="9"/>
      <c r="E96" s="9"/>
      <c r="F96" s="9"/>
      <c r="G96" s="9"/>
      <c r="H96" s="9"/>
      <c r="I96" s="9"/>
      <c r="J96" s="9"/>
      <c r="K96" s="9"/>
      <c r="L96" s="9"/>
      <c r="M96" s="94"/>
      <c r="N96" s="9"/>
      <c r="O96" s="9"/>
      <c r="P96" s="9"/>
      <c r="Q96" s="9"/>
      <c r="R96" s="9"/>
      <c r="S96" s="9"/>
      <c r="T96" s="9"/>
      <c r="U96" s="9"/>
      <c r="V96" s="9"/>
      <c r="W96" s="9"/>
      <c r="X96" s="9"/>
      <c r="Y96" s="94"/>
      <c r="Z96" s="9"/>
      <c r="AA96" s="9"/>
    </row>
    <row r="97" ht="15.75" customHeight="1">
      <c r="A97" s="9"/>
      <c r="B97" s="9"/>
      <c r="C97" s="9"/>
      <c r="D97" s="9"/>
      <c r="E97" s="9"/>
      <c r="F97" s="9"/>
      <c r="G97" s="9"/>
      <c r="H97" s="9"/>
      <c r="I97" s="9"/>
      <c r="J97" s="9"/>
      <c r="K97" s="9"/>
      <c r="L97" s="9"/>
      <c r="M97" s="94"/>
      <c r="N97" s="9"/>
      <c r="O97" s="9"/>
      <c r="P97" s="9"/>
      <c r="Q97" s="9"/>
      <c r="R97" s="9"/>
      <c r="S97" s="9"/>
      <c r="T97" s="9"/>
      <c r="U97" s="9"/>
      <c r="V97" s="9"/>
      <c r="W97" s="9"/>
      <c r="X97" s="9"/>
      <c r="Y97" s="94"/>
      <c r="Z97" s="9"/>
      <c r="AA97" s="9"/>
    </row>
    <row r="98" ht="15.75" customHeight="1">
      <c r="A98" s="9"/>
      <c r="B98" s="9"/>
      <c r="C98" s="9"/>
      <c r="D98" s="9"/>
      <c r="E98" s="9"/>
      <c r="F98" s="9"/>
      <c r="G98" s="9"/>
      <c r="H98" s="9"/>
      <c r="I98" s="9"/>
      <c r="J98" s="9"/>
      <c r="K98" s="9"/>
      <c r="L98" s="9"/>
      <c r="M98" s="94"/>
      <c r="N98" s="9"/>
      <c r="O98" s="9"/>
      <c r="P98" s="9"/>
      <c r="Q98" s="9"/>
      <c r="R98" s="9"/>
      <c r="S98" s="9"/>
      <c r="T98" s="9"/>
      <c r="U98" s="9"/>
      <c r="V98" s="9"/>
      <c r="W98" s="9"/>
      <c r="X98" s="9"/>
      <c r="Y98" s="94"/>
      <c r="Z98" s="9"/>
      <c r="AA98" s="9"/>
    </row>
    <row r="99" ht="15.75" customHeight="1">
      <c r="A99" s="9"/>
      <c r="B99" s="9"/>
      <c r="C99" s="9"/>
      <c r="D99" s="9"/>
      <c r="E99" s="9"/>
      <c r="F99" s="9"/>
      <c r="G99" s="9"/>
      <c r="H99" s="9"/>
      <c r="I99" s="9"/>
      <c r="J99" s="9"/>
      <c r="K99" s="9"/>
      <c r="L99" s="9"/>
      <c r="M99" s="94"/>
      <c r="N99" s="9"/>
      <c r="O99" s="9"/>
      <c r="P99" s="9"/>
      <c r="Q99" s="9"/>
      <c r="R99" s="9"/>
      <c r="S99" s="9"/>
      <c r="T99" s="9"/>
      <c r="U99" s="9"/>
      <c r="V99" s="9"/>
      <c r="W99" s="9"/>
      <c r="X99" s="9"/>
      <c r="Y99" s="94"/>
      <c r="Z99" s="9"/>
      <c r="AA99" s="9"/>
    </row>
    <row r="100" ht="15.75" customHeight="1">
      <c r="A100" s="9"/>
      <c r="B100" s="9"/>
      <c r="C100" s="9"/>
      <c r="D100" s="9"/>
      <c r="E100" s="9"/>
      <c r="F100" s="9"/>
      <c r="G100" s="9"/>
      <c r="H100" s="9"/>
      <c r="I100" s="9"/>
      <c r="J100" s="9"/>
      <c r="K100" s="9"/>
      <c r="L100" s="9"/>
      <c r="M100" s="94"/>
      <c r="N100" s="9"/>
      <c r="O100" s="9"/>
      <c r="P100" s="9"/>
      <c r="Q100" s="9"/>
      <c r="R100" s="9"/>
      <c r="S100" s="9"/>
      <c r="T100" s="9"/>
      <c r="U100" s="9"/>
      <c r="V100" s="9"/>
      <c r="W100" s="9"/>
      <c r="X100" s="9"/>
      <c r="Y100" s="94"/>
      <c r="Z100" s="9"/>
      <c r="AA100" s="9"/>
    </row>
    <row r="101" ht="15.75" customHeight="1">
      <c r="A101" s="9"/>
      <c r="B101" s="9"/>
      <c r="C101" s="9"/>
      <c r="D101" s="9"/>
      <c r="E101" s="9"/>
      <c r="F101" s="9"/>
      <c r="G101" s="9"/>
      <c r="H101" s="9"/>
      <c r="I101" s="9"/>
      <c r="J101" s="9"/>
      <c r="K101" s="9"/>
      <c r="L101" s="9"/>
      <c r="M101" s="94"/>
      <c r="N101" s="9"/>
      <c r="O101" s="9"/>
      <c r="P101" s="9"/>
      <c r="Q101" s="9"/>
      <c r="R101" s="9"/>
      <c r="S101" s="9"/>
      <c r="T101" s="9"/>
      <c r="U101" s="9"/>
      <c r="V101" s="9"/>
      <c r="W101" s="9"/>
      <c r="X101" s="9"/>
      <c r="Y101" s="94"/>
      <c r="Z101" s="9"/>
      <c r="AA101" s="9"/>
    </row>
    <row r="102" ht="15.75" customHeight="1">
      <c r="A102" s="9"/>
      <c r="B102" s="9"/>
      <c r="C102" s="9"/>
      <c r="D102" s="9"/>
      <c r="E102" s="9"/>
      <c r="F102" s="9"/>
      <c r="G102" s="9"/>
      <c r="H102" s="9"/>
      <c r="I102" s="9"/>
      <c r="J102" s="9"/>
      <c r="K102" s="9"/>
      <c r="L102" s="9"/>
      <c r="M102" s="94"/>
      <c r="N102" s="9"/>
      <c r="O102" s="9"/>
      <c r="P102" s="9"/>
      <c r="Q102" s="9"/>
      <c r="R102" s="9"/>
      <c r="S102" s="9"/>
      <c r="T102" s="9"/>
      <c r="U102" s="9"/>
      <c r="V102" s="9"/>
      <c r="W102" s="9"/>
      <c r="X102" s="9"/>
      <c r="Y102" s="94"/>
      <c r="Z102" s="9"/>
      <c r="AA102" s="9"/>
    </row>
    <row r="103" ht="15.75" customHeight="1">
      <c r="A103" s="9"/>
      <c r="B103" s="9"/>
      <c r="C103" s="9"/>
      <c r="D103" s="9"/>
      <c r="E103" s="9"/>
      <c r="F103" s="9"/>
      <c r="G103" s="9"/>
      <c r="H103" s="9"/>
      <c r="I103" s="9"/>
      <c r="J103" s="9"/>
      <c r="K103" s="9"/>
      <c r="L103" s="9"/>
      <c r="M103" s="94"/>
      <c r="N103" s="9"/>
      <c r="O103" s="9"/>
      <c r="P103" s="9"/>
      <c r="Q103" s="9"/>
      <c r="R103" s="9"/>
      <c r="S103" s="9"/>
      <c r="T103" s="9"/>
      <c r="U103" s="9"/>
      <c r="V103" s="9"/>
      <c r="W103" s="9"/>
      <c r="X103" s="9"/>
      <c r="Y103" s="94"/>
      <c r="Z103" s="9"/>
      <c r="AA103" s="9"/>
    </row>
    <row r="104" ht="15.75" customHeight="1">
      <c r="A104" s="9"/>
      <c r="B104" s="9"/>
      <c r="C104" s="9"/>
      <c r="D104" s="9"/>
      <c r="E104" s="9"/>
      <c r="F104" s="9"/>
      <c r="G104" s="9"/>
      <c r="H104" s="9"/>
      <c r="I104" s="9"/>
      <c r="J104" s="9"/>
      <c r="K104" s="9"/>
      <c r="L104" s="9"/>
      <c r="M104" s="94"/>
      <c r="N104" s="9"/>
      <c r="O104" s="9"/>
      <c r="P104" s="9"/>
      <c r="Q104" s="9"/>
      <c r="R104" s="9"/>
      <c r="S104" s="9"/>
      <c r="T104" s="9"/>
      <c r="U104" s="9"/>
      <c r="V104" s="9"/>
      <c r="W104" s="9"/>
      <c r="X104" s="9"/>
      <c r="Y104" s="94"/>
      <c r="Z104" s="9"/>
      <c r="AA104" s="9"/>
    </row>
    <row r="105" ht="15.75" customHeight="1">
      <c r="A105" s="9"/>
      <c r="B105" s="9"/>
      <c r="C105" s="9"/>
      <c r="D105" s="9"/>
      <c r="E105" s="9"/>
      <c r="F105" s="9"/>
      <c r="G105" s="9"/>
      <c r="H105" s="9"/>
      <c r="I105" s="9"/>
      <c r="J105" s="9"/>
      <c r="K105" s="9"/>
      <c r="L105" s="9"/>
      <c r="M105" s="94"/>
      <c r="N105" s="9"/>
      <c r="O105" s="9"/>
      <c r="P105" s="9"/>
      <c r="Q105" s="9"/>
      <c r="R105" s="9"/>
      <c r="S105" s="9"/>
      <c r="T105" s="9"/>
      <c r="U105" s="9"/>
      <c r="V105" s="9"/>
      <c r="W105" s="9"/>
      <c r="X105" s="9"/>
      <c r="Y105" s="94"/>
      <c r="Z105" s="9"/>
      <c r="AA105" s="9"/>
    </row>
    <row r="106" ht="15.75" customHeight="1">
      <c r="A106" s="9"/>
      <c r="B106" s="9"/>
      <c r="C106" s="9"/>
      <c r="D106" s="9"/>
      <c r="E106" s="9"/>
      <c r="F106" s="9"/>
      <c r="G106" s="9"/>
      <c r="H106" s="9"/>
      <c r="I106" s="9"/>
      <c r="J106" s="9"/>
      <c r="K106" s="9"/>
      <c r="L106" s="9"/>
      <c r="M106" s="94"/>
      <c r="N106" s="9"/>
      <c r="O106" s="9"/>
      <c r="P106" s="9"/>
      <c r="Q106" s="9"/>
      <c r="R106" s="9"/>
      <c r="S106" s="9"/>
      <c r="T106" s="9"/>
      <c r="U106" s="9"/>
      <c r="V106" s="9"/>
      <c r="W106" s="9"/>
      <c r="X106" s="9"/>
      <c r="Y106" s="94"/>
      <c r="Z106" s="9"/>
      <c r="AA106" s="9"/>
    </row>
    <row r="107" ht="15.75" customHeight="1">
      <c r="A107" s="9"/>
      <c r="B107" s="9"/>
      <c r="C107" s="9"/>
      <c r="D107" s="9"/>
      <c r="E107" s="9"/>
      <c r="F107" s="9"/>
      <c r="G107" s="9"/>
      <c r="H107" s="9"/>
      <c r="I107" s="9"/>
      <c r="J107" s="9"/>
      <c r="K107" s="9"/>
      <c r="L107" s="9"/>
      <c r="M107" s="94"/>
      <c r="N107" s="9"/>
      <c r="O107" s="9"/>
      <c r="P107" s="9"/>
      <c r="Q107" s="9"/>
      <c r="R107" s="9"/>
      <c r="S107" s="9"/>
      <c r="T107" s="9"/>
      <c r="U107" s="9"/>
      <c r="V107" s="9"/>
      <c r="W107" s="9"/>
      <c r="X107" s="9"/>
      <c r="Y107" s="94"/>
      <c r="Z107" s="9"/>
      <c r="AA107" s="9"/>
    </row>
    <row r="108" ht="15.75" customHeight="1">
      <c r="A108" s="9"/>
      <c r="B108" s="9"/>
      <c r="C108" s="9"/>
      <c r="D108" s="9"/>
      <c r="E108" s="9"/>
      <c r="F108" s="9"/>
      <c r="G108" s="9"/>
      <c r="H108" s="9"/>
      <c r="I108" s="9"/>
      <c r="J108" s="9"/>
      <c r="K108" s="9"/>
      <c r="L108" s="9"/>
      <c r="M108" s="94"/>
      <c r="N108" s="9"/>
      <c r="O108" s="9"/>
      <c r="P108" s="9"/>
      <c r="Q108" s="9"/>
      <c r="R108" s="9"/>
      <c r="S108" s="9"/>
      <c r="T108" s="9"/>
      <c r="U108" s="9"/>
      <c r="V108" s="9"/>
      <c r="W108" s="9"/>
      <c r="X108" s="9"/>
      <c r="Y108" s="94"/>
      <c r="Z108" s="9"/>
      <c r="AA108" s="9"/>
    </row>
    <row r="109" ht="15.75" customHeight="1">
      <c r="A109" s="9"/>
      <c r="B109" s="9"/>
      <c r="C109" s="9"/>
      <c r="D109" s="9"/>
      <c r="E109" s="9"/>
      <c r="F109" s="9"/>
      <c r="G109" s="9"/>
      <c r="H109" s="9"/>
      <c r="I109" s="9"/>
      <c r="J109" s="9"/>
      <c r="K109" s="9"/>
      <c r="L109" s="9"/>
      <c r="M109" s="94"/>
      <c r="N109" s="9"/>
      <c r="O109" s="9"/>
      <c r="P109" s="9"/>
      <c r="Q109" s="9"/>
      <c r="R109" s="9"/>
      <c r="S109" s="9"/>
      <c r="T109" s="9"/>
      <c r="U109" s="9"/>
      <c r="V109" s="9"/>
      <c r="W109" s="9"/>
      <c r="X109" s="9"/>
      <c r="Y109" s="94"/>
      <c r="Z109" s="9"/>
      <c r="AA109" s="9"/>
    </row>
    <row r="110" ht="15.75" customHeight="1">
      <c r="A110" s="9"/>
      <c r="B110" s="9"/>
      <c r="C110" s="9"/>
      <c r="D110" s="9"/>
      <c r="E110" s="9"/>
      <c r="F110" s="9"/>
      <c r="G110" s="9"/>
      <c r="H110" s="9"/>
      <c r="I110" s="9"/>
      <c r="J110" s="9"/>
      <c r="K110" s="9"/>
      <c r="L110" s="9"/>
      <c r="M110" s="94"/>
      <c r="N110" s="9"/>
      <c r="O110" s="9"/>
      <c r="P110" s="9"/>
      <c r="Q110" s="9"/>
      <c r="R110" s="9"/>
      <c r="S110" s="9"/>
      <c r="T110" s="9"/>
      <c r="U110" s="9"/>
      <c r="V110" s="9"/>
      <c r="W110" s="9"/>
      <c r="X110" s="9"/>
      <c r="Y110" s="94"/>
      <c r="Z110" s="9"/>
      <c r="AA110" s="9"/>
    </row>
    <row r="111" ht="15.75" customHeight="1">
      <c r="A111" s="9"/>
      <c r="B111" s="9"/>
      <c r="C111" s="9"/>
      <c r="D111" s="9"/>
      <c r="E111" s="9"/>
      <c r="F111" s="9"/>
      <c r="G111" s="9"/>
      <c r="H111" s="9"/>
      <c r="I111" s="9"/>
      <c r="J111" s="9"/>
      <c r="K111" s="9"/>
      <c r="L111" s="9"/>
      <c r="M111" s="94"/>
      <c r="N111" s="9"/>
      <c r="O111" s="9"/>
      <c r="P111" s="9"/>
      <c r="Q111" s="9"/>
      <c r="R111" s="9"/>
      <c r="S111" s="9"/>
      <c r="T111" s="9"/>
      <c r="U111" s="9"/>
      <c r="V111" s="9"/>
      <c r="W111" s="9"/>
      <c r="X111" s="9"/>
      <c r="Y111" s="94"/>
      <c r="Z111" s="9"/>
      <c r="AA111" s="9"/>
    </row>
    <row r="112" ht="15.75" customHeight="1">
      <c r="A112" s="9"/>
      <c r="B112" s="9"/>
      <c r="C112" s="9"/>
      <c r="D112" s="9"/>
      <c r="E112" s="9"/>
      <c r="F112" s="9"/>
      <c r="G112" s="9"/>
      <c r="H112" s="9"/>
      <c r="I112" s="9"/>
      <c r="J112" s="9"/>
      <c r="K112" s="9"/>
      <c r="L112" s="9"/>
      <c r="M112" s="94"/>
      <c r="N112" s="9"/>
      <c r="O112" s="9"/>
      <c r="P112" s="9"/>
      <c r="Q112" s="9"/>
      <c r="R112" s="9"/>
      <c r="S112" s="9"/>
      <c r="T112" s="9"/>
      <c r="U112" s="9"/>
      <c r="V112" s="9"/>
      <c r="W112" s="9"/>
      <c r="X112" s="9"/>
      <c r="Y112" s="94"/>
      <c r="Z112" s="9"/>
      <c r="AA112" s="9"/>
    </row>
    <row r="113" ht="15.75" customHeight="1">
      <c r="A113" s="9"/>
      <c r="B113" s="9"/>
      <c r="C113" s="9"/>
      <c r="D113" s="9"/>
      <c r="E113" s="9"/>
      <c r="F113" s="9"/>
      <c r="G113" s="9"/>
      <c r="H113" s="9"/>
      <c r="I113" s="9"/>
      <c r="J113" s="9"/>
      <c r="K113" s="9"/>
      <c r="L113" s="9"/>
      <c r="M113" s="94"/>
      <c r="N113" s="9"/>
      <c r="O113" s="9"/>
      <c r="P113" s="9"/>
      <c r="Q113" s="9"/>
      <c r="R113" s="9"/>
      <c r="S113" s="9"/>
      <c r="T113" s="9"/>
      <c r="U113" s="9"/>
      <c r="V113" s="9"/>
      <c r="W113" s="9"/>
      <c r="X113" s="9"/>
      <c r="Y113" s="94"/>
      <c r="Z113" s="9"/>
      <c r="AA113" s="9"/>
    </row>
    <row r="114" ht="15.75" customHeight="1">
      <c r="A114" s="9"/>
      <c r="B114" s="9"/>
      <c r="C114" s="9"/>
      <c r="D114" s="9"/>
      <c r="E114" s="9"/>
      <c r="F114" s="9"/>
      <c r="G114" s="9"/>
      <c r="H114" s="9"/>
      <c r="I114" s="9"/>
      <c r="J114" s="9"/>
      <c r="K114" s="9"/>
      <c r="L114" s="9"/>
      <c r="M114" s="94"/>
      <c r="N114" s="9"/>
      <c r="O114" s="9"/>
      <c r="P114" s="9"/>
      <c r="Q114" s="9"/>
      <c r="R114" s="9"/>
      <c r="S114" s="9"/>
      <c r="T114" s="9"/>
      <c r="U114" s="9"/>
      <c r="V114" s="9"/>
      <c r="W114" s="9"/>
      <c r="X114" s="9"/>
      <c r="Y114" s="94"/>
      <c r="Z114" s="9"/>
      <c r="AA114" s="9"/>
    </row>
    <row r="115" ht="15.75" customHeight="1">
      <c r="A115" s="9"/>
      <c r="B115" s="9"/>
      <c r="C115" s="9"/>
      <c r="D115" s="9"/>
      <c r="E115" s="9"/>
      <c r="F115" s="9"/>
      <c r="G115" s="9"/>
      <c r="H115" s="9"/>
      <c r="I115" s="9"/>
      <c r="J115" s="9"/>
      <c r="K115" s="9"/>
      <c r="L115" s="9"/>
      <c r="M115" s="94"/>
      <c r="N115" s="9"/>
      <c r="O115" s="9"/>
      <c r="P115" s="9"/>
      <c r="Q115" s="9"/>
      <c r="R115" s="9"/>
      <c r="S115" s="9"/>
      <c r="T115" s="9"/>
      <c r="U115" s="9"/>
      <c r="V115" s="9"/>
      <c r="W115" s="9"/>
      <c r="X115" s="9"/>
      <c r="Y115" s="94"/>
      <c r="Z115" s="9"/>
      <c r="AA115" s="9"/>
    </row>
    <row r="116" ht="15.75" customHeight="1">
      <c r="A116" s="9"/>
      <c r="B116" s="9"/>
      <c r="C116" s="9"/>
      <c r="D116" s="9"/>
      <c r="E116" s="9"/>
      <c r="F116" s="9"/>
      <c r="G116" s="9"/>
      <c r="H116" s="9"/>
      <c r="I116" s="9"/>
      <c r="J116" s="9"/>
      <c r="K116" s="9"/>
      <c r="L116" s="9"/>
      <c r="M116" s="94"/>
      <c r="N116" s="9"/>
      <c r="O116" s="9"/>
      <c r="P116" s="9"/>
      <c r="Q116" s="9"/>
      <c r="R116" s="9"/>
      <c r="S116" s="9"/>
      <c r="T116" s="9"/>
      <c r="U116" s="9"/>
      <c r="V116" s="9"/>
      <c r="W116" s="9"/>
      <c r="X116" s="9"/>
      <c r="Y116" s="94"/>
      <c r="Z116" s="9"/>
      <c r="AA116" s="9"/>
    </row>
    <row r="117" ht="15.75" customHeight="1">
      <c r="A117" s="9"/>
      <c r="B117" s="9"/>
      <c r="C117" s="9"/>
      <c r="D117" s="9"/>
      <c r="E117" s="9"/>
      <c r="F117" s="9"/>
      <c r="G117" s="9"/>
      <c r="H117" s="9"/>
      <c r="I117" s="9"/>
      <c r="J117" s="9"/>
      <c r="K117" s="9"/>
      <c r="L117" s="9"/>
      <c r="M117" s="94"/>
      <c r="N117" s="9"/>
      <c r="O117" s="9"/>
      <c r="P117" s="9"/>
      <c r="Q117" s="9"/>
      <c r="R117" s="9"/>
      <c r="S117" s="9"/>
      <c r="T117" s="9"/>
      <c r="U117" s="9"/>
      <c r="V117" s="9"/>
      <c r="W117" s="9"/>
      <c r="X117" s="9"/>
      <c r="Y117" s="94"/>
      <c r="Z117" s="9"/>
      <c r="AA117" s="9"/>
    </row>
    <row r="118" ht="15.75" customHeight="1">
      <c r="A118" s="9"/>
      <c r="B118" s="9"/>
      <c r="C118" s="9"/>
      <c r="D118" s="9"/>
      <c r="E118" s="9"/>
      <c r="F118" s="9"/>
      <c r="G118" s="9"/>
      <c r="H118" s="9"/>
      <c r="I118" s="9"/>
      <c r="J118" s="9"/>
      <c r="K118" s="9"/>
      <c r="L118" s="9"/>
      <c r="M118" s="94"/>
      <c r="N118" s="9"/>
      <c r="O118" s="9"/>
      <c r="P118" s="9"/>
      <c r="Q118" s="9"/>
      <c r="R118" s="9"/>
      <c r="S118" s="9"/>
      <c r="T118" s="9"/>
      <c r="U118" s="9"/>
      <c r="V118" s="9"/>
      <c r="W118" s="9"/>
      <c r="X118" s="9"/>
      <c r="Y118" s="94"/>
      <c r="Z118" s="9"/>
      <c r="AA118" s="9"/>
    </row>
    <row r="119" ht="15.75" customHeight="1">
      <c r="A119" s="9"/>
      <c r="B119" s="9"/>
      <c r="C119" s="9"/>
      <c r="D119" s="9"/>
      <c r="E119" s="9"/>
      <c r="F119" s="9"/>
      <c r="G119" s="9"/>
      <c r="H119" s="9"/>
      <c r="I119" s="9"/>
      <c r="J119" s="9"/>
      <c r="K119" s="9"/>
      <c r="L119" s="9"/>
      <c r="M119" s="94"/>
      <c r="N119" s="9"/>
      <c r="O119" s="9"/>
      <c r="P119" s="9"/>
      <c r="Q119" s="9"/>
      <c r="R119" s="9"/>
      <c r="S119" s="9"/>
      <c r="T119" s="9"/>
      <c r="U119" s="9"/>
      <c r="V119" s="9"/>
      <c r="W119" s="9"/>
      <c r="X119" s="9"/>
      <c r="Y119" s="94"/>
      <c r="Z119" s="9"/>
      <c r="AA119" s="9"/>
    </row>
    <row r="120" ht="15.75" customHeight="1">
      <c r="A120" s="9"/>
      <c r="B120" s="9"/>
      <c r="C120" s="9"/>
      <c r="D120" s="9"/>
      <c r="E120" s="9"/>
      <c r="F120" s="9"/>
      <c r="G120" s="9"/>
      <c r="H120" s="9"/>
      <c r="I120" s="9"/>
      <c r="J120" s="9"/>
      <c r="K120" s="9"/>
      <c r="L120" s="9"/>
      <c r="M120" s="94"/>
      <c r="N120" s="9"/>
      <c r="O120" s="9"/>
      <c r="P120" s="9"/>
      <c r="Q120" s="9"/>
      <c r="R120" s="9"/>
      <c r="S120" s="9"/>
      <c r="T120" s="9"/>
      <c r="U120" s="9"/>
      <c r="V120" s="9"/>
      <c r="W120" s="9"/>
      <c r="X120" s="9"/>
      <c r="Y120" s="94"/>
      <c r="Z120" s="9"/>
      <c r="AA120" s="9"/>
    </row>
    <row r="121" ht="15.75" customHeight="1">
      <c r="A121" s="9"/>
      <c r="B121" s="9"/>
      <c r="C121" s="9"/>
      <c r="D121" s="9"/>
      <c r="E121" s="9"/>
      <c r="F121" s="9"/>
      <c r="G121" s="9"/>
      <c r="H121" s="9"/>
      <c r="I121" s="9"/>
      <c r="J121" s="9"/>
      <c r="K121" s="9"/>
      <c r="L121" s="9"/>
      <c r="M121" s="94"/>
      <c r="N121" s="9"/>
      <c r="O121" s="9"/>
      <c r="P121" s="9"/>
      <c r="Q121" s="9"/>
      <c r="R121" s="9"/>
      <c r="S121" s="9"/>
      <c r="T121" s="9"/>
      <c r="U121" s="9"/>
      <c r="V121" s="9"/>
      <c r="W121" s="9"/>
      <c r="X121" s="9"/>
      <c r="Y121" s="94"/>
      <c r="Z121" s="9"/>
      <c r="AA121" s="9"/>
    </row>
    <row r="122" ht="15.75" customHeight="1">
      <c r="A122" s="9"/>
      <c r="B122" s="9"/>
      <c r="C122" s="9"/>
      <c r="D122" s="9"/>
      <c r="E122" s="9"/>
      <c r="F122" s="9"/>
      <c r="G122" s="9"/>
      <c r="H122" s="9"/>
      <c r="I122" s="9"/>
      <c r="J122" s="9"/>
      <c r="K122" s="9"/>
      <c r="L122" s="9"/>
      <c r="M122" s="94"/>
      <c r="N122" s="9"/>
      <c r="O122" s="9"/>
      <c r="P122" s="9"/>
      <c r="Q122" s="9"/>
      <c r="R122" s="9"/>
      <c r="S122" s="9"/>
      <c r="T122" s="9"/>
      <c r="U122" s="9"/>
      <c r="V122" s="9"/>
      <c r="W122" s="9"/>
      <c r="X122" s="9"/>
      <c r="Y122" s="94"/>
      <c r="Z122" s="9"/>
      <c r="AA122" s="9"/>
    </row>
    <row r="123" ht="15.75" customHeight="1">
      <c r="A123" s="9"/>
      <c r="B123" s="9"/>
      <c r="C123" s="9"/>
      <c r="D123" s="9"/>
      <c r="E123" s="9"/>
      <c r="F123" s="9"/>
      <c r="G123" s="9"/>
      <c r="H123" s="9"/>
      <c r="I123" s="9"/>
      <c r="J123" s="9"/>
      <c r="K123" s="9"/>
      <c r="L123" s="9"/>
      <c r="M123" s="94"/>
      <c r="N123" s="9"/>
      <c r="O123" s="9"/>
      <c r="P123" s="9"/>
      <c r="Q123" s="9"/>
      <c r="R123" s="9"/>
      <c r="S123" s="9"/>
      <c r="T123" s="9"/>
      <c r="U123" s="9"/>
      <c r="V123" s="9"/>
      <c r="W123" s="9"/>
      <c r="X123" s="9"/>
      <c r="Y123" s="94"/>
      <c r="Z123" s="9"/>
      <c r="AA123" s="9"/>
    </row>
    <row r="124" ht="15.75" customHeight="1">
      <c r="A124" s="9"/>
      <c r="B124" s="9"/>
      <c r="C124" s="9"/>
      <c r="D124" s="9"/>
      <c r="E124" s="9"/>
      <c r="F124" s="9"/>
      <c r="G124" s="9"/>
      <c r="H124" s="9"/>
      <c r="I124" s="9"/>
      <c r="J124" s="9"/>
      <c r="K124" s="9"/>
      <c r="L124" s="9"/>
      <c r="M124" s="94"/>
      <c r="N124" s="9"/>
      <c r="O124" s="9"/>
      <c r="P124" s="9"/>
      <c r="Q124" s="9"/>
      <c r="R124" s="9"/>
      <c r="S124" s="9"/>
      <c r="T124" s="9"/>
      <c r="U124" s="9"/>
      <c r="V124" s="9"/>
      <c r="W124" s="9"/>
      <c r="X124" s="9"/>
      <c r="Y124" s="94"/>
      <c r="Z124" s="9"/>
      <c r="AA124" s="9"/>
    </row>
    <row r="125" ht="15.75" customHeight="1">
      <c r="A125" s="9"/>
      <c r="B125" s="9"/>
      <c r="C125" s="9"/>
      <c r="D125" s="9"/>
      <c r="E125" s="9"/>
      <c r="F125" s="9"/>
      <c r="G125" s="9"/>
      <c r="H125" s="9"/>
      <c r="I125" s="9"/>
      <c r="J125" s="9"/>
      <c r="K125" s="9"/>
      <c r="L125" s="9"/>
      <c r="M125" s="94"/>
      <c r="N125" s="9"/>
      <c r="O125" s="9"/>
      <c r="P125" s="9"/>
      <c r="Q125" s="9"/>
      <c r="R125" s="9"/>
      <c r="S125" s="9"/>
      <c r="T125" s="9"/>
      <c r="U125" s="9"/>
      <c r="V125" s="9"/>
      <c r="W125" s="9"/>
      <c r="X125" s="9"/>
      <c r="Y125" s="94"/>
      <c r="Z125" s="9"/>
      <c r="AA125" s="9"/>
    </row>
    <row r="126" ht="15.75" customHeight="1">
      <c r="A126" s="9"/>
      <c r="B126" s="9"/>
      <c r="C126" s="9"/>
      <c r="D126" s="9"/>
      <c r="E126" s="9"/>
      <c r="F126" s="9"/>
      <c r="G126" s="9"/>
      <c r="H126" s="9"/>
      <c r="I126" s="9"/>
      <c r="J126" s="9"/>
      <c r="K126" s="9"/>
      <c r="L126" s="9"/>
      <c r="M126" s="94"/>
      <c r="N126" s="9"/>
      <c r="O126" s="9"/>
      <c r="P126" s="9"/>
      <c r="Q126" s="9"/>
      <c r="R126" s="9"/>
      <c r="S126" s="9"/>
      <c r="T126" s="9"/>
      <c r="U126" s="9"/>
      <c r="V126" s="9"/>
      <c r="W126" s="9"/>
      <c r="X126" s="9"/>
      <c r="Y126" s="94"/>
      <c r="Z126" s="9"/>
      <c r="AA126" s="9"/>
    </row>
    <row r="127" ht="15.75" customHeight="1">
      <c r="A127" s="9"/>
      <c r="B127" s="9"/>
      <c r="C127" s="9"/>
      <c r="D127" s="9"/>
      <c r="E127" s="9"/>
      <c r="F127" s="9"/>
      <c r="G127" s="9"/>
      <c r="H127" s="9"/>
      <c r="I127" s="9"/>
      <c r="J127" s="9"/>
      <c r="K127" s="9"/>
      <c r="L127" s="9"/>
      <c r="M127" s="94"/>
      <c r="N127" s="9"/>
      <c r="O127" s="9"/>
      <c r="P127" s="9"/>
      <c r="Q127" s="9"/>
      <c r="R127" s="9"/>
      <c r="S127" s="9"/>
      <c r="T127" s="9"/>
      <c r="U127" s="9"/>
      <c r="V127" s="9"/>
      <c r="W127" s="9"/>
      <c r="X127" s="9"/>
      <c r="Y127" s="94"/>
      <c r="Z127" s="9"/>
      <c r="AA127" s="9"/>
    </row>
    <row r="128" ht="15.75" customHeight="1">
      <c r="A128" s="9"/>
      <c r="B128" s="9"/>
      <c r="C128" s="9"/>
      <c r="D128" s="9"/>
      <c r="E128" s="9"/>
      <c r="F128" s="9"/>
      <c r="G128" s="9"/>
      <c r="H128" s="9"/>
      <c r="I128" s="9"/>
      <c r="J128" s="9"/>
      <c r="K128" s="9"/>
      <c r="L128" s="9"/>
      <c r="M128" s="94"/>
      <c r="N128" s="9"/>
      <c r="O128" s="9"/>
      <c r="P128" s="9"/>
      <c r="Q128" s="9"/>
      <c r="R128" s="9"/>
      <c r="S128" s="9"/>
      <c r="T128" s="9"/>
      <c r="U128" s="9"/>
      <c r="V128" s="9"/>
      <c r="W128" s="9"/>
      <c r="X128" s="9"/>
      <c r="Y128" s="94"/>
      <c r="Z128" s="9"/>
      <c r="AA128" s="9"/>
    </row>
    <row r="129" ht="15.75" customHeight="1">
      <c r="A129" s="9"/>
      <c r="B129" s="9"/>
      <c r="C129" s="9"/>
      <c r="D129" s="9"/>
      <c r="E129" s="9"/>
      <c r="F129" s="9"/>
      <c r="G129" s="9"/>
      <c r="H129" s="9"/>
      <c r="I129" s="9"/>
      <c r="J129" s="9"/>
      <c r="K129" s="9"/>
      <c r="L129" s="9"/>
      <c r="M129" s="94"/>
      <c r="N129" s="9"/>
      <c r="O129" s="9"/>
      <c r="P129" s="9"/>
      <c r="Q129" s="9"/>
      <c r="R129" s="9"/>
      <c r="S129" s="9"/>
      <c r="T129" s="9"/>
      <c r="U129" s="9"/>
      <c r="V129" s="9"/>
      <c r="W129" s="9"/>
      <c r="X129" s="9"/>
      <c r="Y129" s="94"/>
      <c r="Z129" s="9"/>
      <c r="AA129" s="9"/>
    </row>
    <row r="130" ht="15.75" customHeight="1">
      <c r="A130" s="9"/>
      <c r="B130" s="9"/>
      <c r="C130" s="9"/>
      <c r="D130" s="9"/>
      <c r="E130" s="9"/>
      <c r="F130" s="9"/>
      <c r="G130" s="9"/>
      <c r="H130" s="9"/>
      <c r="I130" s="9"/>
      <c r="J130" s="9"/>
      <c r="K130" s="9"/>
      <c r="L130" s="9"/>
      <c r="M130" s="94"/>
      <c r="N130" s="9"/>
      <c r="O130" s="9"/>
      <c r="P130" s="9"/>
      <c r="Q130" s="9"/>
      <c r="R130" s="9"/>
      <c r="S130" s="9"/>
      <c r="T130" s="9"/>
      <c r="U130" s="9"/>
      <c r="V130" s="9"/>
      <c r="W130" s="9"/>
      <c r="X130" s="9"/>
      <c r="Y130" s="94"/>
      <c r="Z130" s="9"/>
      <c r="AA130" s="9"/>
    </row>
    <row r="131" ht="15.75" customHeight="1">
      <c r="A131" s="9"/>
      <c r="B131" s="9"/>
      <c r="C131" s="9"/>
      <c r="D131" s="9"/>
      <c r="E131" s="9"/>
      <c r="F131" s="9"/>
      <c r="G131" s="9"/>
      <c r="H131" s="9"/>
      <c r="I131" s="9"/>
      <c r="J131" s="9"/>
      <c r="K131" s="9"/>
      <c r="L131" s="9"/>
      <c r="M131" s="94"/>
      <c r="N131" s="9"/>
      <c r="O131" s="9"/>
      <c r="P131" s="9"/>
      <c r="Q131" s="9"/>
      <c r="R131" s="9"/>
      <c r="S131" s="9"/>
      <c r="T131" s="9"/>
      <c r="U131" s="9"/>
      <c r="V131" s="9"/>
      <c r="W131" s="9"/>
      <c r="X131" s="9"/>
      <c r="Y131" s="94"/>
      <c r="Z131" s="9"/>
      <c r="AA131" s="9"/>
    </row>
    <row r="132" ht="15.75" customHeight="1">
      <c r="A132" s="9"/>
      <c r="B132" s="9"/>
      <c r="C132" s="9"/>
      <c r="D132" s="9"/>
      <c r="E132" s="9"/>
      <c r="F132" s="9"/>
      <c r="G132" s="9"/>
      <c r="H132" s="9"/>
      <c r="I132" s="9"/>
      <c r="J132" s="9"/>
      <c r="K132" s="9"/>
      <c r="L132" s="9"/>
      <c r="M132" s="94"/>
      <c r="N132" s="9"/>
      <c r="O132" s="9"/>
      <c r="P132" s="9"/>
      <c r="Q132" s="9"/>
      <c r="R132" s="9"/>
      <c r="S132" s="9"/>
      <c r="T132" s="9"/>
      <c r="U132" s="9"/>
      <c r="V132" s="9"/>
      <c r="W132" s="9"/>
      <c r="X132" s="9"/>
      <c r="Y132" s="94"/>
      <c r="Z132" s="9"/>
      <c r="AA132" s="9"/>
    </row>
    <row r="133" ht="15.75" customHeight="1">
      <c r="A133" s="9"/>
      <c r="B133" s="9"/>
      <c r="C133" s="9"/>
      <c r="D133" s="9"/>
      <c r="E133" s="9"/>
      <c r="F133" s="9"/>
      <c r="G133" s="9"/>
      <c r="H133" s="9"/>
      <c r="I133" s="9"/>
      <c r="J133" s="9"/>
      <c r="K133" s="9"/>
      <c r="L133" s="9"/>
      <c r="M133" s="94"/>
      <c r="N133" s="9"/>
      <c r="O133" s="9"/>
      <c r="P133" s="9"/>
      <c r="Q133" s="9"/>
      <c r="R133" s="9"/>
      <c r="S133" s="9"/>
      <c r="T133" s="9"/>
      <c r="U133" s="9"/>
      <c r="V133" s="9"/>
      <c r="W133" s="9"/>
      <c r="X133" s="9"/>
      <c r="Y133" s="94"/>
      <c r="Z133" s="9"/>
      <c r="AA133" s="9"/>
    </row>
    <row r="134" ht="15.75" customHeight="1">
      <c r="A134" s="9"/>
      <c r="B134" s="9"/>
      <c r="C134" s="9"/>
      <c r="D134" s="9"/>
      <c r="E134" s="9"/>
      <c r="F134" s="9"/>
      <c r="G134" s="9"/>
      <c r="H134" s="9"/>
      <c r="I134" s="9"/>
      <c r="J134" s="9"/>
      <c r="K134" s="9"/>
      <c r="L134" s="9"/>
      <c r="M134" s="94"/>
      <c r="N134" s="9"/>
      <c r="O134" s="9"/>
      <c r="P134" s="9"/>
      <c r="Q134" s="9"/>
      <c r="R134" s="9"/>
      <c r="S134" s="9"/>
      <c r="T134" s="9"/>
      <c r="U134" s="9"/>
      <c r="V134" s="9"/>
      <c r="W134" s="9"/>
      <c r="X134" s="9"/>
      <c r="Y134" s="94"/>
      <c r="Z134" s="9"/>
      <c r="AA134" s="9"/>
    </row>
    <row r="135" ht="15.75" customHeight="1">
      <c r="A135" s="9"/>
      <c r="B135" s="9"/>
      <c r="C135" s="9"/>
      <c r="D135" s="9"/>
      <c r="E135" s="9"/>
      <c r="F135" s="9"/>
      <c r="G135" s="9"/>
      <c r="H135" s="9"/>
      <c r="I135" s="9"/>
      <c r="J135" s="9"/>
      <c r="K135" s="9"/>
      <c r="L135" s="9"/>
      <c r="M135" s="94"/>
      <c r="N135" s="9"/>
      <c r="O135" s="9"/>
      <c r="P135" s="9"/>
      <c r="Q135" s="9"/>
      <c r="R135" s="9"/>
      <c r="S135" s="9"/>
      <c r="T135" s="9"/>
      <c r="U135" s="9"/>
      <c r="V135" s="9"/>
      <c r="W135" s="9"/>
      <c r="X135" s="9"/>
      <c r="Y135" s="94"/>
      <c r="Z135" s="9"/>
      <c r="AA135" s="9"/>
    </row>
    <row r="136" ht="15.75" customHeight="1">
      <c r="A136" s="9"/>
      <c r="B136" s="9"/>
      <c r="C136" s="9"/>
      <c r="D136" s="9"/>
      <c r="E136" s="9"/>
      <c r="F136" s="9"/>
      <c r="G136" s="9"/>
      <c r="H136" s="9"/>
      <c r="I136" s="9"/>
      <c r="J136" s="9"/>
      <c r="K136" s="9"/>
      <c r="L136" s="9"/>
      <c r="M136" s="94"/>
      <c r="N136" s="9"/>
      <c r="O136" s="9"/>
      <c r="P136" s="9"/>
      <c r="Q136" s="9"/>
      <c r="R136" s="9"/>
      <c r="S136" s="9"/>
      <c r="T136" s="9"/>
      <c r="U136" s="9"/>
      <c r="V136" s="9"/>
      <c r="W136" s="9"/>
      <c r="X136" s="9"/>
      <c r="Y136" s="94"/>
      <c r="Z136" s="9"/>
      <c r="AA136" s="9"/>
    </row>
    <row r="137" ht="15.75" customHeight="1">
      <c r="A137" s="9"/>
      <c r="B137" s="9"/>
      <c r="C137" s="9"/>
      <c r="D137" s="9"/>
      <c r="E137" s="9"/>
      <c r="F137" s="9"/>
      <c r="G137" s="9"/>
      <c r="H137" s="9"/>
      <c r="I137" s="9"/>
      <c r="J137" s="9"/>
      <c r="K137" s="9"/>
      <c r="L137" s="9"/>
      <c r="M137" s="94"/>
      <c r="N137" s="9"/>
      <c r="O137" s="9"/>
      <c r="P137" s="9"/>
      <c r="Q137" s="9"/>
      <c r="R137" s="9"/>
      <c r="S137" s="9"/>
      <c r="T137" s="9"/>
      <c r="U137" s="9"/>
      <c r="V137" s="9"/>
      <c r="W137" s="9"/>
      <c r="X137" s="9"/>
      <c r="Y137" s="94"/>
      <c r="Z137" s="9"/>
      <c r="AA137" s="9"/>
    </row>
    <row r="138" ht="15.75" customHeight="1">
      <c r="A138" s="9"/>
      <c r="B138" s="9"/>
      <c r="C138" s="9"/>
      <c r="D138" s="9"/>
      <c r="E138" s="9"/>
      <c r="F138" s="9"/>
      <c r="G138" s="9"/>
      <c r="H138" s="9"/>
      <c r="I138" s="9"/>
      <c r="J138" s="9"/>
      <c r="K138" s="9"/>
      <c r="L138" s="9"/>
      <c r="M138" s="94"/>
      <c r="N138" s="9"/>
      <c r="O138" s="9"/>
      <c r="P138" s="9"/>
      <c r="Q138" s="9"/>
      <c r="R138" s="9"/>
      <c r="S138" s="9"/>
      <c r="T138" s="9"/>
      <c r="U138" s="9"/>
      <c r="V138" s="9"/>
      <c r="W138" s="9"/>
      <c r="X138" s="9"/>
      <c r="Y138" s="94"/>
      <c r="Z138" s="9"/>
      <c r="AA138" s="9"/>
    </row>
    <row r="139" ht="15.75" customHeight="1">
      <c r="A139" s="9"/>
      <c r="B139" s="9"/>
      <c r="C139" s="9"/>
      <c r="D139" s="9"/>
      <c r="E139" s="9"/>
      <c r="F139" s="9"/>
      <c r="G139" s="9"/>
      <c r="H139" s="9"/>
      <c r="I139" s="9"/>
      <c r="J139" s="9"/>
      <c r="K139" s="9"/>
      <c r="L139" s="9"/>
      <c r="M139" s="94"/>
      <c r="N139" s="9"/>
      <c r="O139" s="9"/>
      <c r="P139" s="9"/>
      <c r="Q139" s="9"/>
      <c r="R139" s="9"/>
      <c r="S139" s="9"/>
      <c r="T139" s="9"/>
      <c r="U139" s="9"/>
      <c r="V139" s="9"/>
      <c r="W139" s="9"/>
      <c r="X139" s="9"/>
      <c r="Y139" s="94"/>
      <c r="Z139" s="9"/>
      <c r="AA139" s="9"/>
    </row>
    <row r="140" ht="15.75" customHeight="1">
      <c r="A140" s="9"/>
      <c r="B140" s="9"/>
      <c r="C140" s="9"/>
      <c r="D140" s="9"/>
      <c r="E140" s="9"/>
      <c r="F140" s="9"/>
      <c r="G140" s="9"/>
      <c r="H140" s="9"/>
      <c r="I140" s="9"/>
      <c r="J140" s="9"/>
      <c r="K140" s="9"/>
      <c r="L140" s="9"/>
      <c r="M140" s="94"/>
      <c r="N140" s="9"/>
      <c r="O140" s="9"/>
      <c r="P140" s="9"/>
      <c r="Q140" s="9"/>
      <c r="R140" s="9"/>
      <c r="S140" s="9"/>
      <c r="T140" s="9"/>
      <c r="U140" s="9"/>
      <c r="V140" s="9"/>
      <c r="W140" s="9"/>
      <c r="X140" s="9"/>
      <c r="Y140" s="94"/>
      <c r="Z140" s="9"/>
      <c r="AA140" s="9"/>
    </row>
    <row r="141" ht="15.75" customHeight="1">
      <c r="A141" s="9"/>
      <c r="B141" s="9"/>
      <c r="C141" s="9"/>
      <c r="D141" s="9"/>
      <c r="E141" s="9"/>
      <c r="F141" s="9"/>
      <c r="G141" s="9"/>
      <c r="H141" s="9"/>
      <c r="I141" s="9"/>
      <c r="J141" s="9"/>
      <c r="K141" s="9"/>
      <c r="L141" s="9"/>
      <c r="M141" s="94"/>
      <c r="N141" s="9"/>
      <c r="O141" s="9"/>
      <c r="P141" s="9"/>
      <c r="Q141" s="9"/>
      <c r="R141" s="9"/>
      <c r="S141" s="9"/>
      <c r="T141" s="9"/>
      <c r="U141" s="9"/>
      <c r="V141" s="9"/>
      <c r="W141" s="9"/>
      <c r="X141" s="9"/>
      <c r="Y141" s="94"/>
      <c r="Z141" s="9"/>
      <c r="AA141" s="9"/>
    </row>
    <row r="142" ht="15.75" customHeight="1">
      <c r="A142" s="9"/>
      <c r="B142" s="9"/>
      <c r="C142" s="9"/>
      <c r="D142" s="9"/>
      <c r="E142" s="9"/>
      <c r="F142" s="9"/>
      <c r="G142" s="9"/>
      <c r="H142" s="9"/>
      <c r="I142" s="9"/>
      <c r="J142" s="9"/>
      <c r="K142" s="9"/>
      <c r="L142" s="9"/>
      <c r="M142" s="94"/>
      <c r="N142" s="9"/>
      <c r="O142" s="9"/>
      <c r="P142" s="9"/>
      <c r="Q142" s="9"/>
      <c r="R142" s="9"/>
      <c r="S142" s="9"/>
      <c r="T142" s="9"/>
      <c r="U142" s="9"/>
      <c r="V142" s="9"/>
      <c r="W142" s="9"/>
      <c r="X142" s="9"/>
      <c r="Y142" s="94"/>
      <c r="Z142" s="9"/>
      <c r="AA142" s="9"/>
    </row>
    <row r="143" ht="15.75" customHeight="1">
      <c r="A143" s="9"/>
      <c r="B143" s="9"/>
      <c r="C143" s="9"/>
      <c r="D143" s="9"/>
      <c r="E143" s="9"/>
      <c r="F143" s="9"/>
      <c r="G143" s="9"/>
      <c r="H143" s="9"/>
      <c r="I143" s="9"/>
      <c r="J143" s="9"/>
      <c r="K143" s="9"/>
      <c r="L143" s="9"/>
      <c r="M143" s="94"/>
      <c r="N143" s="9"/>
      <c r="O143" s="9"/>
      <c r="P143" s="9"/>
      <c r="Q143" s="9"/>
      <c r="R143" s="9"/>
      <c r="S143" s="9"/>
      <c r="T143" s="9"/>
      <c r="U143" s="9"/>
      <c r="V143" s="9"/>
      <c r="W143" s="9"/>
      <c r="X143" s="9"/>
      <c r="Y143" s="94"/>
      <c r="Z143" s="9"/>
      <c r="AA143" s="9"/>
    </row>
    <row r="144" ht="15.75" customHeight="1">
      <c r="A144" s="9"/>
      <c r="B144" s="9"/>
      <c r="C144" s="9"/>
      <c r="D144" s="9"/>
      <c r="E144" s="9"/>
      <c r="F144" s="9"/>
      <c r="G144" s="9"/>
      <c r="H144" s="9"/>
      <c r="I144" s="9"/>
      <c r="J144" s="9"/>
      <c r="K144" s="9"/>
      <c r="L144" s="9"/>
      <c r="M144" s="94"/>
      <c r="N144" s="9"/>
      <c r="O144" s="9"/>
      <c r="P144" s="9"/>
      <c r="Q144" s="9"/>
      <c r="R144" s="9"/>
      <c r="S144" s="9"/>
      <c r="T144" s="9"/>
      <c r="U144" s="9"/>
      <c r="V144" s="9"/>
      <c r="W144" s="9"/>
      <c r="X144" s="9"/>
      <c r="Y144" s="94"/>
      <c r="Z144" s="9"/>
      <c r="AA144" s="9"/>
    </row>
    <row r="145" ht="15.75" customHeight="1">
      <c r="A145" s="9"/>
      <c r="B145" s="9"/>
      <c r="C145" s="9"/>
      <c r="D145" s="9"/>
      <c r="E145" s="9"/>
      <c r="F145" s="9"/>
      <c r="G145" s="9"/>
      <c r="H145" s="9"/>
      <c r="I145" s="9"/>
      <c r="J145" s="9"/>
      <c r="K145" s="9"/>
      <c r="L145" s="9"/>
      <c r="M145" s="94"/>
      <c r="N145" s="9"/>
      <c r="O145" s="9"/>
      <c r="P145" s="9"/>
      <c r="Q145" s="9"/>
      <c r="R145" s="9"/>
      <c r="S145" s="9"/>
      <c r="T145" s="9"/>
      <c r="U145" s="9"/>
      <c r="V145" s="9"/>
      <c r="W145" s="9"/>
      <c r="X145" s="9"/>
      <c r="Y145" s="94"/>
      <c r="Z145" s="9"/>
      <c r="AA145" s="9"/>
    </row>
    <row r="146" ht="15.75" customHeight="1">
      <c r="A146" s="9"/>
      <c r="B146" s="9"/>
      <c r="C146" s="9"/>
      <c r="D146" s="9"/>
      <c r="E146" s="9"/>
      <c r="F146" s="9"/>
      <c r="G146" s="9"/>
      <c r="H146" s="9"/>
      <c r="I146" s="9"/>
      <c r="J146" s="9"/>
      <c r="K146" s="9"/>
      <c r="L146" s="9"/>
      <c r="M146" s="94"/>
      <c r="N146" s="9"/>
      <c r="O146" s="9"/>
      <c r="P146" s="9"/>
      <c r="Q146" s="9"/>
      <c r="R146" s="9"/>
      <c r="S146" s="9"/>
      <c r="T146" s="9"/>
      <c r="U146" s="9"/>
      <c r="V146" s="9"/>
      <c r="W146" s="9"/>
      <c r="X146" s="9"/>
      <c r="Y146" s="94"/>
      <c r="Z146" s="9"/>
      <c r="AA146" s="9"/>
    </row>
    <row r="147" ht="15.75" customHeight="1">
      <c r="A147" s="9"/>
      <c r="B147" s="9"/>
      <c r="C147" s="9"/>
      <c r="D147" s="9"/>
      <c r="E147" s="9"/>
      <c r="F147" s="9"/>
      <c r="G147" s="9"/>
      <c r="H147" s="9"/>
      <c r="I147" s="9"/>
      <c r="J147" s="9"/>
      <c r="K147" s="9"/>
      <c r="L147" s="9"/>
      <c r="M147" s="94"/>
      <c r="N147" s="9"/>
      <c r="O147" s="9"/>
      <c r="P147" s="9"/>
      <c r="Q147" s="9"/>
      <c r="R147" s="9"/>
      <c r="S147" s="9"/>
      <c r="T147" s="9"/>
      <c r="U147" s="9"/>
      <c r="V147" s="9"/>
      <c r="W147" s="9"/>
      <c r="X147" s="9"/>
      <c r="Y147" s="94"/>
      <c r="Z147" s="9"/>
      <c r="AA147" s="9"/>
    </row>
    <row r="148" ht="15.75" customHeight="1">
      <c r="A148" s="9"/>
      <c r="B148" s="9"/>
      <c r="C148" s="9"/>
      <c r="D148" s="9"/>
      <c r="E148" s="9"/>
      <c r="F148" s="9"/>
      <c r="G148" s="9"/>
      <c r="H148" s="9"/>
      <c r="I148" s="9"/>
      <c r="J148" s="9"/>
      <c r="K148" s="9"/>
      <c r="L148" s="9"/>
      <c r="M148" s="94"/>
      <c r="N148" s="9"/>
      <c r="O148" s="9"/>
      <c r="P148" s="9"/>
      <c r="Q148" s="9"/>
      <c r="R148" s="9"/>
      <c r="S148" s="9"/>
      <c r="T148" s="9"/>
      <c r="U148" s="9"/>
      <c r="V148" s="9"/>
      <c r="W148" s="9"/>
      <c r="X148" s="9"/>
      <c r="Y148" s="94"/>
      <c r="Z148" s="9"/>
      <c r="AA148" s="9"/>
    </row>
    <row r="149" ht="15.75" customHeight="1">
      <c r="A149" s="9"/>
      <c r="B149" s="9"/>
      <c r="C149" s="9"/>
      <c r="D149" s="9"/>
      <c r="E149" s="9"/>
      <c r="F149" s="9"/>
      <c r="G149" s="9"/>
      <c r="H149" s="9"/>
      <c r="I149" s="9"/>
      <c r="J149" s="9"/>
      <c r="K149" s="9"/>
      <c r="L149" s="9"/>
      <c r="M149" s="94"/>
      <c r="N149" s="9"/>
      <c r="O149" s="9"/>
      <c r="P149" s="9"/>
      <c r="Q149" s="9"/>
      <c r="R149" s="9"/>
      <c r="S149" s="9"/>
      <c r="T149" s="9"/>
      <c r="U149" s="9"/>
      <c r="V149" s="9"/>
      <c r="W149" s="9"/>
      <c r="X149" s="9"/>
      <c r="Y149" s="94"/>
      <c r="Z149" s="9"/>
      <c r="AA149" s="9"/>
    </row>
    <row r="150" ht="15.75" customHeight="1">
      <c r="A150" s="9"/>
      <c r="B150" s="9"/>
      <c r="C150" s="9"/>
      <c r="D150" s="9"/>
      <c r="E150" s="9"/>
      <c r="F150" s="9"/>
      <c r="G150" s="9"/>
      <c r="H150" s="9"/>
      <c r="I150" s="9"/>
      <c r="J150" s="9"/>
      <c r="K150" s="9"/>
      <c r="L150" s="9"/>
      <c r="M150" s="94"/>
      <c r="N150" s="9"/>
      <c r="O150" s="9"/>
      <c r="P150" s="9"/>
      <c r="Q150" s="9"/>
      <c r="R150" s="9"/>
      <c r="S150" s="9"/>
      <c r="T150" s="9"/>
      <c r="U150" s="9"/>
      <c r="V150" s="9"/>
      <c r="W150" s="9"/>
      <c r="X150" s="9"/>
      <c r="Y150" s="94"/>
      <c r="Z150" s="9"/>
      <c r="AA150" s="9"/>
    </row>
    <row r="151" ht="15.75" customHeight="1">
      <c r="A151" s="9"/>
      <c r="B151" s="9"/>
      <c r="C151" s="9"/>
      <c r="D151" s="9"/>
      <c r="E151" s="9"/>
      <c r="F151" s="9"/>
      <c r="G151" s="9"/>
      <c r="H151" s="9"/>
      <c r="I151" s="9"/>
      <c r="J151" s="9"/>
      <c r="K151" s="9"/>
      <c r="L151" s="9"/>
      <c r="M151" s="94"/>
      <c r="N151" s="9"/>
      <c r="O151" s="9"/>
      <c r="P151" s="9"/>
      <c r="Q151" s="9"/>
      <c r="R151" s="9"/>
      <c r="S151" s="9"/>
      <c r="T151" s="9"/>
      <c r="U151" s="9"/>
      <c r="V151" s="9"/>
      <c r="W151" s="9"/>
      <c r="X151" s="9"/>
      <c r="Y151" s="94"/>
      <c r="Z151" s="9"/>
      <c r="AA151" s="9"/>
    </row>
    <row r="152" ht="15.75" customHeight="1">
      <c r="A152" s="9"/>
      <c r="B152" s="9"/>
      <c r="C152" s="9"/>
      <c r="D152" s="9"/>
      <c r="E152" s="9"/>
      <c r="F152" s="9"/>
      <c r="G152" s="9"/>
      <c r="H152" s="9"/>
      <c r="I152" s="9"/>
      <c r="J152" s="9"/>
      <c r="K152" s="9"/>
      <c r="L152" s="9"/>
      <c r="M152" s="94"/>
      <c r="N152" s="9"/>
      <c r="O152" s="9"/>
      <c r="P152" s="9"/>
      <c r="Q152" s="9"/>
      <c r="R152" s="9"/>
      <c r="S152" s="9"/>
      <c r="T152" s="9"/>
      <c r="U152" s="9"/>
      <c r="V152" s="9"/>
      <c r="W152" s="9"/>
      <c r="X152" s="9"/>
      <c r="Y152" s="94"/>
      <c r="Z152" s="9"/>
      <c r="AA152" s="9"/>
    </row>
    <row r="153" ht="15.75" customHeight="1">
      <c r="A153" s="9"/>
      <c r="B153" s="9"/>
      <c r="C153" s="9"/>
      <c r="D153" s="9"/>
      <c r="E153" s="9"/>
      <c r="F153" s="9"/>
      <c r="G153" s="9"/>
      <c r="H153" s="9"/>
      <c r="I153" s="9"/>
      <c r="J153" s="9"/>
      <c r="K153" s="9"/>
      <c r="L153" s="9"/>
      <c r="M153" s="94"/>
      <c r="N153" s="9"/>
      <c r="O153" s="9"/>
      <c r="P153" s="9"/>
      <c r="Q153" s="9"/>
      <c r="R153" s="9"/>
      <c r="S153" s="9"/>
      <c r="T153" s="9"/>
      <c r="U153" s="9"/>
      <c r="V153" s="9"/>
      <c r="W153" s="9"/>
      <c r="X153" s="9"/>
      <c r="Y153" s="94"/>
      <c r="Z153" s="9"/>
      <c r="AA153" s="9"/>
    </row>
    <row r="154" ht="15.75" customHeight="1">
      <c r="A154" s="9"/>
      <c r="B154" s="9"/>
      <c r="C154" s="9"/>
      <c r="D154" s="9"/>
      <c r="E154" s="9"/>
      <c r="F154" s="9"/>
      <c r="G154" s="9"/>
      <c r="H154" s="9"/>
      <c r="I154" s="9"/>
      <c r="J154" s="9"/>
      <c r="K154" s="9"/>
      <c r="L154" s="9"/>
      <c r="M154" s="94"/>
      <c r="N154" s="9"/>
      <c r="O154" s="9"/>
      <c r="P154" s="9"/>
      <c r="Q154" s="9"/>
      <c r="R154" s="9"/>
      <c r="S154" s="9"/>
      <c r="T154" s="9"/>
      <c r="U154" s="9"/>
      <c r="V154" s="9"/>
      <c r="W154" s="9"/>
      <c r="X154" s="9"/>
      <c r="Y154" s="94"/>
      <c r="Z154" s="9"/>
      <c r="AA154" s="9"/>
    </row>
    <row r="155" ht="15.75" customHeight="1">
      <c r="A155" s="9"/>
      <c r="B155" s="9"/>
      <c r="C155" s="9"/>
      <c r="D155" s="9"/>
      <c r="E155" s="9"/>
      <c r="F155" s="9"/>
      <c r="G155" s="9"/>
      <c r="H155" s="9"/>
      <c r="I155" s="9"/>
      <c r="J155" s="9"/>
      <c r="K155" s="9"/>
      <c r="L155" s="9"/>
      <c r="M155" s="94"/>
      <c r="N155" s="9"/>
      <c r="O155" s="9"/>
      <c r="P155" s="9"/>
      <c r="Q155" s="9"/>
      <c r="R155" s="9"/>
      <c r="S155" s="9"/>
      <c r="T155" s="9"/>
      <c r="U155" s="9"/>
      <c r="V155" s="9"/>
      <c r="W155" s="9"/>
      <c r="X155" s="9"/>
      <c r="Y155" s="94"/>
      <c r="Z155" s="9"/>
      <c r="AA155" s="9"/>
    </row>
    <row r="156" ht="15.75" customHeight="1">
      <c r="A156" s="9"/>
      <c r="B156" s="9"/>
      <c r="C156" s="9"/>
      <c r="D156" s="9"/>
      <c r="E156" s="9"/>
      <c r="F156" s="9"/>
      <c r="G156" s="9"/>
      <c r="H156" s="9"/>
      <c r="I156" s="9"/>
      <c r="J156" s="9"/>
      <c r="K156" s="9"/>
      <c r="L156" s="9"/>
      <c r="M156" s="94"/>
      <c r="N156" s="9"/>
      <c r="O156" s="9"/>
      <c r="P156" s="9"/>
      <c r="Q156" s="9"/>
      <c r="R156" s="9"/>
      <c r="S156" s="9"/>
      <c r="T156" s="9"/>
      <c r="U156" s="9"/>
      <c r="V156" s="9"/>
      <c r="W156" s="9"/>
      <c r="X156" s="9"/>
      <c r="Y156" s="94"/>
      <c r="Z156" s="9"/>
      <c r="AA156" s="9"/>
    </row>
    <row r="157" ht="15.75" customHeight="1">
      <c r="A157" s="9"/>
      <c r="B157" s="9"/>
      <c r="C157" s="9"/>
      <c r="D157" s="9"/>
      <c r="E157" s="9"/>
      <c r="F157" s="9"/>
      <c r="G157" s="9"/>
      <c r="H157" s="9"/>
      <c r="I157" s="9"/>
      <c r="J157" s="9"/>
      <c r="K157" s="9"/>
      <c r="L157" s="9"/>
      <c r="M157" s="94"/>
      <c r="N157" s="9"/>
      <c r="O157" s="9"/>
      <c r="P157" s="9"/>
      <c r="Q157" s="9"/>
      <c r="R157" s="9"/>
      <c r="S157" s="9"/>
      <c r="T157" s="9"/>
      <c r="U157" s="9"/>
      <c r="V157" s="9"/>
      <c r="W157" s="9"/>
      <c r="X157" s="9"/>
      <c r="Y157" s="94"/>
      <c r="Z157" s="9"/>
      <c r="AA157" s="9"/>
    </row>
    <row r="158" ht="15.75" customHeight="1">
      <c r="A158" s="9"/>
      <c r="B158" s="9"/>
      <c r="C158" s="9"/>
      <c r="D158" s="9"/>
      <c r="E158" s="9"/>
      <c r="F158" s="9"/>
      <c r="G158" s="9"/>
      <c r="H158" s="9"/>
      <c r="I158" s="9"/>
      <c r="J158" s="9"/>
      <c r="K158" s="9"/>
      <c r="L158" s="9"/>
      <c r="M158" s="94"/>
      <c r="N158" s="9"/>
      <c r="O158" s="9"/>
      <c r="P158" s="9"/>
      <c r="Q158" s="9"/>
      <c r="R158" s="9"/>
      <c r="S158" s="9"/>
      <c r="T158" s="9"/>
      <c r="U158" s="9"/>
      <c r="V158" s="9"/>
      <c r="W158" s="9"/>
      <c r="X158" s="9"/>
      <c r="Y158" s="94"/>
      <c r="Z158" s="9"/>
      <c r="AA158" s="9"/>
    </row>
    <row r="159" ht="15.75" customHeight="1">
      <c r="A159" s="9"/>
      <c r="B159" s="9"/>
      <c r="C159" s="9"/>
      <c r="D159" s="9"/>
      <c r="E159" s="9"/>
      <c r="F159" s="9"/>
      <c r="G159" s="9"/>
      <c r="H159" s="9"/>
      <c r="I159" s="9"/>
      <c r="J159" s="9"/>
      <c r="K159" s="9"/>
      <c r="L159" s="9"/>
      <c r="M159" s="94"/>
      <c r="N159" s="9"/>
      <c r="O159" s="9"/>
      <c r="P159" s="9"/>
      <c r="Q159" s="9"/>
      <c r="R159" s="9"/>
      <c r="S159" s="9"/>
      <c r="T159" s="9"/>
      <c r="U159" s="9"/>
      <c r="V159" s="9"/>
      <c r="W159" s="9"/>
      <c r="X159" s="9"/>
      <c r="Y159" s="94"/>
      <c r="Z159" s="9"/>
      <c r="AA159" s="9"/>
    </row>
    <row r="160" ht="15.75" customHeight="1">
      <c r="A160" s="9"/>
      <c r="B160" s="9"/>
      <c r="C160" s="9"/>
      <c r="D160" s="9"/>
      <c r="E160" s="9"/>
      <c r="F160" s="9"/>
      <c r="G160" s="9"/>
      <c r="H160" s="9"/>
      <c r="I160" s="9"/>
      <c r="J160" s="9"/>
      <c r="K160" s="9"/>
      <c r="L160" s="9"/>
      <c r="M160" s="94"/>
      <c r="N160" s="9"/>
      <c r="O160" s="9"/>
      <c r="P160" s="9"/>
      <c r="Q160" s="9"/>
      <c r="R160" s="9"/>
      <c r="S160" s="9"/>
      <c r="T160" s="9"/>
      <c r="U160" s="9"/>
      <c r="V160" s="9"/>
      <c r="W160" s="9"/>
      <c r="X160" s="9"/>
      <c r="Y160" s="94"/>
      <c r="Z160" s="9"/>
      <c r="AA160" s="9"/>
    </row>
    <row r="161" ht="15.75" customHeight="1">
      <c r="A161" s="9"/>
      <c r="B161" s="9"/>
      <c r="C161" s="9"/>
      <c r="D161" s="9"/>
      <c r="E161" s="9"/>
      <c r="F161" s="9"/>
      <c r="G161" s="9"/>
      <c r="H161" s="9"/>
      <c r="I161" s="9"/>
      <c r="J161" s="9"/>
      <c r="K161" s="9"/>
      <c r="L161" s="9"/>
      <c r="M161" s="94"/>
      <c r="N161" s="9"/>
      <c r="O161" s="9"/>
      <c r="P161" s="9"/>
      <c r="Q161" s="9"/>
      <c r="R161" s="9"/>
      <c r="S161" s="9"/>
      <c r="T161" s="9"/>
      <c r="U161" s="9"/>
      <c r="V161" s="9"/>
      <c r="W161" s="9"/>
      <c r="X161" s="9"/>
      <c r="Y161" s="94"/>
      <c r="Z161" s="9"/>
      <c r="AA161" s="9"/>
    </row>
    <row r="162" ht="15.75" customHeight="1">
      <c r="A162" s="9"/>
      <c r="B162" s="9"/>
      <c r="C162" s="9"/>
      <c r="D162" s="9"/>
      <c r="E162" s="9"/>
      <c r="F162" s="9"/>
      <c r="G162" s="9"/>
      <c r="H162" s="9"/>
      <c r="I162" s="9"/>
      <c r="J162" s="9"/>
      <c r="K162" s="9"/>
      <c r="L162" s="9"/>
      <c r="M162" s="94"/>
      <c r="N162" s="9"/>
      <c r="O162" s="9"/>
      <c r="P162" s="9"/>
      <c r="Q162" s="9"/>
      <c r="R162" s="9"/>
      <c r="S162" s="9"/>
      <c r="T162" s="9"/>
      <c r="U162" s="9"/>
      <c r="V162" s="9"/>
      <c r="W162" s="9"/>
      <c r="X162" s="9"/>
      <c r="Y162" s="94"/>
      <c r="Z162" s="9"/>
      <c r="AA162" s="9"/>
    </row>
    <row r="163" ht="15.75" customHeight="1">
      <c r="A163" s="9"/>
      <c r="B163" s="9"/>
      <c r="C163" s="9"/>
      <c r="D163" s="9"/>
      <c r="E163" s="9"/>
      <c r="F163" s="9"/>
      <c r="G163" s="9"/>
      <c r="H163" s="9"/>
      <c r="I163" s="9"/>
      <c r="J163" s="9"/>
      <c r="K163" s="9"/>
      <c r="L163" s="9"/>
      <c r="M163" s="94"/>
      <c r="N163" s="9"/>
      <c r="O163" s="9"/>
      <c r="P163" s="9"/>
      <c r="Q163" s="9"/>
      <c r="R163" s="9"/>
      <c r="S163" s="9"/>
      <c r="T163" s="9"/>
      <c r="U163" s="9"/>
      <c r="V163" s="9"/>
      <c r="W163" s="9"/>
      <c r="X163" s="9"/>
      <c r="Y163" s="94"/>
      <c r="Z163" s="9"/>
      <c r="AA163" s="9"/>
    </row>
    <row r="164" ht="15.75" customHeight="1">
      <c r="A164" s="9"/>
      <c r="B164" s="9"/>
      <c r="C164" s="9"/>
      <c r="D164" s="9"/>
      <c r="E164" s="9"/>
      <c r="F164" s="9"/>
      <c r="G164" s="9"/>
      <c r="H164" s="9"/>
      <c r="I164" s="9"/>
      <c r="J164" s="9"/>
      <c r="K164" s="9"/>
      <c r="L164" s="9"/>
      <c r="M164" s="94"/>
      <c r="N164" s="9"/>
      <c r="O164" s="9"/>
      <c r="P164" s="9"/>
      <c r="Q164" s="9"/>
      <c r="R164" s="9"/>
      <c r="S164" s="9"/>
      <c r="T164" s="9"/>
      <c r="U164" s="9"/>
      <c r="V164" s="9"/>
      <c r="W164" s="9"/>
      <c r="X164" s="9"/>
      <c r="Y164" s="94"/>
      <c r="Z164" s="9"/>
      <c r="AA164" s="9"/>
    </row>
    <row r="165" ht="15.75" customHeight="1">
      <c r="A165" s="9"/>
      <c r="B165" s="9"/>
      <c r="C165" s="9"/>
      <c r="D165" s="9"/>
      <c r="E165" s="9"/>
      <c r="F165" s="9"/>
      <c r="G165" s="9"/>
      <c r="H165" s="9"/>
      <c r="I165" s="9"/>
      <c r="J165" s="9"/>
      <c r="K165" s="9"/>
      <c r="L165" s="9"/>
      <c r="M165" s="94"/>
      <c r="N165" s="9"/>
      <c r="O165" s="9"/>
      <c r="P165" s="9"/>
      <c r="Q165" s="9"/>
      <c r="R165" s="9"/>
      <c r="S165" s="9"/>
      <c r="T165" s="9"/>
      <c r="U165" s="9"/>
      <c r="V165" s="9"/>
      <c r="W165" s="9"/>
      <c r="X165" s="9"/>
      <c r="Y165" s="94"/>
      <c r="Z165" s="9"/>
      <c r="AA165" s="9"/>
    </row>
    <row r="166" ht="15.75" customHeight="1">
      <c r="A166" s="9"/>
      <c r="B166" s="9"/>
      <c r="C166" s="9"/>
      <c r="D166" s="9"/>
      <c r="E166" s="9"/>
      <c r="F166" s="9"/>
      <c r="G166" s="9"/>
      <c r="H166" s="9"/>
      <c r="I166" s="9"/>
      <c r="J166" s="9"/>
      <c r="K166" s="9"/>
      <c r="L166" s="9"/>
      <c r="M166" s="94"/>
      <c r="N166" s="9"/>
      <c r="O166" s="9"/>
      <c r="P166" s="9"/>
      <c r="Q166" s="9"/>
      <c r="R166" s="9"/>
      <c r="S166" s="9"/>
      <c r="T166" s="9"/>
      <c r="U166" s="9"/>
      <c r="V166" s="9"/>
      <c r="W166" s="9"/>
      <c r="X166" s="9"/>
      <c r="Y166" s="94"/>
      <c r="Z166" s="9"/>
      <c r="AA166" s="9"/>
    </row>
    <row r="167" ht="15.75" customHeight="1">
      <c r="A167" s="9"/>
      <c r="B167" s="9"/>
      <c r="C167" s="9"/>
      <c r="D167" s="9"/>
      <c r="E167" s="9"/>
      <c r="F167" s="9"/>
      <c r="G167" s="9"/>
      <c r="H167" s="9"/>
      <c r="I167" s="9"/>
      <c r="J167" s="9"/>
      <c r="K167" s="9"/>
      <c r="L167" s="9"/>
      <c r="M167" s="94"/>
      <c r="N167" s="9"/>
      <c r="O167" s="9"/>
      <c r="P167" s="9"/>
      <c r="Q167" s="9"/>
      <c r="R167" s="9"/>
      <c r="S167" s="9"/>
      <c r="T167" s="9"/>
      <c r="U167" s="9"/>
      <c r="V167" s="9"/>
      <c r="W167" s="9"/>
      <c r="X167" s="9"/>
      <c r="Y167" s="94"/>
      <c r="Z167" s="9"/>
      <c r="AA167" s="9"/>
    </row>
    <row r="168" ht="15.75" customHeight="1">
      <c r="A168" s="9"/>
      <c r="B168" s="9"/>
      <c r="C168" s="9"/>
      <c r="D168" s="9"/>
      <c r="E168" s="9"/>
      <c r="F168" s="9"/>
      <c r="G168" s="9"/>
      <c r="H168" s="9"/>
      <c r="I168" s="9"/>
      <c r="J168" s="9"/>
      <c r="K168" s="9"/>
      <c r="L168" s="9"/>
      <c r="M168" s="94"/>
      <c r="N168" s="9"/>
      <c r="O168" s="9"/>
      <c r="P168" s="9"/>
      <c r="Q168" s="9"/>
      <c r="R168" s="9"/>
      <c r="S168" s="9"/>
      <c r="T168" s="9"/>
      <c r="U168" s="9"/>
      <c r="V168" s="9"/>
      <c r="W168" s="9"/>
      <c r="X168" s="9"/>
      <c r="Y168" s="94"/>
      <c r="Z168" s="9"/>
      <c r="AA168" s="9"/>
    </row>
    <row r="169" ht="15.75" customHeight="1">
      <c r="A169" s="9"/>
      <c r="B169" s="9"/>
      <c r="C169" s="9"/>
      <c r="D169" s="9"/>
      <c r="E169" s="9"/>
      <c r="F169" s="9"/>
      <c r="G169" s="9"/>
      <c r="H169" s="9"/>
      <c r="I169" s="9"/>
      <c r="J169" s="9"/>
      <c r="K169" s="9"/>
      <c r="L169" s="9"/>
      <c r="M169" s="94"/>
      <c r="N169" s="9"/>
      <c r="O169" s="9"/>
      <c r="P169" s="9"/>
      <c r="Q169" s="9"/>
      <c r="R169" s="9"/>
      <c r="S169" s="9"/>
      <c r="T169" s="9"/>
      <c r="U169" s="9"/>
      <c r="V169" s="9"/>
      <c r="W169" s="9"/>
      <c r="X169" s="9"/>
      <c r="Y169" s="94"/>
      <c r="Z169" s="9"/>
      <c r="AA169" s="9"/>
    </row>
    <row r="170" ht="15.75" customHeight="1">
      <c r="A170" s="9"/>
      <c r="B170" s="9"/>
      <c r="C170" s="9"/>
      <c r="D170" s="9"/>
      <c r="E170" s="9"/>
      <c r="F170" s="9"/>
      <c r="G170" s="9"/>
      <c r="H170" s="9"/>
      <c r="I170" s="9"/>
      <c r="J170" s="9"/>
      <c r="K170" s="9"/>
      <c r="L170" s="9"/>
      <c r="M170" s="94"/>
      <c r="N170" s="9"/>
      <c r="O170" s="9"/>
      <c r="P170" s="9"/>
      <c r="Q170" s="9"/>
      <c r="R170" s="9"/>
      <c r="S170" s="9"/>
      <c r="T170" s="9"/>
      <c r="U170" s="9"/>
      <c r="V170" s="9"/>
      <c r="W170" s="9"/>
      <c r="X170" s="9"/>
      <c r="Y170" s="94"/>
      <c r="Z170" s="9"/>
      <c r="AA170" s="9"/>
    </row>
    <row r="171" ht="15.75" customHeight="1">
      <c r="A171" s="9"/>
      <c r="B171" s="9"/>
      <c r="C171" s="9"/>
      <c r="D171" s="9"/>
      <c r="E171" s="9"/>
      <c r="F171" s="9"/>
      <c r="G171" s="9"/>
      <c r="H171" s="9"/>
      <c r="I171" s="9"/>
      <c r="J171" s="9"/>
      <c r="K171" s="9"/>
      <c r="L171" s="9"/>
      <c r="M171" s="94"/>
      <c r="N171" s="9"/>
      <c r="O171" s="9"/>
      <c r="P171" s="9"/>
      <c r="Q171" s="9"/>
      <c r="R171" s="9"/>
      <c r="S171" s="9"/>
      <c r="T171" s="9"/>
      <c r="U171" s="9"/>
      <c r="V171" s="9"/>
      <c r="W171" s="9"/>
      <c r="X171" s="9"/>
      <c r="Y171" s="94"/>
      <c r="Z171" s="9"/>
      <c r="AA171" s="9"/>
    </row>
    <row r="172" ht="15.75" customHeight="1">
      <c r="A172" s="9"/>
      <c r="B172" s="9"/>
      <c r="C172" s="9"/>
      <c r="D172" s="9"/>
      <c r="E172" s="9"/>
      <c r="F172" s="9"/>
      <c r="G172" s="9"/>
      <c r="H172" s="9"/>
      <c r="I172" s="9"/>
      <c r="J172" s="9"/>
      <c r="K172" s="9"/>
      <c r="L172" s="9"/>
      <c r="M172" s="94"/>
      <c r="N172" s="9"/>
      <c r="O172" s="9"/>
      <c r="P172" s="9"/>
      <c r="Q172" s="9"/>
      <c r="R172" s="9"/>
      <c r="S172" s="9"/>
      <c r="T172" s="9"/>
      <c r="U172" s="9"/>
      <c r="V172" s="9"/>
      <c r="W172" s="9"/>
      <c r="X172" s="9"/>
      <c r="Y172" s="94"/>
      <c r="Z172" s="9"/>
      <c r="AA172" s="9"/>
    </row>
    <row r="173" ht="15.75" customHeight="1">
      <c r="A173" s="9"/>
      <c r="B173" s="9"/>
      <c r="C173" s="9"/>
      <c r="D173" s="9"/>
      <c r="E173" s="9"/>
      <c r="F173" s="9"/>
      <c r="G173" s="9"/>
      <c r="H173" s="9"/>
      <c r="I173" s="9"/>
      <c r="J173" s="9"/>
      <c r="K173" s="9"/>
      <c r="L173" s="9"/>
      <c r="M173" s="94"/>
      <c r="N173" s="9"/>
      <c r="O173" s="9"/>
      <c r="P173" s="9"/>
      <c r="Q173" s="9"/>
      <c r="R173" s="9"/>
      <c r="S173" s="9"/>
      <c r="T173" s="9"/>
      <c r="U173" s="9"/>
      <c r="V173" s="9"/>
      <c r="W173" s="9"/>
      <c r="X173" s="9"/>
      <c r="Y173" s="94"/>
      <c r="Z173" s="9"/>
      <c r="AA173" s="9"/>
    </row>
    <row r="174" ht="15.75" customHeight="1">
      <c r="A174" s="9"/>
      <c r="B174" s="9"/>
      <c r="C174" s="9"/>
      <c r="D174" s="9"/>
      <c r="E174" s="9"/>
      <c r="F174" s="9"/>
      <c r="G174" s="9"/>
      <c r="H174" s="9"/>
      <c r="I174" s="9"/>
      <c r="J174" s="9"/>
      <c r="K174" s="9"/>
      <c r="L174" s="9"/>
      <c r="M174" s="94"/>
      <c r="N174" s="9"/>
      <c r="O174" s="9"/>
      <c r="P174" s="9"/>
      <c r="Q174" s="9"/>
      <c r="R174" s="9"/>
      <c r="S174" s="9"/>
      <c r="T174" s="9"/>
      <c r="U174" s="9"/>
      <c r="V174" s="9"/>
      <c r="W174" s="9"/>
      <c r="X174" s="9"/>
      <c r="Y174" s="94"/>
      <c r="Z174" s="9"/>
      <c r="AA174" s="9"/>
    </row>
    <row r="175" ht="15.75" customHeight="1">
      <c r="A175" s="9"/>
      <c r="B175" s="9"/>
      <c r="C175" s="9"/>
      <c r="D175" s="9"/>
      <c r="E175" s="9"/>
      <c r="F175" s="9"/>
      <c r="G175" s="9"/>
      <c r="H175" s="9"/>
      <c r="I175" s="9"/>
      <c r="J175" s="9"/>
      <c r="K175" s="9"/>
      <c r="L175" s="9"/>
      <c r="M175" s="94"/>
      <c r="N175" s="9"/>
      <c r="O175" s="9"/>
      <c r="P175" s="9"/>
      <c r="Q175" s="9"/>
      <c r="R175" s="9"/>
      <c r="S175" s="9"/>
      <c r="T175" s="9"/>
      <c r="U175" s="9"/>
      <c r="V175" s="9"/>
      <c r="W175" s="9"/>
      <c r="X175" s="9"/>
      <c r="Y175" s="94"/>
      <c r="Z175" s="9"/>
      <c r="AA175" s="9"/>
    </row>
    <row r="176" ht="15.75" customHeight="1">
      <c r="A176" s="9"/>
      <c r="B176" s="9"/>
      <c r="C176" s="9"/>
      <c r="D176" s="9"/>
      <c r="E176" s="9"/>
      <c r="F176" s="9"/>
      <c r="G176" s="9"/>
      <c r="H176" s="9"/>
      <c r="I176" s="9"/>
      <c r="J176" s="9"/>
      <c r="K176" s="9"/>
      <c r="L176" s="9"/>
      <c r="M176" s="94"/>
      <c r="N176" s="9"/>
      <c r="O176" s="9"/>
      <c r="P176" s="9"/>
      <c r="Q176" s="9"/>
      <c r="R176" s="9"/>
      <c r="S176" s="9"/>
      <c r="T176" s="9"/>
      <c r="U176" s="9"/>
      <c r="V176" s="9"/>
      <c r="W176" s="9"/>
      <c r="X176" s="9"/>
      <c r="Y176" s="94"/>
      <c r="Z176" s="9"/>
      <c r="AA176" s="9"/>
    </row>
    <row r="177" ht="15.75" customHeight="1">
      <c r="A177" s="9"/>
      <c r="B177" s="9"/>
      <c r="C177" s="9"/>
      <c r="D177" s="9"/>
      <c r="E177" s="9"/>
      <c r="F177" s="9"/>
      <c r="G177" s="9"/>
      <c r="H177" s="9"/>
      <c r="I177" s="9"/>
      <c r="J177" s="9"/>
      <c r="K177" s="9"/>
      <c r="L177" s="9"/>
      <c r="M177" s="94"/>
      <c r="N177" s="9"/>
      <c r="O177" s="9"/>
      <c r="P177" s="9"/>
      <c r="Q177" s="9"/>
      <c r="R177" s="9"/>
      <c r="S177" s="9"/>
      <c r="T177" s="9"/>
      <c r="U177" s="9"/>
      <c r="V177" s="9"/>
      <c r="W177" s="9"/>
      <c r="X177" s="9"/>
      <c r="Y177" s="94"/>
      <c r="Z177" s="9"/>
      <c r="AA177" s="9"/>
    </row>
    <row r="178" ht="15.75" customHeight="1">
      <c r="A178" s="9"/>
      <c r="B178" s="9"/>
      <c r="C178" s="9"/>
      <c r="D178" s="9"/>
      <c r="E178" s="9"/>
      <c r="F178" s="9"/>
      <c r="G178" s="9"/>
      <c r="H178" s="9"/>
      <c r="I178" s="9"/>
      <c r="J178" s="9"/>
      <c r="K178" s="9"/>
      <c r="L178" s="9"/>
      <c r="M178" s="94"/>
      <c r="N178" s="9"/>
      <c r="O178" s="9"/>
      <c r="P178" s="9"/>
      <c r="Q178" s="9"/>
      <c r="R178" s="9"/>
      <c r="S178" s="9"/>
      <c r="T178" s="9"/>
      <c r="U178" s="9"/>
      <c r="V178" s="9"/>
      <c r="W178" s="9"/>
      <c r="X178" s="9"/>
      <c r="Y178" s="94"/>
      <c r="Z178" s="9"/>
      <c r="AA178" s="9"/>
    </row>
    <row r="179" ht="15.75" customHeight="1">
      <c r="A179" s="9"/>
      <c r="B179" s="9"/>
      <c r="C179" s="9"/>
      <c r="D179" s="9"/>
      <c r="E179" s="9"/>
      <c r="F179" s="9"/>
      <c r="G179" s="9"/>
      <c r="H179" s="9"/>
      <c r="I179" s="9"/>
      <c r="J179" s="9"/>
      <c r="K179" s="9"/>
      <c r="L179" s="9"/>
      <c r="M179" s="94"/>
      <c r="N179" s="9"/>
      <c r="O179" s="9"/>
      <c r="P179" s="9"/>
      <c r="Q179" s="9"/>
      <c r="R179" s="9"/>
      <c r="S179" s="9"/>
      <c r="T179" s="9"/>
      <c r="U179" s="9"/>
      <c r="V179" s="9"/>
      <c r="W179" s="9"/>
      <c r="X179" s="9"/>
      <c r="Y179" s="94"/>
      <c r="Z179" s="9"/>
      <c r="AA179" s="9"/>
    </row>
    <row r="180" ht="15.75" customHeight="1">
      <c r="A180" s="9"/>
      <c r="B180" s="9"/>
      <c r="C180" s="9"/>
      <c r="D180" s="9"/>
      <c r="E180" s="9"/>
      <c r="F180" s="9"/>
      <c r="G180" s="9"/>
      <c r="H180" s="9"/>
      <c r="I180" s="9"/>
      <c r="J180" s="9"/>
      <c r="K180" s="9"/>
      <c r="L180" s="9"/>
      <c r="M180" s="94"/>
      <c r="N180" s="9"/>
      <c r="O180" s="9"/>
      <c r="P180" s="9"/>
      <c r="Q180" s="9"/>
      <c r="R180" s="9"/>
      <c r="S180" s="9"/>
      <c r="T180" s="9"/>
      <c r="U180" s="9"/>
      <c r="V180" s="9"/>
      <c r="W180" s="9"/>
      <c r="X180" s="9"/>
      <c r="Y180" s="94"/>
      <c r="Z180" s="9"/>
      <c r="AA180" s="9"/>
    </row>
    <row r="181" ht="15.75" customHeight="1">
      <c r="A181" s="9"/>
      <c r="B181" s="9"/>
      <c r="C181" s="9"/>
      <c r="D181" s="9"/>
      <c r="E181" s="9"/>
      <c r="F181" s="9"/>
      <c r="G181" s="9"/>
      <c r="H181" s="9"/>
      <c r="I181" s="9"/>
      <c r="J181" s="9"/>
      <c r="K181" s="9"/>
      <c r="L181" s="9"/>
      <c r="M181" s="94"/>
      <c r="N181" s="9"/>
      <c r="O181" s="9"/>
      <c r="P181" s="9"/>
      <c r="Q181" s="9"/>
      <c r="R181" s="9"/>
      <c r="S181" s="9"/>
      <c r="T181" s="9"/>
      <c r="U181" s="9"/>
      <c r="V181" s="9"/>
      <c r="W181" s="9"/>
      <c r="X181" s="9"/>
      <c r="Y181" s="94"/>
      <c r="Z181" s="9"/>
      <c r="AA181" s="9"/>
    </row>
    <row r="182" ht="15.75" customHeight="1">
      <c r="A182" s="9"/>
      <c r="B182" s="9"/>
      <c r="C182" s="9"/>
      <c r="D182" s="9"/>
      <c r="E182" s="9"/>
      <c r="F182" s="9"/>
      <c r="G182" s="9"/>
      <c r="H182" s="9"/>
      <c r="I182" s="9"/>
      <c r="J182" s="9"/>
      <c r="K182" s="9"/>
      <c r="L182" s="9"/>
      <c r="M182" s="94"/>
      <c r="N182" s="9"/>
      <c r="O182" s="9"/>
      <c r="P182" s="9"/>
      <c r="Q182" s="9"/>
      <c r="R182" s="9"/>
      <c r="S182" s="9"/>
      <c r="T182" s="9"/>
      <c r="U182" s="9"/>
      <c r="V182" s="9"/>
      <c r="W182" s="9"/>
      <c r="X182" s="9"/>
      <c r="Y182" s="94"/>
      <c r="Z182" s="9"/>
      <c r="AA182" s="9"/>
    </row>
    <row r="183" ht="15.75" customHeight="1">
      <c r="A183" s="9"/>
      <c r="B183" s="9"/>
      <c r="C183" s="9"/>
      <c r="D183" s="9"/>
      <c r="E183" s="9"/>
      <c r="F183" s="9"/>
      <c r="G183" s="9"/>
      <c r="H183" s="9"/>
      <c r="I183" s="9"/>
      <c r="J183" s="9"/>
      <c r="K183" s="9"/>
      <c r="L183" s="9"/>
      <c r="M183" s="94"/>
      <c r="N183" s="9"/>
      <c r="O183" s="9"/>
      <c r="P183" s="9"/>
      <c r="Q183" s="9"/>
      <c r="R183" s="9"/>
      <c r="S183" s="9"/>
      <c r="T183" s="9"/>
      <c r="U183" s="9"/>
      <c r="V183" s="9"/>
      <c r="W183" s="9"/>
      <c r="X183" s="9"/>
      <c r="Y183" s="94"/>
      <c r="Z183" s="9"/>
      <c r="AA183" s="9"/>
    </row>
    <row r="184" ht="15.75" customHeight="1">
      <c r="A184" s="9"/>
      <c r="B184" s="9"/>
      <c r="C184" s="9"/>
      <c r="D184" s="9"/>
      <c r="E184" s="9"/>
      <c r="F184" s="9"/>
      <c r="G184" s="9"/>
      <c r="H184" s="9"/>
      <c r="I184" s="9"/>
      <c r="J184" s="9"/>
      <c r="K184" s="9"/>
      <c r="L184" s="9"/>
      <c r="M184" s="94"/>
      <c r="N184" s="9"/>
      <c r="O184" s="9"/>
      <c r="P184" s="9"/>
      <c r="Q184" s="9"/>
      <c r="R184" s="9"/>
      <c r="S184" s="9"/>
      <c r="T184" s="9"/>
      <c r="U184" s="9"/>
      <c r="V184" s="9"/>
      <c r="W184" s="9"/>
      <c r="X184" s="9"/>
      <c r="Y184" s="94"/>
      <c r="Z184" s="9"/>
      <c r="AA184" s="9"/>
    </row>
    <row r="185" ht="15.75" customHeight="1">
      <c r="A185" s="9"/>
      <c r="B185" s="9"/>
      <c r="C185" s="9"/>
      <c r="D185" s="9"/>
      <c r="E185" s="9"/>
      <c r="F185" s="9"/>
      <c r="G185" s="9"/>
      <c r="H185" s="9"/>
      <c r="I185" s="9"/>
      <c r="J185" s="9"/>
      <c r="K185" s="9"/>
      <c r="L185" s="9"/>
      <c r="M185" s="94"/>
      <c r="N185" s="9"/>
      <c r="O185" s="9"/>
      <c r="P185" s="9"/>
      <c r="Q185" s="9"/>
      <c r="R185" s="9"/>
      <c r="S185" s="9"/>
      <c r="T185" s="9"/>
      <c r="U185" s="9"/>
      <c r="V185" s="9"/>
      <c r="W185" s="9"/>
      <c r="X185" s="9"/>
      <c r="Y185" s="94"/>
      <c r="Z185" s="9"/>
      <c r="AA185" s="9"/>
    </row>
    <row r="186" ht="15.75" customHeight="1">
      <c r="A186" s="9"/>
      <c r="B186" s="9"/>
      <c r="C186" s="9"/>
      <c r="D186" s="9"/>
      <c r="E186" s="9"/>
      <c r="F186" s="9"/>
      <c r="G186" s="9"/>
      <c r="H186" s="9"/>
      <c r="I186" s="9"/>
      <c r="J186" s="9"/>
      <c r="K186" s="9"/>
      <c r="L186" s="9"/>
      <c r="M186" s="94"/>
      <c r="N186" s="9"/>
      <c r="O186" s="9"/>
      <c r="P186" s="9"/>
      <c r="Q186" s="9"/>
      <c r="R186" s="9"/>
      <c r="S186" s="9"/>
      <c r="T186" s="9"/>
      <c r="U186" s="9"/>
      <c r="V186" s="9"/>
      <c r="W186" s="9"/>
      <c r="X186" s="9"/>
      <c r="Y186" s="94"/>
      <c r="Z186" s="9"/>
      <c r="AA186" s="9"/>
    </row>
    <row r="187" ht="15.75" customHeight="1">
      <c r="A187" s="9"/>
      <c r="B187" s="9"/>
      <c r="C187" s="9"/>
      <c r="D187" s="9"/>
      <c r="E187" s="9"/>
      <c r="F187" s="9"/>
      <c r="G187" s="9"/>
      <c r="H187" s="9"/>
      <c r="I187" s="9"/>
      <c r="J187" s="9"/>
      <c r="K187" s="9"/>
      <c r="L187" s="9"/>
      <c r="M187" s="94"/>
      <c r="N187" s="9"/>
      <c r="O187" s="9"/>
      <c r="P187" s="9"/>
      <c r="Q187" s="9"/>
      <c r="R187" s="9"/>
      <c r="S187" s="9"/>
      <c r="T187" s="9"/>
      <c r="U187" s="9"/>
      <c r="V187" s="9"/>
      <c r="W187" s="9"/>
      <c r="X187" s="9"/>
      <c r="Y187" s="94"/>
      <c r="Z187" s="9"/>
      <c r="AA187" s="9"/>
    </row>
    <row r="188" ht="15.75" customHeight="1">
      <c r="A188" s="9"/>
      <c r="B188" s="9"/>
      <c r="C188" s="9"/>
      <c r="D188" s="9"/>
      <c r="E188" s="9"/>
      <c r="F188" s="9"/>
      <c r="G188" s="9"/>
      <c r="H188" s="9"/>
      <c r="I188" s="9"/>
      <c r="J188" s="9"/>
      <c r="K188" s="9"/>
      <c r="L188" s="9"/>
      <c r="M188" s="94"/>
      <c r="N188" s="9"/>
      <c r="O188" s="9"/>
      <c r="P188" s="9"/>
      <c r="Q188" s="9"/>
      <c r="R188" s="9"/>
      <c r="S188" s="9"/>
      <c r="T188" s="9"/>
      <c r="U188" s="9"/>
      <c r="V188" s="9"/>
      <c r="W188" s="9"/>
      <c r="X188" s="9"/>
      <c r="Y188" s="94"/>
      <c r="Z188" s="9"/>
      <c r="AA188" s="9"/>
    </row>
    <row r="189" ht="15.75" customHeight="1">
      <c r="A189" s="9"/>
      <c r="B189" s="9"/>
      <c r="C189" s="9"/>
      <c r="D189" s="9"/>
      <c r="E189" s="9"/>
      <c r="F189" s="9"/>
      <c r="G189" s="9"/>
      <c r="H189" s="9"/>
      <c r="I189" s="9"/>
      <c r="J189" s="9"/>
      <c r="K189" s="9"/>
      <c r="L189" s="9"/>
      <c r="M189" s="94"/>
      <c r="N189" s="9"/>
      <c r="O189" s="9"/>
      <c r="P189" s="9"/>
      <c r="Q189" s="9"/>
      <c r="R189" s="9"/>
      <c r="S189" s="9"/>
      <c r="T189" s="9"/>
      <c r="U189" s="9"/>
      <c r="V189" s="9"/>
      <c r="W189" s="9"/>
      <c r="X189" s="9"/>
      <c r="Y189" s="94"/>
      <c r="Z189" s="9"/>
      <c r="AA189" s="9"/>
    </row>
    <row r="190" ht="15.75" customHeight="1">
      <c r="A190" s="9"/>
      <c r="B190" s="9"/>
      <c r="C190" s="9"/>
      <c r="D190" s="9"/>
      <c r="E190" s="9"/>
      <c r="F190" s="9"/>
      <c r="G190" s="9"/>
      <c r="H190" s="9"/>
      <c r="I190" s="9"/>
      <c r="J190" s="9"/>
      <c r="K190" s="9"/>
      <c r="L190" s="9"/>
      <c r="M190" s="94"/>
      <c r="N190" s="9"/>
      <c r="O190" s="9"/>
      <c r="P190" s="9"/>
      <c r="Q190" s="9"/>
      <c r="R190" s="9"/>
      <c r="S190" s="9"/>
      <c r="T190" s="9"/>
      <c r="U190" s="9"/>
      <c r="V190" s="9"/>
      <c r="W190" s="9"/>
      <c r="X190" s="9"/>
      <c r="Y190" s="94"/>
      <c r="Z190" s="9"/>
      <c r="AA190" s="9"/>
    </row>
    <row r="191" ht="15.75" customHeight="1">
      <c r="A191" s="9"/>
      <c r="B191" s="9"/>
      <c r="C191" s="9"/>
      <c r="D191" s="9"/>
      <c r="E191" s="9"/>
      <c r="F191" s="9"/>
      <c r="G191" s="9"/>
      <c r="H191" s="9"/>
      <c r="I191" s="9"/>
      <c r="J191" s="9"/>
      <c r="K191" s="9"/>
      <c r="L191" s="9"/>
      <c r="M191" s="94"/>
      <c r="N191" s="9"/>
      <c r="O191" s="9"/>
      <c r="P191" s="9"/>
      <c r="Q191" s="9"/>
      <c r="R191" s="9"/>
      <c r="S191" s="9"/>
      <c r="T191" s="9"/>
      <c r="U191" s="9"/>
      <c r="V191" s="9"/>
      <c r="W191" s="9"/>
      <c r="X191" s="9"/>
      <c r="Y191" s="94"/>
      <c r="Z191" s="9"/>
      <c r="AA191" s="9"/>
    </row>
    <row r="192" ht="15.75" customHeight="1">
      <c r="A192" s="9"/>
      <c r="B192" s="9"/>
      <c r="C192" s="9"/>
      <c r="D192" s="9"/>
      <c r="E192" s="9"/>
      <c r="F192" s="9"/>
      <c r="G192" s="9"/>
      <c r="H192" s="9"/>
      <c r="I192" s="9"/>
      <c r="J192" s="9"/>
      <c r="K192" s="9"/>
      <c r="L192" s="9"/>
      <c r="M192" s="94"/>
      <c r="N192" s="9"/>
      <c r="O192" s="9"/>
      <c r="P192" s="9"/>
      <c r="Q192" s="9"/>
      <c r="R192" s="9"/>
      <c r="S192" s="9"/>
      <c r="T192" s="9"/>
      <c r="U192" s="9"/>
      <c r="V192" s="9"/>
      <c r="W192" s="9"/>
      <c r="X192" s="9"/>
      <c r="Y192" s="94"/>
      <c r="Z192" s="9"/>
      <c r="AA192" s="9"/>
    </row>
    <row r="193" ht="15.75" customHeight="1">
      <c r="A193" s="9"/>
      <c r="B193" s="9"/>
      <c r="C193" s="9"/>
      <c r="D193" s="9"/>
      <c r="E193" s="9"/>
      <c r="F193" s="9"/>
      <c r="G193" s="9"/>
      <c r="H193" s="9"/>
      <c r="I193" s="9"/>
      <c r="J193" s="9"/>
      <c r="K193" s="9"/>
      <c r="L193" s="9"/>
      <c r="M193" s="94"/>
      <c r="N193" s="9"/>
      <c r="O193" s="9"/>
      <c r="P193" s="9"/>
      <c r="Q193" s="9"/>
      <c r="R193" s="9"/>
      <c r="S193" s="9"/>
      <c r="T193" s="9"/>
      <c r="U193" s="9"/>
      <c r="V193" s="9"/>
      <c r="W193" s="9"/>
      <c r="X193" s="9"/>
      <c r="Y193" s="94"/>
      <c r="Z193" s="9"/>
      <c r="AA193" s="9"/>
    </row>
    <row r="194" ht="15.75" customHeight="1">
      <c r="A194" s="9"/>
      <c r="B194" s="9"/>
      <c r="C194" s="9"/>
      <c r="D194" s="9"/>
      <c r="E194" s="9"/>
      <c r="F194" s="9"/>
      <c r="G194" s="9"/>
      <c r="H194" s="9"/>
      <c r="I194" s="9"/>
      <c r="J194" s="9"/>
      <c r="K194" s="9"/>
      <c r="L194" s="9"/>
      <c r="M194" s="94"/>
      <c r="N194" s="9"/>
      <c r="O194" s="9"/>
      <c r="P194" s="9"/>
      <c r="Q194" s="9"/>
      <c r="R194" s="9"/>
      <c r="S194" s="9"/>
      <c r="T194" s="9"/>
      <c r="U194" s="9"/>
      <c r="V194" s="9"/>
      <c r="W194" s="9"/>
      <c r="X194" s="9"/>
      <c r="Y194" s="94"/>
      <c r="Z194" s="9"/>
      <c r="AA194" s="9"/>
    </row>
    <row r="195" ht="15.75" customHeight="1">
      <c r="A195" s="9"/>
      <c r="B195" s="9"/>
      <c r="C195" s="9"/>
      <c r="D195" s="9"/>
      <c r="E195" s="9"/>
      <c r="F195" s="9"/>
      <c r="G195" s="9"/>
      <c r="H195" s="9"/>
      <c r="I195" s="9"/>
      <c r="J195" s="9"/>
      <c r="K195" s="9"/>
      <c r="L195" s="9"/>
      <c r="M195" s="94"/>
      <c r="N195" s="9"/>
      <c r="O195" s="9"/>
      <c r="P195" s="9"/>
      <c r="Q195" s="9"/>
      <c r="R195" s="9"/>
      <c r="S195" s="9"/>
      <c r="T195" s="9"/>
      <c r="U195" s="9"/>
      <c r="V195" s="9"/>
      <c r="W195" s="9"/>
      <c r="X195" s="9"/>
      <c r="Y195" s="94"/>
      <c r="Z195" s="9"/>
      <c r="AA195" s="9"/>
    </row>
    <row r="196" ht="15.75" customHeight="1">
      <c r="A196" s="9"/>
      <c r="B196" s="9"/>
      <c r="C196" s="9"/>
      <c r="D196" s="9"/>
      <c r="E196" s="9"/>
      <c r="F196" s="9"/>
      <c r="G196" s="9"/>
      <c r="H196" s="9"/>
      <c r="I196" s="9"/>
      <c r="J196" s="9"/>
      <c r="K196" s="9"/>
      <c r="L196" s="9"/>
      <c r="M196" s="94"/>
      <c r="N196" s="9"/>
      <c r="O196" s="9"/>
      <c r="P196" s="9"/>
      <c r="Q196" s="9"/>
      <c r="R196" s="9"/>
      <c r="S196" s="9"/>
      <c r="T196" s="9"/>
      <c r="U196" s="9"/>
      <c r="V196" s="9"/>
      <c r="W196" s="9"/>
      <c r="X196" s="9"/>
      <c r="Y196" s="94"/>
      <c r="Z196" s="9"/>
      <c r="AA196" s="9"/>
    </row>
    <row r="197" ht="15.75" customHeight="1">
      <c r="A197" s="9"/>
      <c r="B197" s="9"/>
      <c r="C197" s="9"/>
      <c r="D197" s="9"/>
      <c r="E197" s="9"/>
      <c r="F197" s="9"/>
      <c r="G197" s="9"/>
      <c r="H197" s="9"/>
      <c r="I197" s="9"/>
      <c r="J197" s="9"/>
      <c r="K197" s="9"/>
      <c r="L197" s="9"/>
      <c r="M197" s="94"/>
      <c r="N197" s="9"/>
      <c r="O197" s="9"/>
      <c r="P197" s="9"/>
      <c r="Q197" s="9"/>
      <c r="R197" s="9"/>
      <c r="S197" s="9"/>
      <c r="T197" s="9"/>
      <c r="U197" s="9"/>
      <c r="V197" s="9"/>
      <c r="W197" s="9"/>
      <c r="X197" s="9"/>
      <c r="Y197" s="94"/>
      <c r="Z197" s="9"/>
      <c r="AA197" s="9"/>
    </row>
    <row r="198" ht="15.75" customHeight="1">
      <c r="A198" s="9"/>
      <c r="B198" s="9"/>
      <c r="C198" s="9"/>
      <c r="D198" s="9"/>
      <c r="E198" s="9"/>
      <c r="F198" s="9"/>
      <c r="G198" s="9"/>
      <c r="H198" s="9"/>
      <c r="I198" s="9"/>
      <c r="J198" s="9"/>
      <c r="K198" s="9"/>
      <c r="L198" s="9"/>
      <c r="M198" s="94"/>
      <c r="N198" s="9"/>
      <c r="O198" s="9"/>
      <c r="P198" s="9"/>
      <c r="Q198" s="9"/>
      <c r="R198" s="9"/>
      <c r="S198" s="9"/>
      <c r="T198" s="9"/>
      <c r="U198" s="9"/>
      <c r="V198" s="9"/>
      <c r="W198" s="9"/>
      <c r="X198" s="9"/>
      <c r="Y198" s="94"/>
      <c r="Z198" s="9"/>
      <c r="AA198" s="9"/>
    </row>
    <row r="199" ht="15.75" customHeight="1">
      <c r="A199" s="9"/>
      <c r="B199" s="9"/>
      <c r="C199" s="9"/>
      <c r="D199" s="9"/>
      <c r="E199" s="9"/>
      <c r="F199" s="9"/>
      <c r="G199" s="9"/>
      <c r="H199" s="9"/>
      <c r="I199" s="9"/>
      <c r="J199" s="9"/>
      <c r="K199" s="9"/>
      <c r="L199" s="9"/>
      <c r="M199" s="94"/>
      <c r="N199" s="9"/>
      <c r="O199" s="9"/>
      <c r="P199" s="9"/>
      <c r="Q199" s="9"/>
      <c r="R199" s="9"/>
      <c r="S199" s="9"/>
      <c r="T199" s="9"/>
      <c r="U199" s="9"/>
      <c r="V199" s="9"/>
      <c r="W199" s="9"/>
      <c r="X199" s="9"/>
      <c r="Y199" s="94"/>
      <c r="Z199" s="9"/>
      <c r="AA199" s="9"/>
    </row>
    <row r="200" ht="15.75" customHeight="1">
      <c r="A200" s="9"/>
      <c r="B200" s="9"/>
      <c r="C200" s="9"/>
      <c r="D200" s="9"/>
      <c r="E200" s="9"/>
      <c r="F200" s="9"/>
      <c r="G200" s="9"/>
      <c r="H200" s="9"/>
      <c r="I200" s="9"/>
      <c r="J200" s="9"/>
      <c r="K200" s="9"/>
      <c r="L200" s="9"/>
      <c r="M200" s="94"/>
      <c r="N200" s="9"/>
      <c r="O200" s="9"/>
      <c r="P200" s="9"/>
      <c r="Q200" s="9"/>
      <c r="R200" s="9"/>
      <c r="S200" s="9"/>
      <c r="T200" s="9"/>
      <c r="U200" s="9"/>
      <c r="V200" s="9"/>
      <c r="W200" s="9"/>
      <c r="X200" s="9"/>
      <c r="Y200" s="94"/>
      <c r="Z200" s="9"/>
      <c r="AA200" s="9"/>
    </row>
    <row r="201" ht="15.75" customHeight="1">
      <c r="A201" s="9"/>
      <c r="B201" s="9"/>
      <c r="C201" s="9"/>
      <c r="D201" s="9"/>
      <c r="E201" s="9"/>
      <c r="F201" s="9"/>
      <c r="G201" s="9"/>
      <c r="H201" s="9"/>
      <c r="I201" s="9"/>
      <c r="J201" s="9"/>
      <c r="K201" s="9"/>
      <c r="L201" s="9"/>
      <c r="M201" s="94"/>
      <c r="N201" s="9"/>
      <c r="O201" s="9"/>
      <c r="P201" s="9"/>
      <c r="Q201" s="9"/>
      <c r="R201" s="9"/>
      <c r="S201" s="9"/>
      <c r="T201" s="9"/>
      <c r="U201" s="9"/>
      <c r="V201" s="9"/>
      <c r="W201" s="9"/>
      <c r="X201" s="9"/>
      <c r="Y201" s="94"/>
      <c r="Z201" s="9"/>
      <c r="AA201" s="9"/>
    </row>
    <row r="202" ht="15.75" customHeight="1">
      <c r="A202" s="9"/>
      <c r="B202" s="9"/>
      <c r="C202" s="9"/>
      <c r="D202" s="9"/>
      <c r="E202" s="9"/>
      <c r="F202" s="9"/>
      <c r="G202" s="9"/>
      <c r="H202" s="9"/>
      <c r="I202" s="9"/>
      <c r="J202" s="9"/>
      <c r="K202" s="9"/>
      <c r="L202" s="9"/>
      <c r="M202" s="94"/>
      <c r="N202" s="9"/>
      <c r="O202" s="9"/>
      <c r="P202" s="9"/>
      <c r="Q202" s="9"/>
      <c r="R202" s="9"/>
      <c r="S202" s="9"/>
      <c r="T202" s="9"/>
      <c r="U202" s="9"/>
      <c r="V202" s="9"/>
      <c r="W202" s="9"/>
      <c r="X202" s="9"/>
      <c r="Y202" s="94"/>
      <c r="Z202" s="9"/>
      <c r="AA202" s="9"/>
    </row>
    <row r="203" ht="15.75" customHeight="1">
      <c r="A203" s="9"/>
      <c r="B203" s="9"/>
      <c r="C203" s="9"/>
      <c r="D203" s="9"/>
      <c r="E203" s="9"/>
      <c r="F203" s="9"/>
      <c r="G203" s="9"/>
      <c r="H203" s="9"/>
      <c r="I203" s="9"/>
      <c r="J203" s="9"/>
      <c r="K203" s="9"/>
      <c r="L203" s="9"/>
      <c r="M203" s="94"/>
      <c r="N203" s="9"/>
      <c r="O203" s="9"/>
      <c r="P203" s="9"/>
      <c r="Q203" s="9"/>
      <c r="R203" s="9"/>
      <c r="S203" s="9"/>
      <c r="T203" s="9"/>
      <c r="U203" s="9"/>
      <c r="V203" s="9"/>
      <c r="W203" s="9"/>
      <c r="X203" s="9"/>
      <c r="Y203" s="94"/>
      <c r="Z203" s="9"/>
      <c r="AA203" s="9"/>
    </row>
    <row r="204" ht="15.75" customHeight="1">
      <c r="A204" s="9"/>
      <c r="B204" s="9"/>
      <c r="C204" s="9"/>
      <c r="D204" s="9"/>
      <c r="E204" s="9"/>
      <c r="F204" s="9"/>
      <c r="G204" s="9"/>
      <c r="H204" s="9"/>
      <c r="I204" s="9"/>
      <c r="J204" s="9"/>
      <c r="K204" s="9"/>
      <c r="L204" s="9"/>
      <c r="M204" s="94"/>
      <c r="N204" s="9"/>
      <c r="O204" s="9"/>
      <c r="P204" s="9"/>
      <c r="Q204" s="9"/>
      <c r="R204" s="9"/>
      <c r="S204" s="9"/>
      <c r="T204" s="9"/>
      <c r="U204" s="9"/>
      <c r="V204" s="9"/>
      <c r="W204" s="9"/>
      <c r="X204" s="9"/>
      <c r="Y204" s="94"/>
      <c r="Z204" s="9"/>
      <c r="AA204" s="9"/>
    </row>
    <row r="205" ht="15.75" customHeight="1">
      <c r="A205" s="9"/>
      <c r="B205" s="9"/>
      <c r="C205" s="9"/>
      <c r="D205" s="9"/>
      <c r="E205" s="9"/>
      <c r="F205" s="9"/>
      <c r="G205" s="9"/>
      <c r="H205" s="9"/>
      <c r="I205" s="9"/>
      <c r="J205" s="9"/>
      <c r="K205" s="9"/>
      <c r="L205" s="9"/>
      <c r="M205" s="94"/>
      <c r="N205" s="9"/>
      <c r="O205" s="9"/>
      <c r="P205" s="9"/>
      <c r="Q205" s="9"/>
      <c r="R205" s="9"/>
      <c r="S205" s="9"/>
      <c r="T205" s="9"/>
      <c r="U205" s="9"/>
      <c r="V205" s="9"/>
      <c r="W205" s="9"/>
      <c r="X205" s="9"/>
      <c r="Y205" s="94"/>
      <c r="Z205" s="9"/>
      <c r="AA205" s="9"/>
    </row>
    <row r="206" ht="15.75" customHeight="1">
      <c r="A206" s="9"/>
      <c r="B206" s="9"/>
      <c r="C206" s="9"/>
      <c r="D206" s="9"/>
      <c r="E206" s="9"/>
      <c r="F206" s="9"/>
      <c r="G206" s="9"/>
      <c r="H206" s="9"/>
      <c r="I206" s="9"/>
      <c r="J206" s="9"/>
      <c r="K206" s="9"/>
      <c r="L206" s="9"/>
      <c r="M206" s="94"/>
      <c r="N206" s="9"/>
      <c r="O206" s="9"/>
      <c r="P206" s="9"/>
      <c r="Q206" s="9"/>
      <c r="R206" s="9"/>
      <c r="S206" s="9"/>
      <c r="T206" s="9"/>
      <c r="U206" s="9"/>
      <c r="V206" s="9"/>
      <c r="W206" s="9"/>
      <c r="X206" s="9"/>
      <c r="Y206" s="94"/>
      <c r="Z206" s="9"/>
      <c r="AA206" s="9"/>
    </row>
    <row r="207" ht="15.75" customHeight="1">
      <c r="A207" s="9"/>
      <c r="B207" s="9"/>
      <c r="C207" s="9"/>
      <c r="D207" s="9"/>
      <c r="E207" s="9"/>
      <c r="F207" s="9"/>
      <c r="G207" s="9"/>
      <c r="H207" s="9"/>
      <c r="I207" s="9"/>
      <c r="J207" s="9"/>
      <c r="K207" s="9"/>
      <c r="L207" s="9"/>
      <c r="M207" s="94"/>
      <c r="N207" s="9"/>
      <c r="O207" s="9"/>
      <c r="P207" s="9"/>
      <c r="Q207" s="9"/>
      <c r="R207" s="9"/>
      <c r="S207" s="9"/>
      <c r="T207" s="9"/>
      <c r="U207" s="9"/>
      <c r="V207" s="9"/>
      <c r="W207" s="9"/>
      <c r="X207" s="9"/>
      <c r="Y207" s="94"/>
      <c r="Z207" s="9"/>
      <c r="AA207" s="9"/>
    </row>
    <row r="208" ht="15.75" customHeight="1">
      <c r="A208" s="9"/>
      <c r="B208" s="9"/>
      <c r="C208" s="9"/>
      <c r="D208" s="9"/>
      <c r="E208" s="9"/>
      <c r="F208" s="9"/>
      <c r="G208" s="9"/>
      <c r="H208" s="9"/>
      <c r="I208" s="9"/>
      <c r="J208" s="9"/>
      <c r="K208" s="9"/>
      <c r="L208" s="9"/>
      <c r="M208" s="94"/>
      <c r="N208" s="9"/>
      <c r="O208" s="9"/>
      <c r="P208" s="9"/>
      <c r="Q208" s="9"/>
      <c r="R208" s="9"/>
      <c r="S208" s="9"/>
      <c r="T208" s="9"/>
      <c r="U208" s="9"/>
      <c r="V208" s="9"/>
      <c r="W208" s="9"/>
      <c r="X208" s="9"/>
      <c r="Y208" s="94"/>
      <c r="Z208" s="9"/>
      <c r="AA208" s="9"/>
    </row>
    <row r="209" ht="15.75" customHeight="1">
      <c r="A209" s="9"/>
      <c r="B209" s="9"/>
      <c r="C209" s="9"/>
      <c r="D209" s="9"/>
      <c r="E209" s="9"/>
      <c r="F209" s="9"/>
      <c r="G209" s="9"/>
      <c r="H209" s="9"/>
      <c r="I209" s="9"/>
      <c r="J209" s="9"/>
      <c r="K209" s="9"/>
      <c r="L209" s="9"/>
      <c r="M209" s="94"/>
      <c r="N209" s="9"/>
      <c r="O209" s="9"/>
      <c r="P209" s="9"/>
      <c r="Q209" s="9"/>
      <c r="R209" s="9"/>
      <c r="S209" s="9"/>
      <c r="T209" s="9"/>
      <c r="U209" s="9"/>
      <c r="V209" s="9"/>
      <c r="W209" s="9"/>
      <c r="X209" s="9"/>
      <c r="Y209" s="94"/>
      <c r="Z209" s="9"/>
      <c r="AA209" s="9"/>
    </row>
    <row r="210" ht="15.75" customHeight="1">
      <c r="A210" s="9"/>
      <c r="B210" s="9"/>
      <c r="C210" s="9"/>
      <c r="D210" s="9"/>
      <c r="E210" s="9"/>
      <c r="F210" s="9"/>
      <c r="G210" s="9"/>
      <c r="H210" s="9"/>
      <c r="I210" s="9"/>
      <c r="J210" s="9"/>
      <c r="K210" s="9"/>
      <c r="L210" s="9"/>
      <c r="M210" s="94"/>
      <c r="N210" s="9"/>
      <c r="O210" s="9"/>
      <c r="P210" s="9"/>
      <c r="Q210" s="9"/>
      <c r="R210" s="9"/>
      <c r="S210" s="9"/>
      <c r="T210" s="9"/>
      <c r="U210" s="9"/>
      <c r="V210" s="9"/>
      <c r="W210" s="9"/>
      <c r="X210" s="9"/>
      <c r="Y210" s="94"/>
      <c r="Z210" s="9"/>
      <c r="AA210" s="9"/>
    </row>
    <row r="211" ht="15.75" customHeight="1">
      <c r="A211" s="9"/>
      <c r="B211" s="9"/>
      <c r="C211" s="9"/>
      <c r="D211" s="9"/>
      <c r="E211" s="9"/>
      <c r="F211" s="9"/>
      <c r="G211" s="9"/>
      <c r="H211" s="9"/>
      <c r="I211" s="9"/>
      <c r="J211" s="9"/>
      <c r="K211" s="9"/>
      <c r="L211" s="9"/>
      <c r="M211" s="94"/>
      <c r="N211" s="9"/>
      <c r="O211" s="9"/>
      <c r="P211" s="9"/>
      <c r="Q211" s="9"/>
      <c r="R211" s="9"/>
      <c r="S211" s="9"/>
      <c r="T211" s="9"/>
      <c r="U211" s="9"/>
      <c r="V211" s="9"/>
      <c r="W211" s="9"/>
      <c r="X211" s="9"/>
      <c r="Y211" s="94"/>
      <c r="Z211" s="9"/>
      <c r="AA211" s="9"/>
    </row>
    <row r="212" ht="15.75" customHeight="1">
      <c r="A212" s="9"/>
      <c r="B212" s="9"/>
      <c r="C212" s="9"/>
      <c r="D212" s="9"/>
      <c r="E212" s="9"/>
      <c r="F212" s="9"/>
      <c r="G212" s="9"/>
      <c r="H212" s="9"/>
      <c r="I212" s="9"/>
      <c r="J212" s="9"/>
      <c r="K212" s="9"/>
      <c r="L212" s="9"/>
      <c r="M212" s="94"/>
      <c r="N212" s="9"/>
      <c r="O212" s="9"/>
      <c r="P212" s="9"/>
      <c r="Q212" s="9"/>
      <c r="R212" s="9"/>
      <c r="S212" s="9"/>
      <c r="T212" s="9"/>
      <c r="U212" s="9"/>
      <c r="V212" s="9"/>
      <c r="W212" s="9"/>
      <c r="X212" s="9"/>
      <c r="Y212" s="94"/>
      <c r="Z212" s="9"/>
      <c r="AA212" s="9"/>
    </row>
    <row r="213" ht="15.75" customHeight="1">
      <c r="A213" s="9"/>
      <c r="B213" s="9"/>
      <c r="C213" s="9"/>
      <c r="D213" s="9"/>
      <c r="E213" s="9"/>
      <c r="F213" s="9"/>
      <c r="G213" s="9"/>
      <c r="H213" s="9"/>
      <c r="I213" s="9"/>
      <c r="J213" s="9"/>
      <c r="K213" s="9"/>
      <c r="L213" s="9"/>
      <c r="M213" s="94"/>
      <c r="N213" s="9"/>
      <c r="O213" s="9"/>
      <c r="P213" s="9"/>
      <c r="Q213" s="9"/>
      <c r="R213" s="9"/>
      <c r="S213" s="9"/>
      <c r="T213" s="9"/>
      <c r="U213" s="9"/>
      <c r="V213" s="9"/>
      <c r="W213" s="9"/>
      <c r="X213" s="9"/>
      <c r="Y213" s="94"/>
      <c r="Z213" s="9"/>
      <c r="AA213" s="9"/>
    </row>
    <row r="214" ht="15.75" customHeight="1">
      <c r="A214" s="9"/>
      <c r="B214" s="9"/>
      <c r="C214" s="9"/>
      <c r="D214" s="9"/>
      <c r="E214" s="9"/>
      <c r="F214" s="9"/>
      <c r="G214" s="9"/>
      <c r="H214" s="9"/>
      <c r="I214" s="9"/>
      <c r="J214" s="9"/>
      <c r="K214" s="9"/>
      <c r="L214" s="9"/>
      <c r="M214" s="94"/>
      <c r="N214" s="9"/>
      <c r="O214" s="9"/>
      <c r="P214" s="9"/>
      <c r="Q214" s="9"/>
      <c r="R214" s="9"/>
      <c r="S214" s="9"/>
      <c r="T214" s="9"/>
      <c r="U214" s="9"/>
      <c r="V214" s="9"/>
      <c r="W214" s="9"/>
      <c r="X214" s="9"/>
      <c r="Y214" s="94"/>
      <c r="Z214" s="9"/>
      <c r="AA214" s="9"/>
    </row>
    <row r="215" ht="15.75" customHeight="1">
      <c r="A215" s="9"/>
      <c r="B215" s="9"/>
      <c r="C215" s="9"/>
      <c r="D215" s="9"/>
      <c r="E215" s="9"/>
      <c r="F215" s="9"/>
      <c r="G215" s="9"/>
      <c r="H215" s="9"/>
      <c r="I215" s="9"/>
      <c r="J215" s="9"/>
      <c r="K215" s="9"/>
      <c r="L215" s="9"/>
      <c r="M215" s="94"/>
      <c r="N215" s="9"/>
      <c r="O215" s="9"/>
      <c r="P215" s="9"/>
      <c r="Q215" s="9"/>
      <c r="R215" s="9"/>
      <c r="S215" s="9"/>
      <c r="T215" s="9"/>
      <c r="U215" s="9"/>
      <c r="V215" s="9"/>
      <c r="W215" s="9"/>
      <c r="X215" s="9"/>
      <c r="Y215" s="94"/>
      <c r="Z215" s="9"/>
      <c r="AA215" s="9"/>
    </row>
    <row r="216" ht="15.75" customHeight="1">
      <c r="A216" s="9"/>
      <c r="B216" s="9"/>
      <c r="C216" s="9"/>
      <c r="D216" s="9"/>
      <c r="E216" s="9"/>
      <c r="F216" s="9"/>
      <c r="G216" s="9"/>
      <c r="H216" s="9"/>
      <c r="I216" s="9"/>
      <c r="J216" s="9"/>
      <c r="K216" s="9"/>
      <c r="L216" s="9"/>
      <c r="M216" s="94"/>
      <c r="N216" s="9"/>
      <c r="O216" s="9"/>
      <c r="P216" s="9"/>
      <c r="Q216" s="9"/>
      <c r="R216" s="9"/>
      <c r="S216" s="9"/>
      <c r="T216" s="9"/>
      <c r="U216" s="9"/>
      <c r="V216" s="9"/>
      <c r="W216" s="9"/>
      <c r="X216" s="9"/>
      <c r="Y216" s="94"/>
      <c r="Z216" s="9"/>
      <c r="AA216" s="9"/>
    </row>
    <row r="217" ht="15.75" customHeight="1">
      <c r="A217" s="9"/>
      <c r="B217" s="9"/>
      <c r="C217" s="9"/>
      <c r="D217" s="9"/>
      <c r="E217" s="9"/>
      <c r="F217" s="9"/>
      <c r="G217" s="9"/>
      <c r="H217" s="9"/>
      <c r="I217" s="9"/>
      <c r="J217" s="9"/>
      <c r="K217" s="9"/>
      <c r="L217" s="9"/>
      <c r="M217" s="94"/>
      <c r="N217" s="9"/>
      <c r="O217" s="9"/>
      <c r="P217" s="9"/>
      <c r="Q217" s="9"/>
      <c r="R217" s="9"/>
      <c r="S217" s="9"/>
      <c r="T217" s="9"/>
      <c r="U217" s="9"/>
      <c r="V217" s="9"/>
      <c r="W217" s="9"/>
      <c r="X217" s="9"/>
      <c r="Y217" s="94"/>
      <c r="Z217" s="9"/>
      <c r="AA217" s="9"/>
    </row>
    <row r="218" ht="15.75" customHeight="1">
      <c r="A218" s="9"/>
      <c r="B218" s="9"/>
      <c r="C218" s="9"/>
      <c r="D218" s="9"/>
      <c r="E218" s="9"/>
      <c r="F218" s="9"/>
      <c r="G218" s="9"/>
      <c r="H218" s="9"/>
      <c r="I218" s="9"/>
      <c r="J218" s="9"/>
      <c r="K218" s="9"/>
      <c r="L218" s="9"/>
      <c r="M218" s="94"/>
      <c r="N218" s="9"/>
      <c r="O218" s="9"/>
      <c r="P218" s="9"/>
      <c r="Q218" s="9"/>
      <c r="R218" s="9"/>
      <c r="S218" s="9"/>
      <c r="T218" s="9"/>
      <c r="U218" s="9"/>
      <c r="V218" s="9"/>
      <c r="W218" s="9"/>
      <c r="X218" s="9"/>
      <c r="Y218" s="94"/>
      <c r="Z218" s="9"/>
      <c r="AA218" s="9"/>
    </row>
    <row r="219" ht="15.75" customHeight="1">
      <c r="A219" s="9"/>
      <c r="B219" s="9"/>
      <c r="C219" s="9"/>
      <c r="D219" s="9"/>
      <c r="E219" s="9"/>
      <c r="F219" s="9"/>
      <c r="G219" s="9"/>
      <c r="H219" s="9"/>
      <c r="I219" s="9"/>
      <c r="J219" s="9"/>
      <c r="K219" s="9"/>
      <c r="L219" s="9"/>
      <c r="M219" s="94"/>
      <c r="N219" s="9"/>
      <c r="O219" s="9"/>
      <c r="P219" s="9"/>
      <c r="Q219" s="9"/>
      <c r="R219" s="9"/>
      <c r="S219" s="9"/>
      <c r="T219" s="9"/>
      <c r="U219" s="9"/>
      <c r="V219" s="9"/>
      <c r="W219" s="9"/>
      <c r="X219" s="9"/>
      <c r="Y219" s="94"/>
      <c r="Z219" s="9"/>
      <c r="AA219" s="9"/>
    </row>
    <row r="220" ht="15.75" customHeight="1">
      <c r="A220" s="9"/>
      <c r="B220" s="9"/>
      <c r="C220" s="9"/>
      <c r="D220" s="9"/>
      <c r="E220" s="9"/>
      <c r="F220" s="9"/>
      <c r="G220" s="9"/>
      <c r="H220" s="9"/>
      <c r="I220" s="9"/>
      <c r="J220" s="9"/>
      <c r="K220" s="9"/>
      <c r="L220" s="9"/>
      <c r="M220" s="94"/>
      <c r="N220" s="9"/>
      <c r="O220" s="9"/>
      <c r="P220" s="9"/>
      <c r="Q220" s="9"/>
      <c r="R220" s="9"/>
      <c r="S220" s="9"/>
      <c r="T220" s="9"/>
      <c r="U220" s="9"/>
      <c r="V220" s="9"/>
      <c r="W220" s="9"/>
      <c r="X220" s="9"/>
      <c r="Y220" s="94"/>
      <c r="Z220" s="9"/>
      <c r="AA220" s="9"/>
    </row>
    <row r="221" ht="15.75" customHeight="1">
      <c r="A221" s="9"/>
      <c r="B221" s="9"/>
      <c r="C221" s="9"/>
      <c r="D221" s="9"/>
      <c r="E221" s="9"/>
      <c r="F221" s="9"/>
      <c r="G221" s="9"/>
      <c r="H221" s="9"/>
      <c r="I221" s="9"/>
      <c r="J221" s="9"/>
      <c r="K221" s="9"/>
      <c r="L221" s="9"/>
      <c r="M221" s="94"/>
      <c r="N221" s="9"/>
      <c r="O221" s="9"/>
      <c r="P221" s="9"/>
      <c r="Q221" s="9"/>
      <c r="R221" s="9"/>
      <c r="S221" s="9"/>
      <c r="T221" s="9"/>
      <c r="U221" s="9"/>
      <c r="V221" s="9"/>
      <c r="W221" s="9"/>
      <c r="X221" s="9"/>
      <c r="Y221" s="94"/>
      <c r="Z221" s="9"/>
      <c r="AA221" s="9"/>
    </row>
    <row r="222" ht="15.75" customHeight="1">
      <c r="A222" s="9"/>
      <c r="B222" s="9"/>
      <c r="C222" s="9"/>
      <c r="D222" s="9"/>
      <c r="E222" s="9"/>
      <c r="F222" s="9"/>
      <c r="G222" s="9"/>
      <c r="H222" s="9"/>
      <c r="I222" s="9"/>
      <c r="J222" s="9"/>
      <c r="K222" s="9"/>
      <c r="L222" s="9"/>
      <c r="M222" s="94"/>
      <c r="N222" s="9"/>
      <c r="O222" s="9"/>
      <c r="P222" s="9"/>
      <c r="Q222" s="9"/>
      <c r="R222" s="9"/>
      <c r="S222" s="9"/>
      <c r="T222" s="9"/>
      <c r="U222" s="9"/>
      <c r="V222" s="9"/>
      <c r="W222" s="9"/>
      <c r="X222" s="9"/>
      <c r="Y222" s="94"/>
      <c r="Z222" s="9"/>
      <c r="AA222" s="9"/>
    </row>
    <row r="223" ht="15.75" customHeight="1">
      <c r="A223" s="9"/>
      <c r="B223" s="9"/>
      <c r="C223" s="9"/>
      <c r="D223" s="9"/>
      <c r="E223" s="9"/>
      <c r="F223" s="9"/>
      <c r="G223" s="9"/>
      <c r="H223" s="9"/>
      <c r="I223" s="9"/>
      <c r="J223" s="9"/>
      <c r="K223" s="9"/>
      <c r="L223" s="9"/>
      <c r="M223" s="94"/>
      <c r="N223" s="9"/>
      <c r="O223" s="9"/>
      <c r="P223" s="9"/>
      <c r="Q223" s="9"/>
      <c r="R223" s="9"/>
      <c r="S223" s="9"/>
      <c r="T223" s="9"/>
      <c r="U223" s="9"/>
      <c r="V223" s="9"/>
      <c r="W223" s="9"/>
      <c r="X223" s="9"/>
      <c r="Y223" s="94"/>
      <c r="Z223" s="9"/>
      <c r="AA223" s="9"/>
    </row>
    <row r="224" ht="15.75" customHeight="1">
      <c r="A224" s="9"/>
      <c r="B224" s="9"/>
      <c r="C224" s="9"/>
      <c r="D224" s="9"/>
      <c r="E224" s="9"/>
      <c r="F224" s="9"/>
      <c r="G224" s="9"/>
      <c r="H224" s="9"/>
      <c r="I224" s="9"/>
      <c r="J224" s="9"/>
      <c r="K224" s="9"/>
      <c r="L224" s="9"/>
      <c r="M224" s="94"/>
      <c r="N224" s="9"/>
      <c r="O224" s="9"/>
      <c r="P224" s="9"/>
      <c r="Q224" s="9"/>
      <c r="R224" s="9"/>
      <c r="S224" s="9"/>
      <c r="T224" s="9"/>
      <c r="U224" s="9"/>
      <c r="V224" s="9"/>
      <c r="W224" s="9"/>
      <c r="X224" s="9"/>
      <c r="Y224" s="94"/>
      <c r="Z224" s="9"/>
      <c r="AA224" s="9"/>
    </row>
    <row r="225" ht="15.75" customHeight="1">
      <c r="A225" s="9"/>
      <c r="B225" s="9"/>
      <c r="C225" s="9"/>
      <c r="D225" s="9"/>
      <c r="E225" s="9"/>
      <c r="F225" s="9"/>
      <c r="G225" s="9"/>
      <c r="H225" s="9"/>
      <c r="I225" s="9"/>
      <c r="J225" s="9"/>
      <c r="K225" s="9"/>
      <c r="L225" s="9"/>
      <c r="M225" s="94"/>
      <c r="N225" s="9"/>
      <c r="O225" s="9"/>
      <c r="P225" s="9"/>
      <c r="Q225" s="9"/>
      <c r="R225" s="9"/>
      <c r="S225" s="9"/>
      <c r="T225" s="9"/>
      <c r="U225" s="9"/>
      <c r="V225" s="9"/>
      <c r="W225" s="9"/>
      <c r="X225" s="9"/>
      <c r="Y225" s="94"/>
      <c r="Z225" s="9"/>
      <c r="AA225" s="9"/>
    </row>
    <row r="226" ht="15.75" customHeight="1">
      <c r="A226" s="9"/>
      <c r="B226" s="9"/>
      <c r="C226" s="9"/>
      <c r="D226" s="9"/>
      <c r="E226" s="9"/>
      <c r="F226" s="9"/>
      <c r="G226" s="9"/>
      <c r="H226" s="9"/>
      <c r="I226" s="9"/>
      <c r="J226" s="9"/>
      <c r="K226" s="9"/>
      <c r="L226" s="9"/>
      <c r="M226" s="94"/>
      <c r="N226" s="9"/>
      <c r="O226" s="9"/>
      <c r="P226" s="9"/>
      <c r="Q226" s="9"/>
      <c r="R226" s="9"/>
      <c r="S226" s="9"/>
      <c r="T226" s="9"/>
      <c r="U226" s="9"/>
      <c r="V226" s="9"/>
      <c r="W226" s="9"/>
      <c r="X226" s="9"/>
      <c r="Y226" s="94"/>
      <c r="Z226" s="9"/>
      <c r="AA226" s="9"/>
    </row>
    <row r="227" ht="15.75" customHeight="1">
      <c r="A227" s="9"/>
      <c r="B227" s="9"/>
      <c r="C227" s="9"/>
      <c r="D227" s="9"/>
      <c r="E227" s="9"/>
      <c r="F227" s="9"/>
      <c r="G227" s="9"/>
      <c r="H227" s="9"/>
      <c r="I227" s="9"/>
      <c r="J227" s="9"/>
      <c r="K227" s="9"/>
      <c r="L227" s="9"/>
      <c r="M227" s="94"/>
      <c r="N227" s="9"/>
      <c r="O227" s="9"/>
      <c r="P227" s="9"/>
      <c r="Q227" s="9"/>
      <c r="R227" s="9"/>
      <c r="S227" s="9"/>
      <c r="T227" s="9"/>
      <c r="U227" s="9"/>
      <c r="V227" s="9"/>
      <c r="W227" s="9"/>
      <c r="X227" s="9"/>
      <c r="Y227" s="94"/>
      <c r="Z227" s="9"/>
      <c r="AA227" s="9"/>
    </row>
    <row r="228" ht="15.75" customHeight="1">
      <c r="A228" s="9"/>
      <c r="B228" s="9"/>
      <c r="C228" s="9"/>
      <c r="D228" s="9"/>
      <c r="E228" s="9"/>
      <c r="F228" s="9"/>
      <c r="G228" s="9"/>
      <c r="H228" s="9"/>
      <c r="I228" s="9"/>
      <c r="J228" s="9"/>
      <c r="K228" s="9"/>
      <c r="L228" s="9"/>
      <c r="M228" s="94"/>
      <c r="N228" s="9"/>
      <c r="O228" s="9"/>
      <c r="P228" s="9"/>
      <c r="Q228" s="9"/>
      <c r="R228" s="9"/>
      <c r="S228" s="9"/>
      <c r="T228" s="9"/>
      <c r="U228" s="9"/>
      <c r="V228" s="9"/>
      <c r="W228" s="9"/>
      <c r="X228" s="9"/>
      <c r="Y228" s="94"/>
      <c r="Z228" s="9"/>
      <c r="AA228" s="9"/>
    </row>
    <row r="229" ht="15.75" customHeight="1">
      <c r="A229" s="9"/>
      <c r="B229" s="9"/>
      <c r="C229" s="9"/>
      <c r="D229" s="9"/>
      <c r="E229" s="9"/>
      <c r="F229" s="9"/>
      <c r="G229" s="9"/>
      <c r="H229" s="9"/>
      <c r="I229" s="9"/>
      <c r="J229" s="9"/>
      <c r="K229" s="9"/>
      <c r="L229" s="9"/>
      <c r="M229" s="94"/>
      <c r="N229" s="9"/>
      <c r="O229" s="9"/>
      <c r="P229" s="9"/>
      <c r="Q229" s="9"/>
      <c r="R229" s="9"/>
      <c r="S229" s="9"/>
      <c r="T229" s="9"/>
      <c r="U229" s="9"/>
      <c r="V229" s="9"/>
      <c r="W229" s="9"/>
      <c r="X229" s="9"/>
      <c r="Y229" s="94"/>
      <c r="Z229" s="9"/>
      <c r="AA229" s="9"/>
    </row>
    <row r="230" ht="15.75" customHeight="1">
      <c r="A230" s="9"/>
      <c r="B230" s="9"/>
      <c r="C230" s="9"/>
      <c r="D230" s="9"/>
      <c r="E230" s="9"/>
      <c r="F230" s="9"/>
      <c r="G230" s="9"/>
      <c r="H230" s="9"/>
      <c r="I230" s="9"/>
      <c r="J230" s="9"/>
      <c r="K230" s="9"/>
      <c r="L230" s="9"/>
      <c r="M230" s="94"/>
      <c r="N230" s="9"/>
      <c r="O230" s="9"/>
      <c r="P230" s="9"/>
      <c r="Q230" s="9"/>
      <c r="R230" s="9"/>
      <c r="S230" s="9"/>
      <c r="T230" s="9"/>
      <c r="U230" s="9"/>
      <c r="V230" s="9"/>
      <c r="W230" s="9"/>
      <c r="X230" s="9"/>
      <c r="Y230" s="94"/>
      <c r="Z230" s="9"/>
      <c r="AA230" s="9"/>
    </row>
    <row r="231" ht="15.75" customHeight="1">
      <c r="A231" s="9"/>
      <c r="B231" s="9"/>
      <c r="C231" s="9"/>
      <c r="D231" s="9"/>
      <c r="E231" s="9"/>
      <c r="F231" s="9"/>
      <c r="G231" s="9"/>
      <c r="H231" s="9"/>
      <c r="I231" s="9"/>
      <c r="J231" s="9"/>
      <c r="K231" s="9"/>
      <c r="L231" s="9"/>
      <c r="M231" s="94"/>
      <c r="N231" s="9"/>
      <c r="O231" s="9"/>
      <c r="P231" s="9"/>
      <c r="Q231" s="9"/>
      <c r="R231" s="9"/>
      <c r="S231" s="9"/>
      <c r="T231" s="9"/>
      <c r="U231" s="9"/>
      <c r="V231" s="9"/>
      <c r="W231" s="9"/>
      <c r="X231" s="9"/>
      <c r="Y231" s="94"/>
      <c r="Z231" s="9"/>
      <c r="AA231" s="9"/>
    </row>
    <row r="232" ht="15.75" customHeight="1">
      <c r="A232" s="9"/>
      <c r="B232" s="9"/>
      <c r="C232" s="9"/>
      <c r="D232" s="9"/>
      <c r="E232" s="9"/>
      <c r="F232" s="9"/>
      <c r="G232" s="9"/>
      <c r="H232" s="9"/>
      <c r="I232" s="9"/>
      <c r="J232" s="9"/>
      <c r="K232" s="9"/>
      <c r="L232" s="9"/>
      <c r="M232" s="94"/>
      <c r="N232" s="9"/>
      <c r="O232" s="9"/>
      <c r="P232" s="9"/>
      <c r="Q232" s="9"/>
      <c r="R232" s="9"/>
      <c r="S232" s="9"/>
      <c r="T232" s="9"/>
      <c r="U232" s="9"/>
      <c r="V232" s="9"/>
      <c r="W232" s="9"/>
      <c r="X232" s="9"/>
      <c r="Y232" s="94"/>
      <c r="Z232" s="9"/>
      <c r="AA232" s="9"/>
    </row>
    <row r="233" ht="15.75" customHeight="1">
      <c r="A233" s="9"/>
      <c r="B233" s="9"/>
      <c r="C233" s="9"/>
      <c r="D233" s="9"/>
      <c r="E233" s="9"/>
      <c r="F233" s="9"/>
      <c r="G233" s="9"/>
      <c r="H233" s="9"/>
      <c r="I233" s="9"/>
      <c r="J233" s="9"/>
      <c r="K233" s="9"/>
      <c r="L233" s="9"/>
      <c r="M233" s="94"/>
      <c r="N233" s="9"/>
      <c r="O233" s="9"/>
      <c r="P233" s="9"/>
      <c r="Q233" s="9"/>
      <c r="R233" s="9"/>
      <c r="S233" s="9"/>
      <c r="T233" s="9"/>
      <c r="U233" s="9"/>
      <c r="V233" s="9"/>
      <c r="W233" s="9"/>
      <c r="X233" s="9"/>
      <c r="Y233" s="94"/>
      <c r="Z233" s="9"/>
      <c r="AA233" s="9"/>
    </row>
    <row r="234" ht="15.75" customHeight="1">
      <c r="A234" s="9"/>
      <c r="B234" s="9"/>
      <c r="C234" s="9"/>
      <c r="D234" s="9"/>
      <c r="E234" s="9"/>
      <c r="F234" s="9"/>
      <c r="G234" s="9"/>
      <c r="H234" s="9"/>
      <c r="I234" s="9"/>
      <c r="J234" s="9"/>
      <c r="K234" s="9"/>
      <c r="L234" s="9"/>
      <c r="M234" s="94"/>
      <c r="N234" s="9"/>
      <c r="O234" s="9"/>
      <c r="P234" s="9"/>
      <c r="Q234" s="9"/>
      <c r="R234" s="9"/>
      <c r="S234" s="9"/>
      <c r="T234" s="9"/>
      <c r="U234" s="9"/>
      <c r="V234" s="9"/>
      <c r="W234" s="9"/>
      <c r="X234" s="9"/>
      <c r="Y234" s="94"/>
      <c r="Z234" s="9"/>
      <c r="AA234" s="9"/>
    </row>
    <row r="235" ht="15.75" customHeight="1">
      <c r="A235" s="9"/>
      <c r="B235" s="9"/>
      <c r="C235" s="9"/>
      <c r="D235" s="9"/>
      <c r="E235" s="9"/>
      <c r="F235" s="9"/>
      <c r="G235" s="9"/>
      <c r="H235" s="9"/>
      <c r="I235" s="9"/>
      <c r="J235" s="9"/>
      <c r="K235" s="9"/>
      <c r="L235" s="9"/>
      <c r="M235" s="94"/>
      <c r="N235" s="9"/>
      <c r="O235" s="9"/>
      <c r="P235" s="9"/>
      <c r="Q235" s="9"/>
      <c r="R235" s="9"/>
      <c r="S235" s="9"/>
      <c r="T235" s="9"/>
      <c r="U235" s="9"/>
      <c r="V235" s="9"/>
      <c r="W235" s="9"/>
      <c r="X235" s="9"/>
      <c r="Y235" s="94"/>
      <c r="Z235" s="9"/>
      <c r="AA235" s="9"/>
    </row>
    <row r="236" ht="15.75" customHeight="1">
      <c r="A236" s="9"/>
      <c r="B236" s="9"/>
      <c r="C236" s="9"/>
      <c r="D236" s="9"/>
      <c r="E236" s="9"/>
      <c r="F236" s="9"/>
      <c r="G236" s="9"/>
      <c r="H236" s="9"/>
      <c r="I236" s="9"/>
      <c r="J236" s="9"/>
      <c r="K236" s="9"/>
      <c r="L236" s="9"/>
      <c r="M236" s="94"/>
      <c r="N236" s="9"/>
      <c r="O236" s="9"/>
      <c r="P236" s="9"/>
      <c r="Q236" s="9"/>
      <c r="R236" s="9"/>
      <c r="S236" s="9"/>
      <c r="T236" s="9"/>
      <c r="U236" s="9"/>
      <c r="V236" s="9"/>
      <c r="W236" s="9"/>
      <c r="X236" s="9"/>
      <c r="Y236" s="94"/>
      <c r="Z236" s="9"/>
      <c r="AA236" s="9"/>
    </row>
    <row r="237" ht="15.75" customHeight="1">
      <c r="A237" s="9"/>
      <c r="B237" s="9"/>
      <c r="C237" s="9"/>
      <c r="D237" s="9"/>
      <c r="E237" s="9"/>
      <c r="F237" s="9"/>
      <c r="G237" s="9"/>
      <c r="H237" s="9"/>
      <c r="I237" s="9"/>
      <c r="J237" s="9"/>
      <c r="K237" s="9"/>
      <c r="L237" s="9"/>
      <c r="M237" s="94"/>
      <c r="N237" s="9"/>
      <c r="O237" s="9"/>
      <c r="P237" s="9"/>
      <c r="Q237" s="9"/>
      <c r="R237" s="9"/>
      <c r="S237" s="9"/>
      <c r="T237" s="9"/>
      <c r="U237" s="9"/>
      <c r="V237" s="9"/>
      <c r="W237" s="9"/>
      <c r="X237" s="9"/>
      <c r="Y237" s="94"/>
      <c r="Z237" s="9"/>
      <c r="AA237" s="9"/>
    </row>
    <row r="238" ht="15.75" customHeight="1">
      <c r="A238" s="9"/>
      <c r="B238" s="9"/>
      <c r="C238" s="9"/>
      <c r="D238" s="9"/>
      <c r="E238" s="9"/>
      <c r="F238" s="9"/>
      <c r="G238" s="9"/>
      <c r="H238" s="9"/>
      <c r="I238" s="9"/>
      <c r="J238" s="9"/>
      <c r="K238" s="9"/>
      <c r="L238" s="9"/>
      <c r="M238" s="94"/>
      <c r="N238" s="9"/>
      <c r="O238" s="9"/>
      <c r="P238" s="9"/>
      <c r="Q238" s="9"/>
      <c r="R238" s="9"/>
      <c r="S238" s="9"/>
      <c r="T238" s="9"/>
      <c r="U238" s="9"/>
      <c r="V238" s="9"/>
      <c r="W238" s="9"/>
      <c r="X238" s="9"/>
      <c r="Y238" s="94"/>
      <c r="Z238" s="9"/>
      <c r="AA238" s="9"/>
    </row>
    <row r="239" ht="15.75" customHeight="1">
      <c r="A239" s="9"/>
      <c r="B239" s="9"/>
      <c r="C239" s="9"/>
      <c r="D239" s="9"/>
      <c r="E239" s="9"/>
      <c r="F239" s="9"/>
      <c r="G239" s="9"/>
      <c r="H239" s="9"/>
      <c r="I239" s="9"/>
      <c r="J239" s="9"/>
      <c r="K239" s="9"/>
      <c r="L239" s="9"/>
      <c r="M239" s="94"/>
      <c r="N239" s="9"/>
      <c r="O239" s="9"/>
      <c r="P239" s="9"/>
      <c r="Q239" s="9"/>
      <c r="R239" s="9"/>
      <c r="S239" s="9"/>
      <c r="T239" s="9"/>
      <c r="U239" s="9"/>
      <c r="V239" s="9"/>
      <c r="W239" s="9"/>
      <c r="X239" s="9"/>
      <c r="Y239" s="94"/>
      <c r="Z239" s="9"/>
      <c r="AA239" s="9"/>
    </row>
    <row r="240" ht="15.75" customHeight="1">
      <c r="A240" s="9"/>
      <c r="B240" s="9"/>
      <c r="C240" s="9"/>
      <c r="D240" s="9"/>
      <c r="E240" s="9"/>
      <c r="F240" s="9"/>
      <c r="G240" s="9"/>
      <c r="H240" s="9"/>
      <c r="I240" s="9"/>
      <c r="J240" s="9"/>
      <c r="K240" s="9"/>
      <c r="L240" s="9"/>
      <c r="M240" s="94"/>
      <c r="N240" s="9"/>
      <c r="O240" s="9"/>
      <c r="P240" s="9"/>
      <c r="Q240" s="9"/>
      <c r="R240" s="9"/>
      <c r="S240" s="9"/>
      <c r="T240" s="9"/>
      <c r="U240" s="9"/>
      <c r="V240" s="9"/>
      <c r="W240" s="9"/>
      <c r="X240" s="9"/>
      <c r="Y240" s="94"/>
      <c r="Z240" s="9"/>
      <c r="AA240" s="9"/>
    </row>
    <row r="241" ht="15.75" customHeight="1">
      <c r="A241" s="9"/>
      <c r="B241" s="9"/>
      <c r="C241" s="9"/>
      <c r="D241" s="9"/>
      <c r="E241" s="9"/>
      <c r="F241" s="9"/>
      <c r="G241" s="9"/>
      <c r="H241" s="9"/>
      <c r="I241" s="9"/>
      <c r="J241" s="9"/>
      <c r="K241" s="9"/>
      <c r="L241" s="9"/>
      <c r="M241" s="94"/>
      <c r="N241" s="9"/>
      <c r="O241" s="9"/>
      <c r="P241" s="9"/>
      <c r="Q241" s="9"/>
      <c r="R241" s="9"/>
      <c r="S241" s="9"/>
      <c r="T241" s="9"/>
      <c r="U241" s="9"/>
      <c r="V241" s="9"/>
      <c r="W241" s="9"/>
      <c r="X241" s="9"/>
      <c r="Y241" s="94"/>
      <c r="Z241" s="9"/>
      <c r="AA241" s="9"/>
    </row>
    <row r="242" ht="15.75" customHeight="1">
      <c r="A242" s="9"/>
      <c r="B242" s="9"/>
      <c r="C242" s="9"/>
      <c r="D242" s="9"/>
      <c r="E242" s="9"/>
      <c r="F242" s="9"/>
      <c r="G242" s="9"/>
      <c r="H242" s="9"/>
      <c r="I242" s="9"/>
      <c r="J242" s="9"/>
      <c r="K242" s="9"/>
      <c r="L242" s="9"/>
      <c r="M242" s="94"/>
      <c r="N242" s="9"/>
      <c r="O242" s="9"/>
      <c r="P242" s="9"/>
      <c r="Q242" s="9"/>
      <c r="R242" s="9"/>
      <c r="S242" s="9"/>
      <c r="T242" s="9"/>
      <c r="U242" s="9"/>
      <c r="V242" s="9"/>
      <c r="W242" s="9"/>
      <c r="X242" s="9"/>
      <c r="Y242" s="94"/>
      <c r="Z242" s="9"/>
      <c r="AA242" s="9"/>
    </row>
    <row r="243" ht="15.75" customHeight="1">
      <c r="A243" s="9"/>
      <c r="B243" s="9"/>
      <c r="C243" s="9"/>
      <c r="D243" s="9"/>
      <c r="E243" s="9"/>
      <c r="F243" s="9"/>
      <c r="G243" s="9"/>
      <c r="H243" s="9"/>
      <c r="I243" s="9"/>
      <c r="J243" s="9"/>
      <c r="K243" s="9"/>
      <c r="L243" s="9"/>
      <c r="M243" s="94"/>
      <c r="N243" s="9"/>
      <c r="O243" s="9"/>
      <c r="P243" s="9"/>
      <c r="Q243" s="9"/>
      <c r="R243" s="9"/>
      <c r="S243" s="9"/>
      <c r="T243" s="9"/>
      <c r="U243" s="9"/>
      <c r="V243" s="9"/>
      <c r="W243" s="9"/>
      <c r="X243" s="9"/>
      <c r="Y243" s="94"/>
      <c r="Z243" s="9"/>
      <c r="AA243" s="9"/>
    </row>
    <row r="244" ht="15.75" customHeight="1">
      <c r="A244" s="9"/>
      <c r="B244" s="9"/>
      <c r="C244" s="9"/>
      <c r="D244" s="9"/>
      <c r="E244" s="9"/>
      <c r="F244" s="9"/>
      <c r="G244" s="9"/>
      <c r="H244" s="9"/>
      <c r="I244" s="9"/>
      <c r="J244" s="9"/>
      <c r="K244" s="9"/>
      <c r="L244" s="9"/>
      <c r="M244" s="94"/>
      <c r="N244" s="9"/>
      <c r="O244" s="9"/>
      <c r="P244" s="9"/>
      <c r="Q244" s="9"/>
      <c r="R244" s="9"/>
      <c r="S244" s="9"/>
      <c r="T244" s="9"/>
      <c r="U244" s="9"/>
      <c r="V244" s="9"/>
      <c r="W244" s="9"/>
      <c r="X244" s="9"/>
      <c r="Y244" s="94"/>
      <c r="Z244" s="9"/>
      <c r="AA244" s="9"/>
    </row>
    <row r="245" ht="15.75" customHeight="1">
      <c r="A245" s="9"/>
      <c r="B245" s="9"/>
      <c r="C245" s="9"/>
      <c r="D245" s="9"/>
      <c r="E245" s="9"/>
      <c r="F245" s="9"/>
      <c r="G245" s="9"/>
      <c r="H245" s="9"/>
      <c r="I245" s="9"/>
      <c r="J245" s="9"/>
      <c r="K245" s="9"/>
      <c r="L245" s="9"/>
      <c r="M245" s="94"/>
      <c r="N245" s="9"/>
      <c r="O245" s="9"/>
      <c r="P245" s="9"/>
      <c r="Q245" s="9"/>
      <c r="R245" s="9"/>
      <c r="S245" s="9"/>
      <c r="T245" s="9"/>
      <c r="U245" s="9"/>
      <c r="V245" s="9"/>
      <c r="W245" s="9"/>
      <c r="X245" s="9"/>
      <c r="Y245" s="94"/>
      <c r="Z245" s="9"/>
      <c r="AA245" s="9"/>
    </row>
    <row r="246" ht="15.75" customHeight="1">
      <c r="A246" s="9"/>
      <c r="B246" s="9"/>
      <c r="C246" s="9"/>
      <c r="D246" s="9"/>
      <c r="E246" s="9"/>
      <c r="F246" s="9"/>
      <c r="G246" s="9"/>
      <c r="H246" s="9"/>
      <c r="I246" s="9"/>
      <c r="J246" s="9"/>
      <c r="K246" s="9"/>
      <c r="L246" s="9"/>
      <c r="M246" s="94"/>
      <c r="N246" s="9"/>
      <c r="O246" s="9"/>
      <c r="P246" s="9"/>
      <c r="Q246" s="9"/>
      <c r="R246" s="9"/>
      <c r="S246" s="9"/>
      <c r="T246" s="9"/>
      <c r="U246" s="9"/>
      <c r="V246" s="9"/>
      <c r="W246" s="9"/>
      <c r="X246" s="9"/>
      <c r="Y246" s="94"/>
      <c r="Z246" s="9"/>
      <c r="AA246" s="9"/>
    </row>
    <row r="247" ht="15.75" customHeight="1">
      <c r="A247" s="9"/>
      <c r="B247" s="9"/>
      <c r="C247" s="9"/>
      <c r="D247" s="9"/>
      <c r="E247" s="9"/>
      <c r="F247" s="9"/>
      <c r="G247" s="9"/>
      <c r="H247" s="9"/>
      <c r="I247" s="9"/>
      <c r="J247" s="9"/>
      <c r="K247" s="9"/>
      <c r="L247" s="9"/>
      <c r="M247" s="94"/>
      <c r="N247" s="9"/>
      <c r="O247" s="9"/>
      <c r="P247" s="9"/>
      <c r="Q247" s="9"/>
      <c r="R247" s="9"/>
      <c r="S247" s="9"/>
      <c r="T247" s="9"/>
      <c r="U247" s="9"/>
      <c r="V247" s="9"/>
      <c r="W247" s="9"/>
      <c r="X247" s="9"/>
      <c r="Y247" s="94"/>
      <c r="Z247" s="9"/>
      <c r="AA247" s="9"/>
    </row>
    <row r="248" ht="15.75" customHeight="1">
      <c r="A248" s="9"/>
      <c r="B248" s="9"/>
      <c r="C248" s="9"/>
      <c r="D248" s="9"/>
      <c r="E248" s="9"/>
      <c r="F248" s="9"/>
      <c r="G248" s="9"/>
      <c r="H248" s="9"/>
      <c r="I248" s="9"/>
      <c r="J248" s="9"/>
      <c r="K248" s="9"/>
      <c r="L248" s="9"/>
      <c r="M248" s="94"/>
      <c r="N248" s="9"/>
      <c r="O248" s="9"/>
      <c r="P248" s="9"/>
      <c r="Q248" s="9"/>
      <c r="R248" s="9"/>
      <c r="S248" s="9"/>
      <c r="T248" s="9"/>
      <c r="U248" s="9"/>
      <c r="V248" s="9"/>
      <c r="W248" s="9"/>
      <c r="X248" s="9"/>
      <c r="Y248" s="94"/>
      <c r="Z248" s="9"/>
      <c r="AA248" s="9"/>
    </row>
    <row r="249" ht="15.75" customHeight="1">
      <c r="A249" s="9"/>
      <c r="B249" s="9"/>
      <c r="C249" s="9"/>
      <c r="D249" s="9"/>
      <c r="E249" s="9"/>
      <c r="F249" s="9"/>
      <c r="G249" s="9"/>
      <c r="H249" s="9"/>
      <c r="I249" s="9"/>
      <c r="J249" s="9"/>
      <c r="K249" s="9"/>
      <c r="L249" s="9"/>
      <c r="M249" s="94"/>
      <c r="N249" s="9"/>
      <c r="O249" s="9"/>
      <c r="P249" s="9"/>
      <c r="Q249" s="9"/>
      <c r="R249" s="9"/>
      <c r="S249" s="9"/>
      <c r="T249" s="9"/>
      <c r="U249" s="9"/>
      <c r="V249" s="9"/>
      <c r="W249" s="9"/>
      <c r="X249" s="9"/>
      <c r="Y249" s="94"/>
      <c r="Z249" s="9"/>
      <c r="AA249" s="9"/>
    </row>
    <row r="250" ht="15.75" customHeight="1">
      <c r="A250" s="9"/>
      <c r="B250" s="9"/>
      <c r="C250" s="9"/>
      <c r="D250" s="9"/>
      <c r="E250" s="9"/>
      <c r="F250" s="9"/>
      <c r="G250" s="9"/>
      <c r="H250" s="9"/>
      <c r="I250" s="9"/>
      <c r="J250" s="9"/>
      <c r="K250" s="9"/>
      <c r="L250" s="9"/>
      <c r="M250" s="94"/>
      <c r="N250" s="9"/>
      <c r="O250" s="9"/>
      <c r="P250" s="9"/>
      <c r="Q250" s="9"/>
      <c r="R250" s="9"/>
      <c r="S250" s="9"/>
      <c r="T250" s="9"/>
      <c r="U250" s="9"/>
      <c r="V250" s="9"/>
      <c r="W250" s="9"/>
      <c r="X250" s="9"/>
      <c r="Y250" s="94"/>
      <c r="Z250" s="9"/>
      <c r="AA250" s="9"/>
    </row>
    <row r="251" ht="15.75" customHeight="1">
      <c r="A251" s="9"/>
      <c r="B251" s="9"/>
      <c r="C251" s="9"/>
      <c r="D251" s="9"/>
      <c r="E251" s="9"/>
      <c r="F251" s="9"/>
      <c r="G251" s="9"/>
      <c r="H251" s="9"/>
      <c r="I251" s="9"/>
      <c r="J251" s="9"/>
      <c r="K251" s="9"/>
      <c r="L251" s="9"/>
      <c r="M251" s="94"/>
      <c r="N251" s="9"/>
      <c r="O251" s="9"/>
      <c r="P251" s="9"/>
      <c r="Q251" s="9"/>
      <c r="R251" s="9"/>
      <c r="S251" s="9"/>
      <c r="T251" s="9"/>
      <c r="U251" s="9"/>
      <c r="V251" s="9"/>
      <c r="W251" s="9"/>
      <c r="X251" s="9"/>
      <c r="Y251" s="94"/>
      <c r="Z251" s="9"/>
      <c r="AA251" s="9"/>
    </row>
    <row r="252" ht="15.75" customHeight="1">
      <c r="A252" s="9"/>
      <c r="B252" s="9"/>
      <c r="C252" s="9"/>
      <c r="D252" s="9"/>
      <c r="E252" s="9"/>
      <c r="F252" s="9"/>
      <c r="G252" s="9"/>
      <c r="H252" s="9"/>
      <c r="I252" s="9"/>
      <c r="J252" s="9"/>
      <c r="K252" s="9"/>
      <c r="L252" s="9"/>
      <c r="M252" s="94"/>
      <c r="N252" s="9"/>
      <c r="O252" s="9"/>
      <c r="P252" s="9"/>
      <c r="Q252" s="9"/>
      <c r="R252" s="9"/>
      <c r="S252" s="9"/>
      <c r="T252" s="9"/>
      <c r="U252" s="9"/>
      <c r="V252" s="9"/>
      <c r="W252" s="9"/>
      <c r="X252" s="9"/>
      <c r="Y252" s="94"/>
      <c r="Z252" s="9"/>
      <c r="AA252" s="9"/>
    </row>
    <row r="253" ht="15.75" customHeight="1">
      <c r="A253" s="9"/>
      <c r="B253" s="9"/>
      <c r="C253" s="9"/>
      <c r="D253" s="9"/>
      <c r="E253" s="9"/>
      <c r="F253" s="9"/>
      <c r="G253" s="9"/>
      <c r="H253" s="9"/>
      <c r="I253" s="9"/>
      <c r="J253" s="9"/>
      <c r="K253" s="9"/>
      <c r="L253" s="9"/>
      <c r="M253" s="94"/>
      <c r="N253" s="9"/>
      <c r="O253" s="9"/>
      <c r="P253" s="9"/>
      <c r="Q253" s="9"/>
      <c r="R253" s="9"/>
      <c r="S253" s="9"/>
      <c r="T253" s="9"/>
      <c r="U253" s="9"/>
      <c r="V253" s="9"/>
      <c r="W253" s="9"/>
      <c r="X253" s="9"/>
      <c r="Y253" s="94"/>
      <c r="Z253" s="9"/>
      <c r="AA253" s="9"/>
    </row>
    <row r="254" ht="15.75" customHeight="1">
      <c r="A254" s="9"/>
      <c r="B254" s="9"/>
      <c r="C254" s="9"/>
      <c r="D254" s="9"/>
      <c r="E254" s="9"/>
      <c r="F254" s="9"/>
      <c r="G254" s="9"/>
      <c r="H254" s="9"/>
      <c r="I254" s="9"/>
      <c r="J254" s="9"/>
      <c r="K254" s="9"/>
      <c r="L254" s="9"/>
      <c r="M254" s="94"/>
      <c r="N254" s="9"/>
      <c r="O254" s="9"/>
      <c r="P254" s="9"/>
      <c r="Q254" s="9"/>
      <c r="R254" s="9"/>
      <c r="S254" s="9"/>
      <c r="T254" s="9"/>
      <c r="U254" s="9"/>
      <c r="V254" s="9"/>
      <c r="W254" s="9"/>
      <c r="X254" s="9"/>
      <c r="Y254" s="94"/>
      <c r="Z254" s="9"/>
      <c r="AA254" s="9"/>
    </row>
    <row r="255" ht="15.75" customHeight="1">
      <c r="A255" s="9"/>
      <c r="B255" s="9"/>
      <c r="C255" s="9"/>
      <c r="D255" s="9"/>
      <c r="E255" s="9"/>
      <c r="F255" s="9"/>
      <c r="G255" s="9"/>
      <c r="H255" s="9"/>
      <c r="I255" s="9"/>
      <c r="J255" s="9"/>
      <c r="K255" s="9"/>
      <c r="L255" s="9"/>
      <c r="M255" s="94"/>
      <c r="N255" s="9"/>
      <c r="O255" s="9"/>
      <c r="P255" s="9"/>
      <c r="Q255" s="9"/>
      <c r="R255" s="9"/>
      <c r="S255" s="9"/>
      <c r="T255" s="9"/>
      <c r="U255" s="9"/>
      <c r="V255" s="9"/>
      <c r="W255" s="9"/>
      <c r="X255" s="9"/>
      <c r="Y255" s="94"/>
      <c r="Z255" s="9"/>
      <c r="AA255" s="9"/>
    </row>
    <row r="256" ht="15.75" customHeight="1">
      <c r="A256" s="9"/>
      <c r="B256" s="9"/>
      <c r="C256" s="9"/>
      <c r="D256" s="9"/>
      <c r="E256" s="9"/>
      <c r="F256" s="9"/>
      <c r="G256" s="9"/>
      <c r="H256" s="9"/>
      <c r="I256" s="9"/>
      <c r="J256" s="9"/>
      <c r="K256" s="9"/>
      <c r="L256" s="9"/>
      <c r="M256" s="94"/>
      <c r="N256" s="9"/>
      <c r="O256" s="9"/>
      <c r="P256" s="9"/>
      <c r="Q256" s="9"/>
      <c r="R256" s="9"/>
      <c r="S256" s="9"/>
      <c r="T256" s="9"/>
      <c r="U256" s="9"/>
      <c r="V256" s="9"/>
      <c r="W256" s="9"/>
      <c r="X256" s="9"/>
      <c r="Y256" s="94"/>
      <c r="Z256" s="9"/>
      <c r="AA256" s="9"/>
    </row>
    <row r="257" ht="15.75" customHeight="1">
      <c r="A257" s="9"/>
      <c r="B257" s="9"/>
      <c r="C257" s="9"/>
      <c r="D257" s="9"/>
      <c r="E257" s="9"/>
      <c r="F257" s="9"/>
      <c r="G257" s="9"/>
      <c r="H257" s="9"/>
      <c r="I257" s="9"/>
      <c r="J257" s="9"/>
      <c r="K257" s="9"/>
      <c r="L257" s="9"/>
      <c r="M257" s="94"/>
      <c r="N257" s="9"/>
      <c r="O257" s="9"/>
      <c r="P257" s="9"/>
      <c r="Q257" s="9"/>
      <c r="R257" s="9"/>
      <c r="S257" s="9"/>
      <c r="T257" s="9"/>
      <c r="U257" s="9"/>
      <c r="V257" s="9"/>
      <c r="W257" s="9"/>
      <c r="X257" s="9"/>
      <c r="Y257" s="94"/>
      <c r="Z257" s="9"/>
      <c r="AA257" s="9"/>
    </row>
    <row r="258" ht="15.75" customHeight="1">
      <c r="A258" s="9"/>
      <c r="B258" s="9"/>
      <c r="C258" s="9"/>
      <c r="D258" s="9"/>
      <c r="E258" s="9"/>
      <c r="F258" s="9"/>
      <c r="G258" s="9"/>
      <c r="H258" s="9"/>
      <c r="I258" s="9"/>
      <c r="J258" s="9"/>
      <c r="K258" s="9"/>
      <c r="L258" s="9"/>
      <c r="M258" s="94"/>
      <c r="N258" s="9"/>
      <c r="O258" s="9"/>
      <c r="P258" s="9"/>
      <c r="Q258" s="9"/>
      <c r="R258" s="9"/>
      <c r="S258" s="9"/>
      <c r="T258" s="9"/>
      <c r="U258" s="9"/>
      <c r="V258" s="9"/>
      <c r="W258" s="9"/>
      <c r="X258" s="9"/>
      <c r="Y258" s="94"/>
      <c r="Z258" s="9"/>
      <c r="AA258" s="9"/>
    </row>
    <row r="259" ht="15.75" customHeight="1">
      <c r="A259" s="9"/>
      <c r="B259" s="9"/>
      <c r="C259" s="9"/>
      <c r="D259" s="9"/>
      <c r="E259" s="9"/>
      <c r="F259" s="9"/>
      <c r="G259" s="9"/>
      <c r="H259" s="9"/>
      <c r="I259" s="9"/>
      <c r="J259" s="9"/>
      <c r="K259" s="9"/>
      <c r="L259" s="9"/>
      <c r="M259" s="94"/>
      <c r="N259" s="9"/>
      <c r="O259" s="9"/>
      <c r="P259" s="9"/>
      <c r="Q259" s="9"/>
      <c r="R259" s="9"/>
      <c r="S259" s="9"/>
      <c r="T259" s="9"/>
      <c r="U259" s="9"/>
      <c r="V259" s="9"/>
      <c r="W259" s="9"/>
      <c r="X259" s="9"/>
      <c r="Y259" s="94"/>
      <c r="Z259" s="9"/>
      <c r="AA259" s="9"/>
    </row>
    <row r="260" ht="15.75" customHeight="1">
      <c r="A260" s="9"/>
      <c r="B260" s="9"/>
      <c r="C260" s="9"/>
      <c r="D260" s="9"/>
      <c r="E260" s="9"/>
      <c r="F260" s="9"/>
      <c r="G260" s="9"/>
      <c r="H260" s="9"/>
      <c r="I260" s="9"/>
      <c r="J260" s="9"/>
      <c r="K260" s="9"/>
      <c r="L260" s="9"/>
      <c r="M260" s="94"/>
      <c r="N260" s="9"/>
      <c r="O260" s="9"/>
      <c r="P260" s="9"/>
      <c r="Q260" s="9"/>
      <c r="R260" s="9"/>
      <c r="S260" s="9"/>
      <c r="T260" s="9"/>
      <c r="U260" s="9"/>
      <c r="V260" s="9"/>
      <c r="W260" s="9"/>
      <c r="X260" s="9"/>
      <c r="Y260" s="94"/>
      <c r="Z260" s="9"/>
      <c r="AA260" s="9"/>
    </row>
    <row r="261" ht="15.75" customHeight="1">
      <c r="A261" s="9"/>
      <c r="B261" s="9"/>
      <c r="C261" s="9"/>
      <c r="D261" s="9"/>
      <c r="E261" s="9"/>
      <c r="F261" s="9"/>
      <c r="G261" s="9"/>
      <c r="H261" s="9"/>
      <c r="I261" s="9"/>
      <c r="J261" s="9"/>
      <c r="K261" s="9"/>
      <c r="L261" s="9"/>
      <c r="M261" s="94"/>
      <c r="N261" s="9"/>
      <c r="O261" s="9"/>
      <c r="P261" s="9"/>
      <c r="Q261" s="9"/>
      <c r="R261" s="9"/>
      <c r="S261" s="9"/>
      <c r="T261" s="9"/>
      <c r="U261" s="9"/>
      <c r="V261" s="9"/>
      <c r="W261" s="9"/>
      <c r="X261" s="9"/>
      <c r="Y261" s="94"/>
      <c r="Z261" s="9"/>
      <c r="AA261" s="9"/>
    </row>
    <row r="262" ht="15.75" customHeight="1">
      <c r="A262" s="9"/>
      <c r="B262" s="9"/>
      <c r="C262" s="9"/>
      <c r="D262" s="9"/>
      <c r="E262" s="9"/>
      <c r="F262" s="9"/>
      <c r="G262" s="9"/>
      <c r="H262" s="9"/>
      <c r="I262" s="9"/>
      <c r="J262" s="9"/>
      <c r="K262" s="9"/>
      <c r="L262" s="9"/>
      <c r="M262" s="94"/>
      <c r="N262" s="9"/>
      <c r="O262" s="9"/>
      <c r="P262" s="9"/>
      <c r="Q262" s="9"/>
      <c r="R262" s="9"/>
      <c r="S262" s="9"/>
      <c r="T262" s="9"/>
      <c r="U262" s="9"/>
      <c r="V262" s="9"/>
      <c r="W262" s="9"/>
      <c r="X262" s="9"/>
      <c r="Y262" s="94"/>
      <c r="Z262" s="9"/>
      <c r="AA262" s="9"/>
    </row>
    <row r="263" ht="15.75" customHeight="1">
      <c r="A263" s="9"/>
      <c r="B263" s="9"/>
      <c r="C263" s="9"/>
      <c r="D263" s="9"/>
      <c r="E263" s="9"/>
      <c r="F263" s="9"/>
      <c r="G263" s="9"/>
      <c r="H263" s="9"/>
      <c r="I263" s="9"/>
      <c r="J263" s="9"/>
      <c r="K263" s="9"/>
      <c r="L263" s="9"/>
      <c r="M263" s="94"/>
      <c r="N263" s="9"/>
      <c r="O263" s="9"/>
      <c r="P263" s="9"/>
      <c r="Q263" s="9"/>
      <c r="R263" s="9"/>
      <c r="S263" s="9"/>
      <c r="T263" s="9"/>
      <c r="U263" s="9"/>
      <c r="V263" s="9"/>
      <c r="W263" s="9"/>
      <c r="X263" s="9"/>
      <c r="Y263" s="94"/>
      <c r="Z263" s="9"/>
      <c r="AA263" s="9"/>
    </row>
    <row r="264" ht="15.75" customHeight="1">
      <c r="A264" s="9"/>
      <c r="B264" s="9"/>
      <c r="C264" s="9"/>
      <c r="D264" s="9"/>
      <c r="E264" s="9"/>
      <c r="F264" s="9"/>
      <c r="G264" s="9"/>
      <c r="H264" s="9"/>
      <c r="I264" s="9"/>
      <c r="J264" s="9"/>
      <c r="K264" s="9"/>
      <c r="L264" s="9"/>
      <c r="M264" s="94"/>
      <c r="N264" s="9"/>
      <c r="O264" s="9"/>
      <c r="P264" s="9"/>
      <c r="Q264" s="9"/>
      <c r="R264" s="9"/>
      <c r="S264" s="9"/>
      <c r="T264" s="9"/>
      <c r="U264" s="9"/>
      <c r="V264" s="9"/>
      <c r="W264" s="9"/>
      <c r="X264" s="9"/>
      <c r="Y264" s="94"/>
      <c r="Z264" s="9"/>
      <c r="AA264" s="9"/>
    </row>
    <row r="265" ht="15.75" customHeight="1">
      <c r="A265" s="9"/>
      <c r="B265" s="9"/>
      <c r="C265" s="9"/>
      <c r="D265" s="9"/>
      <c r="E265" s="9"/>
      <c r="F265" s="9"/>
      <c r="G265" s="9"/>
      <c r="H265" s="9"/>
      <c r="I265" s="9"/>
      <c r="J265" s="9"/>
      <c r="K265" s="9"/>
      <c r="L265" s="9"/>
      <c r="M265" s="94"/>
      <c r="N265" s="9"/>
      <c r="O265" s="9"/>
      <c r="P265" s="9"/>
      <c r="Q265" s="9"/>
      <c r="R265" s="9"/>
      <c r="S265" s="9"/>
      <c r="T265" s="9"/>
      <c r="U265" s="9"/>
      <c r="V265" s="9"/>
      <c r="W265" s="9"/>
      <c r="X265" s="9"/>
      <c r="Y265" s="94"/>
      <c r="Z265" s="9"/>
      <c r="AA265" s="9"/>
    </row>
    <row r="266" ht="15.75" customHeight="1">
      <c r="A266" s="9"/>
      <c r="B266" s="9"/>
      <c r="C266" s="9"/>
      <c r="D266" s="9"/>
      <c r="E266" s="9"/>
      <c r="F266" s="9"/>
      <c r="G266" s="9"/>
      <c r="H266" s="9"/>
      <c r="I266" s="9"/>
      <c r="J266" s="9"/>
      <c r="K266" s="9"/>
      <c r="L266" s="9"/>
      <c r="M266" s="94"/>
      <c r="N266" s="9"/>
      <c r="O266" s="9"/>
      <c r="P266" s="9"/>
      <c r="Q266" s="9"/>
      <c r="R266" s="9"/>
      <c r="S266" s="9"/>
      <c r="T266" s="9"/>
      <c r="U266" s="9"/>
      <c r="V266" s="9"/>
      <c r="W266" s="9"/>
      <c r="X266" s="9"/>
      <c r="Y266" s="94"/>
      <c r="Z266" s="9"/>
      <c r="AA266" s="9"/>
    </row>
    <row r="267" ht="15.75" customHeight="1">
      <c r="A267" s="9"/>
      <c r="B267" s="9"/>
      <c r="C267" s="9"/>
      <c r="D267" s="9"/>
      <c r="E267" s="9"/>
      <c r="F267" s="9"/>
      <c r="G267" s="9"/>
      <c r="H267" s="9"/>
      <c r="I267" s="9"/>
      <c r="J267" s="9"/>
      <c r="K267" s="9"/>
      <c r="L267" s="9"/>
      <c r="M267" s="94"/>
      <c r="N267" s="9"/>
      <c r="O267" s="9"/>
      <c r="P267" s="9"/>
      <c r="Q267" s="9"/>
      <c r="R267" s="9"/>
      <c r="S267" s="9"/>
      <c r="T267" s="9"/>
      <c r="U267" s="9"/>
      <c r="V267" s="9"/>
      <c r="W267" s="9"/>
      <c r="X267" s="9"/>
      <c r="Y267" s="94"/>
      <c r="Z267" s="9"/>
      <c r="AA267" s="9"/>
    </row>
    <row r="268" ht="15.75" customHeight="1">
      <c r="A268" s="9"/>
      <c r="B268" s="9"/>
      <c r="C268" s="9"/>
      <c r="D268" s="9"/>
      <c r="E268" s="9"/>
      <c r="F268" s="9"/>
      <c r="G268" s="9"/>
      <c r="H268" s="9"/>
      <c r="I268" s="9"/>
      <c r="J268" s="9"/>
      <c r="K268" s="9"/>
      <c r="L268" s="9"/>
      <c r="M268" s="94"/>
      <c r="N268" s="9"/>
      <c r="O268" s="9"/>
      <c r="P268" s="9"/>
      <c r="Q268" s="9"/>
      <c r="R268" s="9"/>
      <c r="S268" s="9"/>
      <c r="T268" s="9"/>
      <c r="U268" s="9"/>
      <c r="V268" s="9"/>
      <c r="W268" s="9"/>
      <c r="X268" s="9"/>
      <c r="Y268" s="94"/>
      <c r="Z268" s="9"/>
      <c r="AA268" s="9"/>
    </row>
    <row r="269" ht="15.75" customHeight="1">
      <c r="A269" s="9"/>
      <c r="B269" s="9"/>
      <c r="C269" s="9"/>
      <c r="D269" s="9"/>
      <c r="E269" s="9"/>
      <c r="F269" s="9"/>
      <c r="G269" s="9"/>
      <c r="H269" s="9"/>
      <c r="I269" s="9"/>
      <c r="J269" s="9"/>
      <c r="K269" s="9"/>
      <c r="L269" s="9"/>
      <c r="M269" s="94"/>
      <c r="N269" s="9"/>
      <c r="O269" s="9"/>
      <c r="P269" s="9"/>
      <c r="Q269" s="9"/>
      <c r="R269" s="9"/>
      <c r="S269" s="9"/>
      <c r="T269" s="9"/>
      <c r="U269" s="9"/>
      <c r="V269" s="9"/>
      <c r="W269" s="9"/>
      <c r="X269" s="9"/>
      <c r="Y269" s="94"/>
      <c r="Z269" s="9"/>
      <c r="AA269" s="9"/>
    </row>
    <row r="270" ht="15.75" customHeight="1">
      <c r="A270" s="9"/>
      <c r="B270" s="9"/>
      <c r="C270" s="9"/>
      <c r="D270" s="9"/>
      <c r="E270" s="9"/>
      <c r="F270" s="9"/>
      <c r="G270" s="9"/>
      <c r="H270" s="9"/>
      <c r="I270" s="9"/>
      <c r="J270" s="9"/>
      <c r="K270" s="9"/>
      <c r="L270" s="9"/>
      <c r="M270" s="94"/>
      <c r="N270" s="9"/>
      <c r="O270" s="9"/>
      <c r="P270" s="9"/>
      <c r="Q270" s="9"/>
      <c r="R270" s="9"/>
      <c r="S270" s="9"/>
      <c r="T270" s="9"/>
      <c r="U270" s="9"/>
      <c r="V270" s="9"/>
      <c r="W270" s="9"/>
      <c r="X270" s="9"/>
      <c r="Y270" s="94"/>
      <c r="Z270" s="9"/>
      <c r="AA270" s="9"/>
    </row>
    <row r="271" ht="15.75" customHeight="1">
      <c r="M271" s="258"/>
      <c r="Y271" s="258"/>
    </row>
    <row r="272" ht="15.75" customHeight="1">
      <c r="M272" s="258"/>
      <c r="Y272" s="258"/>
    </row>
    <row r="273" ht="15.75" customHeight="1">
      <c r="M273" s="258"/>
      <c r="Y273" s="258"/>
    </row>
    <row r="274" ht="15.75" customHeight="1">
      <c r="M274" s="258"/>
      <c r="Y274" s="258"/>
    </row>
    <row r="275" ht="15.75" customHeight="1">
      <c r="M275" s="258"/>
      <c r="Y275" s="258"/>
    </row>
    <row r="276" ht="15.75" customHeight="1">
      <c r="M276" s="258"/>
      <c r="Y276" s="258"/>
    </row>
    <row r="277" ht="15.75" customHeight="1">
      <c r="M277" s="258"/>
      <c r="Y277" s="258"/>
    </row>
    <row r="278" ht="15.75" customHeight="1">
      <c r="M278" s="258"/>
      <c r="Y278" s="258"/>
    </row>
    <row r="279" ht="15.75" customHeight="1">
      <c r="M279" s="258"/>
      <c r="Y279" s="258"/>
    </row>
    <row r="280" ht="15.75" customHeight="1">
      <c r="M280" s="258"/>
      <c r="Y280" s="258"/>
    </row>
    <row r="281" ht="15.75" customHeight="1">
      <c r="M281" s="258"/>
      <c r="Y281" s="258"/>
    </row>
    <row r="282" ht="15.75" customHeight="1">
      <c r="M282" s="258"/>
      <c r="Y282" s="258"/>
    </row>
    <row r="283" ht="15.75" customHeight="1">
      <c r="M283" s="258"/>
      <c r="Y283" s="258"/>
    </row>
    <row r="284" ht="15.75" customHeight="1">
      <c r="M284" s="258"/>
      <c r="Y284" s="258"/>
    </row>
    <row r="285" ht="15.75" customHeight="1">
      <c r="M285" s="258"/>
      <c r="Y285" s="258"/>
    </row>
    <row r="286" ht="15.75" customHeight="1">
      <c r="M286" s="258"/>
      <c r="Y286" s="258"/>
    </row>
    <row r="287" ht="15.75" customHeight="1">
      <c r="M287" s="258"/>
      <c r="Y287" s="258"/>
    </row>
    <row r="288" ht="15.75" customHeight="1">
      <c r="M288" s="258"/>
      <c r="Y288" s="258"/>
    </row>
    <row r="289" ht="15.75" customHeight="1">
      <c r="M289" s="258"/>
      <c r="Y289" s="258"/>
    </row>
    <row r="290" ht="15.75" customHeight="1">
      <c r="M290" s="258"/>
      <c r="Y290" s="258"/>
    </row>
    <row r="291" ht="15.75" customHeight="1">
      <c r="M291" s="258"/>
      <c r="Y291" s="258"/>
    </row>
    <row r="292" ht="15.75" customHeight="1">
      <c r="M292" s="258"/>
      <c r="Y292" s="258"/>
    </row>
    <row r="293" ht="15.75" customHeight="1">
      <c r="M293" s="258"/>
      <c r="Y293" s="258"/>
    </row>
    <row r="294" ht="15.75" customHeight="1">
      <c r="M294" s="258"/>
      <c r="Y294" s="258"/>
    </row>
    <row r="295" ht="15.75" customHeight="1">
      <c r="M295" s="258"/>
      <c r="Y295" s="258"/>
    </row>
    <row r="296" ht="15.75" customHeight="1">
      <c r="M296" s="258"/>
      <c r="Y296" s="258"/>
    </row>
    <row r="297" ht="15.75" customHeight="1">
      <c r="M297" s="258"/>
      <c r="Y297" s="258"/>
    </row>
    <row r="298" ht="15.75" customHeight="1">
      <c r="M298" s="258"/>
      <c r="Y298" s="258"/>
    </row>
    <row r="299" ht="15.75" customHeight="1">
      <c r="M299" s="258"/>
      <c r="Y299" s="258"/>
    </row>
    <row r="300" ht="15.75" customHeight="1">
      <c r="M300" s="258"/>
      <c r="Y300" s="258"/>
    </row>
    <row r="301" ht="15.75" customHeight="1">
      <c r="M301" s="258"/>
      <c r="Y301" s="258"/>
    </row>
    <row r="302" ht="15.75" customHeight="1">
      <c r="M302" s="258"/>
      <c r="Y302" s="258"/>
    </row>
    <row r="303" ht="15.75" customHeight="1">
      <c r="M303" s="258"/>
      <c r="Y303" s="258"/>
    </row>
    <row r="304" ht="15.75" customHeight="1">
      <c r="M304" s="258"/>
      <c r="Y304" s="258"/>
    </row>
    <row r="305" ht="15.75" customHeight="1">
      <c r="M305" s="258"/>
      <c r="Y305" s="258"/>
    </row>
    <row r="306" ht="15.75" customHeight="1">
      <c r="M306" s="258"/>
      <c r="Y306" s="258"/>
    </row>
    <row r="307" ht="15.75" customHeight="1">
      <c r="M307" s="258"/>
      <c r="Y307" s="258"/>
    </row>
    <row r="308" ht="15.75" customHeight="1">
      <c r="M308" s="258"/>
      <c r="Y308" s="258"/>
    </row>
    <row r="309" ht="15.75" customHeight="1">
      <c r="M309" s="258"/>
      <c r="Y309" s="258"/>
    </row>
    <row r="310" ht="15.75" customHeight="1">
      <c r="M310" s="258"/>
      <c r="Y310" s="258"/>
    </row>
    <row r="311" ht="15.75" customHeight="1">
      <c r="M311" s="258"/>
      <c r="Y311" s="258"/>
    </row>
    <row r="312" ht="15.75" customHeight="1">
      <c r="M312" s="258"/>
      <c r="Y312" s="258"/>
    </row>
    <row r="313" ht="15.75" customHeight="1">
      <c r="M313" s="258"/>
      <c r="Y313" s="258"/>
    </row>
    <row r="314" ht="15.75" customHeight="1">
      <c r="M314" s="258"/>
      <c r="Y314" s="258"/>
    </row>
    <row r="315" ht="15.75" customHeight="1">
      <c r="M315" s="258"/>
      <c r="Y315" s="258"/>
    </row>
    <row r="316" ht="15.75" customHeight="1">
      <c r="M316" s="258"/>
      <c r="Y316" s="258"/>
    </row>
    <row r="317" ht="15.75" customHeight="1">
      <c r="M317" s="258"/>
      <c r="Y317" s="258"/>
    </row>
    <row r="318" ht="15.75" customHeight="1">
      <c r="M318" s="258"/>
      <c r="Y318" s="258"/>
    </row>
    <row r="319" ht="15.75" customHeight="1">
      <c r="M319" s="258"/>
      <c r="Y319" s="258"/>
    </row>
    <row r="320" ht="15.75" customHeight="1">
      <c r="M320" s="258"/>
      <c r="Y320" s="258"/>
    </row>
    <row r="321" ht="15.75" customHeight="1">
      <c r="M321" s="258"/>
      <c r="Y321" s="258"/>
    </row>
    <row r="322" ht="15.75" customHeight="1">
      <c r="M322" s="258"/>
      <c r="Y322" s="258"/>
    </row>
    <row r="323" ht="15.75" customHeight="1">
      <c r="M323" s="258"/>
      <c r="Y323" s="258"/>
    </row>
    <row r="324" ht="15.75" customHeight="1">
      <c r="M324" s="258"/>
      <c r="Y324" s="258"/>
    </row>
    <row r="325" ht="15.75" customHeight="1">
      <c r="M325" s="258"/>
      <c r="Y325" s="258"/>
    </row>
    <row r="326" ht="15.75" customHeight="1">
      <c r="M326" s="258"/>
      <c r="Y326" s="258"/>
    </row>
    <row r="327" ht="15.75" customHeight="1">
      <c r="M327" s="258"/>
      <c r="Y327" s="258"/>
    </row>
    <row r="328" ht="15.75" customHeight="1">
      <c r="M328" s="258"/>
      <c r="Y328" s="258"/>
    </row>
    <row r="329" ht="15.75" customHeight="1">
      <c r="M329" s="258"/>
      <c r="Y329" s="258"/>
    </row>
    <row r="330" ht="15.75" customHeight="1">
      <c r="M330" s="258"/>
      <c r="Y330" s="258"/>
    </row>
    <row r="331" ht="15.75" customHeight="1">
      <c r="M331" s="258"/>
      <c r="Y331" s="258"/>
    </row>
    <row r="332" ht="15.75" customHeight="1">
      <c r="M332" s="258"/>
      <c r="Y332" s="258"/>
    </row>
    <row r="333" ht="15.75" customHeight="1">
      <c r="M333" s="258"/>
      <c r="Y333" s="258"/>
    </row>
    <row r="334" ht="15.75" customHeight="1">
      <c r="M334" s="258"/>
      <c r="Y334" s="258"/>
    </row>
    <row r="335" ht="15.75" customHeight="1">
      <c r="M335" s="258"/>
      <c r="Y335" s="258"/>
    </row>
    <row r="336" ht="15.75" customHeight="1">
      <c r="M336" s="258"/>
      <c r="Y336" s="258"/>
    </row>
    <row r="337" ht="15.75" customHeight="1">
      <c r="M337" s="258"/>
      <c r="Y337" s="258"/>
    </row>
    <row r="338" ht="15.75" customHeight="1">
      <c r="M338" s="258"/>
      <c r="Y338" s="258"/>
    </row>
    <row r="339" ht="15.75" customHeight="1">
      <c r="M339" s="258"/>
      <c r="Y339" s="258"/>
    </row>
    <row r="340" ht="15.75" customHeight="1">
      <c r="M340" s="258"/>
      <c r="Y340" s="258"/>
    </row>
    <row r="341" ht="15.75" customHeight="1">
      <c r="M341" s="258"/>
      <c r="Y341" s="258"/>
    </row>
    <row r="342" ht="15.75" customHeight="1">
      <c r="M342" s="258"/>
      <c r="Y342" s="258"/>
    </row>
    <row r="343" ht="15.75" customHeight="1">
      <c r="M343" s="258"/>
      <c r="Y343" s="258"/>
    </row>
    <row r="344" ht="15.75" customHeight="1">
      <c r="M344" s="258"/>
      <c r="Y344" s="258"/>
    </row>
    <row r="345" ht="15.75" customHeight="1">
      <c r="M345" s="258"/>
      <c r="Y345" s="258"/>
    </row>
    <row r="346" ht="15.75" customHeight="1">
      <c r="M346" s="258"/>
      <c r="Y346" s="258"/>
    </row>
    <row r="347" ht="15.75" customHeight="1">
      <c r="M347" s="258"/>
      <c r="Y347" s="258"/>
    </row>
    <row r="348" ht="15.75" customHeight="1">
      <c r="M348" s="258"/>
      <c r="Y348" s="258"/>
    </row>
    <row r="349" ht="15.75" customHeight="1">
      <c r="M349" s="258"/>
      <c r="Y349" s="258"/>
    </row>
    <row r="350" ht="15.75" customHeight="1">
      <c r="M350" s="258"/>
      <c r="Y350" s="258"/>
    </row>
    <row r="351" ht="15.75" customHeight="1">
      <c r="M351" s="258"/>
      <c r="Y351" s="258"/>
    </row>
    <row r="352" ht="15.75" customHeight="1">
      <c r="M352" s="258"/>
      <c r="Y352" s="258"/>
    </row>
    <row r="353" ht="15.75" customHeight="1">
      <c r="M353" s="258"/>
      <c r="Y353" s="258"/>
    </row>
    <row r="354" ht="15.75" customHeight="1">
      <c r="M354" s="258"/>
      <c r="Y354" s="258"/>
    </row>
    <row r="355" ht="15.75" customHeight="1">
      <c r="M355" s="258"/>
      <c r="Y355" s="258"/>
    </row>
    <row r="356" ht="15.75" customHeight="1">
      <c r="M356" s="258"/>
      <c r="Y356" s="258"/>
    </row>
    <row r="357" ht="15.75" customHeight="1">
      <c r="M357" s="258"/>
      <c r="Y357" s="258"/>
    </row>
    <row r="358" ht="15.75" customHeight="1">
      <c r="M358" s="258"/>
      <c r="Y358" s="258"/>
    </row>
    <row r="359" ht="15.75" customHeight="1">
      <c r="M359" s="258"/>
      <c r="Y359" s="258"/>
    </row>
    <row r="360" ht="15.75" customHeight="1">
      <c r="M360" s="258"/>
      <c r="Y360" s="258"/>
    </row>
    <row r="361" ht="15.75" customHeight="1">
      <c r="M361" s="258"/>
      <c r="Y361" s="258"/>
    </row>
    <row r="362" ht="15.75" customHeight="1">
      <c r="M362" s="258"/>
      <c r="Y362" s="258"/>
    </row>
    <row r="363" ht="15.75" customHeight="1">
      <c r="M363" s="258"/>
      <c r="Y363" s="258"/>
    </row>
    <row r="364" ht="15.75" customHeight="1">
      <c r="M364" s="258"/>
      <c r="Y364" s="258"/>
    </row>
    <row r="365" ht="15.75" customHeight="1">
      <c r="M365" s="258"/>
      <c r="Y365" s="258"/>
    </row>
    <row r="366" ht="15.75" customHeight="1">
      <c r="M366" s="258"/>
      <c r="Y366" s="258"/>
    </row>
    <row r="367" ht="15.75" customHeight="1">
      <c r="M367" s="258"/>
      <c r="Y367" s="258"/>
    </row>
    <row r="368" ht="15.75" customHeight="1">
      <c r="M368" s="258"/>
      <c r="Y368" s="258"/>
    </row>
    <row r="369" ht="15.75" customHeight="1">
      <c r="M369" s="258"/>
      <c r="Y369" s="258"/>
    </row>
    <row r="370" ht="15.75" customHeight="1">
      <c r="M370" s="258"/>
      <c r="Y370" s="258"/>
    </row>
    <row r="371" ht="15.75" customHeight="1">
      <c r="M371" s="258"/>
      <c r="Y371" s="258"/>
    </row>
    <row r="372" ht="15.75" customHeight="1">
      <c r="M372" s="258"/>
      <c r="Y372" s="258"/>
    </row>
    <row r="373" ht="15.75" customHeight="1">
      <c r="M373" s="258"/>
      <c r="Y373" s="258"/>
    </row>
    <row r="374" ht="15.75" customHeight="1">
      <c r="M374" s="258"/>
      <c r="Y374" s="258"/>
    </row>
    <row r="375" ht="15.75" customHeight="1">
      <c r="M375" s="258"/>
      <c r="Y375" s="258"/>
    </row>
    <row r="376" ht="15.75" customHeight="1">
      <c r="M376" s="258"/>
      <c r="Y376" s="258"/>
    </row>
    <row r="377" ht="15.75" customHeight="1">
      <c r="M377" s="258"/>
      <c r="Y377" s="258"/>
    </row>
    <row r="378" ht="15.75" customHeight="1">
      <c r="M378" s="258"/>
      <c r="Y378" s="258"/>
    </row>
    <row r="379" ht="15.75" customHeight="1">
      <c r="M379" s="258"/>
      <c r="Y379" s="258"/>
    </row>
    <row r="380" ht="15.75" customHeight="1">
      <c r="M380" s="258"/>
      <c r="Y380" s="258"/>
    </row>
    <row r="381" ht="15.75" customHeight="1">
      <c r="M381" s="258"/>
      <c r="Y381" s="258"/>
    </row>
    <row r="382" ht="15.75" customHeight="1">
      <c r="M382" s="258"/>
      <c r="Y382" s="258"/>
    </row>
    <row r="383" ht="15.75" customHeight="1">
      <c r="M383" s="258"/>
      <c r="Y383" s="258"/>
    </row>
    <row r="384" ht="15.75" customHeight="1">
      <c r="M384" s="258"/>
      <c r="Y384" s="258"/>
    </row>
    <row r="385" ht="15.75" customHeight="1">
      <c r="M385" s="258"/>
      <c r="Y385" s="258"/>
    </row>
    <row r="386" ht="15.75" customHeight="1">
      <c r="M386" s="258"/>
      <c r="Y386" s="258"/>
    </row>
    <row r="387" ht="15.75" customHeight="1">
      <c r="M387" s="258"/>
      <c r="Y387" s="258"/>
    </row>
    <row r="388" ht="15.75" customHeight="1">
      <c r="M388" s="258"/>
      <c r="Y388" s="258"/>
    </row>
    <row r="389" ht="15.75" customHeight="1">
      <c r="M389" s="258"/>
      <c r="Y389" s="258"/>
    </row>
    <row r="390" ht="15.75" customHeight="1">
      <c r="M390" s="258"/>
      <c r="Y390" s="258"/>
    </row>
    <row r="391" ht="15.75" customHeight="1">
      <c r="M391" s="258"/>
      <c r="Y391" s="258"/>
    </row>
    <row r="392" ht="15.75" customHeight="1">
      <c r="M392" s="258"/>
      <c r="Y392" s="258"/>
    </row>
    <row r="393" ht="15.75" customHeight="1">
      <c r="M393" s="258"/>
      <c r="Y393" s="258"/>
    </row>
    <row r="394" ht="15.75" customHeight="1">
      <c r="M394" s="258"/>
      <c r="Y394" s="258"/>
    </row>
    <row r="395" ht="15.75" customHeight="1">
      <c r="M395" s="258"/>
      <c r="Y395" s="258"/>
    </row>
    <row r="396" ht="15.75" customHeight="1">
      <c r="M396" s="258"/>
      <c r="Y396" s="258"/>
    </row>
    <row r="397" ht="15.75" customHeight="1">
      <c r="M397" s="258"/>
      <c r="Y397" s="258"/>
    </row>
    <row r="398" ht="15.75" customHeight="1">
      <c r="M398" s="258"/>
      <c r="Y398" s="258"/>
    </row>
    <row r="399" ht="15.75" customHeight="1">
      <c r="M399" s="258"/>
      <c r="Y399" s="258"/>
    </row>
    <row r="400" ht="15.75" customHeight="1">
      <c r="M400" s="258"/>
      <c r="Y400" s="258"/>
    </row>
    <row r="401" ht="15.75" customHeight="1">
      <c r="M401" s="258"/>
      <c r="Y401" s="258"/>
    </row>
    <row r="402" ht="15.75" customHeight="1">
      <c r="M402" s="258"/>
      <c r="Y402" s="258"/>
    </row>
    <row r="403" ht="15.75" customHeight="1">
      <c r="M403" s="258"/>
      <c r="Y403" s="258"/>
    </row>
    <row r="404" ht="15.75" customHeight="1">
      <c r="M404" s="258"/>
      <c r="Y404" s="258"/>
    </row>
    <row r="405" ht="15.75" customHeight="1">
      <c r="M405" s="258"/>
      <c r="Y405" s="258"/>
    </row>
    <row r="406" ht="15.75" customHeight="1">
      <c r="M406" s="258"/>
      <c r="Y406" s="258"/>
    </row>
    <row r="407" ht="15.75" customHeight="1">
      <c r="M407" s="258"/>
      <c r="Y407" s="258"/>
    </row>
    <row r="408" ht="15.75" customHeight="1">
      <c r="M408" s="258"/>
      <c r="Y408" s="258"/>
    </row>
    <row r="409" ht="15.75" customHeight="1">
      <c r="M409" s="258"/>
      <c r="Y409" s="258"/>
    </row>
    <row r="410" ht="15.75" customHeight="1">
      <c r="M410" s="258"/>
      <c r="Y410" s="258"/>
    </row>
    <row r="411" ht="15.75" customHeight="1">
      <c r="M411" s="258"/>
      <c r="Y411" s="258"/>
    </row>
    <row r="412" ht="15.75" customHeight="1">
      <c r="M412" s="258"/>
      <c r="Y412" s="258"/>
    </row>
    <row r="413" ht="15.75" customHeight="1">
      <c r="M413" s="258"/>
      <c r="Y413" s="258"/>
    </row>
    <row r="414" ht="15.75" customHeight="1">
      <c r="M414" s="258"/>
      <c r="Y414" s="258"/>
    </row>
    <row r="415" ht="15.75" customHeight="1">
      <c r="M415" s="258"/>
      <c r="Y415" s="258"/>
    </row>
    <row r="416" ht="15.75" customHeight="1">
      <c r="M416" s="258"/>
      <c r="Y416" s="258"/>
    </row>
    <row r="417" ht="15.75" customHeight="1">
      <c r="M417" s="258"/>
      <c r="Y417" s="258"/>
    </row>
    <row r="418" ht="15.75" customHeight="1">
      <c r="M418" s="258"/>
      <c r="Y418" s="258"/>
    </row>
    <row r="419" ht="15.75" customHeight="1">
      <c r="M419" s="258"/>
      <c r="Y419" s="258"/>
    </row>
    <row r="420" ht="15.75" customHeight="1">
      <c r="M420" s="258"/>
      <c r="Y420" s="258"/>
    </row>
    <row r="421" ht="15.75" customHeight="1">
      <c r="M421" s="258"/>
      <c r="Y421" s="258"/>
    </row>
    <row r="422" ht="15.75" customHeight="1">
      <c r="M422" s="258"/>
      <c r="Y422" s="258"/>
    </row>
    <row r="423" ht="15.75" customHeight="1">
      <c r="M423" s="258"/>
      <c r="Y423" s="258"/>
    </row>
    <row r="424" ht="15.75" customHeight="1">
      <c r="M424" s="258"/>
      <c r="Y424" s="258"/>
    </row>
    <row r="425" ht="15.75" customHeight="1">
      <c r="M425" s="258"/>
      <c r="Y425" s="258"/>
    </row>
    <row r="426" ht="15.75" customHeight="1">
      <c r="M426" s="258"/>
      <c r="Y426" s="258"/>
    </row>
    <row r="427" ht="15.75" customHeight="1">
      <c r="M427" s="258"/>
      <c r="Y427" s="258"/>
    </row>
    <row r="428" ht="15.75" customHeight="1">
      <c r="M428" s="258"/>
      <c r="Y428" s="258"/>
    </row>
    <row r="429" ht="15.75" customHeight="1">
      <c r="M429" s="258"/>
      <c r="Y429" s="258"/>
    </row>
    <row r="430" ht="15.75" customHeight="1">
      <c r="M430" s="258"/>
      <c r="Y430" s="258"/>
    </row>
    <row r="431" ht="15.75" customHeight="1">
      <c r="M431" s="258"/>
      <c r="Y431" s="258"/>
    </row>
    <row r="432" ht="15.75" customHeight="1">
      <c r="M432" s="258"/>
      <c r="Y432" s="258"/>
    </row>
    <row r="433" ht="15.75" customHeight="1">
      <c r="M433" s="258"/>
      <c r="Y433" s="258"/>
    </row>
    <row r="434" ht="15.75" customHeight="1">
      <c r="M434" s="258"/>
      <c r="Y434" s="258"/>
    </row>
    <row r="435" ht="15.75" customHeight="1">
      <c r="M435" s="258"/>
      <c r="Y435" s="258"/>
    </row>
    <row r="436" ht="15.75" customHeight="1">
      <c r="M436" s="258"/>
      <c r="Y436" s="258"/>
    </row>
    <row r="437" ht="15.75" customHeight="1">
      <c r="M437" s="258"/>
      <c r="Y437" s="258"/>
    </row>
    <row r="438" ht="15.75" customHeight="1">
      <c r="M438" s="258"/>
      <c r="Y438" s="258"/>
    </row>
    <row r="439" ht="15.75" customHeight="1">
      <c r="M439" s="258"/>
      <c r="Y439" s="258"/>
    </row>
    <row r="440" ht="15.75" customHeight="1">
      <c r="M440" s="258"/>
      <c r="Y440" s="258"/>
    </row>
    <row r="441" ht="15.75" customHeight="1">
      <c r="M441" s="258"/>
      <c r="Y441" s="258"/>
    </row>
    <row r="442" ht="15.75" customHeight="1">
      <c r="M442" s="258"/>
      <c r="Y442" s="258"/>
    </row>
    <row r="443" ht="15.75" customHeight="1">
      <c r="M443" s="258"/>
      <c r="Y443" s="258"/>
    </row>
    <row r="444" ht="15.75" customHeight="1">
      <c r="M444" s="258"/>
      <c r="Y444" s="258"/>
    </row>
    <row r="445" ht="15.75" customHeight="1">
      <c r="M445" s="258"/>
      <c r="Y445" s="258"/>
    </row>
    <row r="446" ht="15.75" customHeight="1">
      <c r="M446" s="258"/>
      <c r="Y446" s="258"/>
    </row>
    <row r="447" ht="15.75" customHeight="1">
      <c r="M447" s="258"/>
      <c r="Y447" s="258"/>
    </row>
    <row r="448" ht="15.75" customHeight="1">
      <c r="M448" s="258"/>
      <c r="Y448" s="258"/>
    </row>
    <row r="449" ht="15.75" customHeight="1">
      <c r="M449" s="258"/>
      <c r="Y449" s="258"/>
    </row>
    <row r="450" ht="15.75" customHeight="1">
      <c r="M450" s="258"/>
      <c r="Y450" s="258"/>
    </row>
    <row r="451" ht="15.75" customHeight="1">
      <c r="M451" s="258"/>
      <c r="Y451" s="258"/>
    </row>
    <row r="452" ht="15.75" customHeight="1">
      <c r="M452" s="258"/>
      <c r="Y452" s="258"/>
    </row>
    <row r="453" ht="15.75" customHeight="1">
      <c r="M453" s="258"/>
      <c r="Y453" s="258"/>
    </row>
    <row r="454" ht="15.75" customHeight="1">
      <c r="M454" s="258"/>
      <c r="Y454" s="258"/>
    </row>
    <row r="455" ht="15.75" customHeight="1">
      <c r="M455" s="258"/>
      <c r="Y455" s="258"/>
    </row>
    <row r="456" ht="15.75" customHeight="1">
      <c r="M456" s="258"/>
      <c r="Y456" s="258"/>
    </row>
    <row r="457" ht="15.75" customHeight="1">
      <c r="M457" s="258"/>
      <c r="Y457" s="258"/>
    </row>
    <row r="458" ht="15.75" customHeight="1">
      <c r="M458" s="258"/>
      <c r="Y458" s="258"/>
    </row>
    <row r="459" ht="15.75" customHeight="1">
      <c r="M459" s="258"/>
      <c r="Y459" s="258"/>
    </row>
    <row r="460" ht="15.75" customHeight="1">
      <c r="M460" s="258"/>
      <c r="Y460" s="258"/>
    </row>
    <row r="461" ht="15.75" customHeight="1">
      <c r="M461" s="258"/>
      <c r="Y461" s="258"/>
    </row>
    <row r="462" ht="15.75" customHeight="1">
      <c r="M462" s="258"/>
      <c r="Y462" s="258"/>
    </row>
    <row r="463" ht="15.75" customHeight="1">
      <c r="M463" s="258"/>
      <c r="Y463" s="258"/>
    </row>
    <row r="464" ht="15.75" customHeight="1">
      <c r="M464" s="258"/>
      <c r="Y464" s="258"/>
    </row>
    <row r="465" ht="15.75" customHeight="1">
      <c r="M465" s="258"/>
      <c r="Y465" s="258"/>
    </row>
    <row r="466" ht="15.75" customHeight="1">
      <c r="M466" s="258"/>
      <c r="Y466" s="258"/>
    </row>
    <row r="467" ht="15.75" customHeight="1">
      <c r="M467" s="258"/>
      <c r="Y467" s="258"/>
    </row>
    <row r="468" ht="15.75" customHeight="1">
      <c r="M468" s="258"/>
      <c r="Y468" s="258"/>
    </row>
    <row r="469" ht="15.75" customHeight="1">
      <c r="M469" s="258"/>
      <c r="Y469" s="258"/>
    </row>
    <row r="470" ht="15.75" customHeight="1">
      <c r="M470" s="258"/>
      <c r="Y470" s="258"/>
    </row>
    <row r="471" ht="15.75" customHeight="1">
      <c r="M471" s="258"/>
      <c r="Y471" s="258"/>
    </row>
    <row r="472" ht="15.75" customHeight="1">
      <c r="M472" s="258"/>
      <c r="Y472" s="258"/>
    </row>
    <row r="473" ht="15.75" customHeight="1">
      <c r="M473" s="258"/>
      <c r="Y473" s="258"/>
    </row>
    <row r="474" ht="15.75" customHeight="1">
      <c r="M474" s="258"/>
      <c r="Y474" s="258"/>
    </row>
    <row r="475" ht="15.75" customHeight="1">
      <c r="M475" s="258"/>
      <c r="Y475" s="258"/>
    </row>
    <row r="476" ht="15.75" customHeight="1">
      <c r="M476" s="258"/>
      <c r="Y476" s="258"/>
    </row>
    <row r="477" ht="15.75" customHeight="1">
      <c r="M477" s="258"/>
      <c r="Y477" s="258"/>
    </row>
    <row r="478" ht="15.75" customHeight="1">
      <c r="M478" s="258"/>
      <c r="Y478" s="258"/>
    </row>
    <row r="479" ht="15.75" customHeight="1">
      <c r="M479" s="258"/>
      <c r="Y479" s="258"/>
    </row>
    <row r="480" ht="15.75" customHeight="1">
      <c r="M480" s="258"/>
      <c r="Y480" s="258"/>
    </row>
    <row r="481" ht="15.75" customHeight="1">
      <c r="M481" s="258"/>
      <c r="Y481" s="258"/>
    </row>
    <row r="482" ht="15.75" customHeight="1">
      <c r="M482" s="258"/>
      <c r="Y482" s="258"/>
    </row>
    <row r="483" ht="15.75" customHeight="1">
      <c r="M483" s="258"/>
      <c r="Y483" s="258"/>
    </row>
    <row r="484" ht="15.75" customHeight="1">
      <c r="M484" s="258"/>
      <c r="Y484" s="258"/>
    </row>
    <row r="485" ht="15.75" customHeight="1">
      <c r="M485" s="258"/>
      <c r="Y485" s="258"/>
    </row>
    <row r="486" ht="15.75" customHeight="1">
      <c r="M486" s="258"/>
      <c r="Y486" s="258"/>
    </row>
    <row r="487" ht="15.75" customHeight="1">
      <c r="M487" s="258"/>
      <c r="Y487" s="258"/>
    </row>
    <row r="488" ht="15.75" customHeight="1">
      <c r="M488" s="258"/>
      <c r="Y488" s="258"/>
    </row>
    <row r="489" ht="15.75" customHeight="1">
      <c r="M489" s="258"/>
      <c r="Y489" s="258"/>
    </row>
    <row r="490" ht="15.75" customHeight="1">
      <c r="M490" s="258"/>
      <c r="Y490" s="258"/>
    </row>
    <row r="491" ht="15.75" customHeight="1">
      <c r="M491" s="258"/>
      <c r="Y491" s="258"/>
    </row>
    <row r="492" ht="15.75" customHeight="1">
      <c r="M492" s="258"/>
      <c r="Y492" s="258"/>
    </row>
    <row r="493" ht="15.75" customHeight="1">
      <c r="M493" s="258"/>
      <c r="Y493" s="258"/>
    </row>
    <row r="494" ht="15.75" customHeight="1">
      <c r="M494" s="258"/>
      <c r="Y494" s="258"/>
    </row>
    <row r="495" ht="15.75" customHeight="1">
      <c r="M495" s="258"/>
      <c r="Y495" s="258"/>
    </row>
    <row r="496" ht="15.75" customHeight="1">
      <c r="M496" s="258"/>
      <c r="Y496" s="258"/>
    </row>
    <row r="497" ht="15.75" customHeight="1">
      <c r="M497" s="258"/>
      <c r="Y497" s="258"/>
    </row>
    <row r="498" ht="15.75" customHeight="1">
      <c r="M498" s="258"/>
      <c r="Y498" s="258"/>
    </row>
    <row r="499" ht="15.75" customHeight="1">
      <c r="M499" s="258"/>
      <c r="Y499" s="258"/>
    </row>
    <row r="500" ht="15.75" customHeight="1">
      <c r="M500" s="258"/>
      <c r="Y500" s="258"/>
    </row>
    <row r="501" ht="15.75" customHeight="1">
      <c r="M501" s="258"/>
      <c r="Y501" s="258"/>
    </row>
    <row r="502" ht="15.75" customHeight="1">
      <c r="M502" s="258"/>
      <c r="Y502" s="258"/>
    </row>
    <row r="503" ht="15.75" customHeight="1">
      <c r="M503" s="258"/>
      <c r="Y503" s="258"/>
    </row>
    <row r="504" ht="15.75" customHeight="1">
      <c r="M504" s="258"/>
      <c r="Y504" s="258"/>
    </row>
    <row r="505" ht="15.75" customHeight="1">
      <c r="M505" s="258"/>
      <c r="Y505" s="258"/>
    </row>
    <row r="506" ht="15.75" customHeight="1">
      <c r="M506" s="258"/>
      <c r="Y506" s="258"/>
    </row>
    <row r="507" ht="15.75" customHeight="1">
      <c r="M507" s="258"/>
      <c r="Y507" s="258"/>
    </row>
    <row r="508" ht="15.75" customHeight="1">
      <c r="M508" s="258"/>
      <c r="Y508" s="258"/>
    </row>
    <row r="509" ht="15.75" customHeight="1">
      <c r="M509" s="258"/>
      <c r="Y509" s="258"/>
    </row>
    <row r="510" ht="15.75" customHeight="1">
      <c r="M510" s="258"/>
      <c r="Y510" s="258"/>
    </row>
    <row r="511" ht="15.75" customHeight="1">
      <c r="M511" s="258"/>
      <c r="Y511" s="258"/>
    </row>
    <row r="512" ht="15.75" customHeight="1">
      <c r="M512" s="258"/>
      <c r="Y512" s="258"/>
    </row>
    <row r="513" ht="15.75" customHeight="1">
      <c r="M513" s="258"/>
      <c r="Y513" s="258"/>
    </row>
    <row r="514" ht="15.75" customHeight="1">
      <c r="M514" s="258"/>
      <c r="Y514" s="258"/>
    </row>
    <row r="515" ht="15.75" customHeight="1">
      <c r="M515" s="258"/>
      <c r="Y515" s="258"/>
    </row>
    <row r="516" ht="15.75" customHeight="1">
      <c r="M516" s="258"/>
      <c r="Y516" s="258"/>
    </row>
    <row r="517" ht="15.75" customHeight="1">
      <c r="M517" s="258"/>
      <c r="Y517" s="258"/>
    </row>
    <row r="518" ht="15.75" customHeight="1">
      <c r="M518" s="258"/>
      <c r="Y518" s="258"/>
    </row>
    <row r="519" ht="15.75" customHeight="1">
      <c r="M519" s="258"/>
      <c r="Y519" s="258"/>
    </row>
    <row r="520" ht="15.75" customHeight="1">
      <c r="M520" s="258"/>
      <c r="Y520" s="258"/>
    </row>
    <row r="521" ht="15.75" customHeight="1">
      <c r="M521" s="258"/>
      <c r="Y521" s="258"/>
    </row>
    <row r="522" ht="15.75" customHeight="1">
      <c r="M522" s="258"/>
      <c r="Y522" s="258"/>
    </row>
    <row r="523" ht="15.75" customHeight="1">
      <c r="M523" s="258"/>
      <c r="Y523" s="258"/>
    </row>
    <row r="524" ht="15.75" customHeight="1">
      <c r="M524" s="258"/>
      <c r="Y524" s="258"/>
    </row>
    <row r="525" ht="15.75" customHeight="1">
      <c r="M525" s="258"/>
      <c r="Y525" s="258"/>
    </row>
    <row r="526" ht="15.75" customHeight="1">
      <c r="M526" s="258"/>
      <c r="Y526" s="258"/>
    </row>
    <row r="527" ht="15.75" customHeight="1">
      <c r="M527" s="258"/>
      <c r="Y527" s="258"/>
    </row>
    <row r="528" ht="15.75" customHeight="1">
      <c r="M528" s="258"/>
      <c r="Y528" s="258"/>
    </row>
    <row r="529" ht="15.75" customHeight="1">
      <c r="M529" s="258"/>
      <c r="Y529" s="258"/>
    </row>
    <row r="530" ht="15.75" customHeight="1">
      <c r="M530" s="258"/>
      <c r="Y530" s="258"/>
    </row>
    <row r="531" ht="15.75" customHeight="1">
      <c r="M531" s="258"/>
      <c r="Y531" s="258"/>
    </row>
    <row r="532" ht="15.75" customHeight="1">
      <c r="M532" s="258"/>
      <c r="Y532" s="258"/>
    </row>
    <row r="533" ht="15.75" customHeight="1">
      <c r="M533" s="258"/>
      <c r="Y533" s="258"/>
    </row>
    <row r="534" ht="15.75" customHeight="1">
      <c r="M534" s="258"/>
      <c r="Y534" s="258"/>
    </row>
    <row r="535" ht="15.75" customHeight="1">
      <c r="M535" s="258"/>
      <c r="Y535" s="258"/>
    </row>
    <row r="536" ht="15.75" customHeight="1">
      <c r="M536" s="258"/>
      <c r="Y536" s="258"/>
    </row>
    <row r="537" ht="15.75" customHeight="1">
      <c r="M537" s="258"/>
      <c r="Y537" s="258"/>
    </row>
    <row r="538" ht="15.75" customHeight="1">
      <c r="M538" s="258"/>
      <c r="Y538" s="258"/>
    </row>
    <row r="539" ht="15.75" customHeight="1">
      <c r="M539" s="258"/>
      <c r="Y539" s="258"/>
    </row>
    <row r="540" ht="15.75" customHeight="1">
      <c r="M540" s="258"/>
      <c r="Y540" s="258"/>
    </row>
    <row r="541" ht="15.75" customHeight="1">
      <c r="M541" s="258"/>
      <c r="Y541" s="258"/>
    </row>
    <row r="542" ht="15.75" customHeight="1">
      <c r="M542" s="258"/>
      <c r="Y542" s="258"/>
    </row>
    <row r="543" ht="15.75" customHeight="1">
      <c r="M543" s="258"/>
      <c r="Y543" s="258"/>
    </row>
    <row r="544" ht="15.75" customHeight="1">
      <c r="M544" s="258"/>
      <c r="Y544" s="258"/>
    </row>
    <row r="545" ht="15.75" customHeight="1">
      <c r="M545" s="258"/>
      <c r="Y545" s="258"/>
    </row>
    <row r="546" ht="15.75" customHeight="1">
      <c r="M546" s="258"/>
      <c r="Y546" s="258"/>
    </row>
    <row r="547" ht="15.75" customHeight="1">
      <c r="M547" s="258"/>
      <c r="Y547" s="258"/>
    </row>
    <row r="548" ht="15.75" customHeight="1">
      <c r="M548" s="258"/>
      <c r="Y548" s="258"/>
    </row>
    <row r="549" ht="15.75" customHeight="1">
      <c r="M549" s="258"/>
      <c r="Y549" s="258"/>
    </row>
    <row r="550" ht="15.75" customHeight="1">
      <c r="M550" s="258"/>
      <c r="Y550" s="258"/>
    </row>
    <row r="551" ht="15.75" customHeight="1">
      <c r="M551" s="258"/>
      <c r="Y551" s="258"/>
    </row>
    <row r="552" ht="15.75" customHeight="1">
      <c r="M552" s="258"/>
      <c r="Y552" s="258"/>
    </row>
    <row r="553" ht="15.75" customHeight="1">
      <c r="M553" s="258"/>
      <c r="Y553" s="258"/>
    </row>
    <row r="554" ht="15.75" customHeight="1">
      <c r="M554" s="258"/>
      <c r="Y554" s="258"/>
    </row>
    <row r="555" ht="15.75" customHeight="1">
      <c r="M555" s="258"/>
      <c r="Y555" s="258"/>
    </row>
    <row r="556" ht="15.75" customHeight="1">
      <c r="M556" s="258"/>
      <c r="Y556" s="258"/>
    </row>
    <row r="557" ht="15.75" customHeight="1">
      <c r="M557" s="258"/>
      <c r="Y557" s="258"/>
    </row>
    <row r="558" ht="15.75" customHeight="1">
      <c r="M558" s="258"/>
      <c r="Y558" s="258"/>
    </row>
    <row r="559" ht="15.75" customHeight="1">
      <c r="M559" s="258"/>
      <c r="Y559" s="258"/>
    </row>
    <row r="560" ht="15.75" customHeight="1">
      <c r="M560" s="258"/>
      <c r="Y560" s="258"/>
    </row>
    <row r="561" ht="15.75" customHeight="1">
      <c r="M561" s="258"/>
      <c r="Y561" s="258"/>
    </row>
    <row r="562" ht="15.75" customHeight="1">
      <c r="M562" s="258"/>
      <c r="Y562" s="258"/>
    </row>
    <row r="563" ht="15.75" customHeight="1">
      <c r="M563" s="258"/>
      <c r="Y563" s="258"/>
    </row>
    <row r="564" ht="15.75" customHeight="1">
      <c r="M564" s="258"/>
      <c r="Y564" s="258"/>
    </row>
    <row r="565" ht="15.75" customHeight="1">
      <c r="M565" s="258"/>
      <c r="Y565" s="258"/>
    </row>
    <row r="566" ht="15.75" customHeight="1">
      <c r="M566" s="258"/>
      <c r="Y566" s="258"/>
    </row>
    <row r="567" ht="15.75" customHeight="1">
      <c r="M567" s="258"/>
      <c r="Y567" s="258"/>
    </row>
    <row r="568" ht="15.75" customHeight="1">
      <c r="M568" s="258"/>
      <c r="Y568" s="258"/>
    </row>
    <row r="569" ht="15.75" customHeight="1">
      <c r="M569" s="258"/>
      <c r="Y569" s="258"/>
    </row>
    <row r="570" ht="15.75" customHeight="1">
      <c r="M570" s="258"/>
      <c r="Y570" s="258"/>
    </row>
    <row r="571" ht="15.75" customHeight="1">
      <c r="M571" s="258"/>
      <c r="Y571" s="258"/>
    </row>
    <row r="572" ht="15.75" customHeight="1">
      <c r="M572" s="258"/>
      <c r="Y572" s="258"/>
    </row>
    <row r="573" ht="15.75" customHeight="1">
      <c r="M573" s="258"/>
      <c r="Y573" s="258"/>
    </row>
    <row r="574" ht="15.75" customHeight="1">
      <c r="M574" s="258"/>
      <c r="Y574" s="258"/>
    </row>
    <row r="575" ht="15.75" customHeight="1">
      <c r="M575" s="258"/>
      <c r="Y575" s="258"/>
    </row>
    <row r="576" ht="15.75" customHeight="1">
      <c r="M576" s="258"/>
      <c r="Y576" s="258"/>
    </row>
    <row r="577" ht="15.75" customHeight="1">
      <c r="M577" s="258"/>
      <c r="Y577" s="258"/>
    </row>
    <row r="578" ht="15.75" customHeight="1">
      <c r="M578" s="258"/>
      <c r="Y578" s="258"/>
    </row>
    <row r="579" ht="15.75" customHeight="1">
      <c r="M579" s="258"/>
      <c r="Y579" s="258"/>
    </row>
    <row r="580" ht="15.75" customHeight="1">
      <c r="M580" s="258"/>
      <c r="Y580" s="258"/>
    </row>
    <row r="581" ht="15.75" customHeight="1">
      <c r="M581" s="258"/>
      <c r="Y581" s="258"/>
    </row>
    <row r="582" ht="15.75" customHeight="1">
      <c r="M582" s="258"/>
      <c r="Y582" s="258"/>
    </row>
    <row r="583" ht="15.75" customHeight="1">
      <c r="M583" s="258"/>
      <c r="Y583" s="258"/>
    </row>
    <row r="584" ht="15.75" customHeight="1">
      <c r="M584" s="258"/>
      <c r="Y584" s="258"/>
    </row>
    <row r="585" ht="15.75" customHeight="1">
      <c r="M585" s="258"/>
      <c r="Y585" s="258"/>
    </row>
    <row r="586" ht="15.75" customHeight="1">
      <c r="M586" s="258"/>
      <c r="Y586" s="258"/>
    </row>
    <row r="587" ht="15.75" customHeight="1">
      <c r="M587" s="258"/>
      <c r="Y587" s="258"/>
    </row>
    <row r="588" ht="15.75" customHeight="1">
      <c r="M588" s="258"/>
      <c r="Y588" s="258"/>
    </row>
    <row r="589" ht="15.75" customHeight="1">
      <c r="M589" s="258"/>
      <c r="Y589" s="258"/>
    </row>
    <row r="590" ht="15.75" customHeight="1">
      <c r="M590" s="258"/>
      <c r="Y590" s="258"/>
    </row>
    <row r="591" ht="15.75" customHeight="1">
      <c r="M591" s="258"/>
      <c r="Y591" s="258"/>
    </row>
    <row r="592" ht="15.75" customHeight="1">
      <c r="M592" s="258"/>
      <c r="Y592" s="258"/>
    </row>
    <row r="593" ht="15.75" customHeight="1">
      <c r="M593" s="258"/>
      <c r="Y593" s="258"/>
    </row>
    <row r="594" ht="15.75" customHeight="1">
      <c r="M594" s="258"/>
      <c r="Y594" s="258"/>
    </row>
    <row r="595" ht="15.75" customHeight="1">
      <c r="M595" s="258"/>
      <c r="Y595" s="258"/>
    </row>
    <row r="596" ht="15.75" customHeight="1">
      <c r="M596" s="258"/>
      <c r="Y596" s="258"/>
    </row>
    <row r="597" ht="15.75" customHeight="1">
      <c r="M597" s="258"/>
      <c r="Y597" s="258"/>
    </row>
    <row r="598" ht="15.75" customHeight="1">
      <c r="M598" s="258"/>
      <c r="Y598" s="258"/>
    </row>
    <row r="599" ht="15.75" customHeight="1">
      <c r="M599" s="258"/>
      <c r="Y599" s="258"/>
    </row>
    <row r="600" ht="15.75" customHeight="1">
      <c r="M600" s="258"/>
      <c r="Y600" s="258"/>
    </row>
    <row r="601" ht="15.75" customHeight="1">
      <c r="M601" s="258"/>
      <c r="Y601" s="258"/>
    </row>
    <row r="602" ht="15.75" customHeight="1">
      <c r="M602" s="258"/>
      <c r="Y602" s="258"/>
    </row>
    <row r="603" ht="15.75" customHeight="1">
      <c r="M603" s="258"/>
      <c r="Y603" s="258"/>
    </row>
    <row r="604" ht="15.75" customHeight="1">
      <c r="M604" s="258"/>
      <c r="Y604" s="258"/>
    </row>
    <row r="605" ht="15.75" customHeight="1">
      <c r="M605" s="258"/>
      <c r="Y605" s="258"/>
    </row>
    <row r="606" ht="15.75" customHeight="1">
      <c r="M606" s="258"/>
      <c r="Y606" s="258"/>
    </row>
    <row r="607" ht="15.75" customHeight="1">
      <c r="M607" s="258"/>
      <c r="Y607" s="258"/>
    </row>
    <row r="608" ht="15.75" customHeight="1">
      <c r="M608" s="258"/>
      <c r="Y608" s="258"/>
    </row>
    <row r="609" ht="15.75" customHeight="1">
      <c r="M609" s="258"/>
      <c r="Y609" s="258"/>
    </row>
    <row r="610" ht="15.75" customHeight="1">
      <c r="M610" s="258"/>
      <c r="Y610" s="258"/>
    </row>
    <row r="611" ht="15.75" customHeight="1">
      <c r="M611" s="258"/>
      <c r="Y611" s="258"/>
    </row>
    <row r="612" ht="15.75" customHeight="1">
      <c r="M612" s="258"/>
      <c r="Y612" s="258"/>
    </row>
    <row r="613" ht="15.75" customHeight="1">
      <c r="M613" s="258"/>
      <c r="Y613" s="258"/>
    </row>
    <row r="614" ht="15.75" customHeight="1">
      <c r="M614" s="258"/>
      <c r="Y614" s="258"/>
    </row>
    <row r="615" ht="15.75" customHeight="1">
      <c r="M615" s="258"/>
      <c r="Y615" s="258"/>
    </row>
    <row r="616" ht="15.75" customHeight="1">
      <c r="M616" s="258"/>
      <c r="Y616" s="258"/>
    </row>
    <row r="617" ht="15.75" customHeight="1">
      <c r="M617" s="258"/>
      <c r="Y617" s="258"/>
    </row>
    <row r="618" ht="15.75" customHeight="1">
      <c r="M618" s="258"/>
      <c r="Y618" s="258"/>
    </row>
    <row r="619" ht="15.75" customHeight="1">
      <c r="M619" s="258"/>
      <c r="Y619" s="258"/>
    </row>
    <row r="620" ht="15.75" customHeight="1">
      <c r="M620" s="258"/>
      <c r="Y620" s="258"/>
    </row>
    <row r="621" ht="15.75" customHeight="1">
      <c r="M621" s="258"/>
      <c r="Y621" s="258"/>
    </row>
    <row r="622" ht="15.75" customHeight="1">
      <c r="M622" s="258"/>
      <c r="Y622" s="258"/>
    </row>
    <row r="623" ht="15.75" customHeight="1">
      <c r="M623" s="258"/>
      <c r="Y623" s="258"/>
    </row>
    <row r="624" ht="15.75" customHeight="1">
      <c r="M624" s="258"/>
      <c r="Y624" s="258"/>
    </row>
    <row r="625" ht="15.75" customHeight="1">
      <c r="M625" s="258"/>
      <c r="Y625" s="258"/>
    </row>
    <row r="626" ht="15.75" customHeight="1">
      <c r="M626" s="258"/>
      <c r="Y626" s="258"/>
    </row>
    <row r="627" ht="15.75" customHeight="1">
      <c r="M627" s="258"/>
      <c r="Y627" s="258"/>
    </row>
    <row r="628" ht="15.75" customHeight="1">
      <c r="M628" s="258"/>
      <c r="Y628" s="258"/>
    </row>
    <row r="629" ht="15.75" customHeight="1">
      <c r="M629" s="258"/>
      <c r="Y629" s="258"/>
    </row>
    <row r="630" ht="15.75" customHeight="1">
      <c r="M630" s="258"/>
      <c r="Y630" s="258"/>
    </row>
    <row r="631" ht="15.75" customHeight="1">
      <c r="M631" s="258"/>
      <c r="Y631" s="258"/>
    </row>
    <row r="632" ht="15.75" customHeight="1">
      <c r="M632" s="258"/>
      <c r="Y632" s="258"/>
    </row>
    <row r="633" ht="15.75" customHeight="1">
      <c r="M633" s="258"/>
      <c r="Y633" s="258"/>
    </row>
    <row r="634" ht="15.75" customHeight="1">
      <c r="M634" s="258"/>
      <c r="Y634" s="258"/>
    </row>
    <row r="635" ht="15.75" customHeight="1">
      <c r="M635" s="258"/>
      <c r="Y635" s="258"/>
    </row>
    <row r="636" ht="15.75" customHeight="1">
      <c r="M636" s="258"/>
      <c r="Y636" s="258"/>
    </row>
    <row r="637" ht="15.75" customHeight="1">
      <c r="M637" s="258"/>
      <c r="Y637" s="258"/>
    </row>
    <row r="638" ht="15.75" customHeight="1">
      <c r="M638" s="258"/>
      <c r="Y638" s="258"/>
    </row>
    <row r="639" ht="15.75" customHeight="1">
      <c r="M639" s="258"/>
      <c r="Y639" s="258"/>
    </row>
    <row r="640" ht="15.75" customHeight="1">
      <c r="M640" s="258"/>
      <c r="Y640" s="258"/>
    </row>
    <row r="641" ht="15.75" customHeight="1">
      <c r="M641" s="258"/>
      <c r="Y641" s="258"/>
    </row>
    <row r="642" ht="15.75" customHeight="1">
      <c r="M642" s="258"/>
      <c r="Y642" s="258"/>
    </row>
    <row r="643" ht="15.75" customHeight="1">
      <c r="M643" s="258"/>
      <c r="Y643" s="258"/>
    </row>
    <row r="644" ht="15.75" customHeight="1">
      <c r="M644" s="258"/>
      <c r="Y644" s="258"/>
    </row>
    <row r="645" ht="15.75" customHeight="1">
      <c r="M645" s="258"/>
      <c r="Y645" s="258"/>
    </row>
    <row r="646" ht="15.75" customHeight="1">
      <c r="M646" s="258"/>
      <c r="Y646" s="258"/>
    </row>
    <row r="647" ht="15.75" customHeight="1">
      <c r="M647" s="258"/>
      <c r="Y647" s="258"/>
    </row>
    <row r="648" ht="15.75" customHeight="1">
      <c r="M648" s="258"/>
      <c r="Y648" s="258"/>
    </row>
    <row r="649" ht="15.75" customHeight="1">
      <c r="M649" s="258"/>
      <c r="Y649" s="258"/>
    </row>
    <row r="650" ht="15.75" customHeight="1">
      <c r="M650" s="258"/>
      <c r="Y650" s="258"/>
    </row>
    <row r="651" ht="15.75" customHeight="1">
      <c r="M651" s="258"/>
      <c r="Y651" s="258"/>
    </row>
    <row r="652" ht="15.75" customHeight="1">
      <c r="M652" s="258"/>
      <c r="Y652" s="258"/>
    </row>
    <row r="653" ht="15.75" customHeight="1">
      <c r="M653" s="258"/>
      <c r="Y653" s="258"/>
    </row>
    <row r="654" ht="15.75" customHeight="1">
      <c r="M654" s="258"/>
      <c r="Y654" s="258"/>
    </row>
    <row r="655" ht="15.75" customHeight="1">
      <c r="M655" s="258"/>
      <c r="Y655" s="258"/>
    </row>
    <row r="656" ht="15.75" customHeight="1">
      <c r="M656" s="258"/>
      <c r="Y656" s="258"/>
    </row>
    <row r="657" ht="15.75" customHeight="1">
      <c r="M657" s="258"/>
      <c r="Y657" s="258"/>
    </row>
    <row r="658" ht="15.75" customHeight="1">
      <c r="M658" s="258"/>
      <c r="Y658" s="258"/>
    </row>
    <row r="659" ht="15.75" customHeight="1">
      <c r="M659" s="258"/>
      <c r="Y659" s="258"/>
    </row>
    <row r="660" ht="15.75" customHeight="1">
      <c r="M660" s="258"/>
      <c r="Y660" s="258"/>
    </row>
    <row r="661" ht="15.75" customHeight="1">
      <c r="M661" s="258"/>
      <c r="Y661" s="258"/>
    </row>
    <row r="662" ht="15.75" customHeight="1">
      <c r="M662" s="258"/>
      <c r="Y662" s="258"/>
    </row>
    <row r="663" ht="15.75" customHeight="1">
      <c r="M663" s="258"/>
      <c r="Y663" s="258"/>
    </row>
    <row r="664" ht="15.75" customHeight="1">
      <c r="M664" s="258"/>
      <c r="Y664" s="258"/>
    </row>
    <row r="665" ht="15.75" customHeight="1">
      <c r="M665" s="258"/>
      <c r="Y665" s="258"/>
    </row>
    <row r="666" ht="15.75" customHeight="1">
      <c r="M666" s="258"/>
      <c r="Y666" s="258"/>
    </row>
    <row r="667" ht="15.75" customHeight="1">
      <c r="M667" s="258"/>
      <c r="Y667" s="258"/>
    </row>
    <row r="668" ht="15.75" customHeight="1">
      <c r="M668" s="258"/>
      <c r="Y668" s="258"/>
    </row>
    <row r="669" ht="15.75" customHeight="1">
      <c r="M669" s="258"/>
      <c r="Y669" s="258"/>
    </row>
    <row r="670" ht="15.75" customHeight="1">
      <c r="M670" s="258"/>
      <c r="Y670" s="258"/>
    </row>
    <row r="671" ht="15.75" customHeight="1">
      <c r="M671" s="258"/>
      <c r="Y671" s="258"/>
    </row>
    <row r="672" ht="15.75" customHeight="1">
      <c r="M672" s="258"/>
      <c r="Y672" s="258"/>
    </row>
    <row r="673" ht="15.75" customHeight="1">
      <c r="M673" s="258"/>
      <c r="Y673" s="258"/>
    </row>
    <row r="674" ht="15.75" customHeight="1">
      <c r="M674" s="258"/>
      <c r="Y674" s="258"/>
    </row>
    <row r="675" ht="15.75" customHeight="1">
      <c r="M675" s="258"/>
      <c r="Y675" s="258"/>
    </row>
    <row r="676" ht="15.75" customHeight="1">
      <c r="M676" s="258"/>
      <c r="Y676" s="258"/>
    </row>
    <row r="677" ht="15.75" customHeight="1">
      <c r="M677" s="258"/>
      <c r="Y677" s="258"/>
    </row>
    <row r="678" ht="15.75" customHeight="1">
      <c r="M678" s="258"/>
      <c r="Y678" s="258"/>
    </row>
    <row r="679" ht="15.75" customHeight="1">
      <c r="M679" s="258"/>
      <c r="Y679" s="258"/>
    </row>
    <row r="680" ht="15.75" customHeight="1">
      <c r="M680" s="258"/>
      <c r="Y680" s="258"/>
    </row>
    <row r="681" ht="15.75" customHeight="1">
      <c r="M681" s="258"/>
      <c r="Y681" s="258"/>
    </row>
    <row r="682" ht="15.75" customHeight="1">
      <c r="M682" s="258"/>
      <c r="Y682" s="258"/>
    </row>
    <row r="683" ht="15.75" customHeight="1">
      <c r="M683" s="258"/>
      <c r="Y683" s="258"/>
    </row>
    <row r="684" ht="15.75" customHeight="1">
      <c r="M684" s="258"/>
      <c r="Y684" s="258"/>
    </row>
    <row r="685" ht="15.75" customHeight="1">
      <c r="M685" s="258"/>
      <c r="Y685" s="258"/>
    </row>
    <row r="686" ht="15.75" customHeight="1">
      <c r="M686" s="258"/>
      <c r="Y686" s="258"/>
    </row>
    <row r="687" ht="15.75" customHeight="1">
      <c r="M687" s="258"/>
      <c r="Y687" s="258"/>
    </row>
    <row r="688" ht="15.75" customHeight="1">
      <c r="M688" s="258"/>
      <c r="Y688" s="258"/>
    </row>
    <row r="689" ht="15.75" customHeight="1">
      <c r="M689" s="258"/>
      <c r="Y689" s="258"/>
    </row>
    <row r="690" ht="15.75" customHeight="1">
      <c r="M690" s="258"/>
      <c r="Y690" s="258"/>
    </row>
    <row r="691" ht="15.75" customHeight="1">
      <c r="M691" s="258"/>
      <c r="Y691" s="258"/>
    </row>
    <row r="692" ht="15.75" customHeight="1">
      <c r="M692" s="258"/>
      <c r="Y692" s="258"/>
    </row>
    <row r="693" ht="15.75" customHeight="1">
      <c r="M693" s="258"/>
      <c r="Y693" s="258"/>
    </row>
    <row r="694" ht="15.75" customHeight="1">
      <c r="M694" s="258"/>
      <c r="Y694" s="258"/>
    </row>
    <row r="695" ht="15.75" customHeight="1">
      <c r="M695" s="258"/>
      <c r="Y695" s="258"/>
    </row>
    <row r="696" ht="15.75" customHeight="1">
      <c r="M696" s="258"/>
      <c r="Y696" s="258"/>
    </row>
    <row r="697" ht="15.75" customHeight="1">
      <c r="M697" s="258"/>
      <c r="Y697" s="258"/>
    </row>
    <row r="698" ht="15.75" customHeight="1">
      <c r="M698" s="258"/>
      <c r="Y698" s="258"/>
    </row>
    <row r="699" ht="15.75" customHeight="1">
      <c r="M699" s="258"/>
      <c r="Y699" s="258"/>
    </row>
    <row r="700" ht="15.75" customHeight="1">
      <c r="M700" s="258"/>
      <c r="Y700" s="258"/>
    </row>
    <row r="701" ht="15.75" customHeight="1">
      <c r="M701" s="258"/>
      <c r="Y701" s="258"/>
    </row>
    <row r="702" ht="15.75" customHeight="1">
      <c r="M702" s="258"/>
      <c r="Y702" s="258"/>
    </row>
    <row r="703" ht="15.75" customHeight="1">
      <c r="M703" s="258"/>
      <c r="Y703" s="258"/>
    </row>
    <row r="704" ht="15.75" customHeight="1">
      <c r="M704" s="258"/>
      <c r="Y704" s="258"/>
    </row>
    <row r="705" ht="15.75" customHeight="1">
      <c r="M705" s="258"/>
      <c r="Y705" s="258"/>
    </row>
    <row r="706" ht="15.75" customHeight="1">
      <c r="M706" s="258"/>
      <c r="Y706" s="258"/>
    </row>
    <row r="707" ht="15.75" customHeight="1">
      <c r="M707" s="258"/>
      <c r="Y707" s="258"/>
    </row>
    <row r="708" ht="15.75" customHeight="1">
      <c r="M708" s="258"/>
      <c r="Y708" s="258"/>
    </row>
    <row r="709" ht="15.75" customHeight="1">
      <c r="M709" s="258"/>
      <c r="Y709" s="258"/>
    </row>
    <row r="710" ht="15.75" customHeight="1">
      <c r="M710" s="258"/>
      <c r="Y710" s="258"/>
    </row>
    <row r="711" ht="15.75" customHeight="1">
      <c r="M711" s="258"/>
      <c r="Y711" s="258"/>
    </row>
    <row r="712" ht="15.75" customHeight="1">
      <c r="M712" s="258"/>
      <c r="Y712" s="258"/>
    </row>
    <row r="713" ht="15.75" customHeight="1">
      <c r="M713" s="258"/>
      <c r="Y713" s="258"/>
    </row>
    <row r="714" ht="15.75" customHeight="1">
      <c r="M714" s="258"/>
      <c r="Y714" s="258"/>
    </row>
    <row r="715" ht="15.75" customHeight="1">
      <c r="M715" s="258"/>
      <c r="Y715" s="258"/>
    </row>
    <row r="716" ht="15.75" customHeight="1">
      <c r="M716" s="258"/>
      <c r="Y716" s="258"/>
    </row>
    <row r="717" ht="15.75" customHeight="1">
      <c r="M717" s="258"/>
      <c r="Y717" s="258"/>
    </row>
    <row r="718" ht="15.75" customHeight="1">
      <c r="M718" s="258"/>
      <c r="Y718" s="258"/>
    </row>
    <row r="719" ht="15.75" customHeight="1">
      <c r="M719" s="258"/>
      <c r="Y719" s="258"/>
    </row>
    <row r="720" ht="15.75" customHeight="1">
      <c r="M720" s="258"/>
      <c r="Y720" s="258"/>
    </row>
    <row r="721" ht="15.75" customHeight="1">
      <c r="M721" s="258"/>
      <c r="Y721" s="258"/>
    </row>
    <row r="722" ht="15.75" customHeight="1">
      <c r="M722" s="258"/>
      <c r="Y722" s="258"/>
    </row>
    <row r="723" ht="15.75" customHeight="1">
      <c r="M723" s="258"/>
      <c r="Y723" s="258"/>
    </row>
    <row r="724" ht="15.75" customHeight="1">
      <c r="M724" s="258"/>
      <c r="Y724" s="258"/>
    </row>
    <row r="725" ht="15.75" customHeight="1">
      <c r="M725" s="258"/>
      <c r="Y725" s="258"/>
    </row>
    <row r="726" ht="15.75" customHeight="1">
      <c r="M726" s="258"/>
      <c r="Y726" s="258"/>
    </row>
    <row r="727" ht="15.75" customHeight="1">
      <c r="M727" s="258"/>
      <c r="Y727" s="258"/>
    </row>
    <row r="728" ht="15.75" customHeight="1">
      <c r="M728" s="258"/>
      <c r="Y728" s="258"/>
    </row>
    <row r="729" ht="15.75" customHeight="1">
      <c r="M729" s="258"/>
      <c r="Y729" s="258"/>
    </row>
    <row r="730" ht="15.75" customHeight="1">
      <c r="M730" s="258"/>
      <c r="Y730" s="258"/>
    </row>
    <row r="731" ht="15.75" customHeight="1">
      <c r="M731" s="258"/>
      <c r="Y731" s="258"/>
    </row>
    <row r="732" ht="15.75" customHeight="1">
      <c r="M732" s="258"/>
      <c r="Y732" s="258"/>
    </row>
    <row r="733" ht="15.75" customHeight="1">
      <c r="M733" s="258"/>
      <c r="Y733" s="258"/>
    </row>
    <row r="734" ht="15.75" customHeight="1">
      <c r="M734" s="258"/>
      <c r="Y734" s="258"/>
    </row>
    <row r="735" ht="15.75" customHeight="1">
      <c r="M735" s="258"/>
      <c r="Y735" s="258"/>
    </row>
    <row r="736" ht="15.75" customHeight="1">
      <c r="M736" s="258"/>
      <c r="Y736" s="258"/>
    </row>
    <row r="737" ht="15.75" customHeight="1">
      <c r="M737" s="258"/>
      <c r="Y737" s="258"/>
    </row>
    <row r="738" ht="15.75" customHeight="1">
      <c r="M738" s="258"/>
      <c r="Y738" s="258"/>
    </row>
    <row r="739" ht="15.75" customHeight="1">
      <c r="M739" s="258"/>
      <c r="Y739" s="258"/>
    </row>
    <row r="740" ht="15.75" customHeight="1">
      <c r="M740" s="258"/>
      <c r="Y740" s="258"/>
    </row>
    <row r="741" ht="15.75" customHeight="1">
      <c r="M741" s="258"/>
      <c r="Y741" s="258"/>
    </row>
    <row r="742" ht="15.75" customHeight="1">
      <c r="M742" s="258"/>
      <c r="Y742" s="258"/>
    </row>
    <row r="743" ht="15.75" customHeight="1">
      <c r="M743" s="258"/>
      <c r="Y743" s="258"/>
    </row>
    <row r="744" ht="15.75" customHeight="1">
      <c r="M744" s="258"/>
      <c r="Y744" s="258"/>
    </row>
    <row r="745" ht="15.75" customHeight="1">
      <c r="M745" s="258"/>
      <c r="Y745" s="258"/>
    </row>
    <row r="746" ht="15.75" customHeight="1">
      <c r="M746" s="258"/>
      <c r="Y746" s="258"/>
    </row>
    <row r="747" ht="15.75" customHeight="1">
      <c r="M747" s="258"/>
      <c r="Y747" s="258"/>
    </row>
    <row r="748" ht="15.75" customHeight="1">
      <c r="M748" s="258"/>
      <c r="Y748" s="258"/>
    </row>
    <row r="749" ht="15.75" customHeight="1">
      <c r="M749" s="258"/>
      <c r="Y749" s="258"/>
    </row>
    <row r="750" ht="15.75" customHeight="1">
      <c r="M750" s="258"/>
      <c r="Y750" s="258"/>
    </row>
    <row r="751" ht="15.75" customHeight="1">
      <c r="M751" s="258"/>
      <c r="Y751" s="258"/>
    </row>
    <row r="752" ht="15.75" customHeight="1">
      <c r="M752" s="258"/>
      <c r="Y752" s="258"/>
    </row>
    <row r="753" ht="15.75" customHeight="1">
      <c r="M753" s="258"/>
      <c r="Y753" s="258"/>
    </row>
    <row r="754" ht="15.75" customHeight="1">
      <c r="M754" s="258"/>
      <c r="Y754" s="258"/>
    </row>
    <row r="755" ht="15.75" customHeight="1">
      <c r="M755" s="258"/>
      <c r="Y755" s="258"/>
    </row>
    <row r="756" ht="15.75" customHeight="1">
      <c r="M756" s="258"/>
      <c r="Y756" s="258"/>
    </row>
    <row r="757" ht="15.75" customHeight="1">
      <c r="M757" s="258"/>
      <c r="Y757" s="258"/>
    </row>
    <row r="758" ht="15.75" customHeight="1">
      <c r="M758" s="258"/>
      <c r="Y758" s="258"/>
    </row>
    <row r="759" ht="15.75" customHeight="1">
      <c r="M759" s="258"/>
      <c r="Y759" s="258"/>
    </row>
    <row r="760" ht="15.75" customHeight="1">
      <c r="M760" s="258"/>
      <c r="Y760" s="258"/>
    </row>
    <row r="761" ht="15.75" customHeight="1">
      <c r="M761" s="258"/>
      <c r="Y761" s="258"/>
    </row>
    <row r="762" ht="15.75" customHeight="1">
      <c r="M762" s="258"/>
      <c r="Y762" s="258"/>
    </row>
    <row r="763" ht="15.75" customHeight="1">
      <c r="M763" s="258"/>
      <c r="Y763" s="258"/>
    </row>
    <row r="764" ht="15.75" customHeight="1">
      <c r="M764" s="258"/>
      <c r="Y764" s="258"/>
    </row>
    <row r="765" ht="15.75" customHeight="1">
      <c r="M765" s="258"/>
      <c r="Y765" s="258"/>
    </row>
    <row r="766" ht="15.75" customHeight="1">
      <c r="M766" s="258"/>
      <c r="Y766" s="258"/>
    </row>
    <row r="767" ht="15.75" customHeight="1">
      <c r="M767" s="258"/>
      <c r="Y767" s="258"/>
    </row>
    <row r="768" ht="15.75" customHeight="1">
      <c r="M768" s="258"/>
      <c r="Y768" s="258"/>
    </row>
    <row r="769" ht="15.75" customHeight="1">
      <c r="M769" s="258"/>
      <c r="Y769" s="258"/>
    </row>
    <row r="770" ht="15.75" customHeight="1">
      <c r="M770" s="258"/>
      <c r="Y770" s="258"/>
    </row>
    <row r="771" ht="15.75" customHeight="1">
      <c r="M771" s="258"/>
      <c r="Y771" s="258"/>
    </row>
    <row r="772" ht="15.75" customHeight="1">
      <c r="M772" s="258"/>
      <c r="Y772" s="258"/>
    </row>
    <row r="773" ht="15.75" customHeight="1">
      <c r="M773" s="258"/>
      <c r="Y773" s="258"/>
    </row>
    <row r="774" ht="15.75" customHeight="1">
      <c r="M774" s="258"/>
      <c r="Y774" s="258"/>
    </row>
    <row r="775" ht="15.75" customHeight="1">
      <c r="M775" s="258"/>
      <c r="Y775" s="258"/>
    </row>
    <row r="776" ht="15.75" customHeight="1">
      <c r="M776" s="258"/>
      <c r="Y776" s="258"/>
    </row>
    <row r="777" ht="15.75" customHeight="1">
      <c r="M777" s="258"/>
      <c r="Y777" s="258"/>
    </row>
    <row r="778" ht="15.75" customHeight="1">
      <c r="M778" s="258"/>
      <c r="Y778" s="258"/>
    </row>
    <row r="779" ht="15.75" customHeight="1">
      <c r="M779" s="258"/>
      <c r="Y779" s="258"/>
    </row>
    <row r="780" ht="15.75" customHeight="1">
      <c r="M780" s="258"/>
      <c r="Y780" s="258"/>
    </row>
    <row r="781" ht="15.75" customHeight="1">
      <c r="M781" s="258"/>
      <c r="Y781" s="258"/>
    </row>
    <row r="782" ht="15.75" customHeight="1">
      <c r="M782" s="258"/>
      <c r="Y782" s="258"/>
    </row>
    <row r="783" ht="15.75" customHeight="1">
      <c r="M783" s="258"/>
      <c r="Y783" s="258"/>
    </row>
    <row r="784" ht="15.75" customHeight="1">
      <c r="M784" s="258"/>
      <c r="Y784" s="258"/>
    </row>
    <row r="785" ht="15.75" customHeight="1">
      <c r="M785" s="258"/>
      <c r="Y785" s="258"/>
    </row>
    <row r="786" ht="15.75" customHeight="1">
      <c r="M786" s="258"/>
      <c r="Y786" s="258"/>
    </row>
    <row r="787" ht="15.75" customHeight="1">
      <c r="M787" s="258"/>
      <c r="Y787" s="258"/>
    </row>
    <row r="788" ht="15.75" customHeight="1">
      <c r="M788" s="258"/>
      <c r="Y788" s="258"/>
    </row>
    <row r="789" ht="15.75" customHeight="1">
      <c r="M789" s="258"/>
      <c r="Y789" s="258"/>
    </row>
    <row r="790" ht="15.75" customHeight="1">
      <c r="M790" s="258"/>
      <c r="Y790" s="258"/>
    </row>
    <row r="791" ht="15.75" customHeight="1">
      <c r="M791" s="258"/>
      <c r="Y791" s="258"/>
    </row>
    <row r="792" ht="15.75" customHeight="1">
      <c r="M792" s="258"/>
      <c r="Y792" s="258"/>
    </row>
    <row r="793" ht="15.75" customHeight="1">
      <c r="M793" s="258"/>
      <c r="Y793" s="258"/>
    </row>
    <row r="794" ht="15.75" customHeight="1">
      <c r="M794" s="258"/>
      <c r="Y794" s="258"/>
    </row>
    <row r="795" ht="15.75" customHeight="1">
      <c r="M795" s="258"/>
      <c r="Y795" s="258"/>
    </row>
    <row r="796" ht="15.75" customHeight="1">
      <c r="M796" s="258"/>
      <c r="Y796" s="258"/>
    </row>
    <row r="797" ht="15.75" customHeight="1">
      <c r="M797" s="258"/>
      <c r="Y797" s="258"/>
    </row>
    <row r="798" ht="15.75" customHeight="1">
      <c r="M798" s="258"/>
      <c r="Y798" s="258"/>
    </row>
    <row r="799" ht="15.75" customHeight="1">
      <c r="M799" s="258"/>
      <c r="Y799" s="258"/>
    </row>
    <row r="800" ht="15.75" customHeight="1">
      <c r="M800" s="258"/>
      <c r="Y800" s="258"/>
    </row>
    <row r="801" ht="15.75" customHeight="1">
      <c r="M801" s="258"/>
      <c r="Y801" s="258"/>
    </row>
    <row r="802" ht="15.75" customHeight="1">
      <c r="M802" s="258"/>
      <c r="Y802" s="258"/>
    </row>
    <row r="803" ht="15.75" customHeight="1">
      <c r="M803" s="258"/>
      <c r="Y803" s="258"/>
    </row>
    <row r="804" ht="15.75" customHeight="1">
      <c r="M804" s="258"/>
      <c r="Y804" s="258"/>
    </row>
    <row r="805" ht="15.75" customHeight="1">
      <c r="M805" s="258"/>
      <c r="Y805" s="258"/>
    </row>
    <row r="806" ht="15.75" customHeight="1">
      <c r="M806" s="258"/>
      <c r="Y806" s="258"/>
    </row>
    <row r="807" ht="15.75" customHeight="1">
      <c r="M807" s="258"/>
      <c r="Y807" s="258"/>
    </row>
    <row r="808" ht="15.75" customHeight="1">
      <c r="M808" s="258"/>
      <c r="Y808" s="258"/>
    </row>
    <row r="809" ht="15.75" customHeight="1">
      <c r="M809" s="258"/>
      <c r="Y809" s="258"/>
    </row>
    <row r="810" ht="15.75" customHeight="1">
      <c r="M810" s="258"/>
      <c r="Y810" s="258"/>
    </row>
    <row r="811" ht="15.75" customHeight="1">
      <c r="M811" s="258"/>
      <c r="Y811" s="258"/>
    </row>
    <row r="812" ht="15.75" customHeight="1">
      <c r="M812" s="258"/>
      <c r="Y812" s="258"/>
    </row>
    <row r="813" ht="15.75" customHeight="1">
      <c r="M813" s="258"/>
      <c r="Y813" s="258"/>
    </row>
    <row r="814" ht="15.75" customHeight="1">
      <c r="M814" s="258"/>
      <c r="Y814" s="258"/>
    </row>
    <row r="815" ht="15.75" customHeight="1">
      <c r="M815" s="258"/>
      <c r="Y815" s="258"/>
    </row>
    <row r="816" ht="15.75" customHeight="1">
      <c r="M816" s="258"/>
      <c r="Y816" s="258"/>
    </row>
    <row r="817" ht="15.75" customHeight="1">
      <c r="M817" s="258"/>
      <c r="Y817" s="258"/>
    </row>
    <row r="818" ht="15.75" customHeight="1">
      <c r="M818" s="258"/>
      <c r="Y818" s="258"/>
    </row>
    <row r="819" ht="15.75" customHeight="1">
      <c r="M819" s="258"/>
      <c r="Y819" s="258"/>
    </row>
    <row r="820" ht="15.75" customHeight="1">
      <c r="M820" s="258"/>
      <c r="Y820" s="258"/>
    </row>
    <row r="821" ht="15.75" customHeight="1">
      <c r="M821" s="258"/>
      <c r="Y821" s="258"/>
    </row>
    <row r="822" ht="15.75" customHeight="1">
      <c r="M822" s="258"/>
      <c r="Y822" s="258"/>
    </row>
    <row r="823" ht="15.75" customHeight="1">
      <c r="M823" s="258"/>
      <c r="Y823" s="258"/>
    </row>
    <row r="824" ht="15.75" customHeight="1">
      <c r="M824" s="258"/>
      <c r="Y824" s="258"/>
    </row>
    <row r="825" ht="15.75" customHeight="1">
      <c r="M825" s="258"/>
      <c r="Y825" s="258"/>
    </row>
    <row r="826" ht="15.75" customHeight="1">
      <c r="M826" s="258"/>
      <c r="Y826" s="258"/>
    </row>
    <row r="827" ht="15.75" customHeight="1">
      <c r="M827" s="258"/>
      <c r="Y827" s="258"/>
    </row>
    <row r="828" ht="15.75" customHeight="1">
      <c r="M828" s="258"/>
      <c r="Y828" s="258"/>
    </row>
    <row r="829" ht="15.75" customHeight="1">
      <c r="M829" s="258"/>
      <c r="Y829" s="258"/>
    </row>
    <row r="830" ht="15.75" customHeight="1">
      <c r="M830" s="258"/>
      <c r="Y830" s="258"/>
    </row>
    <row r="831" ht="15.75" customHeight="1">
      <c r="M831" s="258"/>
      <c r="Y831" s="258"/>
    </row>
    <row r="832" ht="15.75" customHeight="1">
      <c r="M832" s="258"/>
      <c r="Y832" s="258"/>
    </row>
    <row r="833" ht="15.75" customHeight="1">
      <c r="M833" s="258"/>
      <c r="Y833" s="258"/>
    </row>
    <row r="834" ht="15.75" customHeight="1">
      <c r="M834" s="258"/>
      <c r="Y834" s="258"/>
    </row>
    <row r="835" ht="15.75" customHeight="1">
      <c r="M835" s="258"/>
      <c r="Y835" s="258"/>
    </row>
    <row r="836" ht="15.75" customHeight="1">
      <c r="M836" s="258"/>
      <c r="Y836" s="258"/>
    </row>
    <row r="837" ht="15.75" customHeight="1">
      <c r="M837" s="258"/>
      <c r="Y837" s="258"/>
    </row>
    <row r="838" ht="15.75" customHeight="1">
      <c r="M838" s="258"/>
      <c r="Y838" s="258"/>
    </row>
    <row r="839" ht="15.75" customHeight="1">
      <c r="M839" s="258"/>
      <c r="Y839" s="258"/>
    </row>
    <row r="840" ht="15.75" customHeight="1">
      <c r="M840" s="258"/>
      <c r="Y840" s="258"/>
    </row>
    <row r="841" ht="15.75" customHeight="1">
      <c r="M841" s="258"/>
      <c r="Y841" s="258"/>
    </row>
    <row r="842" ht="15.75" customHeight="1">
      <c r="M842" s="258"/>
      <c r="Y842" s="258"/>
    </row>
    <row r="843" ht="15.75" customHeight="1">
      <c r="M843" s="258"/>
      <c r="Y843" s="258"/>
    </row>
    <row r="844" ht="15.75" customHeight="1">
      <c r="M844" s="258"/>
      <c r="Y844" s="258"/>
    </row>
    <row r="845" ht="15.75" customHeight="1">
      <c r="M845" s="258"/>
      <c r="Y845" s="258"/>
    </row>
    <row r="846" ht="15.75" customHeight="1">
      <c r="M846" s="258"/>
      <c r="Y846" s="258"/>
    </row>
    <row r="847" ht="15.75" customHeight="1">
      <c r="M847" s="258"/>
      <c r="Y847" s="258"/>
    </row>
    <row r="848" ht="15.75" customHeight="1">
      <c r="M848" s="258"/>
      <c r="Y848" s="258"/>
    </row>
    <row r="849" ht="15.75" customHeight="1">
      <c r="M849" s="258"/>
      <c r="Y849" s="258"/>
    </row>
    <row r="850" ht="15.75" customHeight="1">
      <c r="M850" s="258"/>
      <c r="Y850" s="258"/>
    </row>
    <row r="851" ht="15.75" customHeight="1">
      <c r="M851" s="258"/>
      <c r="Y851" s="258"/>
    </row>
    <row r="852" ht="15.75" customHeight="1">
      <c r="M852" s="258"/>
      <c r="Y852" s="258"/>
    </row>
    <row r="853" ht="15.75" customHeight="1">
      <c r="M853" s="258"/>
      <c r="Y853" s="258"/>
    </row>
    <row r="854" ht="15.75" customHeight="1">
      <c r="M854" s="258"/>
      <c r="Y854" s="258"/>
    </row>
    <row r="855" ht="15.75" customHeight="1">
      <c r="M855" s="258"/>
      <c r="Y855" s="258"/>
    </row>
    <row r="856" ht="15.75" customHeight="1">
      <c r="M856" s="258"/>
      <c r="Y856" s="258"/>
    </row>
    <row r="857" ht="15.75" customHeight="1">
      <c r="M857" s="258"/>
      <c r="Y857" s="258"/>
    </row>
    <row r="858" ht="15.75" customHeight="1">
      <c r="M858" s="258"/>
      <c r="Y858" s="258"/>
    </row>
    <row r="859" ht="15.75" customHeight="1">
      <c r="M859" s="258"/>
      <c r="Y859" s="258"/>
    </row>
    <row r="860" ht="15.75" customHeight="1">
      <c r="M860" s="258"/>
      <c r="Y860" s="258"/>
    </row>
    <row r="861" ht="15.75" customHeight="1">
      <c r="M861" s="258"/>
      <c r="Y861" s="258"/>
    </row>
    <row r="862" ht="15.75" customHeight="1">
      <c r="M862" s="258"/>
      <c r="Y862" s="258"/>
    </row>
    <row r="863" ht="15.75" customHeight="1">
      <c r="M863" s="258"/>
      <c r="Y863" s="258"/>
    </row>
    <row r="864" ht="15.75" customHeight="1">
      <c r="M864" s="258"/>
      <c r="Y864" s="258"/>
    </row>
    <row r="865" ht="15.75" customHeight="1">
      <c r="M865" s="258"/>
      <c r="Y865" s="258"/>
    </row>
    <row r="866" ht="15.75" customHeight="1">
      <c r="M866" s="258"/>
      <c r="Y866" s="258"/>
    </row>
    <row r="867" ht="15.75" customHeight="1">
      <c r="M867" s="258"/>
      <c r="Y867" s="258"/>
    </row>
    <row r="868" ht="15.75" customHeight="1">
      <c r="M868" s="258"/>
      <c r="Y868" s="258"/>
    </row>
    <row r="869" ht="15.75" customHeight="1">
      <c r="M869" s="258"/>
      <c r="Y869" s="258"/>
    </row>
    <row r="870" ht="15.75" customHeight="1">
      <c r="M870" s="258"/>
      <c r="Y870" s="258"/>
    </row>
    <row r="871" ht="15.75" customHeight="1">
      <c r="M871" s="258"/>
      <c r="Y871" s="258"/>
    </row>
    <row r="872" ht="15.75" customHeight="1">
      <c r="M872" s="258"/>
      <c r="Y872" s="258"/>
    </row>
    <row r="873" ht="15.75" customHeight="1">
      <c r="M873" s="258"/>
      <c r="Y873" s="258"/>
    </row>
    <row r="874" ht="15.75" customHeight="1">
      <c r="M874" s="258"/>
      <c r="Y874" s="258"/>
    </row>
    <row r="875" ht="15.75" customHeight="1">
      <c r="M875" s="258"/>
      <c r="Y875" s="258"/>
    </row>
    <row r="876" ht="15.75" customHeight="1">
      <c r="M876" s="258"/>
      <c r="Y876" s="258"/>
    </row>
    <row r="877" ht="15.75" customHeight="1">
      <c r="M877" s="258"/>
      <c r="Y877" s="258"/>
    </row>
    <row r="878" ht="15.75" customHeight="1">
      <c r="M878" s="258"/>
      <c r="Y878" s="258"/>
    </row>
    <row r="879" ht="15.75" customHeight="1">
      <c r="M879" s="258"/>
      <c r="Y879" s="258"/>
    </row>
    <row r="880" ht="15.75" customHeight="1">
      <c r="M880" s="258"/>
      <c r="Y880" s="258"/>
    </row>
    <row r="881" ht="15.75" customHeight="1">
      <c r="M881" s="258"/>
      <c r="Y881" s="258"/>
    </row>
    <row r="882" ht="15.75" customHeight="1">
      <c r="M882" s="258"/>
      <c r="Y882" s="258"/>
    </row>
    <row r="883" ht="15.75" customHeight="1">
      <c r="M883" s="258"/>
      <c r="Y883" s="258"/>
    </row>
    <row r="884" ht="15.75" customHeight="1">
      <c r="M884" s="258"/>
      <c r="Y884" s="258"/>
    </row>
    <row r="885" ht="15.75" customHeight="1">
      <c r="M885" s="258"/>
      <c r="Y885" s="258"/>
    </row>
    <row r="886" ht="15.75" customHeight="1">
      <c r="M886" s="258"/>
      <c r="Y886" s="258"/>
    </row>
    <row r="887" ht="15.75" customHeight="1">
      <c r="M887" s="258"/>
      <c r="Y887" s="258"/>
    </row>
    <row r="888" ht="15.75" customHeight="1">
      <c r="M888" s="258"/>
      <c r="Y888" s="258"/>
    </row>
    <row r="889" ht="15.75" customHeight="1">
      <c r="M889" s="258"/>
      <c r="Y889" s="258"/>
    </row>
    <row r="890" ht="15.75" customHeight="1">
      <c r="M890" s="258"/>
      <c r="Y890" s="258"/>
    </row>
    <row r="891" ht="15.75" customHeight="1">
      <c r="M891" s="258"/>
      <c r="Y891" s="258"/>
    </row>
    <row r="892" ht="15.75" customHeight="1">
      <c r="M892" s="258"/>
      <c r="Y892" s="258"/>
    </row>
    <row r="893" ht="15.75" customHeight="1">
      <c r="M893" s="258"/>
      <c r="Y893" s="258"/>
    </row>
    <row r="894" ht="15.75" customHeight="1">
      <c r="M894" s="258"/>
      <c r="Y894" s="258"/>
    </row>
    <row r="895" ht="15.75" customHeight="1">
      <c r="M895" s="258"/>
      <c r="Y895" s="258"/>
    </row>
    <row r="896" ht="15.75" customHeight="1">
      <c r="M896" s="258"/>
      <c r="Y896" s="258"/>
    </row>
    <row r="897" ht="15.75" customHeight="1">
      <c r="M897" s="258"/>
      <c r="Y897" s="258"/>
    </row>
    <row r="898" ht="15.75" customHeight="1">
      <c r="M898" s="258"/>
      <c r="Y898" s="258"/>
    </row>
    <row r="899" ht="15.75" customHeight="1">
      <c r="M899" s="258"/>
      <c r="Y899" s="258"/>
    </row>
    <row r="900" ht="15.75" customHeight="1">
      <c r="M900" s="258"/>
      <c r="Y900" s="258"/>
    </row>
    <row r="901" ht="15.75" customHeight="1">
      <c r="M901" s="258"/>
      <c r="Y901" s="258"/>
    </row>
    <row r="902" ht="15.75" customHeight="1">
      <c r="M902" s="258"/>
      <c r="Y902" s="258"/>
    </row>
    <row r="903" ht="15.75" customHeight="1">
      <c r="M903" s="258"/>
      <c r="Y903" s="258"/>
    </row>
    <row r="904" ht="15.75" customHeight="1">
      <c r="M904" s="258"/>
      <c r="Y904" s="258"/>
    </row>
    <row r="905" ht="15.75" customHeight="1">
      <c r="M905" s="258"/>
      <c r="Y905" s="258"/>
    </row>
    <row r="906" ht="15.75" customHeight="1">
      <c r="M906" s="258"/>
      <c r="Y906" s="258"/>
    </row>
    <row r="907" ht="15.75" customHeight="1">
      <c r="M907" s="258"/>
      <c r="Y907" s="258"/>
    </row>
    <row r="908" ht="15.75" customHeight="1">
      <c r="M908" s="258"/>
      <c r="Y908" s="258"/>
    </row>
    <row r="909" ht="15.75" customHeight="1">
      <c r="M909" s="258"/>
      <c r="Y909" s="258"/>
    </row>
    <row r="910" ht="15.75" customHeight="1">
      <c r="M910" s="258"/>
      <c r="Y910" s="258"/>
    </row>
    <row r="911" ht="15.75" customHeight="1">
      <c r="M911" s="258"/>
      <c r="Y911" s="258"/>
    </row>
    <row r="912" ht="15.75" customHeight="1">
      <c r="M912" s="258"/>
      <c r="Y912" s="258"/>
    </row>
    <row r="913" ht="15.75" customHeight="1">
      <c r="M913" s="258"/>
      <c r="Y913" s="258"/>
    </row>
    <row r="914" ht="15.75" customHeight="1">
      <c r="M914" s="258"/>
      <c r="Y914" s="258"/>
    </row>
    <row r="915" ht="15.75" customHeight="1">
      <c r="M915" s="258"/>
      <c r="Y915" s="258"/>
    </row>
    <row r="916" ht="15.75" customHeight="1">
      <c r="M916" s="258"/>
      <c r="Y916" s="258"/>
    </row>
    <row r="917" ht="15.75" customHeight="1">
      <c r="M917" s="258"/>
      <c r="Y917" s="258"/>
    </row>
    <row r="918" ht="15.75" customHeight="1">
      <c r="M918" s="258"/>
      <c r="Y918" s="258"/>
    </row>
    <row r="919" ht="15.75" customHeight="1">
      <c r="M919" s="258"/>
      <c r="Y919" s="258"/>
    </row>
    <row r="920" ht="15.75" customHeight="1">
      <c r="M920" s="258"/>
      <c r="Y920" s="258"/>
    </row>
    <row r="921" ht="15.75" customHeight="1">
      <c r="M921" s="258"/>
      <c r="Y921" s="258"/>
    </row>
    <row r="922" ht="15.75" customHeight="1">
      <c r="M922" s="258"/>
      <c r="Y922" s="258"/>
    </row>
    <row r="923" ht="15.75" customHeight="1">
      <c r="M923" s="258"/>
      <c r="Y923" s="258"/>
    </row>
    <row r="924" ht="15.75" customHeight="1">
      <c r="M924" s="258"/>
      <c r="Y924" s="258"/>
    </row>
    <row r="925" ht="15.75" customHeight="1">
      <c r="M925" s="258"/>
      <c r="Y925" s="258"/>
    </row>
    <row r="926" ht="15.75" customHeight="1">
      <c r="M926" s="258"/>
      <c r="Y926" s="258"/>
    </row>
    <row r="927" ht="15.75" customHeight="1">
      <c r="M927" s="258"/>
      <c r="Y927" s="258"/>
    </row>
    <row r="928" ht="15.75" customHeight="1">
      <c r="M928" s="258"/>
      <c r="Y928" s="258"/>
    </row>
    <row r="929" ht="15.75" customHeight="1">
      <c r="M929" s="258"/>
      <c r="Y929" s="258"/>
    </row>
    <row r="930" ht="15.75" customHeight="1">
      <c r="M930" s="258"/>
      <c r="Y930" s="258"/>
    </row>
    <row r="931" ht="15.75" customHeight="1">
      <c r="M931" s="258"/>
      <c r="Y931" s="258"/>
    </row>
    <row r="932" ht="15.75" customHeight="1">
      <c r="M932" s="258"/>
      <c r="Y932" s="258"/>
    </row>
    <row r="933" ht="15.75" customHeight="1">
      <c r="M933" s="258"/>
      <c r="Y933" s="258"/>
    </row>
    <row r="934" ht="15.75" customHeight="1">
      <c r="M934" s="258"/>
      <c r="Y934" s="258"/>
    </row>
    <row r="935" ht="15.75" customHeight="1">
      <c r="M935" s="258"/>
      <c r="Y935" s="258"/>
    </row>
    <row r="936" ht="15.75" customHeight="1">
      <c r="M936" s="258"/>
      <c r="Y936" s="258"/>
    </row>
    <row r="937" ht="15.75" customHeight="1">
      <c r="M937" s="258"/>
      <c r="Y937" s="258"/>
    </row>
    <row r="938" ht="15.75" customHeight="1">
      <c r="M938" s="258"/>
      <c r="Y938" s="258"/>
    </row>
    <row r="939" ht="15.75" customHeight="1">
      <c r="M939" s="258"/>
      <c r="Y939" s="258"/>
    </row>
    <row r="940" ht="15.75" customHeight="1">
      <c r="M940" s="258"/>
      <c r="Y940" s="258"/>
    </row>
    <row r="941" ht="15.75" customHeight="1">
      <c r="M941" s="258"/>
      <c r="Y941" s="258"/>
    </row>
    <row r="942" ht="15.75" customHeight="1">
      <c r="M942" s="258"/>
      <c r="Y942" s="258"/>
    </row>
    <row r="943" ht="15.75" customHeight="1">
      <c r="M943" s="258"/>
      <c r="Y943" s="258"/>
    </row>
    <row r="944" ht="15.75" customHeight="1">
      <c r="M944" s="258"/>
      <c r="Y944" s="258"/>
    </row>
    <row r="945" ht="15.75" customHeight="1">
      <c r="M945" s="258"/>
      <c r="Y945" s="258"/>
    </row>
    <row r="946" ht="15.75" customHeight="1">
      <c r="M946" s="258"/>
      <c r="Y946" s="258"/>
    </row>
    <row r="947" ht="15.75" customHeight="1">
      <c r="M947" s="258"/>
      <c r="Y947" s="258"/>
    </row>
    <row r="948" ht="15.75" customHeight="1">
      <c r="M948" s="258"/>
      <c r="Y948" s="258"/>
    </row>
    <row r="949" ht="15.75" customHeight="1">
      <c r="M949" s="258"/>
      <c r="Y949" s="258"/>
    </row>
    <row r="950" ht="15.75" customHeight="1">
      <c r="M950" s="258"/>
      <c r="Y950" s="258"/>
    </row>
    <row r="951" ht="15.75" customHeight="1">
      <c r="M951" s="258"/>
      <c r="Y951" s="258"/>
    </row>
    <row r="952" ht="15.75" customHeight="1">
      <c r="M952" s="258"/>
      <c r="Y952" s="258"/>
    </row>
    <row r="953" ht="15.75" customHeight="1">
      <c r="M953" s="258"/>
      <c r="Y953" s="258"/>
    </row>
    <row r="954" ht="15.75" customHeight="1">
      <c r="M954" s="258"/>
      <c r="Y954" s="258"/>
    </row>
    <row r="955" ht="15.75" customHeight="1">
      <c r="M955" s="258"/>
      <c r="Y955" s="258"/>
    </row>
    <row r="956" ht="15.75" customHeight="1">
      <c r="M956" s="258"/>
      <c r="Y956" s="258"/>
    </row>
    <row r="957" ht="15.75" customHeight="1">
      <c r="M957" s="258"/>
      <c r="Y957" s="258"/>
    </row>
    <row r="958" ht="15.75" customHeight="1">
      <c r="M958" s="258"/>
      <c r="Y958" s="258"/>
    </row>
    <row r="959" ht="15.75" customHeight="1">
      <c r="M959" s="258"/>
      <c r="Y959" s="258"/>
    </row>
    <row r="960" ht="15.75" customHeight="1">
      <c r="M960" s="258"/>
      <c r="Y960" s="258"/>
    </row>
    <row r="961" ht="15.75" customHeight="1">
      <c r="M961" s="258"/>
      <c r="Y961" s="258"/>
    </row>
    <row r="962" ht="15.75" customHeight="1">
      <c r="M962" s="258"/>
      <c r="Y962" s="258"/>
    </row>
    <row r="963" ht="15.75" customHeight="1">
      <c r="M963" s="258"/>
      <c r="Y963" s="258"/>
    </row>
    <row r="964" ht="15.75" customHeight="1">
      <c r="M964" s="258"/>
      <c r="Y964" s="258"/>
    </row>
    <row r="965" ht="15.75" customHeight="1">
      <c r="M965" s="258"/>
      <c r="Y965" s="258"/>
    </row>
    <row r="966" ht="15.75" customHeight="1">
      <c r="M966" s="258"/>
      <c r="Y966" s="258"/>
    </row>
    <row r="967" ht="15.75" customHeight="1">
      <c r="M967" s="258"/>
      <c r="Y967" s="258"/>
    </row>
    <row r="968" ht="15.75" customHeight="1">
      <c r="M968" s="258"/>
      <c r="Y968" s="258"/>
    </row>
    <row r="969" ht="15.75" customHeight="1">
      <c r="M969" s="258"/>
      <c r="Y969" s="258"/>
    </row>
    <row r="970" ht="15.75" customHeight="1">
      <c r="M970" s="258"/>
      <c r="Y970" s="258"/>
    </row>
    <row r="971" ht="15.75" customHeight="1">
      <c r="M971" s="258"/>
      <c r="Y971" s="258"/>
    </row>
    <row r="972" ht="15.75" customHeight="1">
      <c r="M972" s="258"/>
      <c r="Y972" s="258"/>
    </row>
    <row r="973" ht="15.75" customHeight="1">
      <c r="M973" s="258"/>
      <c r="Y973" s="258"/>
    </row>
    <row r="974" ht="15.75" customHeight="1">
      <c r="M974" s="258"/>
      <c r="Y974" s="258"/>
    </row>
    <row r="975" ht="15.75" customHeight="1">
      <c r="M975" s="258"/>
      <c r="Y975" s="258"/>
    </row>
    <row r="976" ht="15.75" customHeight="1">
      <c r="M976" s="258"/>
      <c r="Y976" s="258"/>
    </row>
    <row r="977" ht="15.75" customHeight="1">
      <c r="M977" s="258"/>
      <c r="Y977" s="258"/>
    </row>
    <row r="978" ht="15.75" customHeight="1">
      <c r="M978" s="258"/>
      <c r="Y978" s="258"/>
    </row>
    <row r="979" ht="15.75" customHeight="1">
      <c r="M979" s="258"/>
      <c r="Y979" s="258"/>
    </row>
    <row r="980" ht="15.75" customHeight="1">
      <c r="M980" s="258"/>
      <c r="Y980" s="258"/>
    </row>
    <row r="981" ht="15.75" customHeight="1">
      <c r="M981" s="258"/>
      <c r="Y981" s="258"/>
    </row>
    <row r="982" ht="15.75" customHeight="1">
      <c r="M982" s="258"/>
      <c r="Y982" s="258"/>
    </row>
    <row r="983" ht="15.75" customHeight="1">
      <c r="M983" s="258"/>
      <c r="Y983" s="258"/>
    </row>
    <row r="984" ht="15.75" customHeight="1">
      <c r="M984" s="258"/>
      <c r="Y984" s="258"/>
    </row>
    <row r="985" ht="15.75" customHeight="1">
      <c r="M985" s="258"/>
      <c r="Y985" s="258"/>
    </row>
    <row r="986" ht="15.75" customHeight="1">
      <c r="M986" s="258"/>
      <c r="Y986" s="258"/>
    </row>
    <row r="987" ht="15.75" customHeight="1">
      <c r="M987" s="258"/>
      <c r="Y987" s="258"/>
    </row>
    <row r="988" ht="15.75" customHeight="1">
      <c r="M988" s="258"/>
      <c r="Y988" s="258"/>
    </row>
    <row r="989" ht="15.75" customHeight="1">
      <c r="M989" s="258"/>
      <c r="Y989" s="258"/>
    </row>
    <row r="990" ht="15.75" customHeight="1">
      <c r="M990" s="258"/>
      <c r="Y990" s="258"/>
    </row>
    <row r="991" ht="15.75" customHeight="1">
      <c r="M991" s="258"/>
      <c r="Y991" s="258"/>
    </row>
    <row r="992" ht="15.75" customHeight="1">
      <c r="M992" s="258"/>
      <c r="Y992" s="258"/>
    </row>
    <row r="993" ht="15.75" customHeight="1">
      <c r="M993" s="258"/>
      <c r="Y993" s="258"/>
    </row>
    <row r="994" ht="15.75" customHeight="1">
      <c r="M994" s="258"/>
      <c r="Y994" s="258"/>
    </row>
    <row r="995" ht="15.75" customHeight="1">
      <c r="M995" s="258"/>
      <c r="Y995" s="258"/>
    </row>
    <row r="996" ht="15.75" customHeight="1">
      <c r="M996" s="258"/>
      <c r="Y996" s="258"/>
    </row>
    <row r="997" ht="15.75" customHeight="1">
      <c r="M997" s="258"/>
      <c r="Y997" s="258"/>
    </row>
    <row r="998" ht="15.75" customHeight="1">
      <c r="M998" s="258"/>
      <c r="Y998" s="258"/>
    </row>
    <row r="999" ht="15.75" customHeight="1">
      <c r="M999" s="258"/>
      <c r="Y999" s="258"/>
    </row>
    <row r="1000" ht="15.75" customHeight="1">
      <c r="M1000" s="258"/>
      <c r="Y1000" s="258"/>
    </row>
    <row r="1001" ht="15.75" customHeight="1">
      <c r="M1001" s="258"/>
      <c r="Y1001" s="258"/>
    </row>
    <row r="1002" ht="15.75" customHeight="1">
      <c r="M1002" s="258"/>
      <c r="Y1002" s="258"/>
    </row>
  </sheetData>
  <mergeCells count="99">
    <mergeCell ref="E2:F2"/>
    <mergeCell ref="E3:F3"/>
    <mergeCell ref="O3:O5"/>
    <mergeCell ref="P3:P5"/>
    <mergeCell ref="D3:D5"/>
    <mergeCell ref="E5:F5"/>
    <mergeCell ref="O6:V6"/>
    <mergeCell ref="I7:J7"/>
    <mergeCell ref="U7:V7"/>
    <mergeCell ref="I8:J8"/>
    <mergeCell ref="U8:V8"/>
    <mergeCell ref="I9:J9"/>
    <mergeCell ref="U9:V9"/>
    <mergeCell ref="I10:J10"/>
    <mergeCell ref="U10:V10"/>
    <mergeCell ref="I11:J11"/>
    <mergeCell ref="U11:V11"/>
    <mergeCell ref="I12:J12"/>
    <mergeCell ref="U12:V12"/>
    <mergeCell ref="I13:J13"/>
    <mergeCell ref="U13:V13"/>
    <mergeCell ref="I14:J14"/>
    <mergeCell ref="U14:V14"/>
    <mergeCell ref="I15:J15"/>
    <mergeCell ref="U15:V15"/>
    <mergeCell ref="I16:J16"/>
    <mergeCell ref="U16:V16"/>
    <mergeCell ref="I17:J17"/>
    <mergeCell ref="U17:V17"/>
    <mergeCell ref="Q27:R27"/>
    <mergeCell ref="Q29:R29"/>
    <mergeCell ref="J23:L23"/>
    <mergeCell ref="V23:X23"/>
    <mergeCell ref="K26:L26"/>
    <mergeCell ref="Q26:R26"/>
    <mergeCell ref="W26:X26"/>
    <mergeCell ref="O27:O29"/>
    <mergeCell ref="P27:P29"/>
    <mergeCell ref="I31:J31"/>
    <mergeCell ref="I32:J32"/>
    <mergeCell ref="I33:J33"/>
    <mergeCell ref="I34:J34"/>
    <mergeCell ref="I35:J35"/>
    <mergeCell ref="I36:J36"/>
    <mergeCell ref="I37:J37"/>
    <mergeCell ref="I38:J38"/>
    <mergeCell ref="I39:J39"/>
    <mergeCell ref="I40:J40"/>
    <mergeCell ref="I41:J41"/>
    <mergeCell ref="I42:J42"/>
    <mergeCell ref="C44:L44"/>
    <mergeCell ref="J45:L45"/>
    <mergeCell ref="J46:L46"/>
    <mergeCell ref="J47:L47"/>
    <mergeCell ref="C3:C5"/>
    <mergeCell ref="C6:J6"/>
    <mergeCell ref="B26:B47"/>
    <mergeCell ref="E26:F26"/>
    <mergeCell ref="C27:C29"/>
    <mergeCell ref="D27:D29"/>
    <mergeCell ref="E27:F27"/>
    <mergeCell ref="I43:J43"/>
    <mergeCell ref="U42:V42"/>
    <mergeCell ref="U43:V43"/>
    <mergeCell ref="O44:X44"/>
    <mergeCell ref="V45:X45"/>
    <mergeCell ref="V46:X46"/>
    <mergeCell ref="V47:X47"/>
    <mergeCell ref="U35:V35"/>
    <mergeCell ref="U36:V36"/>
    <mergeCell ref="U37:V37"/>
    <mergeCell ref="U38:V38"/>
    <mergeCell ref="U39:V39"/>
    <mergeCell ref="U40:V40"/>
    <mergeCell ref="U41:V41"/>
    <mergeCell ref="I18:J18"/>
    <mergeCell ref="U18:V18"/>
    <mergeCell ref="I19:J19"/>
    <mergeCell ref="U19:V19"/>
    <mergeCell ref="C20:L20"/>
    <mergeCell ref="O20:X20"/>
    <mergeCell ref="J21:L21"/>
    <mergeCell ref="V21:X21"/>
    <mergeCell ref="J22:L22"/>
    <mergeCell ref="V22:X22"/>
    <mergeCell ref="B2:B23"/>
    <mergeCell ref="K2:L2"/>
    <mergeCell ref="N2:N23"/>
    <mergeCell ref="Q2:R2"/>
    <mergeCell ref="W2:X2"/>
    <mergeCell ref="Q3:R3"/>
    <mergeCell ref="Q5:R5"/>
    <mergeCell ref="E29:F29"/>
    <mergeCell ref="C30:J30"/>
    <mergeCell ref="O30:V30"/>
    <mergeCell ref="U31:V31"/>
    <mergeCell ref="U32:V32"/>
    <mergeCell ref="U33:V33"/>
    <mergeCell ref="U34:V34"/>
  </mergeCells>
  <hyperlinks>
    <hyperlink r:id="rId1" ref="O47"/>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0"/>
    <col customWidth="1" min="2" max="2" width="6.63"/>
    <col customWidth="1" min="3" max="3" width="14.13"/>
    <col hidden="1" min="4" max="4" width="12.63"/>
    <col customWidth="1" hidden="1" min="5" max="5" width="13.75"/>
    <col customWidth="1" min="6" max="6" width="16.63"/>
    <col customWidth="1" min="7" max="7" width="7.0"/>
    <col customWidth="1" min="8" max="8" width="5.0"/>
    <col customWidth="1" min="9" max="9" width="6.63"/>
    <col hidden="1" min="11" max="12" width="12.63"/>
    <col customWidth="1" min="13" max="13" width="14.88"/>
    <col customWidth="1" min="14" max="14" width="9.63"/>
    <col customWidth="1" min="16" max="16" width="7.75"/>
    <col customWidth="1" min="17" max="17" width="7.25"/>
    <col customWidth="1" min="18" max="18" width="15.88"/>
    <col customWidth="1" min="19" max="19" width="3.25"/>
    <col customWidth="1" min="20" max="20" width="25.25"/>
    <col customWidth="1" min="21" max="21" width="4.88"/>
    <col customWidth="1" min="22" max="22" width="20.38"/>
    <col customWidth="1" min="23" max="23" width="15.5"/>
    <col customWidth="1" min="24" max="25" width="18.38"/>
    <col customWidth="1" min="26" max="26" width="3.63"/>
    <col customWidth="1" min="27" max="27" width="6.5"/>
  </cols>
  <sheetData>
    <row r="1">
      <c r="A1" s="24"/>
      <c r="B1" s="191" t="s">
        <v>1397</v>
      </c>
      <c r="C1" s="7"/>
      <c r="D1" s="7"/>
      <c r="E1" s="7"/>
      <c r="F1" s="7"/>
      <c r="G1" s="8"/>
      <c r="H1" s="24"/>
      <c r="I1" s="191" t="s">
        <v>1398</v>
      </c>
      <c r="J1" s="7"/>
      <c r="K1" s="7"/>
      <c r="L1" s="7"/>
      <c r="M1" s="7"/>
      <c r="N1" s="8"/>
      <c r="P1" s="191" t="s">
        <v>1399</v>
      </c>
      <c r="Q1" s="7"/>
      <c r="R1" s="7"/>
      <c r="S1" s="7"/>
      <c r="T1" s="7"/>
      <c r="U1" s="7"/>
      <c r="V1" s="7"/>
      <c r="W1" s="7"/>
      <c r="X1" s="7"/>
      <c r="Y1" s="7"/>
      <c r="Z1" s="190"/>
      <c r="AA1" s="190"/>
      <c r="AB1" s="83"/>
    </row>
    <row r="2">
      <c r="A2" s="24"/>
      <c r="B2" s="192" t="s">
        <v>1400</v>
      </c>
      <c r="C2" s="193" t="s">
        <v>435</v>
      </c>
      <c r="D2" s="194" t="s">
        <v>1400</v>
      </c>
      <c r="E2" s="80"/>
      <c r="F2" s="193" t="s">
        <v>434</v>
      </c>
      <c r="G2" s="81"/>
      <c r="H2" s="24"/>
      <c r="I2" s="192" t="s">
        <v>1400</v>
      </c>
      <c r="J2" s="193" t="s">
        <v>435</v>
      </c>
      <c r="K2" s="194" t="s">
        <v>1400</v>
      </c>
      <c r="L2" s="80"/>
      <c r="M2" s="193" t="s">
        <v>434</v>
      </c>
      <c r="N2" s="81"/>
      <c r="P2" s="192" t="s">
        <v>1400</v>
      </c>
      <c r="Q2" s="196" t="s">
        <v>1401</v>
      </c>
      <c r="R2" s="196" t="s">
        <v>1402</v>
      </c>
      <c r="S2" s="81"/>
      <c r="T2" s="196" t="s">
        <v>1403</v>
      </c>
      <c r="U2" s="211" t="s">
        <v>1413</v>
      </c>
      <c r="V2" s="194" t="s">
        <v>1414</v>
      </c>
      <c r="W2" s="194" t="s">
        <v>1415</v>
      </c>
      <c r="X2" s="194" t="s">
        <v>1419</v>
      </c>
      <c r="Y2" s="196" t="s">
        <v>1429</v>
      </c>
      <c r="Z2" s="81"/>
      <c r="AA2" s="292" t="s">
        <v>1495</v>
      </c>
      <c r="AB2" s="83"/>
    </row>
    <row r="3">
      <c r="A3" s="134"/>
      <c r="B3" s="53"/>
      <c r="C3" s="198" t="s">
        <v>1408</v>
      </c>
      <c r="D3" s="199">
        <f>IFERROR(VLOOKUP(C3,'Heroes 1.1'!$A:$N,14,FALSE),)</f>
        <v>37.60025641</v>
      </c>
      <c r="F3" s="68" t="s">
        <v>1409</v>
      </c>
      <c r="G3" s="200"/>
      <c r="H3" s="9"/>
      <c r="I3" s="53"/>
      <c r="J3" s="198" t="s">
        <v>1410</v>
      </c>
      <c r="K3" s="199">
        <f>IFERROR(VLOOKUP(J3,'Heroes 1.1'!$A:$N,14,FALSE),)</f>
        <v>42.04</v>
      </c>
      <c r="M3" s="68" t="s">
        <v>1411</v>
      </c>
      <c r="N3" s="200"/>
      <c r="O3" s="201"/>
      <c r="P3" s="53"/>
      <c r="Q3" s="202"/>
      <c r="R3" s="69" t="s">
        <v>591</v>
      </c>
      <c r="S3" s="203"/>
      <c r="T3" s="69" t="s">
        <v>908</v>
      </c>
      <c r="U3" s="221">
        <v>1.0</v>
      </c>
      <c r="V3" s="66" t="s">
        <v>1496</v>
      </c>
      <c r="W3" s="66">
        <v>1.0</v>
      </c>
      <c r="X3" s="235">
        <f>IFERROR(__xludf.DUMMYFUNCTION("FILTER(Campaigns!G:G , Campaigns!B:B = V3, Campaigns!C:C = W3)"),3.0)</f>
        <v>3</v>
      </c>
      <c r="Y3" s="69" t="s">
        <v>161</v>
      </c>
      <c r="Z3" s="203"/>
      <c r="AA3" s="53"/>
      <c r="AB3" s="83"/>
    </row>
    <row r="4">
      <c r="A4" s="24"/>
      <c r="B4" s="53"/>
      <c r="C4" s="193" t="s">
        <v>438</v>
      </c>
      <c r="D4" s="200"/>
      <c r="F4" s="208" t="str">
        <f>IF(OR(F3 = "Battlemage", F3 = "Truthseer", F3 = "Lorekeeper", F3 = "Steelcaster", F3 = "Avenger",F3 = "Raider", F3 = "Monk", F3 = "Trickster", F3 = "Ravager", F3 = "Watchman", F3 = "Crusader", F3 = "Heretic"), "Subclass: ", )</f>
        <v/>
      </c>
      <c r="G4" s="209" t="str">
        <f>IFERROR(
IFS(
OR(F3 = "Battlemage",F3 = "Ravager",F3 = "Crusader"), "Warrior",
OR(F3 = "Steelcaster",F3 = "Trickster",F3 = "Heretic"),"Mage",
OR(F3 = "Truthseer",F3 = "Raider",F3 = "Watchman"),"Scout",
OR(F3 = "Lorekeeper",F3 = "Avenger",F3 = "Monk"),"Healer"
),
)</f>
        <v/>
      </c>
      <c r="H4" s="24"/>
      <c r="I4" s="53"/>
      <c r="J4" s="193" t="s">
        <v>438</v>
      </c>
      <c r="K4" s="200"/>
      <c r="M4" s="208" t="str">
        <f>IF(OR(M3 = "Battlemage", M3 = "Truthseer", M3 = "Lorekeeper", M3 = "Steelcaster", M3 = "Avenger",M3 = "Raider", M3 = "Monk", M3 = "Trickster", M3 = "Ravager", M3 = "Watchman", M3 = "Crusader", M3 = "Heretic"), "Subclass: ", )</f>
        <v/>
      </c>
      <c r="N4" s="209" t="str">
        <f>IFERROR(
IFS(
OR(M3 = "Battlemage",M3 = "Ravager",M3 = "Crusader"), "Warrior",
OR(M3 = "Steelcaster",M3 = "Trickster",M3 = "Heretic"),"Mage",
OR(M3 = "Truthseer",M3 = "Raider",M3 = "Watchman"),"Scout",
OR(M3 = "Lorekeeper",M3 = "Avenger",M3 = "Monk"),"Healer"
),
)</f>
        <v/>
      </c>
      <c r="O4" s="201"/>
      <c r="P4" s="53"/>
      <c r="Q4" s="202"/>
      <c r="R4" s="210" t="s">
        <v>1412</v>
      </c>
      <c r="S4" s="200"/>
      <c r="T4" s="190" t="s">
        <v>1404</v>
      </c>
      <c r="V4" s="190" t="s">
        <v>1497</v>
      </c>
      <c r="W4" s="190" t="s">
        <v>1420</v>
      </c>
      <c r="X4" s="283" t="s">
        <v>1498</v>
      </c>
      <c r="Y4" s="194" t="s">
        <v>1499</v>
      </c>
      <c r="Z4" s="81"/>
      <c r="AA4" s="53"/>
      <c r="AB4" s="83"/>
    </row>
    <row r="5">
      <c r="A5" s="9"/>
      <c r="B5" s="53"/>
      <c r="C5" s="60" t="str">
        <f>IFERROR(VLOOKUP(C3, 'Heroes 1.1'!$A:$M, 2, FALSE),)</f>
        <v>Mage</v>
      </c>
      <c r="D5" s="203"/>
      <c r="F5" s="69"/>
      <c r="G5" s="203"/>
      <c r="H5" s="217"/>
      <c r="I5" s="53"/>
      <c r="J5" s="60" t="str">
        <f>IFERROR(VLOOKUP(J3, 'Heroes 1.1'!$A:$M, 2, FALSE),)</f>
        <v>Warrior</v>
      </c>
      <c r="K5" s="203"/>
      <c r="M5" s="69"/>
      <c r="N5" s="203"/>
      <c r="O5" s="201"/>
      <c r="P5" s="53"/>
      <c r="Q5" s="218">
        <f>VLOOKUP(R5,vote4OVERLORD!B:G,6,FALSE)</f>
        <v>4.5</v>
      </c>
      <c r="R5" s="219" t="str">
        <f>IFERROR(__xludf.DUMMYFUNCTION("{
FILTER(vote4OVERLORD!B:B, vote4OVERLORD!A:A=R3);
FILTER(vote4OVERLORD!B:B, vote4OVERLORD!A:A=R3 , vote4OVERLORD!D:D=2)
}"),"Dark Might")</f>
        <v>Dark Might</v>
      </c>
      <c r="S5" s="220" t="b">
        <v>1</v>
      </c>
      <c r="T5" s="118" t="str">
        <f>IFERROR(__xludf.DUMMYFUNCTION("IFERROR (TRANSPOSE (SPLIT(FILTER(Campaigns!F:F , Campaigns!B:B = $V$3, Campaigns!C:C = $W$3), "", "", FALSE)) , )"),"")</f>
        <v/>
      </c>
      <c r="V5" s="94" t="str">
        <f>IFERROR(__xludf.DUMMYFUNCTION(" IFERROR(
(FILTER(Monsters!$AQ:$AQ, Monsters!$A:$A = T5 , Monsters!$D:$D  = $U$3, Monsters!$B:$B = ""Master"")
*
SWITCH(
COUNTA($C$3,$J$3,$C$25,$J$25),
2,FILTER(Monsters!$AJ:$AJ, Monsters!$A:$A = T5 , Monsters!$D:$D  = $U$3, Monsters!$B:$B = ""Master""),
"&amp;"3,FILTER(Monsters!$AL:$AL, Monsters!$A:$A = T5 , Monsters!$D:$D  = $U$3, Monsters!$B:$B = ""Master""),
4,FILTER(Monsters!$AN:$AN, Monsters!$A:$A = T5 , Monsters!$D:$D  = $U$3, Monsters!$B:$B = ""Master""),
))
+
(FILTER(Monsters!$AQ:$AQ, Monsters!$A:$A = T"&amp;"5 , Monsters!$D:$D  = $U$3, Monsters!$B:$B = ""Minion"")
*
SWITCH(
COUNTA($C$3,$J$3,$C$25,$J$25),
2,FILTER(Monsters!$AJ:$AJ, Monsters!$A:$A = T5 , Monsters!$D:$D  = $U$3, Monsters!$B:$B = ""Minion""),
3,FILTER(Monsters!$AL:$AL, Monsters!$A:$A = T5 , Monst"&amp;"ers!$D:$D  = $U$3, Monsters!$B:$B = ""Minion""),
4,FILTER(Monsters!$AN:$AN, Monsters!$A:$A = T5 , Monsters!$D:$D  = $U$3, Monsters!$B:$B = ""Minion""),
))
,
)"),"")</f>
        <v/>
      </c>
      <c r="W5" s="83" t="str">
        <f>IFERROR(__xludf.DUMMYFUNCTION("IFERROR (TRANSPOSE (SPLIT(FILTER(Campaigns!E:E , Campaigns!B:B = $V$3, Campaigns!C:C = $W$3), "", "", FALSE)) , )"),"Baron Zachareth")</f>
        <v>Baron Zachareth</v>
      </c>
      <c r="X5" s="293">
        <f>IFERROR(__xludf.DUMMYFUNCTION("IF(ISBLANK(W5),,
FILTER(Lieutenants!$AL:$AL, Lieutenants!A:A = W5, Lieutenants!B:B = $U$3)
+
SWITCH(
COUNTA($C$3,$J$3,$C$25,$J$25),
2,FILTER(Lieutenants!I:I, Lieutenants!A:A = W5, Lieutenants!B:B = $U$3),
3,FILTER(Lieutenants!$M:$M, Lieutenants!A:A = W5 ,"&amp;" Lieutenants!B:B = $U$3),
4,FILTER(Lieutenants!$Q:$Q, Lieutenants!A:A = W5 ,Lieutenants!B:B = $U$3)
)
)"),52.31999999999999)</f>
        <v>52.32</v>
      </c>
      <c r="Y5" s="219" t="str">
        <f>IFERROR(__xludf.DUMMYFUNCTION("IF(ISBLANK(Y3),,
FILTER(vote4Plot!B3:B172,vote4Plot!B3:B172 &lt;&gt; """",vote4Plot!A3:A172 = Y3)
)"),"Mine All Mine")</f>
        <v>Mine All Mine</v>
      </c>
      <c r="Z5" s="240" t="b">
        <v>1</v>
      </c>
      <c r="AA5" s="239">
        <f>VLOOKUP(Y5,vote4Plot!B:F,5,FALSE)</f>
        <v>3.5</v>
      </c>
      <c r="AB5" s="83"/>
    </row>
    <row r="6">
      <c r="A6" s="226"/>
      <c r="B6" s="227">
        <f>SUM(D3:E21)</f>
        <v>70.15692308</v>
      </c>
      <c r="C6" s="228" t="s">
        <v>1417</v>
      </c>
      <c r="D6" s="229"/>
      <c r="E6" s="226"/>
      <c r="F6" s="193" t="s">
        <v>1418</v>
      </c>
      <c r="G6" s="81"/>
      <c r="H6" s="226"/>
      <c r="I6" s="227">
        <f>SUM(K3:L21)</f>
        <v>67.62333333</v>
      </c>
      <c r="J6" s="228" t="s">
        <v>1417</v>
      </c>
      <c r="K6" s="229"/>
      <c r="L6" s="226"/>
      <c r="M6" s="193" t="s">
        <v>1418</v>
      </c>
      <c r="N6" s="81"/>
      <c r="O6" s="201"/>
      <c r="P6" s="227">
        <f>SUM(V5:V9,X5:X9)
+
(SUMIFS(Q5:Q43,S5:S43,TRUE) * (1 - (COUNTIF(S5:S43,TRUE) / 100)))
+
SUMIFS(V11:V43,U11:U43, TRUE)
+
SUMIFS(AA5:AA14,Z5:Z14, TRUE)</f>
        <v>119.895</v>
      </c>
      <c r="Q6" s="218">
        <f>VLOOKUP(R6,vote4OVERLORD!B:G,6,FALSE)</f>
        <v>2</v>
      </c>
      <c r="R6" s="219" t="str">
        <f>IFERROR(__xludf.DUMMYFUNCTION("""COMPUTED_VALUE"""),"Tripwire")</f>
        <v>Tripwire</v>
      </c>
      <c r="S6" s="220" t="b">
        <v>1</v>
      </c>
      <c r="T6" s="83"/>
      <c r="V6" s="94" t="str">
        <f>IFERROR(__xludf.DUMMYFUNCTION(" IFERROR(
(FILTER(Monsters!$AQ:$AQ, Monsters!$A:$A = T6 , Monsters!$D:$D  = $U$3, Monsters!$B:$B = ""Master"")
*
SWITCH(
COUNTA($C$3,$J$3,$C$25,$J$25),
2,FILTER(Monsters!$AJ:$AJ, Monsters!$A:$A = T6 , Monsters!$D:$D  = $U$3, Monsters!$B:$B = ""Master""),
"&amp;"3,FILTER(Monsters!$AL:$AL, Monsters!$A:$A = T6 , Monsters!$D:$D  = $U$3, Monsters!$B:$B = ""Master""),
4,FILTER(Monsters!$AN:$AN, Monsters!$A:$A = T6 , Monsters!$D:$D  = $U$3, Monsters!$B:$B = ""Master""),
))
+
(FILTER(Monsters!$AQ:$AQ, Monsters!$A:$A = T"&amp;"6 , Monsters!$D:$D  = $U$3, Monsters!$B:$B = ""Minion"")
*
SWITCH(
COUNTA($C$3,$J$3,$C$25,$J$25),
2,FILTER(Monsters!$AJ:$AJ, Monsters!$A:$A = T6 , Monsters!$D:$D  = $U$3, Monsters!$B:$B = ""Minion""),
3,FILTER(Monsters!$AL:$AL, Monsters!$A:$A = T6 , Monst"&amp;"ers!$D:$D  = $U$3, Monsters!$B:$B = ""Minion""),
4,FILTER(Monsters!$AN:$AN, Monsters!$A:$A = T6 , Monsters!$D:$D  = $U$3, Monsters!$B:$B = ""Minion""),
))
,
)"),"")</f>
        <v/>
      </c>
      <c r="W6" s="83" t="str">
        <f>IFERROR(__xludf.DUMMYFUNCTION(" IFERROR(
(FILTER(Monsters!$AQ:$AQ, Monsters!$A:$A = #REF! , Monsters!$D:$D  = $U$3, Monsters!$B:$B = ""Master"")
*
SWITCH(
COUNTA($C$3,$J$3,$C$25,$J$25),
2,FILTER(Monsters!$AJ:$AJ, Monsters!$A:$A = #REF! , Monsters!$D:$D  = $U$3, Monsters!$B:$B = ""Maste"&amp;"r""),
3,FILTER(Monsters!$AL:$AL, Monsters!$A:$A = #REF! , Monsters!$D:$D  = $U$3, Monsters!$B:$B = ""Master""),
4,FILTER(Monsters!$AN:$AN, Monsters!$A:$A = #REF! , Monsters!$D:$D  = $U$3, Monsters!$B:$B = ""Master""),
))
+
(FILTER(Monsters!$AQ:$AQ, Monste"&amp;"rs!$A:$A = #REF! , Monsters!$D:$D  = $U$3, Monsters!$B:$B = ""Minion"")
*
SWITCH(
COUNTA($C$3,$J$3,$C$25,$J$25),
2,FILTER(Monsters!$AJ:$AJ, Monsters!$A:$A = #REF! , Monsters!$D:$D  = $U$3, Monsters!$B:$B = ""Minion""),
3,FILTER(Monsters!$AL:$AL, Monsters!"&amp;"$A:$A = #REF! , Monsters!$D:$D  = $U$3, Monsters!$B:$B = ""Minion""),
4,FILTER(Monsters!$AN:$AN, Monsters!$A:$A = #REF! , Monsters!$D:$D  = $U$3, Monsters!$B:$B = ""Minion""),
))
,
)"),"")</f>
        <v/>
      </c>
      <c r="X6" s="261" t="str">
        <f>IFERROR(__xludf.DUMMYFUNCTION("IF(ISBLANK(W6),,
FILTER(Lieutenants!$AL:$AL, Lieutenants!A:A = W6, Lieutenants!B:B = $U$3)
+
SWITCH(
COUNTA($C$3,$J$3,$C$25,$J$25),
2,FILTER(Lieutenants!I:I, Lieutenants!A:A = W6, Lieutenants!B:B = $U$3),
3,FILTER(Lieutenants!$M:$M, Lieutenants!A:A = W6 ,"&amp;" Lieutenants!B:B = $U$3),
4,FILTER(Lieutenants!$Q:$Q, Lieutenants!A:A = W6 ,Lieutenants!B:B = $U$3)
)
)"),"")</f>
        <v/>
      </c>
      <c r="Y6" s="219" t="str">
        <f>IFERROR(__xludf.DUMMYFUNCTION("""COMPUTED_VALUE"""),"Terrifying Presence")</f>
        <v>Terrifying Presence</v>
      </c>
      <c r="Z6" s="240" t="b">
        <v>1</v>
      </c>
      <c r="AA6" s="239">
        <f>VLOOKUP(Y6,vote4Plot!B:F,5,FALSE)</f>
        <v>3</v>
      </c>
      <c r="AB6" s="83"/>
    </row>
    <row r="7">
      <c r="A7" s="134"/>
      <c r="B7" s="53"/>
      <c r="C7" s="198" t="s">
        <v>1107</v>
      </c>
      <c r="D7" s="232">
        <f>IFERROR(VLOOKUP(C7,'Shop Items'!$C:$W,21,FALSE),0)</f>
        <v>4.833333333</v>
      </c>
      <c r="E7" s="118">
        <f>IFERROR(
IF(G7 = TRUE,
VLOOKUP(F7,Classes!$C:$H,6,FALSE),0)
,0)</f>
        <v>2.25</v>
      </c>
      <c r="F7" s="233" t="str">
        <f>IFERROR(__xludf.DUMMYFUNCTION("IF(
ISBLANK(F5),
FILTER(Classes!$C:$C,Classes!$B:$B=F3),
FILTER(Classes!$C:$C,(Classes!$B:$B=F3) + (Classes!$B:$B=F5))
)"),"Raise Dead")</f>
        <v>Raise Dead</v>
      </c>
      <c r="G7" s="234" t="b">
        <v>1</v>
      </c>
      <c r="H7" s="118"/>
      <c r="I7" s="53"/>
      <c r="J7" s="198" t="s">
        <v>848</v>
      </c>
      <c r="K7" s="232">
        <f>IFERROR(VLOOKUP(J7,'Shop Items'!$C:$W,21,FALSE),0)</f>
        <v>10.91666667</v>
      </c>
      <c r="L7" s="118">
        <f>IFERROR(
IF(N7 = TRUE,
VLOOKUP(M7,Classes!$C:$H,6,FALSE),0)
,0)</f>
        <v>3</v>
      </c>
      <c r="M7" s="233" t="str">
        <f>IFERROR(__xludf.DUMMYFUNCTION("IF(
ISBLANK(M5),
FILTER(Classes!$C:$C,Classes!$B:$B=M3),
FILTER(Classes!$C:$C,(Classes!$B:$B=M3) + (Classes!$B:$B=M5))
)"),"Dual Strike")</f>
        <v>Dual Strike</v>
      </c>
      <c r="N7" s="234" t="b">
        <v>1</v>
      </c>
      <c r="O7" s="201"/>
      <c r="P7" s="53"/>
      <c r="Q7" s="218">
        <f>VLOOKUP(R7,vote4OVERLORD!B:G,6,FALSE)</f>
        <v>4.5</v>
      </c>
      <c r="R7" s="219" t="str">
        <f>IFERROR(__xludf.DUMMYFUNCTION("""COMPUTED_VALUE"""),"Dash")</f>
        <v>Dash</v>
      </c>
      <c r="S7" s="220" t="b">
        <v>1</v>
      </c>
      <c r="T7" s="83"/>
      <c r="V7" s="94" t="str">
        <f>IFERROR(__xludf.DUMMYFUNCTION(" IFERROR(
(FILTER(Monsters!$AQ:$AQ, Monsters!$A:$A = T7 , Monsters!$D:$D  = $U$3, Monsters!$B:$B = ""Master"")
*
SWITCH(
COUNTA($C$3,$J$3,$C$25,$J$25),
2,FILTER(Monsters!$AJ:$AJ, Monsters!$A:$A = T7 , Monsters!$D:$D  = $U$3, Monsters!$B:$B = ""Master""),
"&amp;"3,FILTER(Monsters!$AL:$AL, Monsters!$A:$A = T7 , Monsters!$D:$D  = $U$3, Monsters!$B:$B = ""Master""),
4,FILTER(Monsters!$AN:$AN, Monsters!$A:$A = T7 , Monsters!$D:$D  = $U$3, Monsters!$B:$B = ""Master""),
))
+
(FILTER(Monsters!$AQ:$AQ, Monsters!$A:$A = T"&amp;"7 , Monsters!$D:$D  = $U$3, Monsters!$B:$B = ""Minion"")
*
SWITCH(
COUNTA($C$3,$J$3,$C$25,$J$25),
2,FILTER(Monsters!$AJ:$AJ, Monsters!$A:$A = T7 , Monsters!$D:$D  = $U$3, Monsters!$B:$B = ""Minion""),
3,FILTER(Monsters!$AL:$AL, Monsters!$A:$A = T7 , Monst"&amp;"ers!$D:$D  = $U$3, Monsters!$B:$B = ""Minion""),
4,FILTER(Monsters!$AN:$AN, Monsters!$A:$A = T7 , Monsters!$D:$D  = $U$3, Monsters!$B:$B = ""Minion""),
))
,
)"),"")</f>
        <v/>
      </c>
      <c r="W7" s="83" t="str">
        <f>IFERROR(__xludf.DUMMYFUNCTION(" IFERROR(
(FILTER(Monsters!$AQ:$AQ, Monsters!$A:$A = #REF! , Monsters!$D:$D  = $U$3, Monsters!$B:$B = ""Master"")
*
SWITCH(
COUNTA($C$3,$J$3,$C$25,$J$25),
2,FILTER(Monsters!$AJ:$AJ, Monsters!$A:$A = #REF! , Monsters!$D:$D  = $U$3, Monsters!$B:$B = ""Maste"&amp;"r""),
3,FILTER(Monsters!$AL:$AL, Monsters!$A:$A = #REF! , Monsters!$D:$D  = $U$3, Monsters!$B:$B = ""Master""),
4,FILTER(Monsters!$AN:$AN, Monsters!$A:$A = #REF! , Monsters!$D:$D  = $U$3, Monsters!$B:$B = ""Master""),
))
+
(FILTER(Monsters!$AQ:$AQ, Monste"&amp;"rs!$A:$A = #REF! , Monsters!$D:$D  = $U$3, Monsters!$B:$B = ""Minion"")
*
SWITCH(
COUNTA($C$3,$J$3,$C$25,$J$25),
2,FILTER(Monsters!$AJ:$AJ, Monsters!$A:$A = #REF! , Monsters!$D:$D  = $U$3, Monsters!$B:$B = ""Minion""),
3,FILTER(Monsters!$AL:$AL, Monsters!"&amp;"$A:$A = #REF! , Monsters!$D:$D  = $U$3, Monsters!$B:$B = ""Minion""),
4,FILTER(Monsters!$AN:$AN, Monsters!$A:$A = #REF! , Monsters!$D:$D  = $U$3, Monsters!$B:$B = ""Minion""),
))
,
)"),"")</f>
        <v/>
      </c>
      <c r="X7" s="261" t="str">
        <f>IFERROR(__xludf.DUMMYFUNCTION("IF(ISBLANK(W7),,
FILTER(Lieutenants!$AL:$AL, Lieutenants!A:A = W7, Lieutenants!B:B = $U$3)
+
SWITCH(
COUNTA($C$3,$J$3,$C$25,$J$25),
2,FILTER(Lieutenants!I:I, Lieutenants!A:A = W7, Lieutenants!B:B = $U$3),
3,FILTER(Lieutenants!$M:$M, Lieutenants!A:A = W7 ,"&amp;" Lieutenants!B:B = $U$3),
4,FILTER(Lieutenants!$Q:$Q, Lieutenants!A:A = W7 ,Lieutenants!B:B = $U$3)
)
)"),"")</f>
        <v/>
      </c>
      <c r="Y7" s="219" t="str">
        <f>IFERROR(__xludf.DUMMYFUNCTION("""COMPUTED_VALUE"""),"Iron-Hard Scales")</f>
        <v>Iron-Hard Scales</v>
      </c>
      <c r="Z7" s="240" t="b">
        <v>1</v>
      </c>
      <c r="AA7" s="239">
        <f>VLOOKUP(Y7,vote4Plot!B:F,5,FALSE)</f>
        <v>2</v>
      </c>
      <c r="AB7" s="83"/>
    </row>
    <row r="8">
      <c r="A8" s="134"/>
      <c r="B8" s="53"/>
      <c r="C8" s="198"/>
      <c r="D8" s="232">
        <f>IFERROR(VLOOKUP(C8,'Shop Items'!$C:$W,21,FALSE),0)</f>
        <v>0</v>
      </c>
      <c r="E8" s="118">
        <f>IFERROR(
IF(G8 = TRUE,
VLOOKUP(F8,Classes!$C:$H,6,FALSE),0)
,0)</f>
        <v>0</v>
      </c>
      <c r="F8" s="58" t="str">
        <f>IFERROR(__xludf.DUMMYFUNCTION("""COMPUTED_VALUE"""),"Corpse Blast")</f>
        <v>Corpse Blast</v>
      </c>
      <c r="G8" s="234" t="b">
        <v>0</v>
      </c>
      <c r="H8" s="118"/>
      <c r="I8" s="53"/>
      <c r="J8" s="198" t="s">
        <v>1500</v>
      </c>
      <c r="K8" s="232">
        <f>IFERROR(VLOOKUP(J8,'Shop Items'!$C:$W,21,FALSE),0)</f>
        <v>11.66666667</v>
      </c>
      <c r="L8" s="118">
        <f>IFERROR(
IF(N8 = TRUE,
VLOOKUP(M8,Classes!$C:$H,6,FALSE),0)
,0)</f>
        <v>0</v>
      </c>
      <c r="M8" s="58" t="str">
        <f>IFERROR(__xludf.DUMMYFUNCTION("""COMPUTED_VALUE"""),"Back in Action")</f>
        <v>Back in Action</v>
      </c>
      <c r="N8" s="234" t="b">
        <v>0</v>
      </c>
      <c r="O8" s="201"/>
      <c r="P8" s="53"/>
      <c r="Q8" s="218">
        <f>VLOOKUP(R8,vote4OVERLORD!B:G,6,FALSE)</f>
        <v>6.5</v>
      </c>
      <c r="R8" s="219" t="str">
        <f>IFERROR(__xludf.DUMMYFUNCTION("""COMPUTED_VALUE"""),"Frenzy")</f>
        <v>Frenzy</v>
      </c>
      <c r="S8" s="220" t="b">
        <v>1</v>
      </c>
      <c r="T8" s="83"/>
      <c r="V8" s="94" t="str">
        <f>IFERROR(__xludf.DUMMYFUNCTION(" IFERROR(
(FILTER(Monsters!$AQ:$AQ, Monsters!$A:$A = T8 , Monsters!$D:$D  = $U$3, Monsters!$B:$B = ""Master"")
*
SWITCH(
COUNTA($C$3,$J$3,$C$25,$J$25),
2,FILTER(Monsters!$AJ:$AJ, Monsters!$A:$A = T8 , Monsters!$D:$D  = $U$3, Monsters!$B:$B = ""Master""),
"&amp;"3,FILTER(Monsters!$AL:$AL, Monsters!$A:$A = T8 , Monsters!$D:$D  = $U$3, Monsters!$B:$B = ""Master""),
4,FILTER(Monsters!$AN:$AN, Monsters!$A:$A = T8 , Monsters!$D:$D  = $U$3, Monsters!$B:$B = ""Master""),
))
+
(FILTER(Monsters!$AQ:$AQ, Monsters!$A:$A = T"&amp;"8 , Monsters!$D:$D  = $U$3, Monsters!$B:$B = ""Minion"")
*
SWITCH(
COUNTA($C$3,$J$3,$C$25,$J$25),
2,FILTER(Monsters!$AJ:$AJ, Monsters!$A:$A = T8 , Monsters!$D:$D  = $U$3, Monsters!$B:$B = ""Minion""),
3,FILTER(Monsters!$AL:$AL, Monsters!$A:$A = T8 , Monst"&amp;"ers!$D:$D  = $U$3, Monsters!$B:$B = ""Minion""),
4,FILTER(Monsters!$AN:$AN, Monsters!$A:$A = T8 , Monsters!$D:$D  = $U$3, Monsters!$B:$B = ""Minion""),
))
,
)"),"")</f>
        <v/>
      </c>
      <c r="W8" s="83" t="str">
        <f>IFERROR(__xludf.DUMMYFUNCTION(" IFERROR(
(FILTER(Monsters!$AQ:$AQ, Monsters!$A:$A = #REF! , Monsters!$D:$D  = $U$3, Monsters!$B:$B = ""Master"")
*
SWITCH(
COUNTA($C$3,$J$3,$C$25,$J$25),
2,FILTER(Monsters!$AJ:$AJ, Monsters!$A:$A = #REF! , Monsters!$D:$D  = $U$3, Monsters!$B:$B = ""Maste"&amp;"r""),
3,FILTER(Monsters!$AL:$AL, Monsters!$A:$A = #REF! , Monsters!$D:$D  = $U$3, Monsters!$B:$B = ""Master""),
4,FILTER(Monsters!$AN:$AN, Monsters!$A:$A = #REF! , Monsters!$D:$D  = $U$3, Monsters!$B:$B = ""Master""),
))
+
(FILTER(Monsters!$AQ:$AQ, Monste"&amp;"rs!$A:$A = #REF! , Monsters!$D:$D  = $U$3, Monsters!$B:$B = ""Minion"")
*
SWITCH(
COUNTA($C$3,$J$3,$C$25,$J$25),
2,FILTER(Monsters!$AJ:$AJ, Monsters!$A:$A = #REF! , Monsters!$D:$D  = $U$3, Monsters!$B:$B = ""Minion""),
3,FILTER(Monsters!$AL:$AL, Monsters!"&amp;"$A:$A = #REF! , Monsters!$D:$D  = $U$3, Monsters!$B:$B = ""Minion""),
4,FILTER(Monsters!$AN:$AN, Monsters!$A:$A = #REF! , Monsters!$D:$D  = $U$3, Monsters!$B:$B = ""Minion""),
))
,
)"),"")</f>
        <v/>
      </c>
      <c r="X8" s="261" t="str">
        <f>IFERROR(__xludf.DUMMYFUNCTION("IF(ISBLANK(W8),,
FILTER(Lieutenants!$AL:$AL, Lieutenants!A:A = W8, Lieutenants!B:B = $U$3)
+
SWITCH(
COUNTA($C$3,$J$3,$C$25,$J$25),
2,FILTER(Lieutenants!I:I, Lieutenants!A:A = W8, Lieutenants!B:B = $U$3),
3,FILTER(Lieutenants!$M:$M, Lieutenants!A:A = W8 ,"&amp;" Lieutenants!B:B = $U$3),
4,FILTER(Lieutenants!$Q:$Q, Lieutenants!A:A = W8 ,Lieutenants!B:B = $U$3)
)
)"),"")</f>
        <v/>
      </c>
      <c r="Y8" s="219" t="str">
        <f>IFERROR(__xludf.DUMMYFUNCTION("""COMPUTED_VALUE"""),"Jealous Rage")</f>
        <v>Jealous Rage</v>
      </c>
      <c r="Z8" s="240" t="b">
        <v>0</v>
      </c>
      <c r="AA8" s="239">
        <f>VLOOKUP(Y8,vote4Plot!B:F,5,FALSE)</f>
        <v>0.5</v>
      </c>
      <c r="AB8" s="83"/>
    </row>
    <row r="9">
      <c r="A9" s="134"/>
      <c r="B9" s="53"/>
      <c r="C9" s="198"/>
      <c r="D9" s="232">
        <f>IFERROR(VLOOKUP(C9,'Shop Items'!$C:$W,21,FALSE),0)</f>
        <v>0</v>
      </c>
      <c r="E9" s="118">
        <f>IFERROR(
IF(G9 = TRUE,
VLOOKUP(F9,Classes!$C:$H,6,FALSE),0)
,0)</f>
        <v>0</v>
      </c>
      <c r="F9" s="58" t="str">
        <f>IFERROR(__xludf.DUMMYFUNCTION("""COMPUTED_VALUE"""),"Fury Of Undeath")</f>
        <v>Fury Of Undeath</v>
      </c>
      <c r="G9" s="234" t="b">
        <v>0</v>
      </c>
      <c r="H9" s="118"/>
      <c r="I9" s="53"/>
      <c r="J9" s="198"/>
      <c r="K9" s="232">
        <f>IFERROR(VLOOKUP(J9,'Shop Items'!$C:$W,21,FALSE),0)</f>
        <v>0</v>
      </c>
      <c r="L9" s="118">
        <f>IFERROR(
IF(N9 = TRUE,
VLOOKUP(M9,Classes!$C:$H,6,FALSE),0)
,0)</f>
        <v>0</v>
      </c>
      <c r="M9" s="58" t="str">
        <f>IFERROR(__xludf.DUMMYFUNCTION("""COMPUTED_VALUE"""),"Keen Edge")</f>
        <v>Keen Edge</v>
      </c>
      <c r="N9" s="234" t="b">
        <v>0</v>
      </c>
      <c r="O9" s="201"/>
      <c r="P9" s="53"/>
      <c r="Q9" s="218">
        <f>VLOOKUP(R9,vote4OVERLORD!B:G,6,FALSE)</f>
        <v>5.5</v>
      </c>
      <c r="R9" s="219" t="str">
        <f>IFERROR(__xludf.DUMMYFUNCTION("""COMPUTED_VALUE"""),"Dark Fortune")</f>
        <v>Dark Fortune</v>
      </c>
      <c r="S9" s="220" t="b">
        <v>1</v>
      </c>
      <c r="T9" s="235"/>
      <c r="U9" s="84"/>
      <c r="V9" s="294" t="str">
        <f>IFERROR(__xludf.DUMMYFUNCTION(" IFERROR(
(FILTER(Monsters!$AQ:$AQ, Monsters!$A:$A = T9 , Monsters!$D:$D  = $U$3, Monsters!$B:$B = ""Master"")
*
SWITCH(
COUNTA($C$3,$J$3,$C$25,$J$25),
2,FILTER(Monsters!$AJ:$AJ, Monsters!$A:$A = T9 , Monsters!$D:$D  = $U$3, Monsters!$B:$B = ""Master""),
"&amp;"3,FILTER(Monsters!$AL:$AL, Monsters!$A:$A = T9 , Monsters!$D:$D  = $U$3, Monsters!$B:$B = ""Master""),
4,FILTER(Monsters!$AN:$AN, Monsters!$A:$A = T9 , Monsters!$D:$D  = $U$3, Monsters!$B:$B = ""Master""),
))
+
(FILTER(Monsters!$AQ:$AQ, Monsters!$A:$A = T"&amp;"9 , Monsters!$D:$D  = $U$3, Monsters!$B:$B = ""Minion"")
*
SWITCH(
COUNTA($C$3,$J$3,$C$25,$J$25),
2,FILTER(Monsters!$AJ:$AJ, Monsters!$A:$A = T9 , Monsters!$D:$D  = $U$3, Monsters!$B:$B = ""Minion""),
3,FILTER(Monsters!$AL:$AL, Monsters!$A:$A = T9 , Monst"&amp;"ers!$D:$D  = $U$3, Monsters!$B:$B = ""Minion""),
4,FILTER(Monsters!$AN:$AN, Monsters!$A:$A = T9 , Monsters!$D:$D  = $U$3, Monsters!$B:$B = ""Minion""),
))
,
)"),"")</f>
        <v/>
      </c>
      <c r="W9" s="235" t="str">
        <f>IFERROR(__xludf.DUMMYFUNCTION(" IFERROR(
(FILTER(Monsters!$AQ:$AQ, Monsters!$A:$A = #REF! , Monsters!$D:$D  = $U$3, Monsters!$B:$B = ""Master"")
*
SWITCH(
COUNTA($C$3,$J$3,$C$25,$J$25),
2,FILTER(Monsters!$AJ:$AJ, Monsters!$A:$A = #REF! , Monsters!$D:$D  = $U$3, Monsters!$B:$B = ""Maste"&amp;"r""),
3,FILTER(Monsters!$AL:$AL, Monsters!$A:$A = #REF! , Monsters!$D:$D  = $U$3, Monsters!$B:$B = ""Master""),
4,FILTER(Monsters!$AN:$AN, Monsters!$A:$A = #REF! , Monsters!$D:$D  = $U$3, Monsters!$B:$B = ""Master""),
))
+
(FILTER(Monsters!$AQ:$AQ, Monste"&amp;"rs!$A:$A = #REF! , Monsters!$D:$D  = $U$3, Monsters!$B:$B = ""Minion"")
*
SWITCH(
COUNTA($C$3,$J$3,$C$25,$J$25),
2,FILTER(Monsters!$AJ:$AJ, Monsters!$A:$A = #REF! , Monsters!$D:$D  = $U$3, Monsters!$B:$B = ""Minion""),
3,FILTER(Monsters!$AL:$AL, Monsters!"&amp;"$A:$A = #REF! , Monsters!$D:$D  = $U$3, Monsters!$B:$B = ""Minion""),
4,FILTER(Monsters!$AN:$AN, Monsters!$A:$A = #REF! , Monsters!$D:$D  = $U$3, Monsters!$B:$B = ""Minion""),
))
,
)"),"")</f>
        <v/>
      </c>
      <c r="X9" s="263" t="str">
        <f>IFERROR(__xludf.DUMMYFUNCTION("IF(ISBLANK(W9),,
FILTER(Lieutenants!$AL:$AL, Lieutenants!A:A = W9, Lieutenants!B:B = $U$3)
+
SWITCH(
COUNTA($C$3,$J$3,$C$25,$J$25),
2,FILTER(Lieutenants!I:I, Lieutenants!A:A = W9, Lieutenants!B:B = $U$3),
3,FILTER(Lieutenants!$M:$M, Lieutenants!A:A = W9 ,"&amp;" Lieutenants!B:B = $U$3),
4,FILTER(Lieutenants!$Q:$Q, Lieutenants!A:A = W9 ,Lieutenants!B:B = $U$3)
)
)"),"")</f>
        <v/>
      </c>
      <c r="Y9" s="219" t="str">
        <f>IFERROR(__xludf.DUMMYFUNCTION("""COMPUTED_VALUE"""),"Massive Bulk")</f>
        <v>Massive Bulk</v>
      </c>
      <c r="Z9" s="75" t="b">
        <v>0</v>
      </c>
      <c r="AA9" s="239">
        <f>VLOOKUP(Y9,vote4Plot!B:F,5,FALSE)</f>
        <v>-2</v>
      </c>
      <c r="AB9" s="83"/>
    </row>
    <row r="10">
      <c r="A10" s="134"/>
      <c r="B10" s="53"/>
      <c r="C10" s="198"/>
      <c r="D10" s="232">
        <f>IFERROR(VLOOKUP(C10,'Shop Items'!$C:$W,21,FALSE),0)</f>
        <v>0</v>
      </c>
      <c r="E10" s="118">
        <f>IFERROR(
IF(G10 = TRUE,
VLOOKUP(F10,Classes!$C:$H,6,FALSE),0)
,0)</f>
        <v>0</v>
      </c>
      <c r="F10" s="58" t="str">
        <f>IFERROR(__xludf.DUMMYFUNCTION("""COMPUTED_VALUE"""),"Deathly Haste")</f>
        <v>Deathly Haste</v>
      </c>
      <c r="G10" s="234" t="b">
        <v>0</v>
      </c>
      <c r="H10" s="118"/>
      <c r="I10" s="53"/>
      <c r="J10" s="198"/>
      <c r="K10" s="232">
        <f>IFERROR(VLOOKUP(J10,'Shop Items'!$C:$W,21,FALSE),0)</f>
        <v>0</v>
      </c>
      <c r="L10" s="118">
        <f>IFERROR(
IF(N10 = TRUE,
VLOOKUP(M10,Classes!$C:$H,6,FALSE),0)
,0)</f>
        <v>0</v>
      </c>
      <c r="M10" s="58" t="str">
        <f>IFERROR(__xludf.DUMMYFUNCTION("""COMPUTED_VALUE"""),"Deep Wounds")</f>
        <v>Deep Wounds</v>
      </c>
      <c r="N10" s="234" t="b">
        <v>0</v>
      </c>
      <c r="O10" s="201"/>
      <c r="P10" s="53"/>
      <c r="Q10" s="218">
        <f>VLOOKUP(R10,vote4OVERLORD!B:G,6,FALSE)</f>
        <v>3.5</v>
      </c>
      <c r="R10" s="219" t="str">
        <f>IFERROR(__xludf.DUMMYFUNCTION("""COMPUTED_VALUE"""),"Pit Trap")</f>
        <v>Pit Trap</v>
      </c>
      <c r="S10" s="220" t="b">
        <v>1</v>
      </c>
      <c r="T10" s="190" t="s">
        <v>1430</v>
      </c>
      <c r="U10" s="295"/>
      <c r="V10" s="295"/>
      <c r="W10" s="295"/>
      <c r="X10" s="295"/>
      <c r="Y10" s="219" t="str">
        <f>IFERROR(__xludf.DUMMYFUNCTION("""COMPUTED_VALUE"""),"Punish the Weak")</f>
        <v>Punish the Weak</v>
      </c>
      <c r="Z10" s="83" t="b">
        <v>0</v>
      </c>
      <c r="AA10" s="239">
        <f>VLOOKUP(Y10,vote4Plot!B:F,5,FALSE)</f>
        <v>2</v>
      </c>
      <c r="AB10" s="83"/>
    </row>
    <row r="11">
      <c r="A11" s="134"/>
      <c r="B11" s="53"/>
      <c r="C11" s="198"/>
      <c r="D11" s="232">
        <f>IFERROR(VLOOKUP(C11,'Shop Items'!$C:$W,21,FALSE),0)</f>
        <v>0</v>
      </c>
      <c r="E11" s="118">
        <f>IFERROR(
IF(G11 = TRUE,
VLOOKUP(F11,Classes!$C:$H,6,FALSE),0)
,0)</f>
        <v>0</v>
      </c>
      <c r="F11" s="58" t="str">
        <f>IFERROR(__xludf.DUMMYFUNCTION("""COMPUTED_VALUE"""),"Vampiric Blood")</f>
        <v>Vampiric Blood</v>
      </c>
      <c r="G11" s="232" t="b">
        <v>0</v>
      </c>
      <c r="H11" s="118"/>
      <c r="I11" s="53"/>
      <c r="J11" s="198"/>
      <c r="K11" s="232">
        <f>IFERROR(VLOOKUP(J11,'Shop Items'!$C:$W,21,FALSE),0)</f>
        <v>0</v>
      </c>
      <c r="L11" s="118">
        <f>IFERROR(
IF(N11 = TRUE,
VLOOKUP(M11,Classes!$C:$H,6,FALSE),0)
,0)</f>
        <v>0</v>
      </c>
      <c r="M11" s="58" t="str">
        <f>IFERROR(__xludf.DUMMYFUNCTION("""COMPUTED_VALUE"""),"Unrelenting")</f>
        <v>Unrelenting</v>
      </c>
      <c r="N11" s="232" t="b">
        <v>0</v>
      </c>
      <c r="O11" s="201"/>
      <c r="P11" s="53"/>
      <c r="Q11" s="218">
        <f>VLOOKUP(R11,vote4OVERLORD!B:G,6,FALSE)</f>
        <v>5</v>
      </c>
      <c r="R11" s="219" t="str">
        <f>IFERROR(__xludf.DUMMYFUNCTION("""COMPUTED_VALUE"""),"Critical Blow")</f>
        <v>Critical Blow</v>
      </c>
      <c r="S11" s="220" t="b">
        <v>1</v>
      </c>
      <c r="T11" s="83" t="str">
        <f>IFERROR(__xludf.DUMMYFUNCTION("
IFERROR(
UNIQUE(
FILTER( 
Monsters!A:A,
Monsters!A:A &lt;&gt; """",
(Monsters!Z:Z = IFERROR (FILTER(Campaigns!H:H, Campaigns!H:H &lt;&gt; """", Campaigns!A:A = 'Main Page'!T3, Campaigns!B:B = 'Main Page'!V3,Campaigns!C:C = 'Main Page'!W3) , ""BLANK""))
+
(Monsters!A"&amp;"A:AA = IFERROR (FILTER(Campaigns!I:I, Campaigns!I:I &lt;&gt; """", Campaigns!A:A = 'Main Page'!T3, Campaigns!B:B = 'Main Page'!V3,Campaigns!C:C = 'Main Page'!W3), ""BLANK""))
+
(Monsters!AB:AB = IFERROR (FILTER(Campaigns!J:J, Campaigns!J:J &lt;&gt; """", Campaigns!A:"&amp;"A = 'Main Page'!T3, Campaigns!B:B = 'Main Page'!V3,Campaigns!C:C = 'Main Page'!W3) , ""BLANK""))
+
(Monsters!AC:AC = IFERROR (FILTER(Campaigns!K:K, Campaigns!K:K &lt;&gt; """", Campaigns!A:A = 'Main Page'!T3, Campaigns!B:B = 'Main Page'!V3,Campaigns!C:C = 'Main"&amp;" Page'!W3) , ""BLANK""))
+
(Monsters!AD:AD = IFERROR (FILTER(Campaigns!L:L, Campaigns!L:L &lt;&gt; """", Campaigns!A:A = 'Main Page'!T3, Campaigns!B:B = 'Main Page'!V3,Campaigns!C:C = 'Main Page'!W3) , ""BLANK""))
+
(Monsters!AE:AE = IFERROR (FILTER(Campaigns!M"&amp;":M, Campaigns!M:M &lt;&gt; """", Campaigns!A:A = 'Main Page'!T3, Campaigns!B:B = 'Main Page'!V3,Campaigns!C:C = 'Main Page'!W3) , ""BLANK""))
+
(Monsters!AF:AF = IFERROR (FILTER(Campaigns!N:N, Campaigns!N:N &lt;&gt; """", Campaigns!A:A = 'Main Page'!T3, Campaigns!B:B"&amp;" = 'Main Page'!V3,Campaigns!C:C = 'Main Page'!W3) , ""BLANK""))
+
(Monsters!AG:AG = IFERROR (FILTER(Campaigns!O:O, Campaigns!O:O &lt;&gt; """", Campaigns!A:A = 'Main Page'!T3, Campaigns!B:B = 'Main Page'!V3,Campaigns!C:C = 'Main Page'!W3) , ""BLANK""))
+
(Monst"&amp;"ers!AH:AH = IFERROR (FILTER(Campaigns!P:P, Campaigns!P:P &lt;&gt; """", Campaigns!A:A = 'Main Page'!T3, Campaigns!B:B = 'Main Page'!V3,Campaigns!C:C = 'Main Page'!W3) , ""BLANK""))
+
(Monsters!AI:AI = IFERROR (FILTER(Campaigns!Q:Q, Campaigns!Q:Q &lt;&gt; """", Campai"&amp;"gns!A:A = 'Main Page'!T3, Campaigns!B:B = 'Main Page'!V3,Campaigns!C:C = 'Main Page'!W3) , ""BLANK""))
))
,)
"),"")</f>
        <v/>
      </c>
      <c r="U11" s="65" t="b">
        <v>0</v>
      </c>
      <c r="V11" s="94" t="str">
        <f>IFERROR(__xludf.DUMMYFUNCTION(" IFERROR(
(FILTER(Monsters!$AQ:$AQ, Monsters!$A:$A = T11 , Monsters!$D:$D  = $U$3, Monsters!$B:$B = ""Master"")
*
SWITCH(
COUNTA($C$3,$J$3,$C$25,$J$25),
2,FILTER(Monsters!$AJ:$AJ, Monsters!$A:$A = T11 , Monsters!$D:$D  = $U$3, Monsters!$B:$B = ""Master"")"&amp;",
3,FILTER(Monsters!$AL:$AL, Monsters!$A:$A = T11 , Monsters!$D:$D  = $U$3, Monsters!$B:$B = ""Master""),
4,FILTER(Monsters!$AN:$AN, Monsters!$A:$A = T11 , Monsters!$D:$D  = $U$3, Monsters!$B:$B = ""Master""),
))
+
(FILTER(Monsters!$AQ:$AQ, Monsters!$A:$A"&amp;" = T11 , Monsters!$D:$D  = $U$3, Monsters!$B:$B = ""Minion"")
*
SWITCH(
COUNTA($C$3,$J$3,$C$25,$J$25),
2,FILTER(Monsters!$AJ:$AJ, Monsters!$A:$A = T11 , Monsters!$D:$D  = $U$3, Monsters!$B:$B = ""Minion""),
3,FILTER(Monsters!$AL:$AL, Monsters!$A:$A = T11 "&amp;", Monsters!$D:$D  = $U$3, Monsters!$B:$B = ""Minion""),
4,FILTER(Monsters!$AN:$AN, Monsters!$A:$A = T11 , Monsters!$D:$D  = $U$3, Monsters!$B:$B = ""Minion""),
))
,
)"),"")</f>
        <v/>
      </c>
      <c r="W11" s="83" t="str">
        <f>IFERROR(__xludf.DUMMYFUNCTION(" IFERROR(
CONCATENATE(
SWITCH(
COUNTA($C$3,$J$3,$C$25,$J$25),
2,FILTER(Monsters!$AJ:$AJ, Monsters!$A:$A = T11 , Monsters!$D:$D  = $U$3, Monsters!$B:$B = ""Master""),
3,FILTER(Monsters!$AL:$AL, Monsters!$A:$A = T11 , Monsters!$D:$D  = $U$3, Monsters!$B:$B "&amp;"= ""Master""),
4,FILTER(Monsters!$AN:$AN, Monsters!$A:$A = T11 , Monsters!$D:$D  = $U$3, Monsters!$B:$B = ""Master""),
)
,
""/""
,
SWITCH(
COUNTA($C$3,$J$3,$C$25,$J$25),
2,FILTER(Monsters!$AJ:$AJ, Monsters!$A:$A = T11 , Monsters!$D:$D  = $U$3, Monsters!"&amp;"$B:$B = ""Minion""),
3,FILTER(Monsters!$AL:$AL, Monsters!$A:$A = T11 , Monsters!$D:$D  = $U$3, Monsters!$B:$B = ""Minion""),
4,FILTER(Monsters!$AN:$AN, Monsters!$A:$A = T11 , Monsters!$D:$D  = $U$3, Monsters!$B:$B = ""Minion""),
)
)
)"),"")</f>
        <v/>
      </c>
      <c r="X11" s="65"/>
      <c r="Y11" s="219" t="str">
        <f>IFERROR(__xludf.DUMMYFUNCTION("""COMPUTED_VALUE"""),"Aurium Plating")</f>
        <v>Aurium Plating</v>
      </c>
      <c r="Z11" s="65" t="b">
        <v>0</v>
      </c>
      <c r="AA11" s="239">
        <f>VLOOKUP(Y11,vote4Plot!B:F,5,FALSE)</f>
        <v>1.5</v>
      </c>
      <c r="AB11" s="83"/>
    </row>
    <row r="12">
      <c r="A12" s="134"/>
      <c r="B12" s="53"/>
      <c r="C12" s="198"/>
      <c r="D12" s="232">
        <f>IFERROR(VLOOKUP(C12,'Shop Items'!$C:$W,21,FALSE),0)</f>
        <v>0</v>
      </c>
      <c r="E12" s="118">
        <f>IFERROR(
IF(G12 = TRUE,
VLOOKUP(F12,Classes!$C:$H,6,FALSE),0)
,0)</f>
        <v>0</v>
      </c>
      <c r="F12" s="58" t="str">
        <f>IFERROR(__xludf.DUMMYFUNCTION("""COMPUTED_VALUE"""),"Dark Pact")</f>
        <v>Dark Pact</v>
      </c>
      <c r="G12" s="232" t="b">
        <v>0</v>
      </c>
      <c r="H12" s="118"/>
      <c r="I12" s="53"/>
      <c r="J12" s="198"/>
      <c r="K12" s="232">
        <f>IFERROR(VLOOKUP(J12,'Shop Items'!$C:$W,21,FALSE),0)</f>
        <v>0</v>
      </c>
      <c r="L12" s="118">
        <f>IFERROR(
IF(N12 = TRUE,
VLOOKUP(M12,Classes!$C:$H,6,FALSE),0)
,0)</f>
        <v>0</v>
      </c>
      <c r="M12" s="58" t="str">
        <f>IFERROR(__xludf.DUMMYFUNCTION("""COMPUTED_VALUE"""),"Born in Battle")</f>
        <v>Born in Battle</v>
      </c>
      <c r="N12" s="232" t="b">
        <v>0</v>
      </c>
      <c r="O12" s="201"/>
      <c r="P12" s="53"/>
      <c r="Q12" s="218">
        <f>VLOOKUP(R12,vote4OVERLORD!B:G,6,FALSE)</f>
        <v>2.5</v>
      </c>
      <c r="R12" s="219" t="str">
        <f>IFERROR(__xludf.DUMMYFUNCTION("""COMPUTED_VALUE"""),"Poison Dart")</f>
        <v>Poison Dart</v>
      </c>
      <c r="S12" s="220" t="b">
        <v>1</v>
      </c>
      <c r="T12" s="83"/>
      <c r="U12" s="65" t="b">
        <v>0</v>
      </c>
      <c r="V12" s="94" t="str">
        <f>IFERROR(__xludf.DUMMYFUNCTION(" IFERROR(
(FILTER(Monsters!$AQ:$AQ, Monsters!$A:$A = T12 , Monsters!$D:$D  = $U$3, Monsters!$B:$B = ""Master"")
*
SWITCH(
COUNTA($C$3,$J$3,$C$25,$J$25),
2,FILTER(Monsters!$AJ:$AJ, Monsters!$A:$A = T12 , Monsters!$D:$D  = $U$3, Monsters!$B:$B = ""Master"")"&amp;",
3,FILTER(Monsters!$AL:$AL, Monsters!$A:$A = T12 , Monsters!$D:$D  = $U$3, Monsters!$B:$B = ""Master""),
4,FILTER(Monsters!$AN:$AN, Monsters!$A:$A = T12 , Monsters!$D:$D  = $U$3, Monsters!$B:$B = ""Master""),
))
+
(FILTER(Monsters!$AQ:$AQ, Monsters!$A:$A"&amp;" = T12 , Monsters!$D:$D  = $U$3, Monsters!$B:$B = ""Minion"")
*
SWITCH(
COUNTA($C$3,$J$3,$C$25,$J$25),
2,FILTER(Monsters!$AJ:$AJ, Monsters!$A:$A = T12 , Monsters!$D:$D  = $U$3, Monsters!$B:$B = ""Minion""),
3,FILTER(Monsters!$AL:$AL, Monsters!$A:$A = T12 "&amp;", Monsters!$D:$D  = $U$3, Monsters!$B:$B = ""Minion""),
4,FILTER(Monsters!$AN:$AN, Monsters!$A:$A = T12 , Monsters!$D:$D  = $U$3, Monsters!$B:$B = ""Minion""),
))
,
)"),"")</f>
        <v/>
      </c>
      <c r="W12" s="83" t="str">
        <f>IFERROR(__xludf.DUMMYFUNCTION(" IFERROR(
CONCATENATE(
SWITCH(
COUNTA($C$3,$J$3,$C$25,$J$25),
2,FILTER(Monsters!$AJ:$AJ, Monsters!$A:$A = T12 , Monsters!$D:$D  = $U$3, Monsters!$B:$B = ""Master""),
3,FILTER(Monsters!$AL:$AL, Monsters!$A:$A = T12 , Monsters!$D:$D  = $U$3, Monsters!$B:$B "&amp;"= ""Master""),
4,FILTER(Monsters!$AN:$AN, Monsters!$A:$A = T12 , Monsters!$D:$D  = $U$3, Monsters!$B:$B = ""Master""),
)
,
""/""
,
SWITCH(
COUNTA($C$3,$J$3,$C$25,$J$25),
2,FILTER(Monsters!$AJ:$AJ, Monsters!$A:$A = T12 , Monsters!$D:$D  = $U$3, Monsters!"&amp;"$B:$B = ""Minion""),
3,FILTER(Monsters!$AL:$AL, Monsters!$A:$A = T12 , Monsters!$D:$D  = $U$3, Monsters!$B:$B = ""Minion""),
4,FILTER(Monsters!$AN:$AN, Monsters!$A:$A = T12 , Monsters!$D:$D  = $U$3, Monsters!$B:$B = ""Minion""),
)
)
)"),"")</f>
        <v/>
      </c>
      <c r="X12" s="65"/>
      <c r="Y12" s="219" t="str">
        <f>IFERROR(__xludf.DUMMYFUNCTION("""COMPUTED_VALUE"""),"Valyndra's Shadow")</f>
        <v>Valyndra's Shadow</v>
      </c>
      <c r="Z12" s="83" t="b">
        <v>0</v>
      </c>
      <c r="AA12" s="239">
        <f>VLOOKUP(Y12,vote4Plot!B:F,5,FALSE)</f>
        <v>0.5</v>
      </c>
      <c r="AB12" s="83"/>
    </row>
    <row r="13">
      <c r="A13" s="134"/>
      <c r="B13" s="53"/>
      <c r="C13" s="198"/>
      <c r="D13" s="232">
        <f>IFERROR(VLOOKUP(C13,'Shop Items'!$C:$W,21,FALSE),0)</f>
        <v>0</v>
      </c>
      <c r="E13" s="118">
        <f>IFERROR(
IF(G13 = TRUE,
VLOOKUP(F13,Classes!$C:$H,6,FALSE),0)
,0)</f>
        <v>0</v>
      </c>
      <c r="F13" s="58" t="str">
        <f>IFERROR(__xludf.DUMMYFUNCTION("""COMPUTED_VALUE"""),"Undead Might")</f>
        <v>Undead Might</v>
      </c>
      <c r="G13" s="232" t="b">
        <v>0</v>
      </c>
      <c r="H13" s="118"/>
      <c r="I13" s="53"/>
      <c r="J13" s="198"/>
      <c r="K13" s="232">
        <f>IFERROR(VLOOKUP(J13,'Shop Items'!$C:$W,21,FALSE),0)</f>
        <v>0</v>
      </c>
      <c r="L13" s="118">
        <f>IFERROR(
IF(N13 = TRUE,
VLOOKUP(M13,Classes!$C:$H,6,FALSE),0)
,0)</f>
        <v>0</v>
      </c>
      <c r="M13" s="58" t="str">
        <f>IFERROR(__xludf.DUMMYFUNCTION("""COMPUTED_VALUE"""),"Ever in Motion")</f>
        <v>Ever in Motion</v>
      </c>
      <c r="N13" s="234" t="b">
        <v>0</v>
      </c>
      <c r="O13" s="201"/>
      <c r="P13" s="53"/>
      <c r="Q13" s="218">
        <f>VLOOKUP(R13,vote4OVERLORD!B:G,6,FALSE)</f>
        <v>8.5</v>
      </c>
      <c r="R13" s="219" t="str">
        <f>IFERROR(__xludf.DUMMYFUNCTION("""COMPUTED_VALUE"""),"Word of Misery")</f>
        <v>Word of Misery</v>
      </c>
      <c r="S13" s="220" t="b">
        <v>1</v>
      </c>
      <c r="T13" s="83"/>
      <c r="U13" s="65" t="b">
        <v>0</v>
      </c>
      <c r="V13" s="94" t="str">
        <f>IFERROR(__xludf.DUMMYFUNCTION(" IFERROR(
(FILTER(Monsters!$AQ:$AQ, Monsters!$A:$A = T13 , Monsters!$D:$D  = $U$3, Monsters!$B:$B = ""Master"")
*
SWITCH(
COUNTA($C$3,$J$3,$C$25,$J$25),
2,FILTER(Monsters!$AJ:$AJ, Monsters!$A:$A = T13 , Monsters!$D:$D  = $U$3, Monsters!$B:$B = ""Master"")"&amp;",
3,FILTER(Monsters!$AL:$AL, Monsters!$A:$A = T13 , Monsters!$D:$D  = $U$3, Monsters!$B:$B = ""Master""),
4,FILTER(Monsters!$AN:$AN, Monsters!$A:$A = T13 , Monsters!$D:$D  = $U$3, Monsters!$B:$B = ""Master""),
))
+
(FILTER(Monsters!$AQ:$AQ, Monsters!$A:$A"&amp;" = T13 , Monsters!$D:$D  = $U$3, Monsters!$B:$B = ""Minion"")
*
SWITCH(
COUNTA($C$3,$J$3,$C$25,$J$25),
2,FILTER(Monsters!$AJ:$AJ, Monsters!$A:$A = T13 , Monsters!$D:$D  = $U$3, Monsters!$B:$B = ""Minion""),
3,FILTER(Monsters!$AL:$AL, Monsters!$A:$A = T13 "&amp;", Monsters!$D:$D  = $U$3, Monsters!$B:$B = ""Minion""),
4,FILTER(Monsters!$AN:$AN, Monsters!$A:$A = T13 , Monsters!$D:$D  = $U$3, Monsters!$B:$B = ""Minion""),
))
,
)"),"")</f>
        <v/>
      </c>
      <c r="W13" s="83" t="str">
        <f>IFERROR(__xludf.DUMMYFUNCTION(" IFERROR(
CONCATENATE(
SWITCH(
COUNTA($C$3,$J$3,$C$25,$J$25),
2,FILTER(Monsters!$AJ:$AJ, Monsters!$A:$A = T13 , Monsters!$D:$D  = $U$3, Monsters!$B:$B = ""Master""),
3,FILTER(Monsters!$AL:$AL, Monsters!$A:$A = T13 , Monsters!$D:$D  = $U$3, Monsters!$B:$B "&amp;"= ""Master""),
4,FILTER(Monsters!$AN:$AN, Monsters!$A:$A = T13 , Monsters!$D:$D  = $U$3, Monsters!$B:$B = ""Master""),
)
,
""/""
,
SWITCH(
COUNTA($C$3,$J$3,$C$25,$J$25),
2,FILTER(Monsters!$AJ:$AJ, Monsters!$A:$A = T13 , Monsters!$D:$D  = $U$3, Monsters!"&amp;"$B:$B = ""Minion""),
3,FILTER(Monsters!$AL:$AL, Monsters!$A:$A = T13 , Monsters!$D:$D  = $U$3, Monsters!$B:$B = ""Minion""),
4,FILTER(Monsters!$AN:$AN, Monsters!$A:$A = T13 , Monsters!$D:$D  = $U$3, Monsters!$B:$B = ""Minion""),
)
)
)"),"")</f>
        <v/>
      </c>
      <c r="X13" s="65"/>
      <c r="Y13" s="219" t="str">
        <f>IFERROR(__xludf.DUMMYFUNCTION("""COMPUTED_VALUE"""),"Guardians of the Hoard")</f>
        <v>Guardians of the Hoard</v>
      </c>
      <c r="Z13" s="83" t="b">
        <v>0</v>
      </c>
      <c r="AA13" s="239">
        <f>VLOOKUP(Y13,vote4Plot!B:F,5,FALSE)</f>
        <v>1.5</v>
      </c>
      <c r="AB13" s="83"/>
    </row>
    <row r="14">
      <c r="A14" s="134"/>
      <c r="B14" s="53"/>
      <c r="C14" s="198"/>
      <c r="D14" s="232">
        <f>IFERROR(VLOOKUP(C14,'Shop Items'!$C:$W,21,FALSE),0)</f>
        <v>0</v>
      </c>
      <c r="E14" s="118">
        <f>IFERROR(
IF(G14 = TRUE,
VLOOKUP(F14,Classes!$C:$H,6,FALSE),0)
,0)</f>
        <v>0</v>
      </c>
      <c r="F14" s="58" t="str">
        <f>IFERROR(__xludf.DUMMYFUNCTION("""COMPUTED_VALUE"""),"Dying Command")</f>
        <v>Dying Command</v>
      </c>
      <c r="G14" s="232" t="b">
        <v>0</v>
      </c>
      <c r="H14" s="118"/>
      <c r="I14" s="53"/>
      <c r="J14" s="198"/>
      <c r="K14" s="232">
        <f>IFERROR(VLOOKUP(J14,'Shop Items'!$C:$W,21,FALSE),0)</f>
        <v>0</v>
      </c>
      <c r="L14" s="118">
        <f>IFERROR(
IF(N14 = TRUE,
VLOOKUP(M14,Classes!$C:$H,6,FALSE),0)
,0)</f>
        <v>0</v>
      </c>
      <c r="M14" s="58" t="str">
        <f>IFERROR(__xludf.DUMMYFUNCTION("""COMPUTED_VALUE"""),"Unstoppable")</f>
        <v>Unstoppable</v>
      </c>
      <c r="N14" s="234" t="b">
        <v>0</v>
      </c>
      <c r="O14" s="201"/>
      <c r="P14" s="53"/>
      <c r="Q14" s="218">
        <f>VLOOKUP(R14,vote4OVERLORD!B:G,6,FALSE)</f>
        <v>4</v>
      </c>
      <c r="R14" s="219" t="str">
        <f>IFERROR(__xludf.DUMMYFUNCTION("""COMPUTED_VALUE"""),"Dark Charm")</f>
        <v>Dark Charm</v>
      </c>
      <c r="S14" s="220" t="b">
        <v>1</v>
      </c>
      <c r="T14" s="83"/>
      <c r="U14" s="65" t="b">
        <v>0</v>
      </c>
      <c r="V14" s="94" t="str">
        <f>IFERROR(__xludf.DUMMYFUNCTION(" IFERROR(
(FILTER(Monsters!$AQ:$AQ, Monsters!$A:$A = T14 , Monsters!$D:$D  = $U$3, Monsters!$B:$B = ""Master"")
*
SWITCH(
COUNTA($C$3,$J$3,$C$25,$J$25),
2,FILTER(Monsters!$AJ:$AJ, Monsters!$A:$A = T14 , Monsters!$D:$D  = $U$3, Monsters!$B:$B = ""Master"")"&amp;",
3,FILTER(Monsters!$AL:$AL, Monsters!$A:$A = T14 , Monsters!$D:$D  = $U$3, Monsters!$B:$B = ""Master""),
4,FILTER(Monsters!$AN:$AN, Monsters!$A:$A = T14 , Monsters!$D:$D  = $U$3, Monsters!$B:$B = ""Master""),
))
+
(FILTER(Monsters!$AQ:$AQ, Monsters!$A:$A"&amp;" = T14 , Monsters!$D:$D  = $U$3, Monsters!$B:$B = ""Minion"")
*
SWITCH(
COUNTA($C$3,$J$3,$C$25,$J$25),
2,FILTER(Monsters!$AJ:$AJ, Monsters!$A:$A = T14 , Monsters!$D:$D  = $U$3, Monsters!$B:$B = ""Minion""),
3,FILTER(Monsters!$AL:$AL, Monsters!$A:$A = T14 "&amp;", Monsters!$D:$D  = $U$3, Monsters!$B:$B = ""Minion""),
4,FILTER(Monsters!$AN:$AN, Monsters!$A:$A = T14 , Monsters!$D:$D  = $U$3, Monsters!$B:$B = ""Minion""),
))
,
)"),"")</f>
        <v/>
      </c>
      <c r="W14" s="83" t="str">
        <f>IFERROR(__xludf.DUMMYFUNCTION(" IFERROR(
CONCATENATE(
SWITCH(
COUNTA($C$3,$J$3,$C$25,$J$25),
2,FILTER(Monsters!$AJ:$AJ, Monsters!$A:$A = T14 , Monsters!$D:$D  = $U$3, Monsters!$B:$B = ""Master""),
3,FILTER(Monsters!$AL:$AL, Monsters!$A:$A = T14 , Monsters!$D:$D  = $U$3, Monsters!$B:$B "&amp;"= ""Master""),
4,FILTER(Monsters!$AN:$AN, Monsters!$A:$A = T14 , Monsters!$D:$D  = $U$3, Monsters!$B:$B = ""Master""),
)
,
""/""
,
SWITCH(
COUNTA($C$3,$J$3,$C$25,$J$25),
2,FILTER(Monsters!$AJ:$AJ, Monsters!$A:$A = T14 , Monsters!$D:$D  = $U$3, Monsters!"&amp;"$B:$B = ""Minion""),
3,FILTER(Monsters!$AL:$AL, Monsters!$A:$A = T14 , Monsters!$D:$D  = $U$3, Monsters!$B:$B = ""Minion""),
4,FILTER(Monsters!$AN:$AN, Monsters!$A:$A = T14 , Monsters!$D:$D  = $U$3, Monsters!$B:$B = ""Minion""),
)
)
)"),"")</f>
        <v/>
      </c>
      <c r="X14" s="65"/>
      <c r="Y14" s="252" t="str">
        <f>IFERROR(__xludf.DUMMYFUNCTION("""COMPUTED_VALUE"""),"Summon - Valyndra")</f>
        <v>Summon - Valyndra</v>
      </c>
      <c r="Z14" s="66" t="b">
        <v>0</v>
      </c>
      <c r="AA14" s="251">
        <f>VLOOKUP(Y14,vote4Plot!B:F,5,FALSE)</f>
        <v>-0.5</v>
      </c>
      <c r="AB14" s="83"/>
    </row>
    <row r="15">
      <c r="A15" s="134"/>
      <c r="B15" s="53"/>
      <c r="C15" s="198"/>
      <c r="D15" s="232">
        <f>IFERROR(VLOOKUP(C15,'Shop Items'!$C:$W,21,FALSE),0)</f>
        <v>0</v>
      </c>
      <c r="E15" s="118">
        <f>IFERROR(
IF(G15 = TRUE,
VLOOKUP(F15,Classes!$C:$H,6,FALSE),0)
,0)</f>
        <v>0</v>
      </c>
      <c r="F15" s="58" t="str">
        <f>IFERROR(__xludf.DUMMYFUNCTION("""COMPUTED_VALUE"""),"Army Of Death")</f>
        <v>Army Of Death</v>
      </c>
      <c r="G15" s="232" t="b">
        <v>0</v>
      </c>
      <c r="H15" s="118"/>
      <c r="I15" s="53"/>
      <c r="J15" s="198"/>
      <c r="K15" s="232">
        <f>IFERROR(VLOOKUP(J15,'Shop Items'!$C:$W,21,FALSE),0)</f>
        <v>0</v>
      </c>
      <c r="L15" s="118">
        <f>IFERROR(
IF(N15 = TRUE,
VLOOKUP(M15,Classes!$C:$H,6,FALSE),0)
,0)</f>
        <v>0</v>
      </c>
      <c r="M15" s="58" t="str">
        <f>IFERROR(__xludf.DUMMYFUNCTION("""COMPUTED_VALUE"""),"Carve a Path")</f>
        <v>Carve a Path</v>
      </c>
      <c r="N15" s="234" t="b">
        <v>0</v>
      </c>
      <c r="O15" s="201"/>
      <c r="P15" s="53"/>
      <c r="Q15" s="218">
        <f>VLOOKUP(R15,vote4OVERLORD!B:G,6,FALSE)</f>
        <v>4.5</v>
      </c>
      <c r="R15" s="219" t="str">
        <f>IFERROR(__xludf.DUMMYFUNCTION("""COMPUTED_VALUE"""),"Dark Might")</f>
        <v>Dark Might</v>
      </c>
      <c r="S15" s="220" t="b">
        <v>1</v>
      </c>
      <c r="T15" s="83"/>
      <c r="U15" s="65" t="b">
        <v>0</v>
      </c>
      <c r="V15" s="94" t="str">
        <f>IFERROR(__xludf.DUMMYFUNCTION(" IFERROR(
(FILTER(Monsters!$AQ:$AQ, Monsters!$A:$A = T15 , Monsters!$D:$D  = $U$3, Monsters!$B:$B = ""Master"")
*
SWITCH(
COUNTA($C$3,$J$3,$C$25,$J$25),
2,FILTER(Monsters!$AJ:$AJ, Monsters!$A:$A = T15 , Monsters!$D:$D  = $U$3, Monsters!$B:$B = ""Master"")"&amp;",
3,FILTER(Monsters!$AL:$AL, Monsters!$A:$A = T15 , Monsters!$D:$D  = $U$3, Monsters!$B:$B = ""Master""),
4,FILTER(Monsters!$AN:$AN, Monsters!$A:$A = T15 , Monsters!$D:$D  = $U$3, Monsters!$B:$B = ""Master""),
))
+
(FILTER(Monsters!$AQ:$AQ, Monsters!$A:$A"&amp;" = T15 , Monsters!$D:$D  = $U$3, Monsters!$B:$B = ""Minion"")
*
SWITCH(
COUNTA($C$3,$J$3,$C$25,$J$25),
2,FILTER(Monsters!$AJ:$AJ, Monsters!$A:$A = T15 , Monsters!$D:$D  = $U$3, Monsters!$B:$B = ""Minion""),
3,FILTER(Monsters!$AL:$AL, Monsters!$A:$A = T15 "&amp;", Monsters!$D:$D  = $U$3, Monsters!$B:$B = ""Minion""),
4,FILTER(Monsters!$AN:$AN, Monsters!$A:$A = T15 , Monsters!$D:$D  = $U$3, Monsters!$B:$B = ""Minion""),
))
,
)"),"")</f>
        <v/>
      </c>
      <c r="W15" s="83" t="str">
        <f>IFERROR(__xludf.DUMMYFUNCTION(" IFERROR(
CONCATENATE(
SWITCH(
COUNTA($C$3,$J$3,$C$25,$J$25),
2,FILTER(Monsters!$AJ:$AJ, Monsters!$A:$A = T15 , Monsters!$D:$D  = $U$3, Monsters!$B:$B = ""Master""),
3,FILTER(Monsters!$AL:$AL, Monsters!$A:$A = T15 , Monsters!$D:$D  = $U$3, Monsters!$B:$B "&amp;"= ""Master""),
4,FILTER(Monsters!$AN:$AN, Monsters!$A:$A = T15 , Monsters!$D:$D  = $U$3, Monsters!$B:$B = ""Master""),
)
,
""/""
,
SWITCH(
COUNTA($C$3,$J$3,$C$25,$J$25),
2,FILTER(Monsters!$AJ:$AJ, Monsters!$A:$A = T15 , Monsters!$D:$D  = $U$3, Monsters!"&amp;"$B:$B = ""Minion""),
3,FILTER(Monsters!$AL:$AL, Monsters!$A:$A = T15 , Monsters!$D:$D  = $U$3, Monsters!$B:$B = ""Minion""),
4,FILTER(Monsters!$AN:$AN, Monsters!$A:$A = T15 , Monsters!$D:$D  = $U$3, Monsters!$B:$B = ""Minion""),
)
)
)"),"")</f>
        <v/>
      </c>
      <c r="X15" s="65"/>
      <c r="Y15" s="83"/>
      <c r="Z15" s="83"/>
      <c r="AA15" s="83"/>
      <c r="AB15" s="83"/>
    </row>
    <row r="16">
      <c r="A16" s="134"/>
      <c r="B16" s="53"/>
      <c r="C16" s="198"/>
      <c r="D16" s="232">
        <f>IFERROR(VLOOKUP(C16,'Shop Items'!$C:$W,21,FALSE),0)</f>
        <v>0</v>
      </c>
      <c r="E16" s="118">
        <f>IFERROR(
IF(G16 = TRUE,
VLOOKUP(F16,Classes!$C:$H,6,FALSE),0)
,0)</f>
        <v>0</v>
      </c>
      <c r="F16" s="204"/>
      <c r="G16" s="232" t="b">
        <v>0</v>
      </c>
      <c r="H16" s="118"/>
      <c r="I16" s="53"/>
      <c r="J16" s="198"/>
      <c r="K16" s="232">
        <f>IFERROR(VLOOKUP(J16,'Shop Items'!$C:$W,21,FALSE),0)</f>
        <v>0</v>
      </c>
      <c r="L16" s="118">
        <f>IFERROR(
IF(N16 = TRUE,
VLOOKUP(M16,Classes!$C:$H,6,FALSE),0)
,0)</f>
        <v>0</v>
      </c>
      <c r="M16" s="204"/>
      <c r="N16" s="234" t="b">
        <v>0</v>
      </c>
      <c r="O16" s="201"/>
      <c r="P16" s="53"/>
      <c r="Q16" s="218">
        <f>VLOOKUP(R16,vote4OVERLORD!B:G,6,FALSE)</f>
        <v>2</v>
      </c>
      <c r="R16" s="219" t="str">
        <f>IFERROR(__xludf.DUMMYFUNCTION("""COMPUTED_VALUE"""),"Tripwire")</f>
        <v>Tripwire</v>
      </c>
      <c r="S16" s="220" t="b">
        <v>1</v>
      </c>
      <c r="T16" s="83"/>
      <c r="U16" s="65" t="b">
        <v>0</v>
      </c>
      <c r="V16" s="94" t="str">
        <f>IFERROR(__xludf.DUMMYFUNCTION(" IFERROR(
(FILTER(Monsters!$AQ:$AQ, Monsters!$A:$A = T16 , Monsters!$D:$D  = $U$3, Monsters!$B:$B = ""Master"")
*
SWITCH(
COUNTA($C$3,$J$3,$C$25,$J$25),
2,FILTER(Monsters!$AJ:$AJ, Monsters!$A:$A = T16 , Monsters!$D:$D  = $U$3, Monsters!$B:$B = ""Master"")"&amp;",
3,FILTER(Monsters!$AL:$AL, Monsters!$A:$A = T16 , Monsters!$D:$D  = $U$3, Monsters!$B:$B = ""Master""),
4,FILTER(Monsters!$AN:$AN, Monsters!$A:$A = T16 , Monsters!$D:$D  = $U$3, Monsters!$B:$B = ""Master""),
))
+
(FILTER(Monsters!$AQ:$AQ, Monsters!$A:$A"&amp;" = T16 , Monsters!$D:$D  = $U$3, Monsters!$B:$B = ""Minion"")
*
SWITCH(
COUNTA($C$3,$J$3,$C$25,$J$25),
2,FILTER(Monsters!$AJ:$AJ, Monsters!$A:$A = T16 , Monsters!$D:$D  = $U$3, Monsters!$B:$B = ""Minion""),
3,FILTER(Monsters!$AL:$AL, Monsters!$A:$A = T16 "&amp;", Monsters!$D:$D  = $U$3, Monsters!$B:$B = ""Minion""),
4,FILTER(Monsters!$AN:$AN, Monsters!$A:$A = T16 , Monsters!$D:$D  = $U$3, Monsters!$B:$B = ""Minion""),
))
,
)"),"")</f>
        <v/>
      </c>
      <c r="W16" s="83" t="str">
        <f>IFERROR(__xludf.DUMMYFUNCTION(" IFERROR(
CONCATENATE(
SWITCH(
COUNTA($C$3,$J$3,$C$25,$J$25),
2,FILTER(Monsters!$AJ:$AJ, Monsters!$A:$A = T16 , Monsters!$D:$D  = $U$3, Monsters!$B:$B = ""Master""),
3,FILTER(Monsters!$AL:$AL, Monsters!$A:$A = T16 , Monsters!$D:$D  = $U$3, Monsters!$B:$B "&amp;"= ""Master""),
4,FILTER(Monsters!$AN:$AN, Monsters!$A:$A = T16 , Monsters!$D:$D  = $U$3, Monsters!$B:$B = ""Master""),
)
,
""/""
,
SWITCH(
COUNTA($C$3,$J$3,$C$25,$J$25),
2,FILTER(Monsters!$AJ:$AJ, Monsters!$A:$A = T16 , Monsters!$D:$D  = $U$3, Monsters!"&amp;"$B:$B = ""Minion""),
3,FILTER(Monsters!$AL:$AL, Monsters!$A:$A = T16 , Monsters!$D:$D  = $U$3, Monsters!$B:$B = ""Minion""),
4,FILTER(Monsters!$AN:$AN, Monsters!$A:$A = T16 , Monsters!$D:$D  = $U$3, Monsters!$B:$B = ""Minion""),
)
)
)"),"")</f>
        <v/>
      </c>
      <c r="X16" s="65"/>
      <c r="Y16" s="83"/>
      <c r="Z16" s="83"/>
      <c r="AA16" s="83"/>
      <c r="AB16" s="83"/>
    </row>
    <row r="17">
      <c r="A17" s="134"/>
      <c r="B17" s="53"/>
      <c r="C17" s="198"/>
      <c r="D17" s="232">
        <f>IFERROR(VLOOKUP(C17,'Shop Items'!$C:$W,21,FALSE),0)</f>
        <v>0</v>
      </c>
      <c r="E17" s="118">
        <f>IFERROR(
IF(G17 = TRUE,
VLOOKUP(F17,Classes!$C:$H,6,FALSE),0)
,0)</f>
        <v>0</v>
      </c>
      <c r="F17" s="204"/>
      <c r="G17" s="232" t="b">
        <v>0</v>
      </c>
      <c r="H17" s="118"/>
      <c r="I17" s="53"/>
      <c r="J17" s="198"/>
      <c r="K17" s="232">
        <f>IFERROR(VLOOKUP(J17,'Shop Items'!$C:$W,21,FALSE),0)</f>
        <v>0</v>
      </c>
      <c r="L17" s="118">
        <f>IFERROR(
IF(N17 = TRUE,
VLOOKUP(M17,Classes!$C:$H,6,FALSE),0)
,0)</f>
        <v>0</v>
      </c>
      <c r="M17" s="204"/>
      <c r="N17" s="232" t="b">
        <v>0</v>
      </c>
      <c r="O17" s="201"/>
      <c r="P17" s="53"/>
      <c r="Q17" s="218">
        <f>VLOOKUP(R17,vote4OVERLORD!B:G,6,FALSE)</f>
        <v>4.5</v>
      </c>
      <c r="R17" s="219" t="str">
        <f>IFERROR(__xludf.DUMMYFUNCTION("""COMPUTED_VALUE"""),"Dash")</f>
        <v>Dash</v>
      </c>
      <c r="S17" s="220" t="b">
        <v>1</v>
      </c>
      <c r="T17" s="83"/>
      <c r="U17" s="65" t="b">
        <v>0</v>
      </c>
      <c r="V17" s="94" t="str">
        <f>IFERROR(__xludf.DUMMYFUNCTION(" IFERROR(
(FILTER(Monsters!$AQ:$AQ, Monsters!$A:$A = T17 , Monsters!$D:$D  = $U$3, Monsters!$B:$B = ""Master"")
*
SWITCH(
COUNTA($C$3,$J$3,$C$25,$J$25),
2,FILTER(Monsters!$AJ:$AJ, Monsters!$A:$A = T17 , Monsters!$D:$D  = $U$3, Monsters!$B:$B = ""Master"")"&amp;",
3,FILTER(Monsters!$AL:$AL, Monsters!$A:$A = T17 , Monsters!$D:$D  = $U$3, Monsters!$B:$B = ""Master""),
4,FILTER(Monsters!$AN:$AN, Monsters!$A:$A = T17 , Monsters!$D:$D  = $U$3, Monsters!$B:$B = ""Master""),
))
+
(FILTER(Monsters!$AQ:$AQ, Monsters!$A:$A"&amp;" = T17 , Monsters!$D:$D  = $U$3, Monsters!$B:$B = ""Minion"")
*
SWITCH(
COUNTA($C$3,$J$3,$C$25,$J$25),
2,FILTER(Monsters!$AJ:$AJ, Monsters!$A:$A = T17 , Monsters!$D:$D  = $U$3, Monsters!$B:$B = ""Minion""),
3,FILTER(Monsters!$AL:$AL, Monsters!$A:$A = T17 "&amp;", Monsters!$D:$D  = $U$3, Monsters!$B:$B = ""Minion""),
4,FILTER(Monsters!$AN:$AN, Monsters!$A:$A = T17 , Monsters!$D:$D  = $U$3, Monsters!$B:$B = ""Minion""),
))
,
)"),"")</f>
        <v/>
      </c>
      <c r="W17" s="83" t="str">
        <f>IFERROR(__xludf.DUMMYFUNCTION(" IFERROR(
CONCATENATE(
SWITCH(
COUNTA($C$3,$J$3,$C$25,$J$25),
2,FILTER(Monsters!$AJ:$AJ, Monsters!$A:$A = T17 , Monsters!$D:$D  = $U$3, Monsters!$B:$B = ""Master""),
3,FILTER(Monsters!$AL:$AL, Monsters!$A:$A = T17 , Monsters!$D:$D  = $U$3, Monsters!$B:$B "&amp;"= ""Master""),
4,FILTER(Monsters!$AN:$AN, Monsters!$A:$A = T17 , Monsters!$D:$D  = $U$3, Monsters!$B:$B = ""Master""),
)
,
""/""
,
SWITCH(
COUNTA($C$3,$J$3,$C$25,$J$25),
2,FILTER(Monsters!$AJ:$AJ, Monsters!$A:$A = T17 , Monsters!$D:$D  = $U$3, Monsters!"&amp;"$B:$B = ""Minion""),
3,FILTER(Monsters!$AL:$AL, Monsters!$A:$A = T17 , Monsters!$D:$D  = $U$3, Monsters!$B:$B = ""Minion""),
4,FILTER(Monsters!$AN:$AN, Monsters!$A:$A = T17 , Monsters!$D:$D  = $U$3, Monsters!$B:$B = ""Minion""),
)
)
)"),"")</f>
        <v/>
      </c>
      <c r="X17" s="65"/>
      <c r="Y17" s="83"/>
      <c r="Z17" s="83"/>
      <c r="AA17" s="83"/>
      <c r="AB17" s="83"/>
    </row>
    <row r="18">
      <c r="A18" s="134"/>
      <c r="B18" s="53"/>
      <c r="C18" s="248"/>
      <c r="D18" s="232">
        <f>IFERROR(VLOOKUP(C18,'Shop Items'!$C:$W,21,FALSE),0)</f>
        <v>0</v>
      </c>
      <c r="E18" s="118">
        <f>IFERROR(
IF(G18 = TRUE,
VLOOKUP(F18,Classes!$C:$H,6,FALSE),0)
,0)</f>
        <v>0</v>
      </c>
      <c r="F18" s="204"/>
      <c r="G18" s="232" t="b">
        <v>0</v>
      </c>
      <c r="H18" s="118"/>
      <c r="I18" s="53"/>
      <c r="J18" s="248"/>
      <c r="K18" s="232">
        <f>IFERROR(VLOOKUP(J18,'Shop Items'!$C:$W,21,FALSE),0)</f>
        <v>0</v>
      </c>
      <c r="L18" s="118">
        <f>IFERROR(
IF(N18 = TRUE,
VLOOKUP(M18,Classes!$C:$H,6,FALSE),0)
,0)</f>
        <v>0</v>
      </c>
      <c r="M18" s="204"/>
      <c r="N18" s="232" t="b">
        <v>0</v>
      </c>
      <c r="O18" s="201"/>
      <c r="P18" s="53"/>
      <c r="Q18" s="218">
        <f>VLOOKUP(R18,vote4OVERLORD!B:G,6,FALSE)</f>
        <v>6.5</v>
      </c>
      <c r="R18" s="219" t="str">
        <f>IFERROR(__xludf.DUMMYFUNCTION("""COMPUTED_VALUE"""),"Frenzy")</f>
        <v>Frenzy</v>
      </c>
      <c r="S18" s="220" t="b">
        <v>1</v>
      </c>
      <c r="T18" s="83"/>
      <c r="U18" s="65" t="b">
        <v>0</v>
      </c>
      <c r="V18" s="94" t="str">
        <f>IFERROR(__xludf.DUMMYFUNCTION(" IFERROR(
(FILTER(Monsters!$AQ:$AQ, Monsters!$A:$A = T18 , Monsters!$D:$D  = $U$3, Monsters!$B:$B = ""Master"")
*
SWITCH(
COUNTA($C$3,$J$3,$C$25,$J$25),
2,FILTER(Monsters!$AJ:$AJ, Monsters!$A:$A = T18 , Monsters!$D:$D  = $U$3, Monsters!$B:$B = ""Master"")"&amp;",
3,FILTER(Monsters!$AL:$AL, Monsters!$A:$A = T18 , Monsters!$D:$D  = $U$3, Monsters!$B:$B = ""Master""),
4,FILTER(Monsters!$AN:$AN, Monsters!$A:$A = T18 , Monsters!$D:$D  = $U$3, Monsters!$B:$B = ""Master""),
))
+
(FILTER(Monsters!$AQ:$AQ, Monsters!$A:$A"&amp;" = T18 , Monsters!$D:$D  = $U$3, Monsters!$B:$B = ""Minion"")
*
SWITCH(
COUNTA($C$3,$J$3,$C$25,$J$25),
2,FILTER(Monsters!$AJ:$AJ, Monsters!$A:$A = T18 , Monsters!$D:$D  = $U$3, Monsters!$B:$B = ""Minion""),
3,FILTER(Monsters!$AL:$AL, Monsters!$A:$A = T18 "&amp;", Monsters!$D:$D  = $U$3, Monsters!$B:$B = ""Minion""),
4,FILTER(Monsters!$AN:$AN, Monsters!$A:$A = T18 , Monsters!$D:$D  = $U$3, Monsters!$B:$B = ""Minion""),
))
,
)"),"")</f>
        <v/>
      </c>
      <c r="W18" s="83" t="str">
        <f>IFERROR(__xludf.DUMMYFUNCTION(" IFERROR(
CONCATENATE(
SWITCH(
COUNTA($C$3,$J$3,$C$25,$J$25),
2,FILTER(Monsters!$AJ:$AJ, Monsters!$A:$A = T18 , Monsters!$D:$D  = $U$3, Monsters!$B:$B = ""Master""),
3,FILTER(Monsters!$AL:$AL, Monsters!$A:$A = T18 , Monsters!$D:$D  = $U$3, Monsters!$B:$B "&amp;"= ""Master""),
4,FILTER(Monsters!$AN:$AN, Monsters!$A:$A = T18 , Monsters!$D:$D  = $U$3, Monsters!$B:$B = ""Master""),
)
,
""/""
,
SWITCH(
COUNTA($C$3,$J$3,$C$25,$J$25),
2,FILTER(Monsters!$AJ:$AJ, Monsters!$A:$A = T18 , Monsters!$D:$D  = $U$3, Monsters!"&amp;"$B:$B = ""Minion""),
3,FILTER(Monsters!$AL:$AL, Monsters!$A:$A = T18 , Monsters!$D:$D  = $U$3, Monsters!$B:$B = ""Minion""),
4,FILTER(Monsters!$AN:$AN, Monsters!$A:$A = T18 , Monsters!$D:$D  = $U$3, Monsters!$B:$B = ""Minion""),
)
)
)"),"")</f>
        <v/>
      </c>
      <c r="X18" s="65"/>
      <c r="Y18" s="83"/>
      <c r="Z18" s="83"/>
      <c r="AA18" s="83"/>
      <c r="AB18" s="83"/>
    </row>
    <row r="19">
      <c r="A19" s="226"/>
      <c r="B19" s="53"/>
      <c r="C19" s="249" t="s">
        <v>1438</v>
      </c>
      <c r="D19" s="140"/>
      <c r="E19" s="118">
        <f>IFERROR(
IF(G19 = TRUE,
VLOOKUP(F19,Classes!$C:$H,6,FALSE),0)
,0)</f>
        <v>0</v>
      </c>
      <c r="F19" s="250"/>
      <c r="G19" s="232" t="b">
        <v>0</v>
      </c>
      <c r="H19" s="226"/>
      <c r="I19" s="53"/>
      <c r="J19" s="249" t="s">
        <v>1438</v>
      </c>
      <c r="K19" s="140"/>
      <c r="L19" s="118">
        <f>IFERROR(
IF(N19 = TRUE,
VLOOKUP(M19,Classes!$C:$H,6,FALSE),0)
,0)</f>
        <v>0</v>
      </c>
      <c r="M19" s="250"/>
      <c r="N19" s="232" t="b">
        <v>0</v>
      </c>
      <c r="O19" s="201"/>
      <c r="P19" s="53"/>
      <c r="Q19" s="218">
        <f>VLOOKUP(R19,vote4OVERLORD!B:G,6,FALSE)</f>
        <v>5.5</v>
      </c>
      <c r="R19" s="219" t="str">
        <f>IFERROR(__xludf.DUMMYFUNCTION("""COMPUTED_VALUE"""),"Dark Fortune")</f>
        <v>Dark Fortune</v>
      </c>
      <c r="S19" s="220" t="b">
        <v>1</v>
      </c>
      <c r="T19" s="83"/>
      <c r="U19" s="65" t="b">
        <v>0</v>
      </c>
      <c r="V19" s="94" t="str">
        <f>IFERROR(__xludf.DUMMYFUNCTION(" IFERROR(
(FILTER(Monsters!$AQ:$AQ, Monsters!$A:$A = T19 , Monsters!$D:$D  = $U$3, Monsters!$B:$B = ""Master"")
*
SWITCH(
COUNTA($C$3,$J$3,$C$25,$J$25),
2,FILTER(Monsters!$AJ:$AJ, Monsters!$A:$A = T19 , Monsters!$D:$D  = $U$3, Monsters!$B:$B = ""Master"")"&amp;",
3,FILTER(Monsters!$AL:$AL, Monsters!$A:$A = T19 , Monsters!$D:$D  = $U$3, Monsters!$B:$B = ""Master""),
4,FILTER(Monsters!$AN:$AN, Monsters!$A:$A = T19 , Monsters!$D:$D  = $U$3, Monsters!$B:$B = ""Master""),
))
+
(FILTER(Monsters!$AQ:$AQ, Monsters!$A:$A"&amp;" = T19 , Monsters!$D:$D  = $U$3, Monsters!$B:$B = ""Minion"")
*
SWITCH(
COUNTA($C$3,$J$3,$C$25,$J$25),
2,FILTER(Monsters!$AJ:$AJ, Monsters!$A:$A = T19 , Monsters!$D:$D  = $U$3, Monsters!$B:$B = ""Minion""),
3,FILTER(Monsters!$AL:$AL, Monsters!$A:$A = T19 "&amp;", Monsters!$D:$D  = $U$3, Monsters!$B:$B = ""Minion""),
4,FILTER(Monsters!$AN:$AN, Monsters!$A:$A = T19 , Monsters!$D:$D  = $U$3, Monsters!$B:$B = ""Minion""),
))
,
)"),"")</f>
        <v/>
      </c>
      <c r="W19" s="83" t="str">
        <f>IFERROR(__xludf.DUMMYFUNCTION(" IFERROR(
CONCATENATE(
SWITCH(
COUNTA($C$3,$J$3,$C$25,$J$25),
2,FILTER(Monsters!$AJ:$AJ, Monsters!$A:$A = T19 , Monsters!$D:$D  = $U$3, Monsters!$B:$B = ""Master""),
3,FILTER(Monsters!$AL:$AL, Monsters!$A:$A = T19 , Monsters!$D:$D  = $U$3, Monsters!$B:$B "&amp;"= ""Master""),
4,FILTER(Monsters!$AN:$AN, Monsters!$A:$A = T19 , Monsters!$D:$D  = $U$3, Monsters!$B:$B = ""Master""),
)
,
""/""
,
SWITCH(
COUNTA($C$3,$J$3,$C$25,$J$25),
2,FILTER(Monsters!$AJ:$AJ, Monsters!$A:$A = T19 , Monsters!$D:$D  = $U$3, Monsters!"&amp;"$B:$B = ""Minion""),
3,FILTER(Monsters!$AL:$AL, Monsters!$A:$A = T19 , Monsters!$D:$D  = $U$3, Monsters!$B:$B = ""Minion""),
4,FILTER(Monsters!$AN:$AN, Monsters!$A:$A = T19 , Monsters!$D:$D  = $U$3, Monsters!$B:$B = ""Minion""),
)
)
)"),"")</f>
        <v/>
      </c>
      <c r="X19" s="65"/>
      <c r="Y19" s="83"/>
      <c r="Z19" s="83"/>
      <c r="AA19" s="83"/>
      <c r="AB19" s="83"/>
    </row>
    <row r="20">
      <c r="A20" s="140"/>
      <c r="B20" s="53"/>
      <c r="C20" s="253" t="str">
        <f>IFERROR(__xludf.DUMMYFUNCTION("IFERROR(
FILTER(Familiars!$B:$B,
(Familiars!$A:$A = C3) + (Familiars!$A:$A = F3),
Familiars!$A:$A &lt;&gt; """"
),)"),"Reanimate")</f>
        <v>Reanimate</v>
      </c>
      <c r="D20" s="140">
        <f>IFERROR(VLOOKUP(C20,Familiars!$B:$P,15,FALSE),0)</f>
        <v>9.823333333</v>
      </c>
      <c r="E20" s="118">
        <f>IFERROR(
IF(G20 = TRUE,
VLOOKUP(F20,Classes!$C:$H,6,FALSE),0)
,0)</f>
        <v>0</v>
      </c>
      <c r="F20" s="250"/>
      <c r="G20" s="232" t="b">
        <v>0</v>
      </c>
      <c r="H20" s="140"/>
      <c r="I20" s="53"/>
      <c r="J20" s="250" t="str">
        <f>IFERROR(__xludf.DUMMYFUNCTION("IFERROR(FILTER(Familiars!$B:$B,(Familiars!$A:$A = J3) + (Familiars!$A:$A = M3),
Familiars!$A:$A &lt;&gt; """"),)"),"")</f>
        <v/>
      </c>
      <c r="K20" s="140">
        <f>IFERROR(VLOOKUP(J20,Familiars!$B:$P,15,FALSE),0)</f>
        <v>0</v>
      </c>
      <c r="L20" s="118">
        <f>IFERROR(
IF(N20 = TRUE,
VLOOKUP(M20,Classes!$C:$H,6,FALSE),0)
,0)</f>
        <v>0</v>
      </c>
      <c r="M20" s="250"/>
      <c r="N20" s="232" t="b">
        <v>0</v>
      </c>
      <c r="O20" s="254"/>
      <c r="P20" s="53"/>
      <c r="Q20" s="219">
        <f>IFERROR(
IF(S20 = TRUE,
VLOOKUP(R20,vote4OVERLORD!B:G,6,FALSE),0)
,0)</f>
        <v>0</v>
      </c>
      <c r="R20" s="68"/>
      <c r="S20" s="220" t="b">
        <v>0</v>
      </c>
      <c r="T20" s="83"/>
      <c r="U20" s="65" t="b">
        <v>0</v>
      </c>
      <c r="V20" s="94" t="str">
        <f>IFERROR(__xludf.DUMMYFUNCTION(" IFERROR(
(FILTER(Monsters!$AQ:$AQ, Monsters!$A:$A = T20 , Monsters!$D:$D  = $U$3, Monsters!$B:$B = ""Master"")
*
SWITCH(
COUNTA($C$3,$J$3,$C$25,$J$25),
2,FILTER(Monsters!$AJ:$AJ, Monsters!$A:$A = T20 , Monsters!$D:$D  = $U$3, Monsters!$B:$B = ""Master"")"&amp;",
3,FILTER(Monsters!$AL:$AL, Monsters!$A:$A = T20 , Monsters!$D:$D  = $U$3, Monsters!$B:$B = ""Master""),
4,FILTER(Monsters!$AN:$AN, Monsters!$A:$A = T20 , Monsters!$D:$D  = $U$3, Monsters!$B:$B = ""Master""),
))
+
(FILTER(Monsters!$AQ:$AQ, Monsters!$A:$A"&amp;" = T20 , Monsters!$D:$D  = $U$3, Monsters!$B:$B = ""Minion"")
*
SWITCH(
COUNTA($C$3,$J$3,$C$25,$J$25),
2,FILTER(Monsters!$AJ:$AJ, Monsters!$A:$A = T20 , Monsters!$D:$D  = $U$3, Monsters!$B:$B = ""Minion""),
3,FILTER(Monsters!$AL:$AL, Monsters!$A:$A = T20 "&amp;", Monsters!$D:$D  = $U$3, Monsters!$B:$B = ""Minion""),
4,FILTER(Monsters!$AN:$AN, Monsters!$A:$A = T20 , Monsters!$D:$D  = $U$3, Monsters!$B:$B = ""Minion""),
))
,
)"),"")</f>
        <v/>
      </c>
      <c r="W20" s="83" t="str">
        <f>IFERROR(__xludf.DUMMYFUNCTION(" IFERROR(
CONCATENATE(
SWITCH(
COUNTA($C$3,$J$3,$C$25,$J$25),
2,FILTER(Monsters!$AJ:$AJ, Monsters!$A:$A = T20 , Monsters!$D:$D  = $U$3, Monsters!$B:$B = ""Master""),
3,FILTER(Monsters!$AL:$AL, Monsters!$A:$A = T20 , Monsters!$D:$D  = $U$3, Monsters!$B:$B "&amp;"= ""Master""),
4,FILTER(Monsters!$AN:$AN, Monsters!$A:$A = T20 , Monsters!$D:$D  = $U$3, Monsters!$B:$B = ""Master""),
)
,
""/""
,
SWITCH(
COUNTA($C$3,$J$3,$C$25,$J$25),
2,FILTER(Monsters!$AJ:$AJ, Monsters!$A:$A = T20 , Monsters!$D:$D  = $U$3, Monsters!"&amp;"$B:$B = ""Minion""),
3,FILTER(Monsters!$AL:$AL, Monsters!$A:$A = T20 , Monsters!$D:$D  = $U$3, Monsters!$B:$B = ""Minion""),
4,FILTER(Monsters!$AN:$AN, Monsters!$A:$A = T20 , Monsters!$D:$D  = $U$3, Monsters!$B:$B = ""Minion""),
)
)
)"),"")</f>
        <v/>
      </c>
      <c r="X20" s="65"/>
      <c r="Y20" s="83"/>
      <c r="Z20" s="83"/>
      <c r="AA20" s="83"/>
      <c r="AB20" s="83"/>
    </row>
    <row r="21">
      <c r="A21" s="140"/>
      <c r="B21" s="52"/>
      <c r="C21" s="255" t="str">
        <f>IFERROR(__xludf.DUMMYFUNCTION("""COMPUTED_VALUE"""),"Brightblaze")</f>
        <v>Brightblaze</v>
      </c>
      <c r="D21" s="140">
        <f>IFERROR(VLOOKUP(C21,Familiars!$B:$P,15,FALSE),0)</f>
        <v>15.65</v>
      </c>
      <c r="E21" s="118">
        <f>IFERROR(
IF(G21 = TRUE,
VLOOKUP(F21,Classes!$C:$H,6,FALSE),0)
,0)</f>
        <v>0</v>
      </c>
      <c r="F21" s="256"/>
      <c r="G21" s="257" t="b">
        <v>0</v>
      </c>
      <c r="H21" s="140"/>
      <c r="I21" s="52"/>
      <c r="J21" s="256"/>
      <c r="K21" s="140">
        <f>IFERROR(VLOOKUP(J21,Familiars!$B:$P,15,FALSE),0)</f>
        <v>0</v>
      </c>
      <c r="L21" s="118">
        <f>IFERROR(
IF(N21 = TRUE,
VLOOKUP(M21,Classes!$C:$H,6,FALSE),0)
,0)</f>
        <v>0</v>
      </c>
      <c r="M21" s="256"/>
      <c r="N21" s="257" t="b">
        <v>0</v>
      </c>
      <c r="O21" s="254"/>
      <c r="P21" s="53"/>
      <c r="Q21" s="219">
        <f>IFERROR(
IF(S21 = TRUE,
VLOOKUP(R21,vote4OVERLORD!B:G,6,FALSE),0)
,0)</f>
        <v>0</v>
      </c>
      <c r="R21" s="68"/>
      <c r="S21" s="220" t="b">
        <v>0</v>
      </c>
      <c r="T21" s="83"/>
      <c r="U21" s="65" t="b">
        <v>0</v>
      </c>
      <c r="V21" s="94" t="str">
        <f>IFERROR(__xludf.DUMMYFUNCTION(" IFERROR(
(FILTER(Monsters!$AQ:$AQ, Monsters!$A:$A = T21 , Monsters!$D:$D  = $U$3, Monsters!$B:$B = ""Master"")
*
SWITCH(
COUNTA($C$3,$J$3,$C$25,$J$25),
2,FILTER(Monsters!$AJ:$AJ, Monsters!$A:$A = T21 , Monsters!$D:$D  = $U$3, Monsters!$B:$B = ""Master"")"&amp;",
3,FILTER(Monsters!$AL:$AL, Monsters!$A:$A = T21 , Monsters!$D:$D  = $U$3, Monsters!$B:$B = ""Master""),
4,FILTER(Monsters!$AN:$AN, Monsters!$A:$A = T21 , Monsters!$D:$D  = $U$3, Monsters!$B:$B = ""Master""),
))
+
(FILTER(Monsters!$AQ:$AQ, Monsters!$A:$A"&amp;" = T21 , Monsters!$D:$D  = $U$3, Monsters!$B:$B = ""Minion"")
*
SWITCH(
COUNTA($C$3,$J$3,$C$25,$J$25),
2,FILTER(Monsters!$AJ:$AJ, Monsters!$A:$A = T21 , Monsters!$D:$D  = $U$3, Monsters!$B:$B = ""Minion""),
3,FILTER(Monsters!$AL:$AL, Monsters!$A:$A = T21 "&amp;", Monsters!$D:$D  = $U$3, Monsters!$B:$B = ""Minion""),
4,FILTER(Monsters!$AN:$AN, Monsters!$A:$A = T21 , Monsters!$D:$D  = $U$3, Monsters!$B:$B = ""Minion""),
))
,
)"),"")</f>
        <v/>
      </c>
      <c r="W21" s="83" t="str">
        <f>IFERROR(__xludf.DUMMYFUNCTION(" IFERROR(
CONCATENATE(
SWITCH(
COUNTA($C$3,$J$3,$C$25,$J$25),
2,FILTER(Monsters!$AJ:$AJ, Monsters!$A:$A = T21 , Monsters!$D:$D  = $U$3, Monsters!$B:$B = ""Master""),
3,FILTER(Monsters!$AL:$AL, Monsters!$A:$A = T21 , Monsters!$D:$D  = $U$3, Monsters!$B:$B "&amp;"= ""Master""),
4,FILTER(Monsters!$AN:$AN, Monsters!$A:$A = T21 , Monsters!$D:$D  = $U$3, Monsters!$B:$B = ""Master""),
)
,
""/""
,
SWITCH(
COUNTA($C$3,$J$3,$C$25,$J$25),
2,FILTER(Monsters!$AJ:$AJ, Monsters!$A:$A = T21 , Monsters!$D:$D  = $U$3, Monsters!"&amp;"$B:$B = ""Minion""),
3,FILTER(Monsters!$AL:$AL, Monsters!$A:$A = T21 , Monsters!$D:$D  = $U$3, Monsters!$B:$B = ""Minion""),
4,FILTER(Monsters!$AN:$AN, Monsters!$A:$A = T21 , Monsters!$D:$D  = $U$3, Monsters!$B:$B = ""Minion""),
)
)
)"),"")</f>
        <v/>
      </c>
      <c r="X21" s="65"/>
      <c r="Y21" s="65"/>
      <c r="Z21" s="83"/>
      <c r="AA21" s="83"/>
      <c r="AB21" s="83"/>
    </row>
    <row r="22">
      <c r="H22" s="259">
        <f>B6+I6+B28+I28</f>
        <v>176.8969231</v>
      </c>
      <c r="J22" s="118"/>
      <c r="K22" s="118"/>
      <c r="O22" s="254"/>
      <c r="P22" s="53"/>
      <c r="Q22" s="219">
        <f>IFERROR(
IF(S22 = TRUE,
VLOOKUP(R22,vote4OVERLORD!B:G,6,FALSE),0)
,0)</f>
        <v>0</v>
      </c>
      <c r="R22" s="68"/>
      <c r="S22" s="220" t="b">
        <v>0</v>
      </c>
      <c r="T22" s="83"/>
      <c r="U22" s="65" t="b">
        <v>0</v>
      </c>
      <c r="V22" s="94" t="str">
        <f>IFERROR(__xludf.DUMMYFUNCTION(" IFERROR(
(FILTER(Monsters!$AQ:$AQ, Monsters!$A:$A = T22 , Monsters!$D:$D  = $U$3, Monsters!$B:$B = ""Master"")
*
SWITCH(
COUNTA($C$3,$J$3,$C$25,$J$25),
2,FILTER(Monsters!$AJ:$AJ, Monsters!$A:$A = T22 , Monsters!$D:$D  = $U$3, Monsters!$B:$B = ""Master"")"&amp;",
3,FILTER(Monsters!$AL:$AL, Monsters!$A:$A = T22 , Monsters!$D:$D  = $U$3, Monsters!$B:$B = ""Master""),
4,FILTER(Monsters!$AN:$AN, Monsters!$A:$A = T22 , Monsters!$D:$D  = $U$3, Monsters!$B:$B = ""Master""),
))
+
(FILTER(Monsters!$AQ:$AQ, Monsters!$A:$A"&amp;" = T22 , Monsters!$D:$D  = $U$3, Monsters!$B:$B = ""Minion"")
*
SWITCH(
COUNTA($C$3,$J$3,$C$25,$J$25),
2,FILTER(Monsters!$AJ:$AJ, Monsters!$A:$A = T22 , Monsters!$D:$D  = $U$3, Monsters!$B:$B = ""Minion""),
3,FILTER(Monsters!$AL:$AL, Monsters!$A:$A = T22 "&amp;", Monsters!$D:$D  = $U$3, Monsters!$B:$B = ""Minion""),
4,FILTER(Monsters!$AN:$AN, Monsters!$A:$A = T22 , Monsters!$D:$D  = $U$3, Monsters!$B:$B = ""Minion""),
))
,
)"),"")</f>
        <v/>
      </c>
      <c r="W22" s="83" t="str">
        <f>IFERROR(__xludf.DUMMYFUNCTION(" IFERROR(
CONCATENATE(
SWITCH(
COUNTA($C$3,$J$3,$C$25,$J$25),
2,FILTER(Monsters!$AJ:$AJ, Monsters!$A:$A = T22 , Monsters!$D:$D  = $U$3, Monsters!$B:$B = ""Master""),
3,FILTER(Monsters!$AL:$AL, Monsters!$A:$A = T22 , Monsters!$D:$D  = $U$3, Monsters!$B:$B "&amp;"= ""Master""),
4,FILTER(Monsters!$AN:$AN, Monsters!$A:$A = T22 , Monsters!$D:$D  = $U$3, Monsters!$B:$B = ""Master""),
)
,
""/""
,
SWITCH(
COUNTA($C$3,$J$3,$C$25,$J$25),
2,FILTER(Monsters!$AJ:$AJ, Monsters!$A:$A = T22 , Monsters!$D:$D  = $U$3, Monsters!"&amp;"$B:$B = ""Minion""),
3,FILTER(Monsters!$AL:$AL, Monsters!$A:$A = T22 , Monsters!$D:$D  = $U$3, Monsters!$B:$B = ""Minion""),
4,FILTER(Monsters!$AN:$AN, Monsters!$A:$A = T22 , Monsters!$D:$D  = $U$3, Monsters!$B:$B = ""Minion""),
)
)
)"),"")</f>
        <v/>
      </c>
      <c r="X22" s="65"/>
      <c r="Y22" s="83"/>
      <c r="Z22" s="83"/>
      <c r="AA22" s="83"/>
      <c r="AB22" s="83"/>
    </row>
    <row r="23">
      <c r="B23" s="191" t="s">
        <v>1445</v>
      </c>
      <c r="C23" s="7"/>
      <c r="D23" s="7"/>
      <c r="E23" s="7"/>
      <c r="F23" s="7"/>
      <c r="G23" s="8"/>
      <c r="I23" s="191" t="s">
        <v>1446</v>
      </c>
      <c r="J23" s="7"/>
      <c r="K23" s="7"/>
      <c r="L23" s="7"/>
      <c r="M23" s="7"/>
      <c r="N23" s="8"/>
      <c r="P23" s="53"/>
      <c r="Q23" s="219">
        <f>IFERROR(
IF(S23 = TRUE,
VLOOKUP(R23,vote4OVERLORD!B:G,6,FALSE),0)
,0)</f>
        <v>0</v>
      </c>
      <c r="R23" s="68"/>
      <c r="S23" s="220" t="b">
        <v>0</v>
      </c>
      <c r="T23" s="83"/>
      <c r="U23" s="83" t="b">
        <v>0</v>
      </c>
      <c r="V23" s="94" t="str">
        <f>IFERROR(__xludf.DUMMYFUNCTION(" IFERROR(
(FILTER(Monsters!$AQ:$AQ, Monsters!$A:$A = T23 , Monsters!$D:$D  = $U$3, Monsters!$B:$B = ""Master"")
*
SWITCH(
COUNTA($C$3,$J$3,$C$25,$J$25),
2,FILTER(Monsters!$AJ:$AJ, Monsters!$A:$A = T23 , Monsters!$D:$D  = $U$3, Monsters!$B:$B = ""Master"")"&amp;",
3,FILTER(Monsters!$AL:$AL, Monsters!$A:$A = T23 , Monsters!$D:$D  = $U$3, Monsters!$B:$B = ""Master""),
4,FILTER(Monsters!$AN:$AN, Monsters!$A:$A = T23 , Monsters!$D:$D  = $U$3, Monsters!$B:$B = ""Master""),
))
+
(FILTER(Monsters!$AQ:$AQ, Monsters!$A:$A"&amp;" = T23 , Monsters!$D:$D  = $U$3, Monsters!$B:$B = ""Minion"")
*
SWITCH(
COUNTA($C$3,$J$3,$C$25,$J$25),
2,FILTER(Monsters!$AJ:$AJ, Monsters!$A:$A = T23 , Monsters!$D:$D  = $U$3, Monsters!$B:$B = ""Minion""),
3,FILTER(Monsters!$AL:$AL, Monsters!$A:$A = T23 "&amp;", Monsters!$D:$D  = $U$3, Monsters!$B:$B = ""Minion""),
4,FILTER(Monsters!$AN:$AN, Monsters!$A:$A = T23 , Monsters!$D:$D  = $U$3, Monsters!$B:$B = ""Minion""),
))
,
)"),"")</f>
        <v/>
      </c>
      <c r="W23" s="83" t="str">
        <f>IFERROR(__xludf.DUMMYFUNCTION(" IFERROR(
CONCATENATE(
SWITCH(
COUNTA($C$3,$J$3,$C$25,$J$25),
2,FILTER(Monsters!$AJ:$AJ, Monsters!$A:$A = T23 , Monsters!$D:$D  = $U$3, Monsters!$B:$B = ""Master""),
3,FILTER(Monsters!$AL:$AL, Monsters!$A:$A = T23 , Monsters!$D:$D  = $U$3, Monsters!$B:$B "&amp;"= ""Master""),
4,FILTER(Monsters!$AN:$AN, Monsters!$A:$A = T23 , Monsters!$D:$D  = $U$3, Monsters!$B:$B = ""Master""),
)
,
""/""
,
SWITCH(
COUNTA($C$3,$J$3,$C$25,$J$25),
2,FILTER(Monsters!$AJ:$AJ, Monsters!$A:$A = T23 , Monsters!$D:$D  = $U$3, Monsters!"&amp;"$B:$B = ""Minion""),
3,FILTER(Monsters!$AL:$AL, Monsters!$A:$A = T23 , Monsters!$D:$D  = $U$3, Monsters!$B:$B = ""Minion""),
4,FILTER(Monsters!$AN:$AN, Monsters!$A:$A = T23 , Monsters!$D:$D  = $U$3, Monsters!$B:$B = ""Minion""),
)
)
)"),"")</f>
        <v/>
      </c>
      <c r="X23" s="83"/>
      <c r="Y23" s="83"/>
      <c r="Z23" s="83"/>
      <c r="AA23" s="83"/>
      <c r="AB23" s="83"/>
    </row>
    <row r="24">
      <c r="B24" s="192" t="s">
        <v>1400</v>
      </c>
      <c r="C24" s="193" t="s">
        <v>435</v>
      </c>
      <c r="D24" s="194" t="s">
        <v>1400</v>
      </c>
      <c r="E24" s="80"/>
      <c r="F24" s="193" t="s">
        <v>434</v>
      </c>
      <c r="G24" s="81"/>
      <c r="I24" s="192" t="s">
        <v>1400</v>
      </c>
      <c r="J24" s="193" t="s">
        <v>435</v>
      </c>
      <c r="K24" s="194" t="s">
        <v>1400</v>
      </c>
      <c r="L24" s="80"/>
      <c r="M24" s="193" t="s">
        <v>434</v>
      </c>
      <c r="N24" s="81"/>
      <c r="P24" s="53"/>
      <c r="Q24" s="219">
        <f>IFERROR(
IF(S24 = TRUE,
VLOOKUP(R24,vote4OVERLORD!B:G,6,FALSE),0)
,0)</f>
        <v>0</v>
      </c>
      <c r="R24" s="68"/>
      <c r="S24" s="220" t="b">
        <v>0</v>
      </c>
      <c r="T24" s="83"/>
      <c r="U24" s="83" t="b">
        <v>0</v>
      </c>
      <c r="V24" s="94" t="str">
        <f>IFERROR(__xludf.DUMMYFUNCTION(" IFERROR(
(FILTER(Monsters!$AQ:$AQ, Monsters!$A:$A = T24 , Monsters!$D:$D  = $U$3, Monsters!$B:$B = ""Master"")
*
SWITCH(
COUNTA($C$3,$J$3,$C$25,$J$25),
2,FILTER(Monsters!$AJ:$AJ, Monsters!$A:$A = T24 , Monsters!$D:$D  = $U$3, Monsters!$B:$B = ""Master"")"&amp;",
3,FILTER(Monsters!$AL:$AL, Monsters!$A:$A = T24 , Monsters!$D:$D  = $U$3, Monsters!$B:$B = ""Master""),
4,FILTER(Monsters!$AN:$AN, Monsters!$A:$A = T24 , Monsters!$D:$D  = $U$3, Monsters!$B:$B = ""Master""),
))
+
(FILTER(Monsters!$AQ:$AQ, Monsters!$A:$A"&amp;" = T24 , Monsters!$D:$D  = $U$3, Monsters!$B:$B = ""Minion"")
*
SWITCH(
COUNTA($C$3,$J$3,$C$25,$J$25),
2,FILTER(Monsters!$AJ:$AJ, Monsters!$A:$A = T24 , Monsters!$D:$D  = $U$3, Monsters!$B:$B = ""Minion""),
3,FILTER(Monsters!$AL:$AL, Monsters!$A:$A = T24 "&amp;", Monsters!$D:$D  = $U$3, Monsters!$B:$B = ""Minion""),
4,FILTER(Monsters!$AN:$AN, Monsters!$A:$A = T24 , Monsters!$D:$D  = $U$3, Monsters!$B:$B = ""Minion""),
))
,
)"),"")</f>
        <v/>
      </c>
      <c r="W24" s="83" t="str">
        <f>IFERROR(__xludf.DUMMYFUNCTION(" IFERROR(
CONCATENATE(
SWITCH(
COUNTA($C$3,$J$3,$C$25,$J$25),
2,FILTER(Monsters!$AJ:$AJ, Monsters!$A:$A = T24 , Monsters!$D:$D  = $U$3, Monsters!$B:$B = ""Master""),
3,FILTER(Monsters!$AL:$AL, Monsters!$A:$A = T24 , Monsters!$D:$D  = $U$3, Monsters!$B:$B "&amp;"= ""Master""),
4,FILTER(Monsters!$AN:$AN, Monsters!$A:$A = T24 , Monsters!$D:$D  = $U$3, Monsters!$B:$B = ""Master""),
)
,
""/""
,
SWITCH(
COUNTA($C$3,$J$3,$C$25,$J$25),
2,FILTER(Monsters!$AJ:$AJ, Monsters!$A:$A = T24 , Monsters!$D:$D  = $U$3, Monsters!"&amp;"$B:$B = ""Minion""),
3,FILTER(Monsters!$AL:$AL, Monsters!$A:$A = T24 , Monsters!$D:$D  = $U$3, Monsters!$B:$B = ""Minion""),
4,FILTER(Monsters!$AN:$AN, Monsters!$A:$A = T24 , Monsters!$D:$D  = $U$3, Monsters!$B:$B = ""Minion""),
)
)
)"),"")</f>
        <v/>
      </c>
      <c r="X24" s="83"/>
      <c r="Y24" s="83"/>
      <c r="Z24" s="83"/>
      <c r="AA24" s="83"/>
      <c r="AB24" s="83"/>
    </row>
    <row r="25">
      <c r="B25" s="53"/>
      <c r="C25" s="198" t="s">
        <v>1449</v>
      </c>
      <c r="D25" s="199">
        <f>IFERROR(VLOOKUP(C25,'Heroes 1.1'!$A:$N,14,FALSE),)</f>
        <v>39.11666667</v>
      </c>
      <c r="F25" s="68" t="s">
        <v>1501</v>
      </c>
      <c r="G25" s="200"/>
      <c r="I25" s="53"/>
      <c r="J25" s="198"/>
      <c r="K25" s="199" t="str">
        <f>IFERROR(VLOOKUP(J25,'Heroes 1.1'!$A:$N,14,FALSE),)</f>
        <v/>
      </c>
      <c r="M25" s="68"/>
      <c r="N25" s="200"/>
      <c r="P25" s="53"/>
      <c r="Q25" s="219">
        <f>IFERROR(
IF(S25 = TRUE,
VLOOKUP(R25,vote4OVERLORD!B:G,6,FALSE),0)
,0)</f>
        <v>0</v>
      </c>
      <c r="R25" s="68"/>
      <c r="S25" s="220" t="b">
        <v>0</v>
      </c>
      <c r="T25" s="83"/>
      <c r="U25" s="65" t="b">
        <v>0</v>
      </c>
      <c r="V25" s="94" t="str">
        <f>IFERROR(__xludf.DUMMYFUNCTION(" IFERROR(
(FILTER(Monsters!$AQ:$AQ, Monsters!$A:$A = T25 , Monsters!$D:$D  = $U$3, Monsters!$B:$B = ""Master"")
*
SWITCH(
COUNTA($C$3,$J$3,$C$25,$J$25),
2,FILTER(Monsters!$AJ:$AJ, Monsters!$A:$A = T25 , Monsters!$D:$D  = $U$3, Monsters!$B:$B = ""Master"")"&amp;",
3,FILTER(Monsters!$AL:$AL, Monsters!$A:$A = T25 , Monsters!$D:$D  = $U$3, Monsters!$B:$B = ""Master""),
4,FILTER(Monsters!$AN:$AN, Monsters!$A:$A = T25 , Monsters!$D:$D  = $U$3, Monsters!$B:$B = ""Master""),
))
+
(FILTER(Monsters!$AQ:$AQ, Monsters!$A:$A"&amp;" = T25 , Monsters!$D:$D  = $U$3, Monsters!$B:$B = ""Minion"")
*
SWITCH(
COUNTA($C$3,$J$3,$C$25,$J$25),
2,FILTER(Monsters!$AJ:$AJ, Monsters!$A:$A = T25 , Monsters!$D:$D  = $U$3, Monsters!$B:$B = ""Minion""),
3,FILTER(Monsters!$AL:$AL, Monsters!$A:$A = T25 "&amp;", Monsters!$D:$D  = $U$3, Monsters!$B:$B = ""Minion""),
4,FILTER(Monsters!$AN:$AN, Monsters!$A:$A = T25 , Monsters!$D:$D  = $U$3, Monsters!$B:$B = ""Minion""),
))
,
)"),"")</f>
        <v/>
      </c>
      <c r="W25" s="83" t="str">
        <f>IFERROR(__xludf.DUMMYFUNCTION(" IFERROR(
CONCATENATE(
SWITCH(
COUNTA($C$3,$J$3,$C$25,$J$25),
2,FILTER(Monsters!$AJ:$AJ, Monsters!$A:$A = T25 , Monsters!$D:$D  = $U$3, Monsters!$B:$B = ""Master""),
3,FILTER(Monsters!$AL:$AL, Monsters!$A:$A = T25 , Monsters!$D:$D  = $U$3, Monsters!$B:$B "&amp;"= ""Master""),
4,FILTER(Monsters!$AN:$AN, Monsters!$A:$A = T25 , Monsters!$D:$D  = $U$3, Monsters!$B:$B = ""Master""),
)
,
""/""
,
SWITCH(
COUNTA($C$3,$J$3,$C$25,$J$25),
2,FILTER(Monsters!$AJ:$AJ, Monsters!$A:$A = T25 , Monsters!$D:$D  = $U$3, Monsters!"&amp;"$B:$B = ""Minion""),
3,FILTER(Monsters!$AL:$AL, Monsters!$A:$A = T25 , Monsters!$D:$D  = $U$3, Monsters!$B:$B = ""Minion""),
4,FILTER(Monsters!$AN:$AN, Monsters!$A:$A = T25 , Monsters!$D:$D  = $U$3, Monsters!$B:$B = ""Minion""),
)
)
)"),"")</f>
        <v/>
      </c>
      <c r="X25" s="65"/>
      <c r="Y25" s="83"/>
      <c r="Z25" s="83"/>
      <c r="AA25" s="83"/>
      <c r="AB25" s="83"/>
    </row>
    <row r="26">
      <c r="B26" s="53"/>
      <c r="C26" s="193" t="s">
        <v>438</v>
      </c>
      <c r="D26" s="200"/>
      <c r="F26" s="208" t="str">
        <f>IF(OR(F25 = "Battlemage", F25 = "Truthseer", F25 = "Lorekeeper", F25 = "Steelcaster", F25 = "Avenger",F25 = "Raider", F25 = "Monk", F25 = "Trickster", F25 = "Ravager", F25 = "Watchman", F25 = "Crusader", F25 = "Heretic"), "Subclass: ", )</f>
        <v/>
      </c>
      <c r="G26" s="209" t="str">
        <f>IFERROR(
IFS(
OR(F25 = "Battlemage",F25 = "Ravager",F25 = "Crusader"), "Warrior",
OR(F25 = "Steelcaster",F25 = "Trickster",F25 = "Heretic"),"Mage",
OR(F25 = "Truthseer",F25 = "Raider",F25 = "Watchman"),"Scout",
OR(F25 = "Lorekeeper",F25 = "Avenger",F25 = "Monk"),"Healer"
),
)</f>
        <v/>
      </c>
      <c r="I26" s="53"/>
      <c r="J26" s="193" t="s">
        <v>438</v>
      </c>
      <c r="K26" s="200"/>
      <c r="M26" s="208" t="str">
        <f>IF(OR(M25 = "Battlemage", M25 = "Truthseer", M25 = "Lorekeeper", M25 = "Steelcaster", M25 = "Avenger",M25 = "Raider", M25 = "Monk", M25 = "Trickster", M25 = "Ravager", M25 = "Watchman", M25 = "Crusader", M25 = "Heretic"), "Subclass: ", )</f>
        <v/>
      </c>
      <c r="N26" s="209" t="str">
        <f>IFERROR(
IFS(
OR(M25 = "Battlemage",M25 = "Ravager",M25 = "Crusader"), "Warrior",
OR(M25 = "Steelcaster",M25 = "Trickster",M25 = "Heretic"),"Mage",
OR(M25 = "Truthseer",M25 = "Raider",M25 = "Watchman"),"Scout",
OR(M25 = "Lorekeeper",M25 = "Avenger",M25 = "Monk"),"Healer"
),
)</f>
        <v/>
      </c>
      <c r="P26" s="53"/>
      <c r="Q26" s="219">
        <f>IFERROR(
IF(S26 = TRUE,
VLOOKUP(R26,vote4OVERLORD!B:G,6,FALSE),0)
,0)</f>
        <v>0</v>
      </c>
      <c r="R26" s="219"/>
      <c r="S26" s="261" t="b">
        <v>0</v>
      </c>
      <c r="T26" s="83"/>
      <c r="U26" s="65" t="b">
        <v>0</v>
      </c>
      <c r="V26" s="94" t="str">
        <f>IFERROR(__xludf.DUMMYFUNCTION(" IFERROR(
(FILTER(Monsters!$AQ:$AQ, Monsters!$A:$A = T26 , Monsters!$D:$D  = $U$3, Monsters!$B:$B = ""Master"")
*
SWITCH(
COUNTA($C$3,$J$3,$C$25,$J$25),
2,FILTER(Monsters!$AJ:$AJ, Monsters!$A:$A = T26 , Monsters!$D:$D  = $U$3, Monsters!$B:$B = ""Master"")"&amp;",
3,FILTER(Monsters!$AL:$AL, Monsters!$A:$A = T26 , Monsters!$D:$D  = $U$3, Monsters!$B:$B = ""Master""),
4,FILTER(Monsters!$AN:$AN, Monsters!$A:$A = T26 , Monsters!$D:$D  = $U$3, Monsters!$B:$B = ""Master""),
))
+
(FILTER(Monsters!$AQ:$AQ, Monsters!$A:$A"&amp;" = T26 , Monsters!$D:$D  = $U$3, Monsters!$B:$B = ""Minion"")
*
SWITCH(
COUNTA($C$3,$J$3,$C$25,$J$25),
2,FILTER(Monsters!$AJ:$AJ, Monsters!$A:$A = T26 , Monsters!$D:$D  = $U$3, Monsters!$B:$B = ""Minion""),
3,FILTER(Monsters!$AL:$AL, Monsters!$A:$A = T26 "&amp;", Monsters!$D:$D  = $U$3, Monsters!$B:$B = ""Minion""),
4,FILTER(Monsters!$AN:$AN, Monsters!$A:$A = T26 , Monsters!$D:$D  = $U$3, Monsters!$B:$B = ""Minion""),
))
,
)"),"")</f>
        <v/>
      </c>
      <c r="W26" s="83" t="str">
        <f>IFERROR(__xludf.DUMMYFUNCTION(" IFERROR(
CONCATENATE(
SWITCH(
COUNTA($C$3,$J$3,$C$25,$J$25),
2,FILTER(Monsters!$AJ:$AJ, Monsters!$A:$A = T26 , Monsters!$D:$D  = $U$3, Monsters!$B:$B = ""Master""),
3,FILTER(Monsters!$AL:$AL, Monsters!$A:$A = T26 , Monsters!$D:$D  = $U$3, Monsters!$B:$B "&amp;"= ""Master""),
4,FILTER(Monsters!$AN:$AN, Monsters!$A:$A = T26 , Monsters!$D:$D  = $U$3, Monsters!$B:$B = ""Master""),
)
,
""/""
,
SWITCH(
COUNTA($C$3,$J$3,$C$25,$J$25),
2,FILTER(Monsters!$AJ:$AJ, Monsters!$A:$A = T26 , Monsters!$D:$D  = $U$3, Monsters!"&amp;"$B:$B = ""Minion""),
3,FILTER(Monsters!$AL:$AL, Monsters!$A:$A = T26 , Monsters!$D:$D  = $U$3, Monsters!$B:$B = ""Minion""),
4,FILTER(Monsters!$AN:$AN, Monsters!$A:$A = T26 , Monsters!$D:$D  = $U$3, Monsters!$B:$B = ""Minion""),
)
)
)"),"")</f>
        <v/>
      </c>
      <c r="X26" s="65"/>
      <c r="Y26" s="83"/>
      <c r="Z26" s="83"/>
      <c r="AA26" s="83"/>
      <c r="AB26" s="83"/>
    </row>
    <row r="27">
      <c r="B27" s="53"/>
      <c r="C27" s="60" t="str">
        <f>IFERROR(VLOOKUP(C25, 'Heroes 1.1'!$A:$M, 2, FALSE),)</f>
        <v>Scout</v>
      </c>
      <c r="D27" s="203"/>
      <c r="F27" s="69"/>
      <c r="G27" s="203"/>
      <c r="I27" s="53"/>
      <c r="J27" s="60" t="str">
        <f>IFERROR(VLOOKUP(J25, 'Heroes 1.1'!$A:$M, 2, FALSE),)</f>
        <v/>
      </c>
      <c r="K27" s="203"/>
      <c r="M27" s="69"/>
      <c r="N27" s="203"/>
      <c r="P27" s="53"/>
      <c r="Q27" s="219">
        <f>IFERROR(
IF(S27 = TRUE,
VLOOKUP(R27,vote4OVERLORD!B:G,6,FALSE),0)
,0)</f>
        <v>0</v>
      </c>
      <c r="R27" s="219"/>
      <c r="S27" s="261" t="b">
        <v>0</v>
      </c>
      <c r="T27" s="83"/>
      <c r="U27" s="83" t="b">
        <v>0</v>
      </c>
      <c r="V27" s="94" t="str">
        <f>IFERROR(__xludf.DUMMYFUNCTION(" IFERROR(
(FILTER(Monsters!$AQ:$AQ, Monsters!$A:$A = T27 , Monsters!$D:$D  = $U$3, Monsters!$B:$B = ""Master"")
*
SWITCH(
COUNTA($C$3,$J$3,$C$25,$J$25),
2,FILTER(Monsters!$AJ:$AJ, Monsters!$A:$A = T27 , Monsters!$D:$D  = $U$3, Monsters!$B:$B = ""Master"")"&amp;",
3,FILTER(Monsters!$AL:$AL, Monsters!$A:$A = T27 , Monsters!$D:$D  = $U$3, Monsters!$B:$B = ""Master""),
4,FILTER(Monsters!$AN:$AN, Monsters!$A:$A = T27 , Monsters!$D:$D  = $U$3, Monsters!$B:$B = ""Master""),
))
+
(FILTER(Monsters!$AQ:$AQ, Monsters!$A:$A"&amp;" = T27 , Monsters!$D:$D  = $U$3, Monsters!$B:$B = ""Minion"")
*
SWITCH(
COUNTA($C$3,$J$3,$C$25,$J$25),
2,FILTER(Monsters!$AJ:$AJ, Monsters!$A:$A = T27 , Monsters!$D:$D  = $U$3, Monsters!$B:$B = ""Minion""),
3,FILTER(Monsters!$AL:$AL, Monsters!$A:$A = T27 "&amp;", Monsters!$D:$D  = $U$3, Monsters!$B:$B = ""Minion""),
4,FILTER(Monsters!$AN:$AN, Monsters!$A:$A = T27 , Monsters!$D:$D  = $U$3, Monsters!$B:$B = ""Minion""),
))
,
)"),"")</f>
        <v/>
      </c>
      <c r="W27" s="83" t="str">
        <f>IFERROR(__xludf.DUMMYFUNCTION(" IFERROR(
CONCATENATE(
SWITCH(
COUNTA($C$3,$J$3,$C$25,$J$25),
2,FILTER(Monsters!$AJ:$AJ, Monsters!$A:$A = T27 , Monsters!$D:$D  = $U$3, Monsters!$B:$B = ""Master""),
3,FILTER(Monsters!$AL:$AL, Monsters!$A:$A = T27 , Monsters!$D:$D  = $U$3, Monsters!$B:$B "&amp;"= ""Master""),
4,FILTER(Monsters!$AN:$AN, Monsters!$A:$A = T27 , Monsters!$D:$D  = $U$3, Monsters!$B:$B = ""Master""),
)
,
""/""
,
SWITCH(
COUNTA($C$3,$J$3,$C$25,$J$25),
2,FILTER(Monsters!$AJ:$AJ, Monsters!$A:$A = T27 , Monsters!$D:$D  = $U$3, Monsters!"&amp;"$B:$B = ""Minion""),
3,FILTER(Monsters!$AL:$AL, Monsters!$A:$A = T27 , Monsters!$D:$D  = $U$3, Monsters!$B:$B = ""Minion""),
4,FILTER(Monsters!$AN:$AN, Monsters!$A:$A = T27 , Monsters!$D:$D  = $U$3, Monsters!$B:$B = ""Minion""),
)
)
)"),"")</f>
        <v/>
      </c>
      <c r="X27" s="83"/>
      <c r="Y27" s="83"/>
      <c r="Z27" s="83"/>
      <c r="AA27" s="83"/>
      <c r="AB27" s="83"/>
    </row>
    <row r="28">
      <c r="B28" s="227">
        <f>SUM(D25:E43)</f>
        <v>39.11666667</v>
      </c>
      <c r="C28" s="228" t="s">
        <v>1417</v>
      </c>
      <c r="D28" s="229"/>
      <c r="E28" s="226"/>
      <c r="F28" s="193" t="s">
        <v>1418</v>
      </c>
      <c r="G28" s="81"/>
      <c r="I28" s="227">
        <f>SUM(K25:L43)</f>
        <v>0</v>
      </c>
      <c r="J28" s="228" t="s">
        <v>1417</v>
      </c>
      <c r="K28" s="229"/>
      <c r="L28" s="226"/>
      <c r="M28" s="193" t="s">
        <v>1418</v>
      </c>
      <c r="N28" s="81"/>
      <c r="P28" s="53"/>
      <c r="Q28" s="219">
        <f>IFERROR(
IF(S28 = TRUE,
VLOOKUP(R28,vote4OVERLORD!B:G,6,FALSE),0)
,0)</f>
        <v>0</v>
      </c>
      <c r="R28" s="219"/>
      <c r="S28" s="261" t="b">
        <v>0</v>
      </c>
      <c r="T28" s="83"/>
      <c r="U28" s="65" t="b">
        <v>0</v>
      </c>
      <c r="V28" s="94" t="str">
        <f>IFERROR(__xludf.DUMMYFUNCTION(" IFERROR(
(FILTER(Monsters!$AQ:$AQ, Monsters!$A:$A = T28 , Monsters!$D:$D  = $U$3, Monsters!$B:$B = ""Master"")
*
SWITCH(
COUNTA($C$3,$J$3,$C$25,$J$25),
2,FILTER(Monsters!$AJ:$AJ, Monsters!$A:$A = T28 , Monsters!$D:$D  = $U$3, Monsters!$B:$B = ""Master"")"&amp;",
3,FILTER(Monsters!$AL:$AL, Monsters!$A:$A = T28 , Monsters!$D:$D  = $U$3, Monsters!$B:$B = ""Master""),
4,FILTER(Monsters!$AN:$AN, Monsters!$A:$A = T28 , Monsters!$D:$D  = $U$3, Monsters!$B:$B = ""Master""),
))
+
(FILTER(Monsters!$AQ:$AQ, Monsters!$A:$A"&amp;" = T28 , Monsters!$D:$D  = $U$3, Monsters!$B:$B = ""Minion"")
*
SWITCH(
COUNTA($C$3,$J$3,$C$25,$J$25),
2,FILTER(Monsters!$AJ:$AJ, Monsters!$A:$A = T28 , Monsters!$D:$D  = $U$3, Monsters!$B:$B = ""Minion""),
3,FILTER(Monsters!$AL:$AL, Monsters!$A:$A = T28 "&amp;", Monsters!$D:$D  = $U$3, Monsters!$B:$B = ""Minion""),
4,FILTER(Monsters!$AN:$AN, Monsters!$A:$A = T28 , Monsters!$D:$D  = $U$3, Monsters!$B:$B = ""Minion""),
))
,
)"),"")</f>
        <v/>
      </c>
      <c r="W28" s="83" t="str">
        <f>IFERROR(__xludf.DUMMYFUNCTION(" IFERROR(
CONCATENATE(
SWITCH(
COUNTA($C$3,$J$3,$C$25,$J$25),
2,FILTER(Monsters!$AJ:$AJ, Monsters!$A:$A = T28 , Monsters!$D:$D  = $U$3, Monsters!$B:$B = ""Master""),
3,FILTER(Monsters!$AL:$AL, Monsters!$A:$A = T28 , Monsters!$D:$D  = $U$3, Monsters!$B:$B "&amp;"= ""Master""),
4,FILTER(Monsters!$AN:$AN, Monsters!$A:$A = T28 , Monsters!$D:$D  = $U$3, Monsters!$B:$B = ""Master""),
)
,
""/""
,
SWITCH(
COUNTA($C$3,$J$3,$C$25,$J$25),
2,FILTER(Monsters!$AJ:$AJ, Monsters!$A:$A = T28 , Monsters!$D:$D  = $U$3, Monsters!"&amp;"$B:$B = ""Minion""),
3,FILTER(Monsters!$AL:$AL, Monsters!$A:$A = T28 , Monsters!$D:$D  = $U$3, Monsters!$B:$B = ""Minion""),
4,FILTER(Monsters!$AN:$AN, Monsters!$A:$A = T28 , Monsters!$D:$D  = $U$3, Monsters!$B:$B = ""Minion""),
)
)
)"),"")</f>
        <v/>
      </c>
      <c r="X28" s="65"/>
      <c r="Y28" s="83"/>
      <c r="Z28" s="83"/>
      <c r="AA28" s="83"/>
      <c r="AB28" s="83"/>
    </row>
    <row r="29">
      <c r="B29" s="53"/>
      <c r="C29" s="198"/>
      <c r="D29" s="232">
        <f>IFERROR(VLOOKUP(C29,'Shop Items'!$C:$W,21,FALSE),0)</f>
        <v>0</v>
      </c>
      <c r="E29" s="118">
        <f>IFERROR(
IF(G29 = TRUE,
VLOOKUP(F29,Classes!$C:$H,6,FALSE),0)
,0)</f>
        <v>0</v>
      </c>
      <c r="F29" s="233" t="str">
        <f>IFERROR(__xludf.DUMMYFUNCTION("IF(
ISBLANK(F27),
FILTER(Classes!$C:$C,Classes!$B:$B=F25),
FILTER(Classes!$C:$C,(Classes!$B:$B=F25) + (Classes!$B:$B=F27))
)"),"Greedy")</f>
        <v>Greedy</v>
      </c>
      <c r="G29" s="234" t="b">
        <v>0</v>
      </c>
      <c r="I29" s="53"/>
      <c r="J29" s="198"/>
      <c r="K29" s="232">
        <f>IFERROR(VLOOKUP(J29,'Shop Items'!$C:$W,21,FALSE),0)</f>
        <v>0</v>
      </c>
      <c r="L29" s="118">
        <f>IFERROR(
IF(N29 = TRUE,
VLOOKUP(M29,Classes!$C:$H,6,FALSE),0)
,0)</f>
        <v>0</v>
      </c>
      <c r="M29" s="233" t="str">
        <f>IFERROR(__xludf.DUMMYFUNCTION("IF(
ISBLANK(M27),
FILTER(Classes!$C:$C,Classes!$B:$B=M25),
FILTER(Classes!$C:$C,(Classes!$B:$B=M25) + (Classes!$B:$B=M27))
)"),"")</f>
        <v/>
      </c>
      <c r="N29" s="234" t="b">
        <v>0</v>
      </c>
      <c r="P29" s="53"/>
      <c r="Q29" s="219">
        <f>IFERROR(
IF(S29 = TRUE,
VLOOKUP(R29,vote4OVERLORD!B:G,6,FALSE),0)
,0)</f>
        <v>0</v>
      </c>
      <c r="R29" s="219"/>
      <c r="S29" s="261" t="b">
        <v>0</v>
      </c>
      <c r="T29" s="83"/>
      <c r="U29" s="65" t="b">
        <v>0</v>
      </c>
      <c r="V29" s="94" t="str">
        <f>IFERROR(__xludf.DUMMYFUNCTION(" IFERROR(
(FILTER(Monsters!$AQ:$AQ, Monsters!$A:$A = T29 , Monsters!$D:$D  = $U$3, Monsters!$B:$B = ""Master"")
*
SWITCH(
COUNTA($C$3,$J$3,$C$25,$J$25),
2,FILTER(Monsters!$AJ:$AJ, Monsters!$A:$A = T29 , Monsters!$D:$D  = $U$3, Monsters!$B:$B = ""Master"")"&amp;",
3,FILTER(Monsters!$AL:$AL, Monsters!$A:$A = T29 , Monsters!$D:$D  = $U$3, Monsters!$B:$B = ""Master""),
4,FILTER(Monsters!$AN:$AN, Monsters!$A:$A = T29 , Monsters!$D:$D  = $U$3, Monsters!$B:$B = ""Master""),
))
+
(FILTER(Monsters!$AQ:$AQ, Monsters!$A:$A"&amp;" = T29 , Monsters!$D:$D  = $U$3, Monsters!$B:$B = ""Minion"")
*
SWITCH(
COUNTA($C$3,$J$3,$C$25,$J$25),
2,FILTER(Monsters!$AJ:$AJ, Monsters!$A:$A = T29 , Monsters!$D:$D  = $U$3, Monsters!$B:$B = ""Minion""),
3,FILTER(Monsters!$AL:$AL, Monsters!$A:$A = T29 "&amp;", Monsters!$D:$D  = $U$3, Monsters!$B:$B = ""Minion""),
4,FILTER(Monsters!$AN:$AN, Monsters!$A:$A = T29 , Monsters!$D:$D  = $U$3, Monsters!$B:$B = ""Minion""),
))
,
)"),"")</f>
        <v/>
      </c>
      <c r="W29" s="83" t="str">
        <f>IFERROR(__xludf.DUMMYFUNCTION(" IFERROR(
CONCATENATE(
SWITCH(
COUNTA($C$3,$J$3,$C$25,$J$25),
2,FILTER(Monsters!$AJ:$AJ, Monsters!$A:$A = T29 , Monsters!$D:$D  = $U$3, Monsters!$B:$B = ""Master""),
3,FILTER(Monsters!$AL:$AL, Monsters!$A:$A = T29 , Monsters!$D:$D  = $U$3, Monsters!$B:$B "&amp;"= ""Master""),
4,FILTER(Monsters!$AN:$AN, Monsters!$A:$A = T29 , Monsters!$D:$D  = $U$3, Monsters!$B:$B = ""Master""),
)
,
""/""
,
SWITCH(
COUNTA($C$3,$J$3,$C$25,$J$25),
2,FILTER(Monsters!$AJ:$AJ, Monsters!$A:$A = T29 , Monsters!$D:$D  = $U$3, Monsters!"&amp;"$B:$B = ""Minion""),
3,FILTER(Monsters!$AL:$AL, Monsters!$A:$A = T29 , Monsters!$D:$D  = $U$3, Monsters!$B:$B = ""Minion""),
4,FILTER(Monsters!$AN:$AN, Monsters!$A:$A = T29 , Monsters!$D:$D  = $U$3, Monsters!$B:$B = ""Minion""),
)
)
)"),"")</f>
        <v/>
      </c>
      <c r="X29" s="65"/>
      <c r="Y29" s="83"/>
      <c r="Z29" s="83"/>
      <c r="AA29" s="83"/>
      <c r="AB29" s="83"/>
    </row>
    <row r="30">
      <c r="B30" s="53"/>
      <c r="C30" s="198"/>
      <c r="D30" s="232">
        <f>IFERROR(VLOOKUP(C30,'Shop Items'!$C:$W,21,FALSE),0)</f>
        <v>0</v>
      </c>
      <c r="E30" s="118">
        <f>IFERROR(
IF(G30 = TRUE,
VLOOKUP(F30,Classes!$C:$H,6,FALSE),0)
,0)</f>
        <v>0</v>
      </c>
      <c r="F30" s="58" t="str">
        <f>IFERROR(__xludf.DUMMYFUNCTION("""COMPUTED_VALUE"""),"Appraisal")</f>
        <v>Appraisal</v>
      </c>
      <c r="G30" s="234" t="b">
        <v>0</v>
      </c>
      <c r="I30" s="53"/>
      <c r="J30" s="198"/>
      <c r="K30" s="232">
        <f>IFERROR(VLOOKUP(J30,'Shop Items'!$C:$W,21,FALSE),0)</f>
        <v>0</v>
      </c>
      <c r="L30" s="118">
        <f>IFERROR(
IF(N30 = TRUE,
VLOOKUP(M30,Classes!$C:$H,6,FALSE),0)
,0)</f>
        <v>0</v>
      </c>
      <c r="M30" s="58"/>
      <c r="N30" s="234" t="b">
        <v>0</v>
      </c>
      <c r="P30" s="53"/>
      <c r="Q30" s="219">
        <f>IFERROR(
IF(S30 = TRUE,
VLOOKUP(R30,vote4OVERLORD!B:G,6,FALSE),0)
,0)</f>
        <v>0</v>
      </c>
      <c r="R30" s="219"/>
      <c r="S30" s="261" t="b">
        <v>0</v>
      </c>
      <c r="T30" s="83"/>
      <c r="U30" s="65" t="b">
        <v>0</v>
      </c>
      <c r="V30" s="94" t="str">
        <f>IFERROR(__xludf.DUMMYFUNCTION(" IFERROR(
(FILTER(Monsters!$AQ:$AQ, Monsters!$A:$A = T30 , Monsters!$D:$D  = $U$3, Monsters!$B:$B = ""Master"")
*
SWITCH(
COUNTA($C$3,$J$3,$C$25,$J$25),
2,FILTER(Monsters!$AJ:$AJ, Monsters!$A:$A = T30 , Monsters!$D:$D  = $U$3, Monsters!$B:$B = ""Master"")"&amp;",
3,FILTER(Monsters!$AL:$AL, Monsters!$A:$A = T30 , Monsters!$D:$D  = $U$3, Monsters!$B:$B = ""Master""),
4,FILTER(Monsters!$AN:$AN, Monsters!$A:$A = T30 , Monsters!$D:$D  = $U$3, Monsters!$B:$B = ""Master""),
))
+
(FILTER(Monsters!$AQ:$AQ, Monsters!$A:$A"&amp;" = T30 , Monsters!$D:$D  = $U$3, Monsters!$B:$B = ""Minion"")
*
SWITCH(
COUNTA($C$3,$J$3,$C$25,$J$25),
2,FILTER(Monsters!$AJ:$AJ, Monsters!$A:$A = T30 , Monsters!$D:$D  = $U$3, Monsters!$B:$B = ""Minion""),
3,FILTER(Monsters!$AL:$AL, Monsters!$A:$A = T30 "&amp;", Monsters!$D:$D  = $U$3, Monsters!$B:$B = ""Minion""),
4,FILTER(Monsters!$AN:$AN, Monsters!$A:$A = T30 , Monsters!$D:$D  = $U$3, Monsters!$B:$B = ""Minion""),
))
,
)"),"")</f>
        <v/>
      </c>
      <c r="W30" s="83" t="str">
        <f>IFERROR(__xludf.DUMMYFUNCTION(" IFERROR(
CONCATENATE(
SWITCH(
COUNTA($C$3,$J$3,$C$25,$J$25),
2,FILTER(Monsters!$AJ:$AJ, Monsters!$A:$A = T30 , Monsters!$D:$D  = $U$3, Monsters!$B:$B = ""Master""),
3,FILTER(Monsters!$AL:$AL, Monsters!$A:$A = T30 , Monsters!$D:$D  = $U$3, Monsters!$B:$B "&amp;"= ""Master""),
4,FILTER(Monsters!$AN:$AN, Monsters!$A:$A = T30 , Monsters!$D:$D  = $U$3, Monsters!$B:$B = ""Master""),
)
,
""/""
,
SWITCH(
COUNTA($C$3,$J$3,$C$25,$J$25),
2,FILTER(Monsters!$AJ:$AJ, Monsters!$A:$A = T30 , Monsters!$D:$D  = $U$3, Monsters!"&amp;"$B:$B = ""Minion""),
3,FILTER(Monsters!$AL:$AL, Monsters!$A:$A = T30 , Monsters!$D:$D  = $U$3, Monsters!$B:$B = ""Minion""),
4,FILTER(Monsters!$AN:$AN, Monsters!$A:$A = T30 , Monsters!$D:$D  = $U$3, Monsters!$B:$B = ""Minion""),
)
)
)"),"")</f>
        <v/>
      </c>
      <c r="X30" s="65"/>
      <c r="Y30" s="83"/>
      <c r="Z30" s="83"/>
      <c r="AA30" s="83"/>
      <c r="AB30" s="83"/>
    </row>
    <row r="31">
      <c r="B31" s="53"/>
      <c r="C31" s="198"/>
      <c r="D31" s="232">
        <f>IFERROR(VLOOKUP(C31,'Shop Items'!$C:$W,21,FALSE),0)</f>
        <v>0</v>
      </c>
      <c r="E31" s="118">
        <f>IFERROR(
IF(G31 = TRUE,
VLOOKUP(F31,Classes!$C:$H,6,FALSE),0)
,0)</f>
        <v>0</v>
      </c>
      <c r="F31" s="58" t="str">
        <f>IFERROR(__xludf.DUMMYFUNCTION("""COMPUTED_VALUE"""),"Sneaky")</f>
        <v>Sneaky</v>
      </c>
      <c r="G31" s="234" t="b">
        <v>0</v>
      </c>
      <c r="I31" s="53"/>
      <c r="J31" s="198"/>
      <c r="K31" s="232">
        <f>IFERROR(VLOOKUP(J31,'Shop Items'!$C:$W,21,FALSE),0)</f>
        <v>0</v>
      </c>
      <c r="L31" s="118">
        <f>IFERROR(
IF(N31 = TRUE,
VLOOKUP(M31,Classes!$C:$H,6,FALSE),0)
,0)</f>
        <v>0</v>
      </c>
      <c r="M31" s="58"/>
      <c r="N31" s="234" t="b">
        <v>0</v>
      </c>
      <c r="P31" s="53"/>
      <c r="Q31" s="219">
        <f>IFERROR(
IF(S31 = TRUE,
VLOOKUP(R31,vote4OVERLORD!B:G,6,FALSE),0)
,0)</f>
        <v>0</v>
      </c>
      <c r="R31" s="219"/>
      <c r="S31" s="261" t="b">
        <v>0</v>
      </c>
      <c r="T31" s="83"/>
      <c r="U31" s="83" t="b">
        <v>0</v>
      </c>
      <c r="V31" s="94" t="str">
        <f>IFERROR(__xludf.DUMMYFUNCTION(" IFERROR(
(FILTER(Monsters!$AQ:$AQ, Monsters!$A:$A = T31 , Monsters!$D:$D  = $U$3, Monsters!$B:$B = ""Master"")
*
SWITCH(
COUNTA($C$3,$J$3,$C$25,$J$25),
2,FILTER(Monsters!$AJ:$AJ, Monsters!$A:$A = T31 , Monsters!$D:$D  = $U$3, Monsters!$B:$B = ""Master"")"&amp;",
3,FILTER(Monsters!$AL:$AL, Monsters!$A:$A = T31 , Monsters!$D:$D  = $U$3, Monsters!$B:$B = ""Master""),
4,FILTER(Monsters!$AN:$AN, Monsters!$A:$A = T31 , Monsters!$D:$D  = $U$3, Monsters!$B:$B = ""Master""),
))
+
(FILTER(Monsters!$AQ:$AQ, Monsters!$A:$A"&amp;" = T31 , Monsters!$D:$D  = $U$3, Monsters!$B:$B = ""Minion"")
*
SWITCH(
COUNTA($C$3,$J$3,$C$25,$J$25),
2,FILTER(Monsters!$AJ:$AJ, Monsters!$A:$A = T31 , Monsters!$D:$D  = $U$3, Monsters!$B:$B = ""Minion""),
3,FILTER(Monsters!$AL:$AL, Monsters!$A:$A = T31 "&amp;", Monsters!$D:$D  = $U$3, Monsters!$B:$B = ""Minion""),
4,FILTER(Monsters!$AN:$AN, Monsters!$A:$A = T31 , Monsters!$D:$D  = $U$3, Monsters!$B:$B = ""Minion""),
))
,
)"),"")</f>
        <v/>
      </c>
      <c r="W31" s="83" t="str">
        <f>IFERROR(__xludf.DUMMYFUNCTION(" IFERROR(
CONCATENATE(
SWITCH(
COUNTA($C$3,$J$3,$C$25,$J$25),
2,FILTER(Monsters!$AJ:$AJ, Monsters!$A:$A = T31 , Monsters!$D:$D  = $U$3, Monsters!$B:$B = ""Master""),
3,FILTER(Monsters!$AL:$AL, Monsters!$A:$A = T31 , Monsters!$D:$D  = $U$3, Monsters!$B:$B "&amp;"= ""Master""),
4,FILTER(Monsters!$AN:$AN, Monsters!$A:$A = T31 , Monsters!$D:$D  = $U$3, Monsters!$B:$B = ""Master""),
)
,
""/""
,
SWITCH(
COUNTA($C$3,$J$3,$C$25,$J$25),
2,FILTER(Monsters!$AJ:$AJ, Monsters!$A:$A = T31 , Monsters!$D:$D  = $U$3, Monsters!"&amp;"$B:$B = ""Minion""),
3,FILTER(Monsters!$AL:$AL, Monsters!$A:$A = T31 , Monsters!$D:$D  = $U$3, Monsters!$B:$B = ""Minion""),
4,FILTER(Monsters!$AN:$AN, Monsters!$A:$A = T31 , Monsters!$D:$D  = $U$3, Monsters!$B:$B = ""Minion""),
)
)
)"),"")</f>
        <v/>
      </c>
      <c r="X31" s="83"/>
      <c r="Y31" s="83"/>
      <c r="Z31" s="83"/>
      <c r="AA31" s="83"/>
      <c r="AB31" s="83"/>
    </row>
    <row r="32">
      <c r="B32" s="53"/>
      <c r="C32" s="198"/>
      <c r="D32" s="232">
        <f>IFERROR(VLOOKUP(C32,'Shop Items'!$C:$W,21,FALSE),0)</f>
        <v>0</v>
      </c>
      <c r="E32" s="118">
        <f>IFERROR(
IF(G32 = TRUE,
VLOOKUP(F32,Classes!$C:$H,6,FALSE),0)
,0)</f>
        <v>0</v>
      </c>
      <c r="F32" s="58" t="str">
        <f>IFERROR(__xludf.DUMMYFUNCTION("""COMPUTED_VALUE"""),"Dirty Tricks")</f>
        <v>Dirty Tricks</v>
      </c>
      <c r="G32" s="234" t="b">
        <v>0</v>
      </c>
      <c r="I32" s="53"/>
      <c r="J32" s="198"/>
      <c r="K32" s="232">
        <f>IFERROR(VLOOKUP(J32,'Shop Items'!$C:$W,21,FALSE),0)</f>
        <v>0</v>
      </c>
      <c r="L32" s="118">
        <f>IFERROR(
IF(N32 = TRUE,
VLOOKUP(M32,Classes!$C:$H,6,FALSE),0)
,0)</f>
        <v>0</v>
      </c>
      <c r="M32" s="58"/>
      <c r="N32" s="234" t="b">
        <v>0</v>
      </c>
      <c r="P32" s="53"/>
      <c r="Q32" s="219">
        <f>IFERROR(
IF(S32 = TRUE,
VLOOKUP(R32,vote4OVERLORD!B:G,6,FALSE),0)
,0)</f>
        <v>0</v>
      </c>
      <c r="R32" s="219"/>
      <c r="S32" s="261" t="b">
        <v>0</v>
      </c>
      <c r="T32" s="83"/>
      <c r="U32" s="65" t="b">
        <v>0</v>
      </c>
      <c r="V32" s="94" t="str">
        <f>IFERROR(__xludf.DUMMYFUNCTION(" IFERROR(
(FILTER(Monsters!$AQ:$AQ, Monsters!$A:$A = T32 , Monsters!$D:$D  = $U$3, Monsters!$B:$B = ""Master"")
*
SWITCH(
COUNTA($C$3,$J$3,$C$25,$J$25),
2,FILTER(Monsters!$AJ:$AJ, Monsters!$A:$A = T32 , Monsters!$D:$D  = $U$3, Monsters!$B:$B = ""Master"")"&amp;",
3,FILTER(Monsters!$AL:$AL, Monsters!$A:$A = T32 , Monsters!$D:$D  = $U$3, Monsters!$B:$B = ""Master""),
4,FILTER(Monsters!$AN:$AN, Monsters!$A:$A = T32 , Monsters!$D:$D  = $U$3, Monsters!$B:$B = ""Master""),
))
+
(FILTER(Monsters!$AQ:$AQ, Monsters!$A:$A"&amp;" = T32 , Monsters!$D:$D  = $U$3, Monsters!$B:$B = ""Minion"")
*
SWITCH(
COUNTA($C$3,$J$3,$C$25,$J$25),
2,FILTER(Monsters!$AJ:$AJ, Monsters!$A:$A = T32 , Monsters!$D:$D  = $U$3, Monsters!$B:$B = ""Minion""),
3,FILTER(Monsters!$AL:$AL, Monsters!$A:$A = T32 "&amp;", Monsters!$D:$D  = $U$3, Monsters!$B:$B = ""Minion""),
4,FILTER(Monsters!$AN:$AN, Monsters!$A:$A = T32 , Monsters!$D:$D  = $U$3, Monsters!$B:$B = ""Minion""),
))
,
)"),"")</f>
        <v/>
      </c>
      <c r="W32" s="83" t="str">
        <f>IFERROR(__xludf.DUMMYFUNCTION(" IFERROR(
CONCATENATE(
SWITCH(
COUNTA($C$3,$J$3,$C$25,$J$25),
2,FILTER(Monsters!$AJ:$AJ, Monsters!$A:$A = T32 , Monsters!$D:$D  = $U$3, Monsters!$B:$B = ""Master""),
3,FILTER(Monsters!$AL:$AL, Monsters!$A:$A = T32 , Monsters!$D:$D  = $U$3, Monsters!$B:$B "&amp;"= ""Master""),
4,FILTER(Monsters!$AN:$AN, Monsters!$A:$A = T32 , Monsters!$D:$D  = $U$3, Monsters!$B:$B = ""Master""),
)
,
""/""
,
SWITCH(
COUNTA($C$3,$J$3,$C$25,$J$25),
2,FILTER(Monsters!$AJ:$AJ, Monsters!$A:$A = T32 , Monsters!$D:$D  = $U$3, Monsters!"&amp;"$B:$B = ""Minion""),
3,FILTER(Monsters!$AL:$AL, Monsters!$A:$A = T32 , Monsters!$D:$D  = $U$3, Monsters!$B:$B = ""Minion""),
4,FILTER(Monsters!$AN:$AN, Monsters!$A:$A = T32 , Monsters!$D:$D  = $U$3, Monsters!$B:$B = ""Minion""),
)
)
)"),"")</f>
        <v/>
      </c>
      <c r="X32" s="65"/>
      <c r="Y32" s="83"/>
      <c r="Z32" s="83"/>
      <c r="AA32" s="83"/>
      <c r="AB32" s="83"/>
    </row>
    <row r="33">
      <c r="B33" s="53"/>
      <c r="C33" s="198"/>
      <c r="D33" s="232">
        <f>IFERROR(VLOOKUP(C33,'Shop Items'!$C:$W,21,FALSE),0)</f>
        <v>0</v>
      </c>
      <c r="E33" s="118">
        <f>IFERROR(
IF(G33 = TRUE,
VLOOKUP(F33,Classes!$C:$H,6,FALSE),0)
,0)</f>
        <v>0</v>
      </c>
      <c r="F33" s="58" t="str">
        <f>IFERROR(__xludf.DUMMYFUNCTION("""COMPUTED_VALUE"""),"Caltrops")</f>
        <v>Caltrops</v>
      </c>
      <c r="G33" s="232" t="b">
        <v>0</v>
      </c>
      <c r="I33" s="53"/>
      <c r="J33" s="198"/>
      <c r="K33" s="232">
        <f>IFERROR(VLOOKUP(J33,'Shop Items'!$C:$W,21,FALSE),0)</f>
        <v>0</v>
      </c>
      <c r="L33" s="118">
        <f>IFERROR(
IF(N33 = TRUE,
VLOOKUP(M33,Classes!$C:$H,6,FALSE),0)
,0)</f>
        <v>0</v>
      </c>
      <c r="M33" s="58"/>
      <c r="N33" s="232" t="b">
        <v>0</v>
      </c>
      <c r="P33" s="53"/>
      <c r="Q33" s="219">
        <f>IFERROR(
IF(S33 = TRUE,
VLOOKUP(R33,vote4OVERLORD!B:G,6,FALSE),0)
,0)</f>
        <v>0</v>
      </c>
      <c r="R33" s="219"/>
      <c r="S33" s="261" t="b">
        <v>0</v>
      </c>
      <c r="T33" s="83"/>
      <c r="U33" s="65" t="b">
        <v>0</v>
      </c>
      <c r="V33" s="94" t="str">
        <f>IFERROR(__xludf.DUMMYFUNCTION(" IFERROR(
(FILTER(Monsters!$AQ:$AQ, Monsters!$A:$A = T33 , Monsters!$D:$D  = $U$3, Monsters!$B:$B = ""Master"")
*
SWITCH(
COUNTA($C$3,$J$3,$C$25,$J$25),
2,FILTER(Monsters!$AJ:$AJ, Monsters!$A:$A = T33 , Monsters!$D:$D  = $U$3, Monsters!$B:$B = ""Master"")"&amp;",
3,FILTER(Monsters!$AL:$AL, Monsters!$A:$A = T33 , Monsters!$D:$D  = $U$3, Monsters!$B:$B = ""Master""),
4,FILTER(Monsters!$AN:$AN, Monsters!$A:$A = T33 , Monsters!$D:$D  = $U$3, Monsters!$B:$B = ""Master""),
))
+
(FILTER(Monsters!$AQ:$AQ, Monsters!$A:$A"&amp;" = T33 , Monsters!$D:$D  = $U$3, Monsters!$B:$B = ""Minion"")
*
SWITCH(
COUNTA($C$3,$J$3,$C$25,$J$25),
2,FILTER(Monsters!$AJ:$AJ, Monsters!$A:$A = T33 , Monsters!$D:$D  = $U$3, Monsters!$B:$B = ""Minion""),
3,FILTER(Monsters!$AL:$AL, Monsters!$A:$A = T33 "&amp;", Monsters!$D:$D  = $U$3, Monsters!$B:$B = ""Minion""),
4,FILTER(Monsters!$AN:$AN, Monsters!$A:$A = T33 , Monsters!$D:$D  = $U$3, Monsters!$B:$B = ""Minion""),
))
,
)"),"")</f>
        <v/>
      </c>
      <c r="W33" s="83" t="str">
        <f>IFERROR(__xludf.DUMMYFUNCTION(" IFERROR(
CONCATENATE(
SWITCH(
COUNTA($C$3,$J$3,$C$25,$J$25),
2,FILTER(Monsters!$AJ:$AJ, Monsters!$A:$A = T33 , Monsters!$D:$D  = $U$3, Monsters!$B:$B = ""Master""),
3,FILTER(Monsters!$AL:$AL, Monsters!$A:$A = T33 , Monsters!$D:$D  = $U$3, Monsters!$B:$B "&amp;"= ""Master""),
4,FILTER(Monsters!$AN:$AN, Monsters!$A:$A = T33 , Monsters!$D:$D  = $U$3, Monsters!$B:$B = ""Master""),
)
,
""/""
,
SWITCH(
COUNTA($C$3,$J$3,$C$25,$J$25),
2,FILTER(Monsters!$AJ:$AJ, Monsters!$A:$A = T33 , Monsters!$D:$D  = $U$3, Monsters!"&amp;"$B:$B = ""Minion""),
3,FILTER(Monsters!$AL:$AL, Monsters!$A:$A = T33 , Monsters!$D:$D  = $U$3, Monsters!$B:$B = ""Minion""),
4,FILTER(Monsters!$AN:$AN, Monsters!$A:$A = T33 , Monsters!$D:$D  = $U$3, Monsters!$B:$B = ""Minion""),
)
)
)"),"")</f>
        <v/>
      </c>
      <c r="X33" s="65"/>
      <c r="Y33" s="83"/>
      <c r="Z33" s="83"/>
      <c r="AA33" s="83"/>
      <c r="AB33" s="83"/>
    </row>
    <row r="34">
      <c r="B34" s="53"/>
      <c r="C34" s="198"/>
      <c r="D34" s="232">
        <f>IFERROR(VLOOKUP(C34,'Shop Items'!$C:$W,21,FALSE),0)</f>
        <v>0</v>
      </c>
      <c r="E34" s="118">
        <f>IFERROR(
IF(G34 = TRUE,
VLOOKUP(F34,Classes!$C:$H,6,FALSE),0)
,0)</f>
        <v>0</v>
      </c>
      <c r="F34" s="58" t="str">
        <f>IFERROR(__xludf.DUMMYFUNCTION("""COMPUTED_VALUE"""),"Unseen")</f>
        <v>Unseen</v>
      </c>
      <c r="G34" s="232" t="b">
        <v>0</v>
      </c>
      <c r="I34" s="53"/>
      <c r="J34" s="198"/>
      <c r="K34" s="232">
        <f>IFERROR(VLOOKUP(J34,'Shop Items'!$C:$W,21,FALSE),0)</f>
        <v>0</v>
      </c>
      <c r="L34" s="118">
        <f>IFERROR(
IF(N34 = TRUE,
VLOOKUP(M34,Classes!$C:$H,6,FALSE),0)
,0)</f>
        <v>0</v>
      </c>
      <c r="M34" s="58"/>
      <c r="N34" s="232" t="b">
        <v>0</v>
      </c>
      <c r="P34" s="53"/>
      <c r="Q34" s="219">
        <f>IFERROR(
IF(S34 = TRUE,
VLOOKUP(R34,vote4OVERLORD!B:G,6,FALSE),0)
,0)</f>
        <v>0</v>
      </c>
      <c r="R34" s="219"/>
      <c r="S34" s="261" t="b">
        <v>0</v>
      </c>
      <c r="T34" s="83"/>
      <c r="U34" s="65" t="b">
        <v>0</v>
      </c>
      <c r="V34" s="94" t="str">
        <f>IFERROR(__xludf.DUMMYFUNCTION(" IFERROR(
(FILTER(Monsters!$AQ:$AQ, Monsters!$A:$A = T34 , Monsters!$D:$D  = $U$3, Monsters!$B:$B = ""Master"")
*
SWITCH(
COUNTA($C$3,$J$3,$C$25,$J$25),
2,FILTER(Monsters!$AJ:$AJ, Monsters!$A:$A = T34 , Monsters!$D:$D  = $U$3, Monsters!$B:$B = ""Master"")"&amp;",
3,FILTER(Monsters!$AL:$AL, Monsters!$A:$A = T34 , Monsters!$D:$D  = $U$3, Monsters!$B:$B = ""Master""),
4,FILTER(Monsters!$AN:$AN, Monsters!$A:$A = T34 , Monsters!$D:$D  = $U$3, Monsters!$B:$B = ""Master""),
))
+
(FILTER(Monsters!$AQ:$AQ, Monsters!$A:$A"&amp;" = T34 , Monsters!$D:$D  = $U$3, Monsters!$B:$B = ""Minion"")
*
SWITCH(
COUNTA($C$3,$J$3,$C$25,$J$25),
2,FILTER(Monsters!$AJ:$AJ, Monsters!$A:$A = T34 , Monsters!$D:$D  = $U$3, Monsters!$B:$B = ""Minion""),
3,FILTER(Monsters!$AL:$AL, Monsters!$A:$A = T34 "&amp;", Monsters!$D:$D  = $U$3, Monsters!$B:$B = ""Minion""),
4,FILTER(Monsters!$AN:$AN, Monsters!$A:$A = T34 , Monsters!$D:$D  = $U$3, Monsters!$B:$B = ""Minion""),
))
,
)"),"")</f>
        <v/>
      </c>
      <c r="W34" s="83" t="str">
        <f>IFERROR(__xludf.DUMMYFUNCTION(" IFERROR(
CONCATENATE(
SWITCH(
COUNTA($C$3,$J$3,$C$25,$J$25),
2,FILTER(Monsters!$AJ:$AJ, Monsters!$A:$A = T34 , Monsters!$D:$D  = $U$3, Monsters!$B:$B = ""Master""),
3,FILTER(Monsters!$AL:$AL, Monsters!$A:$A = T34 , Monsters!$D:$D  = $U$3, Monsters!$B:$B "&amp;"= ""Master""),
4,FILTER(Monsters!$AN:$AN, Monsters!$A:$A = T34 , Monsters!$D:$D  = $U$3, Monsters!$B:$B = ""Master""),
)
,
""/""
,
SWITCH(
COUNTA($C$3,$J$3,$C$25,$J$25),
2,FILTER(Monsters!$AJ:$AJ, Monsters!$A:$A = T34 , Monsters!$D:$D  = $U$3, Monsters!"&amp;"$B:$B = ""Minion""),
3,FILTER(Monsters!$AL:$AL, Monsters!$A:$A = T34 , Monsters!$D:$D  = $U$3, Monsters!$B:$B = ""Minion""),
4,FILTER(Monsters!$AN:$AN, Monsters!$A:$A = T34 , Monsters!$D:$D  = $U$3, Monsters!$B:$B = ""Minion""),
)
)
)"),"")</f>
        <v/>
      </c>
      <c r="X34" s="65"/>
      <c r="Y34" s="83"/>
      <c r="Z34" s="83"/>
      <c r="AA34" s="83"/>
      <c r="AB34" s="83"/>
    </row>
    <row r="35">
      <c r="B35" s="53"/>
      <c r="C35" s="198"/>
      <c r="D35" s="232">
        <f>IFERROR(VLOOKUP(C35,'Shop Items'!$C:$W,21,FALSE),0)</f>
        <v>0</v>
      </c>
      <c r="E35" s="118">
        <f>IFERROR(
IF(G35 = TRUE,
VLOOKUP(F35,Classes!$C:$H,6,FALSE),0)
,0)</f>
        <v>0</v>
      </c>
      <c r="F35" s="58" t="str">
        <f>IFERROR(__xludf.DUMMYFUNCTION("""COMPUTED_VALUE"""),"Tumble")</f>
        <v>Tumble</v>
      </c>
      <c r="G35" s="232" t="b">
        <v>0</v>
      </c>
      <c r="I35" s="53"/>
      <c r="J35" s="198"/>
      <c r="K35" s="232">
        <f>IFERROR(VLOOKUP(J35,'Shop Items'!$C:$W,21,FALSE),0)</f>
        <v>0</v>
      </c>
      <c r="L35" s="118">
        <f>IFERROR(
IF(N35 = TRUE,
VLOOKUP(M35,Classes!$C:$H,6,FALSE),0)
,0)</f>
        <v>0</v>
      </c>
      <c r="M35" s="58"/>
      <c r="N35" s="232" t="b">
        <v>0</v>
      </c>
      <c r="P35" s="53"/>
      <c r="Q35" s="219">
        <f>IFERROR(
IF(S35 = TRUE,
VLOOKUP(R35,vote4OVERLORD!B:G,6,FALSE),0)
,0)</f>
        <v>0</v>
      </c>
      <c r="R35" s="219"/>
      <c r="S35" s="261" t="b">
        <v>0</v>
      </c>
      <c r="T35" s="83"/>
      <c r="U35" s="83" t="b">
        <v>0</v>
      </c>
      <c r="V35" s="94" t="str">
        <f>IFERROR(__xludf.DUMMYFUNCTION(" IFERROR(
(FILTER(Monsters!$AQ:$AQ, Monsters!$A:$A = T35 , Monsters!$D:$D  = $U$3, Monsters!$B:$B = ""Master"")
*
SWITCH(
COUNTA($C$3,$J$3,$C$25,$J$25),
2,FILTER(Monsters!$AJ:$AJ, Monsters!$A:$A = T35 , Monsters!$D:$D  = $U$3, Monsters!$B:$B = ""Master"")"&amp;",
3,FILTER(Monsters!$AL:$AL, Monsters!$A:$A = T35 , Monsters!$D:$D  = $U$3, Monsters!$B:$B = ""Master""),
4,FILTER(Monsters!$AN:$AN, Monsters!$A:$A = T35 , Monsters!$D:$D  = $U$3, Monsters!$B:$B = ""Master""),
))
+
(FILTER(Monsters!$AQ:$AQ, Monsters!$A:$A"&amp;" = T35 , Monsters!$D:$D  = $U$3, Monsters!$B:$B = ""Minion"")
*
SWITCH(
COUNTA($C$3,$J$3,$C$25,$J$25),
2,FILTER(Monsters!$AJ:$AJ, Monsters!$A:$A = T35 , Monsters!$D:$D  = $U$3, Monsters!$B:$B = ""Minion""),
3,FILTER(Monsters!$AL:$AL, Monsters!$A:$A = T35 "&amp;", Monsters!$D:$D  = $U$3, Monsters!$B:$B = ""Minion""),
4,FILTER(Monsters!$AN:$AN, Monsters!$A:$A = T35 , Monsters!$D:$D  = $U$3, Monsters!$B:$B = ""Minion""),
))
,
)"),"")</f>
        <v/>
      </c>
      <c r="W35" s="83" t="str">
        <f>IFERROR(__xludf.DUMMYFUNCTION(" IFERROR(
CONCATENATE(
SWITCH(
COUNTA($C$3,$J$3,$C$25,$J$25),
2,FILTER(Monsters!$AJ:$AJ, Monsters!$A:$A = T35 , Monsters!$D:$D  = $U$3, Monsters!$B:$B = ""Master""),
3,FILTER(Monsters!$AL:$AL, Monsters!$A:$A = T35 , Monsters!$D:$D  = $U$3, Monsters!$B:$B "&amp;"= ""Master""),
4,FILTER(Monsters!$AN:$AN, Monsters!$A:$A = T35 , Monsters!$D:$D  = $U$3, Monsters!$B:$B = ""Master""),
)
,
""/""
,
SWITCH(
COUNTA($C$3,$J$3,$C$25,$J$25),
2,FILTER(Monsters!$AJ:$AJ, Monsters!$A:$A = T35 , Monsters!$D:$D  = $U$3, Monsters!"&amp;"$B:$B = ""Minion""),
3,FILTER(Monsters!$AL:$AL, Monsters!$A:$A = T35 , Monsters!$D:$D  = $U$3, Monsters!$B:$B = ""Minion""),
4,FILTER(Monsters!$AN:$AN, Monsters!$A:$A = T35 , Monsters!$D:$D  = $U$3, Monsters!$B:$B = ""Minion""),
)
)
)"),"")</f>
        <v/>
      </c>
      <c r="X35" s="83"/>
      <c r="Y35" s="83"/>
      <c r="Z35" s="83"/>
      <c r="AA35" s="83"/>
      <c r="AB35" s="83"/>
    </row>
    <row r="36">
      <c r="B36" s="53"/>
      <c r="C36" s="198"/>
      <c r="D36" s="232">
        <f>IFERROR(VLOOKUP(C36,'Shop Items'!$C:$W,21,FALSE),0)</f>
        <v>0</v>
      </c>
      <c r="E36" s="118">
        <f>IFERROR(
IF(G36 = TRUE,
VLOOKUP(F36,Classes!$C:$H,6,FALSE),0)
,0)</f>
        <v>0</v>
      </c>
      <c r="F36" s="58" t="str">
        <f>IFERROR(__xludf.DUMMYFUNCTION("""COMPUTED_VALUE"""),"Lurk")</f>
        <v>Lurk</v>
      </c>
      <c r="G36" s="232" t="b">
        <v>0</v>
      </c>
      <c r="I36" s="53"/>
      <c r="J36" s="198"/>
      <c r="K36" s="232">
        <f>IFERROR(VLOOKUP(J36,'Shop Items'!$C:$W,21,FALSE),0)</f>
        <v>0</v>
      </c>
      <c r="L36" s="118">
        <f>IFERROR(
IF(N36 = TRUE,
VLOOKUP(M36,Classes!$C:$H,6,FALSE),0)
,0)</f>
        <v>0</v>
      </c>
      <c r="M36" s="58"/>
      <c r="N36" s="232" t="b">
        <v>0</v>
      </c>
      <c r="P36" s="53"/>
      <c r="Q36" s="219">
        <f>IFERROR(
IF(S36 = TRUE,
VLOOKUP(R36,vote4OVERLORD!B:G,6,FALSE),0)
,0)</f>
        <v>0</v>
      </c>
      <c r="R36" s="219"/>
      <c r="S36" s="261" t="b">
        <v>0</v>
      </c>
      <c r="T36" s="83"/>
      <c r="U36" s="65" t="b">
        <v>0</v>
      </c>
      <c r="V36" s="94" t="str">
        <f>IFERROR(__xludf.DUMMYFUNCTION(" IFERROR(
(FILTER(Monsters!$AQ:$AQ, Monsters!$A:$A = T36 , Monsters!$D:$D  = $U$3, Monsters!$B:$B = ""Master"")
*
SWITCH(
COUNTA($C$3,$J$3,$C$25,$J$25),
2,FILTER(Monsters!$AJ:$AJ, Monsters!$A:$A = T36 , Monsters!$D:$D  = $U$3, Monsters!$B:$B = ""Master"")"&amp;",
3,FILTER(Monsters!$AL:$AL, Monsters!$A:$A = T36 , Monsters!$D:$D  = $U$3, Monsters!$B:$B = ""Master""),
4,FILTER(Monsters!$AN:$AN, Monsters!$A:$A = T36 , Monsters!$D:$D  = $U$3, Monsters!$B:$B = ""Master""),
))
+
(FILTER(Monsters!$AQ:$AQ, Monsters!$A:$A"&amp;" = T36 , Monsters!$D:$D  = $U$3, Monsters!$B:$B = ""Minion"")
*
SWITCH(
COUNTA($C$3,$J$3,$C$25,$J$25),
2,FILTER(Monsters!$AJ:$AJ, Monsters!$A:$A = T36 , Monsters!$D:$D  = $U$3, Monsters!$B:$B = ""Minion""),
3,FILTER(Monsters!$AL:$AL, Monsters!$A:$A = T36 "&amp;", Monsters!$D:$D  = $U$3, Monsters!$B:$B = ""Minion""),
4,FILTER(Monsters!$AN:$AN, Monsters!$A:$A = T36 , Monsters!$D:$D  = $U$3, Monsters!$B:$B = ""Minion""),
))
,
)"),"")</f>
        <v/>
      </c>
      <c r="W36" s="83" t="str">
        <f>IFERROR(__xludf.DUMMYFUNCTION(" IFERROR(
CONCATENATE(
SWITCH(
COUNTA($C$3,$J$3,$C$25,$J$25),
2,FILTER(Monsters!$AJ:$AJ, Monsters!$A:$A = T36 , Monsters!$D:$D  = $U$3, Monsters!$B:$B = ""Master""),
3,FILTER(Monsters!$AL:$AL, Monsters!$A:$A = T36 , Monsters!$D:$D  = $U$3, Monsters!$B:$B "&amp;"= ""Master""),
4,FILTER(Monsters!$AN:$AN, Monsters!$A:$A = T36 , Monsters!$D:$D  = $U$3, Monsters!$B:$B = ""Master""),
)
,
""/""
,
SWITCH(
COUNTA($C$3,$J$3,$C$25,$J$25),
2,FILTER(Monsters!$AJ:$AJ, Monsters!$A:$A = T36 , Monsters!$D:$D  = $U$3, Monsters!"&amp;"$B:$B = ""Minion""),
3,FILTER(Monsters!$AL:$AL, Monsters!$A:$A = T36 , Monsters!$D:$D  = $U$3, Monsters!$B:$B = ""Minion""),
4,FILTER(Monsters!$AN:$AN, Monsters!$A:$A = T36 , Monsters!$D:$D  = $U$3, Monsters!$B:$B = ""Minion""),
)
)
)"),"")</f>
        <v/>
      </c>
      <c r="X36" s="65"/>
      <c r="Y36" s="83"/>
      <c r="Z36" s="83"/>
      <c r="AA36" s="83"/>
      <c r="AB36" s="83"/>
    </row>
    <row r="37">
      <c r="B37" s="53"/>
      <c r="C37" s="198"/>
      <c r="D37" s="232">
        <f>IFERROR(VLOOKUP(C37,'Shop Items'!$C:$W,21,FALSE),0)</f>
        <v>0</v>
      </c>
      <c r="E37" s="118">
        <f>IFERROR(
IF(G37 = TRUE,
VLOOKUP(F37,Classes!$C:$H,6,FALSE),0)
,0)</f>
        <v>0</v>
      </c>
      <c r="F37" s="58" t="str">
        <f>IFERROR(__xludf.DUMMYFUNCTION("""COMPUTED_VALUE"""),"Bushwhack")</f>
        <v>Bushwhack</v>
      </c>
      <c r="G37" s="232" t="b">
        <v>0</v>
      </c>
      <c r="I37" s="53"/>
      <c r="J37" s="198"/>
      <c r="K37" s="232">
        <f>IFERROR(VLOOKUP(J37,'Shop Items'!$C:$W,21,FALSE),0)</f>
        <v>0</v>
      </c>
      <c r="L37" s="118">
        <f>IFERROR(
IF(N37 = TRUE,
VLOOKUP(M37,Classes!$C:$H,6,FALSE),0)
,0)</f>
        <v>0</v>
      </c>
      <c r="M37" s="58"/>
      <c r="N37" s="232" t="b">
        <v>0</v>
      </c>
      <c r="P37" s="53"/>
      <c r="Q37" s="219">
        <f>IFERROR(
IF(S37 = TRUE,
VLOOKUP(R37,vote4OVERLORD!B:G,6,FALSE),0)
,0)</f>
        <v>0</v>
      </c>
      <c r="R37" s="219"/>
      <c r="S37" s="261" t="b">
        <v>0</v>
      </c>
      <c r="T37" s="83"/>
      <c r="U37" s="83" t="b">
        <v>0</v>
      </c>
      <c r="V37" s="94" t="str">
        <f>IFERROR(__xludf.DUMMYFUNCTION(" IFERROR(
(FILTER(Monsters!$AQ:$AQ, Monsters!$A:$A = T37 , Monsters!$D:$D  = $U$3, Monsters!$B:$B = ""Master"")
*
SWITCH(
COUNTA($C$3,$J$3,$C$25,$J$25),
2,FILTER(Monsters!$AJ:$AJ, Monsters!$A:$A = T37 , Monsters!$D:$D  = $U$3, Monsters!$B:$B = ""Master"")"&amp;",
3,FILTER(Monsters!$AL:$AL, Monsters!$A:$A = T37 , Monsters!$D:$D  = $U$3, Monsters!$B:$B = ""Master""),
4,FILTER(Monsters!$AN:$AN, Monsters!$A:$A = T37 , Monsters!$D:$D  = $U$3, Monsters!$B:$B = ""Master""),
))
+
(FILTER(Monsters!$AQ:$AQ, Monsters!$A:$A"&amp;" = T37 , Monsters!$D:$D  = $U$3, Monsters!$B:$B = ""Minion"")
*
SWITCH(
COUNTA($C$3,$J$3,$C$25,$J$25),
2,FILTER(Monsters!$AJ:$AJ, Monsters!$A:$A = T37 , Monsters!$D:$D  = $U$3, Monsters!$B:$B = ""Minion""),
3,FILTER(Monsters!$AL:$AL, Monsters!$A:$A = T37 "&amp;", Monsters!$D:$D  = $U$3, Monsters!$B:$B = ""Minion""),
4,FILTER(Monsters!$AN:$AN, Monsters!$A:$A = T37 , Monsters!$D:$D  = $U$3, Monsters!$B:$B = ""Minion""),
))
,
)"),"")</f>
        <v/>
      </c>
      <c r="W37" s="83" t="str">
        <f>IFERROR(__xludf.DUMMYFUNCTION(" IFERROR(
CONCATENATE(
SWITCH(
COUNTA($C$3,$J$3,$C$25,$J$25),
2,FILTER(Monsters!$AJ:$AJ, Monsters!$A:$A = T37 , Monsters!$D:$D  = $U$3, Monsters!$B:$B = ""Master""),
3,FILTER(Monsters!$AL:$AL, Monsters!$A:$A = T37 , Monsters!$D:$D  = $U$3, Monsters!$B:$B "&amp;"= ""Master""),
4,FILTER(Monsters!$AN:$AN, Monsters!$A:$A = T37 , Monsters!$D:$D  = $U$3, Monsters!$B:$B = ""Master""),
)
,
""/""
,
SWITCH(
COUNTA($C$3,$J$3,$C$25,$J$25),
2,FILTER(Monsters!$AJ:$AJ, Monsters!$A:$A = T37 , Monsters!$D:$D  = $U$3, Monsters!"&amp;"$B:$B = ""Minion""),
3,FILTER(Monsters!$AL:$AL, Monsters!$A:$A = T37 , Monsters!$D:$D  = $U$3, Monsters!$B:$B = ""Minion""),
4,FILTER(Monsters!$AN:$AN, Monsters!$A:$A = T37 , Monsters!$D:$D  = $U$3, Monsters!$B:$B = ""Minion""),
)
)
)"),"")</f>
        <v/>
      </c>
      <c r="X37" s="83"/>
      <c r="Y37" s="83"/>
      <c r="Z37" s="83"/>
      <c r="AA37" s="83"/>
      <c r="AB37" s="83"/>
    </row>
    <row r="38">
      <c r="B38" s="53"/>
      <c r="C38" s="198"/>
      <c r="D38" s="232">
        <f>IFERROR(VLOOKUP(C38,'Shop Items'!$C:$W,21,FALSE),0)</f>
        <v>0</v>
      </c>
      <c r="E38" s="118">
        <f>IFERROR(
IF(G38 = TRUE,
VLOOKUP(F38,Classes!$C:$H,6,FALSE),0)
,0)</f>
        <v>0</v>
      </c>
      <c r="F38" s="204"/>
      <c r="G38" s="232" t="b">
        <v>0</v>
      </c>
      <c r="I38" s="53"/>
      <c r="J38" s="198"/>
      <c r="K38" s="232">
        <f>IFERROR(VLOOKUP(J38,'Shop Items'!$C:$W,21,FALSE),0)</f>
        <v>0</v>
      </c>
      <c r="L38" s="118">
        <f>IFERROR(
IF(N38 = TRUE,
VLOOKUP(M38,Classes!$C:$H,6,FALSE),0)
,0)</f>
        <v>0</v>
      </c>
      <c r="M38" s="204"/>
      <c r="N38" s="232" t="b">
        <v>0</v>
      </c>
      <c r="P38" s="53"/>
      <c r="Q38" s="219">
        <f>IFERROR(
IF(S38 = TRUE,
VLOOKUP(R38,vote4OVERLORD!B:G,6,FALSE),0)
,0)</f>
        <v>0</v>
      </c>
      <c r="R38" s="219"/>
      <c r="S38" s="261" t="b">
        <v>0</v>
      </c>
      <c r="T38" s="83"/>
      <c r="U38" s="83" t="b">
        <v>0</v>
      </c>
      <c r="V38" s="94" t="str">
        <f>IFERROR(__xludf.DUMMYFUNCTION(" IFERROR(
(FILTER(Monsters!$AQ:$AQ, Monsters!$A:$A = T38 , Monsters!$D:$D  = $U$3, Monsters!$B:$B = ""Master"")
*
SWITCH(
COUNTA($C$3,$J$3,$C$25,$J$25),
2,FILTER(Monsters!$AJ:$AJ, Monsters!$A:$A = T38 , Monsters!$D:$D  = $U$3, Monsters!$B:$B = ""Master"")"&amp;",
3,FILTER(Monsters!$AL:$AL, Monsters!$A:$A = T38 , Monsters!$D:$D  = $U$3, Monsters!$B:$B = ""Master""),
4,FILTER(Monsters!$AN:$AN, Monsters!$A:$A = T38 , Monsters!$D:$D  = $U$3, Monsters!$B:$B = ""Master""),
))
+
(FILTER(Monsters!$AQ:$AQ, Monsters!$A:$A"&amp;" = T38 , Monsters!$D:$D  = $U$3, Monsters!$B:$B = ""Minion"")
*
SWITCH(
COUNTA($C$3,$J$3,$C$25,$J$25),
2,FILTER(Monsters!$AJ:$AJ, Monsters!$A:$A = T38 , Monsters!$D:$D  = $U$3, Monsters!$B:$B = ""Minion""),
3,FILTER(Monsters!$AL:$AL, Monsters!$A:$A = T38 "&amp;", Monsters!$D:$D  = $U$3, Monsters!$B:$B = ""Minion""),
4,FILTER(Monsters!$AN:$AN, Monsters!$A:$A = T38 , Monsters!$D:$D  = $U$3, Monsters!$B:$B = ""Minion""),
))
,
)"),"")</f>
        <v/>
      </c>
      <c r="W38" s="83" t="str">
        <f>IFERROR(__xludf.DUMMYFUNCTION(" IFERROR(
CONCATENATE(
SWITCH(
COUNTA($C$3,$J$3,$C$25,$J$25),
2,FILTER(Monsters!$AJ:$AJ, Monsters!$A:$A = T38 , Monsters!$D:$D  = $U$3, Monsters!$B:$B = ""Master""),
3,FILTER(Monsters!$AL:$AL, Monsters!$A:$A = T38 , Monsters!$D:$D  = $U$3, Monsters!$B:$B "&amp;"= ""Master""),
4,FILTER(Monsters!$AN:$AN, Monsters!$A:$A = T38 , Monsters!$D:$D  = $U$3, Monsters!$B:$B = ""Master""),
)
,
""/""
,
SWITCH(
COUNTA($C$3,$J$3,$C$25,$J$25),
2,FILTER(Monsters!$AJ:$AJ, Monsters!$A:$A = T38 , Monsters!$D:$D  = $U$3, Monsters!"&amp;"$B:$B = ""Minion""),
3,FILTER(Monsters!$AL:$AL, Monsters!$A:$A = T38 , Monsters!$D:$D  = $U$3, Monsters!$B:$B = ""Minion""),
4,FILTER(Monsters!$AN:$AN, Monsters!$A:$A = T38 , Monsters!$D:$D  = $U$3, Monsters!$B:$B = ""Minion""),
)
)
)"),"")</f>
        <v/>
      </c>
      <c r="X38" s="83"/>
      <c r="Y38" s="83"/>
      <c r="Z38" s="83"/>
      <c r="AA38" s="83"/>
      <c r="AB38" s="83"/>
    </row>
    <row r="39">
      <c r="B39" s="53"/>
      <c r="C39" s="198"/>
      <c r="D39" s="232">
        <f>IFERROR(VLOOKUP(C39,'Shop Items'!$C:$W,21,FALSE),0)</f>
        <v>0</v>
      </c>
      <c r="E39" s="118">
        <f>IFERROR(
IF(G39 = TRUE,
VLOOKUP(F39,Classes!$C:$H,6,FALSE),0)
,0)</f>
        <v>0</v>
      </c>
      <c r="F39" s="204"/>
      <c r="G39" s="232" t="b">
        <v>0</v>
      </c>
      <c r="I39" s="53"/>
      <c r="J39" s="198"/>
      <c r="K39" s="232">
        <f>IFERROR(VLOOKUP(J39,'Shop Items'!$C:$W,21,FALSE),0)</f>
        <v>0</v>
      </c>
      <c r="L39" s="118">
        <f>IFERROR(
IF(N39 = TRUE,
VLOOKUP(M39,Classes!$C:$H,6,FALSE),0)
,0)</f>
        <v>0</v>
      </c>
      <c r="M39" s="204"/>
      <c r="N39" s="232" t="b">
        <v>0</v>
      </c>
      <c r="P39" s="53"/>
      <c r="Q39" s="219">
        <f>IFERROR(
IF(S39 = TRUE,
VLOOKUP(R39,vote4OVERLORD!B:G,6,FALSE),0)
,0)</f>
        <v>0</v>
      </c>
      <c r="R39" s="219"/>
      <c r="S39" s="261" t="b">
        <v>0</v>
      </c>
      <c r="T39" s="83"/>
      <c r="U39" s="65" t="b">
        <v>0</v>
      </c>
      <c r="V39" s="94" t="str">
        <f>IFERROR(__xludf.DUMMYFUNCTION(" IFERROR(
(FILTER(Monsters!$AQ:$AQ, Monsters!$A:$A = T39 , Monsters!$D:$D  = $U$3, Monsters!$B:$B = ""Master"")
*
SWITCH(
COUNTA($C$3,$J$3,$C$25,$J$25),
2,FILTER(Monsters!$AJ:$AJ, Monsters!$A:$A = T39 , Monsters!$D:$D  = $U$3, Monsters!$B:$B = ""Master"")"&amp;",
3,FILTER(Monsters!$AL:$AL, Monsters!$A:$A = T39 , Monsters!$D:$D  = $U$3, Monsters!$B:$B = ""Master""),
4,FILTER(Monsters!$AN:$AN, Monsters!$A:$A = T39 , Monsters!$D:$D  = $U$3, Monsters!$B:$B = ""Master""),
))
+
(FILTER(Monsters!$AQ:$AQ, Monsters!$A:$A"&amp;" = T39 , Monsters!$D:$D  = $U$3, Monsters!$B:$B = ""Minion"")
*
SWITCH(
COUNTA($C$3,$J$3,$C$25,$J$25),
2,FILTER(Monsters!$AJ:$AJ, Monsters!$A:$A = T39 , Monsters!$D:$D  = $U$3, Monsters!$B:$B = ""Minion""),
3,FILTER(Monsters!$AL:$AL, Monsters!$A:$A = T39 "&amp;", Monsters!$D:$D  = $U$3, Monsters!$B:$B = ""Minion""),
4,FILTER(Monsters!$AN:$AN, Monsters!$A:$A = T39 , Monsters!$D:$D  = $U$3, Monsters!$B:$B = ""Minion""),
))
,
)"),"")</f>
        <v/>
      </c>
      <c r="W39" s="83" t="str">
        <f>IFERROR(__xludf.DUMMYFUNCTION(" IFERROR(
CONCATENATE(
SWITCH(
COUNTA($C$3,$J$3,$C$25,$J$25),
2,FILTER(Monsters!$AJ:$AJ, Monsters!$A:$A = T39 , Monsters!$D:$D  = $U$3, Monsters!$B:$B = ""Master""),
3,FILTER(Monsters!$AL:$AL, Monsters!$A:$A = T39 , Monsters!$D:$D  = $U$3, Monsters!$B:$B "&amp;"= ""Master""),
4,FILTER(Monsters!$AN:$AN, Monsters!$A:$A = T39 , Monsters!$D:$D  = $U$3, Monsters!$B:$B = ""Master""),
)
,
""/""
,
SWITCH(
COUNTA($C$3,$J$3,$C$25,$J$25),
2,FILTER(Monsters!$AJ:$AJ, Monsters!$A:$A = T39 , Monsters!$D:$D  = $U$3, Monsters!"&amp;"$B:$B = ""Minion""),
3,FILTER(Monsters!$AL:$AL, Monsters!$A:$A = T39 , Monsters!$D:$D  = $U$3, Monsters!$B:$B = ""Minion""),
4,FILTER(Monsters!$AN:$AN, Monsters!$A:$A = T39 , Monsters!$D:$D  = $U$3, Monsters!$B:$B = ""Minion""),
)
)
)"),"")</f>
        <v/>
      </c>
      <c r="X39" s="65"/>
      <c r="Y39" s="83"/>
      <c r="Z39" s="83"/>
      <c r="AA39" s="83"/>
      <c r="AB39" s="83"/>
    </row>
    <row r="40">
      <c r="B40" s="53"/>
      <c r="C40" s="248"/>
      <c r="D40" s="232">
        <f>IFERROR(VLOOKUP(C40,'Shop Items'!$C:$W,21,FALSE),0)</f>
        <v>0</v>
      </c>
      <c r="E40" s="118">
        <f>IFERROR(
IF(G40 = TRUE,
VLOOKUP(F40,Classes!$C:$H,6,FALSE),0)
,0)</f>
        <v>0</v>
      </c>
      <c r="F40" s="204"/>
      <c r="G40" s="232" t="b">
        <v>0</v>
      </c>
      <c r="I40" s="53"/>
      <c r="J40" s="248"/>
      <c r="K40" s="232">
        <f>IFERROR(VLOOKUP(J40,'Shop Items'!$C:$W,21,FALSE),0)</f>
        <v>0</v>
      </c>
      <c r="L40" s="118">
        <f>IFERROR(
IF(N40 = TRUE,
VLOOKUP(M40,Classes!$C:$H,6,FALSE),0)
,0)</f>
        <v>0</v>
      </c>
      <c r="M40" s="204"/>
      <c r="N40" s="232" t="b">
        <v>0</v>
      </c>
      <c r="P40" s="53"/>
      <c r="Q40" s="219">
        <f>IFERROR(
IF(S40 = TRUE,
VLOOKUP(R40,vote4OVERLORD!B:G,6,FALSE),0)
,0)</f>
        <v>0</v>
      </c>
      <c r="R40" s="219"/>
      <c r="S40" s="261" t="b">
        <v>0</v>
      </c>
      <c r="T40" s="83"/>
      <c r="U40" s="65" t="b">
        <v>0</v>
      </c>
      <c r="V40" s="94" t="str">
        <f>IFERROR(__xludf.DUMMYFUNCTION(" IFERROR(
(FILTER(Monsters!$AQ:$AQ, Monsters!$A:$A = T40 , Monsters!$D:$D  = $U$3, Monsters!$B:$B = ""Master"")
*
SWITCH(
COUNTA($C$3,$J$3,$C$25,$J$25),
2,FILTER(Monsters!$AJ:$AJ, Monsters!$A:$A = T40 , Monsters!$D:$D  = $U$3, Monsters!$B:$B = ""Master"")"&amp;",
3,FILTER(Monsters!$AL:$AL, Monsters!$A:$A = T40 , Monsters!$D:$D  = $U$3, Monsters!$B:$B = ""Master""),
4,FILTER(Monsters!$AN:$AN, Monsters!$A:$A = T40 , Monsters!$D:$D  = $U$3, Monsters!$B:$B = ""Master""),
))
+
(FILTER(Monsters!$AQ:$AQ, Monsters!$A:$A"&amp;" = T40 , Monsters!$D:$D  = $U$3, Monsters!$B:$B = ""Minion"")
*
SWITCH(
COUNTA($C$3,$J$3,$C$25,$J$25),
2,FILTER(Monsters!$AJ:$AJ, Monsters!$A:$A = T40 , Monsters!$D:$D  = $U$3, Monsters!$B:$B = ""Minion""),
3,FILTER(Monsters!$AL:$AL, Monsters!$A:$A = T40 "&amp;", Monsters!$D:$D  = $U$3, Monsters!$B:$B = ""Minion""),
4,FILTER(Monsters!$AN:$AN, Monsters!$A:$A = T40 , Monsters!$D:$D  = $U$3, Monsters!$B:$B = ""Minion""),
))
,
)"),"")</f>
        <v/>
      </c>
      <c r="W40" s="83" t="str">
        <f>IFERROR(__xludf.DUMMYFUNCTION(" IFERROR(
CONCATENATE(
SWITCH(
COUNTA($C$3,$J$3,$C$25,$J$25),
2,FILTER(Monsters!$AJ:$AJ, Monsters!$A:$A = T40 , Monsters!$D:$D  = $U$3, Monsters!$B:$B = ""Master""),
3,FILTER(Monsters!$AL:$AL, Monsters!$A:$A = T40 , Monsters!$D:$D  = $U$3, Monsters!$B:$B "&amp;"= ""Master""),
4,FILTER(Monsters!$AN:$AN, Monsters!$A:$A = T40 , Monsters!$D:$D  = $U$3, Monsters!$B:$B = ""Master""),
)
,
""/""
,
SWITCH(
COUNTA($C$3,$J$3,$C$25,$J$25),
2,FILTER(Monsters!$AJ:$AJ, Monsters!$A:$A = T40 , Monsters!$D:$D  = $U$3, Monsters!"&amp;"$B:$B = ""Minion""),
3,FILTER(Monsters!$AL:$AL, Monsters!$A:$A = T40 , Monsters!$D:$D  = $U$3, Monsters!$B:$B = ""Minion""),
4,FILTER(Monsters!$AN:$AN, Monsters!$A:$A = T40 , Monsters!$D:$D  = $U$3, Monsters!$B:$B = ""Minion""),
)
)
)"),"")</f>
        <v/>
      </c>
      <c r="X40" s="65"/>
      <c r="Y40" s="83"/>
      <c r="Z40" s="83"/>
      <c r="AA40" s="83"/>
      <c r="AB40" s="83"/>
    </row>
    <row r="41">
      <c r="B41" s="53"/>
      <c r="C41" s="249" t="s">
        <v>1438</v>
      </c>
      <c r="D41" s="140"/>
      <c r="E41" s="118">
        <f>IFERROR(
IF(G41 = TRUE,
VLOOKUP(F41,Classes!$C:$H,6,FALSE),0)
,0)</f>
        <v>0</v>
      </c>
      <c r="F41" s="250"/>
      <c r="G41" s="232" t="b">
        <v>0</v>
      </c>
      <c r="I41" s="53"/>
      <c r="J41" s="249" t="s">
        <v>1438</v>
      </c>
      <c r="K41" s="140"/>
      <c r="L41" s="118">
        <f>IFERROR(
IF(N41 = TRUE,
VLOOKUP(M41,Classes!$C:$H,6,FALSE),0)
,0)</f>
        <v>0</v>
      </c>
      <c r="M41" s="250"/>
      <c r="N41" s="232" t="b">
        <v>0</v>
      </c>
      <c r="P41" s="53"/>
      <c r="Q41" s="219">
        <f>IFERROR(
IF(S41 = TRUE,
VLOOKUP(R41,vote4OVERLORD!B:G,6,FALSE),0)
,0)</f>
        <v>0</v>
      </c>
      <c r="R41" s="219"/>
      <c r="S41" s="261" t="b">
        <v>0</v>
      </c>
      <c r="T41" s="83"/>
      <c r="U41" s="65" t="b">
        <v>0</v>
      </c>
      <c r="V41" s="94" t="str">
        <f>IFERROR(__xludf.DUMMYFUNCTION(" IFERROR(
(FILTER(Monsters!$AQ:$AQ, Monsters!$A:$A = T41 , Monsters!$D:$D  = $U$3, Monsters!$B:$B = ""Master"")
*
SWITCH(
COUNTA($C$3,$J$3,$C$25,$J$25),
2,FILTER(Monsters!$AJ:$AJ, Monsters!$A:$A = T41 , Monsters!$D:$D  = $U$3, Monsters!$B:$B = ""Master"")"&amp;",
3,FILTER(Monsters!$AL:$AL, Monsters!$A:$A = T41 , Monsters!$D:$D  = $U$3, Monsters!$B:$B = ""Master""),
4,FILTER(Monsters!$AN:$AN, Monsters!$A:$A = T41 , Monsters!$D:$D  = $U$3, Monsters!$B:$B = ""Master""),
))
+
(FILTER(Monsters!$AQ:$AQ, Monsters!$A:$A"&amp;" = T41 , Monsters!$D:$D  = $U$3, Monsters!$B:$B = ""Minion"")
*
SWITCH(
COUNTA($C$3,$J$3,$C$25,$J$25),
2,FILTER(Monsters!$AJ:$AJ, Monsters!$A:$A = T41 , Monsters!$D:$D  = $U$3, Monsters!$B:$B = ""Minion""),
3,FILTER(Monsters!$AL:$AL, Monsters!$A:$A = T41 "&amp;", Monsters!$D:$D  = $U$3, Monsters!$B:$B = ""Minion""),
4,FILTER(Monsters!$AN:$AN, Monsters!$A:$A = T41 , Monsters!$D:$D  = $U$3, Monsters!$B:$B = ""Minion""),
))
,
)"),"")</f>
        <v/>
      </c>
      <c r="W41" s="83" t="str">
        <f>IFERROR(__xludf.DUMMYFUNCTION(" IFERROR(
CONCATENATE(
SWITCH(
COUNTA($C$3,$J$3,$C$25,$J$25),
2,FILTER(Monsters!$AJ:$AJ, Monsters!$A:$A = T41 , Monsters!$D:$D  = $U$3, Monsters!$B:$B = ""Master""),
3,FILTER(Monsters!$AL:$AL, Monsters!$A:$A = T41 , Monsters!$D:$D  = $U$3, Monsters!$B:$B "&amp;"= ""Master""),
4,FILTER(Monsters!$AN:$AN, Monsters!$A:$A = T41 , Monsters!$D:$D  = $U$3, Monsters!$B:$B = ""Master""),
)
,
""/""
,
SWITCH(
COUNTA($C$3,$J$3,$C$25,$J$25),
2,FILTER(Monsters!$AJ:$AJ, Monsters!$A:$A = T41 , Monsters!$D:$D  = $U$3, Monsters!"&amp;"$B:$B = ""Minion""),
3,FILTER(Monsters!$AL:$AL, Monsters!$A:$A = T41 , Monsters!$D:$D  = $U$3, Monsters!$B:$B = ""Minion""),
4,FILTER(Monsters!$AN:$AN, Monsters!$A:$A = T41 , Monsters!$D:$D  = $U$3, Monsters!$B:$B = ""Minion""),
)
)
)"),"")</f>
        <v/>
      </c>
      <c r="X41" s="65"/>
      <c r="Y41" s="83"/>
      <c r="Z41" s="83"/>
      <c r="AA41" s="83"/>
      <c r="AB41" s="83"/>
    </row>
    <row r="42">
      <c r="B42" s="53"/>
      <c r="C42" s="250" t="str">
        <f>IFERROR(__xludf.DUMMYFUNCTION("IFERROR(FILTER(Familiars!$B:$B,(Familiars!$A:$A = C25) + (Familiars!$A:$A = F25),
Familiars!$A:$A &lt;&gt; """"),)"),"")</f>
        <v/>
      </c>
      <c r="D42" s="140">
        <f>IFERROR(VLOOKUP(C42,Familiars!$B:$P,15,FALSE),0)</f>
        <v>0</v>
      </c>
      <c r="E42" s="118">
        <f>IFERROR(
IF(G42 = TRUE,
VLOOKUP(F42,Classes!$C:$H,6,FALSE),0)
,0)</f>
        <v>0</v>
      </c>
      <c r="F42" s="250"/>
      <c r="G42" s="232" t="b">
        <v>0</v>
      </c>
      <c r="I42" s="53"/>
      <c r="J42" s="250" t="str">
        <f>IFERROR(__xludf.DUMMYFUNCTION("IFERROR(FILTER(Familiars!$B:$B,(Familiars!$A:$A = J25) + (Familiars!$A:$A = M25),
Familiars!$A:$A &lt;&gt; """"),)"),"")</f>
        <v/>
      </c>
      <c r="K42" s="140">
        <f>IFERROR(VLOOKUP(J42,Familiars!$B:$P,15,FALSE),0)</f>
        <v>0</v>
      </c>
      <c r="L42" s="118">
        <f>IFERROR(
IF(N42 = TRUE,
VLOOKUP(M42,Classes!$C:$H,6,FALSE),0)
,0)</f>
        <v>0</v>
      </c>
      <c r="M42" s="250"/>
      <c r="N42" s="232" t="b">
        <v>0</v>
      </c>
      <c r="P42" s="53"/>
      <c r="Q42" s="219">
        <f>IFERROR(
IF(S42 = TRUE,
VLOOKUP(R42,vote4OVERLORD!B:G,6,FALSE),0)
,0)</f>
        <v>0</v>
      </c>
      <c r="R42" s="219"/>
      <c r="S42" s="261" t="b">
        <v>0</v>
      </c>
      <c r="T42" s="83"/>
      <c r="U42" s="83" t="b">
        <v>0</v>
      </c>
      <c r="V42" s="94" t="str">
        <f>IFERROR(__xludf.DUMMYFUNCTION(" IFERROR(
(FILTER(Monsters!$AQ:$AQ, Monsters!$A:$A = T42 , Monsters!$D:$D  = $U$3, Monsters!$B:$B = ""Master"")
*
SWITCH(
COUNTA($C$3,$J$3,$C$25,$J$25),
2,FILTER(Monsters!$AJ:$AJ, Monsters!$A:$A = T42 , Monsters!$D:$D  = $U$3, Monsters!$B:$B = ""Master"")"&amp;",
3,FILTER(Monsters!$AL:$AL, Monsters!$A:$A = T42 , Monsters!$D:$D  = $U$3, Monsters!$B:$B = ""Master""),
4,FILTER(Monsters!$AN:$AN, Monsters!$A:$A = T42 , Monsters!$D:$D  = $U$3, Monsters!$B:$B = ""Master""),
))
+
(FILTER(Monsters!$AQ:$AQ, Monsters!$A:$A"&amp;" = T42 , Monsters!$D:$D  = $U$3, Monsters!$B:$B = ""Minion"")
*
SWITCH(
COUNTA($C$3,$J$3,$C$25,$J$25),
2,FILTER(Monsters!$AJ:$AJ, Monsters!$A:$A = T42 , Monsters!$D:$D  = $U$3, Monsters!$B:$B = ""Minion""),
3,FILTER(Monsters!$AL:$AL, Monsters!$A:$A = T42 "&amp;", Monsters!$D:$D  = $U$3, Monsters!$B:$B = ""Minion""),
4,FILTER(Monsters!$AN:$AN, Monsters!$A:$A = T42 , Monsters!$D:$D  = $U$3, Monsters!$B:$B = ""Minion""),
))
,
)"),"")</f>
        <v/>
      </c>
      <c r="W42" s="83" t="str">
        <f>IFERROR(__xludf.DUMMYFUNCTION(" IFERROR(
CONCATENATE(
SWITCH(
COUNTA($C$3,$J$3,$C$25,$J$25),
2,FILTER(Monsters!$AJ:$AJ, Monsters!$A:$A = T42 , Monsters!$D:$D  = $U$3, Monsters!$B:$B = ""Master""),
3,FILTER(Monsters!$AL:$AL, Monsters!$A:$A = T42 , Monsters!$D:$D  = $U$3, Monsters!$B:$B "&amp;"= ""Master""),
4,FILTER(Monsters!$AN:$AN, Monsters!$A:$A = T42 , Monsters!$D:$D  = $U$3, Monsters!$B:$B = ""Master""),
)
,
""/""
,
SWITCH(
COUNTA($C$3,$J$3,$C$25,$J$25),
2,FILTER(Monsters!$AJ:$AJ, Monsters!$A:$A = T42 , Monsters!$D:$D  = $U$3, Monsters!"&amp;"$B:$B = ""Minion""),
3,FILTER(Monsters!$AL:$AL, Monsters!$A:$A = T42 , Monsters!$D:$D  = $U$3, Monsters!$B:$B = ""Minion""),
4,FILTER(Monsters!$AN:$AN, Monsters!$A:$A = T42 , Monsters!$D:$D  = $U$3, Monsters!$B:$B = ""Minion""),
)
)
)"),"")</f>
        <v/>
      </c>
      <c r="X42" s="83"/>
      <c r="Y42" s="83"/>
      <c r="Z42" s="83"/>
      <c r="AA42" s="83"/>
      <c r="AB42" s="83"/>
    </row>
    <row r="43">
      <c r="B43" s="52"/>
      <c r="C43" s="256"/>
      <c r="D43" s="140">
        <f>IFERROR(VLOOKUP(C43,Familiars!$B:$P,15,FALSE),0)</f>
        <v>0</v>
      </c>
      <c r="E43" s="118">
        <f>IFERROR(
IF(G43 = TRUE,
VLOOKUP(F43,Classes!$C:$H,6,FALSE),0)
,0)</f>
        <v>0</v>
      </c>
      <c r="F43" s="256"/>
      <c r="G43" s="257" t="b">
        <v>0</v>
      </c>
      <c r="I43" s="52"/>
      <c r="J43" s="256"/>
      <c r="K43" s="140">
        <f>IFERROR(VLOOKUP(J43,Familiars!$B:$P,15,FALSE),0)</f>
        <v>0</v>
      </c>
      <c r="L43" s="118">
        <f>IFERROR(
IF(N43 = TRUE,
VLOOKUP(M43,Classes!$C:$H,6,FALSE),0)
,0)</f>
        <v>0</v>
      </c>
      <c r="M43" s="256"/>
      <c r="N43" s="257" t="b">
        <v>0</v>
      </c>
      <c r="P43" s="52"/>
      <c r="Q43" s="252">
        <f>IFERROR(
IF(S43 = TRUE,
VLOOKUP(R43,vote4OVERLORD!B:G,6,FALSE),0)
,0)</f>
        <v>0</v>
      </c>
      <c r="R43" s="252"/>
      <c r="S43" s="263" t="b">
        <v>0</v>
      </c>
      <c r="T43" s="83"/>
      <c r="U43" s="65" t="b">
        <v>0</v>
      </c>
      <c r="V43" s="94" t="str">
        <f>IFERROR(__xludf.DUMMYFUNCTION(" IFERROR(
(FILTER(Monsters!$AQ:$AQ, Monsters!$A:$A = T43 , Monsters!$D:$D  = $U$3, Monsters!$B:$B = ""Master"")
*
SWITCH(
COUNTA($C$3,$J$3,$C$25,$J$25),
2,FILTER(Monsters!$AJ:$AJ, Monsters!$A:$A = T43 , Monsters!$D:$D  = $U$3, Monsters!$B:$B = ""Master"")"&amp;",
3,FILTER(Monsters!$AL:$AL, Monsters!$A:$A = T43 , Monsters!$D:$D  = $U$3, Monsters!$B:$B = ""Master""),
4,FILTER(Monsters!$AN:$AN, Monsters!$A:$A = T43 , Monsters!$D:$D  = $U$3, Monsters!$B:$B = ""Master""),
))
+
(FILTER(Monsters!$AQ:$AQ, Monsters!$A:$A"&amp;" = T43 , Monsters!$D:$D  = $U$3, Monsters!$B:$B = ""Minion"")
*
SWITCH(
COUNTA($C$3,$J$3,$C$25,$J$25),
2,FILTER(Monsters!$AJ:$AJ, Monsters!$A:$A = T43 , Monsters!$D:$D  = $U$3, Monsters!$B:$B = ""Minion""),
3,FILTER(Monsters!$AL:$AL, Monsters!$A:$A = T43 "&amp;", Monsters!$D:$D  = $U$3, Monsters!$B:$B = ""Minion""),
4,FILTER(Monsters!$AN:$AN, Monsters!$A:$A = T43 , Monsters!$D:$D  = $U$3, Monsters!$B:$B = ""Minion""),
))
,
)"),"")</f>
        <v/>
      </c>
      <c r="W43" s="83" t="str">
        <f>IFERROR(__xludf.DUMMYFUNCTION(" IFERROR(
CONCATENATE(
SWITCH(
COUNTA($C$3,$J$3,$C$25,$J$25),
2,FILTER(Monsters!$AJ:$AJ, Monsters!$A:$A = T43 , Monsters!$D:$D  = $U$3, Monsters!$B:$B = ""Master""),
3,FILTER(Monsters!$AL:$AL, Monsters!$A:$A = T43 , Monsters!$D:$D  = $U$3, Monsters!$B:$B "&amp;"= ""Master""),
4,FILTER(Monsters!$AN:$AN, Monsters!$A:$A = T43 , Monsters!$D:$D  = $U$3, Monsters!$B:$B = ""Master""),
)
,
""/""
,
SWITCH(
COUNTA($C$3,$J$3,$C$25,$J$25),
2,FILTER(Monsters!$AJ:$AJ, Monsters!$A:$A = T43 , Monsters!$D:$D  = $U$3, Monsters!"&amp;"$B:$B = ""Minion""),
3,FILTER(Monsters!$AL:$AL, Monsters!$A:$A = T43 , Monsters!$D:$D  = $U$3, Monsters!$B:$B = ""Minion""),
4,FILTER(Monsters!$AN:$AN, Monsters!$A:$A = T43 , Monsters!$D:$D  = $U$3, Monsters!$B:$B = ""Minion""),
)
)
)"),"")</f>
        <v/>
      </c>
      <c r="X43" s="65"/>
      <c r="Y43" s="83"/>
      <c r="Z43" s="83"/>
      <c r="AA43" s="83"/>
      <c r="AB43" s="83"/>
    </row>
    <row r="44">
      <c r="P44" s="83"/>
      <c r="Q44" s="83"/>
      <c r="R44" s="83"/>
      <c r="S44" s="83"/>
      <c r="T44" s="83"/>
      <c r="U44" s="83"/>
      <c r="V44" s="94" t="str">
        <f>IFERROR(__xludf.DUMMYFUNCTION(" IFERROR(
(FILTER(Monsters!$AQ:$AQ, Monsters!$A:$A = T44 , Monsters!$D:$D  = $U$3, Monsters!$B:$B = ""Master"")
*
SWITCH(
COUNTA($C$3,$J$3,$C$25,$J$25),
2,FILTER(Monsters!$AJ:$AJ, Monsters!$A:$A = T44 , Monsters!$D:$D  = $U$3, Monsters!$B:$B = ""Master"")"&amp;",
3,FILTER(Monsters!$AL:$AL, Monsters!$A:$A = T44 , Monsters!$D:$D  = $U$3, Monsters!$B:$B = ""Master""),
4,FILTER(Monsters!$AN:$AN, Monsters!$A:$A = T44 , Monsters!$D:$D  = $U$3, Monsters!$B:$B = ""Master""),
))
+
(FILTER(Monsters!$AQ:$AQ, Monsters!$A:$A"&amp;" = T44 , Monsters!$D:$D  = $U$3, Monsters!$B:$B = ""Minion"")
*
SWITCH(
COUNTA($C$3,$J$3,$C$25,$J$25),
2,FILTER(Monsters!$AJ:$AJ, Monsters!$A:$A = T44 , Monsters!$D:$D  = $U$3, Monsters!$B:$B = ""Minion""),
3,FILTER(Monsters!$AL:$AL, Monsters!$A:$A = T44 "&amp;", Monsters!$D:$D  = $U$3, Monsters!$B:$B = ""Minion""),
4,FILTER(Monsters!$AN:$AN, Monsters!$A:$A = T44 , Monsters!$D:$D  = $U$3, Monsters!$B:$B = ""Minion""),
))
,
)"),"")</f>
        <v/>
      </c>
      <c r="W44" s="83"/>
      <c r="X44" s="83"/>
      <c r="Y44" s="83"/>
      <c r="Z44" s="83"/>
      <c r="AA44" s="83"/>
      <c r="AB44" s="83"/>
    </row>
    <row r="45">
      <c r="P45" s="83"/>
      <c r="Q45" s="83"/>
      <c r="R45" s="83"/>
      <c r="S45" s="83"/>
      <c r="T45" s="83"/>
      <c r="U45" s="83"/>
      <c r="V45" s="94" t="str">
        <f>IFERROR(__xludf.DUMMYFUNCTION(" IFERROR(
(FILTER(Monsters!$AQ:$AQ, Monsters!$A:$A = T45 , Monsters!$D:$D  = $U$3, Monsters!$B:$B = ""Master"")
*
SWITCH(
COUNTA($C$3,$J$3,$C$25,$J$25),
2,FILTER(Monsters!$AJ:$AJ, Monsters!$A:$A = T45 , Monsters!$D:$D  = $U$3, Monsters!$B:$B = ""Master"")"&amp;",
3,FILTER(Monsters!$AL:$AL, Monsters!$A:$A = T45 , Monsters!$D:$D  = $U$3, Monsters!$B:$B = ""Master""),
4,FILTER(Monsters!$AN:$AN, Monsters!$A:$A = T45 , Monsters!$D:$D  = $U$3, Monsters!$B:$B = ""Master""),
))
+
(FILTER(Monsters!$AQ:$AQ, Monsters!$A:$A"&amp;" = T45 , Monsters!$D:$D  = $U$3, Monsters!$B:$B = ""Minion"")
*
SWITCH(
COUNTA($C$3,$J$3,$C$25,$J$25),
2,FILTER(Monsters!$AJ:$AJ, Monsters!$A:$A = T45 , Monsters!$D:$D  = $U$3, Monsters!$B:$B = ""Minion""),
3,FILTER(Monsters!$AL:$AL, Monsters!$A:$A = T45 "&amp;", Monsters!$D:$D  = $U$3, Monsters!$B:$B = ""Minion""),
4,FILTER(Monsters!$AN:$AN, Monsters!$A:$A = T45 , Monsters!$D:$D  = $U$3, Monsters!$B:$B = ""Minion""),
))
,
)"),"")</f>
        <v/>
      </c>
      <c r="W45" s="83"/>
      <c r="X45" s="83"/>
      <c r="Y45" s="83"/>
      <c r="Z45" s="83"/>
      <c r="AA45" s="83"/>
      <c r="AB45" s="83"/>
    </row>
    <row r="46">
      <c r="P46" s="83"/>
      <c r="Q46" s="83"/>
      <c r="R46" s="83"/>
      <c r="S46" s="83"/>
      <c r="T46" s="83"/>
      <c r="U46" s="83"/>
      <c r="V46" s="94" t="str">
        <f>IFERROR(__xludf.DUMMYFUNCTION(" IFERROR(
(FILTER(Monsters!$AQ:$AQ, Monsters!$A:$A = T46 , Monsters!$D:$D  = $U$3, Monsters!$B:$B = ""Master"")
*
SWITCH(
COUNTA($C$3,$J$3,$C$25,$J$25),
2,FILTER(Monsters!$AJ:$AJ, Monsters!$A:$A = T46 , Monsters!$D:$D  = $U$3, Monsters!$B:$B = ""Master"")"&amp;",
3,FILTER(Monsters!$AL:$AL, Monsters!$A:$A = T46 , Monsters!$D:$D  = $U$3, Monsters!$B:$B = ""Master""),
4,FILTER(Monsters!$AN:$AN, Monsters!$A:$A = T46 , Monsters!$D:$D  = $U$3, Monsters!$B:$B = ""Master""),
))
+
(FILTER(Monsters!$AQ:$AQ, Monsters!$A:$A"&amp;" = T46 , Monsters!$D:$D  = $U$3, Monsters!$B:$B = ""Minion"")
*
SWITCH(
COUNTA($C$3,$J$3,$C$25,$J$25),
2,FILTER(Monsters!$AJ:$AJ, Monsters!$A:$A = T46 , Monsters!$D:$D  = $U$3, Monsters!$B:$B = ""Minion""),
3,FILTER(Monsters!$AL:$AL, Monsters!$A:$A = T46 "&amp;", Monsters!$D:$D  = $U$3, Monsters!$B:$B = ""Minion""),
4,FILTER(Monsters!$AN:$AN, Monsters!$A:$A = T46 , Monsters!$D:$D  = $U$3, Monsters!$B:$B = ""Minion""),
))
,
)"),"")</f>
        <v/>
      </c>
      <c r="W46" s="83"/>
      <c r="X46" s="83"/>
      <c r="Y46" s="83"/>
      <c r="Z46" s="83"/>
      <c r="AA46" s="83"/>
      <c r="AB46" s="83"/>
    </row>
    <row r="47">
      <c r="P47" s="83"/>
      <c r="Q47" s="83"/>
      <c r="R47" s="83"/>
      <c r="S47" s="83"/>
      <c r="T47" s="83"/>
      <c r="U47" s="83"/>
      <c r="V47" s="94" t="str">
        <f>IFERROR(__xludf.DUMMYFUNCTION(" IFERROR(
(FILTER(Monsters!$AQ:$AQ, Monsters!$A:$A = T47 , Monsters!$D:$D  = $U$3, Monsters!$B:$B = ""Master"")
*
SWITCH(
COUNTA($C$3,$J$3,$C$25,$J$25),
2,FILTER(Monsters!$AJ:$AJ, Monsters!$A:$A = T47 , Monsters!$D:$D  = $U$3, Monsters!$B:$B = ""Master"")"&amp;",
3,FILTER(Monsters!$AL:$AL, Monsters!$A:$A = T47 , Monsters!$D:$D  = $U$3, Monsters!$B:$B = ""Master""),
4,FILTER(Monsters!$AN:$AN, Monsters!$A:$A = T47 , Monsters!$D:$D  = $U$3, Monsters!$B:$B = ""Master""),
))
+
(FILTER(Monsters!$AQ:$AQ, Monsters!$A:$A"&amp;" = T47 , Monsters!$D:$D  = $U$3, Monsters!$B:$B = ""Minion"")
*
SWITCH(
COUNTA($C$3,$J$3,$C$25,$J$25),
2,FILTER(Monsters!$AJ:$AJ, Monsters!$A:$A = T47 , Monsters!$D:$D  = $U$3, Monsters!$B:$B = ""Minion""),
3,FILTER(Monsters!$AL:$AL, Monsters!$A:$A = T47 "&amp;", Monsters!$D:$D  = $U$3, Monsters!$B:$B = ""Minion""),
4,FILTER(Monsters!$AN:$AN, Monsters!$A:$A = T47 , Monsters!$D:$D  = $U$3, Monsters!$B:$B = ""Minion""),
))
,
)"),"")</f>
        <v/>
      </c>
      <c r="W47" s="83"/>
      <c r="X47" s="83"/>
      <c r="Y47" s="83"/>
      <c r="Z47" s="83"/>
      <c r="AA47" s="83"/>
      <c r="AB47" s="83"/>
    </row>
    <row r="48">
      <c r="P48" s="83"/>
      <c r="Q48" s="83"/>
      <c r="R48" s="83"/>
      <c r="S48" s="83"/>
      <c r="T48" s="83"/>
      <c r="U48" s="83"/>
      <c r="V48" s="94" t="str">
        <f>IFERROR(__xludf.DUMMYFUNCTION(" IFERROR(
(FILTER(Monsters!$AQ:$AQ, Monsters!$A:$A = T48 , Monsters!$D:$D  = $U$3, Monsters!$B:$B = ""Master"")
*
SWITCH(
COUNTA($C$3,$J$3,$C$25,$J$25),
2,FILTER(Monsters!$AJ:$AJ, Monsters!$A:$A = T48 , Monsters!$D:$D  = $U$3, Monsters!$B:$B = ""Master"")"&amp;",
3,FILTER(Monsters!$AL:$AL, Monsters!$A:$A = T48 , Monsters!$D:$D  = $U$3, Monsters!$B:$B = ""Master""),
4,FILTER(Monsters!$AN:$AN, Monsters!$A:$A = T48 , Monsters!$D:$D  = $U$3, Monsters!$B:$B = ""Master""),
))
+
(FILTER(Monsters!$AQ:$AQ, Monsters!$A:$A"&amp;" = T48 , Monsters!$D:$D  = $U$3, Monsters!$B:$B = ""Minion"")
*
SWITCH(
COUNTA($C$3,$J$3,$C$25,$J$25),
2,FILTER(Monsters!$AJ:$AJ, Monsters!$A:$A = T48 , Monsters!$D:$D  = $U$3, Monsters!$B:$B = ""Minion""),
3,FILTER(Monsters!$AL:$AL, Monsters!$A:$A = T48 "&amp;", Monsters!$D:$D  = $U$3, Monsters!$B:$B = ""Minion""),
4,FILTER(Monsters!$AN:$AN, Monsters!$A:$A = T48 , Monsters!$D:$D  = $U$3, Monsters!$B:$B = ""Minion""),
))
,
)"),"")</f>
        <v/>
      </c>
      <c r="W48" s="83"/>
      <c r="X48" s="83"/>
      <c r="Y48" s="83"/>
      <c r="Z48" s="83"/>
      <c r="AA48" s="83"/>
      <c r="AB48" s="83"/>
    </row>
    <row r="49">
      <c r="P49" s="83"/>
      <c r="Q49" s="83"/>
      <c r="R49" s="83"/>
      <c r="S49" s="83"/>
      <c r="T49" s="83"/>
      <c r="U49" s="83"/>
      <c r="V49" s="94" t="str">
        <f>IFERROR(__xludf.DUMMYFUNCTION(" IFERROR(
(FILTER(Monsters!$AQ:$AQ, Monsters!$A:$A = T49 , Monsters!$D:$D  = $U$3, Monsters!$B:$B = ""Master"")
*
SWITCH(
COUNTA($C$3,$J$3,$C$25,$J$25),
2,FILTER(Monsters!$AJ:$AJ, Monsters!$A:$A = T49 , Monsters!$D:$D  = $U$3, Monsters!$B:$B = ""Master"")"&amp;",
3,FILTER(Monsters!$AL:$AL, Monsters!$A:$A = T49 , Monsters!$D:$D  = $U$3, Monsters!$B:$B = ""Master""),
4,FILTER(Monsters!$AN:$AN, Monsters!$A:$A = T49 , Monsters!$D:$D  = $U$3, Monsters!$B:$B = ""Master""),
))
+
(FILTER(Monsters!$AQ:$AQ, Monsters!$A:$A"&amp;" = T49 , Monsters!$D:$D  = $U$3, Monsters!$B:$B = ""Minion"")
*
SWITCH(
COUNTA($C$3,$J$3,$C$25,$J$25),
2,FILTER(Monsters!$AJ:$AJ, Monsters!$A:$A = T49 , Monsters!$D:$D  = $U$3, Monsters!$B:$B = ""Minion""),
3,FILTER(Monsters!$AL:$AL, Monsters!$A:$A = T49 "&amp;", Monsters!$D:$D  = $U$3, Monsters!$B:$B = ""Minion""),
4,FILTER(Monsters!$AN:$AN, Monsters!$A:$A = T49 , Monsters!$D:$D  = $U$3, Monsters!$B:$B = ""Minion""),
))
,
)"),"")</f>
        <v/>
      </c>
      <c r="W49" s="83"/>
      <c r="X49" s="83"/>
      <c r="Y49" s="83"/>
      <c r="Z49" s="83"/>
      <c r="AA49" s="83"/>
      <c r="AB49" s="83"/>
    </row>
    <row r="50">
      <c r="P50" s="83"/>
      <c r="Q50" s="83"/>
      <c r="R50" s="83"/>
      <c r="S50" s="83"/>
      <c r="T50" s="83"/>
      <c r="U50" s="83"/>
      <c r="V50" s="94" t="str">
        <f>IFERROR(__xludf.DUMMYFUNCTION(" IFERROR(
(FILTER(Monsters!$AQ:$AQ, Monsters!$A:$A = T50 , Monsters!$D:$D  = $U$3, Monsters!$B:$B = ""Master"")
*
SWITCH(
COUNTA($C$3,$J$3,$C$25,$J$25),
2,FILTER(Monsters!$AJ:$AJ, Monsters!$A:$A = T50 , Monsters!$D:$D  = $U$3, Monsters!$B:$B = ""Master"")"&amp;",
3,FILTER(Monsters!$AL:$AL, Monsters!$A:$A = T50 , Monsters!$D:$D  = $U$3, Monsters!$B:$B = ""Master""),
4,FILTER(Monsters!$AN:$AN, Monsters!$A:$A = T50 , Monsters!$D:$D  = $U$3, Monsters!$B:$B = ""Master""),
))
+
(FILTER(Monsters!$AQ:$AQ, Monsters!$A:$A"&amp;" = T50 , Monsters!$D:$D  = $U$3, Monsters!$B:$B = ""Minion"")
*
SWITCH(
COUNTA($C$3,$J$3,$C$25,$J$25),
2,FILTER(Monsters!$AJ:$AJ, Monsters!$A:$A = T50 , Monsters!$D:$D  = $U$3, Monsters!$B:$B = ""Minion""),
3,FILTER(Monsters!$AL:$AL, Monsters!$A:$A = T50 "&amp;", Monsters!$D:$D  = $U$3, Monsters!$B:$B = ""Minion""),
4,FILTER(Monsters!$AN:$AN, Monsters!$A:$A = T50 , Monsters!$D:$D  = $U$3, Monsters!$B:$B = ""Minion""),
))
,
)"),"")</f>
        <v/>
      </c>
      <c r="W50" s="83"/>
      <c r="X50" s="83"/>
      <c r="Y50" s="83"/>
      <c r="Z50" s="83"/>
      <c r="AA50" s="83"/>
      <c r="AB50" s="83"/>
    </row>
    <row r="51">
      <c r="P51" s="83"/>
      <c r="Q51" s="83"/>
      <c r="R51" s="83"/>
      <c r="S51" s="83"/>
      <c r="T51" s="83"/>
      <c r="U51" s="83"/>
      <c r="V51" s="94"/>
      <c r="W51" s="83"/>
      <c r="X51" s="83"/>
      <c r="Y51" s="83"/>
      <c r="Z51" s="83"/>
      <c r="AA51" s="83"/>
      <c r="AB51" s="83"/>
    </row>
    <row r="52">
      <c r="P52" s="83"/>
      <c r="Q52" s="83"/>
      <c r="R52" s="83"/>
      <c r="S52" s="83"/>
      <c r="T52" s="83"/>
      <c r="U52" s="83"/>
      <c r="V52" s="94"/>
      <c r="W52" s="83"/>
      <c r="X52" s="83"/>
      <c r="Y52" s="83"/>
      <c r="Z52" s="83"/>
      <c r="AA52" s="83"/>
      <c r="AB52" s="83"/>
    </row>
    <row r="53">
      <c r="P53" s="83"/>
      <c r="Q53" s="83"/>
      <c r="R53" s="83"/>
      <c r="S53" s="83"/>
      <c r="T53" s="83"/>
      <c r="U53" s="83"/>
      <c r="V53" s="94"/>
      <c r="W53" s="83"/>
      <c r="X53" s="83"/>
      <c r="Y53" s="83"/>
      <c r="Z53" s="83"/>
      <c r="AA53" s="83"/>
      <c r="AB53" s="83"/>
    </row>
    <row r="54">
      <c r="P54" s="83"/>
      <c r="Q54" s="83"/>
      <c r="R54" s="83"/>
      <c r="S54" s="83"/>
      <c r="T54" s="83"/>
      <c r="U54" s="83"/>
      <c r="V54" s="94"/>
      <c r="W54" s="83"/>
      <c r="X54" s="83"/>
      <c r="Y54" s="83"/>
      <c r="Z54" s="83"/>
      <c r="AA54" s="83"/>
      <c r="AB54" s="83"/>
    </row>
    <row r="55">
      <c r="P55" s="83"/>
      <c r="Q55" s="83"/>
      <c r="R55" s="83"/>
      <c r="S55" s="83"/>
      <c r="T55" s="83"/>
      <c r="U55" s="83"/>
      <c r="V55" s="94"/>
      <c r="W55" s="83"/>
      <c r="X55" s="83"/>
      <c r="Y55" s="83"/>
      <c r="Z55" s="83"/>
      <c r="AA55" s="83"/>
      <c r="AB55" s="83"/>
    </row>
    <row r="56">
      <c r="P56" s="83"/>
      <c r="Q56" s="83"/>
      <c r="R56" s="83"/>
      <c r="S56" s="83"/>
      <c r="T56" s="83"/>
      <c r="U56" s="83"/>
      <c r="V56" s="94"/>
      <c r="W56" s="83" t="str">
        <f>IFERROR(__xludf.DUMMYFUNCTION(" IFERROR(
(FILTER(Monsters!$AQ:$AQ, Monsters!$A:$A = T56 , Monsters!$D:$D  = $U$3, Monsters!$B:$B = ""Master"")
*
SWITCH(
COUNTA($C$3,$J$3,$C$25,$J$25),
2,FILTER(Monsters!$AJ:$AJ, Monsters!$A:$A = T56 , Monsters!$D:$D  = $U$3, Monsters!$B:$B = ""Master"")"&amp;",
3,FILTER(Monsters!$AL:$AL, Monsters!$A:$A = T56 , Monsters!$D:$D  = $U$3, Monsters!$B:$B = ""Master""),
4,FILTER(Monsters!$AN:$AN, Monsters!$A:$A = T56 , Monsters!$D:$D  = $U$3, Monsters!$B:$B = ""Master""),
))
+
(FILTER(Monsters!$AQ:$AQ, Monsters!$A:$A"&amp;" = T56 , Monsters!$D:$D  = $U$3, Monsters!$B:$B = ""Minion"")
*
SWITCH(
COUNTA($C$3,$J$3,$C$25,$J$25),
2,FILTER(Monsters!$AJ:$AJ, Monsters!$A:$A = T56 , Monsters!$D:$D  = $U$3, Monsters!$B:$B = ""Minion""),
3,FILTER(Monsters!$AL:$AL, Monsters!$A:$A = T56 "&amp;", Monsters!$D:$D  = $U$3, Monsters!$B:$B = ""Minion""),
4,FILTER(Monsters!$AN:$AN, Monsters!$A:$A = T56 , Monsters!$D:$D  = $U$3, Monsters!$B:$B = ""Minion""),
))
,
)"),"")</f>
        <v/>
      </c>
      <c r="X56" s="83"/>
      <c r="Y56" s="83"/>
      <c r="Z56" s="83"/>
      <c r="AA56" s="83"/>
      <c r="AB56" s="83"/>
    </row>
    <row r="57">
      <c r="P57" s="83"/>
      <c r="Q57" s="83"/>
      <c r="R57" s="83"/>
      <c r="S57" s="83"/>
      <c r="T57" s="83"/>
      <c r="U57" s="83"/>
      <c r="V57" s="94"/>
      <c r="W57" s="83" t="str">
        <f>IFERROR(__xludf.DUMMYFUNCTION(" IFERROR(
(FILTER(Monsters!$AQ:$AQ, Monsters!$A:$A = T57 , Monsters!$D:$D  = $U$3, Monsters!$B:$B = ""Master"")
*
SWITCH(
COUNTA($C$3,$J$3,$C$25,$J$25),
2,FILTER(Monsters!$AJ:$AJ, Monsters!$A:$A = T57 , Monsters!$D:$D  = $U$3, Monsters!$B:$B = ""Master"")"&amp;",
3,FILTER(Monsters!$AL:$AL, Monsters!$A:$A = T57 , Monsters!$D:$D  = $U$3, Monsters!$B:$B = ""Master""),
4,FILTER(Monsters!$AN:$AN, Monsters!$A:$A = T57 , Monsters!$D:$D  = $U$3, Monsters!$B:$B = ""Master""),
))
+
(FILTER(Monsters!$AQ:$AQ, Monsters!$A:$A"&amp;" = T57 , Monsters!$D:$D  = $U$3, Monsters!$B:$B = ""Minion"")
*
SWITCH(
COUNTA($C$3,$J$3,$C$25,$J$25),
2,FILTER(Monsters!$AJ:$AJ, Monsters!$A:$A = T57 , Monsters!$D:$D  = $U$3, Monsters!$B:$B = ""Minion""),
3,FILTER(Monsters!$AL:$AL, Monsters!$A:$A = T57 "&amp;", Monsters!$D:$D  = $U$3, Monsters!$B:$B = ""Minion""),
4,FILTER(Monsters!$AN:$AN, Monsters!$A:$A = T57 , Monsters!$D:$D  = $U$3, Monsters!$B:$B = ""Minion""),
))
,
)"),"")</f>
        <v/>
      </c>
      <c r="X57" s="83"/>
      <c r="Y57" s="83"/>
      <c r="Z57" s="83"/>
      <c r="AA57" s="83"/>
      <c r="AB57" s="83"/>
    </row>
    <row r="58">
      <c r="P58" s="83"/>
      <c r="Q58" s="83"/>
      <c r="R58" s="83"/>
      <c r="S58" s="83"/>
      <c r="T58" s="83"/>
      <c r="U58" s="83"/>
      <c r="V58" s="94"/>
      <c r="W58" s="83"/>
      <c r="X58" s="83"/>
      <c r="Y58" s="83"/>
      <c r="Z58" s="83"/>
      <c r="AA58" s="83"/>
      <c r="AB58" s="83"/>
    </row>
    <row r="59">
      <c r="P59" s="83"/>
      <c r="Q59" s="83"/>
      <c r="R59" s="83"/>
      <c r="S59" s="83"/>
      <c r="T59" s="83"/>
      <c r="U59" s="83"/>
      <c r="V59" s="94"/>
      <c r="W59" s="83"/>
      <c r="X59" s="83"/>
      <c r="Y59" s="83"/>
      <c r="Z59" s="83"/>
      <c r="AA59" s="83"/>
      <c r="AB59" s="83"/>
    </row>
    <row r="60">
      <c r="P60" s="83"/>
      <c r="Q60" s="83"/>
      <c r="R60" s="83"/>
      <c r="S60" s="83"/>
      <c r="T60" s="83"/>
      <c r="U60" s="83"/>
      <c r="V60" s="94"/>
      <c r="W60" s="83"/>
      <c r="X60" s="83"/>
      <c r="Y60" s="83"/>
      <c r="Z60" s="83"/>
      <c r="AA60" s="83"/>
      <c r="AB60" s="83"/>
    </row>
    <row r="61">
      <c r="P61" s="83"/>
      <c r="Q61" s="83"/>
      <c r="R61" s="83"/>
      <c r="S61" s="83"/>
      <c r="T61" s="83"/>
      <c r="U61" s="83"/>
      <c r="V61" s="94"/>
      <c r="W61" s="83"/>
      <c r="X61" s="83"/>
      <c r="Y61" s="83"/>
      <c r="Z61" s="83"/>
      <c r="AA61" s="83"/>
      <c r="AB61" s="83"/>
    </row>
    <row r="62">
      <c r="P62" s="83"/>
      <c r="Q62" s="83"/>
      <c r="R62" s="83"/>
      <c r="S62" s="83"/>
      <c r="T62" s="83"/>
      <c r="U62" s="83"/>
      <c r="V62" s="94"/>
      <c r="W62" s="83"/>
      <c r="X62" s="83"/>
      <c r="Y62" s="83"/>
      <c r="Z62" s="83"/>
      <c r="AA62" s="83"/>
      <c r="AB62" s="83"/>
    </row>
    <row r="63">
      <c r="P63" s="83"/>
      <c r="Q63" s="83"/>
      <c r="R63" s="83"/>
      <c r="S63" s="83"/>
      <c r="T63" s="83"/>
      <c r="U63" s="83"/>
      <c r="V63" s="94"/>
      <c r="W63" s="83"/>
      <c r="X63" s="83"/>
      <c r="Y63" s="83"/>
      <c r="Z63" s="83"/>
      <c r="AA63" s="83"/>
      <c r="AB63" s="83"/>
    </row>
    <row r="64">
      <c r="P64" s="83"/>
      <c r="Q64" s="83"/>
      <c r="R64" s="83"/>
      <c r="S64" s="83"/>
      <c r="T64" s="83"/>
      <c r="U64" s="83"/>
      <c r="V64" s="94"/>
      <c r="W64" s="83"/>
      <c r="X64" s="83"/>
      <c r="Y64" s="83"/>
      <c r="Z64" s="83"/>
      <c r="AA64" s="83"/>
      <c r="AB64" s="83"/>
    </row>
    <row r="65">
      <c r="P65" s="83"/>
      <c r="Q65" s="83"/>
      <c r="R65" s="83"/>
      <c r="S65" s="83"/>
      <c r="T65" s="83"/>
      <c r="U65" s="83"/>
      <c r="V65" s="94"/>
      <c r="W65" s="83"/>
      <c r="X65" s="83"/>
      <c r="Y65" s="83"/>
      <c r="Z65" s="83"/>
      <c r="AA65" s="83"/>
      <c r="AB65" s="83"/>
    </row>
    <row r="66">
      <c r="P66" s="83"/>
      <c r="Q66" s="83"/>
      <c r="R66" s="83"/>
      <c r="S66" s="83"/>
      <c r="T66" s="83"/>
      <c r="U66" s="83"/>
      <c r="V66" s="94"/>
      <c r="W66" s="83"/>
      <c r="X66" s="83"/>
      <c r="Y66" s="83"/>
      <c r="Z66" s="83"/>
      <c r="AA66" s="83"/>
      <c r="AB66" s="83"/>
    </row>
    <row r="67">
      <c r="P67" s="83"/>
      <c r="Q67" s="83"/>
      <c r="R67" s="83"/>
      <c r="S67" s="83"/>
      <c r="T67" s="83"/>
      <c r="U67" s="83"/>
      <c r="V67" s="94"/>
      <c r="W67" s="83"/>
      <c r="X67" s="83"/>
      <c r="Y67" s="83"/>
      <c r="Z67" s="83"/>
      <c r="AA67" s="83"/>
      <c r="AB67" s="83"/>
    </row>
    <row r="68">
      <c r="P68" s="83"/>
      <c r="Q68" s="83"/>
      <c r="R68" s="83"/>
      <c r="S68" s="83"/>
      <c r="T68" s="83"/>
      <c r="U68" s="83"/>
      <c r="V68" s="94"/>
      <c r="W68" s="83"/>
      <c r="X68" s="83"/>
      <c r="Y68" s="83"/>
      <c r="Z68" s="83"/>
      <c r="AA68" s="83"/>
      <c r="AB68" s="83"/>
    </row>
    <row r="69">
      <c r="P69" s="83"/>
      <c r="Q69" s="83"/>
      <c r="R69" s="83"/>
      <c r="S69" s="83"/>
      <c r="T69" s="83"/>
      <c r="U69" s="83"/>
      <c r="V69" s="94"/>
      <c r="W69" s="83"/>
      <c r="X69" s="83"/>
      <c r="Y69" s="83"/>
      <c r="Z69" s="83"/>
      <c r="AA69" s="83"/>
      <c r="AB69" s="83"/>
    </row>
    <row r="70">
      <c r="P70" s="83"/>
      <c r="Q70" s="83"/>
      <c r="R70" s="83"/>
      <c r="S70" s="83"/>
      <c r="T70" s="83"/>
      <c r="U70" s="83"/>
      <c r="V70" s="94"/>
      <c r="W70" s="83"/>
      <c r="X70" s="83"/>
      <c r="Y70" s="83"/>
      <c r="Z70" s="83"/>
      <c r="AA70" s="83"/>
      <c r="AB70" s="83"/>
    </row>
    <row r="71">
      <c r="P71" s="83"/>
      <c r="Q71" s="83"/>
      <c r="R71" s="83"/>
      <c r="S71" s="83"/>
      <c r="T71" s="83"/>
      <c r="U71" s="83"/>
      <c r="V71" s="94"/>
      <c r="W71" s="83"/>
      <c r="X71" s="83"/>
      <c r="Y71" s="83"/>
      <c r="Z71" s="83"/>
      <c r="AA71" s="83"/>
      <c r="AB71" s="83"/>
    </row>
    <row r="72">
      <c r="P72" s="83"/>
      <c r="Q72" s="83"/>
      <c r="R72" s="83"/>
      <c r="S72" s="83"/>
      <c r="T72" s="83"/>
      <c r="U72" s="83"/>
      <c r="V72" s="94"/>
      <c r="W72" s="83"/>
      <c r="X72" s="83"/>
      <c r="Y72" s="83"/>
      <c r="Z72" s="83"/>
      <c r="AA72" s="83"/>
      <c r="AB72" s="83"/>
    </row>
    <row r="73">
      <c r="P73" s="83"/>
      <c r="Q73" s="83"/>
      <c r="R73" s="83"/>
      <c r="S73" s="83"/>
      <c r="T73" s="83"/>
      <c r="U73" s="83"/>
      <c r="V73" s="94"/>
      <c r="W73" s="83"/>
      <c r="X73" s="83"/>
      <c r="Y73" s="83"/>
      <c r="Z73" s="83"/>
      <c r="AA73" s="83"/>
      <c r="AB73" s="83"/>
    </row>
    <row r="74">
      <c r="P74" s="83"/>
      <c r="Q74" s="83"/>
      <c r="R74" s="83"/>
      <c r="S74" s="83"/>
      <c r="T74" s="83"/>
      <c r="U74" s="83"/>
      <c r="V74" s="94"/>
      <c r="W74" s="83"/>
      <c r="X74" s="83"/>
      <c r="Y74" s="83"/>
      <c r="Z74" s="83"/>
      <c r="AA74" s="83"/>
      <c r="AB74" s="83"/>
    </row>
    <row r="75">
      <c r="P75" s="83"/>
      <c r="Q75" s="83"/>
      <c r="R75" s="83"/>
      <c r="S75" s="83"/>
      <c r="T75" s="83"/>
      <c r="U75" s="83"/>
      <c r="V75" s="94"/>
      <c r="W75" s="83"/>
      <c r="X75" s="83"/>
      <c r="Y75" s="83"/>
      <c r="Z75" s="83"/>
      <c r="AA75" s="83"/>
      <c r="AB75" s="83"/>
    </row>
    <row r="76">
      <c r="P76" s="83"/>
      <c r="Q76" s="83"/>
      <c r="R76" s="83"/>
      <c r="S76" s="83"/>
      <c r="T76" s="83"/>
      <c r="U76" s="83"/>
      <c r="V76" s="94"/>
      <c r="W76" s="83"/>
      <c r="X76" s="83"/>
      <c r="Y76" s="83"/>
      <c r="Z76" s="83"/>
      <c r="AA76" s="83"/>
      <c r="AB76" s="83"/>
    </row>
    <row r="77">
      <c r="P77" s="83"/>
      <c r="Q77" s="83"/>
      <c r="R77" s="83"/>
      <c r="S77" s="83"/>
      <c r="T77" s="83"/>
      <c r="U77" s="83"/>
      <c r="V77" s="94"/>
      <c r="W77" s="83"/>
      <c r="X77" s="83"/>
      <c r="Y77" s="83"/>
      <c r="Z77" s="83"/>
      <c r="AA77" s="83"/>
      <c r="AB77" s="83"/>
    </row>
    <row r="78">
      <c r="P78" s="83"/>
      <c r="Q78" s="83"/>
      <c r="R78" s="83"/>
      <c r="S78" s="83"/>
      <c r="T78" s="83"/>
      <c r="U78" s="83"/>
      <c r="V78" s="94"/>
      <c r="W78" s="83"/>
      <c r="X78" s="83"/>
      <c r="Y78" s="83"/>
      <c r="Z78" s="83"/>
      <c r="AA78" s="83"/>
      <c r="AB78" s="83"/>
    </row>
    <row r="79">
      <c r="P79" s="83"/>
      <c r="Q79" s="83"/>
      <c r="R79" s="83"/>
      <c r="S79" s="83"/>
      <c r="T79" s="83"/>
      <c r="U79" s="83"/>
      <c r="V79" s="94"/>
      <c r="W79" s="83"/>
      <c r="X79" s="83"/>
      <c r="Y79" s="83"/>
      <c r="Z79" s="83"/>
      <c r="AA79" s="83"/>
      <c r="AB79" s="83"/>
    </row>
    <row r="80">
      <c r="P80" s="83"/>
      <c r="Q80" s="83"/>
      <c r="R80" s="83"/>
      <c r="S80" s="83"/>
      <c r="T80" s="83"/>
      <c r="U80" s="83"/>
      <c r="V80" s="94"/>
      <c r="W80" s="83"/>
      <c r="X80" s="83"/>
      <c r="Y80" s="83"/>
      <c r="Z80" s="83"/>
      <c r="AA80" s="83"/>
      <c r="AB80" s="83"/>
    </row>
    <row r="81">
      <c r="P81" s="83"/>
      <c r="Q81" s="83"/>
      <c r="R81" s="83"/>
      <c r="S81" s="83"/>
      <c r="T81" s="83"/>
      <c r="U81" s="83"/>
      <c r="V81" s="94"/>
      <c r="W81" s="83"/>
      <c r="X81" s="83"/>
      <c r="Y81" s="83"/>
      <c r="Z81" s="83"/>
      <c r="AA81" s="83"/>
      <c r="AB81" s="83"/>
    </row>
    <row r="82">
      <c r="P82" s="83"/>
      <c r="Q82" s="83"/>
      <c r="R82" s="83"/>
      <c r="S82" s="83"/>
      <c r="T82" s="83"/>
      <c r="U82" s="83"/>
      <c r="V82" s="94"/>
      <c r="W82" s="83"/>
      <c r="X82" s="83"/>
      <c r="Y82" s="83"/>
      <c r="Z82" s="83"/>
      <c r="AA82" s="83"/>
      <c r="AB82" s="83"/>
    </row>
    <row r="83">
      <c r="P83" s="83"/>
      <c r="Q83" s="83"/>
      <c r="R83" s="83"/>
      <c r="S83" s="83"/>
      <c r="T83" s="83"/>
      <c r="U83" s="83"/>
      <c r="V83" s="94"/>
      <c r="W83" s="83"/>
      <c r="X83" s="83"/>
      <c r="Y83" s="83"/>
      <c r="Z83" s="83"/>
      <c r="AA83" s="83"/>
      <c r="AB83" s="83"/>
    </row>
    <row r="84">
      <c r="P84" s="83"/>
      <c r="Q84" s="83"/>
      <c r="R84" s="83"/>
      <c r="S84" s="83"/>
      <c r="T84" s="83"/>
      <c r="U84" s="83"/>
      <c r="V84" s="94"/>
      <c r="W84" s="83"/>
      <c r="X84" s="83"/>
      <c r="Y84" s="83"/>
      <c r="Z84" s="83"/>
      <c r="AA84" s="83"/>
      <c r="AB84" s="83"/>
    </row>
    <row r="85">
      <c r="P85" s="83"/>
      <c r="Q85" s="83"/>
      <c r="R85" s="83"/>
      <c r="S85" s="83"/>
      <c r="T85" s="83"/>
      <c r="U85" s="83"/>
      <c r="V85" s="94"/>
      <c r="W85" s="83"/>
      <c r="X85" s="83"/>
      <c r="Y85" s="83"/>
      <c r="Z85" s="83"/>
      <c r="AA85" s="83"/>
      <c r="AB85" s="83"/>
    </row>
    <row r="86">
      <c r="P86" s="83"/>
      <c r="Q86" s="83"/>
      <c r="R86" s="83"/>
      <c r="S86" s="83"/>
      <c r="T86" s="83"/>
      <c r="U86" s="83"/>
      <c r="V86" s="94"/>
      <c r="W86" s="83"/>
      <c r="X86" s="83"/>
      <c r="Y86" s="83"/>
      <c r="Z86" s="83"/>
      <c r="AA86" s="83"/>
      <c r="AB86" s="83"/>
    </row>
    <row r="87">
      <c r="P87" s="83"/>
      <c r="Q87" s="83"/>
      <c r="R87" s="83"/>
      <c r="S87" s="83"/>
      <c r="T87" s="83"/>
      <c r="U87" s="83"/>
      <c r="V87" s="94"/>
      <c r="W87" s="83"/>
      <c r="X87" s="83"/>
      <c r="Y87" s="83"/>
      <c r="Z87" s="83"/>
      <c r="AA87" s="83"/>
      <c r="AB87" s="83"/>
    </row>
    <row r="88">
      <c r="P88" s="83"/>
      <c r="Q88" s="83"/>
      <c r="R88" s="83"/>
      <c r="S88" s="83"/>
      <c r="T88" s="83"/>
      <c r="U88" s="83"/>
      <c r="V88" s="94"/>
      <c r="W88" s="83"/>
      <c r="X88" s="83"/>
      <c r="Y88" s="83"/>
      <c r="Z88" s="83"/>
      <c r="AA88" s="83"/>
      <c r="AB88" s="83"/>
    </row>
    <row r="89">
      <c r="P89" s="83"/>
      <c r="Q89" s="83"/>
      <c r="R89" s="83"/>
      <c r="S89" s="83"/>
      <c r="T89" s="83"/>
      <c r="U89" s="83"/>
      <c r="V89" s="94"/>
      <c r="W89" s="83"/>
      <c r="X89" s="83"/>
      <c r="Y89" s="83"/>
      <c r="Z89" s="83"/>
      <c r="AA89" s="83"/>
      <c r="AB89" s="83"/>
    </row>
    <row r="90">
      <c r="P90" s="83"/>
      <c r="Q90" s="83"/>
      <c r="R90" s="83"/>
      <c r="S90" s="83"/>
      <c r="T90" s="83"/>
      <c r="U90" s="83"/>
      <c r="V90" s="94"/>
      <c r="W90" s="83"/>
      <c r="X90" s="83"/>
      <c r="Y90" s="83"/>
      <c r="Z90" s="83"/>
      <c r="AA90" s="83"/>
      <c r="AB90" s="83"/>
    </row>
    <row r="91">
      <c r="P91" s="83"/>
      <c r="Q91" s="83"/>
      <c r="R91" s="83"/>
      <c r="S91" s="83"/>
      <c r="T91" s="83"/>
      <c r="U91" s="83"/>
      <c r="V91" s="94"/>
      <c r="W91" s="83"/>
      <c r="X91" s="83"/>
      <c r="Y91" s="83"/>
      <c r="Z91" s="83"/>
      <c r="AA91" s="83"/>
      <c r="AB91" s="83"/>
    </row>
    <row r="92">
      <c r="P92" s="83"/>
      <c r="Q92" s="83"/>
      <c r="R92" s="83"/>
      <c r="S92" s="83"/>
      <c r="T92" s="83"/>
      <c r="U92" s="83"/>
      <c r="V92" s="94"/>
      <c r="W92" s="83"/>
      <c r="X92" s="83"/>
      <c r="Y92" s="83"/>
      <c r="Z92" s="83"/>
      <c r="AA92" s="83"/>
      <c r="AB92" s="83"/>
    </row>
    <row r="93">
      <c r="P93" s="83"/>
      <c r="Q93" s="83"/>
      <c r="R93" s="83"/>
      <c r="S93" s="83"/>
      <c r="T93" s="83"/>
      <c r="U93" s="83"/>
      <c r="V93" s="94"/>
      <c r="W93" s="83"/>
      <c r="X93" s="83"/>
      <c r="Y93" s="83"/>
      <c r="Z93" s="83"/>
      <c r="AA93" s="83"/>
      <c r="AB93" s="83"/>
    </row>
    <row r="94">
      <c r="P94" s="83"/>
      <c r="Q94" s="83"/>
      <c r="R94" s="83"/>
      <c r="S94" s="83"/>
      <c r="T94" s="83"/>
      <c r="U94" s="83"/>
      <c r="V94" s="94"/>
      <c r="W94" s="83"/>
      <c r="X94" s="83"/>
      <c r="Y94" s="83"/>
      <c r="Z94" s="83"/>
      <c r="AA94" s="83"/>
      <c r="AB94" s="83"/>
    </row>
    <row r="95">
      <c r="P95" s="83"/>
      <c r="Q95" s="83"/>
      <c r="R95" s="83"/>
      <c r="S95" s="83"/>
      <c r="T95" s="83"/>
      <c r="U95" s="83"/>
      <c r="V95" s="94"/>
      <c r="W95" s="83"/>
      <c r="X95" s="83"/>
      <c r="Y95" s="83"/>
      <c r="Z95" s="83"/>
      <c r="AA95" s="83"/>
      <c r="AB95" s="83"/>
    </row>
    <row r="96">
      <c r="P96" s="83"/>
      <c r="Q96" s="83"/>
      <c r="R96" s="83"/>
      <c r="S96" s="83"/>
      <c r="T96" s="83"/>
      <c r="U96" s="83"/>
      <c r="V96" s="94"/>
      <c r="W96" s="83"/>
      <c r="X96" s="83"/>
      <c r="Y96" s="83"/>
      <c r="Z96" s="83"/>
      <c r="AA96" s="83"/>
      <c r="AB96" s="83"/>
    </row>
    <row r="97">
      <c r="P97" s="83"/>
      <c r="Q97" s="83"/>
      <c r="R97" s="83"/>
      <c r="S97" s="83"/>
      <c r="T97" s="83"/>
      <c r="U97" s="83"/>
      <c r="V97" s="94"/>
      <c r="W97" s="83"/>
      <c r="X97" s="83"/>
      <c r="Y97" s="83"/>
      <c r="Z97" s="83"/>
      <c r="AA97" s="83"/>
      <c r="AB97" s="83"/>
    </row>
    <row r="98">
      <c r="P98" s="83"/>
      <c r="Q98" s="83"/>
      <c r="R98" s="83"/>
      <c r="S98" s="83"/>
      <c r="T98" s="83"/>
      <c r="U98" s="83"/>
      <c r="V98" s="94"/>
      <c r="W98" s="83"/>
      <c r="X98" s="83"/>
      <c r="Y98" s="83"/>
      <c r="Z98" s="83"/>
      <c r="AA98" s="83"/>
      <c r="AB98" s="83"/>
    </row>
    <row r="99">
      <c r="P99" s="83"/>
      <c r="Q99" s="83"/>
      <c r="R99" s="83"/>
      <c r="S99" s="83"/>
      <c r="T99" s="83"/>
      <c r="U99" s="83"/>
      <c r="V99" s="94"/>
      <c r="W99" s="83"/>
      <c r="X99" s="83"/>
      <c r="Y99" s="83"/>
      <c r="Z99" s="83"/>
      <c r="AA99" s="83"/>
      <c r="AB99" s="83"/>
    </row>
    <row r="100">
      <c r="P100" s="83"/>
      <c r="Q100" s="83"/>
      <c r="R100" s="83"/>
      <c r="S100" s="83"/>
      <c r="T100" s="83"/>
      <c r="U100" s="83"/>
      <c r="V100" s="94"/>
      <c r="W100" s="83"/>
      <c r="X100" s="83"/>
      <c r="Y100" s="83"/>
      <c r="Z100" s="83"/>
      <c r="AA100" s="83"/>
      <c r="AB100" s="83"/>
    </row>
    <row r="101">
      <c r="P101" s="83"/>
      <c r="Q101" s="83"/>
      <c r="R101" s="83"/>
      <c r="S101" s="83"/>
      <c r="T101" s="83"/>
      <c r="U101" s="83"/>
      <c r="V101" s="94"/>
      <c r="W101" s="83"/>
      <c r="X101" s="83"/>
      <c r="Y101" s="83"/>
      <c r="Z101" s="83"/>
      <c r="AA101" s="83"/>
      <c r="AB101" s="83"/>
    </row>
    <row r="102">
      <c r="P102" s="83"/>
      <c r="Q102" s="83"/>
      <c r="R102" s="83"/>
      <c r="S102" s="83"/>
      <c r="T102" s="83"/>
      <c r="U102" s="83"/>
      <c r="V102" s="94"/>
      <c r="W102" s="83"/>
      <c r="X102" s="83"/>
      <c r="Y102" s="83"/>
      <c r="Z102" s="83"/>
      <c r="AA102" s="83"/>
      <c r="AB102" s="83"/>
    </row>
    <row r="103">
      <c r="P103" s="83"/>
      <c r="Q103" s="83"/>
      <c r="R103" s="83"/>
      <c r="S103" s="83"/>
      <c r="T103" s="83"/>
      <c r="U103" s="83"/>
      <c r="V103" s="94"/>
      <c r="W103" s="83"/>
      <c r="X103" s="83"/>
      <c r="Y103" s="83"/>
      <c r="Z103" s="83"/>
      <c r="AA103" s="83"/>
      <c r="AB103" s="83"/>
    </row>
    <row r="104">
      <c r="P104" s="83"/>
      <c r="Q104" s="83"/>
      <c r="R104" s="83"/>
      <c r="S104" s="83"/>
      <c r="T104" s="83"/>
      <c r="U104" s="83"/>
      <c r="V104" s="94"/>
      <c r="W104" s="83"/>
      <c r="X104" s="83"/>
      <c r="Y104" s="83"/>
      <c r="Z104" s="83"/>
      <c r="AA104" s="83"/>
      <c r="AB104" s="83"/>
    </row>
    <row r="105">
      <c r="P105" s="83"/>
      <c r="Q105" s="83"/>
      <c r="R105" s="83"/>
      <c r="S105" s="83"/>
      <c r="T105" s="83"/>
      <c r="U105" s="83"/>
      <c r="V105" s="94"/>
      <c r="W105" s="83"/>
      <c r="X105" s="83"/>
      <c r="Y105" s="83"/>
      <c r="Z105" s="83"/>
      <c r="AA105" s="83"/>
      <c r="AB105" s="83"/>
    </row>
    <row r="106">
      <c r="P106" s="83"/>
      <c r="Q106" s="83"/>
      <c r="R106" s="83"/>
      <c r="S106" s="83"/>
      <c r="T106" s="83"/>
      <c r="U106" s="83"/>
      <c r="V106" s="94"/>
      <c r="W106" s="83"/>
      <c r="X106" s="83"/>
      <c r="Y106" s="83"/>
      <c r="Z106" s="83"/>
      <c r="AA106" s="83"/>
      <c r="AB106" s="83"/>
    </row>
    <row r="107">
      <c r="P107" s="83"/>
      <c r="Q107" s="83"/>
      <c r="R107" s="83"/>
      <c r="S107" s="83"/>
      <c r="T107" s="83"/>
      <c r="U107" s="83"/>
      <c r="V107" s="94"/>
      <c r="W107" s="83"/>
      <c r="X107" s="83"/>
      <c r="Y107" s="83"/>
      <c r="Z107" s="83"/>
      <c r="AA107" s="83"/>
      <c r="AB107" s="83"/>
    </row>
    <row r="108">
      <c r="P108" s="83"/>
      <c r="Q108" s="83"/>
      <c r="R108" s="83"/>
      <c r="S108" s="83"/>
      <c r="T108" s="83"/>
      <c r="U108" s="83"/>
      <c r="V108" s="94"/>
      <c r="W108" s="83"/>
      <c r="X108" s="83"/>
      <c r="Y108" s="83"/>
      <c r="Z108" s="83"/>
      <c r="AA108" s="83"/>
      <c r="AB108" s="83"/>
    </row>
    <row r="109">
      <c r="P109" s="83"/>
      <c r="Q109" s="83"/>
      <c r="R109" s="83"/>
      <c r="S109" s="83"/>
      <c r="T109" s="83"/>
      <c r="U109" s="83"/>
      <c r="V109" s="94"/>
      <c r="W109" s="83"/>
      <c r="X109" s="83"/>
      <c r="Y109" s="83"/>
      <c r="Z109" s="83"/>
      <c r="AA109" s="83"/>
      <c r="AB109" s="83"/>
    </row>
    <row r="110">
      <c r="P110" s="83"/>
      <c r="Q110" s="83"/>
      <c r="R110" s="83"/>
      <c r="S110" s="83"/>
      <c r="T110" s="83"/>
      <c r="U110" s="83"/>
      <c r="V110" s="94"/>
      <c r="W110" s="83"/>
      <c r="X110" s="83"/>
      <c r="Y110" s="83"/>
      <c r="Z110" s="83"/>
      <c r="AA110" s="83"/>
      <c r="AB110" s="83"/>
    </row>
    <row r="111">
      <c r="P111" s="83"/>
      <c r="Q111" s="83"/>
      <c r="R111" s="83"/>
      <c r="S111" s="83"/>
      <c r="T111" s="83"/>
      <c r="U111" s="83"/>
      <c r="V111" s="94"/>
      <c r="W111" s="83"/>
      <c r="X111" s="83"/>
      <c r="Y111" s="83"/>
      <c r="Z111" s="83"/>
      <c r="AA111" s="83"/>
      <c r="AB111" s="83"/>
    </row>
    <row r="112">
      <c r="P112" s="83"/>
      <c r="Q112" s="83"/>
      <c r="R112" s="83"/>
      <c r="S112" s="83"/>
      <c r="T112" s="83"/>
      <c r="U112" s="83"/>
      <c r="V112" s="94"/>
      <c r="W112" s="83"/>
      <c r="X112" s="83"/>
      <c r="Y112" s="83"/>
      <c r="Z112" s="83"/>
      <c r="AA112" s="83"/>
      <c r="AB112" s="83"/>
    </row>
    <row r="113">
      <c r="P113" s="83"/>
      <c r="Q113" s="83"/>
      <c r="R113" s="83"/>
      <c r="S113" s="83"/>
      <c r="T113" s="83"/>
      <c r="U113" s="83"/>
      <c r="V113" s="94"/>
      <c r="W113" s="83"/>
      <c r="X113" s="83"/>
      <c r="Y113" s="83"/>
      <c r="Z113" s="83"/>
      <c r="AA113" s="83"/>
      <c r="AB113" s="83"/>
    </row>
    <row r="114">
      <c r="P114" s="83"/>
      <c r="Q114" s="83"/>
      <c r="R114" s="83"/>
      <c r="S114" s="83"/>
      <c r="T114" s="83"/>
      <c r="U114" s="83"/>
      <c r="V114" s="94"/>
      <c r="W114" s="83"/>
      <c r="X114" s="83"/>
      <c r="Y114" s="83"/>
      <c r="Z114" s="83"/>
      <c r="AA114" s="83"/>
      <c r="AB114" s="83"/>
    </row>
    <row r="115">
      <c r="P115" s="83"/>
      <c r="Q115" s="83"/>
      <c r="R115" s="83"/>
      <c r="S115" s="83"/>
      <c r="T115" s="83"/>
      <c r="U115" s="83"/>
      <c r="V115" s="94"/>
      <c r="W115" s="83"/>
      <c r="X115" s="83"/>
      <c r="Y115" s="83"/>
      <c r="Z115" s="83"/>
      <c r="AA115" s="83"/>
      <c r="AB115" s="83"/>
    </row>
    <row r="116">
      <c r="P116" s="83"/>
      <c r="Q116" s="83"/>
      <c r="R116" s="83"/>
      <c r="S116" s="83"/>
      <c r="T116" s="83"/>
      <c r="U116" s="83"/>
      <c r="V116" s="94"/>
      <c r="W116" s="83"/>
      <c r="X116" s="83"/>
      <c r="Y116" s="83"/>
      <c r="Z116" s="83"/>
      <c r="AA116" s="83"/>
      <c r="AB116" s="83"/>
    </row>
    <row r="117">
      <c r="P117" s="83"/>
      <c r="Q117" s="83"/>
      <c r="R117" s="83"/>
      <c r="S117" s="83"/>
      <c r="T117" s="83"/>
      <c r="U117" s="83"/>
      <c r="V117" s="94"/>
      <c r="W117" s="83"/>
      <c r="X117" s="83"/>
      <c r="Y117" s="83"/>
      <c r="Z117" s="83"/>
      <c r="AA117" s="83"/>
      <c r="AB117" s="83"/>
    </row>
    <row r="118">
      <c r="P118" s="83"/>
      <c r="Q118" s="83"/>
      <c r="R118" s="83"/>
      <c r="S118" s="83"/>
      <c r="T118" s="83"/>
      <c r="U118" s="83"/>
      <c r="V118" s="94"/>
      <c r="W118" s="83"/>
      <c r="X118" s="83"/>
      <c r="Y118" s="83"/>
      <c r="Z118" s="83"/>
      <c r="AA118" s="83"/>
      <c r="AB118" s="83"/>
    </row>
    <row r="119">
      <c r="P119" s="83"/>
      <c r="Q119" s="83"/>
      <c r="R119" s="83"/>
      <c r="S119" s="83"/>
      <c r="T119" s="83"/>
      <c r="U119" s="83"/>
      <c r="V119" s="94"/>
      <c r="W119" s="83"/>
      <c r="X119" s="83"/>
      <c r="Y119" s="83"/>
      <c r="Z119" s="83"/>
      <c r="AA119" s="83"/>
      <c r="AB119" s="83"/>
    </row>
    <row r="120">
      <c r="P120" s="83"/>
      <c r="Q120" s="83"/>
      <c r="R120" s="83"/>
      <c r="S120" s="83"/>
      <c r="T120" s="83"/>
      <c r="U120" s="83"/>
      <c r="V120" s="94"/>
      <c r="W120" s="83"/>
      <c r="X120" s="83"/>
      <c r="Y120" s="83"/>
      <c r="Z120" s="83"/>
      <c r="AA120" s="83"/>
      <c r="AB120" s="83"/>
    </row>
    <row r="121">
      <c r="P121" s="83"/>
      <c r="Q121" s="83"/>
      <c r="R121" s="83"/>
      <c r="S121" s="83"/>
      <c r="T121" s="83"/>
      <c r="U121" s="83"/>
      <c r="V121" s="94"/>
      <c r="W121" s="83"/>
      <c r="X121" s="83"/>
      <c r="Y121" s="83"/>
      <c r="Z121" s="83"/>
      <c r="AA121" s="83"/>
      <c r="AB121" s="83"/>
    </row>
    <row r="122">
      <c r="P122" s="83"/>
      <c r="Q122" s="83"/>
      <c r="R122" s="83"/>
      <c r="S122" s="83"/>
      <c r="T122" s="83"/>
      <c r="U122" s="83"/>
      <c r="V122" s="94"/>
      <c r="W122" s="83"/>
      <c r="X122" s="83"/>
      <c r="Y122" s="83"/>
      <c r="Z122" s="83"/>
      <c r="AA122" s="83"/>
      <c r="AB122" s="83"/>
    </row>
    <row r="123">
      <c r="P123" s="83"/>
      <c r="Q123" s="83"/>
      <c r="R123" s="83"/>
      <c r="S123" s="83"/>
      <c r="T123" s="83"/>
      <c r="U123" s="83"/>
      <c r="V123" s="94"/>
      <c r="W123" s="83"/>
      <c r="X123" s="83"/>
      <c r="Y123" s="83"/>
      <c r="Z123" s="83"/>
      <c r="AA123" s="83"/>
      <c r="AB123" s="83"/>
    </row>
    <row r="124">
      <c r="P124" s="83"/>
      <c r="Q124" s="83"/>
      <c r="R124" s="83"/>
      <c r="S124" s="83"/>
      <c r="T124" s="83"/>
      <c r="U124" s="83"/>
      <c r="V124" s="94"/>
      <c r="W124" s="83"/>
      <c r="X124" s="83"/>
      <c r="Y124" s="83"/>
      <c r="Z124" s="83"/>
      <c r="AA124" s="83"/>
      <c r="AB124" s="83"/>
    </row>
    <row r="125">
      <c r="P125" s="83"/>
      <c r="Q125" s="83"/>
      <c r="R125" s="83"/>
      <c r="S125" s="83"/>
      <c r="T125" s="83"/>
      <c r="U125" s="83"/>
      <c r="V125" s="94"/>
      <c r="W125" s="83"/>
      <c r="X125" s="83"/>
      <c r="Y125" s="83"/>
      <c r="Z125" s="83"/>
      <c r="AA125" s="83"/>
      <c r="AB125" s="83"/>
    </row>
    <row r="126">
      <c r="P126" s="83"/>
      <c r="Q126" s="83"/>
      <c r="R126" s="83"/>
      <c r="S126" s="83"/>
      <c r="T126" s="83"/>
      <c r="U126" s="83"/>
      <c r="V126" s="94"/>
      <c r="W126" s="83"/>
      <c r="X126" s="83"/>
      <c r="Y126" s="83"/>
      <c r="Z126" s="83"/>
      <c r="AA126" s="83"/>
      <c r="AB126" s="83"/>
    </row>
    <row r="127">
      <c r="P127" s="83"/>
      <c r="Q127" s="83"/>
      <c r="R127" s="83"/>
      <c r="S127" s="83"/>
      <c r="T127" s="83"/>
      <c r="U127" s="83"/>
      <c r="V127" s="94"/>
      <c r="W127" s="83"/>
      <c r="X127" s="83"/>
      <c r="Y127" s="83"/>
      <c r="Z127" s="83"/>
      <c r="AA127" s="83"/>
      <c r="AB127" s="83"/>
    </row>
    <row r="128">
      <c r="P128" s="83"/>
      <c r="Q128" s="83"/>
      <c r="R128" s="83"/>
      <c r="S128" s="83"/>
      <c r="T128" s="83"/>
      <c r="U128" s="83"/>
      <c r="V128" s="94"/>
      <c r="W128" s="83"/>
      <c r="X128" s="83"/>
      <c r="Y128" s="83"/>
      <c r="Z128" s="83"/>
      <c r="AA128" s="83"/>
      <c r="AB128" s="83"/>
    </row>
    <row r="129">
      <c r="P129" s="83"/>
      <c r="Q129" s="83"/>
      <c r="R129" s="83"/>
      <c r="S129" s="83"/>
      <c r="T129" s="83"/>
      <c r="U129" s="83"/>
      <c r="V129" s="94"/>
      <c r="W129" s="83"/>
      <c r="X129" s="83"/>
      <c r="Y129" s="83"/>
      <c r="Z129" s="83"/>
      <c r="AA129" s="83"/>
      <c r="AB129" s="83"/>
    </row>
    <row r="130">
      <c r="P130" s="83"/>
      <c r="Q130" s="83"/>
      <c r="R130" s="83"/>
      <c r="S130" s="83"/>
      <c r="T130" s="83"/>
      <c r="U130" s="83"/>
      <c r="V130" s="94"/>
      <c r="W130" s="83"/>
      <c r="X130" s="83"/>
      <c r="Y130" s="83"/>
      <c r="Z130" s="83"/>
      <c r="AA130" s="83"/>
      <c r="AB130" s="83"/>
    </row>
    <row r="131">
      <c r="P131" s="83"/>
      <c r="Q131" s="83"/>
      <c r="R131" s="83"/>
      <c r="S131" s="83"/>
      <c r="T131" s="83"/>
      <c r="U131" s="83"/>
      <c r="V131" s="94"/>
      <c r="W131" s="83"/>
      <c r="X131" s="83"/>
      <c r="Y131" s="83"/>
      <c r="Z131" s="83"/>
      <c r="AA131" s="83"/>
      <c r="AB131" s="83"/>
    </row>
    <row r="132">
      <c r="P132" s="83"/>
      <c r="Q132" s="83"/>
      <c r="R132" s="83"/>
      <c r="S132" s="83"/>
      <c r="T132" s="83"/>
      <c r="U132" s="83"/>
      <c r="V132" s="94"/>
      <c r="W132" s="83"/>
      <c r="X132" s="83"/>
      <c r="Y132" s="83"/>
      <c r="Z132" s="83"/>
      <c r="AA132" s="83"/>
      <c r="AB132" s="83"/>
    </row>
    <row r="133">
      <c r="P133" s="83"/>
      <c r="Q133" s="83"/>
      <c r="R133" s="83"/>
      <c r="S133" s="83"/>
      <c r="T133" s="83"/>
      <c r="U133" s="83"/>
      <c r="V133" s="94"/>
      <c r="W133" s="83"/>
      <c r="X133" s="83"/>
      <c r="Y133" s="83"/>
      <c r="Z133" s="83"/>
      <c r="AA133" s="83"/>
      <c r="AB133" s="83"/>
    </row>
    <row r="134">
      <c r="P134" s="83"/>
      <c r="Q134" s="83"/>
      <c r="R134" s="83"/>
      <c r="S134" s="83"/>
      <c r="T134" s="83"/>
      <c r="U134" s="83"/>
      <c r="V134" s="94"/>
      <c r="W134" s="83"/>
      <c r="X134" s="83"/>
      <c r="Y134" s="83"/>
      <c r="Z134" s="83"/>
      <c r="AA134" s="83"/>
      <c r="AB134" s="83"/>
    </row>
    <row r="135">
      <c r="P135" s="83"/>
      <c r="Q135" s="83"/>
      <c r="R135" s="83"/>
      <c r="S135" s="83"/>
      <c r="T135" s="83"/>
      <c r="U135" s="83"/>
      <c r="V135" s="94"/>
      <c r="W135" s="83"/>
      <c r="X135" s="83"/>
      <c r="Y135" s="83"/>
      <c r="Z135" s="83"/>
      <c r="AA135" s="83"/>
      <c r="AB135" s="83"/>
    </row>
    <row r="136">
      <c r="P136" s="83"/>
      <c r="Q136" s="83"/>
      <c r="R136" s="83"/>
      <c r="S136" s="83"/>
      <c r="T136" s="83"/>
      <c r="U136" s="83"/>
      <c r="V136" s="94"/>
      <c r="W136" s="83"/>
      <c r="X136" s="83"/>
      <c r="Y136" s="83"/>
      <c r="Z136" s="83"/>
      <c r="AA136" s="83"/>
      <c r="AB136" s="83"/>
    </row>
    <row r="137">
      <c r="P137" s="83"/>
      <c r="Q137" s="83"/>
      <c r="R137" s="83"/>
      <c r="S137" s="83"/>
      <c r="T137" s="83"/>
      <c r="U137" s="83"/>
      <c r="V137" s="94"/>
      <c r="W137" s="83"/>
      <c r="X137" s="83"/>
      <c r="Y137" s="83"/>
      <c r="Z137" s="83"/>
      <c r="AA137" s="83"/>
      <c r="AB137" s="83"/>
    </row>
    <row r="138">
      <c r="P138" s="83"/>
      <c r="Q138" s="83"/>
      <c r="R138" s="83"/>
      <c r="S138" s="83"/>
      <c r="T138" s="83"/>
      <c r="U138" s="83"/>
      <c r="V138" s="94"/>
      <c r="W138" s="83"/>
      <c r="X138" s="83"/>
      <c r="Y138" s="83"/>
      <c r="Z138" s="83"/>
      <c r="AA138" s="83"/>
      <c r="AB138" s="83"/>
    </row>
    <row r="139">
      <c r="P139" s="83"/>
      <c r="Q139" s="83"/>
      <c r="R139" s="83"/>
      <c r="S139" s="83"/>
      <c r="T139" s="83"/>
      <c r="U139" s="83"/>
      <c r="V139" s="94"/>
      <c r="W139" s="83"/>
      <c r="X139" s="83"/>
      <c r="Y139" s="83"/>
      <c r="Z139" s="83"/>
      <c r="AA139" s="83"/>
      <c r="AB139" s="83"/>
    </row>
    <row r="140">
      <c r="P140" s="83"/>
      <c r="Q140" s="83"/>
      <c r="R140" s="83"/>
      <c r="S140" s="83"/>
      <c r="T140" s="83"/>
      <c r="U140" s="83"/>
      <c r="V140" s="94"/>
      <c r="W140" s="83"/>
      <c r="X140" s="83"/>
      <c r="Y140" s="83"/>
      <c r="Z140" s="83"/>
      <c r="AA140" s="83"/>
      <c r="AB140" s="83"/>
    </row>
    <row r="141">
      <c r="P141" s="83"/>
      <c r="Q141" s="83"/>
      <c r="R141" s="83"/>
      <c r="S141" s="83"/>
      <c r="T141" s="83"/>
      <c r="U141" s="83"/>
      <c r="V141" s="94"/>
      <c r="W141" s="83"/>
      <c r="X141" s="83"/>
      <c r="Y141" s="83"/>
      <c r="Z141" s="83"/>
      <c r="AA141" s="83"/>
      <c r="AB141" s="83"/>
    </row>
    <row r="142">
      <c r="P142" s="83"/>
      <c r="Q142" s="83"/>
      <c r="R142" s="83"/>
      <c r="S142" s="83"/>
      <c r="T142" s="83"/>
      <c r="U142" s="83"/>
      <c r="V142" s="94"/>
      <c r="W142" s="83"/>
      <c r="X142" s="83"/>
      <c r="Y142" s="83"/>
      <c r="Z142" s="83"/>
      <c r="AA142" s="83"/>
      <c r="AB142" s="83"/>
    </row>
    <row r="143">
      <c r="P143" s="83"/>
      <c r="Q143" s="83"/>
      <c r="R143" s="83"/>
      <c r="S143" s="83"/>
      <c r="T143" s="83"/>
      <c r="U143" s="83"/>
      <c r="V143" s="94"/>
      <c r="W143" s="83"/>
      <c r="X143" s="83"/>
      <c r="Y143" s="83"/>
      <c r="Z143" s="83"/>
      <c r="AA143" s="83"/>
      <c r="AB143" s="83"/>
    </row>
    <row r="144">
      <c r="P144" s="83"/>
      <c r="Q144" s="83"/>
      <c r="R144" s="83"/>
      <c r="S144" s="83"/>
      <c r="T144" s="83"/>
      <c r="U144" s="83"/>
      <c r="V144" s="94"/>
      <c r="W144" s="83"/>
      <c r="X144" s="83"/>
      <c r="Y144" s="83"/>
      <c r="Z144" s="83"/>
      <c r="AA144" s="83"/>
      <c r="AB144" s="83"/>
    </row>
    <row r="145">
      <c r="P145" s="83"/>
      <c r="Q145" s="83"/>
      <c r="R145" s="83"/>
      <c r="S145" s="83"/>
      <c r="T145" s="83"/>
      <c r="U145" s="83"/>
      <c r="V145" s="94"/>
      <c r="W145" s="83"/>
      <c r="X145" s="83"/>
      <c r="Y145" s="83"/>
      <c r="Z145" s="83"/>
      <c r="AA145" s="83"/>
      <c r="AB145" s="83"/>
    </row>
    <row r="146">
      <c r="P146" s="83"/>
      <c r="Q146" s="83"/>
      <c r="R146" s="83"/>
      <c r="S146" s="83"/>
      <c r="T146" s="83"/>
      <c r="U146" s="83"/>
      <c r="V146" s="94"/>
      <c r="W146" s="83"/>
      <c r="X146" s="83"/>
      <c r="Y146" s="83"/>
      <c r="Z146" s="83"/>
      <c r="AA146" s="83"/>
      <c r="AB146" s="83"/>
    </row>
    <row r="147">
      <c r="P147" s="83"/>
      <c r="Q147" s="83"/>
      <c r="R147" s="83"/>
      <c r="S147" s="83"/>
      <c r="T147" s="83"/>
      <c r="U147" s="83"/>
      <c r="V147" s="94"/>
      <c r="W147" s="83"/>
      <c r="X147" s="83"/>
      <c r="Y147" s="83"/>
      <c r="Z147" s="83"/>
      <c r="AA147" s="83"/>
      <c r="AB147" s="83"/>
    </row>
    <row r="148">
      <c r="P148" s="83"/>
      <c r="Q148" s="83"/>
      <c r="R148" s="83"/>
      <c r="S148" s="83"/>
      <c r="T148" s="83"/>
      <c r="U148" s="83"/>
      <c r="V148" s="94"/>
      <c r="W148" s="83"/>
      <c r="X148" s="83"/>
      <c r="Y148" s="83"/>
      <c r="Z148" s="83"/>
      <c r="AA148" s="83"/>
      <c r="AB148" s="83"/>
    </row>
    <row r="149">
      <c r="P149" s="83"/>
      <c r="Q149" s="83"/>
      <c r="R149" s="83"/>
      <c r="S149" s="83"/>
      <c r="T149" s="83"/>
      <c r="U149" s="83"/>
      <c r="V149" s="94"/>
      <c r="W149" s="83"/>
      <c r="X149" s="83"/>
      <c r="Y149" s="83"/>
      <c r="Z149" s="83"/>
      <c r="AA149" s="83"/>
      <c r="AB149" s="83"/>
    </row>
    <row r="150">
      <c r="P150" s="83"/>
      <c r="Q150" s="83"/>
      <c r="R150" s="83"/>
      <c r="S150" s="83"/>
      <c r="T150" s="83"/>
      <c r="U150" s="83"/>
      <c r="V150" s="94"/>
      <c r="W150" s="83"/>
      <c r="X150" s="83"/>
      <c r="Y150" s="83"/>
      <c r="Z150" s="83"/>
      <c r="AA150" s="83"/>
      <c r="AB150" s="83"/>
    </row>
    <row r="151">
      <c r="P151" s="83"/>
      <c r="Q151" s="83"/>
      <c r="R151" s="83"/>
      <c r="S151" s="83"/>
      <c r="T151" s="83"/>
      <c r="U151" s="83"/>
      <c r="V151" s="94"/>
      <c r="W151" s="83"/>
      <c r="X151" s="83"/>
      <c r="Y151" s="83"/>
      <c r="Z151" s="83"/>
      <c r="AA151" s="83"/>
      <c r="AB151" s="83"/>
    </row>
    <row r="152">
      <c r="P152" s="83"/>
      <c r="Q152" s="83"/>
      <c r="R152" s="83"/>
      <c r="S152" s="83"/>
      <c r="T152" s="83"/>
      <c r="U152" s="83"/>
      <c r="V152" s="94"/>
      <c r="W152" s="83"/>
      <c r="X152" s="83"/>
      <c r="Y152" s="83"/>
      <c r="Z152" s="83"/>
      <c r="AA152" s="83"/>
      <c r="AB152" s="83"/>
    </row>
    <row r="153">
      <c r="P153" s="83"/>
      <c r="Q153" s="83"/>
      <c r="R153" s="83"/>
      <c r="S153" s="83"/>
      <c r="T153" s="83"/>
      <c r="U153" s="83"/>
      <c r="V153" s="94"/>
      <c r="W153" s="83"/>
      <c r="X153" s="83"/>
      <c r="Y153" s="83"/>
      <c r="Z153" s="83"/>
      <c r="AA153" s="83"/>
      <c r="AB153" s="83"/>
    </row>
    <row r="154">
      <c r="P154" s="83"/>
      <c r="Q154" s="83"/>
      <c r="R154" s="83"/>
      <c r="S154" s="83"/>
      <c r="T154" s="83"/>
      <c r="U154" s="83"/>
      <c r="V154" s="94"/>
      <c r="W154" s="83"/>
      <c r="X154" s="83"/>
      <c r="Y154" s="83"/>
      <c r="Z154" s="83"/>
      <c r="AA154" s="83"/>
      <c r="AB154" s="83"/>
    </row>
    <row r="155">
      <c r="P155" s="83"/>
      <c r="Q155" s="83"/>
      <c r="R155" s="83"/>
      <c r="S155" s="83"/>
      <c r="T155" s="83"/>
      <c r="U155" s="83"/>
      <c r="V155" s="94"/>
      <c r="W155" s="83"/>
      <c r="X155" s="83"/>
      <c r="Y155" s="83"/>
      <c r="Z155" s="83"/>
      <c r="AA155" s="83"/>
      <c r="AB155" s="83"/>
    </row>
    <row r="156">
      <c r="P156" s="83"/>
      <c r="Q156" s="83"/>
      <c r="R156" s="83"/>
      <c r="S156" s="83"/>
      <c r="T156" s="83"/>
      <c r="U156" s="83"/>
      <c r="V156" s="94"/>
      <c r="W156" s="83"/>
      <c r="X156" s="83"/>
      <c r="Y156" s="83"/>
      <c r="Z156" s="83"/>
      <c r="AA156" s="83"/>
      <c r="AB156" s="83"/>
    </row>
    <row r="157">
      <c r="P157" s="83"/>
      <c r="Q157" s="83"/>
      <c r="R157" s="83"/>
      <c r="S157" s="83"/>
      <c r="T157" s="83"/>
      <c r="U157" s="83"/>
      <c r="V157" s="94"/>
      <c r="W157" s="83"/>
      <c r="X157" s="83"/>
      <c r="Y157" s="83"/>
      <c r="Z157" s="83"/>
      <c r="AA157" s="83"/>
      <c r="AB157" s="83"/>
    </row>
    <row r="158">
      <c r="P158" s="83"/>
      <c r="Q158" s="83"/>
      <c r="R158" s="83"/>
      <c r="S158" s="83"/>
      <c r="T158" s="83"/>
      <c r="U158" s="83"/>
      <c r="V158" s="94"/>
      <c r="W158" s="83"/>
      <c r="X158" s="83"/>
      <c r="Y158" s="83"/>
      <c r="Z158" s="83"/>
      <c r="AA158" s="83"/>
      <c r="AB158" s="83"/>
    </row>
    <row r="159">
      <c r="P159" s="83"/>
      <c r="Q159" s="83"/>
      <c r="R159" s="83"/>
      <c r="S159" s="83"/>
      <c r="T159" s="83"/>
      <c r="U159" s="83"/>
      <c r="V159" s="94"/>
      <c r="W159" s="83"/>
      <c r="X159" s="83"/>
      <c r="Y159" s="83"/>
      <c r="Z159" s="83"/>
      <c r="AA159" s="83"/>
      <c r="AB159" s="83"/>
    </row>
    <row r="160">
      <c r="P160" s="83"/>
      <c r="Q160" s="83"/>
      <c r="R160" s="83"/>
      <c r="S160" s="83"/>
      <c r="T160" s="83"/>
      <c r="U160" s="83"/>
      <c r="V160" s="94"/>
      <c r="W160" s="83"/>
      <c r="X160" s="83"/>
      <c r="Y160" s="83"/>
      <c r="Z160" s="83"/>
      <c r="AA160" s="83"/>
      <c r="AB160" s="83"/>
    </row>
    <row r="161">
      <c r="P161" s="83"/>
      <c r="Q161" s="83"/>
      <c r="R161" s="83"/>
      <c r="S161" s="83"/>
      <c r="T161" s="83"/>
      <c r="U161" s="83"/>
      <c r="V161" s="94"/>
      <c r="W161" s="83"/>
      <c r="X161" s="83"/>
      <c r="Y161" s="83"/>
      <c r="Z161" s="83"/>
      <c r="AA161" s="83"/>
      <c r="AB161" s="83"/>
    </row>
    <row r="162">
      <c r="P162" s="83"/>
      <c r="Q162" s="83"/>
      <c r="R162" s="83"/>
      <c r="S162" s="83"/>
      <c r="T162" s="83"/>
      <c r="U162" s="83"/>
      <c r="V162" s="94"/>
      <c r="W162" s="83"/>
      <c r="X162" s="83"/>
      <c r="Y162" s="83"/>
      <c r="Z162" s="83"/>
      <c r="AA162" s="83"/>
      <c r="AB162" s="83"/>
    </row>
    <row r="163">
      <c r="P163" s="83"/>
      <c r="Q163" s="83"/>
      <c r="R163" s="83"/>
      <c r="S163" s="83"/>
      <c r="T163" s="83"/>
      <c r="U163" s="83"/>
      <c r="V163" s="94"/>
      <c r="W163" s="83"/>
      <c r="X163" s="83"/>
      <c r="Y163" s="83"/>
      <c r="Z163" s="83"/>
      <c r="AA163" s="83"/>
      <c r="AB163" s="83"/>
    </row>
    <row r="164">
      <c r="P164" s="83"/>
      <c r="Q164" s="83"/>
      <c r="R164" s="83"/>
      <c r="S164" s="83"/>
      <c r="T164" s="83"/>
      <c r="U164" s="83"/>
      <c r="V164" s="94"/>
      <c r="W164" s="83"/>
      <c r="X164" s="83"/>
      <c r="Y164" s="83"/>
      <c r="Z164" s="83"/>
      <c r="AA164" s="83"/>
      <c r="AB164" s="83"/>
    </row>
    <row r="165">
      <c r="P165" s="83"/>
      <c r="Q165" s="83"/>
      <c r="R165" s="83"/>
      <c r="S165" s="83"/>
      <c r="T165" s="83"/>
      <c r="U165" s="83"/>
      <c r="V165" s="94"/>
      <c r="W165" s="83"/>
      <c r="X165" s="83"/>
      <c r="Y165" s="83"/>
      <c r="Z165" s="83"/>
      <c r="AA165" s="83"/>
      <c r="AB165" s="83"/>
    </row>
    <row r="166">
      <c r="P166" s="83"/>
      <c r="Q166" s="83"/>
      <c r="R166" s="83"/>
      <c r="S166" s="83"/>
      <c r="T166" s="83"/>
      <c r="U166" s="83"/>
      <c r="V166" s="94"/>
      <c r="W166" s="83"/>
      <c r="X166" s="83"/>
      <c r="Y166" s="83"/>
      <c r="Z166" s="83"/>
      <c r="AA166" s="83"/>
      <c r="AB166" s="83"/>
    </row>
    <row r="167">
      <c r="P167" s="83"/>
      <c r="Q167" s="83"/>
      <c r="R167" s="83"/>
      <c r="S167" s="83"/>
      <c r="T167" s="83"/>
      <c r="U167" s="83"/>
      <c r="V167" s="94"/>
      <c r="W167" s="83"/>
      <c r="X167" s="83"/>
      <c r="Y167" s="83"/>
      <c r="Z167" s="83"/>
      <c r="AA167" s="83"/>
      <c r="AB167" s="83"/>
    </row>
    <row r="168">
      <c r="P168" s="83"/>
      <c r="Q168" s="83"/>
      <c r="R168" s="83"/>
      <c r="S168" s="83"/>
      <c r="T168" s="83"/>
      <c r="U168" s="83"/>
      <c r="V168" s="94"/>
      <c r="W168" s="83"/>
      <c r="X168" s="83"/>
      <c r="Y168" s="83"/>
      <c r="Z168" s="83"/>
      <c r="AA168" s="83"/>
      <c r="AB168" s="83"/>
    </row>
    <row r="169">
      <c r="P169" s="83"/>
      <c r="Q169" s="83"/>
      <c r="R169" s="83"/>
      <c r="S169" s="83"/>
      <c r="T169" s="83"/>
      <c r="U169" s="83"/>
      <c r="V169" s="94"/>
      <c r="W169" s="83"/>
      <c r="X169" s="83"/>
      <c r="Y169" s="83"/>
      <c r="Z169" s="83"/>
      <c r="AA169" s="83"/>
      <c r="AB169" s="83"/>
    </row>
    <row r="170">
      <c r="P170" s="83"/>
      <c r="Q170" s="83"/>
      <c r="R170" s="83"/>
      <c r="S170" s="83"/>
      <c r="T170" s="83"/>
      <c r="U170" s="83"/>
      <c r="V170" s="94"/>
      <c r="W170" s="83"/>
      <c r="X170" s="83"/>
      <c r="Y170" s="83"/>
      <c r="Z170" s="83"/>
      <c r="AA170" s="83"/>
      <c r="AB170" s="83"/>
    </row>
    <row r="171">
      <c r="P171" s="83"/>
      <c r="Q171" s="83"/>
      <c r="R171" s="83"/>
      <c r="S171" s="83"/>
      <c r="T171" s="83"/>
      <c r="U171" s="83"/>
      <c r="V171" s="94"/>
      <c r="W171" s="83"/>
      <c r="X171" s="83"/>
      <c r="Y171" s="83"/>
      <c r="Z171" s="83"/>
      <c r="AA171" s="83"/>
      <c r="AB171" s="83"/>
    </row>
    <row r="172">
      <c r="P172" s="83"/>
      <c r="Q172" s="83"/>
      <c r="R172" s="83"/>
      <c r="S172" s="83"/>
      <c r="T172" s="83"/>
      <c r="U172" s="83"/>
      <c r="V172" s="94"/>
      <c r="W172" s="83"/>
      <c r="X172" s="83"/>
      <c r="Y172" s="83"/>
      <c r="Z172" s="83"/>
      <c r="AA172" s="83"/>
      <c r="AB172" s="83"/>
    </row>
    <row r="173">
      <c r="P173" s="83"/>
      <c r="Q173" s="83"/>
      <c r="R173" s="83"/>
      <c r="S173" s="83"/>
      <c r="T173" s="83"/>
      <c r="U173" s="83"/>
      <c r="V173" s="94"/>
      <c r="W173" s="83"/>
      <c r="X173" s="83"/>
      <c r="Y173" s="83"/>
      <c r="Z173" s="83"/>
      <c r="AA173" s="83"/>
      <c r="AB173" s="83"/>
    </row>
    <row r="174">
      <c r="P174" s="83"/>
      <c r="Q174" s="83"/>
      <c r="R174" s="83"/>
      <c r="S174" s="83"/>
      <c r="T174" s="83"/>
      <c r="U174" s="83"/>
      <c r="V174" s="94"/>
      <c r="W174" s="83"/>
      <c r="X174" s="83"/>
      <c r="Y174" s="83"/>
      <c r="Z174" s="83"/>
      <c r="AA174" s="83"/>
      <c r="AB174" s="83"/>
    </row>
    <row r="175">
      <c r="P175" s="83"/>
      <c r="Q175" s="83"/>
      <c r="R175" s="83"/>
      <c r="S175" s="83"/>
      <c r="T175" s="83"/>
      <c r="U175" s="83"/>
      <c r="V175" s="94"/>
      <c r="W175" s="83"/>
      <c r="X175" s="83"/>
      <c r="Y175" s="83"/>
      <c r="Z175" s="83"/>
      <c r="AA175" s="83"/>
      <c r="AB175" s="83"/>
    </row>
    <row r="176">
      <c r="P176" s="83"/>
      <c r="Q176" s="83"/>
      <c r="R176" s="83"/>
      <c r="S176" s="83"/>
      <c r="T176" s="83"/>
      <c r="U176" s="83"/>
      <c r="V176" s="94"/>
      <c r="W176" s="83"/>
      <c r="X176" s="83"/>
      <c r="Y176" s="83"/>
      <c r="Z176" s="83"/>
      <c r="AA176" s="83"/>
      <c r="AB176" s="83"/>
    </row>
    <row r="177">
      <c r="P177" s="83"/>
      <c r="Q177" s="83"/>
      <c r="R177" s="83"/>
      <c r="S177" s="83"/>
      <c r="T177" s="83"/>
      <c r="U177" s="83"/>
      <c r="V177" s="94"/>
      <c r="W177" s="83"/>
      <c r="X177" s="83"/>
      <c r="Y177" s="83"/>
      <c r="Z177" s="83"/>
      <c r="AA177" s="83"/>
      <c r="AB177" s="83"/>
    </row>
    <row r="178">
      <c r="P178" s="83"/>
      <c r="Q178" s="83"/>
      <c r="R178" s="83"/>
      <c r="S178" s="83"/>
      <c r="T178" s="83"/>
      <c r="U178" s="83"/>
      <c r="V178" s="94"/>
      <c r="W178" s="83"/>
      <c r="X178" s="83"/>
      <c r="Y178" s="83"/>
      <c r="Z178" s="83"/>
      <c r="AA178" s="83"/>
      <c r="AB178" s="83"/>
    </row>
    <row r="179">
      <c r="P179" s="83"/>
      <c r="Q179" s="83"/>
      <c r="R179" s="83"/>
      <c r="S179" s="83"/>
      <c r="T179" s="83"/>
      <c r="U179" s="83"/>
      <c r="V179" s="94"/>
      <c r="W179" s="83"/>
      <c r="X179" s="83"/>
      <c r="Y179" s="83"/>
      <c r="Z179" s="83"/>
      <c r="AA179" s="83"/>
      <c r="AB179" s="83"/>
    </row>
    <row r="180">
      <c r="P180" s="83"/>
      <c r="Q180" s="83"/>
      <c r="R180" s="83"/>
      <c r="S180" s="83"/>
      <c r="T180" s="83"/>
      <c r="U180" s="83"/>
      <c r="V180" s="94"/>
      <c r="W180" s="83"/>
      <c r="X180" s="83"/>
      <c r="Y180" s="83"/>
      <c r="Z180" s="83"/>
      <c r="AA180" s="83"/>
      <c r="AB180" s="83"/>
    </row>
    <row r="181">
      <c r="P181" s="83"/>
      <c r="Q181" s="83"/>
      <c r="R181" s="83"/>
      <c r="S181" s="83"/>
      <c r="T181" s="83"/>
      <c r="U181" s="83"/>
      <c r="V181" s="94"/>
      <c r="W181" s="83"/>
      <c r="X181" s="83"/>
      <c r="Y181" s="83"/>
      <c r="Z181" s="83"/>
      <c r="AA181" s="83"/>
      <c r="AB181" s="83"/>
    </row>
    <row r="182">
      <c r="P182" s="83"/>
      <c r="Q182" s="83"/>
      <c r="R182" s="83"/>
      <c r="S182" s="83"/>
      <c r="T182" s="83"/>
      <c r="U182" s="83"/>
      <c r="V182" s="94"/>
      <c r="W182" s="83"/>
      <c r="X182" s="83"/>
      <c r="Y182" s="83"/>
      <c r="Z182" s="83"/>
      <c r="AA182" s="83"/>
      <c r="AB182" s="83"/>
    </row>
    <row r="183">
      <c r="P183" s="83"/>
      <c r="Q183" s="83"/>
      <c r="R183" s="83"/>
      <c r="S183" s="83"/>
      <c r="T183" s="83"/>
      <c r="U183" s="83"/>
      <c r="V183" s="94"/>
      <c r="W183" s="83"/>
      <c r="X183" s="83"/>
      <c r="Y183" s="83"/>
      <c r="Z183" s="83"/>
      <c r="AA183" s="83"/>
      <c r="AB183" s="83"/>
    </row>
    <row r="184">
      <c r="P184" s="83"/>
      <c r="Q184" s="83"/>
      <c r="R184" s="83"/>
      <c r="S184" s="83"/>
      <c r="T184" s="83"/>
      <c r="U184" s="83"/>
      <c r="V184" s="94"/>
      <c r="W184" s="83"/>
      <c r="X184" s="83"/>
      <c r="Y184" s="83"/>
      <c r="Z184" s="83"/>
      <c r="AA184" s="83"/>
      <c r="AB184" s="83"/>
    </row>
    <row r="185">
      <c r="P185" s="83"/>
      <c r="Q185" s="83"/>
      <c r="R185" s="83"/>
      <c r="S185" s="83"/>
      <c r="T185" s="83"/>
      <c r="U185" s="83"/>
      <c r="V185" s="94"/>
      <c r="W185" s="83"/>
      <c r="X185" s="83"/>
      <c r="Y185" s="83"/>
      <c r="Z185" s="83"/>
      <c r="AA185" s="83"/>
      <c r="AB185" s="83"/>
    </row>
    <row r="186">
      <c r="P186" s="83"/>
      <c r="Q186" s="83"/>
      <c r="R186" s="83"/>
      <c r="S186" s="83"/>
      <c r="T186" s="83"/>
      <c r="U186" s="83"/>
      <c r="V186" s="94"/>
      <c r="W186" s="83"/>
      <c r="X186" s="83"/>
      <c r="Y186" s="83"/>
      <c r="Z186" s="83"/>
      <c r="AA186" s="83"/>
      <c r="AB186" s="83"/>
    </row>
    <row r="187">
      <c r="P187" s="83"/>
      <c r="Q187" s="83"/>
      <c r="R187" s="83"/>
      <c r="S187" s="83"/>
      <c r="T187" s="83"/>
      <c r="U187" s="83"/>
      <c r="V187" s="94"/>
      <c r="W187" s="83"/>
      <c r="X187" s="83"/>
      <c r="Y187" s="83"/>
      <c r="Z187" s="83"/>
      <c r="AA187" s="83"/>
      <c r="AB187" s="83"/>
    </row>
    <row r="188">
      <c r="P188" s="83"/>
      <c r="Q188" s="83"/>
      <c r="R188" s="83"/>
      <c r="S188" s="83"/>
      <c r="T188" s="83"/>
      <c r="U188" s="83"/>
      <c r="V188" s="94"/>
      <c r="W188" s="83"/>
      <c r="X188" s="83"/>
      <c r="Y188" s="83"/>
      <c r="Z188" s="83"/>
      <c r="AA188" s="83"/>
      <c r="AB188" s="83"/>
    </row>
    <row r="189">
      <c r="P189" s="83"/>
      <c r="Q189" s="83"/>
      <c r="R189" s="83"/>
      <c r="S189" s="83"/>
      <c r="T189" s="83"/>
      <c r="U189" s="83"/>
      <c r="V189" s="94"/>
      <c r="W189" s="83"/>
      <c r="X189" s="83"/>
      <c r="Y189" s="83"/>
      <c r="Z189" s="83"/>
      <c r="AA189" s="83"/>
      <c r="AB189" s="83"/>
    </row>
    <row r="190">
      <c r="P190" s="83"/>
      <c r="Q190" s="83"/>
      <c r="R190" s="83"/>
      <c r="S190" s="83"/>
      <c r="T190" s="83"/>
      <c r="U190" s="83"/>
      <c r="V190" s="94"/>
      <c r="W190" s="83"/>
      <c r="X190" s="83"/>
      <c r="Y190" s="83"/>
      <c r="Z190" s="83"/>
      <c r="AA190" s="83"/>
      <c r="AB190" s="83"/>
    </row>
    <row r="191">
      <c r="P191" s="83"/>
      <c r="Q191" s="83"/>
      <c r="R191" s="83"/>
      <c r="S191" s="83"/>
      <c r="T191" s="83"/>
      <c r="U191" s="83"/>
      <c r="V191" s="94"/>
      <c r="W191" s="83"/>
      <c r="X191" s="83"/>
      <c r="Y191" s="83"/>
      <c r="Z191" s="83"/>
      <c r="AA191" s="83"/>
      <c r="AB191" s="83"/>
    </row>
    <row r="192">
      <c r="P192" s="83"/>
      <c r="Q192" s="83"/>
      <c r="R192" s="83"/>
      <c r="S192" s="83"/>
      <c r="T192" s="83"/>
      <c r="U192" s="83"/>
      <c r="V192" s="94"/>
      <c r="W192" s="83"/>
      <c r="X192" s="83"/>
      <c r="Y192" s="83"/>
      <c r="Z192" s="83"/>
      <c r="AA192" s="83"/>
      <c r="AB192" s="83"/>
    </row>
    <row r="193">
      <c r="P193" s="83"/>
      <c r="Q193" s="83"/>
      <c r="R193" s="83"/>
      <c r="S193" s="83"/>
      <c r="T193" s="83"/>
      <c r="U193" s="83"/>
      <c r="V193" s="94"/>
      <c r="W193" s="83"/>
      <c r="X193" s="83"/>
      <c r="Y193" s="83"/>
      <c r="Z193" s="83"/>
      <c r="AA193" s="83"/>
      <c r="AB193" s="83"/>
    </row>
    <row r="194">
      <c r="P194" s="83"/>
      <c r="Q194" s="83"/>
      <c r="R194" s="83"/>
      <c r="S194" s="83"/>
      <c r="T194" s="83"/>
      <c r="U194" s="83"/>
      <c r="V194" s="94"/>
      <c r="W194" s="83"/>
      <c r="X194" s="83"/>
      <c r="Y194" s="83"/>
      <c r="Z194" s="83"/>
      <c r="AA194" s="83"/>
      <c r="AB194" s="83"/>
    </row>
    <row r="195">
      <c r="P195" s="83"/>
      <c r="Q195" s="83"/>
      <c r="R195" s="83"/>
      <c r="S195" s="83"/>
      <c r="T195" s="83"/>
      <c r="U195" s="83"/>
      <c r="V195" s="94"/>
      <c r="W195" s="83"/>
      <c r="X195" s="83"/>
      <c r="Y195" s="83"/>
      <c r="Z195" s="83"/>
      <c r="AA195" s="83"/>
      <c r="AB195" s="83"/>
    </row>
    <row r="196">
      <c r="P196" s="83"/>
      <c r="Q196" s="83"/>
      <c r="R196" s="83"/>
      <c r="S196" s="83"/>
      <c r="T196" s="83"/>
      <c r="U196" s="83"/>
      <c r="V196" s="94"/>
      <c r="W196" s="83"/>
      <c r="X196" s="83"/>
      <c r="Y196" s="83"/>
      <c r="Z196" s="83"/>
      <c r="AA196" s="83"/>
      <c r="AB196" s="83"/>
    </row>
    <row r="197">
      <c r="P197" s="83"/>
      <c r="Q197" s="83"/>
      <c r="R197" s="83"/>
      <c r="S197" s="83"/>
      <c r="T197" s="83"/>
      <c r="U197" s="83"/>
      <c r="V197" s="94"/>
      <c r="W197" s="83"/>
      <c r="X197" s="83"/>
      <c r="Y197" s="83"/>
      <c r="Z197" s="83"/>
      <c r="AA197" s="83"/>
      <c r="AB197" s="83"/>
    </row>
    <row r="198">
      <c r="P198" s="83"/>
      <c r="Q198" s="83"/>
      <c r="R198" s="83"/>
      <c r="S198" s="83"/>
      <c r="T198" s="83"/>
      <c r="U198" s="83"/>
      <c r="V198" s="94"/>
      <c r="W198" s="83"/>
      <c r="X198" s="83"/>
      <c r="Y198" s="83"/>
      <c r="Z198" s="83"/>
      <c r="AA198" s="83"/>
      <c r="AB198" s="83"/>
    </row>
    <row r="199">
      <c r="P199" s="83"/>
      <c r="Q199" s="83"/>
      <c r="R199" s="83"/>
      <c r="S199" s="83"/>
      <c r="T199" s="83"/>
      <c r="U199" s="83"/>
      <c r="V199" s="94"/>
      <c r="W199" s="83"/>
      <c r="X199" s="83"/>
      <c r="Y199" s="83"/>
      <c r="Z199" s="83"/>
      <c r="AA199" s="83"/>
      <c r="AB199" s="83"/>
    </row>
    <row r="200">
      <c r="P200" s="83"/>
      <c r="Q200" s="83"/>
      <c r="R200" s="83"/>
      <c r="S200" s="83"/>
      <c r="T200" s="83"/>
      <c r="U200" s="83"/>
      <c r="V200" s="94"/>
      <c r="W200" s="83"/>
      <c r="X200" s="83"/>
      <c r="Y200" s="83"/>
      <c r="Z200" s="83"/>
      <c r="AA200" s="83"/>
      <c r="AB200" s="83"/>
    </row>
    <row r="201">
      <c r="P201" s="83"/>
      <c r="Q201" s="83"/>
      <c r="R201" s="83"/>
      <c r="S201" s="83"/>
      <c r="T201" s="83"/>
      <c r="U201" s="83"/>
      <c r="V201" s="94"/>
      <c r="W201" s="83"/>
      <c r="X201" s="83"/>
      <c r="Y201" s="83"/>
      <c r="Z201" s="83"/>
      <c r="AA201" s="83"/>
      <c r="AB201" s="83"/>
    </row>
    <row r="202">
      <c r="P202" s="83"/>
      <c r="Q202" s="83"/>
      <c r="R202" s="83"/>
      <c r="S202" s="83"/>
      <c r="T202" s="83"/>
      <c r="U202" s="83"/>
      <c r="V202" s="94"/>
      <c r="W202" s="83"/>
      <c r="X202" s="83"/>
      <c r="Y202" s="83"/>
      <c r="Z202" s="83"/>
      <c r="AA202" s="83"/>
      <c r="AB202" s="83"/>
    </row>
    <row r="203">
      <c r="P203" s="83"/>
      <c r="Q203" s="83"/>
      <c r="R203" s="83"/>
      <c r="S203" s="83"/>
      <c r="T203" s="83"/>
      <c r="U203" s="83"/>
      <c r="V203" s="94"/>
      <c r="W203" s="83"/>
      <c r="X203" s="83"/>
      <c r="Y203" s="83"/>
      <c r="Z203" s="83"/>
      <c r="AA203" s="83"/>
      <c r="AB203" s="83"/>
    </row>
    <row r="204">
      <c r="P204" s="83"/>
      <c r="Q204" s="83"/>
      <c r="R204" s="83"/>
      <c r="S204" s="83"/>
      <c r="T204" s="83"/>
      <c r="U204" s="83"/>
      <c r="V204" s="94"/>
      <c r="W204" s="83"/>
      <c r="X204" s="83"/>
      <c r="Y204" s="83"/>
      <c r="Z204" s="83"/>
      <c r="AA204" s="83"/>
      <c r="AB204" s="83"/>
    </row>
    <row r="205">
      <c r="P205" s="83"/>
      <c r="Q205" s="83"/>
      <c r="R205" s="83"/>
      <c r="S205" s="83"/>
      <c r="T205" s="83"/>
      <c r="U205" s="83"/>
      <c r="V205" s="94"/>
      <c r="W205" s="83"/>
      <c r="X205" s="83"/>
      <c r="Y205" s="83"/>
      <c r="Z205" s="83"/>
      <c r="AA205" s="83"/>
      <c r="AB205" s="83"/>
    </row>
    <row r="206">
      <c r="P206" s="83"/>
      <c r="Q206" s="83"/>
      <c r="R206" s="83"/>
      <c r="S206" s="83"/>
      <c r="T206" s="83"/>
      <c r="U206" s="83"/>
      <c r="V206" s="94"/>
      <c r="W206" s="83"/>
      <c r="X206" s="83"/>
      <c r="Y206" s="83"/>
      <c r="Z206" s="83"/>
      <c r="AA206" s="83"/>
      <c r="AB206" s="83"/>
    </row>
    <row r="207">
      <c r="P207" s="83"/>
      <c r="Q207" s="83"/>
      <c r="R207" s="83"/>
      <c r="S207" s="83"/>
      <c r="T207" s="83"/>
      <c r="U207" s="83"/>
      <c r="V207" s="94"/>
      <c r="W207" s="83"/>
      <c r="X207" s="83"/>
      <c r="Y207" s="83"/>
      <c r="Z207" s="83"/>
      <c r="AA207" s="83"/>
      <c r="AB207" s="83"/>
    </row>
    <row r="208">
      <c r="P208" s="83"/>
      <c r="Q208" s="83"/>
      <c r="R208" s="83"/>
      <c r="S208" s="83"/>
      <c r="T208" s="83"/>
      <c r="U208" s="83"/>
      <c r="V208" s="94"/>
      <c r="W208" s="83"/>
      <c r="X208" s="83"/>
      <c r="Y208" s="83"/>
      <c r="Z208" s="83"/>
      <c r="AA208" s="83"/>
      <c r="AB208" s="83"/>
    </row>
    <row r="209">
      <c r="P209" s="83"/>
      <c r="Q209" s="83"/>
      <c r="R209" s="83"/>
      <c r="S209" s="83"/>
      <c r="T209" s="83"/>
      <c r="U209" s="83"/>
      <c r="V209" s="94"/>
      <c r="W209" s="83"/>
      <c r="X209" s="83"/>
      <c r="Y209" s="83"/>
      <c r="Z209" s="83"/>
      <c r="AA209" s="83"/>
      <c r="AB209" s="83"/>
    </row>
    <row r="210">
      <c r="P210" s="83"/>
      <c r="Q210" s="83"/>
      <c r="R210" s="83"/>
      <c r="S210" s="83"/>
      <c r="T210" s="83"/>
      <c r="U210" s="83"/>
      <c r="V210" s="94"/>
      <c r="W210" s="83"/>
      <c r="X210" s="83"/>
      <c r="Y210" s="83"/>
      <c r="Z210" s="83"/>
      <c r="AA210" s="83"/>
      <c r="AB210" s="83"/>
    </row>
    <row r="211">
      <c r="P211" s="83"/>
      <c r="Q211" s="83"/>
      <c r="R211" s="83"/>
      <c r="S211" s="83"/>
      <c r="T211" s="83"/>
      <c r="U211" s="83"/>
      <c r="V211" s="94"/>
      <c r="W211" s="83"/>
      <c r="X211" s="83"/>
      <c r="Y211" s="83"/>
      <c r="Z211" s="83"/>
      <c r="AA211" s="83"/>
      <c r="AB211" s="83"/>
    </row>
    <row r="212">
      <c r="P212" s="83"/>
      <c r="Q212" s="83"/>
      <c r="R212" s="83"/>
      <c r="S212" s="83"/>
      <c r="T212" s="83"/>
      <c r="U212" s="83"/>
      <c r="V212" s="94"/>
      <c r="W212" s="83"/>
      <c r="X212" s="83"/>
      <c r="Y212" s="83"/>
      <c r="Z212" s="83"/>
      <c r="AA212" s="83"/>
      <c r="AB212" s="83"/>
    </row>
    <row r="213">
      <c r="P213" s="83"/>
      <c r="Q213" s="83"/>
      <c r="R213" s="83"/>
      <c r="S213" s="83"/>
      <c r="T213" s="83"/>
      <c r="U213" s="83"/>
      <c r="V213" s="94"/>
      <c r="W213" s="83"/>
      <c r="X213" s="83"/>
      <c r="Y213" s="83"/>
      <c r="Z213" s="83"/>
      <c r="AA213" s="83"/>
      <c r="AB213" s="83"/>
    </row>
    <row r="214">
      <c r="P214" s="83"/>
      <c r="Q214" s="83"/>
      <c r="R214" s="83"/>
      <c r="S214" s="83"/>
      <c r="T214" s="83"/>
      <c r="U214" s="83"/>
      <c r="V214" s="94"/>
      <c r="W214" s="83"/>
      <c r="X214" s="83"/>
      <c r="Y214" s="83"/>
      <c r="Z214" s="83"/>
      <c r="AA214" s="83"/>
      <c r="AB214" s="83"/>
    </row>
    <row r="215">
      <c r="P215" s="83"/>
      <c r="Q215" s="83"/>
      <c r="R215" s="83"/>
      <c r="S215" s="83"/>
      <c r="T215" s="83"/>
      <c r="U215" s="83"/>
      <c r="V215" s="94"/>
      <c r="W215" s="83"/>
      <c r="X215" s="83"/>
      <c r="Y215" s="83"/>
      <c r="Z215" s="83"/>
      <c r="AA215" s="83"/>
      <c r="AB215" s="83"/>
    </row>
    <row r="216">
      <c r="P216" s="83"/>
      <c r="Q216" s="83"/>
      <c r="R216" s="83"/>
      <c r="S216" s="83"/>
      <c r="T216" s="83"/>
      <c r="U216" s="83"/>
      <c r="V216" s="94"/>
      <c r="W216" s="83"/>
      <c r="X216" s="83"/>
      <c r="Y216" s="83"/>
      <c r="Z216" s="83"/>
      <c r="AA216" s="83"/>
      <c r="AB216" s="83"/>
    </row>
    <row r="217">
      <c r="P217" s="83"/>
      <c r="Q217" s="83"/>
      <c r="R217" s="83"/>
      <c r="S217" s="83"/>
      <c r="T217" s="83"/>
      <c r="U217" s="83"/>
      <c r="V217" s="94"/>
      <c r="W217" s="83"/>
      <c r="X217" s="83"/>
      <c r="Y217" s="83"/>
      <c r="Z217" s="83"/>
      <c r="AA217" s="83"/>
      <c r="AB217" s="83"/>
    </row>
    <row r="218">
      <c r="P218" s="83"/>
      <c r="Q218" s="83"/>
      <c r="R218" s="83"/>
      <c r="S218" s="83"/>
      <c r="T218" s="83"/>
      <c r="U218" s="83"/>
      <c r="V218" s="94"/>
      <c r="W218" s="83"/>
      <c r="X218" s="83"/>
      <c r="Y218" s="83"/>
      <c r="Z218" s="83"/>
      <c r="AA218" s="83"/>
      <c r="AB218" s="83"/>
    </row>
    <row r="219">
      <c r="P219" s="83"/>
      <c r="Q219" s="83"/>
      <c r="R219" s="83"/>
      <c r="S219" s="83"/>
      <c r="T219" s="83"/>
      <c r="U219" s="83"/>
      <c r="V219" s="94"/>
      <c r="W219" s="83"/>
      <c r="X219" s="83"/>
      <c r="Y219" s="83"/>
      <c r="Z219" s="83"/>
      <c r="AA219" s="83"/>
      <c r="AB219" s="83"/>
    </row>
    <row r="220">
      <c r="P220" s="83"/>
      <c r="Q220" s="83"/>
      <c r="R220" s="83"/>
      <c r="S220" s="83"/>
      <c r="T220" s="83"/>
      <c r="U220" s="83"/>
      <c r="V220" s="94"/>
      <c r="W220" s="83"/>
      <c r="X220" s="83"/>
      <c r="Y220" s="83"/>
      <c r="Z220" s="83"/>
      <c r="AA220" s="83"/>
      <c r="AB220" s="83"/>
    </row>
    <row r="221">
      <c r="P221" s="83"/>
      <c r="Q221" s="83"/>
      <c r="R221" s="83"/>
      <c r="S221" s="83"/>
      <c r="T221" s="83"/>
      <c r="U221" s="83"/>
      <c r="V221" s="94"/>
      <c r="W221" s="83"/>
      <c r="X221" s="83"/>
      <c r="Y221" s="83"/>
      <c r="Z221" s="83"/>
      <c r="AA221" s="83"/>
      <c r="AB221" s="83"/>
    </row>
    <row r="222">
      <c r="P222" s="83"/>
      <c r="Q222" s="83"/>
      <c r="R222" s="83"/>
      <c r="S222" s="83"/>
      <c r="T222" s="83"/>
      <c r="U222" s="83"/>
      <c r="V222" s="94"/>
      <c r="W222" s="83"/>
      <c r="X222" s="83"/>
      <c r="Y222" s="83"/>
      <c r="Z222" s="83"/>
      <c r="AA222" s="83"/>
      <c r="AB222" s="83"/>
    </row>
    <row r="223">
      <c r="P223" s="83"/>
      <c r="Q223" s="83"/>
      <c r="R223" s="83"/>
      <c r="S223" s="83"/>
      <c r="T223" s="83"/>
      <c r="U223" s="83"/>
      <c r="V223" s="94"/>
      <c r="W223" s="83"/>
      <c r="X223" s="83"/>
      <c r="Y223" s="83"/>
      <c r="Z223" s="83"/>
      <c r="AA223" s="83"/>
      <c r="AB223" s="83"/>
    </row>
    <row r="224">
      <c r="P224" s="83"/>
      <c r="Q224" s="83"/>
      <c r="R224" s="83"/>
      <c r="S224" s="83"/>
      <c r="T224" s="83"/>
      <c r="U224" s="83"/>
      <c r="V224" s="94"/>
      <c r="W224" s="83"/>
      <c r="X224" s="83"/>
      <c r="Y224" s="83"/>
      <c r="Z224" s="83"/>
      <c r="AA224" s="83"/>
      <c r="AB224" s="83"/>
    </row>
    <row r="225">
      <c r="P225" s="83"/>
      <c r="Q225" s="83"/>
      <c r="R225" s="83"/>
      <c r="S225" s="83"/>
      <c r="T225" s="83"/>
      <c r="U225" s="83"/>
      <c r="V225" s="94"/>
      <c r="W225" s="83"/>
      <c r="X225" s="83"/>
      <c r="Y225" s="83"/>
      <c r="Z225" s="83"/>
      <c r="AA225" s="83"/>
      <c r="AB225" s="83"/>
    </row>
    <row r="226">
      <c r="P226" s="83"/>
      <c r="Q226" s="83"/>
      <c r="R226" s="83"/>
      <c r="S226" s="83"/>
      <c r="T226" s="83"/>
      <c r="U226" s="83"/>
      <c r="V226" s="94"/>
      <c r="W226" s="83"/>
      <c r="X226" s="83"/>
      <c r="Y226" s="83"/>
      <c r="Z226" s="83"/>
      <c r="AA226" s="83"/>
      <c r="AB226" s="83"/>
    </row>
    <row r="227">
      <c r="P227" s="83"/>
      <c r="Q227" s="83"/>
      <c r="R227" s="83"/>
      <c r="S227" s="83"/>
      <c r="T227" s="83"/>
      <c r="U227" s="83"/>
      <c r="V227" s="94"/>
      <c r="W227" s="83"/>
      <c r="X227" s="83"/>
      <c r="Y227" s="83"/>
      <c r="Z227" s="83"/>
      <c r="AA227" s="83"/>
      <c r="AB227" s="83"/>
    </row>
    <row r="228">
      <c r="P228" s="83"/>
      <c r="Q228" s="83"/>
      <c r="R228" s="83"/>
      <c r="S228" s="83"/>
      <c r="T228" s="83"/>
      <c r="U228" s="83"/>
      <c r="V228" s="94"/>
      <c r="W228" s="83"/>
      <c r="X228" s="83"/>
      <c r="Y228" s="83"/>
      <c r="Z228" s="83"/>
      <c r="AA228" s="83"/>
      <c r="AB228" s="83"/>
    </row>
    <row r="229">
      <c r="P229" s="83"/>
      <c r="Q229" s="83"/>
      <c r="R229" s="83"/>
      <c r="S229" s="83"/>
      <c r="T229" s="83"/>
      <c r="U229" s="83"/>
      <c r="V229" s="94"/>
      <c r="W229" s="83"/>
      <c r="X229" s="83"/>
      <c r="Y229" s="83"/>
      <c r="Z229" s="83"/>
      <c r="AA229" s="83"/>
      <c r="AB229" s="83"/>
    </row>
    <row r="230">
      <c r="P230" s="83"/>
      <c r="Q230" s="83"/>
      <c r="R230" s="83"/>
      <c r="S230" s="83"/>
      <c r="T230" s="83"/>
      <c r="U230" s="83"/>
      <c r="V230" s="94"/>
      <c r="W230" s="83"/>
      <c r="X230" s="83"/>
      <c r="Y230" s="83"/>
      <c r="Z230" s="83"/>
      <c r="AA230" s="83"/>
      <c r="AB230" s="83"/>
    </row>
    <row r="231">
      <c r="P231" s="83"/>
      <c r="Q231" s="83"/>
      <c r="R231" s="83"/>
      <c r="S231" s="83"/>
      <c r="T231" s="83"/>
      <c r="U231" s="83"/>
      <c r="V231" s="94"/>
      <c r="W231" s="83"/>
      <c r="X231" s="83"/>
      <c r="Y231" s="83"/>
      <c r="Z231" s="83"/>
      <c r="AA231" s="83"/>
      <c r="AB231" s="83"/>
    </row>
    <row r="232">
      <c r="P232" s="83"/>
      <c r="Q232" s="83"/>
      <c r="R232" s="83"/>
      <c r="S232" s="83"/>
      <c r="T232" s="83"/>
      <c r="U232" s="83"/>
      <c r="V232" s="94"/>
      <c r="W232" s="83"/>
      <c r="X232" s="83"/>
      <c r="Y232" s="83"/>
      <c r="Z232" s="83"/>
      <c r="AA232" s="83"/>
      <c r="AB232" s="83"/>
    </row>
    <row r="233">
      <c r="P233" s="83"/>
      <c r="Q233" s="83"/>
      <c r="R233" s="83"/>
      <c r="S233" s="83"/>
      <c r="T233" s="83"/>
      <c r="U233" s="83"/>
      <c r="V233" s="94"/>
      <c r="W233" s="83"/>
      <c r="X233" s="83"/>
      <c r="Y233" s="83"/>
      <c r="Z233" s="83"/>
      <c r="AA233" s="83"/>
      <c r="AB233" s="83"/>
    </row>
    <row r="234">
      <c r="P234" s="83"/>
      <c r="Q234" s="83"/>
      <c r="R234" s="83"/>
      <c r="S234" s="83"/>
      <c r="T234" s="83"/>
      <c r="U234" s="83"/>
      <c r="V234" s="94"/>
      <c r="W234" s="83"/>
      <c r="X234" s="83"/>
      <c r="Y234" s="83"/>
      <c r="Z234" s="83"/>
      <c r="AA234" s="83"/>
      <c r="AB234" s="83"/>
    </row>
    <row r="235">
      <c r="P235" s="83"/>
      <c r="Q235" s="83"/>
      <c r="R235" s="83"/>
      <c r="S235" s="83"/>
      <c r="T235" s="83"/>
      <c r="U235" s="83"/>
      <c r="V235" s="94"/>
      <c r="W235" s="83"/>
      <c r="X235" s="83"/>
      <c r="Y235" s="83"/>
      <c r="Z235" s="83"/>
      <c r="AA235" s="83"/>
      <c r="AB235" s="83"/>
    </row>
    <row r="236">
      <c r="P236" s="83"/>
      <c r="Q236" s="83"/>
      <c r="R236" s="83"/>
      <c r="S236" s="83"/>
      <c r="T236" s="83"/>
      <c r="U236" s="83"/>
      <c r="V236" s="94"/>
      <c r="W236" s="83"/>
      <c r="X236" s="83"/>
      <c r="Y236" s="83"/>
      <c r="Z236" s="83"/>
      <c r="AA236" s="83"/>
      <c r="AB236" s="83"/>
    </row>
    <row r="237">
      <c r="P237" s="83"/>
      <c r="Q237" s="83"/>
      <c r="R237" s="83"/>
      <c r="S237" s="83"/>
      <c r="T237" s="83"/>
      <c r="U237" s="83"/>
      <c r="V237" s="94"/>
      <c r="W237" s="83"/>
      <c r="X237" s="83"/>
      <c r="Y237" s="83"/>
      <c r="Z237" s="83"/>
      <c r="AA237" s="83"/>
      <c r="AB237" s="83"/>
    </row>
    <row r="238">
      <c r="P238" s="83"/>
      <c r="Q238" s="83"/>
      <c r="R238" s="83"/>
      <c r="S238" s="83"/>
      <c r="T238" s="83"/>
      <c r="U238" s="83"/>
      <c r="V238" s="94"/>
      <c r="W238" s="83"/>
      <c r="X238" s="83"/>
      <c r="Y238" s="83"/>
      <c r="Z238" s="83"/>
      <c r="AA238" s="83"/>
      <c r="AB238" s="83"/>
    </row>
    <row r="239">
      <c r="P239" s="83"/>
      <c r="Q239" s="83"/>
      <c r="R239" s="83"/>
      <c r="S239" s="83"/>
      <c r="T239" s="83"/>
      <c r="U239" s="83"/>
      <c r="V239" s="94"/>
      <c r="W239" s="83"/>
      <c r="X239" s="83"/>
      <c r="Y239" s="83"/>
      <c r="Z239" s="83"/>
      <c r="AA239" s="83"/>
      <c r="AB239" s="83"/>
    </row>
    <row r="240">
      <c r="P240" s="83"/>
      <c r="Q240" s="83"/>
      <c r="R240" s="83"/>
      <c r="S240" s="83"/>
      <c r="T240" s="83"/>
      <c r="U240" s="83"/>
      <c r="V240" s="94"/>
      <c r="W240" s="83"/>
      <c r="X240" s="83"/>
      <c r="Y240" s="83"/>
      <c r="Z240" s="83"/>
      <c r="AA240" s="83"/>
      <c r="AB240" s="83"/>
    </row>
    <row r="241">
      <c r="P241" s="83"/>
      <c r="Q241" s="83"/>
      <c r="R241" s="83"/>
      <c r="S241" s="83"/>
      <c r="T241" s="83"/>
      <c r="U241" s="83"/>
      <c r="V241" s="94"/>
      <c r="W241" s="83"/>
      <c r="X241" s="83"/>
      <c r="Y241" s="83"/>
      <c r="Z241" s="83"/>
      <c r="AA241" s="83"/>
      <c r="AB241" s="83"/>
    </row>
    <row r="242">
      <c r="P242" s="83"/>
      <c r="Q242" s="83"/>
      <c r="R242" s="83"/>
      <c r="S242" s="83"/>
      <c r="T242" s="83"/>
      <c r="U242" s="83"/>
      <c r="V242" s="94"/>
      <c r="W242" s="83"/>
      <c r="X242" s="83"/>
      <c r="Y242" s="83"/>
      <c r="Z242" s="83"/>
      <c r="AA242" s="83"/>
      <c r="AB242" s="83"/>
    </row>
    <row r="243">
      <c r="P243" s="83"/>
      <c r="Q243" s="83"/>
      <c r="R243" s="83"/>
      <c r="S243" s="83"/>
      <c r="T243" s="83"/>
      <c r="U243" s="83"/>
      <c r="V243" s="94"/>
      <c r="W243" s="83"/>
      <c r="X243" s="83"/>
      <c r="Y243" s="83"/>
      <c r="Z243" s="83"/>
      <c r="AA243" s="83"/>
      <c r="AB243" s="83"/>
    </row>
    <row r="244">
      <c r="P244" s="83"/>
      <c r="Q244" s="83"/>
      <c r="R244" s="83"/>
      <c r="S244" s="83"/>
      <c r="T244" s="83"/>
      <c r="U244" s="83"/>
      <c r="V244" s="94"/>
      <c r="W244" s="83"/>
      <c r="X244" s="83"/>
      <c r="Y244" s="83"/>
      <c r="Z244" s="83"/>
      <c r="AA244" s="83"/>
      <c r="AB244" s="83"/>
    </row>
    <row r="245">
      <c r="P245" s="83"/>
      <c r="Q245" s="83"/>
      <c r="R245" s="83"/>
      <c r="S245" s="83"/>
      <c r="T245" s="83"/>
      <c r="U245" s="83"/>
      <c r="V245" s="94"/>
      <c r="W245" s="83"/>
      <c r="X245" s="83"/>
      <c r="Y245" s="83"/>
      <c r="Z245" s="83"/>
      <c r="AA245" s="83"/>
      <c r="AB245" s="83"/>
    </row>
    <row r="246">
      <c r="P246" s="83"/>
      <c r="Q246" s="83"/>
      <c r="R246" s="83"/>
      <c r="S246" s="83"/>
      <c r="T246" s="83"/>
      <c r="U246" s="83"/>
      <c r="V246" s="94"/>
      <c r="W246" s="83"/>
      <c r="X246" s="83"/>
      <c r="Y246" s="83"/>
      <c r="Z246" s="83"/>
      <c r="AA246" s="83"/>
      <c r="AB246" s="83"/>
    </row>
    <row r="247">
      <c r="P247" s="83"/>
      <c r="Q247" s="83"/>
      <c r="R247" s="83"/>
      <c r="S247" s="83"/>
      <c r="T247" s="83"/>
      <c r="U247" s="83"/>
      <c r="V247" s="94"/>
      <c r="W247" s="83"/>
      <c r="X247" s="83"/>
      <c r="Y247" s="83"/>
      <c r="Z247" s="83"/>
      <c r="AA247" s="83"/>
      <c r="AB247" s="83"/>
    </row>
    <row r="248">
      <c r="P248" s="83"/>
      <c r="Q248" s="83"/>
      <c r="R248" s="83"/>
      <c r="S248" s="83"/>
      <c r="T248" s="83"/>
      <c r="U248" s="83"/>
      <c r="V248" s="94"/>
      <c r="W248" s="83"/>
      <c r="X248" s="83"/>
      <c r="Y248" s="83"/>
      <c r="Z248" s="83"/>
      <c r="AA248" s="83"/>
      <c r="AB248" s="83"/>
    </row>
    <row r="249">
      <c r="P249" s="83"/>
      <c r="Q249" s="83"/>
      <c r="R249" s="83"/>
      <c r="S249" s="83"/>
      <c r="T249" s="83"/>
      <c r="U249" s="83"/>
      <c r="V249" s="94"/>
      <c r="W249" s="83"/>
      <c r="X249" s="83"/>
      <c r="Y249" s="83"/>
      <c r="Z249" s="83"/>
      <c r="AA249" s="83"/>
      <c r="AB249" s="83"/>
    </row>
    <row r="250">
      <c r="P250" s="83"/>
      <c r="Q250" s="83"/>
      <c r="R250" s="83"/>
      <c r="S250" s="83"/>
      <c r="T250" s="83"/>
      <c r="U250" s="83"/>
      <c r="V250" s="94"/>
      <c r="W250" s="83"/>
      <c r="X250" s="83"/>
      <c r="Y250" s="83"/>
      <c r="Z250" s="83"/>
      <c r="AA250" s="83"/>
      <c r="AB250" s="83"/>
    </row>
    <row r="251">
      <c r="P251" s="83"/>
      <c r="Q251" s="83"/>
      <c r="R251" s="83"/>
      <c r="S251" s="83"/>
      <c r="T251" s="83"/>
      <c r="U251" s="83"/>
      <c r="V251" s="94"/>
      <c r="W251" s="83"/>
      <c r="X251" s="83"/>
      <c r="Y251" s="83"/>
      <c r="Z251" s="83"/>
      <c r="AA251" s="83"/>
      <c r="AB251" s="83"/>
    </row>
    <row r="252">
      <c r="P252" s="83"/>
      <c r="Q252" s="83"/>
      <c r="R252" s="83"/>
      <c r="S252" s="83"/>
      <c r="T252" s="83"/>
      <c r="U252" s="83"/>
      <c r="V252" s="94"/>
      <c r="W252" s="83"/>
      <c r="X252" s="83"/>
      <c r="Y252" s="83"/>
      <c r="Z252" s="83"/>
      <c r="AA252" s="83"/>
      <c r="AB252" s="83"/>
    </row>
    <row r="253">
      <c r="P253" s="83"/>
      <c r="Q253" s="83"/>
      <c r="R253" s="83"/>
      <c r="S253" s="83"/>
      <c r="T253" s="83"/>
      <c r="U253" s="83"/>
      <c r="V253" s="94"/>
      <c r="W253" s="83"/>
      <c r="X253" s="83"/>
      <c r="Y253" s="83"/>
      <c r="Z253" s="83"/>
      <c r="AA253" s="83"/>
      <c r="AB253" s="83"/>
    </row>
    <row r="254">
      <c r="P254" s="83"/>
      <c r="Q254" s="83"/>
      <c r="R254" s="83"/>
      <c r="S254" s="83"/>
      <c r="T254" s="83"/>
      <c r="U254" s="83"/>
      <c r="V254" s="94"/>
      <c r="W254" s="83"/>
      <c r="X254" s="83"/>
      <c r="Y254" s="83"/>
      <c r="Z254" s="83"/>
      <c r="AA254" s="83"/>
      <c r="AB254" s="83"/>
    </row>
    <row r="255">
      <c r="P255" s="83"/>
      <c r="Q255" s="83"/>
      <c r="R255" s="83"/>
      <c r="S255" s="83"/>
      <c r="T255" s="83"/>
      <c r="U255" s="83"/>
      <c r="V255" s="94"/>
      <c r="W255" s="83"/>
      <c r="X255" s="83"/>
      <c r="Y255" s="83"/>
      <c r="Z255" s="83"/>
      <c r="AA255" s="83"/>
      <c r="AB255" s="83"/>
    </row>
    <row r="256">
      <c r="P256" s="83"/>
      <c r="Q256" s="83"/>
      <c r="R256" s="83"/>
      <c r="S256" s="83"/>
      <c r="T256" s="83"/>
      <c r="U256" s="83"/>
      <c r="V256" s="94"/>
      <c r="W256" s="83"/>
      <c r="X256" s="83"/>
      <c r="Y256" s="83"/>
      <c r="Z256" s="83"/>
      <c r="AA256" s="83"/>
      <c r="AB256" s="83"/>
    </row>
    <row r="257">
      <c r="P257" s="83"/>
      <c r="Q257" s="83"/>
      <c r="R257" s="83"/>
      <c r="S257" s="83"/>
      <c r="T257" s="83"/>
      <c r="U257" s="83"/>
      <c r="V257" s="94"/>
      <c r="W257" s="83"/>
      <c r="X257" s="83"/>
      <c r="Y257" s="83"/>
      <c r="Z257" s="83"/>
      <c r="AA257" s="83"/>
      <c r="AB257" s="83"/>
    </row>
    <row r="258">
      <c r="P258" s="83"/>
      <c r="Q258" s="83"/>
      <c r="R258" s="83"/>
      <c r="S258" s="83"/>
      <c r="T258" s="83"/>
      <c r="U258" s="83"/>
      <c r="V258" s="94"/>
      <c r="W258" s="83"/>
      <c r="X258" s="83"/>
      <c r="Y258" s="83"/>
      <c r="Z258" s="83"/>
      <c r="AA258" s="83"/>
      <c r="AB258" s="83"/>
    </row>
    <row r="259">
      <c r="P259" s="83"/>
      <c r="Q259" s="83"/>
      <c r="R259" s="83"/>
      <c r="S259" s="83"/>
      <c r="T259" s="83"/>
      <c r="U259" s="83"/>
      <c r="V259" s="94"/>
      <c r="W259" s="83"/>
      <c r="X259" s="83"/>
      <c r="Y259" s="83"/>
      <c r="Z259" s="83"/>
      <c r="AA259" s="83"/>
      <c r="AB259" s="83"/>
    </row>
    <row r="260">
      <c r="P260" s="83"/>
      <c r="Q260" s="83"/>
      <c r="R260" s="83"/>
      <c r="S260" s="83"/>
      <c r="T260" s="83"/>
      <c r="U260" s="83"/>
      <c r="V260" s="94"/>
      <c r="W260" s="83"/>
      <c r="X260" s="83"/>
      <c r="Y260" s="83"/>
      <c r="Z260" s="83"/>
      <c r="AA260" s="83"/>
      <c r="AB260" s="83"/>
    </row>
    <row r="261">
      <c r="P261" s="83"/>
      <c r="Q261" s="83"/>
      <c r="R261" s="83"/>
      <c r="S261" s="83"/>
      <c r="T261" s="83"/>
      <c r="U261" s="83"/>
      <c r="V261" s="94"/>
      <c r="W261" s="83"/>
      <c r="X261" s="83"/>
      <c r="Y261" s="83"/>
      <c r="Z261" s="83"/>
      <c r="AA261" s="83"/>
      <c r="AB261" s="83"/>
    </row>
    <row r="262">
      <c r="P262" s="83"/>
      <c r="Q262" s="83"/>
      <c r="R262" s="83"/>
      <c r="S262" s="83"/>
      <c r="T262" s="83"/>
      <c r="U262" s="83"/>
      <c r="V262" s="94"/>
      <c r="W262" s="83"/>
      <c r="X262" s="83"/>
      <c r="Y262" s="83"/>
      <c r="Z262" s="83"/>
      <c r="AA262" s="83"/>
      <c r="AB262" s="83"/>
    </row>
    <row r="263">
      <c r="P263" s="83"/>
      <c r="Q263" s="83"/>
      <c r="R263" s="83"/>
      <c r="S263" s="83"/>
      <c r="T263" s="83"/>
      <c r="U263" s="83"/>
      <c r="V263" s="94"/>
      <c r="W263" s="83"/>
      <c r="X263" s="83"/>
      <c r="Y263" s="83"/>
      <c r="Z263" s="83"/>
      <c r="AA263" s="83"/>
      <c r="AB263" s="83"/>
    </row>
    <row r="264">
      <c r="P264" s="83"/>
      <c r="Q264" s="83"/>
      <c r="R264" s="83"/>
      <c r="S264" s="83"/>
      <c r="T264" s="83"/>
      <c r="U264" s="83"/>
      <c r="V264" s="94"/>
      <c r="W264" s="83"/>
      <c r="X264" s="83"/>
      <c r="Y264" s="83"/>
      <c r="Z264" s="83"/>
      <c r="AA264" s="83"/>
      <c r="AB264" s="83"/>
    </row>
    <row r="265">
      <c r="P265" s="83"/>
      <c r="Q265" s="83"/>
      <c r="R265" s="83"/>
      <c r="S265" s="83"/>
      <c r="T265" s="83"/>
      <c r="U265" s="83"/>
      <c r="V265" s="94"/>
      <c r="W265" s="83"/>
      <c r="X265" s="83"/>
      <c r="Y265" s="83"/>
      <c r="Z265" s="83"/>
      <c r="AA265" s="83"/>
      <c r="AB265" s="83"/>
    </row>
    <row r="266">
      <c r="P266" s="83"/>
      <c r="Q266" s="83"/>
      <c r="R266" s="83"/>
      <c r="S266" s="83"/>
      <c r="T266" s="83"/>
      <c r="U266" s="83"/>
      <c r="V266" s="94"/>
      <c r="W266" s="83"/>
      <c r="X266" s="83"/>
      <c r="Y266" s="83"/>
      <c r="Z266" s="83"/>
      <c r="AA266" s="83"/>
      <c r="AB266" s="83"/>
    </row>
    <row r="267">
      <c r="P267" s="83"/>
      <c r="Q267" s="83"/>
      <c r="R267" s="83"/>
      <c r="S267" s="83"/>
      <c r="T267" s="83"/>
      <c r="U267" s="83"/>
      <c r="V267" s="94"/>
      <c r="W267" s="83"/>
      <c r="X267" s="83"/>
      <c r="Y267" s="83"/>
      <c r="Z267" s="83"/>
      <c r="AA267" s="83"/>
      <c r="AB267" s="83"/>
    </row>
    <row r="268">
      <c r="P268" s="83"/>
      <c r="Q268" s="83"/>
      <c r="R268" s="83"/>
      <c r="S268" s="83"/>
      <c r="T268" s="83"/>
      <c r="U268" s="83"/>
      <c r="V268" s="94"/>
      <c r="W268" s="83"/>
      <c r="X268" s="83"/>
      <c r="Y268" s="83"/>
      <c r="Z268" s="83"/>
      <c r="AA268" s="83"/>
      <c r="AB268" s="83"/>
    </row>
    <row r="269">
      <c r="P269" s="83"/>
      <c r="Q269" s="83"/>
      <c r="R269" s="83"/>
      <c r="S269" s="83"/>
      <c r="T269" s="83"/>
      <c r="U269" s="83"/>
      <c r="V269" s="94"/>
      <c r="W269" s="83"/>
      <c r="X269" s="83"/>
      <c r="Y269" s="83"/>
      <c r="Z269" s="83"/>
      <c r="AA269" s="83"/>
      <c r="AB269" s="83"/>
    </row>
    <row r="270">
      <c r="P270" s="83"/>
      <c r="Q270" s="83"/>
      <c r="R270" s="83"/>
      <c r="S270" s="83"/>
      <c r="T270" s="83"/>
      <c r="U270" s="83"/>
      <c r="V270" s="94"/>
      <c r="W270" s="83"/>
      <c r="X270" s="83"/>
      <c r="Y270" s="83"/>
      <c r="Z270" s="83"/>
      <c r="AA270" s="83"/>
      <c r="AB270" s="83"/>
    </row>
    <row r="271">
      <c r="P271" s="83"/>
      <c r="Q271" s="83"/>
      <c r="R271" s="83"/>
      <c r="S271" s="83"/>
      <c r="T271" s="83"/>
      <c r="U271" s="83"/>
      <c r="V271" s="94"/>
      <c r="W271" s="83"/>
      <c r="X271" s="83"/>
      <c r="Y271" s="83"/>
      <c r="Z271" s="83"/>
      <c r="AA271" s="83"/>
      <c r="AB271" s="83"/>
    </row>
    <row r="272">
      <c r="P272" s="83"/>
      <c r="Q272" s="83"/>
      <c r="R272" s="83"/>
      <c r="S272" s="83"/>
      <c r="T272" s="83"/>
      <c r="U272" s="83"/>
      <c r="V272" s="94"/>
      <c r="W272" s="83"/>
      <c r="X272" s="83"/>
      <c r="Y272" s="83"/>
      <c r="Z272" s="83"/>
      <c r="AA272" s="83"/>
      <c r="AB272" s="83"/>
    </row>
    <row r="273">
      <c r="P273" s="83"/>
      <c r="Q273" s="83"/>
      <c r="R273" s="83"/>
      <c r="S273" s="83"/>
      <c r="T273" s="83"/>
      <c r="U273" s="83"/>
      <c r="V273" s="94"/>
      <c r="W273" s="83"/>
      <c r="X273" s="83"/>
      <c r="Y273" s="83"/>
      <c r="Z273" s="83"/>
      <c r="AA273" s="83"/>
      <c r="AB273" s="83"/>
    </row>
    <row r="274">
      <c r="P274" s="83"/>
      <c r="Q274" s="83"/>
      <c r="R274" s="83"/>
      <c r="S274" s="83"/>
      <c r="T274" s="83"/>
      <c r="U274" s="83"/>
      <c r="V274" s="94"/>
      <c r="W274" s="83"/>
      <c r="X274" s="83"/>
      <c r="Y274" s="83"/>
      <c r="Z274" s="83"/>
      <c r="AA274" s="83"/>
      <c r="AB274" s="83"/>
    </row>
    <row r="275">
      <c r="P275" s="83"/>
      <c r="Q275" s="83"/>
      <c r="R275" s="83"/>
      <c r="S275" s="83"/>
      <c r="T275" s="83"/>
      <c r="U275" s="83"/>
      <c r="V275" s="94"/>
      <c r="W275" s="83"/>
      <c r="X275" s="83"/>
      <c r="Y275" s="83"/>
      <c r="Z275" s="83"/>
      <c r="AA275" s="83"/>
      <c r="AB275" s="83"/>
    </row>
    <row r="276">
      <c r="P276" s="83"/>
      <c r="Q276" s="83"/>
      <c r="R276" s="83"/>
      <c r="S276" s="83"/>
      <c r="T276" s="83"/>
      <c r="U276" s="83"/>
      <c r="V276" s="94"/>
      <c r="W276" s="83"/>
      <c r="X276" s="83"/>
      <c r="Y276" s="83"/>
      <c r="Z276" s="83"/>
      <c r="AA276" s="83"/>
      <c r="AB276" s="83"/>
    </row>
    <row r="277">
      <c r="P277" s="83"/>
      <c r="Q277" s="83"/>
      <c r="R277" s="83"/>
      <c r="S277" s="83"/>
      <c r="T277" s="83"/>
      <c r="U277" s="83"/>
      <c r="V277" s="94"/>
      <c r="W277" s="83"/>
      <c r="X277" s="83"/>
      <c r="Y277" s="83"/>
      <c r="Z277" s="83"/>
      <c r="AA277" s="83"/>
      <c r="AB277" s="83"/>
    </row>
    <row r="278">
      <c r="P278" s="83"/>
      <c r="Q278" s="83"/>
      <c r="R278" s="83"/>
      <c r="S278" s="83"/>
      <c r="T278" s="83"/>
      <c r="U278" s="83"/>
      <c r="V278" s="94"/>
      <c r="W278" s="83"/>
      <c r="X278" s="83"/>
      <c r="Y278" s="83"/>
      <c r="Z278" s="83"/>
      <c r="AA278" s="83"/>
      <c r="AB278" s="83"/>
    </row>
    <row r="279">
      <c r="P279" s="83"/>
      <c r="Q279" s="83"/>
      <c r="R279" s="83"/>
      <c r="S279" s="83"/>
      <c r="T279" s="83"/>
      <c r="U279" s="83"/>
      <c r="V279" s="94"/>
      <c r="W279" s="83"/>
      <c r="X279" s="83"/>
      <c r="Y279" s="83"/>
      <c r="Z279" s="83"/>
      <c r="AA279" s="83"/>
      <c r="AB279" s="83"/>
    </row>
    <row r="280">
      <c r="P280" s="83"/>
      <c r="Q280" s="83"/>
      <c r="R280" s="83"/>
      <c r="S280" s="83"/>
      <c r="T280" s="83"/>
      <c r="U280" s="83"/>
      <c r="V280" s="94"/>
      <c r="W280" s="83"/>
      <c r="X280" s="83"/>
      <c r="Y280" s="83"/>
      <c r="Z280" s="83"/>
      <c r="AA280" s="83"/>
      <c r="AB280" s="83"/>
    </row>
    <row r="281">
      <c r="P281" s="83"/>
      <c r="Q281" s="83"/>
      <c r="R281" s="83"/>
      <c r="S281" s="83"/>
      <c r="T281" s="83"/>
      <c r="U281" s="83"/>
      <c r="V281" s="94"/>
      <c r="W281" s="83"/>
      <c r="X281" s="83"/>
      <c r="Y281" s="83"/>
      <c r="Z281" s="83"/>
      <c r="AA281" s="83"/>
      <c r="AB281" s="83"/>
    </row>
    <row r="282">
      <c r="P282" s="83"/>
      <c r="Q282" s="83"/>
      <c r="R282" s="83"/>
      <c r="S282" s="83"/>
      <c r="T282" s="83"/>
      <c r="U282" s="83"/>
      <c r="V282" s="94"/>
      <c r="W282" s="83"/>
      <c r="X282" s="83"/>
      <c r="Y282" s="83"/>
      <c r="Z282" s="83"/>
      <c r="AA282" s="83"/>
      <c r="AB282" s="83"/>
    </row>
    <row r="283">
      <c r="P283" s="83"/>
      <c r="Q283" s="83"/>
      <c r="R283" s="83"/>
      <c r="S283" s="83"/>
      <c r="T283" s="83"/>
      <c r="U283" s="83"/>
      <c r="V283" s="94"/>
      <c r="W283" s="83"/>
      <c r="X283" s="83"/>
      <c r="Y283" s="83"/>
      <c r="Z283" s="83"/>
      <c r="AA283" s="83"/>
      <c r="AB283" s="83"/>
    </row>
    <row r="284">
      <c r="P284" s="83"/>
      <c r="Q284" s="83"/>
      <c r="R284" s="83"/>
      <c r="S284" s="83"/>
      <c r="T284" s="83"/>
      <c r="U284" s="83"/>
      <c r="V284" s="94"/>
      <c r="W284" s="83"/>
      <c r="X284" s="83"/>
      <c r="Y284" s="83"/>
      <c r="Z284" s="83"/>
      <c r="AA284" s="83"/>
      <c r="AB284" s="83"/>
    </row>
    <row r="285">
      <c r="P285" s="83"/>
      <c r="Q285" s="83"/>
      <c r="R285" s="83"/>
      <c r="S285" s="83"/>
      <c r="T285" s="83"/>
      <c r="U285" s="83"/>
      <c r="V285" s="94"/>
      <c r="W285" s="83"/>
      <c r="X285" s="83"/>
      <c r="Y285" s="83"/>
      <c r="Z285" s="83"/>
      <c r="AA285" s="83"/>
      <c r="AB285" s="83"/>
    </row>
    <row r="286">
      <c r="P286" s="83"/>
      <c r="Q286" s="83"/>
      <c r="R286" s="83"/>
      <c r="S286" s="83"/>
      <c r="T286" s="83"/>
      <c r="U286" s="83"/>
      <c r="V286" s="94"/>
      <c r="W286" s="83"/>
      <c r="X286" s="83"/>
      <c r="Y286" s="83"/>
      <c r="Z286" s="83"/>
      <c r="AA286" s="83"/>
      <c r="AB286" s="83"/>
    </row>
    <row r="287">
      <c r="P287" s="83"/>
      <c r="Q287" s="83"/>
      <c r="R287" s="83"/>
      <c r="S287" s="83"/>
      <c r="T287" s="83"/>
      <c r="U287" s="83"/>
      <c r="V287" s="94"/>
      <c r="W287" s="83"/>
      <c r="X287" s="83"/>
      <c r="Y287" s="83"/>
      <c r="Z287" s="83"/>
      <c r="AA287" s="83"/>
      <c r="AB287" s="83"/>
    </row>
    <row r="288">
      <c r="P288" s="83"/>
      <c r="Q288" s="83"/>
      <c r="R288" s="83"/>
      <c r="S288" s="83"/>
      <c r="T288" s="83"/>
      <c r="U288" s="83"/>
      <c r="V288" s="94"/>
      <c r="W288" s="83"/>
      <c r="X288" s="83"/>
      <c r="Y288" s="83"/>
      <c r="Z288" s="83"/>
      <c r="AA288" s="83"/>
      <c r="AB288" s="83"/>
    </row>
    <row r="289">
      <c r="P289" s="83"/>
      <c r="Q289" s="83"/>
      <c r="R289" s="83"/>
      <c r="S289" s="83"/>
      <c r="T289" s="83"/>
      <c r="U289" s="83"/>
      <c r="V289" s="94"/>
      <c r="W289" s="83"/>
      <c r="X289" s="83"/>
      <c r="Y289" s="83"/>
      <c r="Z289" s="83"/>
      <c r="AA289" s="83"/>
      <c r="AB289" s="83"/>
    </row>
    <row r="290">
      <c r="P290" s="83"/>
      <c r="Q290" s="83"/>
      <c r="R290" s="83"/>
      <c r="S290" s="83"/>
      <c r="T290" s="83"/>
      <c r="U290" s="83"/>
      <c r="V290" s="94"/>
      <c r="W290" s="83"/>
      <c r="X290" s="83"/>
      <c r="Y290" s="83"/>
      <c r="Z290" s="83"/>
      <c r="AA290" s="83"/>
      <c r="AB290" s="83"/>
    </row>
    <row r="291">
      <c r="P291" s="83"/>
      <c r="Q291" s="83"/>
      <c r="R291" s="83"/>
      <c r="S291" s="83"/>
      <c r="T291" s="83"/>
      <c r="U291" s="83"/>
      <c r="V291" s="94"/>
      <c r="W291" s="83"/>
      <c r="X291" s="83"/>
      <c r="Y291" s="83"/>
      <c r="Z291" s="83"/>
      <c r="AA291" s="83"/>
      <c r="AB291" s="83"/>
    </row>
    <row r="292">
      <c r="P292" s="83"/>
      <c r="Q292" s="83"/>
      <c r="R292" s="83"/>
      <c r="S292" s="83"/>
      <c r="T292" s="83"/>
      <c r="U292" s="83"/>
      <c r="V292" s="94"/>
      <c r="W292" s="83"/>
      <c r="X292" s="83"/>
      <c r="Y292" s="83"/>
      <c r="Z292" s="83"/>
      <c r="AA292" s="83"/>
      <c r="AB292" s="83"/>
    </row>
    <row r="293">
      <c r="P293" s="83"/>
      <c r="Q293" s="83"/>
      <c r="R293" s="83"/>
      <c r="S293" s="83"/>
      <c r="T293" s="83"/>
      <c r="U293" s="83"/>
      <c r="V293" s="94"/>
      <c r="W293" s="83"/>
      <c r="X293" s="83"/>
      <c r="Y293" s="83"/>
      <c r="Z293" s="83"/>
      <c r="AA293" s="83"/>
      <c r="AB293" s="83"/>
    </row>
    <row r="294">
      <c r="P294" s="83"/>
      <c r="Q294" s="83"/>
      <c r="R294" s="83"/>
      <c r="S294" s="83"/>
      <c r="T294" s="83"/>
      <c r="U294" s="83"/>
      <c r="V294" s="94"/>
      <c r="W294" s="83"/>
      <c r="X294" s="83"/>
      <c r="Y294" s="83"/>
      <c r="Z294" s="83"/>
      <c r="AA294" s="83"/>
      <c r="AB294" s="83"/>
    </row>
    <row r="295">
      <c r="P295" s="83"/>
      <c r="Q295" s="83"/>
      <c r="R295" s="83"/>
      <c r="S295" s="83"/>
      <c r="T295" s="83"/>
      <c r="U295" s="83"/>
      <c r="V295" s="94"/>
      <c r="W295" s="83"/>
      <c r="X295" s="83"/>
      <c r="Y295" s="83"/>
      <c r="Z295" s="83"/>
      <c r="AA295" s="83"/>
      <c r="AB295" s="83"/>
    </row>
    <row r="296">
      <c r="P296" s="83"/>
      <c r="Q296" s="83"/>
      <c r="R296" s="83"/>
      <c r="S296" s="83"/>
      <c r="T296" s="83"/>
      <c r="U296" s="83"/>
      <c r="V296" s="94"/>
      <c r="W296" s="83"/>
      <c r="X296" s="83"/>
      <c r="Y296" s="83"/>
      <c r="Z296" s="83"/>
      <c r="AA296" s="83"/>
      <c r="AB296" s="83"/>
    </row>
    <row r="297">
      <c r="P297" s="83"/>
      <c r="Q297" s="83"/>
      <c r="R297" s="83"/>
      <c r="S297" s="83"/>
      <c r="T297" s="83"/>
      <c r="U297" s="83"/>
      <c r="V297" s="94"/>
      <c r="W297" s="83"/>
      <c r="X297" s="83"/>
      <c r="Y297" s="83"/>
      <c r="Z297" s="83"/>
      <c r="AA297" s="83"/>
      <c r="AB297" s="83"/>
    </row>
    <row r="298">
      <c r="P298" s="83"/>
      <c r="Q298" s="83"/>
      <c r="R298" s="83"/>
      <c r="S298" s="83"/>
      <c r="T298" s="83"/>
      <c r="U298" s="83"/>
      <c r="V298" s="94"/>
      <c r="W298" s="83"/>
      <c r="X298" s="83"/>
      <c r="Y298" s="83"/>
      <c r="Z298" s="83"/>
      <c r="AA298" s="83"/>
      <c r="AB298" s="83"/>
    </row>
    <row r="299">
      <c r="P299" s="83"/>
      <c r="Q299" s="83"/>
      <c r="R299" s="83"/>
      <c r="S299" s="83"/>
      <c r="T299" s="83"/>
      <c r="U299" s="83"/>
      <c r="V299" s="94"/>
      <c r="W299" s="83"/>
      <c r="X299" s="83"/>
      <c r="Y299" s="83"/>
      <c r="Z299" s="83"/>
      <c r="AA299" s="83"/>
      <c r="AB299" s="83"/>
    </row>
    <row r="300">
      <c r="P300" s="83"/>
      <c r="Q300" s="83"/>
      <c r="R300" s="83"/>
      <c r="S300" s="83"/>
      <c r="T300" s="83"/>
      <c r="U300" s="83"/>
      <c r="V300" s="94"/>
      <c r="W300" s="83"/>
      <c r="X300" s="83"/>
      <c r="Y300" s="83"/>
      <c r="Z300" s="83"/>
      <c r="AA300" s="83"/>
      <c r="AB300" s="83"/>
    </row>
    <row r="301">
      <c r="P301" s="83"/>
      <c r="Q301" s="83"/>
      <c r="R301" s="83"/>
      <c r="S301" s="83"/>
      <c r="T301" s="83"/>
      <c r="U301" s="83"/>
      <c r="V301" s="94"/>
      <c r="W301" s="83"/>
      <c r="X301" s="83"/>
      <c r="Y301" s="83"/>
      <c r="Z301" s="83"/>
      <c r="AA301" s="83"/>
      <c r="AB301" s="83"/>
    </row>
    <row r="302">
      <c r="P302" s="83"/>
      <c r="Q302" s="83"/>
      <c r="R302" s="83"/>
      <c r="S302" s="83"/>
      <c r="T302" s="83"/>
      <c r="U302" s="83"/>
      <c r="V302" s="94"/>
      <c r="W302" s="83"/>
      <c r="X302" s="83"/>
      <c r="Y302" s="83"/>
      <c r="Z302" s="83"/>
      <c r="AA302" s="83"/>
      <c r="AB302" s="83"/>
    </row>
    <row r="303">
      <c r="P303" s="83"/>
      <c r="Q303" s="83"/>
      <c r="R303" s="83"/>
      <c r="S303" s="83"/>
      <c r="T303" s="83"/>
      <c r="U303" s="83"/>
      <c r="V303" s="94"/>
      <c r="W303" s="83"/>
      <c r="X303" s="83"/>
      <c r="Y303" s="83"/>
      <c r="Z303" s="83"/>
      <c r="AA303" s="83"/>
      <c r="AB303" s="83"/>
    </row>
    <row r="304">
      <c r="P304" s="83"/>
      <c r="Q304" s="83"/>
      <c r="R304" s="83"/>
      <c r="S304" s="83"/>
      <c r="T304" s="83"/>
      <c r="U304" s="83"/>
      <c r="V304" s="94"/>
      <c r="W304" s="83"/>
      <c r="X304" s="83"/>
      <c r="Y304" s="83"/>
      <c r="Z304" s="83"/>
      <c r="AA304" s="83"/>
      <c r="AB304" s="83"/>
    </row>
    <row r="305">
      <c r="P305" s="83"/>
      <c r="Q305" s="83"/>
      <c r="R305" s="83"/>
      <c r="S305" s="83"/>
      <c r="T305" s="83"/>
      <c r="U305" s="83"/>
      <c r="V305" s="94"/>
      <c r="W305" s="83"/>
      <c r="X305" s="83"/>
      <c r="Y305" s="83"/>
      <c r="Z305" s="83"/>
      <c r="AA305" s="83"/>
      <c r="AB305" s="83"/>
    </row>
    <row r="306">
      <c r="P306" s="83"/>
      <c r="Q306" s="83"/>
      <c r="R306" s="83"/>
      <c r="S306" s="83"/>
      <c r="T306" s="83"/>
      <c r="U306" s="83"/>
      <c r="V306" s="94"/>
      <c r="W306" s="83"/>
      <c r="X306" s="83"/>
      <c r="Y306" s="83"/>
      <c r="Z306" s="83"/>
      <c r="AA306" s="83"/>
      <c r="AB306" s="83"/>
    </row>
    <row r="307">
      <c r="P307" s="83"/>
      <c r="Q307" s="83"/>
      <c r="R307" s="83"/>
      <c r="S307" s="83"/>
      <c r="T307" s="83"/>
      <c r="U307" s="83"/>
      <c r="V307" s="94"/>
      <c r="W307" s="83"/>
      <c r="X307" s="83"/>
      <c r="Y307" s="83"/>
      <c r="Z307" s="83"/>
      <c r="AA307" s="83"/>
      <c r="AB307" s="83"/>
    </row>
    <row r="308">
      <c r="P308" s="83"/>
      <c r="Q308" s="83"/>
      <c r="R308" s="83"/>
      <c r="S308" s="83"/>
      <c r="T308" s="83"/>
      <c r="U308" s="83"/>
      <c r="V308" s="94"/>
      <c r="W308" s="83"/>
      <c r="X308" s="83"/>
      <c r="Y308" s="83"/>
      <c r="Z308" s="83"/>
      <c r="AA308" s="83"/>
      <c r="AB308" s="83"/>
    </row>
    <row r="309">
      <c r="P309" s="83"/>
      <c r="Q309" s="83"/>
      <c r="R309" s="83"/>
      <c r="S309" s="83"/>
      <c r="T309" s="83"/>
      <c r="U309" s="83"/>
      <c r="V309" s="94"/>
      <c r="W309" s="83"/>
      <c r="X309" s="83"/>
      <c r="Y309" s="83"/>
      <c r="Z309" s="83"/>
      <c r="AA309" s="83"/>
      <c r="AB309" s="83"/>
    </row>
    <row r="310">
      <c r="P310" s="83"/>
      <c r="Q310" s="83"/>
      <c r="R310" s="83"/>
      <c r="S310" s="83"/>
      <c r="T310" s="83"/>
      <c r="U310" s="83"/>
      <c r="V310" s="94"/>
      <c r="W310" s="83"/>
      <c r="X310" s="83"/>
      <c r="Y310" s="83"/>
      <c r="Z310" s="83"/>
      <c r="AA310" s="83"/>
      <c r="AB310" s="83"/>
    </row>
    <row r="311">
      <c r="P311" s="83"/>
      <c r="Q311" s="83"/>
      <c r="R311" s="83"/>
      <c r="S311" s="83"/>
      <c r="T311" s="83"/>
      <c r="U311" s="83"/>
      <c r="V311" s="94"/>
      <c r="W311" s="83"/>
      <c r="X311" s="83"/>
      <c r="Y311" s="83"/>
      <c r="Z311" s="83"/>
      <c r="AA311" s="83"/>
      <c r="AB311" s="83"/>
    </row>
    <row r="312">
      <c r="P312" s="83"/>
      <c r="Q312" s="83"/>
      <c r="R312" s="83"/>
      <c r="S312" s="83"/>
      <c r="T312" s="83"/>
      <c r="U312" s="83"/>
      <c r="V312" s="94"/>
      <c r="W312" s="83"/>
      <c r="X312" s="83"/>
      <c r="Y312" s="83"/>
      <c r="Z312" s="83"/>
      <c r="AA312" s="83"/>
      <c r="AB312" s="83"/>
    </row>
    <row r="313">
      <c r="P313" s="83"/>
      <c r="Q313" s="83"/>
      <c r="R313" s="83"/>
      <c r="S313" s="83"/>
      <c r="T313" s="83"/>
      <c r="U313" s="83"/>
      <c r="V313" s="94"/>
      <c r="W313" s="83"/>
      <c r="X313" s="83"/>
      <c r="Y313" s="83"/>
      <c r="Z313" s="83"/>
      <c r="AA313" s="83"/>
      <c r="AB313" s="83"/>
    </row>
    <row r="314">
      <c r="P314" s="83"/>
      <c r="Q314" s="83"/>
      <c r="R314" s="83"/>
      <c r="S314" s="83"/>
      <c r="T314" s="83"/>
      <c r="U314" s="83"/>
      <c r="V314" s="94"/>
      <c r="W314" s="83"/>
      <c r="X314" s="83"/>
      <c r="Y314" s="83"/>
      <c r="Z314" s="83"/>
      <c r="AA314" s="83"/>
      <c r="AB314" s="83"/>
    </row>
    <row r="315">
      <c r="P315" s="83"/>
      <c r="Q315" s="83"/>
      <c r="R315" s="83"/>
      <c r="S315" s="83"/>
      <c r="T315" s="83"/>
      <c r="U315" s="83"/>
      <c r="V315" s="94"/>
      <c r="W315" s="83"/>
      <c r="X315" s="83"/>
      <c r="Y315" s="83"/>
      <c r="Z315" s="83"/>
      <c r="AA315" s="83"/>
      <c r="AB315" s="83"/>
    </row>
    <row r="316">
      <c r="P316" s="83"/>
      <c r="Q316" s="83"/>
      <c r="R316" s="83"/>
      <c r="S316" s="83"/>
      <c r="T316" s="83"/>
      <c r="U316" s="83"/>
      <c r="V316" s="94"/>
      <c r="W316" s="83"/>
      <c r="X316" s="83"/>
      <c r="Y316" s="83"/>
      <c r="Z316" s="83"/>
      <c r="AA316" s="83"/>
      <c r="AB316" s="83"/>
    </row>
    <row r="317">
      <c r="P317" s="83"/>
      <c r="Q317" s="83"/>
      <c r="R317" s="83"/>
      <c r="S317" s="83"/>
      <c r="T317" s="83"/>
      <c r="U317" s="83"/>
      <c r="V317" s="94"/>
      <c r="W317" s="83"/>
      <c r="X317" s="83"/>
      <c r="Y317" s="83"/>
      <c r="Z317" s="83"/>
      <c r="AA317" s="83"/>
      <c r="AB317" s="83"/>
    </row>
    <row r="318">
      <c r="P318" s="83"/>
      <c r="Q318" s="83"/>
      <c r="R318" s="83"/>
      <c r="S318" s="83"/>
      <c r="T318" s="83"/>
      <c r="U318" s="83"/>
      <c r="V318" s="94"/>
      <c r="W318" s="83"/>
      <c r="X318" s="83"/>
      <c r="Y318" s="83"/>
      <c r="Z318" s="83"/>
      <c r="AA318" s="83"/>
      <c r="AB318" s="83"/>
    </row>
    <row r="319">
      <c r="P319" s="83"/>
      <c r="Q319" s="83"/>
      <c r="R319" s="83"/>
      <c r="S319" s="83"/>
      <c r="T319" s="83"/>
      <c r="U319" s="83"/>
      <c r="V319" s="94"/>
      <c r="W319" s="83"/>
      <c r="X319" s="83"/>
      <c r="Y319" s="83"/>
      <c r="Z319" s="83"/>
      <c r="AA319" s="83"/>
      <c r="AB319" s="83"/>
    </row>
    <row r="320">
      <c r="P320" s="83"/>
      <c r="Q320" s="83"/>
      <c r="R320" s="83"/>
      <c r="S320" s="83"/>
      <c r="T320" s="83"/>
      <c r="U320" s="83"/>
      <c r="V320" s="94"/>
      <c r="W320" s="83"/>
      <c r="X320" s="83"/>
      <c r="Y320" s="83"/>
      <c r="Z320" s="83"/>
      <c r="AA320" s="83"/>
      <c r="AB320" s="83"/>
    </row>
    <row r="321">
      <c r="P321" s="83"/>
      <c r="Q321" s="83"/>
      <c r="R321" s="83"/>
      <c r="S321" s="83"/>
      <c r="T321" s="83"/>
      <c r="U321" s="83"/>
      <c r="V321" s="94"/>
      <c r="W321" s="83"/>
      <c r="X321" s="83"/>
      <c r="Y321" s="83"/>
      <c r="Z321" s="83"/>
      <c r="AA321" s="83"/>
      <c r="AB321" s="83"/>
    </row>
    <row r="322">
      <c r="P322" s="83"/>
      <c r="Q322" s="83"/>
      <c r="R322" s="83"/>
      <c r="S322" s="83"/>
      <c r="T322" s="83"/>
      <c r="U322" s="83"/>
      <c r="V322" s="94"/>
      <c r="W322" s="83"/>
      <c r="X322" s="83"/>
      <c r="Y322" s="83"/>
      <c r="Z322" s="83"/>
      <c r="AA322" s="83"/>
      <c r="AB322" s="83"/>
    </row>
    <row r="323">
      <c r="P323" s="83"/>
      <c r="Q323" s="83"/>
      <c r="R323" s="83"/>
      <c r="S323" s="83"/>
      <c r="T323" s="83"/>
      <c r="U323" s="83"/>
      <c r="V323" s="94"/>
      <c r="W323" s="83"/>
      <c r="X323" s="83"/>
      <c r="Y323" s="83"/>
      <c r="Z323" s="83"/>
      <c r="AA323" s="83"/>
      <c r="AB323" s="83"/>
    </row>
    <row r="324">
      <c r="P324" s="83"/>
      <c r="Q324" s="83"/>
      <c r="R324" s="83"/>
      <c r="S324" s="83"/>
      <c r="T324" s="83"/>
      <c r="U324" s="83"/>
      <c r="V324" s="94"/>
      <c r="W324" s="83"/>
      <c r="X324" s="83"/>
      <c r="Y324" s="83"/>
      <c r="Z324" s="83"/>
      <c r="AA324" s="83"/>
      <c r="AB324" s="83"/>
    </row>
    <row r="325">
      <c r="P325" s="83"/>
      <c r="Q325" s="83"/>
      <c r="R325" s="83"/>
      <c r="S325" s="83"/>
      <c r="T325" s="83"/>
      <c r="U325" s="83"/>
      <c r="V325" s="94"/>
      <c r="W325" s="83"/>
      <c r="X325" s="83"/>
      <c r="Y325" s="83"/>
      <c r="Z325" s="83"/>
      <c r="AA325" s="83"/>
      <c r="AB325" s="83"/>
    </row>
    <row r="326">
      <c r="P326" s="83"/>
      <c r="Q326" s="83"/>
      <c r="R326" s="83"/>
      <c r="S326" s="83"/>
      <c r="T326" s="83"/>
      <c r="U326" s="83"/>
      <c r="V326" s="94"/>
      <c r="W326" s="83"/>
      <c r="X326" s="83"/>
      <c r="Y326" s="83"/>
      <c r="Z326" s="83"/>
      <c r="AA326" s="83"/>
      <c r="AB326" s="83"/>
    </row>
    <row r="327">
      <c r="P327" s="83"/>
      <c r="Q327" s="83"/>
      <c r="R327" s="83"/>
      <c r="S327" s="83"/>
      <c r="T327" s="83"/>
      <c r="U327" s="83"/>
      <c r="V327" s="94"/>
      <c r="W327" s="83"/>
      <c r="X327" s="83"/>
      <c r="Y327" s="83"/>
      <c r="Z327" s="83"/>
      <c r="AA327" s="83"/>
      <c r="AB327" s="83"/>
    </row>
    <row r="328">
      <c r="P328" s="83"/>
      <c r="Q328" s="83"/>
      <c r="R328" s="83"/>
      <c r="S328" s="83"/>
      <c r="T328" s="83"/>
      <c r="U328" s="83"/>
      <c r="V328" s="94"/>
      <c r="W328" s="83"/>
      <c r="X328" s="83"/>
      <c r="Y328" s="83"/>
      <c r="Z328" s="83"/>
      <c r="AA328" s="83"/>
      <c r="AB328" s="83"/>
    </row>
    <row r="329">
      <c r="P329" s="83"/>
      <c r="Q329" s="83"/>
      <c r="R329" s="83"/>
      <c r="S329" s="83"/>
      <c r="T329" s="83"/>
      <c r="U329" s="83"/>
      <c r="V329" s="94"/>
      <c r="W329" s="83"/>
      <c r="X329" s="83"/>
      <c r="Y329" s="83"/>
      <c r="Z329" s="83"/>
      <c r="AA329" s="83"/>
      <c r="AB329" s="83"/>
    </row>
    <row r="330">
      <c r="P330" s="83"/>
      <c r="Q330" s="83"/>
      <c r="R330" s="83"/>
      <c r="S330" s="83"/>
      <c r="T330" s="83"/>
      <c r="U330" s="83"/>
      <c r="V330" s="94"/>
      <c r="W330" s="83"/>
      <c r="X330" s="83"/>
      <c r="Y330" s="83"/>
      <c r="Z330" s="83"/>
      <c r="AA330" s="83"/>
      <c r="AB330" s="83"/>
    </row>
    <row r="331">
      <c r="P331" s="83"/>
      <c r="Q331" s="83"/>
      <c r="R331" s="83"/>
      <c r="S331" s="83"/>
      <c r="T331" s="83"/>
      <c r="U331" s="83"/>
      <c r="V331" s="94"/>
      <c r="W331" s="83"/>
      <c r="X331" s="83"/>
      <c r="Y331" s="83"/>
      <c r="Z331" s="83"/>
      <c r="AA331" s="83"/>
      <c r="AB331" s="83"/>
    </row>
    <row r="332">
      <c r="P332" s="83"/>
      <c r="Q332" s="83"/>
      <c r="R332" s="83"/>
      <c r="S332" s="83"/>
      <c r="T332" s="83"/>
      <c r="U332" s="83"/>
      <c r="V332" s="94"/>
      <c r="W332" s="83"/>
      <c r="X332" s="83"/>
      <c r="Y332" s="83"/>
      <c r="Z332" s="83"/>
      <c r="AA332" s="83"/>
      <c r="AB332" s="83"/>
    </row>
    <row r="333">
      <c r="P333" s="83"/>
      <c r="Q333" s="83"/>
      <c r="R333" s="83"/>
      <c r="S333" s="83"/>
      <c r="T333" s="83"/>
      <c r="U333" s="83"/>
      <c r="V333" s="94"/>
      <c r="W333" s="83"/>
      <c r="X333" s="83"/>
      <c r="Y333" s="83"/>
      <c r="Z333" s="83"/>
      <c r="AA333" s="83"/>
      <c r="AB333" s="83"/>
    </row>
    <row r="334">
      <c r="P334" s="83"/>
      <c r="Q334" s="83"/>
      <c r="R334" s="83"/>
      <c r="S334" s="83"/>
      <c r="T334" s="83"/>
      <c r="U334" s="83"/>
      <c r="V334" s="94"/>
      <c r="W334" s="83"/>
      <c r="X334" s="83"/>
      <c r="Y334" s="83"/>
      <c r="Z334" s="83"/>
      <c r="AA334" s="83"/>
      <c r="AB334" s="83"/>
    </row>
    <row r="335">
      <c r="P335" s="83"/>
      <c r="Q335" s="83"/>
      <c r="R335" s="83"/>
      <c r="S335" s="83"/>
      <c r="T335" s="83"/>
      <c r="U335" s="83"/>
      <c r="V335" s="94"/>
      <c r="W335" s="83"/>
      <c r="X335" s="83"/>
      <c r="Y335" s="83"/>
      <c r="Z335" s="83"/>
      <c r="AA335" s="83"/>
      <c r="AB335" s="83"/>
    </row>
    <row r="336">
      <c r="P336" s="83"/>
      <c r="Q336" s="83"/>
      <c r="R336" s="83"/>
      <c r="S336" s="83"/>
      <c r="T336" s="83"/>
      <c r="U336" s="83"/>
      <c r="V336" s="94"/>
      <c r="W336" s="83"/>
      <c r="X336" s="83"/>
      <c r="Y336" s="83"/>
      <c r="Z336" s="83"/>
      <c r="AA336" s="83"/>
      <c r="AB336" s="83"/>
    </row>
    <row r="337">
      <c r="P337" s="83"/>
      <c r="Q337" s="83"/>
      <c r="R337" s="83"/>
      <c r="S337" s="83"/>
      <c r="T337" s="83"/>
      <c r="U337" s="83"/>
      <c r="V337" s="94"/>
      <c r="W337" s="83"/>
      <c r="X337" s="83"/>
      <c r="Y337" s="83"/>
      <c r="Z337" s="83"/>
      <c r="AA337" s="83"/>
      <c r="AB337" s="83"/>
    </row>
    <row r="338">
      <c r="P338" s="83"/>
      <c r="Q338" s="83"/>
      <c r="R338" s="83"/>
      <c r="S338" s="83"/>
      <c r="T338" s="83"/>
      <c r="U338" s="83"/>
      <c r="V338" s="94"/>
      <c r="W338" s="83"/>
      <c r="X338" s="83"/>
      <c r="Y338" s="83"/>
      <c r="Z338" s="83"/>
      <c r="AA338" s="83"/>
      <c r="AB338" s="83"/>
    </row>
    <row r="339">
      <c r="P339" s="83"/>
      <c r="Q339" s="83"/>
      <c r="R339" s="83"/>
      <c r="S339" s="83"/>
      <c r="T339" s="83"/>
      <c r="U339" s="83"/>
      <c r="V339" s="94"/>
      <c r="W339" s="83"/>
      <c r="X339" s="83"/>
      <c r="Y339" s="83"/>
      <c r="Z339" s="83"/>
      <c r="AA339" s="83"/>
      <c r="AB339" s="83"/>
    </row>
    <row r="340">
      <c r="P340" s="83"/>
      <c r="Q340" s="83"/>
      <c r="R340" s="83"/>
      <c r="S340" s="83"/>
      <c r="T340" s="83"/>
      <c r="U340" s="83"/>
      <c r="V340" s="94"/>
      <c r="W340" s="83"/>
      <c r="X340" s="83"/>
      <c r="Y340" s="83"/>
      <c r="Z340" s="83"/>
      <c r="AA340" s="83"/>
      <c r="AB340" s="83"/>
    </row>
    <row r="341">
      <c r="P341" s="83"/>
      <c r="Q341" s="83"/>
      <c r="R341" s="83"/>
      <c r="S341" s="83"/>
      <c r="T341" s="83"/>
      <c r="U341" s="83"/>
      <c r="V341" s="94"/>
      <c r="W341" s="83"/>
      <c r="X341" s="83"/>
      <c r="Y341" s="83"/>
      <c r="Z341" s="83"/>
      <c r="AA341" s="83"/>
      <c r="AB341" s="83"/>
    </row>
    <row r="342">
      <c r="P342" s="83"/>
      <c r="Q342" s="83"/>
      <c r="R342" s="83"/>
      <c r="S342" s="83"/>
      <c r="T342" s="83"/>
      <c r="U342" s="83"/>
      <c r="V342" s="94"/>
      <c r="W342" s="83"/>
      <c r="X342" s="83"/>
      <c r="Y342" s="83"/>
      <c r="Z342" s="83"/>
      <c r="AA342" s="83"/>
      <c r="AB342" s="83"/>
    </row>
    <row r="343">
      <c r="P343" s="83"/>
      <c r="Q343" s="83"/>
      <c r="R343" s="83"/>
      <c r="S343" s="83"/>
      <c r="T343" s="83"/>
      <c r="U343" s="83"/>
      <c r="V343" s="94"/>
      <c r="W343" s="83"/>
      <c r="X343" s="83"/>
      <c r="Y343" s="83"/>
      <c r="Z343" s="83"/>
      <c r="AA343" s="83"/>
      <c r="AB343" s="83"/>
    </row>
    <row r="344">
      <c r="P344" s="83"/>
      <c r="Q344" s="83"/>
      <c r="R344" s="83"/>
      <c r="S344" s="83"/>
      <c r="T344" s="83"/>
      <c r="U344" s="83"/>
      <c r="V344" s="94"/>
      <c r="W344" s="83"/>
      <c r="X344" s="83"/>
      <c r="Y344" s="83"/>
      <c r="Z344" s="83"/>
      <c r="AA344" s="83"/>
      <c r="AB344" s="83"/>
    </row>
    <row r="345">
      <c r="P345" s="83"/>
      <c r="Q345" s="83"/>
      <c r="R345" s="83"/>
      <c r="S345" s="83"/>
      <c r="T345" s="83"/>
      <c r="U345" s="83"/>
      <c r="V345" s="94"/>
      <c r="W345" s="83"/>
      <c r="X345" s="83"/>
      <c r="Y345" s="83"/>
      <c r="Z345" s="83"/>
      <c r="AA345" s="83"/>
      <c r="AB345" s="83"/>
    </row>
    <row r="346">
      <c r="P346" s="83"/>
      <c r="Q346" s="83"/>
      <c r="R346" s="83"/>
      <c r="S346" s="83"/>
      <c r="T346" s="83"/>
      <c r="U346" s="83"/>
      <c r="V346" s="94"/>
      <c r="W346" s="83"/>
      <c r="X346" s="83"/>
      <c r="Y346" s="83"/>
      <c r="Z346" s="83"/>
      <c r="AA346" s="83"/>
      <c r="AB346" s="83"/>
    </row>
    <row r="347">
      <c r="P347" s="83"/>
      <c r="Q347" s="83"/>
      <c r="R347" s="83"/>
      <c r="S347" s="83"/>
      <c r="T347" s="83"/>
      <c r="U347" s="83"/>
      <c r="V347" s="94"/>
      <c r="W347" s="83"/>
      <c r="X347" s="83"/>
      <c r="Y347" s="83"/>
      <c r="Z347" s="83"/>
      <c r="AA347" s="83"/>
      <c r="AB347" s="83"/>
    </row>
    <row r="348">
      <c r="P348" s="83"/>
      <c r="Q348" s="83"/>
      <c r="R348" s="83"/>
      <c r="S348" s="83"/>
      <c r="T348" s="83"/>
      <c r="U348" s="83"/>
      <c r="V348" s="94"/>
      <c r="W348" s="83"/>
      <c r="X348" s="83"/>
      <c r="Y348" s="83"/>
      <c r="Z348" s="83"/>
      <c r="AA348" s="83"/>
      <c r="AB348" s="83"/>
    </row>
    <row r="349">
      <c r="P349" s="83"/>
      <c r="Q349" s="83"/>
      <c r="R349" s="83"/>
      <c r="S349" s="83"/>
      <c r="T349" s="83"/>
      <c r="U349" s="83"/>
      <c r="V349" s="94"/>
      <c r="W349" s="83"/>
      <c r="X349" s="83"/>
      <c r="Y349" s="83"/>
      <c r="Z349" s="83"/>
      <c r="AA349" s="83"/>
      <c r="AB349" s="83"/>
    </row>
    <row r="350">
      <c r="P350" s="83"/>
      <c r="Q350" s="83"/>
      <c r="R350" s="83"/>
      <c r="S350" s="83"/>
      <c r="T350" s="83"/>
      <c r="U350" s="83"/>
      <c r="V350" s="94"/>
      <c r="W350" s="83"/>
      <c r="X350" s="83"/>
      <c r="Y350" s="83"/>
      <c r="Z350" s="83"/>
      <c r="AA350" s="83"/>
      <c r="AB350" s="83"/>
    </row>
    <row r="351">
      <c r="P351" s="83"/>
      <c r="Q351" s="83"/>
      <c r="R351" s="83"/>
      <c r="S351" s="83"/>
      <c r="T351" s="83"/>
      <c r="U351" s="83"/>
      <c r="V351" s="94"/>
      <c r="W351" s="83"/>
      <c r="X351" s="83"/>
      <c r="Y351" s="83"/>
      <c r="Z351" s="83"/>
      <c r="AA351" s="83"/>
      <c r="AB351" s="83"/>
    </row>
    <row r="352">
      <c r="P352" s="83"/>
      <c r="Q352" s="83"/>
      <c r="R352" s="83"/>
      <c r="S352" s="83"/>
      <c r="T352" s="83"/>
      <c r="U352" s="83"/>
      <c r="V352" s="94"/>
      <c r="W352" s="83"/>
      <c r="X352" s="83"/>
      <c r="Y352" s="83"/>
      <c r="Z352" s="83"/>
      <c r="AA352" s="83"/>
      <c r="AB352" s="83"/>
    </row>
    <row r="353">
      <c r="P353" s="83"/>
      <c r="Q353" s="83"/>
      <c r="R353" s="83"/>
      <c r="S353" s="83"/>
      <c r="T353" s="83"/>
      <c r="U353" s="83"/>
      <c r="V353" s="94"/>
      <c r="W353" s="83"/>
      <c r="X353" s="83"/>
      <c r="Y353" s="83"/>
      <c r="Z353" s="83"/>
      <c r="AA353" s="83"/>
      <c r="AB353" s="83"/>
    </row>
    <row r="354">
      <c r="P354" s="83"/>
      <c r="Q354" s="83"/>
      <c r="R354" s="83"/>
      <c r="S354" s="83"/>
      <c r="T354" s="83"/>
      <c r="U354" s="83"/>
      <c r="V354" s="94"/>
      <c r="W354" s="83"/>
      <c r="X354" s="83"/>
      <c r="Y354" s="83"/>
      <c r="Z354" s="83"/>
      <c r="AA354" s="83"/>
      <c r="AB354" s="83"/>
    </row>
    <row r="355">
      <c r="P355" s="83"/>
      <c r="Q355" s="83"/>
      <c r="R355" s="83"/>
      <c r="S355" s="83"/>
      <c r="T355" s="83"/>
      <c r="U355" s="83"/>
      <c r="V355" s="94"/>
      <c r="W355" s="83"/>
      <c r="X355" s="83"/>
      <c r="Y355" s="83"/>
      <c r="Z355" s="83"/>
      <c r="AA355" s="83"/>
      <c r="AB355" s="83"/>
    </row>
    <row r="356">
      <c r="P356" s="83"/>
      <c r="Q356" s="83"/>
      <c r="R356" s="83"/>
      <c r="S356" s="83"/>
      <c r="T356" s="83"/>
      <c r="U356" s="83"/>
      <c r="V356" s="94"/>
      <c r="W356" s="83"/>
      <c r="X356" s="83"/>
      <c r="Y356" s="83"/>
      <c r="Z356" s="83"/>
      <c r="AA356" s="83"/>
      <c r="AB356" s="83"/>
    </row>
    <row r="357">
      <c r="P357" s="83"/>
      <c r="Q357" s="83"/>
      <c r="R357" s="83"/>
      <c r="S357" s="83"/>
      <c r="T357" s="83"/>
      <c r="U357" s="83"/>
      <c r="V357" s="94"/>
      <c r="W357" s="83"/>
      <c r="X357" s="83"/>
      <c r="Y357" s="83"/>
      <c r="Z357" s="83"/>
      <c r="AA357" s="83"/>
      <c r="AB357" s="83"/>
    </row>
    <row r="358">
      <c r="P358" s="83"/>
      <c r="Q358" s="83"/>
      <c r="R358" s="83"/>
      <c r="S358" s="83"/>
      <c r="T358" s="83"/>
      <c r="U358" s="83"/>
      <c r="V358" s="94"/>
      <c r="W358" s="83"/>
      <c r="X358" s="83"/>
      <c r="Y358" s="83"/>
      <c r="Z358" s="83"/>
      <c r="AA358" s="83"/>
      <c r="AB358" s="83"/>
    </row>
    <row r="359">
      <c r="P359" s="83"/>
      <c r="Q359" s="83"/>
      <c r="R359" s="83"/>
      <c r="S359" s="83"/>
      <c r="T359" s="83"/>
      <c r="U359" s="83"/>
      <c r="V359" s="94"/>
      <c r="W359" s="83"/>
      <c r="X359" s="83"/>
      <c r="Y359" s="83"/>
      <c r="Z359" s="83"/>
      <c r="AA359" s="83"/>
      <c r="AB359" s="83"/>
    </row>
    <row r="360">
      <c r="P360" s="83"/>
      <c r="Q360" s="83"/>
      <c r="R360" s="83"/>
      <c r="S360" s="83"/>
      <c r="T360" s="83"/>
      <c r="U360" s="83"/>
      <c r="V360" s="94"/>
      <c r="W360" s="83"/>
      <c r="X360" s="83"/>
      <c r="Y360" s="83"/>
      <c r="Z360" s="83"/>
      <c r="AA360" s="83"/>
      <c r="AB360" s="83"/>
    </row>
    <row r="361">
      <c r="P361" s="83"/>
      <c r="Q361" s="83"/>
      <c r="R361" s="83"/>
      <c r="S361" s="83"/>
      <c r="T361" s="83"/>
      <c r="U361" s="83"/>
      <c r="V361" s="94"/>
      <c r="W361" s="83"/>
      <c r="X361" s="83"/>
      <c r="Y361" s="83"/>
      <c r="Z361" s="83"/>
      <c r="AA361" s="83"/>
      <c r="AB361" s="83"/>
    </row>
    <row r="362">
      <c r="P362" s="83"/>
      <c r="Q362" s="83"/>
      <c r="R362" s="83"/>
      <c r="S362" s="83"/>
      <c r="T362" s="83"/>
      <c r="U362" s="83"/>
      <c r="V362" s="94"/>
      <c r="W362" s="83"/>
      <c r="X362" s="83"/>
      <c r="Y362" s="83"/>
      <c r="Z362" s="83"/>
      <c r="AA362" s="83"/>
      <c r="AB362" s="83"/>
    </row>
    <row r="363">
      <c r="P363" s="83"/>
      <c r="Q363" s="83"/>
      <c r="R363" s="83"/>
      <c r="S363" s="83"/>
      <c r="T363" s="83"/>
      <c r="U363" s="83"/>
      <c r="V363" s="94"/>
      <c r="W363" s="83"/>
      <c r="X363" s="83"/>
      <c r="Y363" s="83"/>
      <c r="Z363" s="83"/>
      <c r="AA363" s="83"/>
      <c r="AB363" s="83"/>
    </row>
    <row r="364">
      <c r="P364" s="83"/>
      <c r="Q364" s="83"/>
      <c r="R364" s="83"/>
      <c r="S364" s="83"/>
      <c r="T364" s="83"/>
      <c r="U364" s="83"/>
      <c r="V364" s="94"/>
      <c r="W364" s="83"/>
      <c r="X364" s="83"/>
      <c r="Y364" s="83"/>
      <c r="Z364" s="83"/>
      <c r="AA364" s="83"/>
      <c r="AB364" s="83"/>
    </row>
    <row r="365">
      <c r="P365" s="83"/>
      <c r="Q365" s="83"/>
      <c r="R365" s="83"/>
      <c r="S365" s="83"/>
      <c r="T365" s="83"/>
      <c r="U365" s="83"/>
      <c r="V365" s="94"/>
      <c r="W365" s="83"/>
      <c r="X365" s="83"/>
      <c r="Y365" s="83"/>
      <c r="Z365" s="83"/>
      <c r="AA365" s="83"/>
      <c r="AB365" s="83"/>
    </row>
    <row r="366">
      <c r="P366" s="83"/>
      <c r="Q366" s="83"/>
      <c r="R366" s="83"/>
      <c r="S366" s="83"/>
      <c r="T366" s="83"/>
      <c r="U366" s="83"/>
      <c r="V366" s="94"/>
      <c r="W366" s="83"/>
      <c r="X366" s="83"/>
      <c r="Y366" s="83"/>
      <c r="Z366" s="83"/>
      <c r="AA366" s="83"/>
      <c r="AB366" s="83"/>
    </row>
    <row r="367">
      <c r="P367" s="83"/>
      <c r="Q367" s="83"/>
      <c r="R367" s="83"/>
      <c r="S367" s="83"/>
      <c r="T367" s="83"/>
      <c r="U367" s="83"/>
      <c r="V367" s="94"/>
      <c r="W367" s="83"/>
      <c r="X367" s="83"/>
      <c r="Y367" s="83"/>
      <c r="Z367" s="83"/>
      <c r="AA367" s="83"/>
      <c r="AB367" s="83"/>
    </row>
    <row r="368">
      <c r="P368" s="83"/>
      <c r="Q368" s="83"/>
      <c r="R368" s="83"/>
      <c r="S368" s="83"/>
      <c r="T368" s="83"/>
      <c r="U368" s="83"/>
      <c r="V368" s="94"/>
      <c r="W368" s="83"/>
      <c r="X368" s="83"/>
      <c r="Y368" s="83"/>
      <c r="Z368" s="83"/>
      <c r="AA368" s="83"/>
      <c r="AB368" s="83"/>
    </row>
    <row r="369">
      <c r="P369" s="83"/>
      <c r="Q369" s="83"/>
      <c r="R369" s="83"/>
      <c r="S369" s="83"/>
      <c r="T369" s="83"/>
      <c r="U369" s="83"/>
      <c r="V369" s="94"/>
      <c r="W369" s="83"/>
      <c r="X369" s="83"/>
      <c r="Y369" s="83"/>
      <c r="Z369" s="83"/>
      <c r="AA369" s="83"/>
      <c r="AB369" s="83"/>
    </row>
    <row r="370">
      <c r="P370" s="83"/>
      <c r="Q370" s="83"/>
      <c r="R370" s="83"/>
      <c r="S370" s="83"/>
      <c r="T370" s="83"/>
      <c r="U370" s="83"/>
      <c r="V370" s="94"/>
      <c r="W370" s="83"/>
      <c r="X370" s="83"/>
      <c r="Y370" s="83"/>
      <c r="Z370" s="83"/>
      <c r="AA370" s="83"/>
      <c r="AB370" s="83"/>
    </row>
    <row r="371">
      <c r="P371" s="83"/>
      <c r="Q371" s="83"/>
      <c r="R371" s="83"/>
      <c r="S371" s="83"/>
      <c r="T371" s="83"/>
      <c r="U371" s="83"/>
      <c r="V371" s="94"/>
      <c r="W371" s="83"/>
      <c r="X371" s="83"/>
      <c r="Y371" s="83"/>
      <c r="Z371" s="83"/>
      <c r="AA371" s="83"/>
      <c r="AB371" s="83"/>
    </row>
    <row r="372">
      <c r="P372" s="83"/>
      <c r="Q372" s="83"/>
      <c r="R372" s="83"/>
      <c r="S372" s="83"/>
      <c r="T372" s="83"/>
      <c r="U372" s="83"/>
      <c r="V372" s="94"/>
      <c r="W372" s="83"/>
      <c r="X372" s="83"/>
      <c r="Y372" s="83"/>
      <c r="Z372" s="83"/>
      <c r="AA372" s="83"/>
      <c r="AB372" s="83"/>
    </row>
    <row r="373">
      <c r="P373" s="83"/>
      <c r="Q373" s="83"/>
      <c r="R373" s="83"/>
      <c r="S373" s="83"/>
      <c r="T373" s="83"/>
      <c r="U373" s="83"/>
      <c r="V373" s="94"/>
      <c r="W373" s="83"/>
      <c r="X373" s="83"/>
      <c r="Y373" s="83"/>
      <c r="Z373" s="83"/>
      <c r="AA373" s="83"/>
      <c r="AB373" s="83"/>
    </row>
    <row r="374">
      <c r="P374" s="83"/>
      <c r="Q374" s="83"/>
      <c r="R374" s="83"/>
      <c r="S374" s="83"/>
      <c r="T374" s="83"/>
      <c r="U374" s="83"/>
      <c r="V374" s="94"/>
      <c r="W374" s="83"/>
      <c r="X374" s="83"/>
      <c r="Y374" s="83"/>
      <c r="Z374" s="83"/>
      <c r="AA374" s="83"/>
      <c r="AB374" s="83"/>
    </row>
    <row r="375">
      <c r="P375" s="83"/>
      <c r="Q375" s="83"/>
      <c r="R375" s="83"/>
      <c r="S375" s="83"/>
      <c r="T375" s="83"/>
      <c r="U375" s="83"/>
      <c r="V375" s="94"/>
      <c r="W375" s="83"/>
      <c r="X375" s="83"/>
      <c r="Y375" s="83"/>
      <c r="Z375" s="83"/>
      <c r="AA375" s="83"/>
      <c r="AB375" s="83"/>
    </row>
    <row r="376">
      <c r="P376" s="83"/>
      <c r="Q376" s="83"/>
      <c r="R376" s="83"/>
      <c r="S376" s="83"/>
      <c r="T376" s="83"/>
      <c r="U376" s="83"/>
      <c r="V376" s="94"/>
      <c r="W376" s="83"/>
      <c r="X376" s="83"/>
      <c r="Y376" s="83"/>
      <c r="Z376" s="83"/>
      <c r="AA376" s="83"/>
      <c r="AB376" s="83"/>
    </row>
    <row r="377">
      <c r="P377" s="83"/>
      <c r="Q377" s="83"/>
      <c r="R377" s="83"/>
      <c r="S377" s="83"/>
      <c r="T377" s="83"/>
      <c r="U377" s="83"/>
      <c r="V377" s="94"/>
      <c r="W377" s="83"/>
      <c r="X377" s="83"/>
      <c r="Y377" s="83"/>
      <c r="Z377" s="83"/>
      <c r="AA377" s="83"/>
      <c r="AB377" s="83"/>
    </row>
    <row r="378">
      <c r="P378" s="83"/>
      <c r="Q378" s="83"/>
      <c r="R378" s="83"/>
      <c r="S378" s="83"/>
      <c r="T378" s="83"/>
      <c r="U378" s="83"/>
      <c r="V378" s="94"/>
      <c r="W378" s="83"/>
      <c r="X378" s="83"/>
      <c r="Y378" s="83"/>
      <c r="Z378" s="83"/>
      <c r="AA378" s="83"/>
      <c r="AB378" s="83"/>
    </row>
    <row r="379">
      <c r="P379" s="83"/>
      <c r="Q379" s="83"/>
      <c r="R379" s="83"/>
      <c r="S379" s="83"/>
      <c r="T379" s="83"/>
      <c r="U379" s="83"/>
      <c r="V379" s="94"/>
      <c r="W379" s="83"/>
      <c r="X379" s="83"/>
      <c r="Y379" s="83"/>
      <c r="Z379" s="83"/>
      <c r="AA379" s="83"/>
      <c r="AB379" s="83"/>
    </row>
    <row r="380">
      <c r="P380" s="83"/>
      <c r="Q380" s="83"/>
      <c r="R380" s="83"/>
      <c r="S380" s="83"/>
      <c r="T380" s="83"/>
      <c r="U380" s="83"/>
      <c r="V380" s="94"/>
      <c r="W380" s="83"/>
      <c r="X380" s="83"/>
      <c r="Y380" s="83"/>
      <c r="Z380" s="83"/>
      <c r="AA380" s="83"/>
      <c r="AB380" s="83"/>
    </row>
    <row r="381">
      <c r="P381" s="83"/>
      <c r="Q381" s="83"/>
      <c r="R381" s="83"/>
      <c r="S381" s="83"/>
      <c r="T381" s="83"/>
      <c r="U381" s="83"/>
      <c r="V381" s="94"/>
      <c r="W381" s="83"/>
      <c r="X381" s="83"/>
      <c r="Y381" s="83"/>
      <c r="Z381" s="83"/>
      <c r="AA381" s="83"/>
      <c r="AB381" s="83"/>
    </row>
    <row r="382">
      <c r="P382" s="83"/>
      <c r="Q382" s="83"/>
      <c r="R382" s="83"/>
      <c r="S382" s="83"/>
      <c r="T382" s="83"/>
      <c r="U382" s="83"/>
      <c r="V382" s="94"/>
      <c r="W382" s="83"/>
      <c r="X382" s="83"/>
      <c r="Y382" s="83"/>
      <c r="Z382" s="83"/>
      <c r="AA382" s="83"/>
      <c r="AB382" s="83"/>
    </row>
    <row r="383">
      <c r="P383" s="83"/>
      <c r="Q383" s="83"/>
      <c r="R383" s="83"/>
      <c r="S383" s="83"/>
      <c r="T383" s="83"/>
      <c r="U383" s="83"/>
      <c r="V383" s="94"/>
      <c r="W383" s="83"/>
      <c r="X383" s="83"/>
      <c r="Y383" s="83"/>
      <c r="Z383" s="83"/>
      <c r="AA383" s="83"/>
      <c r="AB383" s="83"/>
    </row>
    <row r="384">
      <c r="P384" s="83"/>
      <c r="Q384" s="83"/>
      <c r="R384" s="83"/>
      <c r="S384" s="83"/>
      <c r="T384" s="83"/>
      <c r="U384" s="83"/>
      <c r="V384" s="94"/>
      <c r="W384" s="83"/>
      <c r="X384" s="83"/>
      <c r="Y384" s="83"/>
      <c r="Z384" s="83"/>
      <c r="AA384" s="83"/>
      <c r="AB384" s="83"/>
    </row>
    <row r="385">
      <c r="P385" s="83"/>
      <c r="Q385" s="83"/>
      <c r="R385" s="83"/>
      <c r="S385" s="83"/>
      <c r="T385" s="83"/>
      <c r="U385" s="83"/>
      <c r="V385" s="94"/>
      <c r="W385" s="83"/>
      <c r="X385" s="83"/>
      <c r="Y385" s="83"/>
      <c r="Z385" s="83"/>
      <c r="AA385" s="83"/>
      <c r="AB385" s="83"/>
    </row>
    <row r="386">
      <c r="P386" s="83"/>
      <c r="Q386" s="83"/>
      <c r="R386" s="83"/>
      <c r="S386" s="83"/>
      <c r="T386" s="83"/>
      <c r="U386" s="83"/>
      <c r="V386" s="94"/>
      <c r="W386" s="83"/>
      <c r="X386" s="83"/>
      <c r="Y386" s="83"/>
      <c r="Z386" s="83"/>
      <c r="AA386" s="83"/>
      <c r="AB386" s="83"/>
    </row>
    <row r="387">
      <c r="P387" s="83"/>
      <c r="Q387" s="83"/>
      <c r="R387" s="83"/>
      <c r="S387" s="83"/>
      <c r="T387" s="83"/>
      <c r="U387" s="83"/>
      <c r="V387" s="94"/>
      <c r="W387" s="83"/>
      <c r="X387" s="83"/>
      <c r="Y387" s="83"/>
      <c r="Z387" s="83"/>
      <c r="AA387" s="83"/>
      <c r="AB387" s="83"/>
    </row>
    <row r="388">
      <c r="P388" s="83"/>
      <c r="Q388" s="83"/>
      <c r="R388" s="83"/>
      <c r="S388" s="83"/>
      <c r="T388" s="83"/>
      <c r="U388" s="83"/>
      <c r="V388" s="94"/>
      <c r="W388" s="83"/>
      <c r="X388" s="83"/>
      <c r="Y388" s="83"/>
      <c r="Z388" s="83"/>
      <c r="AA388" s="83"/>
      <c r="AB388" s="83"/>
    </row>
    <row r="389">
      <c r="P389" s="83"/>
      <c r="Q389" s="83"/>
      <c r="R389" s="83"/>
      <c r="S389" s="83"/>
      <c r="T389" s="83"/>
      <c r="U389" s="83"/>
      <c r="V389" s="94"/>
      <c r="W389" s="83"/>
      <c r="X389" s="83"/>
      <c r="Y389" s="83"/>
      <c r="Z389" s="83"/>
      <c r="AA389" s="83"/>
      <c r="AB389" s="83"/>
    </row>
    <row r="390">
      <c r="P390" s="83"/>
      <c r="Q390" s="83"/>
      <c r="R390" s="83"/>
      <c r="S390" s="83"/>
      <c r="T390" s="83"/>
      <c r="U390" s="83"/>
      <c r="V390" s="94"/>
      <c r="W390" s="83"/>
      <c r="X390" s="83"/>
      <c r="Y390" s="83"/>
      <c r="Z390" s="83"/>
      <c r="AA390" s="83"/>
      <c r="AB390" s="83"/>
    </row>
    <row r="391">
      <c r="P391" s="83"/>
      <c r="Q391" s="83"/>
      <c r="R391" s="83"/>
      <c r="S391" s="83"/>
      <c r="T391" s="83"/>
      <c r="U391" s="83"/>
      <c r="V391" s="94"/>
      <c r="W391" s="83"/>
      <c r="X391" s="83"/>
      <c r="Y391" s="83"/>
      <c r="Z391" s="83"/>
      <c r="AA391" s="83"/>
      <c r="AB391" s="83"/>
    </row>
    <row r="392">
      <c r="P392" s="83"/>
      <c r="Q392" s="83"/>
      <c r="R392" s="83"/>
      <c r="S392" s="83"/>
      <c r="T392" s="83"/>
      <c r="U392" s="83"/>
      <c r="V392" s="94"/>
      <c r="W392" s="83"/>
      <c r="X392" s="83"/>
      <c r="Y392" s="83"/>
      <c r="Z392" s="83"/>
      <c r="AA392" s="83"/>
      <c r="AB392" s="83"/>
    </row>
    <row r="393">
      <c r="P393" s="83"/>
      <c r="Q393" s="83"/>
      <c r="R393" s="83"/>
      <c r="S393" s="83"/>
      <c r="T393" s="83"/>
      <c r="U393" s="83"/>
      <c r="V393" s="94"/>
      <c r="W393" s="83"/>
      <c r="X393" s="83"/>
      <c r="Y393" s="83"/>
      <c r="Z393" s="83"/>
      <c r="AA393" s="83"/>
      <c r="AB393" s="83"/>
    </row>
    <row r="394">
      <c r="P394" s="83"/>
      <c r="Q394" s="83"/>
      <c r="R394" s="83"/>
      <c r="S394" s="83"/>
      <c r="T394" s="83"/>
      <c r="U394" s="83"/>
      <c r="V394" s="94"/>
      <c r="W394" s="83"/>
      <c r="X394" s="83"/>
      <c r="Y394" s="83"/>
      <c r="Z394" s="83"/>
      <c r="AA394" s="83"/>
      <c r="AB394" s="83"/>
    </row>
    <row r="395">
      <c r="P395" s="83"/>
      <c r="Q395" s="83"/>
      <c r="R395" s="83"/>
      <c r="S395" s="83"/>
      <c r="T395" s="83"/>
      <c r="U395" s="83"/>
      <c r="V395" s="94"/>
      <c r="W395" s="83"/>
      <c r="X395" s="83"/>
      <c r="Y395" s="83"/>
      <c r="Z395" s="83"/>
      <c r="AA395" s="83"/>
      <c r="AB395" s="83"/>
    </row>
    <row r="396">
      <c r="P396" s="83"/>
      <c r="Q396" s="83"/>
      <c r="R396" s="83"/>
      <c r="S396" s="83"/>
      <c r="T396" s="83"/>
      <c r="U396" s="83"/>
      <c r="V396" s="94"/>
      <c r="W396" s="83"/>
      <c r="X396" s="83"/>
      <c r="Y396" s="83"/>
      <c r="Z396" s="83"/>
      <c r="AA396" s="83"/>
      <c r="AB396" s="83"/>
    </row>
    <row r="397">
      <c r="P397" s="83"/>
      <c r="Q397" s="83"/>
      <c r="R397" s="83"/>
      <c r="S397" s="83"/>
      <c r="T397" s="83"/>
      <c r="U397" s="83"/>
      <c r="V397" s="94"/>
      <c r="W397" s="83"/>
      <c r="X397" s="83"/>
      <c r="Y397" s="83"/>
      <c r="Z397" s="83"/>
      <c r="AA397" s="83"/>
      <c r="AB397" s="83"/>
    </row>
    <row r="398">
      <c r="P398" s="83"/>
      <c r="Q398" s="83"/>
      <c r="R398" s="83"/>
      <c r="S398" s="83"/>
      <c r="T398" s="83"/>
      <c r="U398" s="83"/>
      <c r="V398" s="94"/>
      <c r="W398" s="83"/>
      <c r="X398" s="83"/>
      <c r="Y398" s="83"/>
      <c r="Z398" s="83"/>
      <c r="AA398" s="83"/>
      <c r="AB398" s="83"/>
    </row>
    <row r="399">
      <c r="P399" s="83"/>
      <c r="Q399" s="83"/>
      <c r="R399" s="83"/>
      <c r="S399" s="83"/>
      <c r="T399" s="83"/>
      <c r="U399" s="83"/>
      <c r="V399" s="94"/>
      <c r="W399" s="83"/>
      <c r="X399" s="83"/>
      <c r="Y399" s="83"/>
      <c r="Z399" s="83"/>
      <c r="AA399" s="83"/>
      <c r="AB399" s="83"/>
    </row>
    <row r="400">
      <c r="P400" s="83"/>
      <c r="Q400" s="83"/>
      <c r="R400" s="83"/>
      <c r="S400" s="83"/>
      <c r="T400" s="83"/>
      <c r="U400" s="83"/>
      <c r="V400" s="94"/>
      <c r="W400" s="83"/>
      <c r="X400" s="83"/>
      <c r="Y400" s="83"/>
      <c r="Z400" s="83"/>
      <c r="AA400" s="83"/>
      <c r="AB400" s="83"/>
    </row>
    <row r="401">
      <c r="P401" s="83"/>
      <c r="Q401" s="83"/>
      <c r="R401" s="83"/>
      <c r="S401" s="83"/>
      <c r="T401" s="83"/>
      <c r="U401" s="83"/>
      <c r="V401" s="94"/>
      <c r="W401" s="83"/>
      <c r="X401" s="83"/>
      <c r="Y401" s="83"/>
      <c r="Z401" s="83"/>
      <c r="AA401" s="83"/>
      <c r="AB401" s="83"/>
    </row>
    <row r="402">
      <c r="P402" s="83"/>
      <c r="Q402" s="83"/>
      <c r="R402" s="83"/>
      <c r="S402" s="83"/>
      <c r="T402" s="83"/>
      <c r="U402" s="83"/>
      <c r="V402" s="94"/>
      <c r="W402" s="83"/>
      <c r="X402" s="83"/>
      <c r="Y402" s="83"/>
      <c r="Z402" s="83"/>
      <c r="AA402" s="83"/>
      <c r="AB402" s="83"/>
    </row>
    <row r="403">
      <c r="P403" s="83"/>
      <c r="Q403" s="83"/>
      <c r="R403" s="83"/>
      <c r="S403" s="83"/>
      <c r="T403" s="83"/>
      <c r="U403" s="83"/>
      <c r="V403" s="94"/>
      <c r="W403" s="83"/>
      <c r="X403" s="83"/>
      <c r="Y403" s="83"/>
      <c r="Z403" s="83"/>
      <c r="AA403" s="83"/>
      <c r="AB403" s="83"/>
    </row>
    <row r="404">
      <c r="P404" s="83"/>
      <c r="Q404" s="83"/>
      <c r="R404" s="83"/>
      <c r="S404" s="83"/>
      <c r="T404" s="83"/>
      <c r="U404" s="83"/>
      <c r="V404" s="94"/>
      <c r="W404" s="83"/>
      <c r="X404" s="83"/>
      <c r="Y404" s="83"/>
      <c r="Z404" s="83"/>
      <c r="AA404" s="83"/>
      <c r="AB404" s="83"/>
    </row>
    <row r="405">
      <c r="P405" s="83"/>
      <c r="Q405" s="83"/>
      <c r="R405" s="83"/>
      <c r="S405" s="83"/>
      <c r="T405" s="83"/>
      <c r="U405" s="83"/>
      <c r="V405" s="94"/>
      <c r="W405" s="83"/>
      <c r="X405" s="83"/>
      <c r="Y405" s="83"/>
      <c r="Z405" s="83"/>
      <c r="AA405" s="83"/>
      <c r="AB405" s="83"/>
    </row>
    <row r="406">
      <c r="P406" s="83"/>
      <c r="Q406" s="83"/>
      <c r="R406" s="83"/>
      <c r="S406" s="83"/>
      <c r="T406" s="83"/>
      <c r="U406" s="83"/>
      <c r="V406" s="94"/>
      <c r="W406" s="83"/>
      <c r="X406" s="83"/>
      <c r="Y406" s="83"/>
      <c r="Z406" s="83"/>
      <c r="AA406" s="83"/>
      <c r="AB406" s="83"/>
    </row>
    <row r="407">
      <c r="P407" s="83"/>
      <c r="Q407" s="83"/>
      <c r="R407" s="83"/>
      <c r="S407" s="83"/>
      <c r="T407" s="83"/>
      <c r="U407" s="83"/>
      <c r="V407" s="94"/>
      <c r="W407" s="83"/>
      <c r="X407" s="83"/>
      <c r="Y407" s="83"/>
      <c r="Z407" s="83"/>
      <c r="AA407" s="83"/>
      <c r="AB407" s="83"/>
    </row>
    <row r="408">
      <c r="P408" s="83"/>
      <c r="Q408" s="83"/>
      <c r="R408" s="83"/>
      <c r="S408" s="83"/>
      <c r="T408" s="83"/>
      <c r="U408" s="83"/>
      <c r="V408" s="94"/>
      <c r="W408" s="83"/>
      <c r="X408" s="83"/>
      <c r="Y408" s="83"/>
      <c r="Z408" s="83"/>
      <c r="AA408" s="83"/>
      <c r="AB408" s="83"/>
    </row>
    <row r="409">
      <c r="P409" s="83"/>
      <c r="Q409" s="83"/>
      <c r="R409" s="83"/>
      <c r="S409" s="83"/>
      <c r="T409" s="83"/>
      <c r="U409" s="83"/>
      <c r="V409" s="94"/>
      <c r="W409" s="83"/>
      <c r="X409" s="83"/>
      <c r="Y409" s="83"/>
      <c r="Z409" s="83"/>
      <c r="AA409" s="83"/>
      <c r="AB409" s="83"/>
    </row>
    <row r="410">
      <c r="P410" s="83"/>
      <c r="Q410" s="83"/>
      <c r="R410" s="83"/>
      <c r="S410" s="83"/>
      <c r="T410" s="83"/>
      <c r="U410" s="83"/>
      <c r="V410" s="94"/>
      <c r="W410" s="83"/>
      <c r="X410" s="83"/>
      <c r="Y410" s="83"/>
      <c r="Z410" s="83"/>
      <c r="AA410" s="83"/>
      <c r="AB410" s="83"/>
    </row>
    <row r="411">
      <c r="P411" s="83"/>
      <c r="Q411" s="83"/>
      <c r="R411" s="83"/>
      <c r="S411" s="83"/>
      <c r="T411" s="83"/>
      <c r="U411" s="83"/>
      <c r="V411" s="94"/>
      <c r="W411" s="83"/>
      <c r="X411" s="83"/>
      <c r="Y411" s="83"/>
      <c r="Z411" s="83"/>
      <c r="AA411" s="83"/>
      <c r="AB411" s="83"/>
    </row>
    <row r="412">
      <c r="P412" s="83"/>
      <c r="Q412" s="83"/>
      <c r="R412" s="83"/>
      <c r="S412" s="83"/>
      <c r="T412" s="83"/>
      <c r="U412" s="83"/>
      <c r="V412" s="94"/>
      <c r="W412" s="83"/>
      <c r="X412" s="83"/>
      <c r="Y412" s="83"/>
      <c r="Z412" s="83"/>
      <c r="AA412" s="83"/>
      <c r="AB412" s="83"/>
    </row>
    <row r="413">
      <c r="P413" s="83"/>
      <c r="Q413" s="83"/>
      <c r="R413" s="83"/>
      <c r="S413" s="83"/>
      <c r="T413" s="83"/>
      <c r="U413" s="83"/>
      <c r="V413" s="94"/>
      <c r="W413" s="83"/>
      <c r="X413" s="83"/>
      <c r="Y413" s="83"/>
      <c r="Z413" s="83"/>
      <c r="AA413" s="83"/>
      <c r="AB413" s="83"/>
    </row>
    <row r="414">
      <c r="P414" s="83"/>
      <c r="Q414" s="83"/>
      <c r="R414" s="83"/>
      <c r="S414" s="83"/>
      <c r="T414" s="83"/>
      <c r="U414" s="83"/>
      <c r="V414" s="94"/>
      <c r="W414" s="83"/>
      <c r="X414" s="83"/>
      <c r="Y414" s="83"/>
      <c r="Z414" s="83"/>
      <c r="AA414" s="83"/>
      <c r="AB414" s="83"/>
    </row>
    <row r="415">
      <c r="P415" s="83"/>
      <c r="Q415" s="83"/>
      <c r="R415" s="83"/>
      <c r="S415" s="83"/>
      <c r="T415" s="83"/>
      <c r="U415" s="83"/>
      <c r="V415" s="94"/>
      <c r="W415" s="83"/>
      <c r="X415" s="83"/>
      <c r="Y415" s="83"/>
      <c r="Z415" s="83"/>
      <c r="AA415" s="83"/>
      <c r="AB415" s="83"/>
    </row>
    <row r="416">
      <c r="P416" s="83"/>
      <c r="Q416" s="83"/>
      <c r="R416" s="83"/>
      <c r="S416" s="83"/>
      <c r="T416" s="83"/>
      <c r="U416" s="83"/>
      <c r="V416" s="94"/>
      <c r="W416" s="83"/>
      <c r="X416" s="83"/>
      <c r="Y416" s="83"/>
      <c r="Z416" s="83"/>
      <c r="AA416" s="83"/>
      <c r="AB416" s="83"/>
    </row>
    <row r="417">
      <c r="P417" s="83"/>
      <c r="Q417" s="83"/>
      <c r="R417" s="83"/>
      <c r="S417" s="83"/>
      <c r="T417" s="83"/>
      <c r="U417" s="83"/>
      <c r="V417" s="94"/>
      <c r="W417" s="83"/>
      <c r="X417" s="83"/>
      <c r="Y417" s="83"/>
      <c r="Z417" s="83"/>
      <c r="AA417" s="83"/>
      <c r="AB417" s="83"/>
    </row>
    <row r="418">
      <c r="P418" s="83"/>
      <c r="Q418" s="83"/>
      <c r="R418" s="83"/>
      <c r="S418" s="83"/>
      <c r="T418" s="83"/>
      <c r="U418" s="83"/>
      <c r="V418" s="94"/>
      <c r="W418" s="83"/>
      <c r="X418" s="83"/>
      <c r="Y418" s="83"/>
      <c r="Z418" s="83"/>
      <c r="AA418" s="83"/>
      <c r="AB418" s="83"/>
    </row>
    <row r="419">
      <c r="P419" s="83"/>
      <c r="Q419" s="83"/>
      <c r="R419" s="83"/>
      <c r="S419" s="83"/>
      <c r="T419" s="83"/>
      <c r="U419" s="83"/>
      <c r="V419" s="94"/>
      <c r="W419" s="83"/>
      <c r="X419" s="83"/>
      <c r="Y419" s="83"/>
      <c r="Z419" s="83"/>
      <c r="AA419" s="83"/>
      <c r="AB419" s="83"/>
    </row>
    <row r="420">
      <c r="P420" s="83"/>
      <c r="Q420" s="83"/>
      <c r="R420" s="83"/>
      <c r="S420" s="83"/>
      <c r="T420" s="83"/>
      <c r="U420" s="83"/>
      <c r="V420" s="94"/>
      <c r="W420" s="83"/>
      <c r="X420" s="83"/>
      <c r="Y420" s="83"/>
      <c r="Z420" s="83"/>
      <c r="AA420" s="83"/>
      <c r="AB420" s="83"/>
    </row>
    <row r="421">
      <c r="P421" s="83"/>
      <c r="Q421" s="83"/>
      <c r="R421" s="83"/>
      <c r="S421" s="83"/>
      <c r="T421" s="83"/>
      <c r="U421" s="83"/>
      <c r="V421" s="94"/>
      <c r="W421" s="83"/>
      <c r="X421" s="83"/>
      <c r="Y421" s="83"/>
      <c r="Z421" s="83"/>
      <c r="AA421" s="83"/>
      <c r="AB421" s="83"/>
    </row>
    <row r="422">
      <c r="P422" s="83"/>
      <c r="Q422" s="83"/>
      <c r="R422" s="83"/>
      <c r="S422" s="83"/>
      <c r="T422" s="83"/>
      <c r="U422" s="83"/>
      <c r="V422" s="94"/>
      <c r="W422" s="83"/>
      <c r="X422" s="83"/>
      <c r="Y422" s="83"/>
      <c r="Z422" s="83"/>
      <c r="AA422" s="83"/>
      <c r="AB422" s="83"/>
    </row>
    <row r="423">
      <c r="P423" s="83"/>
      <c r="Q423" s="83"/>
      <c r="R423" s="83"/>
      <c r="S423" s="83"/>
      <c r="T423" s="83"/>
      <c r="U423" s="83"/>
      <c r="V423" s="94"/>
      <c r="W423" s="83"/>
      <c r="X423" s="83"/>
      <c r="Y423" s="83"/>
      <c r="Z423" s="83"/>
      <c r="AA423" s="83"/>
      <c r="AB423" s="83"/>
    </row>
    <row r="424">
      <c r="P424" s="83"/>
      <c r="Q424" s="83"/>
      <c r="R424" s="83"/>
      <c r="S424" s="83"/>
      <c r="T424" s="83"/>
      <c r="U424" s="83"/>
      <c r="V424" s="94"/>
      <c r="W424" s="83"/>
      <c r="X424" s="83"/>
      <c r="Y424" s="83"/>
      <c r="Z424" s="83"/>
      <c r="AA424" s="83"/>
      <c r="AB424" s="83"/>
    </row>
    <row r="425">
      <c r="P425" s="83"/>
      <c r="Q425" s="83"/>
      <c r="R425" s="83"/>
      <c r="S425" s="83"/>
      <c r="T425" s="83"/>
      <c r="U425" s="83"/>
      <c r="V425" s="94"/>
      <c r="W425" s="83"/>
      <c r="X425" s="83"/>
      <c r="Y425" s="83"/>
      <c r="Z425" s="83"/>
      <c r="AA425" s="83"/>
      <c r="AB425" s="83"/>
    </row>
    <row r="426">
      <c r="P426" s="83"/>
      <c r="Q426" s="83"/>
      <c r="R426" s="83"/>
      <c r="S426" s="83"/>
      <c r="T426" s="83"/>
      <c r="U426" s="83"/>
      <c r="V426" s="94"/>
      <c r="W426" s="83"/>
      <c r="X426" s="83"/>
      <c r="Y426" s="83"/>
      <c r="Z426" s="83"/>
      <c r="AA426" s="83"/>
      <c r="AB426" s="83"/>
    </row>
    <row r="427">
      <c r="P427" s="83"/>
      <c r="Q427" s="83"/>
      <c r="R427" s="83"/>
      <c r="S427" s="83"/>
      <c r="T427" s="83"/>
      <c r="U427" s="83"/>
      <c r="V427" s="94"/>
      <c r="W427" s="83"/>
      <c r="X427" s="83"/>
      <c r="Y427" s="83"/>
      <c r="Z427" s="83"/>
      <c r="AA427" s="83"/>
      <c r="AB427" s="83"/>
    </row>
    <row r="428">
      <c r="P428" s="83"/>
      <c r="Q428" s="83"/>
      <c r="R428" s="83"/>
      <c r="S428" s="83"/>
      <c r="T428" s="83"/>
      <c r="U428" s="83"/>
      <c r="V428" s="94"/>
      <c r="W428" s="83"/>
      <c r="X428" s="83"/>
      <c r="Y428" s="83"/>
      <c r="Z428" s="83"/>
      <c r="AA428" s="83"/>
      <c r="AB428" s="83"/>
    </row>
    <row r="429">
      <c r="P429" s="83"/>
      <c r="Q429" s="83"/>
      <c r="R429" s="83"/>
      <c r="S429" s="83"/>
      <c r="T429" s="83"/>
      <c r="U429" s="83"/>
      <c r="V429" s="94"/>
      <c r="W429" s="83"/>
      <c r="X429" s="83"/>
      <c r="Y429" s="83"/>
      <c r="Z429" s="83"/>
      <c r="AA429" s="83"/>
      <c r="AB429" s="83"/>
    </row>
    <row r="430">
      <c r="P430" s="83"/>
      <c r="Q430" s="83"/>
      <c r="R430" s="83"/>
      <c r="S430" s="83"/>
      <c r="T430" s="83"/>
      <c r="U430" s="83"/>
      <c r="V430" s="94"/>
      <c r="W430" s="83"/>
      <c r="X430" s="83"/>
      <c r="Y430" s="83"/>
      <c r="Z430" s="83"/>
      <c r="AA430" s="83"/>
      <c r="AB430" s="83"/>
    </row>
    <row r="431">
      <c r="P431" s="83"/>
      <c r="Q431" s="83"/>
      <c r="R431" s="83"/>
      <c r="S431" s="83"/>
      <c r="T431" s="83"/>
      <c r="U431" s="83"/>
      <c r="V431" s="94"/>
      <c r="W431" s="83"/>
      <c r="X431" s="83"/>
      <c r="Y431" s="83"/>
      <c r="Z431" s="83"/>
      <c r="AA431" s="83"/>
      <c r="AB431" s="83"/>
    </row>
    <row r="432">
      <c r="P432" s="83"/>
      <c r="Q432" s="83"/>
      <c r="R432" s="83"/>
      <c r="S432" s="83"/>
      <c r="T432" s="83"/>
      <c r="U432" s="83"/>
      <c r="V432" s="94"/>
      <c r="W432" s="83"/>
      <c r="X432" s="83"/>
      <c r="Y432" s="83"/>
      <c r="Z432" s="83"/>
      <c r="AA432" s="83"/>
      <c r="AB432" s="83"/>
    </row>
    <row r="433">
      <c r="P433" s="83"/>
      <c r="Q433" s="83"/>
      <c r="R433" s="83"/>
      <c r="S433" s="83"/>
      <c r="T433" s="83"/>
      <c r="U433" s="83"/>
      <c r="V433" s="94"/>
      <c r="W433" s="83"/>
      <c r="X433" s="83"/>
      <c r="Y433" s="83"/>
      <c r="Z433" s="83"/>
      <c r="AA433" s="83"/>
      <c r="AB433" s="83"/>
    </row>
    <row r="434">
      <c r="P434" s="83"/>
      <c r="Q434" s="83"/>
      <c r="R434" s="83"/>
      <c r="S434" s="83"/>
      <c r="T434" s="83"/>
      <c r="U434" s="83"/>
      <c r="V434" s="94"/>
      <c r="W434" s="83"/>
      <c r="X434" s="83"/>
      <c r="Y434" s="83"/>
      <c r="Z434" s="83"/>
      <c r="AA434" s="83"/>
      <c r="AB434" s="83"/>
    </row>
    <row r="435">
      <c r="P435" s="83"/>
      <c r="Q435" s="83"/>
      <c r="R435" s="83"/>
      <c r="S435" s="83"/>
      <c r="T435" s="83"/>
      <c r="U435" s="83"/>
      <c r="V435" s="94"/>
      <c r="W435" s="83"/>
      <c r="X435" s="83"/>
      <c r="Y435" s="83"/>
      <c r="Z435" s="83"/>
      <c r="AA435" s="83"/>
      <c r="AB435" s="83"/>
    </row>
    <row r="436">
      <c r="P436" s="83"/>
      <c r="Q436" s="83"/>
      <c r="R436" s="83"/>
      <c r="S436" s="83"/>
      <c r="T436" s="83"/>
      <c r="U436" s="83"/>
      <c r="V436" s="94"/>
      <c r="W436" s="83"/>
      <c r="X436" s="83"/>
      <c r="Y436" s="83"/>
      <c r="Z436" s="83"/>
      <c r="AA436" s="83"/>
      <c r="AB436" s="83"/>
    </row>
    <row r="437">
      <c r="P437" s="83"/>
      <c r="Q437" s="83"/>
      <c r="R437" s="83"/>
      <c r="S437" s="83"/>
      <c r="T437" s="83"/>
      <c r="U437" s="83"/>
      <c r="V437" s="94"/>
      <c r="W437" s="83"/>
      <c r="X437" s="83"/>
      <c r="Y437" s="83"/>
      <c r="Z437" s="83"/>
      <c r="AA437" s="83"/>
      <c r="AB437" s="83"/>
    </row>
    <row r="438">
      <c r="P438" s="83"/>
      <c r="Q438" s="83"/>
      <c r="R438" s="83"/>
      <c r="S438" s="83"/>
      <c r="T438" s="83"/>
      <c r="U438" s="83"/>
      <c r="V438" s="94"/>
      <c r="W438" s="83"/>
      <c r="X438" s="83"/>
      <c r="Y438" s="83"/>
      <c r="Z438" s="83"/>
      <c r="AA438" s="83"/>
      <c r="AB438" s="83"/>
    </row>
    <row r="439">
      <c r="P439" s="83"/>
      <c r="Q439" s="83"/>
      <c r="R439" s="83"/>
      <c r="S439" s="83"/>
      <c r="T439" s="83"/>
      <c r="U439" s="83"/>
      <c r="V439" s="94"/>
      <c r="W439" s="83"/>
      <c r="X439" s="83"/>
      <c r="Y439" s="83"/>
      <c r="Z439" s="83"/>
      <c r="AA439" s="83"/>
      <c r="AB439" s="83"/>
    </row>
    <row r="440">
      <c r="P440" s="83"/>
      <c r="Q440" s="83"/>
      <c r="R440" s="83"/>
      <c r="S440" s="83"/>
      <c r="T440" s="83"/>
      <c r="U440" s="83"/>
      <c r="V440" s="94"/>
      <c r="W440" s="83"/>
      <c r="X440" s="83"/>
      <c r="Y440" s="83"/>
      <c r="Z440" s="83"/>
      <c r="AA440" s="83"/>
      <c r="AB440" s="83"/>
    </row>
    <row r="441">
      <c r="P441" s="83"/>
      <c r="Q441" s="83"/>
      <c r="R441" s="83"/>
      <c r="S441" s="83"/>
      <c r="T441" s="83"/>
      <c r="U441" s="83"/>
      <c r="V441" s="94"/>
      <c r="W441" s="83"/>
      <c r="X441" s="83"/>
      <c r="Y441" s="83"/>
      <c r="Z441" s="83"/>
      <c r="AA441" s="83"/>
      <c r="AB441" s="83"/>
    </row>
    <row r="442">
      <c r="P442" s="83"/>
      <c r="Q442" s="83"/>
      <c r="R442" s="83"/>
      <c r="S442" s="83"/>
      <c r="T442" s="83"/>
      <c r="U442" s="83"/>
      <c r="V442" s="94"/>
      <c r="W442" s="83"/>
      <c r="X442" s="83"/>
      <c r="Y442" s="83"/>
      <c r="Z442" s="83"/>
      <c r="AA442" s="83"/>
      <c r="AB442" s="83"/>
    </row>
    <row r="443">
      <c r="P443" s="83"/>
      <c r="Q443" s="83"/>
      <c r="R443" s="83"/>
      <c r="S443" s="83"/>
      <c r="T443" s="83"/>
      <c r="U443" s="83"/>
      <c r="V443" s="94"/>
      <c r="W443" s="83"/>
      <c r="X443" s="83"/>
      <c r="Y443" s="83"/>
      <c r="Z443" s="83"/>
      <c r="AA443" s="83"/>
      <c r="AB443" s="83"/>
    </row>
    <row r="444">
      <c r="P444" s="83"/>
      <c r="Q444" s="83"/>
      <c r="R444" s="83"/>
      <c r="S444" s="83"/>
      <c r="T444" s="83"/>
      <c r="U444" s="83"/>
      <c r="V444" s="94"/>
      <c r="W444" s="83"/>
      <c r="X444" s="83"/>
      <c r="Y444" s="83"/>
      <c r="Z444" s="83"/>
      <c r="AA444" s="83"/>
      <c r="AB444" s="83"/>
    </row>
    <row r="445">
      <c r="P445" s="83"/>
      <c r="Q445" s="83"/>
      <c r="R445" s="83"/>
      <c r="S445" s="83"/>
      <c r="T445" s="83"/>
      <c r="U445" s="83"/>
      <c r="V445" s="94"/>
      <c r="W445" s="83"/>
      <c r="X445" s="83"/>
      <c r="Y445" s="83"/>
      <c r="Z445" s="83"/>
      <c r="AA445" s="83"/>
      <c r="AB445" s="83"/>
    </row>
    <row r="446">
      <c r="P446" s="83"/>
      <c r="Q446" s="83"/>
      <c r="R446" s="83"/>
      <c r="S446" s="83"/>
      <c r="T446" s="83"/>
      <c r="U446" s="83"/>
      <c r="V446" s="94"/>
      <c r="W446" s="83"/>
      <c r="X446" s="83"/>
      <c r="Y446" s="83"/>
      <c r="Z446" s="83"/>
      <c r="AA446" s="83"/>
      <c r="AB446" s="83"/>
    </row>
    <row r="447">
      <c r="P447" s="83"/>
      <c r="Q447" s="83"/>
      <c r="R447" s="83"/>
      <c r="S447" s="83"/>
      <c r="T447" s="83"/>
      <c r="U447" s="83"/>
      <c r="V447" s="94"/>
      <c r="W447" s="83"/>
      <c r="X447" s="83"/>
      <c r="Y447" s="83"/>
      <c r="Z447" s="83"/>
      <c r="AA447" s="83"/>
      <c r="AB447" s="83"/>
    </row>
    <row r="448">
      <c r="P448" s="83"/>
      <c r="Q448" s="83"/>
      <c r="R448" s="83"/>
      <c r="S448" s="83"/>
      <c r="T448" s="83"/>
      <c r="U448" s="83"/>
      <c r="V448" s="94"/>
      <c r="W448" s="83"/>
      <c r="X448" s="83"/>
      <c r="Y448" s="83"/>
      <c r="Z448" s="83"/>
      <c r="AA448" s="83"/>
      <c r="AB448" s="83"/>
    </row>
    <row r="449">
      <c r="P449" s="83"/>
      <c r="Q449" s="83"/>
      <c r="R449" s="83"/>
      <c r="S449" s="83"/>
      <c r="T449" s="83"/>
      <c r="U449" s="83"/>
      <c r="V449" s="94"/>
      <c r="W449" s="83"/>
      <c r="X449" s="83"/>
      <c r="Y449" s="83"/>
      <c r="Z449" s="83"/>
      <c r="AA449" s="83"/>
      <c r="AB449" s="83"/>
    </row>
    <row r="450">
      <c r="P450" s="83"/>
      <c r="Q450" s="83"/>
      <c r="R450" s="83"/>
      <c r="S450" s="83"/>
      <c r="T450" s="83"/>
      <c r="U450" s="83"/>
      <c r="V450" s="94"/>
      <c r="W450" s="83"/>
      <c r="X450" s="83"/>
      <c r="Y450" s="83"/>
      <c r="Z450" s="83"/>
      <c r="AA450" s="83"/>
      <c r="AB450" s="83"/>
    </row>
    <row r="451">
      <c r="P451" s="83"/>
      <c r="Q451" s="83"/>
      <c r="R451" s="83"/>
      <c r="S451" s="83"/>
      <c r="T451" s="83"/>
      <c r="U451" s="83"/>
      <c r="V451" s="94"/>
      <c r="W451" s="83"/>
      <c r="X451" s="83"/>
      <c r="Y451" s="83"/>
      <c r="Z451" s="83"/>
      <c r="AA451" s="83"/>
      <c r="AB451" s="83"/>
    </row>
    <row r="452">
      <c r="P452" s="83"/>
      <c r="Q452" s="83"/>
      <c r="R452" s="83"/>
      <c r="S452" s="83"/>
      <c r="T452" s="83"/>
      <c r="U452" s="83"/>
      <c r="V452" s="94"/>
      <c r="W452" s="83"/>
      <c r="X452" s="83"/>
      <c r="Y452" s="83"/>
      <c r="Z452" s="83"/>
      <c r="AA452" s="83"/>
      <c r="AB452" s="83"/>
    </row>
    <row r="453">
      <c r="P453" s="83"/>
      <c r="Q453" s="83"/>
      <c r="R453" s="83"/>
      <c r="S453" s="83"/>
      <c r="T453" s="83"/>
      <c r="U453" s="83"/>
      <c r="V453" s="94"/>
      <c r="W453" s="83"/>
      <c r="X453" s="83"/>
      <c r="Y453" s="83"/>
      <c r="Z453" s="83"/>
      <c r="AA453" s="83"/>
      <c r="AB453" s="83"/>
    </row>
    <row r="454">
      <c r="P454" s="83"/>
      <c r="Q454" s="83"/>
      <c r="R454" s="83"/>
      <c r="S454" s="83"/>
      <c r="T454" s="83"/>
      <c r="U454" s="83"/>
      <c r="V454" s="94"/>
      <c r="W454" s="83"/>
      <c r="X454" s="83"/>
      <c r="Y454" s="83"/>
      <c r="Z454" s="83"/>
      <c r="AA454" s="83"/>
      <c r="AB454" s="83"/>
    </row>
    <row r="455">
      <c r="P455" s="83"/>
      <c r="Q455" s="83"/>
      <c r="R455" s="83"/>
      <c r="S455" s="83"/>
      <c r="T455" s="83"/>
      <c r="U455" s="83"/>
      <c r="V455" s="94"/>
      <c r="W455" s="83"/>
      <c r="X455" s="83"/>
      <c r="Y455" s="83"/>
      <c r="Z455" s="83"/>
      <c r="AA455" s="83"/>
      <c r="AB455" s="83"/>
    </row>
    <row r="456">
      <c r="P456" s="83"/>
      <c r="Q456" s="83"/>
      <c r="R456" s="83"/>
      <c r="S456" s="83"/>
      <c r="T456" s="83"/>
      <c r="U456" s="83"/>
      <c r="V456" s="94"/>
      <c r="W456" s="83"/>
      <c r="X456" s="83"/>
      <c r="Y456" s="83"/>
      <c r="Z456" s="83"/>
      <c r="AA456" s="83"/>
      <c r="AB456" s="83"/>
    </row>
    <row r="457">
      <c r="P457" s="83"/>
      <c r="Q457" s="83"/>
      <c r="R457" s="83"/>
      <c r="S457" s="83"/>
      <c r="T457" s="83"/>
      <c r="U457" s="83"/>
      <c r="V457" s="94"/>
      <c r="W457" s="83"/>
      <c r="X457" s="83"/>
      <c r="Y457" s="83"/>
      <c r="Z457" s="83"/>
      <c r="AA457" s="83"/>
      <c r="AB457" s="83"/>
    </row>
    <row r="458">
      <c r="P458" s="83"/>
      <c r="Q458" s="83"/>
      <c r="R458" s="83"/>
      <c r="S458" s="83"/>
      <c r="T458" s="83"/>
      <c r="U458" s="83"/>
      <c r="V458" s="94"/>
      <c r="W458" s="83"/>
      <c r="X458" s="83"/>
      <c r="Y458" s="83"/>
      <c r="Z458" s="83"/>
      <c r="AA458" s="83"/>
      <c r="AB458" s="83"/>
    </row>
    <row r="459">
      <c r="P459" s="83"/>
      <c r="Q459" s="83"/>
      <c r="R459" s="83"/>
      <c r="S459" s="83"/>
      <c r="T459" s="83"/>
      <c r="U459" s="83"/>
      <c r="V459" s="94"/>
      <c r="W459" s="83"/>
      <c r="X459" s="83"/>
      <c r="Y459" s="83"/>
      <c r="Z459" s="83"/>
      <c r="AA459" s="83"/>
      <c r="AB459" s="83"/>
    </row>
    <row r="460">
      <c r="P460" s="83"/>
      <c r="Q460" s="83"/>
      <c r="R460" s="83"/>
      <c r="S460" s="83"/>
      <c r="T460" s="83"/>
      <c r="U460" s="83"/>
      <c r="V460" s="94"/>
      <c r="W460" s="83"/>
      <c r="X460" s="83"/>
      <c r="Y460" s="83"/>
      <c r="Z460" s="83"/>
      <c r="AA460" s="83"/>
      <c r="AB460" s="83"/>
    </row>
    <row r="461">
      <c r="P461" s="83"/>
      <c r="Q461" s="83"/>
      <c r="R461" s="83"/>
      <c r="S461" s="83"/>
      <c r="T461" s="83"/>
      <c r="U461" s="83"/>
      <c r="V461" s="94"/>
      <c r="W461" s="83"/>
      <c r="X461" s="83"/>
      <c r="Y461" s="83"/>
      <c r="Z461" s="83"/>
      <c r="AA461" s="83"/>
      <c r="AB461" s="83"/>
    </row>
    <row r="462">
      <c r="P462" s="83"/>
      <c r="Q462" s="83"/>
      <c r="R462" s="83"/>
      <c r="S462" s="83"/>
      <c r="T462" s="83"/>
      <c r="U462" s="83"/>
      <c r="V462" s="94"/>
      <c r="W462" s="83"/>
      <c r="X462" s="83"/>
      <c r="Y462" s="83"/>
      <c r="Z462" s="83"/>
      <c r="AA462" s="83"/>
      <c r="AB462" s="83"/>
    </row>
    <row r="463">
      <c r="P463" s="83"/>
      <c r="Q463" s="83"/>
      <c r="R463" s="83"/>
      <c r="S463" s="83"/>
      <c r="T463" s="83"/>
      <c r="U463" s="83"/>
      <c r="V463" s="94"/>
      <c r="W463" s="83"/>
      <c r="X463" s="83"/>
      <c r="Y463" s="83"/>
      <c r="Z463" s="83"/>
      <c r="AA463" s="83"/>
      <c r="AB463" s="83"/>
    </row>
    <row r="464">
      <c r="P464" s="83"/>
      <c r="Q464" s="83"/>
      <c r="R464" s="83"/>
      <c r="S464" s="83"/>
      <c r="T464" s="83"/>
      <c r="U464" s="83"/>
      <c r="V464" s="94"/>
      <c r="W464" s="83"/>
      <c r="X464" s="83"/>
      <c r="Y464" s="83"/>
      <c r="Z464" s="83"/>
      <c r="AA464" s="83"/>
      <c r="AB464" s="83"/>
    </row>
    <row r="465">
      <c r="P465" s="83"/>
      <c r="Q465" s="83"/>
      <c r="R465" s="83"/>
      <c r="S465" s="83"/>
      <c r="T465" s="83"/>
      <c r="U465" s="83"/>
      <c r="V465" s="94"/>
      <c r="W465" s="83"/>
      <c r="X465" s="83"/>
      <c r="Y465" s="83"/>
      <c r="Z465" s="83"/>
      <c r="AA465" s="83"/>
      <c r="AB465" s="83"/>
    </row>
    <row r="466">
      <c r="P466" s="83"/>
      <c r="Q466" s="83"/>
      <c r="R466" s="83"/>
      <c r="S466" s="83"/>
      <c r="T466" s="83"/>
      <c r="U466" s="83"/>
      <c r="V466" s="94"/>
      <c r="W466" s="83"/>
      <c r="X466" s="83"/>
      <c r="Y466" s="83"/>
      <c r="Z466" s="83"/>
      <c r="AA466" s="83"/>
      <c r="AB466" s="83"/>
    </row>
    <row r="467">
      <c r="P467" s="83"/>
      <c r="Q467" s="83"/>
      <c r="R467" s="83"/>
      <c r="S467" s="83"/>
      <c r="T467" s="83"/>
      <c r="U467" s="83"/>
      <c r="V467" s="94"/>
      <c r="W467" s="83"/>
      <c r="X467" s="83"/>
      <c r="Y467" s="83"/>
      <c r="Z467" s="83"/>
      <c r="AA467" s="83"/>
      <c r="AB467" s="83"/>
    </row>
    <row r="468">
      <c r="P468" s="83"/>
      <c r="Q468" s="83"/>
      <c r="R468" s="83"/>
      <c r="S468" s="83"/>
      <c r="T468" s="83"/>
      <c r="U468" s="83"/>
      <c r="V468" s="94"/>
      <c r="W468" s="83"/>
      <c r="X468" s="83"/>
      <c r="Y468" s="83"/>
      <c r="Z468" s="83"/>
      <c r="AA468" s="83"/>
      <c r="AB468" s="83"/>
    </row>
    <row r="469">
      <c r="P469" s="83"/>
      <c r="Q469" s="83"/>
      <c r="R469" s="83"/>
      <c r="S469" s="83"/>
      <c r="T469" s="83"/>
      <c r="U469" s="83"/>
      <c r="V469" s="94"/>
      <c r="W469" s="83"/>
      <c r="X469" s="83"/>
      <c r="Y469" s="83"/>
      <c r="Z469" s="83"/>
      <c r="AA469" s="83"/>
      <c r="AB469" s="83"/>
    </row>
    <row r="470">
      <c r="P470" s="83"/>
      <c r="Q470" s="83"/>
      <c r="R470" s="83"/>
      <c r="S470" s="83"/>
      <c r="T470" s="83"/>
      <c r="U470" s="83"/>
      <c r="V470" s="94"/>
      <c r="W470" s="83"/>
      <c r="X470" s="83"/>
      <c r="Y470" s="83"/>
      <c r="Z470" s="83"/>
      <c r="AA470" s="83"/>
      <c r="AB470" s="83"/>
    </row>
    <row r="471">
      <c r="P471" s="83"/>
      <c r="Q471" s="83"/>
      <c r="R471" s="83"/>
      <c r="S471" s="83"/>
      <c r="T471" s="83"/>
      <c r="U471" s="83"/>
      <c r="V471" s="94"/>
      <c r="W471" s="83"/>
      <c r="X471" s="83"/>
      <c r="Y471" s="83"/>
      <c r="Z471" s="83"/>
      <c r="AA471" s="83"/>
      <c r="AB471" s="83"/>
    </row>
    <row r="472">
      <c r="P472" s="83"/>
      <c r="Q472" s="83"/>
      <c r="R472" s="83"/>
      <c r="S472" s="83"/>
      <c r="T472" s="83"/>
      <c r="U472" s="83"/>
      <c r="V472" s="94"/>
      <c r="W472" s="83"/>
      <c r="X472" s="83"/>
      <c r="Y472" s="83"/>
      <c r="Z472" s="83"/>
      <c r="AA472" s="83"/>
      <c r="AB472" s="83"/>
    </row>
    <row r="473">
      <c r="P473" s="83"/>
      <c r="Q473" s="83"/>
      <c r="R473" s="83"/>
      <c r="S473" s="83"/>
      <c r="T473" s="83"/>
      <c r="U473" s="83"/>
      <c r="V473" s="94"/>
      <c r="W473" s="83"/>
      <c r="X473" s="83"/>
      <c r="Y473" s="83"/>
      <c r="Z473" s="83"/>
      <c r="AA473" s="83"/>
      <c r="AB473" s="83"/>
    </row>
    <row r="474">
      <c r="P474" s="83"/>
      <c r="Q474" s="83"/>
      <c r="R474" s="83"/>
      <c r="S474" s="83"/>
      <c r="T474" s="83"/>
      <c r="U474" s="83"/>
      <c r="V474" s="94"/>
      <c r="W474" s="83"/>
      <c r="X474" s="83"/>
      <c r="Y474" s="83"/>
      <c r="Z474" s="83"/>
      <c r="AA474" s="83"/>
      <c r="AB474" s="83"/>
    </row>
    <row r="475">
      <c r="P475" s="83"/>
      <c r="Q475" s="83"/>
      <c r="R475" s="83"/>
      <c r="S475" s="83"/>
      <c r="T475" s="83"/>
      <c r="U475" s="83"/>
      <c r="V475" s="94"/>
      <c r="W475" s="83"/>
      <c r="X475" s="83"/>
      <c r="Y475" s="83"/>
      <c r="Z475" s="83"/>
      <c r="AA475" s="83"/>
      <c r="AB475" s="83"/>
    </row>
    <row r="476">
      <c r="P476" s="83"/>
      <c r="Q476" s="83"/>
      <c r="R476" s="83"/>
      <c r="S476" s="83"/>
      <c r="T476" s="83"/>
      <c r="U476" s="83"/>
      <c r="V476" s="94"/>
      <c r="W476" s="83"/>
      <c r="X476" s="83"/>
      <c r="Y476" s="83"/>
      <c r="Z476" s="83"/>
      <c r="AA476" s="83"/>
      <c r="AB476" s="83"/>
    </row>
    <row r="477">
      <c r="P477" s="83"/>
      <c r="Q477" s="83"/>
      <c r="R477" s="83"/>
      <c r="S477" s="83"/>
      <c r="T477" s="83"/>
      <c r="U477" s="83"/>
      <c r="V477" s="94"/>
      <c r="W477" s="83"/>
      <c r="X477" s="83"/>
      <c r="Y477" s="83"/>
      <c r="Z477" s="83"/>
      <c r="AA477" s="83"/>
      <c r="AB477" s="83"/>
    </row>
    <row r="478">
      <c r="P478" s="83"/>
      <c r="Q478" s="83"/>
      <c r="R478" s="83"/>
      <c r="S478" s="83"/>
      <c r="T478" s="83"/>
      <c r="U478" s="83"/>
      <c r="V478" s="94"/>
      <c r="W478" s="83"/>
      <c r="X478" s="83"/>
      <c r="Y478" s="83"/>
      <c r="Z478" s="83"/>
      <c r="AA478" s="83"/>
      <c r="AB478" s="83"/>
    </row>
    <row r="479">
      <c r="P479" s="83"/>
      <c r="Q479" s="83"/>
      <c r="R479" s="83"/>
      <c r="S479" s="83"/>
      <c r="T479" s="83"/>
      <c r="U479" s="83"/>
      <c r="V479" s="94"/>
      <c r="W479" s="83"/>
      <c r="X479" s="83"/>
      <c r="Y479" s="83"/>
      <c r="Z479" s="83"/>
      <c r="AA479" s="83"/>
      <c r="AB479" s="83"/>
    </row>
    <row r="480">
      <c r="P480" s="83"/>
      <c r="Q480" s="83"/>
      <c r="R480" s="83"/>
      <c r="S480" s="83"/>
      <c r="T480" s="83"/>
      <c r="U480" s="83"/>
      <c r="V480" s="94"/>
      <c r="W480" s="83"/>
      <c r="X480" s="83"/>
      <c r="Y480" s="83"/>
      <c r="Z480" s="83"/>
      <c r="AA480" s="83"/>
      <c r="AB480" s="83"/>
    </row>
    <row r="481">
      <c r="P481" s="83"/>
      <c r="Q481" s="83"/>
      <c r="R481" s="83"/>
      <c r="S481" s="83"/>
      <c r="T481" s="83"/>
      <c r="U481" s="83"/>
      <c r="V481" s="94"/>
      <c r="W481" s="83"/>
      <c r="X481" s="83"/>
      <c r="Y481" s="83"/>
      <c r="Z481" s="83"/>
      <c r="AA481" s="83"/>
      <c r="AB481" s="83"/>
    </row>
    <row r="482">
      <c r="P482" s="83"/>
      <c r="Q482" s="83"/>
      <c r="R482" s="83"/>
      <c r="S482" s="83"/>
      <c r="T482" s="83"/>
      <c r="U482" s="83"/>
      <c r="V482" s="94"/>
      <c r="W482" s="83"/>
      <c r="X482" s="83"/>
      <c r="Y482" s="83"/>
      <c r="Z482" s="83"/>
      <c r="AA482" s="83"/>
      <c r="AB482" s="83"/>
    </row>
    <row r="483">
      <c r="P483" s="83"/>
      <c r="Q483" s="83"/>
      <c r="R483" s="83"/>
      <c r="S483" s="83"/>
      <c r="T483" s="83"/>
      <c r="U483" s="83"/>
      <c r="V483" s="94"/>
      <c r="W483" s="83"/>
      <c r="X483" s="83"/>
      <c r="Y483" s="83"/>
      <c r="Z483" s="83"/>
      <c r="AA483" s="83"/>
      <c r="AB483" s="83"/>
    </row>
    <row r="484">
      <c r="P484" s="83"/>
      <c r="Q484" s="83"/>
      <c r="R484" s="83"/>
      <c r="S484" s="83"/>
      <c r="T484" s="83"/>
      <c r="U484" s="83"/>
      <c r="V484" s="94"/>
      <c r="W484" s="83"/>
      <c r="X484" s="83"/>
      <c r="Y484" s="83"/>
      <c r="Z484" s="83"/>
      <c r="AA484" s="83"/>
      <c r="AB484" s="83"/>
    </row>
    <row r="485">
      <c r="P485" s="83"/>
      <c r="Q485" s="83"/>
      <c r="R485" s="83"/>
      <c r="S485" s="83"/>
      <c r="T485" s="83"/>
      <c r="U485" s="83"/>
      <c r="V485" s="94"/>
      <c r="W485" s="83"/>
      <c r="X485" s="83"/>
      <c r="Y485" s="83"/>
      <c r="Z485" s="83"/>
      <c r="AA485" s="83"/>
      <c r="AB485" s="83"/>
    </row>
    <row r="486">
      <c r="P486" s="83"/>
      <c r="Q486" s="83"/>
      <c r="R486" s="83"/>
      <c r="S486" s="83"/>
      <c r="T486" s="83"/>
      <c r="U486" s="83"/>
      <c r="V486" s="94"/>
      <c r="W486" s="83"/>
      <c r="X486" s="83"/>
      <c r="Y486" s="83"/>
      <c r="Z486" s="83"/>
      <c r="AA486" s="83"/>
      <c r="AB486" s="83"/>
    </row>
    <row r="487">
      <c r="P487" s="83"/>
      <c r="Q487" s="83"/>
      <c r="R487" s="83"/>
      <c r="S487" s="83"/>
      <c r="T487" s="83"/>
      <c r="U487" s="83"/>
      <c r="V487" s="94"/>
      <c r="W487" s="83"/>
      <c r="X487" s="83"/>
      <c r="Y487" s="83"/>
      <c r="Z487" s="83"/>
      <c r="AA487" s="83"/>
      <c r="AB487" s="83"/>
    </row>
    <row r="488">
      <c r="P488" s="83"/>
      <c r="Q488" s="83"/>
      <c r="R488" s="83"/>
      <c r="S488" s="83"/>
      <c r="T488" s="83"/>
      <c r="U488" s="83"/>
      <c r="V488" s="94"/>
      <c r="W488" s="83"/>
      <c r="X488" s="83"/>
      <c r="Y488" s="83"/>
      <c r="Z488" s="83"/>
      <c r="AA488" s="83"/>
      <c r="AB488" s="83"/>
    </row>
    <row r="489">
      <c r="P489" s="83"/>
      <c r="Q489" s="83"/>
      <c r="R489" s="83"/>
      <c r="S489" s="83"/>
      <c r="T489" s="83"/>
      <c r="U489" s="83"/>
      <c r="V489" s="94"/>
      <c r="W489" s="83"/>
      <c r="X489" s="83"/>
      <c r="Y489" s="83"/>
      <c r="Z489" s="83"/>
      <c r="AA489" s="83"/>
      <c r="AB489" s="83"/>
    </row>
    <row r="490">
      <c r="P490" s="83"/>
      <c r="Q490" s="83"/>
      <c r="R490" s="83"/>
      <c r="S490" s="83"/>
      <c r="T490" s="83"/>
      <c r="U490" s="83"/>
      <c r="V490" s="94"/>
      <c r="W490" s="83"/>
      <c r="X490" s="83"/>
      <c r="Y490" s="83"/>
      <c r="Z490" s="83"/>
      <c r="AA490" s="83"/>
      <c r="AB490" s="83"/>
    </row>
    <row r="491">
      <c r="P491" s="83"/>
      <c r="Q491" s="83"/>
      <c r="R491" s="83"/>
      <c r="S491" s="83"/>
      <c r="T491" s="83"/>
      <c r="U491" s="83"/>
      <c r="V491" s="94"/>
      <c r="W491" s="83"/>
      <c r="X491" s="83"/>
      <c r="Y491" s="83"/>
      <c r="Z491" s="83"/>
      <c r="AA491" s="83"/>
      <c r="AB491" s="83"/>
    </row>
    <row r="492">
      <c r="P492" s="83"/>
      <c r="Q492" s="83"/>
      <c r="R492" s="83"/>
      <c r="S492" s="83"/>
      <c r="T492" s="83"/>
      <c r="U492" s="83"/>
      <c r="V492" s="94"/>
      <c r="W492" s="83"/>
      <c r="X492" s="83"/>
      <c r="Y492" s="83"/>
      <c r="Z492" s="83"/>
      <c r="AA492" s="83"/>
      <c r="AB492" s="83"/>
    </row>
    <row r="493">
      <c r="P493" s="83"/>
      <c r="Q493" s="83"/>
      <c r="R493" s="83"/>
      <c r="S493" s="83"/>
      <c r="T493" s="83"/>
      <c r="U493" s="83"/>
      <c r="V493" s="94"/>
      <c r="W493" s="83"/>
      <c r="X493" s="83"/>
      <c r="Y493" s="83"/>
      <c r="Z493" s="83"/>
      <c r="AA493" s="83"/>
      <c r="AB493" s="83"/>
    </row>
    <row r="494">
      <c r="P494" s="83"/>
      <c r="Q494" s="83"/>
      <c r="R494" s="83"/>
      <c r="S494" s="83"/>
      <c r="T494" s="83"/>
      <c r="U494" s="83"/>
      <c r="V494" s="94"/>
      <c r="W494" s="83"/>
      <c r="X494" s="83"/>
      <c r="Y494" s="83"/>
      <c r="Z494" s="83"/>
      <c r="AA494" s="83"/>
      <c r="AB494" s="83"/>
    </row>
    <row r="495">
      <c r="P495" s="83"/>
      <c r="Q495" s="83"/>
      <c r="R495" s="83"/>
      <c r="S495" s="83"/>
      <c r="T495" s="83"/>
      <c r="U495" s="83"/>
      <c r="V495" s="94"/>
      <c r="W495" s="83"/>
      <c r="X495" s="83"/>
      <c r="Y495" s="83"/>
      <c r="Z495" s="83"/>
      <c r="AA495" s="83"/>
      <c r="AB495" s="83"/>
    </row>
    <row r="496">
      <c r="P496" s="83"/>
      <c r="Q496" s="83"/>
      <c r="R496" s="83"/>
      <c r="S496" s="83"/>
      <c r="T496" s="83"/>
      <c r="U496" s="83"/>
      <c r="V496" s="94"/>
      <c r="W496" s="83"/>
      <c r="X496" s="83"/>
      <c r="Y496" s="83"/>
      <c r="Z496" s="83"/>
      <c r="AA496" s="83"/>
      <c r="AB496" s="83"/>
    </row>
    <row r="497">
      <c r="P497" s="83"/>
      <c r="Q497" s="83"/>
      <c r="R497" s="83"/>
      <c r="S497" s="83"/>
      <c r="T497" s="83"/>
      <c r="U497" s="83"/>
      <c r="V497" s="94"/>
      <c r="W497" s="83"/>
      <c r="X497" s="83"/>
      <c r="Y497" s="83"/>
      <c r="Z497" s="83"/>
      <c r="AA497" s="83"/>
      <c r="AB497" s="83"/>
    </row>
    <row r="498">
      <c r="P498" s="83"/>
      <c r="Q498" s="83"/>
      <c r="R498" s="83"/>
      <c r="S498" s="83"/>
      <c r="T498" s="83"/>
      <c r="U498" s="83"/>
      <c r="V498" s="94"/>
      <c r="W498" s="83"/>
      <c r="X498" s="83"/>
      <c r="Y498" s="83"/>
      <c r="Z498" s="83"/>
      <c r="AA498" s="83"/>
      <c r="AB498" s="83"/>
    </row>
    <row r="499">
      <c r="P499" s="83"/>
      <c r="Q499" s="83"/>
      <c r="R499" s="83"/>
      <c r="S499" s="83"/>
      <c r="T499" s="83"/>
      <c r="U499" s="83"/>
      <c r="V499" s="94"/>
      <c r="W499" s="83"/>
      <c r="X499" s="83"/>
      <c r="Y499" s="83"/>
      <c r="Z499" s="83"/>
      <c r="AA499" s="83"/>
      <c r="AB499" s="83"/>
    </row>
    <row r="500">
      <c r="P500" s="83"/>
      <c r="Q500" s="83"/>
      <c r="R500" s="83"/>
      <c r="S500" s="83"/>
      <c r="T500" s="83"/>
      <c r="U500" s="83"/>
      <c r="V500" s="94"/>
      <c r="W500" s="83"/>
      <c r="X500" s="83"/>
      <c r="Y500" s="83"/>
      <c r="Z500" s="83"/>
      <c r="AA500" s="83"/>
      <c r="AB500" s="83"/>
    </row>
    <row r="501">
      <c r="P501" s="83"/>
      <c r="Q501" s="83"/>
      <c r="R501" s="83"/>
      <c r="S501" s="83"/>
      <c r="T501" s="83"/>
      <c r="U501" s="83"/>
      <c r="V501" s="94"/>
      <c r="W501" s="83"/>
      <c r="X501" s="83"/>
      <c r="Y501" s="83"/>
      <c r="Z501" s="83"/>
      <c r="AA501" s="83"/>
      <c r="AB501" s="83"/>
    </row>
    <row r="502">
      <c r="P502" s="83"/>
      <c r="Q502" s="83"/>
      <c r="R502" s="83"/>
      <c r="S502" s="83"/>
      <c r="T502" s="83"/>
      <c r="U502" s="83"/>
      <c r="V502" s="94"/>
      <c r="W502" s="83"/>
      <c r="X502" s="83"/>
      <c r="Y502" s="83"/>
      <c r="Z502" s="83"/>
      <c r="AA502" s="83"/>
      <c r="AB502" s="83"/>
    </row>
    <row r="503">
      <c r="P503" s="83"/>
      <c r="Q503" s="83"/>
      <c r="R503" s="83"/>
      <c r="S503" s="83"/>
      <c r="T503" s="83"/>
      <c r="U503" s="83"/>
      <c r="V503" s="94"/>
      <c r="W503" s="83"/>
      <c r="X503" s="83"/>
      <c r="Y503" s="83"/>
      <c r="Z503" s="83"/>
      <c r="AA503" s="83"/>
      <c r="AB503" s="83"/>
    </row>
    <row r="504">
      <c r="P504" s="83"/>
      <c r="Q504" s="83"/>
      <c r="R504" s="83"/>
      <c r="S504" s="83"/>
      <c r="T504" s="83"/>
      <c r="U504" s="83"/>
      <c r="V504" s="94"/>
      <c r="W504" s="83"/>
      <c r="X504" s="83"/>
      <c r="Y504" s="83"/>
      <c r="Z504" s="83"/>
      <c r="AA504" s="83"/>
      <c r="AB504" s="83"/>
    </row>
    <row r="505">
      <c r="P505" s="83"/>
      <c r="Q505" s="83"/>
      <c r="R505" s="83"/>
      <c r="S505" s="83"/>
      <c r="T505" s="83"/>
      <c r="U505" s="83"/>
      <c r="V505" s="94"/>
      <c r="W505" s="83"/>
      <c r="X505" s="83"/>
      <c r="Y505" s="83"/>
      <c r="Z505" s="83"/>
      <c r="AA505" s="83"/>
      <c r="AB505" s="83"/>
    </row>
    <row r="506">
      <c r="P506" s="83"/>
      <c r="Q506" s="83"/>
      <c r="R506" s="83"/>
      <c r="S506" s="83"/>
      <c r="T506" s="83"/>
      <c r="U506" s="83"/>
      <c r="V506" s="94"/>
      <c r="W506" s="83"/>
      <c r="X506" s="83"/>
      <c r="Y506" s="83"/>
      <c r="Z506" s="83"/>
      <c r="AA506" s="83"/>
      <c r="AB506" s="83"/>
    </row>
    <row r="507">
      <c r="P507" s="83"/>
      <c r="Q507" s="83"/>
      <c r="R507" s="83"/>
      <c r="S507" s="83"/>
      <c r="T507" s="83"/>
      <c r="U507" s="83"/>
      <c r="V507" s="94"/>
      <c r="W507" s="83"/>
      <c r="X507" s="83"/>
      <c r="Y507" s="83"/>
      <c r="Z507" s="83"/>
      <c r="AA507" s="83"/>
      <c r="AB507" s="83"/>
    </row>
    <row r="508">
      <c r="P508" s="83"/>
      <c r="Q508" s="83"/>
      <c r="R508" s="83"/>
      <c r="S508" s="83"/>
      <c r="T508" s="83"/>
      <c r="U508" s="83"/>
      <c r="V508" s="94"/>
      <c r="W508" s="83"/>
      <c r="X508" s="83"/>
      <c r="Y508" s="83"/>
      <c r="Z508" s="83"/>
      <c r="AA508" s="83"/>
      <c r="AB508" s="83"/>
    </row>
    <row r="509">
      <c r="P509" s="83"/>
      <c r="Q509" s="83"/>
      <c r="R509" s="83"/>
      <c r="S509" s="83"/>
      <c r="T509" s="83"/>
      <c r="U509" s="83"/>
      <c r="V509" s="94"/>
      <c r="W509" s="83"/>
      <c r="X509" s="83"/>
      <c r="Y509" s="83"/>
      <c r="Z509" s="83"/>
      <c r="AA509" s="83"/>
      <c r="AB509" s="83"/>
    </row>
    <row r="510">
      <c r="P510" s="83"/>
      <c r="Q510" s="83"/>
      <c r="R510" s="83"/>
      <c r="S510" s="83"/>
      <c r="T510" s="83"/>
      <c r="U510" s="83"/>
      <c r="V510" s="94"/>
      <c r="W510" s="83"/>
      <c r="X510" s="83"/>
      <c r="Y510" s="83"/>
      <c r="Z510" s="83"/>
      <c r="AA510" s="83"/>
      <c r="AB510" s="83"/>
    </row>
    <row r="511">
      <c r="P511" s="83"/>
      <c r="Q511" s="83"/>
      <c r="R511" s="83"/>
      <c r="S511" s="83"/>
      <c r="T511" s="83"/>
      <c r="U511" s="83"/>
      <c r="V511" s="94"/>
      <c r="W511" s="83"/>
      <c r="X511" s="83"/>
      <c r="Y511" s="83"/>
      <c r="Z511" s="83"/>
      <c r="AA511" s="83"/>
      <c r="AB511" s="83"/>
    </row>
    <row r="512">
      <c r="P512" s="83"/>
      <c r="Q512" s="83"/>
      <c r="R512" s="83"/>
      <c r="S512" s="83"/>
      <c r="T512" s="83"/>
      <c r="U512" s="83"/>
      <c r="V512" s="94"/>
      <c r="W512" s="83"/>
      <c r="X512" s="83"/>
      <c r="Y512" s="83"/>
      <c r="Z512" s="83"/>
      <c r="AA512" s="83"/>
      <c r="AB512" s="83"/>
    </row>
    <row r="513">
      <c r="P513" s="83"/>
      <c r="Q513" s="83"/>
      <c r="R513" s="83"/>
      <c r="S513" s="83"/>
      <c r="T513" s="83"/>
      <c r="U513" s="83"/>
      <c r="V513" s="94"/>
      <c r="W513" s="83"/>
      <c r="X513" s="83"/>
      <c r="Y513" s="83"/>
      <c r="Z513" s="83"/>
      <c r="AA513" s="83"/>
      <c r="AB513" s="83"/>
    </row>
    <row r="514">
      <c r="P514" s="83"/>
      <c r="Q514" s="83"/>
      <c r="R514" s="83"/>
      <c r="S514" s="83"/>
      <c r="T514" s="83"/>
      <c r="U514" s="83"/>
      <c r="V514" s="94"/>
      <c r="W514" s="83"/>
      <c r="X514" s="83"/>
      <c r="Y514" s="83"/>
      <c r="Z514" s="83"/>
      <c r="AA514" s="83"/>
      <c r="AB514" s="83"/>
    </row>
    <row r="515">
      <c r="P515" s="83"/>
      <c r="Q515" s="83"/>
      <c r="R515" s="83"/>
      <c r="S515" s="83"/>
      <c r="T515" s="83"/>
      <c r="U515" s="83"/>
      <c r="V515" s="94"/>
      <c r="W515" s="83"/>
      <c r="X515" s="83"/>
      <c r="Y515" s="83"/>
      <c r="Z515" s="83"/>
      <c r="AA515" s="83"/>
      <c r="AB515" s="83"/>
    </row>
    <row r="516">
      <c r="P516" s="83"/>
      <c r="Q516" s="83"/>
      <c r="R516" s="83"/>
      <c r="S516" s="83"/>
      <c r="T516" s="83"/>
      <c r="U516" s="83"/>
      <c r="V516" s="94"/>
      <c r="W516" s="83"/>
      <c r="X516" s="83"/>
      <c r="Y516" s="83"/>
      <c r="Z516" s="83"/>
      <c r="AA516" s="83"/>
      <c r="AB516" s="83"/>
    </row>
    <row r="517">
      <c r="P517" s="83"/>
      <c r="Q517" s="83"/>
      <c r="R517" s="83"/>
      <c r="S517" s="83"/>
      <c r="T517" s="83"/>
      <c r="U517" s="83"/>
      <c r="V517" s="94"/>
      <c r="W517" s="83"/>
      <c r="X517" s="83"/>
      <c r="Y517" s="83"/>
      <c r="Z517" s="83"/>
      <c r="AA517" s="83"/>
      <c r="AB517" s="83"/>
    </row>
    <row r="518">
      <c r="P518" s="83"/>
      <c r="Q518" s="83"/>
      <c r="R518" s="83"/>
      <c r="S518" s="83"/>
      <c r="T518" s="83"/>
      <c r="U518" s="83"/>
      <c r="V518" s="94"/>
      <c r="W518" s="83"/>
      <c r="X518" s="83"/>
      <c r="Y518" s="83"/>
      <c r="Z518" s="83"/>
      <c r="AA518" s="83"/>
      <c r="AB518" s="83"/>
    </row>
    <row r="519">
      <c r="P519" s="83"/>
      <c r="Q519" s="83"/>
      <c r="R519" s="83"/>
      <c r="S519" s="83"/>
      <c r="T519" s="83"/>
      <c r="U519" s="83"/>
      <c r="V519" s="94"/>
      <c r="W519" s="83"/>
      <c r="X519" s="83"/>
      <c r="Y519" s="83"/>
      <c r="Z519" s="83"/>
      <c r="AA519" s="83"/>
      <c r="AB519" s="83"/>
    </row>
    <row r="520">
      <c r="P520" s="83"/>
      <c r="Q520" s="83"/>
      <c r="R520" s="83"/>
      <c r="S520" s="83"/>
      <c r="T520" s="83"/>
      <c r="U520" s="83"/>
      <c r="V520" s="94"/>
      <c r="W520" s="83"/>
      <c r="X520" s="83"/>
      <c r="Y520" s="83"/>
      <c r="Z520" s="83"/>
      <c r="AA520" s="83"/>
      <c r="AB520" s="83"/>
    </row>
    <row r="521">
      <c r="P521" s="83"/>
      <c r="Q521" s="83"/>
      <c r="R521" s="83"/>
      <c r="S521" s="83"/>
      <c r="T521" s="83"/>
      <c r="U521" s="83"/>
      <c r="V521" s="94"/>
      <c r="W521" s="83"/>
      <c r="X521" s="83"/>
      <c r="Y521" s="83"/>
      <c r="Z521" s="83"/>
      <c r="AA521" s="83"/>
      <c r="AB521" s="83"/>
    </row>
    <row r="522">
      <c r="P522" s="83"/>
      <c r="Q522" s="83"/>
      <c r="R522" s="83"/>
      <c r="S522" s="83"/>
      <c r="T522" s="83"/>
      <c r="U522" s="83"/>
      <c r="V522" s="94"/>
      <c r="W522" s="83"/>
      <c r="X522" s="83"/>
      <c r="Y522" s="83"/>
      <c r="Z522" s="83"/>
      <c r="AA522" s="83"/>
      <c r="AB522" s="83"/>
    </row>
    <row r="523">
      <c r="P523" s="83"/>
      <c r="Q523" s="83"/>
      <c r="R523" s="83"/>
      <c r="S523" s="83"/>
      <c r="T523" s="83"/>
      <c r="U523" s="83"/>
      <c r="V523" s="94"/>
      <c r="W523" s="83"/>
      <c r="X523" s="83"/>
      <c r="Y523" s="83"/>
      <c r="Z523" s="83"/>
      <c r="AA523" s="83"/>
      <c r="AB523" s="83"/>
    </row>
    <row r="524">
      <c r="P524" s="83"/>
      <c r="Q524" s="83"/>
      <c r="R524" s="83"/>
      <c r="S524" s="83"/>
      <c r="T524" s="83"/>
      <c r="U524" s="83"/>
      <c r="V524" s="94"/>
      <c r="W524" s="83"/>
      <c r="X524" s="83"/>
      <c r="Y524" s="83"/>
      <c r="Z524" s="83"/>
      <c r="AA524" s="83"/>
      <c r="AB524" s="83"/>
    </row>
    <row r="525">
      <c r="P525" s="83"/>
      <c r="Q525" s="83"/>
      <c r="R525" s="83"/>
      <c r="S525" s="83"/>
      <c r="T525" s="83"/>
      <c r="U525" s="83"/>
      <c r="V525" s="94"/>
      <c r="W525" s="83"/>
      <c r="X525" s="83"/>
      <c r="Y525" s="83"/>
      <c r="Z525" s="83"/>
      <c r="AA525" s="83"/>
      <c r="AB525" s="83"/>
    </row>
    <row r="526">
      <c r="P526" s="83"/>
      <c r="Q526" s="83"/>
      <c r="R526" s="83"/>
      <c r="S526" s="83"/>
      <c r="T526" s="83"/>
      <c r="U526" s="83"/>
      <c r="V526" s="94"/>
      <c r="W526" s="83"/>
      <c r="X526" s="83"/>
      <c r="Y526" s="83"/>
      <c r="Z526" s="83"/>
      <c r="AA526" s="83"/>
      <c r="AB526" s="83"/>
    </row>
    <row r="527">
      <c r="P527" s="83"/>
      <c r="Q527" s="83"/>
      <c r="R527" s="83"/>
      <c r="S527" s="83"/>
      <c r="T527" s="83"/>
      <c r="U527" s="83"/>
      <c r="V527" s="94"/>
      <c r="W527" s="83"/>
      <c r="X527" s="83"/>
      <c r="Y527" s="83"/>
      <c r="Z527" s="83"/>
      <c r="AA527" s="83"/>
      <c r="AB527" s="83"/>
    </row>
    <row r="528">
      <c r="P528" s="83"/>
      <c r="Q528" s="83"/>
      <c r="R528" s="83"/>
      <c r="S528" s="83"/>
      <c r="T528" s="83"/>
      <c r="U528" s="83"/>
      <c r="V528" s="94"/>
      <c r="W528" s="83"/>
      <c r="X528" s="83"/>
      <c r="Y528" s="83"/>
      <c r="Z528" s="83"/>
      <c r="AA528" s="83"/>
      <c r="AB528" s="83"/>
    </row>
    <row r="529">
      <c r="P529" s="83"/>
      <c r="Q529" s="83"/>
      <c r="R529" s="83"/>
      <c r="S529" s="83"/>
      <c r="T529" s="83"/>
      <c r="U529" s="83"/>
      <c r="V529" s="94"/>
      <c r="W529" s="83"/>
      <c r="X529" s="83"/>
      <c r="Y529" s="83"/>
      <c r="Z529" s="83"/>
      <c r="AA529" s="83"/>
      <c r="AB529" s="83"/>
    </row>
    <row r="530">
      <c r="P530" s="83"/>
      <c r="Q530" s="83"/>
      <c r="R530" s="83"/>
      <c r="S530" s="83"/>
      <c r="T530" s="83"/>
      <c r="U530" s="83"/>
      <c r="V530" s="94"/>
      <c r="W530" s="83"/>
      <c r="X530" s="83"/>
      <c r="Y530" s="83"/>
      <c r="Z530" s="83"/>
      <c r="AA530" s="83"/>
      <c r="AB530" s="83"/>
    </row>
    <row r="531">
      <c r="P531" s="83"/>
      <c r="Q531" s="83"/>
      <c r="R531" s="83"/>
      <c r="S531" s="83"/>
      <c r="T531" s="83"/>
      <c r="U531" s="83"/>
      <c r="V531" s="94"/>
      <c r="W531" s="83"/>
      <c r="X531" s="83"/>
      <c r="Y531" s="83"/>
      <c r="Z531" s="83"/>
      <c r="AA531" s="83"/>
      <c r="AB531" s="83"/>
    </row>
    <row r="532">
      <c r="P532" s="83"/>
      <c r="Q532" s="83"/>
      <c r="R532" s="83"/>
      <c r="S532" s="83"/>
      <c r="T532" s="83"/>
      <c r="U532" s="83"/>
      <c r="V532" s="94"/>
      <c r="W532" s="83"/>
      <c r="X532" s="83"/>
      <c r="Y532" s="83"/>
      <c r="Z532" s="83"/>
      <c r="AA532" s="83"/>
      <c r="AB532" s="83"/>
    </row>
    <row r="533">
      <c r="P533" s="83"/>
      <c r="Q533" s="83"/>
      <c r="R533" s="83"/>
      <c r="S533" s="83"/>
      <c r="T533" s="83"/>
      <c r="U533" s="83"/>
      <c r="V533" s="94"/>
      <c r="W533" s="83"/>
      <c r="X533" s="83"/>
      <c r="Y533" s="83"/>
      <c r="Z533" s="83"/>
      <c r="AA533" s="83"/>
      <c r="AB533" s="83"/>
    </row>
    <row r="534">
      <c r="P534" s="83"/>
      <c r="Q534" s="83"/>
      <c r="R534" s="83"/>
      <c r="S534" s="83"/>
      <c r="T534" s="83"/>
      <c r="U534" s="83"/>
      <c r="V534" s="94"/>
      <c r="W534" s="83"/>
      <c r="X534" s="83"/>
      <c r="Y534" s="83"/>
      <c r="Z534" s="83"/>
      <c r="AA534" s="83"/>
      <c r="AB534" s="83"/>
    </row>
    <row r="535">
      <c r="P535" s="83"/>
      <c r="Q535" s="83"/>
      <c r="R535" s="83"/>
      <c r="S535" s="83"/>
      <c r="T535" s="83"/>
      <c r="U535" s="83"/>
      <c r="V535" s="94"/>
      <c r="W535" s="83"/>
      <c r="X535" s="83"/>
      <c r="Y535" s="83"/>
      <c r="Z535" s="83"/>
      <c r="AA535" s="83"/>
      <c r="AB535" s="83"/>
    </row>
    <row r="536">
      <c r="P536" s="83"/>
      <c r="Q536" s="83"/>
      <c r="R536" s="83"/>
      <c r="S536" s="83"/>
      <c r="T536" s="83"/>
      <c r="U536" s="83"/>
      <c r="V536" s="94"/>
      <c r="W536" s="83"/>
      <c r="X536" s="83"/>
      <c r="Y536" s="83"/>
      <c r="Z536" s="83"/>
      <c r="AA536" s="83"/>
      <c r="AB536" s="83"/>
    </row>
    <row r="537">
      <c r="P537" s="83"/>
      <c r="Q537" s="83"/>
      <c r="R537" s="83"/>
      <c r="S537" s="83"/>
      <c r="T537" s="83"/>
      <c r="U537" s="83"/>
      <c r="V537" s="94"/>
      <c r="W537" s="83"/>
      <c r="X537" s="83"/>
      <c r="Y537" s="83"/>
      <c r="Z537" s="83"/>
      <c r="AA537" s="83"/>
      <c r="AB537" s="83"/>
    </row>
    <row r="538">
      <c r="P538" s="83"/>
      <c r="Q538" s="83"/>
      <c r="R538" s="83"/>
      <c r="S538" s="83"/>
      <c r="T538" s="83"/>
      <c r="U538" s="83"/>
      <c r="V538" s="94"/>
      <c r="W538" s="83"/>
      <c r="X538" s="83"/>
      <c r="Y538" s="83"/>
      <c r="Z538" s="83"/>
      <c r="AA538" s="83"/>
      <c r="AB538" s="83"/>
    </row>
    <row r="539">
      <c r="P539" s="83"/>
      <c r="Q539" s="83"/>
      <c r="R539" s="83"/>
      <c r="S539" s="83"/>
      <c r="T539" s="83"/>
      <c r="U539" s="83"/>
      <c r="V539" s="94"/>
      <c r="W539" s="83"/>
      <c r="X539" s="83"/>
      <c r="Y539" s="83"/>
      <c r="Z539" s="83"/>
      <c r="AA539" s="83"/>
      <c r="AB539" s="83"/>
    </row>
    <row r="540">
      <c r="P540" s="83"/>
      <c r="Q540" s="83"/>
      <c r="R540" s="83"/>
      <c r="S540" s="83"/>
      <c r="T540" s="83"/>
      <c r="U540" s="83"/>
      <c r="V540" s="94"/>
      <c r="W540" s="83"/>
      <c r="X540" s="83"/>
      <c r="Y540" s="83"/>
      <c r="Z540" s="83"/>
      <c r="AA540" s="83"/>
      <c r="AB540" s="83"/>
    </row>
    <row r="541">
      <c r="P541" s="83"/>
      <c r="Q541" s="83"/>
      <c r="R541" s="83"/>
      <c r="S541" s="83"/>
      <c r="T541" s="83"/>
      <c r="U541" s="83"/>
      <c r="V541" s="94"/>
      <c r="W541" s="83"/>
      <c r="X541" s="83"/>
      <c r="Y541" s="83"/>
      <c r="Z541" s="83"/>
      <c r="AA541" s="83"/>
      <c r="AB541" s="83"/>
    </row>
    <row r="542">
      <c r="P542" s="83"/>
      <c r="Q542" s="83"/>
      <c r="R542" s="83"/>
      <c r="S542" s="83"/>
      <c r="T542" s="83"/>
      <c r="U542" s="83"/>
      <c r="V542" s="94"/>
      <c r="W542" s="83"/>
      <c r="X542" s="83"/>
      <c r="Y542" s="83"/>
      <c r="Z542" s="83"/>
      <c r="AA542" s="83"/>
      <c r="AB542" s="83"/>
    </row>
    <row r="543">
      <c r="P543" s="83"/>
      <c r="Q543" s="83"/>
      <c r="R543" s="83"/>
      <c r="S543" s="83"/>
      <c r="T543" s="83"/>
      <c r="U543" s="83"/>
      <c r="V543" s="94"/>
      <c r="W543" s="83"/>
      <c r="X543" s="83"/>
      <c r="Y543" s="83"/>
      <c r="Z543" s="83"/>
      <c r="AA543" s="83"/>
      <c r="AB543" s="83"/>
    </row>
    <row r="544">
      <c r="P544" s="83"/>
      <c r="Q544" s="83"/>
      <c r="R544" s="83"/>
      <c r="S544" s="83"/>
      <c r="T544" s="83"/>
      <c r="U544" s="83"/>
      <c r="V544" s="94"/>
      <c r="W544" s="83"/>
      <c r="X544" s="83"/>
      <c r="Y544" s="83"/>
      <c r="Z544" s="83"/>
      <c r="AA544" s="83"/>
      <c r="AB544" s="83"/>
    </row>
    <row r="545">
      <c r="P545" s="83"/>
      <c r="Q545" s="83"/>
      <c r="R545" s="83"/>
      <c r="S545" s="83"/>
      <c r="T545" s="83"/>
      <c r="U545" s="83"/>
      <c r="V545" s="94"/>
      <c r="W545" s="83"/>
      <c r="X545" s="83"/>
      <c r="Y545" s="83"/>
      <c r="Z545" s="83"/>
      <c r="AA545" s="83"/>
      <c r="AB545" s="83"/>
    </row>
    <row r="546">
      <c r="P546" s="83"/>
      <c r="Q546" s="83"/>
      <c r="R546" s="83"/>
      <c r="S546" s="83"/>
      <c r="T546" s="83"/>
      <c r="U546" s="83"/>
      <c r="V546" s="94"/>
      <c r="W546" s="83"/>
      <c r="X546" s="83"/>
      <c r="Y546" s="83"/>
      <c r="Z546" s="83"/>
      <c r="AA546" s="83"/>
      <c r="AB546" s="83"/>
    </row>
    <row r="547">
      <c r="P547" s="83"/>
      <c r="Q547" s="83"/>
      <c r="R547" s="83"/>
      <c r="S547" s="83"/>
      <c r="T547" s="83"/>
      <c r="U547" s="83"/>
      <c r="V547" s="94"/>
      <c r="W547" s="83"/>
      <c r="X547" s="83"/>
      <c r="Y547" s="83"/>
      <c r="Z547" s="83"/>
      <c r="AA547" s="83"/>
      <c r="AB547" s="83"/>
    </row>
    <row r="548">
      <c r="P548" s="83"/>
      <c r="Q548" s="83"/>
      <c r="R548" s="83"/>
      <c r="S548" s="83"/>
      <c r="T548" s="83"/>
      <c r="U548" s="83"/>
      <c r="V548" s="94"/>
      <c r="W548" s="83"/>
      <c r="X548" s="83"/>
      <c r="Y548" s="83"/>
      <c r="Z548" s="83"/>
      <c r="AA548" s="83"/>
      <c r="AB548" s="83"/>
    </row>
    <row r="549">
      <c r="P549" s="83"/>
      <c r="Q549" s="83"/>
      <c r="R549" s="83"/>
      <c r="S549" s="83"/>
      <c r="T549" s="83"/>
      <c r="U549" s="83"/>
      <c r="V549" s="94"/>
      <c r="W549" s="83"/>
      <c r="X549" s="83"/>
      <c r="Y549" s="83"/>
      <c r="Z549" s="83"/>
      <c r="AA549" s="83"/>
      <c r="AB549" s="83"/>
    </row>
    <row r="550">
      <c r="P550" s="83"/>
      <c r="Q550" s="83"/>
      <c r="R550" s="83"/>
      <c r="S550" s="83"/>
      <c r="T550" s="83"/>
      <c r="U550" s="83"/>
      <c r="V550" s="94"/>
      <c r="W550" s="83"/>
      <c r="X550" s="83"/>
      <c r="Y550" s="83"/>
      <c r="Z550" s="83"/>
      <c r="AA550" s="83"/>
      <c r="AB550" s="83"/>
    </row>
    <row r="551">
      <c r="P551" s="83"/>
      <c r="Q551" s="83"/>
      <c r="R551" s="83"/>
      <c r="S551" s="83"/>
      <c r="T551" s="83"/>
      <c r="U551" s="83"/>
      <c r="V551" s="94"/>
      <c r="W551" s="83"/>
      <c r="X551" s="83"/>
      <c r="Y551" s="83"/>
      <c r="Z551" s="83"/>
      <c r="AA551" s="83"/>
      <c r="AB551" s="83"/>
    </row>
    <row r="552">
      <c r="P552" s="83"/>
      <c r="Q552" s="83"/>
      <c r="R552" s="83"/>
      <c r="S552" s="83"/>
      <c r="T552" s="83"/>
      <c r="U552" s="83"/>
      <c r="V552" s="94"/>
      <c r="W552" s="83"/>
      <c r="X552" s="83"/>
      <c r="Y552" s="83"/>
      <c r="Z552" s="83"/>
      <c r="AA552" s="83"/>
      <c r="AB552" s="83"/>
    </row>
    <row r="553">
      <c r="P553" s="83"/>
      <c r="Q553" s="83"/>
      <c r="R553" s="83"/>
      <c r="S553" s="83"/>
      <c r="T553" s="83"/>
      <c r="U553" s="83"/>
      <c r="V553" s="94"/>
      <c r="W553" s="83"/>
      <c r="X553" s="83"/>
      <c r="Y553" s="83"/>
      <c r="Z553" s="83"/>
      <c r="AA553" s="83"/>
      <c r="AB553" s="83"/>
    </row>
    <row r="554">
      <c r="P554" s="83"/>
      <c r="Q554" s="83"/>
      <c r="R554" s="83"/>
      <c r="S554" s="83"/>
      <c r="T554" s="83"/>
      <c r="U554" s="83"/>
      <c r="V554" s="94"/>
      <c r="W554" s="83"/>
      <c r="X554" s="83"/>
      <c r="Y554" s="83"/>
      <c r="Z554" s="83"/>
      <c r="AA554" s="83"/>
      <c r="AB554" s="83"/>
    </row>
    <row r="555">
      <c r="P555" s="83"/>
      <c r="Q555" s="83"/>
      <c r="R555" s="83"/>
      <c r="S555" s="83"/>
      <c r="T555" s="83"/>
      <c r="U555" s="83"/>
      <c r="V555" s="94"/>
      <c r="W555" s="83"/>
      <c r="X555" s="83"/>
      <c r="Y555" s="83"/>
      <c r="Z555" s="83"/>
      <c r="AA555" s="83"/>
      <c r="AB555" s="83"/>
    </row>
    <row r="556">
      <c r="P556" s="83"/>
      <c r="Q556" s="83"/>
      <c r="R556" s="83"/>
      <c r="S556" s="83"/>
      <c r="T556" s="83"/>
      <c r="U556" s="83"/>
      <c r="V556" s="94"/>
      <c r="W556" s="83"/>
      <c r="X556" s="83"/>
      <c r="Y556" s="83"/>
      <c r="Z556" s="83"/>
      <c r="AA556" s="83"/>
      <c r="AB556" s="83"/>
    </row>
    <row r="557">
      <c r="P557" s="83"/>
      <c r="Q557" s="83"/>
      <c r="R557" s="83"/>
      <c r="S557" s="83"/>
      <c r="T557" s="83"/>
      <c r="U557" s="83"/>
      <c r="V557" s="94"/>
      <c r="W557" s="83"/>
      <c r="X557" s="83"/>
      <c r="Y557" s="83"/>
      <c r="Z557" s="83"/>
      <c r="AA557" s="83"/>
      <c r="AB557" s="83"/>
    </row>
    <row r="558">
      <c r="P558" s="83"/>
      <c r="Q558" s="83"/>
      <c r="R558" s="83"/>
      <c r="S558" s="83"/>
      <c r="T558" s="83"/>
      <c r="U558" s="83"/>
      <c r="V558" s="94"/>
      <c r="W558" s="83"/>
      <c r="X558" s="83"/>
      <c r="Y558" s="83"/>
      <c r="Z558" s="83"/>
      <c r="AA558" s="83"/>
      <c r="AB558" s="83"/>
    </row>
    <row r="559">
      <c r="P559" s="83"/>
      <c r="Q559" s="83"/>
      <c r="R559" s="83"/>
      <c r="S559" s="83"/>
      <c r="T559" s="83"/>
      <c r="U559" s="83"/>
      <c r="V559" s="94"/>
      <c r="W559" s="83"/>
      <c r="X559" s="83"/>
      <c r="Y559" s="83"/>
      <c r="Z559" s="83"/>
      <c r="AA559" s="83"/>
      <c r="AB559" s="83"/>
    </row>
    <row r="560">
      <c r="P560" s="83"/>
      <c r="Q560" s="83"/>
      <c r="R560" s="83"/>
      <c r="S560" s="83"/>
      <c r="T560" s="83"/>
      <c r="U560" s="83"/>
      <c r="V560" s="94"/>
      <c r="W560" s="83"/>
      <c r="X560" s="83"/>
      <c r="Y560" s="83"/>
      <c r="Z560" s="83"/>
      <c r="AA560" s="83"/>
      <c r="AB560" s="83"/>
    </row>
    <row r="561">
      <c r="P561" s="83"/>
      <c r="Q561" s="83"/>
      <c r="R561" s="83"/>
      <c r="S561" s="83"/>
      <c r="T561" s="83"/>
      <c r="U561" s="83"/>
      <c r="V561" s="94"/>
      <c r="W561" s="83"/>
      <c r="X561" s="83"/>
      <c r="Y561" s="83"/>
      <c r="Z561" s="83"/>
      <c r="AA561" s="83"/>
      <c r="AB561" s="83"/>
    </row>
    <row r="562">
      <c r="P562" s="83"/>
      <c r="Q562" s="83"/>
      <c r="R562" s="83"/>
      <c r="S562" s="83"/>
      <c r="T562" s="83"/>
      <c r="U562" s="83"/>
      <c r="V562" s="94"/>
      <c r="W562" s="83"/>
      <c r="X562" s="83"/>
      <c r="Y562" s="83"/>
      <c r="Z562" s="83"/>
      <c r="AA562" s="83"/>
      <c r="AB562" s="83"/>
    </row>
    <row r="563">
      <c r="P563" s="83"/>
      <c r="Q563" s="83"/>
      <c r="R563" s="83"/>
      <c r="S563" s="83"/>
      <c r="T563" s="83"/>
      <c r="U563" s="83"/>
      <c r="V563" s="94"/>
      <c r="W563" s="83"/>
      <c r="X563" s="83"/>
      <c r="Y563" s="83"/>
      <c r="Z563" s="83"/>
      <c r="AA563" s="83"/>
      <c r="AB563" s="83"/>
    </row>
    <row r="564">
      <c r="P564" s="83"/>
      <c r="Q564" s="83"/>
      <c r="R564" s="83"/>
      <c r="S564" s="83"/>
      <c r="T564" s="83"/>
      <c r="U564" s="83"/>
      <c r="V564" s="94"/>
      <c r="W564" s="83"/>
      <c r="X564" s="83"/>
      <c r="Y564" s="83"/>
      <c r="Z564" s="83"/>
      <c r="AA564" s="83"/>
      <c r="AB564" s="83"/>
    </row>
    <row r="565">
      <c r="P565" s="83"/>
      <c r="Q565" s="83"/>
      <c r="R565" s="83"/>
      <c r="S565" s="83"/>
      <c r="T565" s="83"/>
      <c r="U565" s="83"/>
      <c r="V565" s="94"/>
      <c r="W565" s="83"/>
      <c r="X565" s="83"/>
      <c r="Y565" s="83"/>
      <c r="Z565" s="83"/>
      <c r="AA565" s="83"/>
      <c r="AB565" s="83"/>
    </row>
    <row r="566">
      <c r="P566" s="83"/>
      <c r="Q566" s="83"/>
      <c r="R566" s="83"/>
      <c r="S566" s="83"/>
      <c r="T566" s="83"/>
      <c r="U566" s="83"/>
      <c r="V566" s="94"/>
      <c r="W566" s="83"/>
      <c r="X566" s="83"/>
      <c r="Y566" s="83"/>
      <c r="Z566" s="83"/>
      <c r="AA566" s="83"/>
      <c r="AB566" s="83"/>
    </row>
    <row r="567">
      <c r="P567" s="83"/>
      <c r="Q567" s="83"/>
      <c r="R567" s="83"/>
      <c r="S567" s="83"/>
      <c r="T567" s="83"/>
      <c r="U567" s="83"/>
      <c r="V567" s="94"/>
      <c r="W567" s="83"/>
      <c r="X567" s="83"/>
      <c r="Y567" s="83"/>
      <c r="Z567" s="83"/>
      <c r="AA567" s="83"/>
      <c r="AB567" s="83"/>
    </row>
    <row r="568">
      <c r="P568" s="83"/>
      <c r="Q568" s="83"/>
      <c r="R568" s="83"/>
      <c r="S568" s="83"/>
      <c r="T568" s="83"/>
      <c r="U568" s="83"/>
      <c r="V568" s="94"/>
      <c r="W568" s="83"/>
      <c r="X568" s="83"/>
      <c r="Y568" s="83"/>
      <c r="Z568" s="83"/>
      <c r="AA568" s="83"/>
      <c r="AB568" s="83"/>
    </row>
    <row r="569">
      <c r="P569" s="83"/>
      <c r="Q569" s="83"/>
      <c r="R569" s="83"/>
      <c r="S569" s="83"/>
      <c r="T569" s="83"/>
      <c r="U569" s="83"/>
      <c r="V569" s="94"/>
      <c r="W569" s="83"/>
      <c r="X569" s="83"/>
      <c r="Y569" s="83"/>
      <c r="Z569" s="83"/>
      <c r="AA569" s="83"/>
      <c r="AB569" s="83"/>
    </row>
    <row r="570">
      <c r="P570" s="83"/>
      <c r="Q570" s="83"/>
      <c r="R570" s="83"/>
      <c r="S570" s="83"/>
      <c r="T570" s="83"/>
      <c r="U570" s="83"/>
      <c r="V570" s="94"/>
      <c r="W570" s="83"/>
      <c r="X570" s="83"/>
      <c r="Y570" s="83"/>
      <c r="Z570" s="83"/>
      <c r="AA570" s="83"/>
      <c r="AB570" s="83"/>
    </row>
    <row r="571">
      <c r="P571" s="83"/>
      <c r="Q571" s="83"/>
      <c r="R571" s="83"/>
      <c r="S571" s="83"/>
      <c r="T571" s="83"/>
      <c r="U571" s="83"/>
      <c r="V571" s="94"/>
      <c r="W571" s="83"/>
      <c r="X571" s="83"/>
      <c r="Y571" s="83"/>
      <c r="Z571" s="83"/>
      <c r="AA571" s="83"/>
      <c r="AB571" s="83"/>
    </row>
    <row r="572">
      <c r="P572" s="83"/>
      <c r="Q572" s="83"/>
      <c r="R572" s="83"/>
      <c r="S572" s="83"/>
      <c r="T572" s="83"/>
      <c r="U572" s="83"/>
      <c r="V572" s="94"/>
      <c r="W572" s="83"/>
      <c r="X572" s="83"/>
      <c r="Y572" s="83"/>
      <c r="Z572" s="83"/>
      <c r="AA572" s="83"/>
      <c r="AB572" s="83"/>
    </row>
    <row r="573">
      <c r="P573" s="83"/>
      <c r="Q573" s="83"/>
      <c r="R573" s="83"/>
      <c r="S573" s="83"/>
      <c r="T573" s="83"/>
      <c r="U573" s="83"/>
      <c r="V573" s="94"/>
      <c r="W573" s="83"/>
      <c r="X573" s="83"/>
      <c r="Y573" s="83"/>
      <c r="Z573" s="83"/>
      <c r="AA573" s="83"/>
      <c r="AB573" s="83"/>
    </row>
    <row r="574">
      <c r="P574" s="83"/>
      <c r="Q574" s="83"/>
      <c r="R574" s="83"/>
      <c r="S574" s="83"/>
      <c r="T574" s="83"/>
      <c r="U574" s="83"/>
      <c r="V574" s="94"/>
      <c r="W574" s="83"/>
      <c r="X574" s="83"/>
      <c r="Y574" s="83"/>
      <c r="Z574" s="83"/>
      <c r="AA574" s="83"/>
      <c r="AB574" s="83"/>
    </row>
    <row r="575">
      <c r="P575" s="83"/>
      <c r="Q575" s="83"/>
      <c r="R575" s="83"/>
      <c r="S575" s="83"/>
      <c r="T575" s="83"/>
      <c r="U575" s="83"/>
      <c r="V575" s="94"/>
      <c r="W575" s="83"/>
      <c r="X575" s="83"/>
      <c r="Y575" s="83"/>
      <c r="Z575" s="83"/>
      <c r="AA575" s="83"/>
      <c r="AB575" s="83"/>
    </row>
    <row r="576">
      <c r="P576" s="83"/>
      <c r="Q576" s="83"/>
      <c r="R576" s="83"/>
      <c r="S576" s="83"/>
      <c r="T576" s="83"/>
      <c r="U576" s="83"/>
      <c r="V576" s="94"/>
      <c r="W576" s="83"/>
      <c r="X576" s="83"/>
      <c r="Y576" s="83"/>
      <c r="Z576" s="83"/>
      <c r="AA576" s="83"/>
      <c r="AB576" s="83"/>
    </row>
    <row r="577">
      <c r="P577" s="83"/>
      <c r="Q577" s="83"/>
      <c r="R577" s="83"/>
      <c r="S577" s="83"/>
      <c r="T577" s="83"/>
      <c r="U577" s="83"/>
      <c r="V577" s="94"/>
      <c r="W577" s="83"/>
      <c r="X577" s="83"/>
      <c r="Y577" s="83"/>
      <c r="Z577" s="83"/>
      <c r="AA577" s="83"/>
      <c r="AB577" s="83"/>
    </row>
    <row r="578">
      <c r="P578" s="83"/>
      <c r="Q578" s="83"/>
      <c r="R578" s="83"/>
      <c r="S578" s="83"/>
      <c r="T578" s="83"/>
      <c r="U578" s="83"/>
      <c r="V578" s="94"/>
      <c r="W578" s="83"/>
      <c r="X578" s="83"/>
      <c r="Y578" s="83"/>
      <c r="Z578" s="83"/>
      <c r="AA578" s="83"/>
      <c r="AB578" s="83"/>
    </row>
    <row r="579">
      <c r="P579" s="83"/>
      <c r="Q579" s="83"/>
      <c r="R579" s="83"/>
      <c r="S579" s="83"/>
      <c r="T579" s="83"/>
      <c r="U579" s="83"/>
      <c r="V579" s="94"/>
      <c r="W579" s="83"/>
      <c r="X579" s="83"/>
      <c r="Y579" s="83"/>
      <c r="Z579" s="83"/>
      <c r="AA579" s="83"/>
      <c r="AB579" s="83"/>
    </row>
    <row r="580">
      <c r="P580" s="83"/>
      <c r="Q580" s="83"/>
      <c r="R580" s="83"/>
      <c r="S580" s="83"/>
      <c r="T580" s="83"/>
      <c r="U580" s="83"/>
      <c r="V580" s="94"/>
      <c r="W580" s="83"/>
      <c r="X580" s="83"/>
      <c r="Y580" s="83"/>
      <c r="Z580" s="83"/>
      <c r="AA580" s="83"/>
      <c r="AB580" s="83"/>
    </row>
    <row r="581">
      <c r="P581" s="83"/>
      <c r="Q581" s="83"/>
      <c r="R581" s="83"/>
      <c r="S581" s="83"/>
      <c r="T581" s="83"/>
      <c r="U581" s="83"/>
      <c r="V581" s="94"/>
      <c r="W581" s="83"/>
      <c r="X581" s="83"/>
      <c r="Y581" s="83"/>
      <c r="Z581" s="83"/>
      <c r="AA581" s="83"/>
      <c r="AB581" s="83"/>
    </row>
    <row r="582">
      <c r="P582" s="83"/>
      <c r="Q582" s="83"/>
      <c r="R582" s="83"/>
      <c r="S582" s="83"/>
      <c r="T582" s="83"/>
      <c r="U582" s="83"/>
      <c r="V582" s="94"/>
      <c r="W582" s="83"/>
      <c r="X582" s="83"/>
      <c r="Y582" s="83"/>
      <c r="Z582" s="83"/>
      <c r="AA582" s="83"/>
      <c r="AB582" s="83"/>
    </row>
    <row r="583">
      <c r="P583" s="83"/>
      <c r="Q583" s="83"/>
      <c r="R583" s="83"/>
      <c r="S583" s="83"/>
      <c r="T583" s="83"/>
      <c r="U583" s="83"/>
      <c r="V583" s="94"/>
      <c r="W583" s="83"/>
      <c r="X583" s="83"/>
      <c r="Y583" s="83"/>
      <c r="Z583" s="83"/>
      <c r="AA583" s="83"/>
      <c r="AB583" s="83"/>
    </row>
    <row r="584">
      <c r="P584" s="83"/>
      <c r="Q584" s="83"/>
      <c r="R584" s="83"/>
      <c r="S584" s="83"/>
      <c r="T584" s="83"/>
      <c r="U584" s="83"/>
      <c r="V584" s="94"/>
      <c r="W584" s="83"/>
      <c r="X584" s="83"/>
      <c r="Y584" s="83"/>
      <c r="Z584" s="83"/>
      <c r="AA584" s="83"/>
      <c r="AB584" s="83"/>
    </row>
    <row r="585">
      <c r="P585" s="83"/>
      <c r="Q585" s="83"/>
      <c r="R585" s="83"/>
      <c r="S585" s="83"/>
      <c r="T585" s="83"/>
      <c r="U585" s="83"/>
      <c r="V585" s="94"/>
      <c r="W585" s="83"/>
      <c r="X585" s="83"/>
      <c r="Y585" s="83"/>
      <c r="Z585" s="83"/>
      <c r="AA585" s="83"/>
      <c r="AB585" s="83"/>
    </row>
    <row r="586">
      <c r="P586" s="83"/>
      <c r="Q586" s="83"/>
      <c r="R586" s="83"/>
      <c r="S586" s="83"/>
      <c r="T586" s="83"/>
      <c r="U586" s="83"/>
      <c r="V586" s="94"/>
      <c r="W586" s="83"/>
      <c r="X586" s="83"/>
      <c r="Y586" s="83"/>
      <c r="Z586" s="83"/>
      <c r="AA586" s="83"/>
      <c r="AB586" s="83"/>
    </row>
    <row r="587">
      <c r="P587" s="83"/>
      <c r="Q587" s="83"/>
      <c r="R587" s="83"/>
      <c r="S587" s="83"/>
      <c r="T587" s="83"/>
      <c r="U587" s="83"/>
      <c r="V587" s="94"/>
      <c r="W587" s="83"/>
      <c r="X587" s="83"/>
      <c r="Y587" s="83"/>
      <c r="Z587" s="83"/>
      <c r="AA587" s="83"/>
      <c r="AB587" s="83"/>
    </row>
    <row r="588">
      <c r="P588" s="83"/>
      <c r="Q588" s="83"/>
      <c r="R588" s="83"/>
      <c r="S588" s="83"/>
      <c r="T588" s="83"/>
      <c r="U588" s="83"/>
      <c r="V588" s="94"/>
      <c r="W588" s="83"/>
      <c r="X588" s="83"/>
      <c r="Y588" s="83"/>
      <c r="Z588" s="83"/>
      <c r="AA588" s="83"/>
      <c r="AB588" s="83"/>
    </row>
    <row r="589">
      <c r="P589" s="83"/>
      <c r="Q589" s="83"/>
      <c r="R589" s="83"/>
      <c r="S589" s="83"/>
      <c r="T589" s="83"/>
      <c r="U589" s="83"/>
      <c r="V589" s="94"/>
      <c r="W589" s="83"/>
      <c r="X589" s="83"/>
      <c r="Y589" s="83"/>
      <c r="Z589" s="83"/>
      <c r="AA589" s="83"/>
      <c r="AB589" s="83"/>
    </row>
    <row r="590">
      <c r="P590" s="83"/>
      <c r="Q590" s="83"/>
      <c r="R590" s="83"/>
      <c r="S590" s="83"/>
      <c r="T590" s="83"/>
      <c r="U590" s="83"/>
      <c r="V590" s="94"/>
      <c r="W590" s="83"/>
      <c r="X590" s="83"/>
      <c r="Y590" s="83"/>
      <c r="Z590" s="83"/>
      <c r="AA590" s="83"/>
      <c r="AB590" s="83"/>
    </row>
    <row r="591">
      <c r="P591" s="83"/>
      <c r="Q591" s="83"/>
      <c r="R591" s="83"/>
      <c r="S591" s="83"/>
      <c r="T591" s="83"/>
      <c r="U591" s="83"/>
      <c r="V591" s="94"/>
      <c r="W591" s="83"/>
      <c r="X591" s="83"/>
      <c r="Y591" s="83"/>
      <c r="Z591" s="83"/>
      <c r="AA591" s="83"/>
      <c r="AB591" s="83"/>
    </row>
    <row r="592">
      <c r="P592" s="83"/>
      <c r="Q592" s="83"/>
      <c r="R592" s="83"/>
      <c r="S592" s="83"/>
      <c r="T592" s="83"/>
      <c r="U592" s="83"/>
      <c r="V592" s="94"/>
      <c r="W592" s="83"/>
      <c r="X592" s="83"/>
      <c r="Y592" s="83"/>
      <c r="Z592" s="83"/>
      <c r="AA592" s="83"/>
      <c r="AB592" s="83"/>
    </row>
    <row r="593">
      <c r="P593" s="83"/>
      <c r="Q593" s="83"/>
      <c r="R593" s="83"/>
      <c r="S593" s="83"/>
      <c r="T593" s="83"/>
      <c r="U593" s="83"/>
      <c r="V593" s="94"/>
      <c r="W593" s="83"/>
      <c r="X593" s="83"/>
      <c r="Y593" s="83"/>
      <c r="Z593" s="83"/>
      <c r="AA593" s="83"/>
      <c r="AB593" s="83"/>
    </row>
    <row r="594">
      <c r="P594" s="83"/>
      <c r="Q594" s="83"/>
      <c r="R594" s="83"/>
      <c r="S594" s="83"/>
      <c r="T594" s="83"/>
      <c r="U594" s="83"/>
      <c r="V594" s="94"/>
      <c r="W594" s="83"/>
      <c r="X594" s="83"/>
      <c r="Y594" s="83"/>
      <c r="Z594" s="83"/>
      <c r="AA594" s="83"/>
      <c r="AB594" s="83"/>
    </row>
    <row r="595">
      <c r="P595" s="83"/>
      <c r="Q595" s="83"/>
      <c r="R595" s="83"/>
      <c r="S595" s="83"/>
      <c r="T595" s="83"/>
      <c r="U595" s="83"/>
      <c r="V595" s="94"/>
      <c r="W595" s="83"/>
      <c r="X595" s="83"/>
      <c r="Y595" s="83"/>
      <c r="Z595" s="83"/>
      <c r="AA595" s="83"/>
      <c r="AB595" s="83"/>
    </row>
    <row r="596">
      <c r="P596" s="83"/>
      <c r="Q596" s="83"/>
      <c r="R596" s="83"/>
      <c r="S596" s="83"/>
      <c r="T596" s="83"/>
      <c r="U596" s="83"/>
      <c r="V596" s="94"/>
      <c r="W596" s="83"/>
      <c r="X596" s="83"/>
      <c r="Y596" s="83"/>
      <c r="Z596" s="83"/>
      <c r="AA596" s="83"/>
      <c r="AB596" s="83"/>
    </row>
    <row r="597">
      <c r="P597" s="83"/>
      <c r="Q597" s="83"/>
      <c r="R597" s="83"/>
      <c r="S597" s="83"/>
      <c r="T597" s="83"/>
      <c r="U597" s="83"/>
      <c r="V597" s="94"/>
      <c r="W597" s="83"/>
      <c r="X597" s="83"/>
      <c r="Y597" s="83"/>
      <c r="Z597" s="83"/>
      <c r="AA597" s="83"/>
      <c r="AB597" s="83"/>
    </row>
    <row r="598">
      <c r="P598" s="83"/>
      <c r="Q598" s="83"/>
      <c r="R598" s="83"/>
      <c r="S598" s="83"/>
      <c r="T598" s="83"/>
      <c r="U598" s="83"/>
      <c r="V598" s="94"/>
      <c r="W598" s="83"/>
      <c r="X598" s="83"/>
      <c r="Y598" s="83"/>
      <c r="Z598" s="83"/>
      <c r="AA598" s="83"/>
      <c r="AB598" s="83"/>
    </row>
    <row r="599">
      <c r="P599" s="83"/>
      <c r="Q599" s="83"/>
      <c r="R599" s="83"/>
      <c r="S599" s="83"/>
      <c r="T599" s="83"/>
      <c r="U599" s="83"/>
      <c r="V599" s="94"/>
      <c r="W599" s="83"/>
      <c r="X599" s="83"/>
      <c r="Y599" s="83"/>
      <c r="Z599" s="83"/>
      <c r="AA599" s="83"/>
      <c r="AB599" s="83"/>
    </row>
    <row r="600">
      <c r="P600" s="83"/>
      <c r="Q600" s="83"/>
      <c r="R600" s="83"/>
      <c r="S600" s="83"/>
      <c r="T600" s="83"/>
      <c r="U600" s="83"/>
      <c r="V600" s="94"/>
      <c r="W600" s="83"/>
      <c r="X600" s="83"/>
      <c r="Y600" s="83"/>
      <c r="Z600" s="83"/>
      <c r="AA600" s="83"/>
      <c r="AB600" s="83"/>
    </row>
    <row r="601">
      <c r="P601" s="83"/>
      <c r="Q601" s="83"/>
      <c r="R601" s="83"/>
      <c r="S601" s="83"/>
      <c r="T601" s="83"/>
      <c r="U601" s="83"/>
      <c r="V601" s="94"/>
      <c r="W601" s="83"/>
      <c r="X601" s="83"/>
      <c r="Y601" s="83"/>
      <c r="Z601" s="83"/>
      <c r="AA601" s="83"/>
      <c r="AB601" s="83"/>
    </row>
    <row r="602">
      <c r="P602" s="83"/>
      <c r="Q602" s="83"/>
      <c r="R602" s="83"/>
      <c r="S602" s="83"/>
      <c r="T602" s="83"/>
      <c r="U602" s="83"/>
      <c r="V602" s="94"/>
      <c r="W602" s="83"/>
      <c r="X602" s="83"/>
      <c r="Y602" s="83"/>
      <c r="Z602" s="83"/>
      <c r="AA602" s="83"/>
      <c r="AB602" s="83"/>
    </row>
    <row r="603">
      <c r="P603" s="83"/>
      <c r="Q603" s="83"/>
      <c r="R603" s="83"/>
      <c r="S603" s="83"/>
      <c r="T603" s="83"/>
      <c r="U603" s="83"/>
      <c r="V603" s="94"/>
      <c r="W603" s="83"/>
      <c r="X603" s="83"/>
      <c r="Y603" s="83"/>
      <c r="Z603" s="83"/>
      <c r="AA603" s="83"/>
      <c r="AB603" s="83"/>
    </row>
    <row r="604">
      <c r="P604" s="83"/>
      <c r="Q604" s="83"/>
      <c r="R604" s="83"/>
      <c r="S604" s="83"/>
      <c r="T604" s="83"/>
      <c r="U604" s="83"/>
      <c r="V604" s="94"/>
      <c r="W604" s="83"/>
      <c r="X604" s="83"/>
      <c r="Y604" s="83"/>
      <c r="Z604" s="83"/>
      <c r="AA604" s="83"/>
      <c r="AB604" s="83"/>
    </row>
    <row r="605">
      <c r="P605" s="83"/>
      <c r="Q605" s="83"/>
      <c r="R605" s="83"/>
      <c r="S605" s="83"/>
      <c r="T605" s="83"/>
      <c r="U605" s="83"/>
      <c r="V605" s="94"/>
      <c r="W605" s="83"/>
      <c r="X605" s="83"/>
      <c r="Y605" s="83"/>
      <c r="Z605" s="83"/>
      <c r="AA605" s="83"/>
      <c r="AB605" s="83"/>
    </row>
    <row r="606">
      <c r="P606" s="83"/>
      <c r="Q606" s="83"/>
      <c r="R606" s="83"/>
      <c r="S606" s="83"/>
      <c r="T606" s="83"/>
      <c r="U606" s="83"/>
      <c r="V606" s="94"/>
      <c r="W606" s="83"/>
      <c r="X606" s="83"/>
      <c r="Y606" s="83"/>
      <c r="Z606" s="83"/>
      <c r="AA606" s="83"/>
      <c r="AB606" s="83"/>
    </row>
    <row r="607">
      <c r="P607" s="83"/>
      <c r="Q607" s="83"/>
      <c r="R607" s="83"/>
      <c r="S607" s="83"/>
      <c r="T607" s="83"/>
      <c r="U607" s="83"/>
      <c r="V607" s="94"/>
      <c r="W607" s="83"/>
      <c r="X607" s="83"/>
      <c r="Y607" s="83"/>
      <c r="Z607" s="83"/>
      <c r="AA607" s="83"/>
      <c r="AB607" s="83"/>
    </row>
    <row r="608">
      <c r="P608" s="83"/>
      <c r="Q608" s="83"/>
      <c r="R608" s="83"/>
      <c r="S608" s="83"/>
      <c r="T608" s="83"/>
      <c r="U608" s="83"/>
      <c r="V608" s="94"/>
      <c r="W608" s="83"/>
      <c r="X608" s="83"/>
      <c r="Y608" s="83"/>
      <c r="Z608" s="83"/>
      <c r="AA608" s="83"/>
      <c r="AB608" s="83"/>
    </row>
    <row r="609">
      <c r="P609" s="83"/>
      <c r="Q609" s="83"/>
      <c r="R609" s="83"/>
      <c r="S609" s="83"/>
      <c r="T609" s="83"/>
      <c r="U609" s="83"/>
      <c r="V609" s="94"/>
      <c r="W609" s="83"/>
      <c r="X609" s="83"/>
      <c r="Y609" s="83"/>
      <c r="Z609" s="83"/>
      <c r="AA609" s="83"/>
      <c r="AB609" s="83"/>
    </row>
    <row r="610">
      <c r="P610" s="83"/>
      <c r="Q610" s="83"/>
      <c r="R610" s="83"/>
      <c r="S610" s="83"/>
      <c r="T610" s="83"/>
      <c r="U610" s="83"/>
      <c r="V610" s="94"/>
      <c r="W610" s="83"/>
      <c r="X610" s="83"/>
      <c r="Y610" s="83"/>
      <c r="Z610" s="83"/>
      <c r="AA610" s="83"/>
      <c r="AB610" s="83"/>
    </row>
    <row r="611">
      <c r="P611" s="83"/>
      <c r="Q611" s="83"/>
      <c r="R611" s="83"/>
      <c r="S611" s="83"/>
      <c r="T611" s="83"/>
      <c r="U611" s="83"/>
      <c r="V611" s="94"/>
      <c r="W611" s="83"/>
      <c r="X611" s="83"/>
      <c r="Y611" s="83"/>
      <c r="Z611" s="83"/>
      <c r="AA611" s="83"/>
      <c r="AB611" s="83"/>
    </row>
    <row r="612">
      <c r="P612" s="83"/>
      <c r="Q612" s="83"/>
      <c r="R612" s="83"/>
      <c r="S612" s="83"/>
      <c r="T612" s="83"/>
      <c r="U612" s="83"/>
      <c r="V612" s="94"/>
      <c r="W612" s="83"/>
      <c r="X612" s="83"/>
      <c r="Y612" s="83"/>
      <c r="Z612" s="83"/>
      <c r="AA612" s="83"/>
      <c r="AB612" s="83"/>
    </row>
    <row r="613">
      <c r="P613" s="83"/>
      <c r="Q613" s="83"/>
      <c r="R613" s="83"/>
      <c r="S613" s="83"/>
      <c r="T613" s="83"/>
      <c r="U613" s="83"/>
      <c r="V613" s="94"/>
      <c r="W613" s="83"/>
      <c r="X613" s="83"/>
      <c r="Y613" s="83"/>
      <c r="Z613" s="83"/>
      <c r="AA613" s="83"/>
      <c r="AB613" s="83"/>
    </row>
    <row r="614">
      <c r="P614" s="83"/>
      <c r="Q614" s="83"/>
      <c r="R614" s="83"/>
      <c r="S614" s="83"/>
      <c r="T614" s="83"/>
      <c r="U614" s="83"/>
      <c r="V614" s="94"/>
      <c r="W614" s="83"/>
      <c r="X614" s="83"/>
      <c r="Y614" s="83"/>
      <c r="Z614" s="83"/>
      <c r="AA614" s="83"/>
      <c r="AB614" s="83"/>
    </row>
    <row r="615">
      <c r="P615" s="83"/>
      <c r="Q615" s="83"/>
      <c r="R615" s="83"/>
      <c r="S615" s="83"/>
      <c r="T615" s="83"/>
      <c r="U615" s="83"/>
      <c r="V615" s="94"/>
      <c r="W615" s="83"/>
      <c r="X615" s="83"/>
      <c r="Y615" s="83"/>
      <c r="Z615" s="83"/>
      <c r="AA615" s="83"/>
      <c r="AB615" s="83"/>
    </row>
    <row r="616">
      <c r="P616" s="83"/>
      <c r="Q616" s="83"/>
      <c r="R616" s="83"/>
      <c r="S616" s="83"/>
      <c r="T616" s="83"/>
      <c r="U616" s="83"/>
      <c r="V616" s="94"/>
      <c r="W616" s="83"/>
      <c r="X616" s="83"/>
      <c r="Y616" s="83"/>
      <c r="Z616" s="83"/>
      <c r="AA616" s="83"/>
      <c r="AB616" s="83"/>
    </row>
    <row r="617">
      <c r="P617" s="83"/>
      <c r="Q617" s="83"/>
      <c r="R617" s="83"/>
      <c r="S617" s="83"/>
      <c r="T617" s="83"/>
      <c r="U617" s="83"/>
      <c r="V617" s="94"/>
      <c r="W617" s="83"/>
      <c r="X617" s="83"/>
      <c r="Y617" s="83"/>
      <c r="Z617" s="83"/>
      <c r="AA617" s="83"/>
      <c r="AB617" s="83"/>
    </row>
    <row r="618">
      <c r="P618" s="83"/>
      <c r="Q618" s="83"/>
      <c r="R618" s="83"/>
      <c r="S618" s="83"/>
      <c r="T618" s="83"/>
      <c r="U618" s="83"/>
      <c r="V618" s="94"/>
      <c r="W618" s="83"/>
      <c r="X618" s="83"/>
      <c r="Y618" s="83"/>
      <c r="Z618" s="83"/>
      <c r="AA618" s="83"/>
      <c r="AB618" s="83"/>
    </row>
    <row r="619">
      <c r="P619" s="83"/>
      <c r="Q619" s="83"/>
      <c r="R619" s="83"/>
      <c r="S619" s="83"/>
      <c r="T619" s="83"/>
      <c r="U619" s="83"/>
      <c r="V619" s="94"/>
      <c r="W619" s="83"/>
      <c r="X619" s="83"/>
      <c r="Y619" s="83"/>
      <c r="Z619" s="83"/>
      <c r="AA619" s="83"/>
      <c r="AB619" s="83"/>
    </row>
    <row r="620">
      <c r="P620" s="83"/>
      <c r="Q620" s="83"/>
      <c r="R620" s="83"/>
      <c r="S620" s="83"/>
      <c r="T620" s="83"/>
      <c r="U620" s="83"/>
      <c r="V620" s="94"/>
      <c r="W620" s="83"/>
      <c r="X620" s="83"/>
      <c r="Y620" s="83"/>
      <c r="Z620" s="83"/>
      <c r="AA620" s="83"/>
      <c r="AB620" s="83"/>
    </row>
    <row r="621">
      <c r="P621" s="83"/>
      <c r="Q621" s="83"/>
      <c r="R621" s="83"/>
      <c r="S621" s="83"/>
      <c r="T621" s="83"/>
      <c r="U621" s="83"/>
      <c r="V621" s="94"/>
      <c r="W621" s="83"/>
      <c r="X621" s="83"/>
      <c r="Y621" s="83"/>
      <c r="Z621" s="83"/>
      <c r="AA621" s="83"/>
      <c r="AB621" s="83"/>
    </row>
    <row r="622">
      <c r="P622" s="83"/>
      <c r="Q622" s="83"/>
      <c r="R622" s="83"/>
      <c r="S622" s="83"/>
      <c r="T622" s="83"/>
      <c r="U622" s="83"/>
      <c r="V622" s="94"/>
      <c r="W622" s="83"/>
      <c r="X622" s="83"/>
      <c r="Y622" s="83"/>
      <c r="Z622" s="83"/>
      <c r="AA622" s="83"/>
      <c r="AB622" s="83"/>
    </row>
    <row r="623">
      <c r="P623" s="83"/>
      <c r="Q623" s="83"/>
      <c r="R623" s="83"/>
      <c r="S623" s="83"/>
      <c r="T623" s="83"/>
      <c r="U623" s="83"/>
      <c r="V623" s="94"/>
      <c r="W623" s="83"/>
      <c r="X623" s="83"/>
      <c r="Y623" s="83"/>
      <c r="Z623" s="83"/>
      <c r="AA623" s="83"/>
      <c r="AB623" s="83"/>
    </row>
    <row r="624">
      <c r="P624" s="83"/>
      <c r="Q624" s="83"/>
      <c r="R624" s="83"/>
      <c r="S624" s="83"/>
      <c r="T624" s="83"/>
      <c r="U624" s="83"/>
      <c r="V624" s="94"/>
      <c r="W624" s="83"/>
      <c r="X624" s="83"/>
      <c r="Y624" s="83"/>
      <c r="Z624" s="83"/>
      <c r="AA624" s="83"/>
      <c r="AB624" s="83"/>
    </row>
    <row r="625">
      <c r="P625" s="83"/>
      <c r="Q625" s="83"/>
      <c r="R625" s="83"/>
      <c r="S625" s="83"/>
      <c r="T625" s="83"/>
      <c r="U625" s="83"/>
      <c r="V625" s="94"/>
      <c r="W625" s="83"/>
      <c r="X625" s="83"/>
      <c r="Y625" s="83"/>
      <c r="Z625" s="83"/>
      <c r="AA625" s="83"/>
      <c r="AB625" s="83"/>
    </row>
    <row r="626">
      <c r="P626" s="83"/>
      <c r="Q626" s="83"/>
      <c r="R626" s="83"/>
      <c r="S626" s="83"/>
      <c r="T626" s="83"/>
      <c r="U626" s="83"/>
      <c r="V626" s="94"/>
      <c r="W626" s="83"/>
      <c r="X626" s="83"/>
      <c r="Y626" s="83"/>
      <c r="Z626" s="83"/>
      <c r="AA626" s="83"/>
      <c r="AB626" s="83"/>
    </row>
    <row r="627">
      <c r="P627" s="83"/>
      <c r="Q627" s="83"/>
      <c r="R627" s="83"/>
      <c r="S627" s="83"/>
      <c r="T627" s="83"/>
      <c r="U627" s="83"/>
      <c r="V627" s="94"/>
      <c r="W627" s="83"/>
      <c r="X627" s="83"/>
      <c r="Y627" s="83"/>
      <c r="Z627" s="83"/>
      <c r="AA627" s="83"/>
      <c r="AB627" s="83"/>
    </row>
    <row r="628">
      <c r="P628" s="83"/>
      <c r="Q628" s="83"/>
      <c r="R628" s="83"/>
      <c r="S628" s="83"/>
      <c r="T628" s="83"/>
      <c r="U628" s="83"/>
      <c r="V628" s="94"/>
      <c r="W628" s="83"/>
      <c r="X628" s="83"/>
      <c r="Y628" s="83"/>
      <c r="Z628" s="83"/>
      <c r="AA628" s="83"/>
      <c r="AB628" s="83"/>
    </row>
    <row r="629">
      <c r="P629" s="83"/>
      <c r="Q629" s="83"/>
      <c r="R629" s="83"/>
      <c r="S629" s="83"/>
      <c r="T629" s="83"/>
      <c r="U629" s="83"/>
      <c r="V629" s="94"/>
      <c r="W629" s="83"/>
      <c r="X629" s="83"/>
      <c r="Y629" s="83"/>
      <c r="Z629" s="83"/>
      <c r="AA629" s="83"/>
      <c r="AB629" s="83"/>
    </row>
    <row r="630">
      <c r="P630" s="83"/>
      <c r="Q630" s="83"/>
      <c r="R630" s="83"/>
      <c r="S630" s="83"/>
      <c r="T630" s="83"/>
      <c r="U630" s="83"/>
      <c r="V630" s="94"/>
      <c r="W630" s="83"/>
      <c r="X630" s="83"/>
      <c r="Y630" s="83"/>
      <c r="Z630" s="83"/>
      <c r="AA630" s="83"/>
      <c r="AB630" s="83"/>
    </row>
    <row r="631">
      <c r="P631" s="83"/>
      <c r="Q631" s="83"/>
      <c r="R631" s="83"/>
      <c r="S631" s="83"/>
      <c r="T631" s="83"/>
      <c r="U631" s="83"/>
      <c r="V631" s="94"/>
      <c r="W631" s="83"/>
      <c r="X631" s="83"/>
      <c r="Y631" s="83"/>
      <c r="Z631" s="83"/>
      <c r="AA631" s="83"/>
      <c r="AB631" s="83"/>
    </row>
    <row r="632">
      <c r="P632" s="83"/>
      <c r="Q632" s="83"/>
      <c r="R632" s="83"/>
      <c r="S632" s="83"/>
      <c r="T632" s="83"/>
      <c r="U632" s="83"/>
      <c r="V632" s="94"/>
      <c r="W632" s="83"/>
      <c r="X632" s="83"/>
      <c r="Y632" s="83"/>
      <c r="Z632" s="83"/>
      <c r="AA632" s="83"/>
      <c r="AB632" s="83"/>
    </row>
    <row r="633">
      <c r="P633" s="83"/>
      <c r="Q633" s="83"/>
      <c r="R633" s="83"/>
      <c r="S633" s="83"/>
      <c r="T633" s="83"/>
      <c r="U633" s="83"/>
      <c r="V633" s="94"/>
      <c r="W633" s="83"/>
      <c r="X633" s="83"/>
      <c r="Y633" s="83"/>
      <c r="Z633" s="83"/>
      <c r="AA633" s="83"/>
      <c r="AB633" s="83"/>
    </row>
    <row r="634">
      <c r="P634" s="83"/>
      <c r="Q634" s="83"/>
      <c r="R634" s="83"/>
      <c r="S634" s="83"/>
      <c r="T634" s="83"/>
      <c r="U634" s="83"/>
      <c r="V634" s="94"/>
      <c r="W634" s="83"/>
      <c r="X634" s="83"/>
      <c r="Y634" s="83"/>
      <c r="Z634" s="83"/>
      <c r="AA634" s="83"/>
      <c r="AB634" s="83"/>
    </row>
    <row r="635">
      <c r="P635" s="83"/>
      <c r="Q635" s="83"/>
      <c r="R635" s="83"/>
      <c r="S635" s="83"/>
      <c r="T635" s="83"/>
      <c r="U635" s="83"/>
      <c r="V635" s="94"/>
      <c r="W635" s="83"/>
      <c r="X635" s="83"/>
      <c r="Y635" s="83"/>
      <c r="Z635" s="83"/>
      <c r="AA635" s="83"/>
      <c r="AB635" s="83"/>
    </row>
    <row r="636">
      <c r="P636" s="83"/>
      <c r="Q636" s="83"/>
      <c r="R636" s="83"/>
      <c r="S636" s="83"/>
      <c r="T636" s="83"/>
      <c r="U636" s="83"/>
      <c r="V636" s="94"/>
      <c r="W636" s="83"/>
      <c r="X636" s="83"/>
      <c r="Y636" s="83"/>
      <c r="Z636" s="83"/>
      <c r="AA636" s="83"/>
      <c r="AB636" s="83"/>
    </row>
    <row r="637">
      <c r="P637" s="83"/>
      <c r="Q637" s="83"/>
      <c r="R637" s="83"/>
      <c r="S637" s="83"/>
      <c r="T637" s="83"/>
      <c r="U637" s="83"/>
      <c r="V637" s="94"/>
      <c r="W637" s="83"/>
      <c r="X637" s="83"/>
      <c r="Y637" s="83"/>
      <c r="Z637" s="83"/>
      <c r="AA637" s="83"/>
      <c r="AB637" s="83"/>
    </row>
    <row r="638">
      <c r="P638" s="83"/>
      <c r="Q638" s="83"/>
      <c r="R638" s="83"/>
      <c r="S638" s="83"/>
      <c r="T638" s="83"/>
      <c r="U638" s="83"/>
      <c r="V638" s="94"/>
      <c r="W638" s="83"/>
      <c r="X638" s="83"/>
      <c r="Y638" s="83"/>
      <c r="Z638" s="83"/>
      <c r="AA638" s="83"/>
      <c r="AB638" s="83"/>
    </row>
    <row r="639">
      <c r="P639" s="83"/>
      <c r="Q639" s="83"/>
      <c r="R639" s="83"/>
      <c r="S639" s="83"/>
      <c r="T639" s="83"/>
      <c r="U639" s="83"/>
      <c r="V639" s="94"/>
      <c r="W639" s="83"/>
      <c r="X639" s="83"/>
      <c r="Y639" s="83"/>
      <c r="Z639" s="83"/>
      <c r="AA639" s="83"/>
      <c r="AB639" s="83"/>
    </row>
    <row r="640">
      <c r="P640" s="83"/>
      <c r="Q640" s="83"/>
      <c r="R640" s="83"/>
      <c r="S640" s="83"/>
      <c r="T640" s="83"/>
      <c r="U640" s="83"/>
      <c r="V640" s="94"/>
      <c r="W640" s="83"/>
      <c r="X640" s="83"/>
      <c r="Y640" s="83"/>
      <c r="Z640" s="83"/>
      <c r="AA640" s="83"/>
      <c r="AB640" s="83"/>
    </row>
    <row r="641">
      <c r="P641" s="83"/>
      <c r="Q641" s="83"/>
      <c r="R641" s="83"/>
      <c r="S641" s="83"/>
      <c r="T641" s="83"/>
      <c r="U641" s="83"/>
      <c r="V641" s="94"/>
      <c r="W641" s="83"/>
      <c r="X641" s="83"/>
      <c r="Y641" s="83"/>
      <c r="Z641" s="83"/>
      <c r="AA641" s="83"/>
      <c r="AB641" s="83"/>
    </row>
    <row r="642">
      <c r="P642" s="83"/>
      <c r="Q642" s="83"/>
      <c r="R642" s="83"/>
      <c r="S642" s="83"/>
      <c r="T642" s="83"/>
      <c r="U642" s="83"/>
      <c r="V642" s="94"/>
      <c r="W642" s="83"/>
      <c r="X642" s="83"/>
      <c r="Y642" s="83"/>
      <c r="Z642" s="83"/>
      <c r="AA642" s="83"/>
      <c r="AB642" s="83"/>
    </row>
    <row r="643">
      <c r="P643" s="83"/>
      <c r="Q643" s="83"/>
      <c r="R643" s="83"/>
      <c r="S643" s="83"/>
      <c r="T643" s="83"/>
      <c r="U643" s="83"/>
      <c r="V643" s="94"/>
      <c r="W643" s="83"/>
      <c r="X643" s="83"/>
      <c r="Y643" s="83"/>
      <c r="Z643" s="83"/>
      <c r="AA643" s="83"/>
      <c r="AB643" s="83"/>
    </row>
    <row r="644">
      <c r="P644" s="83"/>
      <c r="Q644" s="83"/>
      <c r="R644" s="83"/>
      <c r="S644" s="83"/>
      <c r="T644" s="83"/>
      <c r="U644" s="83"/>
      <c r="V644" s="94"/>
      <c r="W644" s="83"/>
      <c r="X644" s="83"/>
      <c r="Y644" s="83"/>
      <c r="Z644" s="83"/>
      <c r="AA644" s="83"/>
      <c r="AB644" s="83"/>
    </row>
    <row r="645">
      <c r="P645" s="83"/>
      <c r="Q645" s="83"/>
      <c r="R645" s="83"/>
      <c r="S645" s="83"/>
      <c r="T645" s="83"/>
      <c r="U645" s="83"/>
      <c r="V645" s="94"/>
      <c r="W645" s="83"/>
      <c r="X645" s="83"/>
      <c r="Y645" s="83"/>
      <c r="Z645" s="83"/>
      <c r="AA645" s="83"/>
      <c r="AB645" s="83"/>
    </row>
    <row r="646">
      <c r="P646" s="83"/>
      <c r="Q646" s="83"/>
      <c r="R646" s="83"/>
      <c r="S646" s="83"/>
      <c r="T646" s="83"/>
      <c r="U646" s="83"/>
      <c r="V646" s="94"/>
      <c r="W646" s="83"/>
      <c r="X646" s="83"/>
      <c r="Y646" s="83"/>
      <c r="Z646" s="83"/>
      <c r="AA646" s="83"/>
      <c r="AB646" s="83"/>
    </row>
    <row r="647">
      <c r="P647" s="83"/>
      <c r="Q647" s="83"/>
      <c r="R647" s="83"/>
      <c r="S647" s="83"/>
      <c r="T647" s="83"/>
      <c r="U647" s="83"/>
      <c r="V647" s="94"/>
      <c r="W647" s="83"/>
      <c r="X647" s="83"/>
      <c r="Y647" s="83"/>
      <c r="Z647" s="83"/>
      <c r="AA647" s="83"/>
      <c r="AB647" s="83"/>
    </row>
    <row r="648">
      <c r="P648" s="83"/>
      <c r="Q648" s="83"/>
      <c r="R648" s="83"/>
      <c r="S648" s="83"/>
      <c r="T648" s="83"/>
      <c r="U648" s="83"/>
      <c r="V648" s="94"/>
      <c r="W648" s="83"/>
      <c r="X648" s="83"/>
      <c r="Y648" s="83"/>
      <c r="Z648" s="83"/>
      <c r="AA648" s="83"/>
      <c r="AB648" s="83"/>
    </row>
    <row r="649">
      <c r="P649" s="83"/>
      <c r="Q649" s="83"/>
      <c r="R649" s="83"/>
      <c r="S649" s="83"/>
      <c r="T649" s="83"/>
      <c r="U649" s="83"/>
      <c r="V649" s="94"/>
      <c r="W649" s="83"/>
      <c r="X649" s="83"/>
      <c r="Y649" s="83"/>
      <c r="Z649" s="83"/>
      <c r="AA649" s="83"/>
      <c r="AB649" s="83"/>
    </row>
    <row r="650">
      <c r="P650" s="83"/>
      <c r="Q650" s="83"/>
      <c r="R650" s="83"/>
      <c r="S650" s="83"/>
      <c r="T650" s="83"/>
      <c r="U650" s="83"/>
      <c r="V650" s="94"/>
      <c r="W650" s="83"/>
      <c r="X650" s="83"/>
      <c r="Y650" s="83"/>
      <c r="Z650" s="83"/>
      <c r="AA650" s="83"/>
      <c r="AB650" s="83"/>
    </row>
    <row r="651">
      <c r="P651" s="83"/>
      <c r="Q651" s="83"/>
      <c r="R651" s="83"/>
      <c r="S651" s="83"/>
      <c r="T651" s="83"/>
      <c r="U651" s="83"/>
      <c r="V651" s="94"/>
      <c r="W651" s="83"/>
      <c r="X651" s="83"/>
      <c r="Y651" s="83"/>
      <c r="Z651" s="83"/>
      <c r="AA651" s="83"/>
      <c r="AB651" s="83"/>
    </row>
    <row r="652">
      <c r="P652" s="83"/>
      <c r="Q652" s="83"/>
      <c r="R652" s="83"/>
      <c r="S652" s="83"/>
      <c r="T652" s="83"/>
      <c r="U652" s="83"/>
      <c r="V652" s="94"/>
      <c r="W652" s="83"/>
      <c r="X652" s="83"/>
      <c r="Y652" s="83"/>
      <c r="Z652" s="83"/>
      <c r="AA652" s="83"/>
      <c r="AB652" s="83"/>
    </row>
    <row r="653">
      <c r="P653" s="83"/>
      <c r="Q653" s="83"/>
      <c r="R653" s="83"/>
      <c r="S653" s="83"/>
      <c r="T653" s="83"/>
      <c r="U653" s="83"/>
      <c r="V653" s="94"/>
      <c r="W653" s="83"/>
      <c r="X653" s="83"/>
      <c r="Y653" s="83"/>
      <c r="Z653" s="83"/>
      <c r="AA653" s="83"/>
      <c r="AB653" s="83"/>
    </row>
    <row r="654">
      <c r="P654" s="83"/>
      <c r="Q654" s="83"/>
      <c r="R654" s="83"/>
      <c r="S654" s="83"/>
      <c r="T654" s="83"/>
      <c r="U654" s="83"/>
      <c r="V654" s="94"/>
      <c r="W654" s="83"/>
      <c r="X654" s="83"/>
      <c r="Y654" s="83"/>
      <c r="Z654" s="83"/>
      <c r="AA654" s="83"/>
      <c r="AB654" s="83"/>
    </row>
    <row r="655">
      <c r="P655" s="83"/>
      <c r="Q655" s="83"/>
      <c r="R655" s="83"/>
      <c r="S655" s="83"/>
      <c r="T655" s="83"/>
      <c r="U655" s="83"/>
      <c r="V655" s="94"/>
      <c r="W655" s="83"/>
      <c r="X655" s="83"/>
      <c r="Y655" s="83"/>
      <c r="Z655" s="83"/>
      <c r="AA655" s="83"/>
      <c r="AB655" s="83"/>
    </row>
    <row r="656">
      <c r="P656" s="83"/>
      <c r="Q656" s="83"/>
      <c r="R656" s="83"/>
      <c r="S656" s="83"/>
      <c r="T656" s="83"/>
      <c r="U656" s="83"/>
      <c r="V656" s="94"/>
      <c r="W656" s="83"/>
      <c r="X656" s="83"/>
      <c r="Y656" s="83"/>
      <c r="Z656" s="83"/>
      <c r="AA656" s="83"/>
      <c r="AB656" s="83"/>
    </row>
    <row r="657">
      <c r="P657" s="83"/>
      <c r="Q657" s="83"/>
      <c r="R657" s="83"/>
      <c r="S657" s="83"/>
      <c r="T657" s="83"/>
      <c r="U657" s="83"/>
      <c r="V657" s="94"/>
      <c r="W657" s="83"/>
      <c r="X657" s="83"/>
      <c r="Y657" s="83"/>
      <c r="Z657" s="83"/>
      <c r="AA657" s="83"/>
      <c r="AB657" s="83"/>
    </row>
    <row r="658">
      <c r="P658" s="83"/>
      <c r="Q658" s="83"/>
      <c r="R658" s="83"/>
      <c r="S658" s="83"/>
      <c r="T658" s="83"/>
      <c r="U658" s="83"/>
      <c r="V658" s="94"/>
      <c r="W658" s="83"/>
      <c r="X658" s="83"/>
      <c r="Y658" s="83"/>
      <c r="Z658" s="83"/>
      <c r="AA658" s="83"/>
      <c r="AB658" s="83"/>
    </row>
    <row r="659">
      <c r="P659" s="83"/>
      <c r="Q659" s="83"/>
      <c r="R659" s="83"/>
      <c r="S659" s="83"/>
      <c r="T659" s="83"/>
      <c r="U659" s="83"/>
      <c r="V659" s="94"/>
      <c r="W659" s="83"/>
      <c r="X659" s="83"/>
      <c r="Y659" s="83"/>
      <c r="Z659" s="83"/>
      <c r="AA659" s="83"/>
      <c r="AB659" s="83"/>
    </row>
    <row r="660">
      <c r="P660" s="83"/>
      <c r="Q660" s="83"/>
      <c r="R660" s="83"/>
      <c r="S660" s="83"/>
      <c r="T660" s="83"/>
      <c r="U660" s="83"/>
      <c r="V660" s="94"/>
      <c r="W660" s="83"/>
      <c r="X660" s="83"/>
      <c r="Y660" s="83"/>
      <c r="Z660" s="83"/>
      <c r="AA660" s="83"/>
      <c r="AB660" s="83"/>
    </row>
    <row r="661">
      <c r="P661" s="83"/>
      <c r="Q661" s="83"/>
      <c r="R661" s="83"/>
      <c r="S661" s="83"/>
      <c r="T661" s="83"/>
      <c r="U661" s="83"/>
      <c r="V661" s="94"/>
      <c r="W661" s="83"/>
      <c r="X661" s="83"/>
      <c r="Y661" s="83"/>
      <c r="Z661" s="83"/>
      <c r="AA661" s="83"/>
      <c r="AB661" s="83"/>
    </row>
    <row r="662">
      <c r="P662" s="83"/>
      <c r="Q662" s="83"/>
      <c r="R662" s="83"/>
      <c r="S662" s="83"/>
      <c r="T662" s="83"/>
      <c r="U662" s="83"/>
      <c r="V662" s="94"/>
      <c r="W662" s="83"/>
      <c r="X662" s="83"/>
      <c r="Y662" s="83"/>
      <c r="Z662" s="83"/>
      <c r="AA662" s="83"/>
      <c r="AB662" s="83"/>
    </row>
    <row r="663">
      <c r="P663" s="83"/>
      <c r="Q663" s="83"/>
      <c r="R663" s="83"/>
      <c r="S663" s="83"/>
      <c r="T663" s="83"/>
      <c r="U663" s="83"/>
      <c r="V663" s="94"/>
      <c r="W663" s="83"/>
      <c r="X663" s="83"/>
      <c r="Y663" s="83"/>
      <c r="Z663" s="83"/>
      <c r="AA663" s="83"/>
      <c r="AB663" s="83"/>
    </row>
    <row r="664">
      <c r="P664" s="83"/>
      <c r="Q664" s="83"/>
      <c r="R664" s="83"/>
      <c r="S664" s="83"/>
      <c r="T664" s="83"/>
      <c r="U664" s="83"/>
      <c r="V664" s="94"/>
      <c r="W664" s="83"/>
      <c r="X664" s="83"/>
      <c r="Y664" s="83"/>
      <c r="Z664" s="83"/>
      <c r="AA664" s="83"/>
      <c r="AB664" s="83"/>
    </row>
    <row r="665">
      <c r="P665" s="83"/>
      <c r="Q665" s="83"/>
      <c r="R665" s="83"/>
      <c r="S665" s="83"/>
      <c r="T665" s="83"/>
      <c r="U665" s="83"/>
      <c r="V665" s="94"/>
      <c r="W665" s="83"/>
      <c r="X665" s="83"/>
      <c r="Y665" s="83"/>
      <c r="Z665" s="83"/>
      <c r="AA665" s="83"/>
      <c r="AB665" s="83"/>
    </row>
    <row r="666">
      <c r="P666" s="83"/>
      <c r="Q666" s="83"/>
      <c r="R666" s="83"/>
      <c r="S666" s="83"/>
      <c r="T666" s="83"/>
      <c r="U666" s="83"/>
      <c r="V666" s="94"/>
      <c r="W666" s="83"/>
      <c r="X666" s="83"/>
      <c r="Y666" s="83"/>
      <c r="Z666" s="83"/>
      <c r="AA666" s="83"/>
      <c r="AB666" s="83"/>
    </row>
    <row r="667">
      <c r="P667" s="83"/>
      <c r="Q667" s="83"/>
      <c r="R667" s="83"/>
      <c r="S667" s="83"/>
      <c r="T667" s="83"/>
      <c r="U667" s="83"/>
      <c r="V667" s="94"/>
      <c r="W667" s="83"/>
      <c r="X667" s="83"/>
      <c r="Y667" s="83"/>
      <c r="Z667" s="83"/>
      <c r="AA667" s="83"/>
      <c r="AB667" s="83"/>
    </row>
    <row r="668">
      <c r="P668" s="83"/>
      <c r="Q668" s="83"/>
      <c r="R668" s="83"/>
      <c r="S668" s="83"/>
      <c r="T668" s="83"/>
      <c r="U668" s="83"/>
      <c r="V668" s="94"/>
      <c r="W668" s="83"/>
      <c r="X668" s="83"/>
      <c r="Y668" s="83"/>
      <c r="Z668" s="83"/>
      <c r="AA668" s="83"/>
      <c r="AB668" s="83"/>
    </row>
    <row r="669">
      <c r="P669" s="83"/>
      <c r="Q669" s="83"/>
      <c r="R669" s="83"/>
      <c r="S669" s="83"/>
      <c r="T669" s="83"/>
      <c r="U669" s="83"/>
      <c r="V669" s="94"/>
      <c r="W669" s="83"/>
      <c r="X669" s="83"/>
      <c r="Y669" s="83"/>
      <c r="Z669" s="83"/>
      <c r="AA669" s="83"/>
      <c r="AB669" s="83"/>
    </row>
    <row r="670">
      <c r="P670" s="83"/>
      <c r="Q670" s="83"/>
      <c r="R670" s="83"/>
      <c r="S670" s="83"/>
      <c r="T670" s="83"/>
      <c r="U670" s="83"/>
      <c r="V670" s="94"/>
      <c r="W670" s="83"/>
      <c r="X670" s="83"/>
      <c r="Y670" s="83"/>
      <c r="Z670" s="83"/>
      <c r="AA670" s="83"/>
      <c r="AB670" s="83"/>
    </row>
    <row r="671">
      <c r="P671" s="83"/>
      <c r="Q671" s="83"/>
      <c r="R671" s="83"/>
      <c r="S671" s="83"/>
      <c r="T671" s="83"/>
      <c r="U671" s="83"/>
      <c r="V671" s="94"/>
      <c r="W671" s="83"/>
      <c r="X671" s="83"/>
      <c r="Y671" s="83"/>
      <c r="Z671" s="83"/>
      <c r="AA671" s="83"/>
      <c r="AB671" s="83"/>
    </row>
    <row r="672">
      <c r="P672" s="83"/>
      <c r="Q672" s="83"/>
      <c r="R672" s="83"/>
      <c r="S672" s="83"/>
      <c r="T672" s="83"/>
      <c r="U672" s="83"/>
      <c r="V672" s="94"/>
      <c r="W672" s="83"/>
      <c r="X672" s="83"/>
      <c r="Y672" s="83"/>
      <c r="Z672" s="83"/>
      <c r="AA672" s="83"/>
      <c r="AB672" s="83"/>
    </row>
    <row r="673">
      <c r="P673" s="83"/>
      <c r="Q673" s="83"/>
      <c r="R673" s="83"/>
      <c r="S673" s="83"/>
      <c r="T673" s="83"/>
      <c r="U673" s="83"/>
      <c r="V673" s="94"/>
      <c r="W673" s="83"/>
      <c r="X673" s="83"/>
      <c r="Y673" s="83"/>
      <c r="Z673" s="83"/>
      <c r="AA673" s="83"/>
      <c r="AB673" s="83"/>
    </row>
    <row r="674">
      <c r="P674" s="83"/>
      <c r="Q674" s="83"/>
      <c r="R674" s="83"/>
      <c r="S674" s="83"/>
      <c r="T674" s="83"/>
      <c r="U674" s="83"/>
      <c r="V674" s="94"/>
      <c r="W674" s="83"/>
      <c r="X674" s="83"/>
      <c r="Y674" s="83"/>
      <c r="Z674" s="83"/>
      <c r="AA674" s="83"/>
      <c r="AB674" s="83"/>
    </row>
    <row r="675">
      <c r="P675" s="83"/>
      <c r="Q675" s="83"/>
      <c r="R675" s="83"/>
      <c r="S675" s="83"/>
      <c r="T675" s="83"/>
      <c r="U675" s="83"/>
      <c r="V675" s="94"/>
      <c r="W675" s="83"/>
      <c r="X675" s="83"/>
      <c r="Y675" s="83"/>
      <c r="Z675" s="83"/>
      <c r="AA675" s="83"/>
      <c r="AB675" s="83"/>
    </row>
    <row r="676">
      <c r="P676" s="83"/>
      <c r="Q676" s="83"/>
      <c r="R676" s="83"/>
      <c r="S676" s="83"/>
      <c r="T676" s="83"/>
      <c r="U676" s="83"/>
      <c r="V676" s="94"/>
      <c r="W676" s="83"/>
      <c r="X676" s="83"/>
      <c r="Y676" s="83"/>
      <c r="Z676" s="83"/>
      <c r="AA676" s="83"/>
      <c r="AB676" s="83"/>
    </row>
    <row r="677">
      <c r="P677" s="83"/>
      <c r="Q677" s="83"/>
      <c r="R677" s="83"/>
      <c r="S677" s="83"/>
      <c r="T677" s="83"/>
      <c r="U677" s="83"/>
      <c r="V677" s="94"/>
      <c r="W677" s="83"/>
      <c r="X677" s="83"/>
      <c r="Y677" s="83"/>
      <c r="Z677" s="83"/>
      <c r="AA677" s="83"/>
      <c r="AB677" s="83"/>
    </row>
    <row r="678">
      <c r="P678" s="83"/>
      <c r="Q678" s="83"/>
      <c r="R678" s="83"/>
      <c r="S678" s="83"/>
      <c r="T678" s="83"/>
      <c r="U678" s="83"/>
      <c r="V678" s="94"/>
      <c r="W678" s="83"/>
      <c r="X678" s="83"/>
      <c r="Y678" s="83"/>
      <c r="Z678" s="83"/>
      <c r="AA678" s="83"/>
      <c r="AB678" s="83"/>
    </row>
    <row r="679">
      <c r="P679" s="83"/>
      <c r="Q679" s="83"/>
      <c r="R679" s="83"/>
      <c r="S679" s="83"/>
      <c r="T679" s="83"/>
      <c r="U679" s="83"/>
      <c r="V679" s="94"/>
      <c r="W679" s="83"/>
      <c r="X679" s="83"/>
      <c r="Y679" s="83"/>
      <c r="Z679" s="83"/>
      <c r="AA679" s="83"/>
      <c r="AB679" s="83"/>
    </row>
    <row r="680">
      <c r="P680" s="83"/>
      <c r="Q680" s="83"/>
      <c r="R680" s="83"/>
      <c r="S680" s="83"/>
      <c r="T680" s="83"/>
      <c r="U680" s="83"/>
      <c r="V680" s="94"/>
      <c r="W680" s="83"/>
      <c r="X680" s="83"/>
      <c r="Y680" s="83"/>
      <c r="Z680" s="83"/>
      <c r="AA680" s="83"/>
      <c r="AB680" s="83"/>
    </row>
    <row r="681">
      <c r="P681" s="83"/>
      <c r="Q681" s="83"/>
      <c r="R681" s="83"/>
      <c r="S681" s="83"/>
      <c r="T681" s="83"/>
      <c r="U681" s="83"/>
      <c r="V681" s="94"/>
      <c r="W681" s="83"/>
      <c r="X681" s="83"/>
      <c r="Y681" s="83"/>
      <c r="Z681" s="83"/>
      <c r="AA681" s="83"/>
      <c r="AB681" s="83"/>
    </row>
    <row r="682">
      <c r="P682" s="83"/>
      <c r="Q682" s="83"/>
      <c r="R682" s="83"/>
      <c r="S682" s="83"/>
      <c r="T682" s="83"/>
      <c r="U682" s="83"/>
      <c r="V682" s="94"/>
      <c r="W682" s="83"/>
      <c r="X682" s="83"/>
      <c r="Y682" s="83"/>
      <c r="Z682" s="83"/>
      <c r="AA682" s="83"/>
      <c r="AB682" s="83"/>
    </row>
    <row r="683">
      <c r="P683" s="83"/>
      <c r="Q683" s="83"/>
      <c r="R683" s="83"/>
      <c r="S683" s="83"/>
      <c r="T683" s="83"/>
      <c r="U683" s="83"/>
      <c r="V683" s="94"/>
      <c r="W683" s="83"/>
      <c r="X683" s="83"/>
      <c r="Y683" s="83"/>
      <c r="Z683" s="83"/>
      <c r="AA683" s="83"/>
      <c r="AB683" s="83"/>
    </row>
    <row r="684">
      <c r="P684" s="83"/>
      <c r="Q684" s="83"/>
      <c r="R684" s="83"/>
      <c r="S684" s="83"/>
      <c r="T684" s="83"/>
      <c r="U684" s="83"/>
      <c r="V684" s="94"/>
      <c r="W684" s="83"/>
      <c r="X684" s="83"/>
      <c r="Y684" s="83"/>
      <c r="Z684" s="83"/>
      <c r="AA684" s="83"/>
      <c r="AB684" s="83"/>
    </row>
    <row r="685">
      <c r="P685" s="83"/>
      <c r="Q685" s="83"/>
      <c r="R685" s="83"/>
      <c r="S685" s="83"/>
      <c r="T685" s="83"/>
      <c r="U685" s="83"/>
      <c r="V685" s="94"/>
      <c r="W685" s="83"/>
      <c r="X685" s="83"/>
      <c r="Y685" s="83"/>
      <c r="Z685" s="83"/>
      <c r="AA685" s="83"/>
      <c r="AB685" s="83"/>
    </row>
    <row r="686">
      <c r="P686" s="83"/>
      <c r="Q686" s="83"/>
      <c r="R686" s="83"/>
      <c r="S686" s="83"/>
      <c r="T686" s="83"/>
      <c r="U686" s="83"/>
      <c r="V686" s="94"/>
      <c r="W686" s="83"/>
      <c r="X686" s="83"/>
      <c r="Y686" s="83"/>
      <c r="Z686" s="83"/>
      <c r="AA686" s="83"/>
      <c r="AB686" s="83"/>
    </row>
    <row r="687">
      <c r="P687" s="83"/>
      <c r="Q687" s="83"/>
      <c r="R687" s="83"/>
      <c r="S687" s="83"/>
      <c r="T687" s="83"/>
      <c r="U687" s="83"/>
      <c r="V687" s="94"/>
      <c r="W687" s="83"/>
      <c r="X687" s="83"/>
      <c r="Y687" s="83"/>
      <c r="Z687" s="83"/>
      <c r="AA687" s="83"/>
      <c r="AB687" s="83"/>
    </row>
    <row r="688">
      <c r="P688" s="83"/>
      <c r="Q688" s="83"/>
      <c r="R688" s="83"/>
      <c r="S688" s="83"/>
      <c r="T688" s="83"/>
      <c r="U688" s="83"/>
      <c r="V688" s="94"/>
      <c r="W688" s="83"/>
      <c r="X688" s="83"/>
      <c r="Y688" s="83"/>
      <c r="Z688" s="83"/>
      <c r="AA688" s="83"/>
      <c r="AB688" s="83"/>
    </row>
    <row r="689">
      <c r="P689" s="83"/>
      <c r="Q689" s="83"/>
      <c r="R689" s="83"/>
      <c r="S689" s="83"/>
      <c r="T689" s="83"/>
      <c r="U689" s="83"/>
      <c r="V689" s="94"/>
      <c r="W689" s="83"/>
      <c r="X689" s="83"/>
      <c r="Y689" s="83"/>
      <c r="Z689" s="83"/>
      <c r="AA689" s="83"/>
      <c r="AB689" s="83"/>
    </row>
    <row r="690">
      <c r="P690" s="83"/>
      <c r="Q690" s="83"/>
      <c r="R690" s="83"/>
      <c r="S690" s="83"/>
      <c r="T690" s="83"/>
      <c r="U690" s="83"/>
      <c r="V690" s="94"/>
      <c r="W690" s="83"/>
      <c r="X690" s="83"/>
      <c r="Y690" s="83"/>
      <c r="Z690" s="83"/>
      <c r="AA690" s="83"/>
      <c r="AB690" s="83"/>
    </row>
    <row r="691">
      <c r="P691" s="83"/>
      <c r="Q691" s="83"/>
      <c r="R691" s="83"/>
      <c r="S691" s="83"/>
      <c r="T691" s="83"/>
      <c r="U691" s="83"/>
      <c r="V691" s="94"/>
      <c r="W691" s="83"/>
      <c r="X691" s="83"/>
      <c r="Y691" s="83"/>
      <c r="Z691" s="83"/>
      <c r="AA691" s="83"/>
      <c r="AB691" s="83"/>
    </row>
    <row r="692">
      <c r="P692" s="83"/>
      <c r="Q692" s="83"/>
      <c r="R692" s="83"/>
      <c r="S692" s="83"/>
      <c r="T692" s="83"/>
      <c r="U692" s="83"/>
      <c r="V692" s="94"/>
      <c r="W692" s="83"/>
      <c r="X692" s="83"/>
      <c r="Y692" s="83"/>
      <c r="Z692" s="83"/>
      <c r="AA692" s="83"/>
      <c r="AB692" s="83"/>
    </row>
    <row r="693">
      <c r="P693" s="83"/>
      <c r="Q693" s="83"/>
      <c r="R693" s="83"/>
      <c r="S693" s="83"/>
      <c r="T693" s="83"/>
      <c r="U693" s="83"/>
      <c r="V693" s="94"/>
      <c r="W693" s="83"/>
      <c r="X693" s="83"/>
      <c r="Y693" s="83"/>
      <c r="Z693" s="83"/>
      <c r="AA693" s="83"/>
      <c r="AB693" s="83"/>
    </row>
    <row r="694">
      <c r="P694" s="83"/>
      <c r="Q694" s="83"/>
      <c r="R694" s="83"/>
      <c r="S694" s="83"/>
      <c r="T694" s="83"/>
      <c r="U694" s="83"/>
      <c r="V694" s="94"/>
      <c r="W694" s="83"/>
      <c r="X694" s="83"/>
      <c r="Y694" s="83"/>
      <c r="Z694" s="83"/>
      <c r="AA694" s="83"/>
      <c r="AB694" s="83"/>
    </row>
    <row r="695">
      <c r="P695" s="83"/>
      <c r="Q695" s="83"/>
      <c r="R695" s="83"/>
      <c r="S695" s="83"/>
      <c r="T695" s="83"/>
      <c r="U695" s="83"/>
      <c r="V695" s="94"/>
      <c r="W695" s="83"/>
      <c r="X695" s="83"/>
      <c r="Y695" s="83"/>
      <c r="Z695" s="83"/>
      <c r="AA695" s="83"/>
      <c r="AB695" s="83"/>
    </row>
    <row r="696">
      <c r="P696" s="83"/>
      <c r="Q696" s="83"/>
      <c r="R696" s="83"/>
      <c r="S696" s="83"/>
      <c r="T696" s="83"/>
      <c r="U696" s="83"/>
      <c r="V696" s="94"/>
      <c r="W696" s="83"/>
      <c r="X696" s="83"/>
      <c r="Y696" s="83"/>
      <c r="Z696" s="83"/>
      <c r="AA696" s="83"/>
      <c r="AB696" s="83"/>
    </row>
    <row r="697">
      <c r="P697" s="83"/>
      <c r="Q697" s="83"/>
      <c r="R697" s="83"/>
      <c r="S697" s="83"/>
      <c r="T697" s="83"/>
      <c r="U697" s="83"/>
      <c r="V697" s="94"/>
      <c r="W697" s="83"/>
      <c r="X697" s="83"/>
      <c r="Y697" s="83"/>
      <c r="Z697" s="83"/>
      <c r="AA697" s="83"/>
      <c r="AB697" s="83"/>
    </row>
    <row r="698">
      <c r="P698" s="83"/>
      <c r="Q698" s="83"/>
      <c r="R698" s="83"/>
      <c r="S698" s="83"/>
      <c r="T698" s="83"/>
      <c r="U698" s="83"/>
      <c r="V698" s="94"/>
      <c r="W698" s="83"/>
      <c r="X698" s="83"/>
      <c r="Y698" s="83"/>
      <c r="Z698" s="83"/>
      <c r="AA698" s="83"/>
      <c r="AB698" s="83"/>
    </row>
    <row r="699">
      <c r="P699" s="83"/>
      <c r="Q699" s="83"/>
      <c r="R699" s="83"/>
      <c r="S699" s="83"/>
      <c r="T699" s="83"/>
      <c r="U699" s="83"/>
      <c r="V699" s="94"/>
      <c r="W699" s="83"/>
      <c r="X699" s="83"/>
      <c r="Y699" s="83"/>
      <c r="Z699" s="83"/>
      <c r="AA699" s="83"/>
      <c r="AB699" s="83"/>
    </row>
    <row r="700">
      <c r="P700" s="83"/>
      <c r="Q700" s="83"/>
      <c r="R700" s="83"/>
      <c r="S700" s="83"/>
      <c r="T700" s="83"/>
      <c r="U700" s="83"/>
      <c r="V700" s="94"/>
      <c r="W700" s="83"/>
      <c r="X700" s="83"/>
      <c r="Y700" s="83"/>
      <c r="Z700" s="83"/>
      <c r="AA700" s="83"/>
      <c r="AB700" s="83"/>
    </row>
    <row r="701">
      <c r="P701" s="83"/>
      <c r="Q701" s="83"/>
      <c r="R701" s="83"/>
      <c r="S701" s="83"/>
      <c r="T701" s="83"/>
      <c r="U701" s="83"/>
      <c r="V701" s="94"/>
      <c r="W701" s="83"/>
      <c r="X701" s="83"/>
      <c r="Y701" s="83"/>
      <c r="Z701" s="83"/>
      <c r="AA701" s="83"/>
      <c r="AB701" s="83"/>
    </row>
    <row r="702">
      <c r="P702" s="83"/>
      <c r="Q702" s="83"/>
      <c r="R702" s="83"/>
      <c r="S702" s="83"/>
      <c r="T702" s="83"/>
      <c r="U702" s="83"/>
      <c r="V702" s="94"/>
      <c r="W702" s="83"/>
      <c r="X702" s="83"/>
      <c r="Y702" s="83"/>
      <c r="Z702" s="83"/>
      <c r="AA702" s="83"/>
      <c r="AB702" s="83"/>
    </row>
    <row r="703">
      <c r="P703" s="83"/>
      <c r="Q703" s="83"/>
      <c r="R703" s="83"/>
      <c r="S703" s="83"/>
      <c r="T703" s="83"/>
      <c r="U703" s="83"/>
      <c r="V703" s="94"/>
      <c r="W703" s="83"/>
      <c r="X703" s="83"/>
      <c r="Y703" s="83"/>
      <c r="Z703" s="83"/>
      <c r="AA703" s="83"/>
      <c r="AB703" s="83"/>
    </row>
    <row r="704">
      <c r="P704" s="83"/>
      <c r="Q704" s="83"/>
      <c r="R704" s="83"/>
      <c r="S704" s="83"/>
      <c r="T704" s="83"/>
      <c r="U704" s="83"/>
      <c r="V704" s="94"/>
      <c r="W704" s="83"/>
      <c r="X704" s="83"/>
      <c r="Y704" s="83"/>
      <c r="Z704" s="83"/>
      <c r="AA704" s="83"/>
      <c r="AB704" s="83"/>
    </row>
    <row r="705">
      <c r="P705" s="83"/>
      <c r="Q705" s="83"/>
      <c r="R705" s="83"/>
      <c r="S705" s="83"/>
      <c r="T705" s="83"/>
      <c r="U705" s="83"/>
      <c r="V705" s="94"/>
      <c r="W705" s="83"/>
      <c r="X705" s="83"/>
      <c r="Y705" s="83"/>
      <c r="Z705" s="83"/>
      <c r="AA705" s="83"/>
      <c r="AB705" s="83"/>
    </row>
    <row r="706">
      <c r="P706" s="83"/>
      <c r="Q706" s="83"/>
      <c r="R706" s="83"/>
      <c r="S706" s="83"/>
      <c r="T706" s="83"/>
      <c r="U706" s="83"/>
      <c r="V706" s="94"/>
      <c r="W706" s="83"/>
      <c r="X706" s="83"/>
      <c r="Y706" s="83"/>
      <c r="Z706" s="83"/>
      <c r="AA706" s="83"/>
      <c r="AB706" s="83"/>
    </row>
    <row r="707">
      <c r="P707" s="83"/>
      <c r="Q707" s="83"/>
      <c r="R707" s="83"/>
      <c r="S707" s="83"/>
      <c r="T707" s="83"/>
      <c r="U707" s="83"/>
      <c r="V707" s="94"/>
      <c r="W707" s="83"/>
      <c r="X707" s="83"/>
      <c r="Y707" s="83"/>
      <c r="Z707" s="83"/>
      <c r="AA707" s="83"/>
      <c r="AB707" s="83"/>
    </row>
    <row r="708">
      <c r="P708" s="83"/>
      <c r="Q708" s="83"/>
      <c r="R708" s="83"/>
      <c r="S708" s="83"/>
      <c r="T708" s="83"/>
      <c r="U708" s="83"/>
      <c r="V708" s="94"/>
      <c r="W708" s="83"/>
      <c r="X708" s="83"/>
      <c r="Y708" s="83"/>
      <c r="Z708" s="83"/>
      <c r="AA708" s="83"/>
      <c r="AB708" s="83"/>
    </row>
    <row r="709">
      <c r="P709" s="83"/>
      <c r="Q709" s="83"/>
      <c r="R709" s="83"/>
      <c r="S709" s="83"/>
      <c r="T709" s="83"/>
      <c r="U709" s="83"/>
      <c r="V709" s="94"/>
      <c r="W709" s="83"/>
      <c r="X709" s="83"/>
      <c r="Y709" s="83"/>
      <c r="Z709" s="83"/>
      <c r="AA709" s="83"/>
      <c r="AB709" s="83"/>
    </row>
    <row r="710">
      <c r="P710" s="83"/>
      <c r="Q710" s="83"/>
      <c r="R710" s="83"/>
      <c r="S710" s="83"/>
      <c r="T710" s="83"/>
      <c r="U710" s="83"/>
      <c r="V710" s="94"/>
      <c r="W710" s="83"/>
      <c r="X710" s="83"/>
      <c r="Y710" s="83"/>
      <c r="Z710" s="83"/>
      <c r="AA710" s="83"/>
      <c r="AB710" s="83"/>
    </row>
    <row r="711">
      <c r="P711" s="83"/>
      <c r="Q711" s="83"/>
      <c r="R711" s="83"/>
      <c r="S711" s="83"/>
      <c r="T711" s="83"/>
      <c r="U711" s="83"/>
      <c r="V711" s="94"/>
      <c r="W711" s="83"/>
      <c r="X711" s="83"/>
      <c r="Y711" s="83"/>
      <c r="Z711" s="83"/>
      <c r="AA711" s="83"/>
      <c r="AB711" s="83"/>
    </row>
    <row r="712">
      <c r="P712" s="83"/>
      <c r="Q712" s="83"/>
      <c r="R712" s="83"/>
      <c r="S712" s="83"/>
      <c r="T712" s="83"/>
      <c r="U712" s="83"/>
      <c r="V712" s="94"/>
      <c r="W712" s="83"/>
      <c r="X712" s="83"/>
      <c r="Y712" s="83"/>
      <c r="Z712" s="83"/>
      <c r="AA712" s="83"/>
      <c r="AB712" s="83"/>
    </row>
    <row r="713">
      <c r="P713" s="83"/>
      <c r="Q713" s="83"/>
      <c r="R713" s="83"/>
      <c r="S713" s="83"/>
      <c r="T713" s="83"/>
      <c r="U713" s="83"/>
      <c r="V713" s="94"/>
      <c r="W713" s="83"/>
      <c r="X713" s="83"/>
      <c r="Y713" s="83"/>
      <c r="Z713" s="83"/>
      <c r="AA713" s="83"/>
      <c r="AB713" s="83"/>
    </row>
    <row r="714">
      <c r="P714" s="83"/>
      <c r="Q714" s="83"/>
      <c r="R714" s="83"/>
      <c r="S714" s="83"/>
      <c r="T714" s="83"/>
      <c r="U714" s="83"/>
      <c r="V714" s="94"/>
      <c r="W714" s="83"/>
      <c r="X714" s="83"/>
      <c r="Y714" s="83"/>
      <c r="Z714" s="83"/>
      <c r="AA714" s="83"/>
      <c r="AB714" s="83"/>
    </row>
    <row r="715">
      <c r="P715" s="83"/>
      <c r="Q715" s="83"/>
      <c r="R715" s="83"/>
      <c r="S715" s="83"/>
      <c r="T715" s="83"/>
      <c r="U715" s="83"/>
      <c r="V715" s="94"/>
      <c r="W715" s="83"/>
      <c r="X715" s="83"/>
      <c r="Y715" s="83"/>
      <c r="Z715" s="83"/>
      <c r="AA715" s="83"/>
      <c r="AB715" s="83"/>
    </row>
    <row r="716">
      <c r="P716" s="83"/>
      <c r="Q716" s="83"/>
      <c r="R716" s="83"/>
      <c r="S716" s="83"/>
      <c r="T716" s="83"/>
      <c r="U716" s="83"/>
      <c r="V716" s="94"/>
      <c r="W716" s="83"/>
      <c r="X716" s="83"/>
      <c r="Y716" s="83"/>
      <c r="Z716" s="83"/>
      <c r="AA716" s="83"/>
      <c r="AB716" s="83"/>
    </row>
    <row r="717">
      <c r="P717" s="83"/>
      <c r="Q717" s="83"/>
      <c r="R717" s="83"/>
      <c r="S717" s="83"/>
      <c r="T717" s="83"/>
      <c r="U717" s="83"/>
      <c r="V717" s="94"/>
      <c r="W717" s="83"/>
      <c r="X717" s="83"/>
      <c r="Y717" s="83"/>
      <c r="Z717" s="83"/>
      <c r="AA717" s="83"/>
      <c r="AB717" s="83"/>
    </row>
    <row r="718">
      <c r="P718" s="83"/>
      <c r="Q718" s="83"/>
      <c r="R718" s="83"/>
      <c r="S718" s="83"/>
      <c r="T718" s="83"/>
      <c r="U718" s="83"/>
      <c r="V718" s="94"/>
      <c r="W718" s="83"/>
      <c r="X718" s="83"/>
      <c r="Y718" s="83"/>
      <c r="Z718" s="83"/>
      <c r="AA718" s="83"/>
      <c r="AB718" s="83"/>
    </row>
    <row r="719">
      <c r="P719" s="83"/>
      <c r="Q719" s="83"/>
      <c r="R719" s="83"/>
      <c r="S719" s="83"/>
      <c r="T719" s="83"/>
      <c r="U719" s="83"/>
      <c r="V719" s="94"/>
      <c r="W719" s="83"/>
      <c r="X719" s="83"/>
      <c r="Y719" s="83"/>
      <c r="Z719" s="83"/>
      <c r="AA719" s="83"/>
      <c r="AB719" s="83"/>
    </row>
    <row r="720">
      <c r="P720" s="83"/>
      <c r="Q720" s="83"/>
      <c r="R720" s="83"/>
      <c r="S720" s="83"/>
      <c r="T720" s="83"/>
      <c r="U720" s="83"/>
      <c r="V720" s="94"/>
      <c r="W720" s="83"/>
      <c r="X720" s="83"/>
      <c r="Y720" s="83"/>
      <c r="Z720" s="83"/>
      <c r="AA720" s="83"/>
      <c r="AB720" s="83"/>
    </row>
    <row r="721">
      <c r="P721" s="83"/>
      <c r="Q721" s="83"/>
      <c r="R721" s="83"/>
      <c r="S721" s="83"/>
      <c r="T721" s="83"/>
      <c r="U721" s="83"/>
      <c r="V721" s="94"/>
      <c r="W721" s="83"/>
      <c r="X721" s="83"/>
      <c r="Y721" s="83"/>
      <c r="Z721" s="83"/>
      <c r="AA721" s="83"/>
      <c r="AB721" s="83"/>
    </row>
    <row r="722">
      <c r="P722" s="83"/>
      <c r="Q722" s="83"/>
      <c r="R722" s="83"/>
      <c r="S722" s="83"/>
      <c r="T722" s="83"/>
      <c r="U722" s="83"/>
      <c r="V722" s="94"/>
      <c r="W722" s="83"/>
      <c r="X722" s="83"/>
      <c r="Y722" s="83"/>
      <c r="Z722" s="83"/>
      <c r="AA722" s="83"/>
      <c r="AB722" s="83"/>
    </row>
    <row r="723">
      <c r="P723" s="83"/>
      <c r="Q723" s="83"/>
      <c r="R723" s="83"/>
      <c r="S723" s="83"/>
      <c r="T723" s="83"/>
      <c r="U723" s="83"/>
      <c r="V723" s="94"/>
      <c r="W723" s="83"/>
      <c r="X723" s="83"/>
      <c r="Y723" s="83"/>
      <c r="Z723" s="83"/>
      <c r="AA723" s="83"/>
      <c r="AB723" s="83"/>
    </row>
    <row r="724">
      <c r="P724" s="83"/>
      <c r="Q724" s="83"/>
      <c r="R724" s="83"/>
      <c r="S724" s="83"/>
      <c r="T724" s="83"/>
      <c r="U724" s="83"/>
      <c r="V724" s="94"/>
      <c r="W724" s="83"/>
      <c r="X724" s="83"/>
      <c r="Y724" s="83"/>
      <c r="Z724" s="83"/>
      <c r="AA724" s="83"/>
      <c r="AB724" s="83"/>
    </row>
    <row r="725">
      <c r="P725" s="83"/>
      <c r="Q725" s="83"/>
      <c r="R725" s="83"/>
      <c r="S725" s="83"/>
      <c r="T725" s="83"/>
      <c r="U725" s="83"/>
      <c r="V725" s="94"/>
      <c r="W725" s="83"/>
      <c r="X725" s="83"/>
      <c r="Y725" s="83"/>
      <c r="Z725" s="83"/>
      <c r="AA725" s="83"/>
      <c r="AB725" s="83"/>
    </row>
    <row r="726">
      <c r="P726" s="83"/>
      <c r="Q726" s="83"/>
      <c r="R726" s="83"/>
      <c r="S726" s="83"/>
      <c r="T726" s="83"/>
      <c r="U726" s="83"/>
      <c r="V726" s="94"/>
      <c r="W726" s="83"/>
      <c r="X726" s="83"/>
      <c r="Y726" s="83"/>
      <c r="Z726" s="83"/>
      <c r="AA726" s="83"/>
      <c r="AB726" s="83"/>
    </row>
    <row r="727">
      <c r="P727" s="83"/>
      <c r="Q727" s="83"/>
      <c r="R727" s="83"/>
      <c r="S727" s="83"/>
      <c r="T727" s="83"/>
      <c r="U727" s="83"/>
      <c r="V727" s="94"/>
      <c r="W727" s="83"/>
      <c r="X727" s="83"/>
      <c r="Y727" s="83"/>
      <c r="Z727" s="83"/>
      <c r="AA727" s="83"/>
      <c r="AB727" s="83"/>
    </row>
    <row r="728">
      <c r="P728" s="83"/>
      <c r="Q728" s="83"/>
      <c r="R728" s="83"/>
      <c r="S728" s="83"/>
      <c r="T728" s="83"/>
      <c r="U728" s="83"/>
      <c r="V728" s="94"/>
      <c r="W728" s="83"/>
      <c r="X728" s="83"/>
      <c r="Y728" s="83"/>
      <c r="Z728" s="83"/>
      <c r="AA728" s="83"/>
      <c r="AB728" s="83"/>
    </row>
    <row r="729">
      <c r="P729" s="83"/>
      <c r="Q729" s="83"/>
      <c r="R729" s="83"/>
      <c r="S729" s="83"/>
      <c r="T729" s="83"/>
      <c r="U729" s="83"/>
      <c r="V729" s="94"/>
      <c r="W729" s="83"/>
      <c r="X729" s="83"/>
      <c r="Y729" s="83"/>
      <c r="Z729" s="83"/>
      <c r="AA729" s="83"/>
      <c r="AB729" s="83"/>
    </row>
    <row r="730">
      <c r="P730" s="83"/>
      <c r="Q730" s="83"/>
      <c r="R730" s="83"/>
      <c r="S730" s="83"/>
      <c r="T730" s="83"/>
      <c r="U730" s="83"/>
      <c r="V730" s="94"/>
      <c r="W730" s="83"/>
      <c r="X730" s="83"/>
      <c r="Y730" s="83"/>
      <c r="Z730" s="83"/>
      <c r="AA730" s="83"/>
      <c r="AB730" s="83"/>
    </row>
    <row r="731">
      <c r="P731" s="83"/>
      <c r="Q731" s="83"/>
      <c r="R731" s="83"/>
      <c r="S731" s="83"/>
      <c r="T731" s="83"/>
      <c r="U731" s="83"/>
      <c r="V731" s="94"/>
      <c r="W731" s="83"/>
      <c r="X731" s="83"/>
      <c r="Y731" s="83"/>
      <c r="Z731" s="83"/>
      <c r="AA731" s="83"/>
      <c r="AB731" s="83"/>
    </row>
    <row r="732">
      <c r="P732" s="83"/>
      <c r="Q732" s="83"/>
      <c r="R732" s="83"/>
      <c r="S732" s="83"/>
      <c r="T732" s="83"/>
      <c r="U732" s="83"/>
      <c r="V732" s="94"/>
      <c r="W732" s="83"/>
      <c r="X732" s="83"/>
      <c r="Y732" s="83"/>
      <c r="Z732" s="83"/>
      <c r="AA732" s="83"/>
      <c r="AB732" s="83"/>
    </row>
    <row r="733">
      <c r="P733" s="83"/>
      <c r="Q733" s="83"/>
      <c r="R733" s="83"/>
      <c r="S733" s="83"/>
      <c r="T733" s="83"/>
      <c r="U733" s="83"/>
      <c r="V733" s="94"/>
      <c r="W733" s="83"/>
      <c r="X733" s="83"/>
      <c r="Y733" s="83"/>
      <c r="Z733" s="83"/>
      <c r="AA733" s="83"/>
      <c r="AB733" s="83"/>
    </row>
    <row r="734">
      <c r="P734" s="83"/>
      <c r="Q734" s="83"/>
      <c r="R734" s="83"/>
      <c r="S734" s="83"/>
      <c r="T734" s="83"/>
      <c r="U734" s="83"/>
      <c r="V734" s="94"/>
      <c r="W734" s="83"/>
      <c r="X734" s="83"/>
      <c r="Y734" s="83"/>
      <c r="Z734" s="83"/>
      <c r="AA734" s="83"/>
      <c r="AB734" s="83"/>
    </row>
    <row r="735">
      <c r="P735" s="83"/>
      <c r="Q735" s="83"/>
      <c r="R735" s="83"/>
      <c r="S735" s="83"/>
      <c r="T735" s="83"/>
      <c r="U735" s="83"/>
      <c r="V735" s="94"/>
      <c r="W735" s="83"/>
      <c r="X735" s="83"/>
      <c r="Y735" s="83"/>
      <c r="Z735" s="83"/>
      <c r="AA735" s="83"/>
      <c r="AB735" s="83"/>
    </row>
    <row r="736">
      <c r="P736" s="83"/>
      <c r="Q736" s="83"/>
      <c r="R736" s="83"/>
      <c r="S736" s="83"/>
      <c r="T736" s="83"/>
      <c r="U736" s="83"/>
      <c r="V736" s="94"/>
      <c r="W736" s="83"/>
      <c r="X736" s="83"/>
      <c r="Y736" s="83"/>
      <c r="Z736" s="83"/>
      <c r="AA736" s="83"/>
      <c r="AB736" s="83"/>
    </row>
    <row r="737">
      <c r="P737" s="83"/>
      <c r="Q737" s="83"/>
      <c r="R737" s="83"/>
      <c r="S737" s="83"/>
      <c r="T737" s="83"/>
      <c r="U737" s="83"/>
      <c r="V737" s="94"/>
      <c r="W737" s="83"/>
      <c r="X737" s="83"/>
      <c r="Y737" s="83"/>
      <c r="Z737" s="83"/>
      <c r="AA737" s="83"/>
      <c r="AB737" s="83"/>
    </row>
    <row r="738">
      <c r="P738" s="83"/>
      <c r="Q738" s="83"/>
      <c r="R738" s="83"/>
      <c r="S738" s="83"/>
      <c r="T738" s="83"/>
      <c r="U738" s="83"/>
      <c r="V738" s="94"/>
      <c r="W738" s="83"/>
      <c r="X738" s="83"/>
      <c r="Y738" s="83"/>
      <c r="Z738" s="83"/>
      <c r="AA738" s="83"/>
      <c r="AB738" s="83"/>
    </row>
    <row r="739">
      <c r="P739" s="83"/>
      <c r="Q739" s="83"/>
      <c r="R739" s="83"/>
      <c r="S739" s="83"/>
      <c r="T739" s="83"/>
      <c r="U739" s="83"/>
      <c r="V739" s="94"/>
      <c r="W739" s="83"/>
      <c r="X739" s="83"/>
      <c r="Y739" s="83"/>
      <c r="Z739" s="83"/>
      <c r="AA739" s="83"/>
      <c r="AB739" s="83"/>
    </row>
    <row r="740">
      <c r="P740" s="83"/>
      <c r="Q740" s="83"/>
      <c r="R740" s="83"/>
      <c r="S740" s="83"/>
      <c r="T740" s="83"/>
      <c r="U740" s="83"/>
      <c r="V740" s="94"/>
      <c r="W740" s="83"/>
      <c r="X740" s="83"/>
      <c r="Y740" s="83"/>
      <c r="Z740" s="83"/>
      <c r="AA740" s="83"/>
      <c r="AB740" s="83"/>
    </row>
    <row r="741">
      <c r="P741" s="83"/>
      <c r="Q741" s="83"/>
      <c r="R741" s="83"/>
      <c r="S741" s="83"/>
      <c r="T741" s="83"/>
      <c r="U741" s="83"/>
      <c r="V741" s="94"/>
      <c r="W741" s="83"/>
      <c r="X741" s="83"/>
      <c r="Y741" s="83"/>
      <c r="Z741" s="83"/>
      <c r="AA741" s="83"/>
      <c r="AB741" s="83"/>
    </row>
    <row r="742">
      <c r="P742" s="83"/>
      <c r="Q742" s="83"/>
      <c r="R742" s="83"/>
      <c r="S742" s="83"/>
      <c r="T742" s="83"/>
      <c r="U742" s="83"/>
      <c r="V742" s="94"/>
      <c r="W742" s="83"/>
      <c r="X742" s="83"/>
      <c r="Y742" s="83"/>
      <c r="Z742" s="83"/>
      <c r="AA742" s="83"/>
      <c r="AB742" s="83"/>
    </row>
    <row r="743">
      <c r="P743" s="83"/>
      <c r="Q743" s="83"/>
      <c r="R743" s="83"/>
      <c r="S743" s="83"/>
      <c r="T743" s="83"/>
      <c r="U743" s="83"/>
      <c r="V743" s="94"/>
      <c r="W743" s="83"/>
      <c r="X743" s="83"/>
      <c r="Y743" s="83"/>
      <c r="Z743" s="83"/>
      <c r="AA743" s="83"/>
      <c r="AB743" s="83"/>
    </row>
    <row r="744">
      <c r="P744" s="83"/>
      <c r="Q744" s="83"/>
      <c r="R744" s="83"/>
      <c r="S744" s="83"/>
      <c r="T744" s="83"/>
      <c r="U744" s="83"/>
      <c r="V744" s="94"/>
      <c r="W744" s="83"/>
      <c r="X744" s="83"/>
      <c r="Y744" s="83"/>
      <c r="Z744" s="83"/>
      <c r="AA744" s="83"/>
      <c r="AB744" s="83"/>
    </row>
    <row r="745">
      <c r="P745" s="83"/>
      <c r="Q745" s="83"/>
      <c r="R745" s="83"/>
      <c r="S745" s="83"/>
      <c r="T745" s="83"/>
      <c r="U745" s="83"/>
      <c r="V745" s="94"/>
      <c r="W745" s="83"/>
      <c r="X745" s="83"/>
      <c r="Y745" s="83"/>
      <c r="Z745" s="83"/>
      <c r="AA745" s="83"/>
      <c r="AB745" s="83"/>
    </row>
    <row r="746">
      <c r="P746" s="83"/>
      <c r="Q746" s="83"/>
      <c r="R746" s="83"/>
      <c r="S746" s="83"/>
      <c r="T746" s="83"/>
      <c r="U746" s="83"/>
      <c r="V746" s="94"/>
      <c r="W746" s="83"/>
      <c r="X746" s="83"/>
      <c r="Y746" s="83"/>
      <c r="Z746" s="83"/>
      <c r="AA746" s="83"/>
      <c r="AB746" s="83"/>
    </row>
    <row r="747">
      <c r="P747" s="83"/>
      <c r="Q747" s="83"/>
      <c r="R747" s="83"/>
      <c r="S747" s="83"/>
      <c r="T747" s="83"/>
      <c r="U747" s="83"/>
      <c r="V747" s="94"/>
      <c r="W747" s="83"/>
      <c r="X747" s="83"/>
      <c r="Y747" s="83"/>
      <c r="Z747" s="83"/>
      <c r="AA747" s="83"/>
      <c r="AB747" s="83"/>
    </row>
    <row r="748">
      <c r="P748" s="83"/>
      <c r="Q748" s="83"/>
      <c r="R748" s="83"/>
      <c r="S748" s="83"/>
      <c r="T748" s="83"/>
      <c r="U748" s="83"/>
      <c r="V748" s="94"/>
      <c r="W748" s="83"/>
      <c r="X748" s="83"/>
      <c r="Y748" s="83"/>
      <c r="Z748" s="83"/>
      <c r="AA748" s="83"/>
      <c r="AB748" s="83"/>
    </row>
    <row r="749">
      <c r="P749" s="83"/>
      <c r="Q749" s="83"/>
      <c r="R749" s="83"/>
      <c r="S749" s="83"/>
      <c r="T749" s="83"/>
      <c r="U749" s="83"/>
      <c r="V749" s="94"/>
      <c r="W749" s="83"/>
      <c r="X749" s="83"/>
      <c r="Y749" s="83"/>
      <c r="Z749" s="83"/>
      <c r="AA749" s="83"/>
      <c r="AB749" s="83"/>
    </row>
    <row r="750">
      <c r="P750" s="83"/>
      <c r="Q750" s="83"/>
      <c r="R750" s="83"/>
      <c r="S750" s="83"/>
      <c r="T750" s="83"/>
      <c r="U750" s="83"/>
      <c r="V750" s="94"/>
      <c r="W750" s="83"/>
      <c r="X750" s="83"/>
      <c r="Y750" s="83"/>
      <c r="Z750" s="83"/>
      <c r="AA750" s="83"/>
      <c r="AB750" s="83"/>
    </row>
    <row r="751">
      <c r="P751" s="83"/>
      <c r="Q751" s="83"/>
      <c r="R751" s="83"/>
      <c r="S751" s="83"/>
      <c r="T751" s="83"/>
      <c r="U751" s="83"/>
      <c r="V751" s="94"/>
      <c r="W751" s="83"/>
      <c r="X751" s="83"/>
      <c r="Y751" s="83"/>
      <c r="Z751" s="83"/>
      <c r="AA751" s="83"/>
      <c r="AB751" s="83"/>
    </row>
    <row r="752">
      <c r="P752" s="83"/>
      <c r="Q752" s="83"/>
      <c r="R752" s="83"/>
      <c r="S752" s="83"/>
      <c r="T752" s="83"/>
      <c r="U752" s="83"/>
      <c r="V752" s="94"/>
      <c r="W752" s="83"/>
      <c r="X752" s="83"/>
      <c r="Y752" s="83"/>
      <c r="Z752" s="83"/>
      <c r="AA752" s="83"/>
      <c r="AB752" s="83"/>
    </row>
    <row r="753">
      <c r="P753" s="83"/>
      <c r="Q753" s="83"/>
      <c r="R753" s="83"/>
      <c r="S753" s="83"/>
      <c r="T753" s="83"/>
      <c r="U753" s="83"/>
      <c r="V753" s="94"/>
      <c r="W753" s="83"/>
      <c r="X753" s="83"/>
      <c r="Y753" s="83"/>
      <c r="Z753" s="83"/>
      <c r="AA753" s="83"/>
      <c r="AB753" s="83"/>
    </row>
    <row r="754">
      <c r="P754" s="83"/>
      <c r="Q754" s="83"/>
      <c r="R754" s="83"/>
      <c r="S754" s="83"/>
      <c r="T754" s="83"/>
      <c r="U754" s="83"/>
      <c r="V754" s="94"/>
      <c r="W754" s="83"/>
      <c r="X754" s="83"/>
      <c r="Y754" s="83"/>
      <c r="Z754" s="83"/>
      <c r="AA754" s="83"/>
      <c r="AB754" s="83"/>
    </row>
    <row r="755">
      <c r="P755" s="83"/>
      <c r="Q755" s="83"/>
      <c r="R755" s="83"/>
      <c r="S755" s="83"/>
      <c r="T755" s="83"/>
      <c r="U755" s="83"/>
      <c r="V755" s="94"/>
      <c r="W755" s="83"/>
      <c r="X755" s="83"/>
      <c r="Y755" s="83"/>
      <c r="Z755" s="83"/>
      <c r="AA755" s="83"/>
      <c r="AB755" s="83"/>
    </row>
    <row r="756">
      <c r="P756" s="83"/>
      <c r="Q756" s="83"/>
      <c r="R756" s="83"/>
      <c r="S756" s="83"/>
      <c r="T756" s="83"/>
      <c r="U756" s="83"/>
      <c r="V756" s="94"/>
      <c r="W756" s="83"/>
      <c r="X756" s="83"/>
      <c r="Y756" s="83"/>
      <c r="Z756" s="83"/>
      <c r="AA756" s="83"/>
      <c r="AB756" s="83"/>
    </row>
    <row r="757">
      <c r="P757" s="83"/>
      <c r="Q757" s="83"/>
      <c r="R757" s="83"/>
      <c r="S757" s="83"/>
      <c r="T757" s="83"/>
      <c r="U757" s="83"/>
      <c r="V757" s="94"/>
      <c r="W757" s="83"/>
      <c r="X757" s="83"/>
      <c r="Y757" s="83"/>
      <c r="Z757" s="83"/>
      <c r="AA757" s="83"/>
      <c r="AB757" s="83"/>
    </row>
    <row r="758">
      <c r="P758" s="83"/>
      <c r="Q758" s="83"/>
      <c r="R758" s="83"/>
      <c r="S758" s="83"/>
      <c r="T758" s="83"/>
      <c r="U758" s="83"/>
      <c r="V758" s="94"/>
      <c r="W758" s="83"/>
      <c r="X758" s="83"/>
      <c r="Y758" s="83"/>
      <c r="Z758" s="83"/>
      <c r="AA758" s="83"/>
      <c r="AB758" s="83"/>
    </row>
    <row r="759">
      <c r="P759" s="83"/>
      <c r="Q759" s="83"/>
      <c r="R759" s="83"/>
      <c r="S759" s="83"/>
      <c r="T759" s="83"/>
      <c r="U759" s="83"/>
      <c r="V759" s="94"/>
      <c r="W759" s="83"/>
      <c r="X759" s="83"/>
      <c r="Y759" s="83"/>
      <c r="Z759" s="83"/>
      <c r="AA759" s="83"/>
      <c r="AB759" s="83"/>
    </row>
    <row r="760">
      <c r="P760" s="83"/>
      <c r="Q760" s="83"/>
      <c r="R760" s="83"/>
      <c r="S760" s="83"/>
      <c r="T760" s="83"/>
      <c r="U760" s="83"/>
      <c r="V760" s="94"/>
      <c r="W760" s="83"/>
      <c r="X760" s="83"/>
      <c r="Y760" s="83"/>
      <c r="Z760" s="83"/>
      <c r="AA760" s="83"/>
      <c r="AB760" s="83"/>
    </row>
    <row r="761">
      <c r="P761" s="83"/>
      <c r="Q761" s="83"/>
      <c r="R761" s="83"/>
      <c r="S761" s="83"/>
      <c r="T761" s="83"/>
      <c r="U761" s="83"/>
      <c r="V761" s="94"/>
      <c r="W761" s="83"/>
      <c r="X761" s="83"/>
      <c r="Y761" s="83"/>
      <c r="Z761" s="83"/>
      <c r="AA761" s="83"/>
      <c r="AB761" s="83"/>
    </row>
    <row r="762">
      <c r="P762" s="83"/>
      <c r="Q762" s="83"/>
      <c r="R762" s="83"/>
      <c r="S762" s="83"/>
      <c r="T762" s="83"/>
      <c r="U762" s="83"/>
      <c r="V762" s="94"/>
      <c r="W762" s="83"/>
      <c r="X762" s="83"/>
      <c r="Y762" s="83"/>
      <c r="Z762" s="83"/>
      <c r="AA762" s="83"/>
      <c r="AB762" s="83"/>
    </row>
    <row r="763">
      <c r="P763" s="83"/>
      <c r="Q763" s="83"/>
      <c r="R763" s="83"/>
      <c r="S763" s="83"/>
      <c r="T763" s="83"/>
      <c r="U763" s="83"/>
      <c r="V763" s="94"/>
      <c r="W763" s="83"/>
      <c r="X763" s="83"/>
      <c r="Y763" s="83"/>
      <c r="Z763" s="83"/>
      <c r="AA763" s="83"/>
      <c r="AB763" s="83"/>
    </row>
    <row r="764">
      <c r="P764" s="83"/>
      <c r="Q764" s="83"/>
      <c r="R764" s="83"/>
      <c r="S764" s="83"/>
      <c r="T764" s="83"/>
      <c r="U764" s="83"/>
      <c r="V764" s="94"/>
      <c r="W764" s="83"/>
      <c r="X764" s="83"/>
      <c r="Y764" s="83"/>
      <c r="Z764" s="83"/>
      <c r="AA764" s="83"/>
      <c r="AB764" s="83"/>
    </row>
    <row r="765">
      <c r="P765" s="83"/>
      <c r="Q765" s="83"/>
      <c r="R765" s="83"/>
      <c r="S765" s="83"/>
      <c r="T765" s="83"/>
      <c r="U765" s="83"/>
      <c r="V765" s="94"/>
      <c r="W765" s="83"/>
      <c r="X765" s="83"/>
      <c r="Y765" s="83"/>
      <c r="Z765" s="83"/>
      <c r="AA765" s="83"/>
      <c r="AB765" s="83"/>
    </row>
    <row r="766">
      <c r="P766" s="83"/>
      <c r="Q766" s="83"/>
      <c r="R766" s="83"/>
      <c r="S766" s="83"/>
      <c r="T766" s="83"/>
      <c r="U766" s="83"/>
      <c r="V766" s="94"/>
      <c r="W766" s="83"/>
      <c r="X766" s="83"/>
      <c r="Y766" s="83"/>
      <c r="Z766" s="83"/>
      <c r="AA766" s="83"/>
      <c r="AB766" s="83"/>
    </row>
    <row r="767">
      <c r="P767" s="83"/>
      <c r="Q767" s="83"/>
      <c r="R767" s="83"/>
      <c r="S767" s="83"/>
      <c r="T767" s="83"/>
      <c r="U767" s="83"/>
      <c r="V767" s="94"/>
      <c r="W767" s="83"/>
      <c r="X767" s="83"/>
      <c r="Y767" s="83"/>
      <c r="Z767" s="83"/>
      <c r="AA767" s="83"/>
      <c r="AB767" s="83"/>
    </row>
    <row r="768">
      <c r="P768" s="83"/>
      <c r="Q768" s="83"/>
      <c r="R768" s="83"/>
      <c r="S768" s="83"/>
      <c r="T768" s="83"/>
      <c r="U768" s="83"/>
      <c r="V768" s="94"/>
      <c r="W768" s="83"/>
      <c r="X768" s="83"/>
      <c r="Y768" s="83"/>
      <c r="Z768" s="83"/>
      <c r="AA768" s="83"/>
      <c r="AB768" s="83"/>
    </row>
    <row r="769">
      <c r="P769" s="83"/>
      <c r="Q769" s="83"/>
      <c r="R769" s="83"/>
      <c r="S769" s="83"/>
      <c r="T769" s="83"/>
      <c r="U769" s="83"/>
      <c r="V769" s="94"/>
      <c r="W769" s="83"/>
      <c r="X769" s="83"/>
      <c r="Y769" s="83"/>
      <c r="Z769" s="83"/>
      <c r="AA769" s="83"/>
      <c r="AB769" s="83"/>
    </row>
    <row r="770">
      <c r="P770" s="83"/>
      <c r="Q770" s="83"/>
      <c r="R770" s="83"/>
      <c r="S770" s="83"/>
      <c r="T770" s="83"/>
      <c r="U770" s="83"/>
      <c r="V770" s="94"/>
      <c r="W770" s="83"/>
      <c r="X770" s="83"/>
      <c r="Y770" s="83"/>
      <c r="Z770" s="83"/>
      <c r="AA770" s="83"/>
      <c r="AB770" s="83"/>
    </row>
    <row r="771">
      <c r="P771" s="83"/>
      <c r="Q771" s="83"/>
      <c r="R771" s="83"/>
      <c r="S771" s="83"/>
      <c r="T771" s="83"/>
      <c r="U771" s="83"/>
      <c r="V771" s="94"/>
      <c r="W771" s="83"/>
      <c r="X771" s="83"/>
      <c r="Y771" s="83"/>
      <c r="Z771" s="83"/>
      <c r="AA771" s="83"/>
      <c r="AB771" s="83"/>
    </row>
    <row r="772">
      <c r="P772" s="83"/>
      <c r="Q772" s="83"/>
      <c r="R772" s="83"/>
      <c r="S772" s="83"/>
      <c r="T772" s="83"/>
      <c r="U772" s="83"/>
      <c r="V772" s="94"/>
      <c r="W772" s="83"/>
      <c r="X772" s="83"/>
      <c r="Y772" s="83"/>
      <c r="Z772" s="83"/>
      <c r="AA772" s="83"/>
      <c r="AB772" s="83"/>
    </row>
    <row r="773">
      <c r="P773" s="83"/>
      <c r="Q773" s="83"/>
      <c r="R773" s="83"/>
      <c r="S773" s="83"/>
      <c r="T773" s="83"/>
      <c r="U773" s="83"/>
      <c r="V773" s="94"/>
      <c r="W773" s="83"/>
      <c r="X773" s="83"/>
      <c r="Y773" s="83"/>
      <c r="Z773" s="83"/>
      <c r="AA773" s="83"/>
      <c r="AB773" s="83"/>
    </row>
    <row r="774">
      <c r="P774" s="83"/>
      <c r="Q774" s="83"/>
      <c r="R774" s="83"/>
      <c r="S774" s="83"/>
      <c r="T774" s="83"/>
      <c r="U774" s="83"/>
      <c r="V774" s="94"/>
      <c r="W774" s="83"/>
      <c r="X774" s="83"/>
      <c r="Y774" s="83"/>
      <c r="Z774" s="83"/>
      <c r="AA774" s="83"/>
      <c r="AB774" s="83"/>
    </row>
    <row r="775">
      <c r="P775" s="83"/>
      <c r="Q775" s="83"/>
      <c r="R775" s="83"/>
      <c r="S775" s="83"/>
      <c r="T775" s="83"/>
      <c r="U775" s="83"/>
      <c r="V775" s="94"/>
      <c r="W775" s="83"/>
      <c r="X775" s="83"/>
      <c r="Y775" s="83"/>
      <c r="Z775" s="83"/>
      <c r="AA775" s="83"/>
      <c r="AB775" s="83"/>
    </row>
    <row r="776">
      <c r="P776" s="83"/>
      <c r="Q776" s="83"/>
      <c r="R776" s="83"/>
      <c r="S776" s="83"/>
      <c r="T776" s="83"/>
      <c r="U776" s="83"/>
      <c r="V776" s="94"/>
      <c r="W776" s="83"/>
      <c r="X776" s="83"/>
      <c r="Y776" s="83"/>
      <c r="Z776" s="83"/>
      <c r="AA776" s="83"/>
      <c r="AB776" s="83"/>
    </row>
    <row r="777">
      <c r="P777" s="83"/>
      <c r="Q777" s="83"/>
      <c r="R777" s="83"/>
      <c r="S777" s="83"/>
      <c r="T777" s="83"/>
      <c r="U777" s="83"/>
      <c r="V777" s="94"/>
      <c r="W777" s="83"/>
      <c r="X777" s="83"/>
      <c r="Y777" s="83"/>
      <c r="Z777" s="83"/>
      <c r="AA777" s="83"/>
      <c r="AB777" s="83"/>
    </row>
    <row r="778">
      <c r="P778" s="83"/>
      <c r="Q778" s="83"/>
      <c r="R778" s="83"/>
      <c r="S778" s="83"/>
      <c r="T778" s="83"/>
      <c r="U778" s="83"/>
      <c r="V778" s="94"/>
      <c r="W778" s="83"/>
      <c r="X778" s="83"/>
      <c r="Y778" s="83"/>
      <c r="Z778" s="83"/>
      <c r="AA778" s="83"/>
      <c r="AB778" s="83"/>
    </row>
    <row r="779">
      <c r="P779" s="83"/>
      <c r="Q779" s="83"/>
      <c r="R779" s="83"/>
      <c r="S779" s="83"/>
      <c r="T779" s="83"/>
      <c r="U779" s="83"/>
      <c r="V779" s="94"/>
      <c r="W779" s="83"/>
      <c r="X779" s="83"/>
      <c r="Y779" s="83"/>
      <c r="Z779" s="83"/>
      <c r="AA779" s="83"/>
      <c r="AB779" s="83"/>
    </row>
    <row r="780">
      <c r="P780" s="83"/>
      <c r="Q780" s="83"/>
      <c r="R780" s="83"/>
      <c r="S780" s="83"/>
      <c r="T780" s="83"/>
      <c r="U780" s="83"/>
      <c r="V780" s="94"/>
      <c r="W780" s="83"/>
      <c r="X780" s="83"/>
      <c r="Y780" s="83"/>
      <c r="Z780" s="83"/>
      <c r="AA780" s="83"/>
      <c r="AB780" s="83"/>
    </row>
    <row r="781">
      <c r="P781" s="83"/>
      <c r="Q781" s="83"/>
      <c r="R781" s="83"/>
      <c r="S781" s="83"/>
      <c r="T781" s="83"/>
      <c r="U781" s="83"/>
      <c r="V781" s="94"/>
      <c r="W781" s="83"/>
      <c r="X781" s="83"/>
      <c r="Y781" s="83"/>
      <c r="Z781" s="83"/>
      <c r="AA781" s="83"/>
      <c r="AB781" s="83"/>
    </row>
    <row r="782">
      <c r="P782" s="83"/>
      <c r="Q782" s="83"/>
      <c r="R782" s="83"/>
      <c r="S782" s="83"/>
      <c r="T782" s="83"/>
      <c r="U782" s="83"/>
      <c r="V782" s="94"/>
      <c r="W782" s="83"/>
      <c r="X782" s="83"/>
      <c r="Y782" s="83"/>
      <c r="Z782" s="83"/>
      <c r="AA782" s="83"/>
      <c r="AB782" s="83"/>
    </row>
    <row r="783">
      <c r="P783" s="83"/>
      <c r="Q783" s="83"/>
      <c r="R783" s="83"/>
      <c r="S783" s="83"/>
      <c r="T783" s="83"/>
      <c r="U783" s="83"/>
      <c r="V783" s="94"/>
      <c r="W783" s="83"/>
      <c r="X783" s="83"/>
      <c r="Y783" s="83"/>
      <c r="Z783" s="83"/>
      <c r="AA783" s="83"/>
      <c r="AB783" s="83"/>
    </row>
    <row r="784">
      <c r="P784" s="83"/>
      <c r="Q784" s="83"/>
      <c r="R784" s="83"/>
      <c r="S784" s="83"/>
      <c r="T784" s="83"/>
      <c r="U784" s="83"/>
      <c r="V784" s="94"/>
      <c r="W784" s="83"/>
      <c r="X784" s="83"/>
      <c r="Y784" s="83"/>
      <c r="Z784" s="83"/>
      <c r="AA784" s="83"/>
      <c r="AB784" s="83"/>
    </row>
    <row r="785">
      <c r="P785" s="83"/>
      <c r="Q785" s="83"/>
      <c r="R785" s="83"/>
      <c r="S785" s="83"/>
      <c r="T785" s="83"/>
      <c r="U785" s="83"/>
      <c r="V785" s="94"/>
      <c r="W785" s="83"/>
      <c r="X785" s="83"/>
      <c r="Y785" s="83"/>
      <c r="Z785" s="83"/>
      <c r="AA785" s="83"/>
      <c r="AB785" s="83"/>
    </row>
    <row r="786">
      <c r="P786" s="83"/>
      <c r="Q786" s="83"/>
      <c r="R786" s="83"/>
      <c r="S786" s="83"/>
      <c r="T786" s="83"/>
      <c r="U786" s="83"/>
      <c r="V786" s="94"/>
      <c r="W786" s="83"/>
      <c r="X786" s="83"/>
      <c r="Y786" s="83"/>
      <c r="Z786" s="83"/>
      <c r="AA786" s="83"/>
      <c r="AB786" s="83"/>
    </row>
    <row r="787">
      <c r="P787" s="83"/>
      <c r="Q787" s="83"/>
      <c r="R787" s="83"/>
      <c r="S787" s="83"/>
      <c r="T787" s="83"/>
      <c r="U787" s="83"/>
      <c r="V787" s="94"/>
      <c r="W787" s="83"/>
      <c r="X787" s="83"/>
      <c r="Y787" s="83"/>
      <c r="Z787" s="83"/>
      <c r="AA787" s="83"/>
      <c r="AB787" s="83"/>
    </row>
    <row r="788">
      <c r="P788" s="83"/>
      <c r="Q788" s="83"/>
      <c r="R788" s="83"/>
      <c r="S788" s="83"/>
      <c r="T788" s="83"/>
      <c r="U788" s="83"/>
      <c r="V788" s="94"/>
      <c r="W788" s="83"/>
      <c r="X788" s="83"/>
      <c r="Y788" s="83"/>
      <c r="Z788" s="83"/>
      <c r="AA788" s="83"/>
      <c r="AB788" s="83"/>
    </row>
    <row r="789">
      <c r="P789" s="83"/>
      <c r="Q789" s="83"/>
      <c r="R789" s="83"/>
      <c r="S789" s="83"/>
      <c r="T789" s="83"/>
      <c r="U789" s="83"/>
      <c r="V789" s="94"/>
      <c r="W789" s="83"/>
      <c r="X789" s="83"/>
      <c r="Y789" s="83"/>
      <c r="Z789" s="83"/>
      <c r="AA789" s="83"/>
      <c r="AB789" s="83"/>
    </row>
    <row r="790">
      <c r="P790" s="83"/>
      <c r="Q790" s="83"/>
      <c r="R790" s="83"/>
      <c r="S790" s="83"/>
      <c r="T790" s="83"/>
      <c r="U790" s="83"/>
      <c r="V790" s="94"/>
      <c r="W790" s="83"/>
      <c r="X790" s="83"/>
      <c r="Y790" s="83"/>
      <c r="Z790" s="83"/>
      <c r="AA790" s="83"/>
      <c r="AB790" s="83"/>
    </row>
    <row r="791">
      <c r="P791" s="83"/>
      <c r="Q791" s="83"/>
      <c r="R791" s="83"/>
      <c r="S791" s="83"/>
      <c r="T791" s="83"/>
      <c r="U791" s="83"/>
      <c r="V791" s="94"/>
      <c r="W791" s="83"/>
      <c r="X791" s="83"/>
      <c r="Y791" s="83"/>
      <c r="Z791" s="83"/>
      <c r="AA791" s="83"/>
      <c r="AB791" s="83"/>
    </row>
    <row r="792">
      <c r="P792" s="83"/>
      <c r="Q792" s="83"/>
      <c r="R792" s="83"/>
      <c r="S792" s="83"/>
      <c r="T792" s="83"/>
      <c r="U792" s="83"/>
      <c r="V792" s="94"/>
      <c r="W792" s="83"/>
      <c r="X792" s="83"/>
      <c r="Y792" s="83"/>
      <c r="Z792" s="83"/>
      <c r="AA792" s="83"/>
      <c r="AB792" s="83"/>
    </row>
    <row r="793">
      <c r="P793" s="83"/>
      <c r="Q793" s="83"/>
      <c r="R793" s="83"/>
      <c r="S793" s="83"/>
      <c r="T793" s="83"/>
      <c r="U793" s="83"/>
      <c r="V793" s="94"/>
      <c r="W793" s="83"/>
      <c r="X793" s="83"/>
      <c r="Y793" s="83"/>
      <c r="Z793" s="83"/>
      <c r="AA793" s="83"/>
      <c r="AB793" s="83"/>
    </row>
    <row r="794">
      <c r="P794" s="83"/>
      <c r="Q794" s="83"/>
      <c r="R794" s="83"/>
      <c r="S794" s="83"/>
      <c r="T794" s="83"/>
      <c r="U794" s="83"/>
      <c r="V794" s="94"/>
      <c r="W794" s="83"/>
      <c r="X794" s="83"/>
      <c r="Y794" s="83"/>
      <c r="Z794" s="83"/>
      <c r="AA794" s="83"/>
      <c r="AB794" s="83"/>
    </row>
    <row r="795">
      <c r="P795" s="83"/>
      <c r="Q795" s="83"/>
      <c r="R795" s="83"/>
      <c r="S795" s="83"/>
      <c r="T795" s="83"/>
      <c r="U795" s="83"/>
      <c r="V795" s="94"/>
      <c r="W795" s="83"/>
      <c r="X795" s="83"/>
      <c r="Y795" s="83"/>
      <c r="Z795" s="83"/>
      <c r="AA795" s="83"/>
      <c r="AB795" s="83"/>
    </row>
    <row r="796">
      <c r="P796" s="83"/>
      <c r="Q796" s="83"/>
      <c r="R796" s="83"/>
      <c r="S796" s="83"/>
      <c r="T796" s="83"/>
      <c r="U796" s="83"/>
      <c r="V796" s="94"/>
      <c r="W796" s="83"/>
      <c r="X796" s="83"/>
      <c r="Y796" s="83"/>
      <c r="Z796" s="83"/>
      <c r="AA796" s="83"/>
      <c r="AB796" s="83"/>
    </row>
    <row r="797">
      <c r="P797" s="83"/>
      <c r="Q797" s="83"/>
      <c r="R797" s="83"/>
      <c r="S797" s="83"/>
      <c r="T797" s="83"/>
      <c r="U797" s="83"/>
      <c r="V797" s="94"/>
      <c r="W797" s="83"/>
      <c r="X797" s="83"/>
      <c r="Y797" s="83"/>
      <c r="Z797" s="83"/>
      <c r="AA797" s="83"/>
      <c r="AB797" s="83"/>
    </row>
    <row r="798">
      <c r="P798" s="83"/>
      <c r="Q798" s="83"/>
      <c r="R798" s="83"/>
      <c r="S798" s="83"/>
      <c r="T798" s="83"/>
      <c r="U798" s="83"/>
      <c r="V798" s="94"/>
      <c r="W798" s="83"/>
      <c r="X798" s="83"/>
      <c r="Y798" s="83"/>
      <c r="Z798" s="83"/>
      <c r="AA798" s="83"/>
      <c r="AB798" s="83"/>
    </row>
    <row r="799">
      <c r="P799" s="83"/>
      <c r="Q799" s="83"/>
      <c r="R799" s="83"/>
      <c r="S799" s="83"/>
      <c r="T799" s="83"/>
      <c r="U799" s="83"/>
      <c r="V799" s="94"/>
      <c r="W799" s="83"/>
      <c r="X799" s="83"/>
      <c r="Y799" s="83"/>
      <c r="Z799" s="83"/>
      <c r="AA799" s="83"/>
      <c r="AB799" s="83"/>
    </row>
    <row r="800">
      <c r="P800" s="83"/>
      <c r="Q800" s="83"/>
      <c r="R800" s="83"/>
      <c r="S800" s="83"/>
      <c r="T800" s="83"/>
      <c r="U800" s="83"/>
      <c r="V800" s="94"/>
      <c r="W800" s="83"/>
      <c r="X800" s="83"/>
      <c r="Y800" s="83"/>
      <c r="Z800" s="83"/>
      <c r="AA800" s="83"/>
      <c r="AB800" s="83"/>
    </row>
    <row r="801">
      <c r="P801" s="83"/>
      <c r="Q801" s="83"/>
      <c r="R801" s="83"/>
      <c r="S801" s="83"/>
      <c r="T801" s="83"/>
      <c r="U801" s="83"/>
      <c r="V801" s="94"/>
      <c r="W801" s="83"/>
      <c r="X801" s="83"/>
      <c r="Y801" s="83"/>
      <c r="Z801" s="83"/>
      <c r="AA801" s="83"/>
      <c r="AB801" s="83"/>
    </row>
    <row r="802">
      <c r="P802" s="83"/>
      <c r="Q802" s="83"/>
      <c r="R802" s="83"/>
      <c r="S802" s="83"/>
      <c r="T802" s="83"/>
      <c r="U802" s="83"/>
      <c r="V802" s="94"/>
      <c r="W802" s="83"/>
      <c r="X802" s="83"/>
      <c r="Y802" s="83"/>
      <c r="Z802" s="83"/>
      <c r="AA802" s="83"/>
      <c r="AB802" s="83"/>
    </row>
    <row r="803">
      <c r="P803" s="83"/>
      <c r="Q803" s="83"/>
      <c r="R803" s="83"/>
      <c r="S803" s="83"/>
      <c r="T803" s="83"/>
      <c r="U803" s="83"/>
      <c r="V803" s="94"/>
      <c r="W803" s="83"/>
      <c r="X803" s="83"/>
      <c r="Y803" s="83"/>
      <c r="Z803" s="83"/>
      <c r="AA803" s="83"/>
      <c r="AB803" s="83"/>
    </row>
    <row r="804">
      <c r="P804" s="83"/>
      <c r="Q804" s="83"/>
      <c r="R804" s="83"/>
      <c r="S804" s="83"/>
      <c r="T804" s="83"/>
      <c r="U804" s="83"/>
      <c r="V804" s="94"/>
      <c r="W804" s="83"/>
      <c r="X804" s="83"/>
      <c r="Y804" s="83"/>
      <c r="Z804" s="83"/>
      <c r="AA804" s="83"/>
      <c r="AB804" s="83"/>
    </row>
    <row r="805">
      <c r="P805" s="83"/>
      <c r="Q805" s="83"/>
      <c r="R805" s="83"/>
      <c r="S805" s="83"/>
      <c r="T805" s="83"/>
      <c r="U805" s="83"/>
      <c r="V805" s="94"/>
      <c r="W805" s="83"/>
      <c r="X805" s="83"/>
      <c r="Y805" s="83"/>
      <c r="Z805" s="83"/>
      <c r="AA805" s="83"/>
      <c r="AB805" s="83"/>
    </row>
    <row r="806">
      <c r="P806" s="83"/>
      <c r="Q806" s="83"/>
      <c r="R806" s="83"/>
      <c r="S806" s="83"/>
      <c r="T806" s="83"/>
      <c r="U806" s="83"/>
      <c r="V806" s="94"/>
      <c r="W806" s="83"/>
      <c r="X806" s="83"/>
      <c r="Y806" s="83"/>
      <c r="Z806" s="83"/>
      <c r="AA806" s="83"/>
      <c r="AB806" s="83"/>
    </row>
    <row r="807">
      <c r="P807" s="83"/>
      <c r="Q807" s="83"/>
      <c r="R807" s="83"/>
      <c r="S807" s="83"/>
      <c r="T807" s="83"/>
      <c r="U807" s="83"/>
      <c r="V807" s="94"/>
      <c r="W807" s="83"/>
      <c r="X807" s="83"/>
      <c r="Y807" s="83"/>
      <c r="Z807" s="83"/>
      <c r="AA807" s="83"/>
      <c r="AB807" s="83"/>
    </row>
    <row r="808">
      <c r="P808" s="83"/>
      <c r="Q808" s="83"/>
      <c r="R808" s="83"/>
      <c r="S808" s="83"/>
      <c r="T808" s="83"/>
      <c r="U808" s="83"/>
      <c r="V808" s="94"/>
      <c r="W808" s="83"/>
      <c r="X808" s="83"/>
      <c r="Y808" s="83"/>
      <c r="Z808" s="83"/>
      <c r="AA808" s="83"/>
      <c r="AB808" s="83"/>
    </row>
    <row r="809">
      <c r="P809" s="83"/>
      <c r="Q809" s="83"/>
      <c r="R809" s="83"/>
      <c r="S809" s="83"/>
      <c r="T809" s="83"/>
      <c r="U809" s="83"/>
      <c r="V809" s="94"/>
      <c r="W809" s="83"/>
      <c r="X809" s="83"/>
      <c r="Y809" s="83"/>
      <c r="Z809" s="83"/>
      <c r="AA809" s="83"/>
      <c r="AB809" s="83"/>
    </row>
    <row r="810">
      <c r="P810" s="83"/>
      <c r="Q810" s="83"/>
      <c r="R810" s="83"/>
      <c r="S810" s="83"/>
      <c r="T810" s="83"/>
      <c r="U810" s="83"/>
      <c r="V810" s="94"/>
      <c r="W810" s="83"/>
      <c r="X810" s="83"/>
      <c r="Y810" s="83"/>
      <c r="Z810" s="83"/>
      <c r="AA810" s="83"/>
      <c r="AB810" s="83"/>
    </row>
    <row r="811">
      <c r="P811" s="83"/>
      <c r="Q811" s="83"/>
      <c r="R811" s="83"/>
      <c r="S811" s="83"/>
      <c r="T811" s="83"/>
      <c r="U811" s="83"/>
      <c r="V811" s="94"/>
      <c r="W811" s="83"/>
      <c r="X811" s="83"/>
      <c r="Y811" s="83"/>
      <c r="Z811" s="83"/>
      <c r="AA811" s="83"/>
      <c r="AB811" s="83"/>
    </row>
    <row r="812">
      <c r="P812" s="83"/>
      <c r="Q812" s="83"/>
      <c r="R812" s="83"/>
      <c r="S812" s="83"/>
      <c r="T812" s="83"/>
      <c r="U812" s="83"/>
      <c r="V812" s="94"/>
      <c r="W812" s="83"/>
      <c r="X812" s="83"/>
      <c r="Y812" s="83"/>
      <c r="Z812" s="83"/>
      <c r="AA812" s="83"/>
      <c r="AB812" s="83"/>
    </row>
    <row r="813">
      <c r="P813" s="83"/>
      <c r="Q813" s="83"/>
      <c r="R813" s="83"/>
      <c r="S813" s="83"/>
      <c r="T813" s="83"/>
      <c r="U813" s="83"/>
      <c r="V813" s="94"/>
      <c r="W813" s="83"/>
      <c r="X813" s="83"/>
      <c r="Y813" s="83"/>
      <c r="Z813" s="83"/>
      <c r="AA813" s="83"/>
      <c r="AB813" s="83"/>
    </row>
    <row r="814">
      <c r="P814" s="83"/>
      <c r="Q814" s="83"/>
      <c r="R814" s="83"/>
      <c r="S814" s="83"/>
      <c r="T814" s="83"/>
      <c r="U814" s="83"/>
      <c r="V814" s="94"/>
      <c r="W814" s="83"/>
      <c r="X814" s="83"/>
      <c r="Y814" s="83"/>
      <c r="Z814" s="83"/>
      <c r="AA814" s="83"/>
      <c r="AB814" s="83"/>
    </row>
    <row r="815">
      <c r="P815" s="83"/>
      <c r="Q815" s="83"/>
      <c r="R815" s="83"/>
      <c r="S815" s="83"/>
      <c r="T815" s="83"/>
      <c r="U815" s="83"/>
      <c r="V815" s="94"/>
      <c r="W815" s="83"/>
      <c r="X815" s="83"/>
      <c r="Y815" s="83"/>
      <c r="Z815" s="83"/>
      <c r="AA815" s="83"/>
      <c r="AB815" s="83"/>
    </row>
    <row r="816">
      <c r="P816" s="83"/>
      <c r="Q816" s="83"/>
      <c r="R816" s="83"/>
      <c r="S816" s="83"/>
      <c r="T816" s="83"/>
      <c r="U816" s="83"/>
      <c r="V816" s="94"/>
      <c r="W816" s="83"/>
      <c r="X816" s="83"/>
      <c r="Y816" s="83"/>
      <c r="Z816" s="83"/>
      <c r="AA816" s="83"/>
      <c r="AB816" s="83"/>
    </row>
    <row r="817">
      <c r="P817" s="83"/>
      <c r="Q817" s="83"/>
      <c r="R817" s="83"/>
      <c r="S817" s="83"/>
      <c r="T817" s="83"/>
      <c r="U817" s="83"/>
      <c r="V817" s="94"/>
      <c r="W817" s="83"/>
      <c r="X817" s="83"/>
      <c r="Y817" s="83"/>
      <c r="Z817" s="83"/>
      <c r="AA817" s="83"/>
      <c r="AB817" s="83"/>
    </row>
    <row r="818">
      <c r="P818" s="83"/>
      <c r="Q818" s="83"/>
      <c r="R818" s="83"/>
      <c r="S818" s="83"/>
      <c r="T818" s="83"/>
      <c r="U818" s="83"/>
      <c r="V818" s="94"/>
      <c r="W818" s="83"/>
      <c r="X818" s="83"/>
      <c r="Y818" s="83"/>
      <c r="Z818" s="83"/>
      <c r="AA818" s="83"/>
      <c r="AB818" s="83"/>
    </row>
    <row r="819">
      <c r="P819" s="83"/>
      <c r="Q819" s="83"/>
      <c r="R819" s="83"/>
      <c r="S819" s="83"/>
      <c r="T819" s="83"/>
      <c r="U819" s="83"/>
      <c r="V819" s="94"/>
      <c r="W819" s="83"/>
      <c r="X819" s="83"/>
      <c r="Y819" s="83"/>
      <c r="Z819" s="83"/>
      <c r="AA819" s="83"/>
      <c r="AB819" s="83"/>
    </row>
    <row r="820">
      <c r="P820" s="83"/>
      <c r="Q820" s="83"/>
      <c r="R820" s="83"/>
      <c r="S820" s="83"/>
      <c r="T820" s="83"/>
      <c r="U820" s="83"/>
      <c r="V820" s="94"/>
      <c r="W820" s="83"/>
      <c r="X820" s="83"/>
      <c r="Y820" s="83"/>
      <c r="Z820" s="83"/>
      <c r="AA820" s="83"/>
      <c r="AB820" s="83"/>
    </row>
    <row r="821">
      <c r="P821" s="83"/>
      <c r="Q821" s="83"/>
      <c r="R821" s="83"/>
      <c r="S821" s="83"/>
      <c r="T821" s="83"/>
      <c r="U821" s="83"/>
      <c r="V821" s="94"/>
      <c r="W821" s="83"/>
      <c r="X821" s="83"/>
      <c r="Y821" s="83"/>
      <c r="Z821" s="83"/>
      <c r="AA821" s="83"/>
      <c r="AB821" s="83"/>
    </row>
    <row r="822">
      <c r="P822" s="83"/>
      <c r="Q822" s="83"/>
      <c r="R822" s="83"/>
      <c r="S822" s="83"/>
      <c r="T822" s="83"/>
      <c r="U822" s="83"/>
      <c r="V822" s="94"/>
      <c r="W822" s="83"/>
      <c r="X822" s="83"/>
      <c r="Y822" s="83"/>
      <c r="Z822" s="83"/>
      <c r="AA822" s="83"/>
      <c r="AB822" s="83"/>
    </row>
    <row r="823">
      <c r="P823" s="83"/>
      <c r="Q823" s="83"/>
      <c r="R823" s="83"/>
      <c r="S823" s="83"/>
      <c r="T823" s="83"/>
      <c r="U823" s="83"/>
      <c r="V823" s="94"/>
      <c r="W823" s="83"/>
      <c r="X823" s="83"/>
      <c r="Y823" s="83"/>
      <c r="Z823" s="83"/>
      <c r="AA823" s="83"/>
      <c r="AB823" s="83"/>
    </row>
    <row r="824">
      <c r="P824" s="83"/>
      <c r="Q824" s="83"/>
      <c r="R824" s="83"/>
      <c r="S824" s="83"/>
      <c r="T824" s="83"/>
      <c r="U824" s="83"/>
      <c r="V824" s="94"/>
      <c r="W824" s="83"/>
      <c r="X824" s="83"/>
      <c r="Y824" s="83"/>
      <c r="Z824" s="83"/>
      <c r="AA824" s="83"/>
      <c r="AB824" s="83"/>
    </row>
    <row r="825">
      <c r="P825" s="83"/>
      <c r="Q825" s="83"/>
      <c r="R825" s="83"/>
      <c r="S825" s="83"/>
      <c r="T825" s="83"/>
      <c r="U825" s="83"/>
      <c r="V825" s="94"/>
      <c r="W825" s="83"/>
      <c r="X825" s="83"/>
      <c r="Y825" s="83"/>
      <c r="Z825" s="83"/>
      <c r="AA825" s="83"/>
      <c r="AB825" s="83"/>
    </row>
    <row r="826">
      <c r="P826" s="83"/>
      <c r="Q826" s="83"/>
      <c r="R826" s="83"/>
      <c r="S826" s="83"/>
      <c r="T826" s="83"/>
      <c r="U826" s="83"/>
      <c r="V826" s="94"/>
      <c r="W826" s="83"/>
      <c r="X826" s="83"/>
      <c r="Y826" s="83"/>
      <c r="Z826" s="83"/>
      <c r="AA826" s="83"/>
      <c r="AB826" s="83"/>
    </row>
    <row r="827">
      <c r="P827" s="83"/>
      <c r="Q827" s="83"/>
      <c r="R827" s="83"/>
      <c r="S827" s="83"/>
      <c r="T827" s="83"/>
      <c r="U827" s="83"/>
      <c r="V827" s="94"/>
      <c r="W827" s="83"/>
      <c r="X827" s="83"/>
      <c r="Y827" s="83"/>
      <c r="Z827" s="83"/>
      <c r="AA827" s="83"/>
      <c r="AB827" s="83"/>
    </row>
    <row r="828">
      <c r="P828" s="83"/>
      <c r="Q828" s="83"/>
      <c r="R828" s="83"/>
      <c r="S828" s="83"/>
      <c r="T828" s="83"/>
      <c r="U828" s="83"/>
      <c r="V828" s="94"/>
      <c r="W828" s="83"/>
      <c r="X828" s="83"/>
      <c r="Y828" s="83"/>
      <c r="Z828" s="83"/>
      <c r="AA828" s="83"/>
      <c r="AB828" s="83"/>
    </row>
    <row r="829">
      <c r="P829" s="83"/>
      <c r="Q829" s="83"/>
      <c r="R829" s="83"/>
      <c r="S829" s="83"/>
      <c r="T829" s="83"/>
      <c r="U829" s="83"/>
      <c r="V829" s="94"/>
      <c r="W829" s="83"/>
      <c r="X829" s="83"/>
      <c r="Y829" s="83"/>
      <c r="Z829" s="83"/>
      <c r="AA829" s="83"/>
      <c r="AB829" s="83"/>
    </row>
    <row r="830">
      <c r="P830" s="83"/>
      <c r="Q830" s="83"/>
      <c r="R830" s="83"/>
      <c r="S830" s="83"/>
      <c r="T830" s="83"/>
      <c r="U830" s="83"/>
      <c r="V830" s="94"/>
      <c r="W830" s="83"/>
      <c r="X830" s="83"/>
      <c r="Y830" s="83"/>
      <c r="Z830" s="83"/>
      <c r="AA830" s="83"/>
      <c r="AB830" s="83"/>
    </row>
    <row r="831">
      <c r="P831" s="83"/>
      <c r="Q831" s="83"/>
      <c r="R831" s="83"/>
      <c r="S831" s="83"/>
      <c r="T831" s="83"/>
      <c r="U831" s="83"/>
      <c r="V831" s="94"/>
      <c r="W831" s="83"/>
      <c r="X831" s="83"/>
      <c r="Y831" s="83"/>
      <c r="Z831" s="83"/>
      <c r="AA831" s="83"/>
      <c r="AB831" s="83"/>
    </row>
    <row r="832">
      <c r="P832" s="83"/>
      <c r="Q832" s="83"/>
      <c r="R832" s="83"/>
      <c r="S832" s="83"/>
      <c r="T832" s="83"/>
      <c r="U832" s="83"/>
      <c r="V832" s="94"/>
      <c r="W832" s="83"/>
      <c r="X832" s="83"/>
      <c r="Y832" s="83"/>
      <c r="Z832" s="83"/>
      <c r="AA832" s="83"/>
      <c r="AB832" s="83"/>
    </row>
    <row r="833">
      <c r="P833" s="83"/>
      <c r="Q833" s="83"/>
      <c r="R833" s="83"/>
      <c r="S833" s="83"/>
      <c r="T833" s="83"/>
      <c r="U833" s="83"/>
      <c r="V833" s="94"/>
      <c r="W833" s="83"/>
      <c r="X833" s="83"/>
      <c r="Y833" s="83"/>
      <c r="Z833" s="83"/>
      <c r="AA833" s="83"/>
      <c r="AB833" s="83"/>
    </row>
    <row r="834">
      <c r="P834" s="83"/>
      <c r="Q834" s="83"/>
      <c r="R834" s="83"/>
      <c r="S834" s="83"/>
      <c r="T834" s="83"/>
      <c r="U834" s="83"/>
      <c r="V834" s="94"/>
      <c r="W834" s="83"/>
      <c r="X834" s="83"/>
      <c r="Y834" s="83"/>
      <c r="Z834" s="83"/>
      <c r="AA834" s="83"/>
      <c r="AB834" s="83"/>
    </row>
    <row r="835">
      <c r="P835" s="83"/>
      <c r="Q835" s="83"/>
      <c r="R835" s="83"/>
      <c r="S835" s="83"/>
      <c r="T835" s="83"/>
      <c r="U835" s="83"/>
      <c r="V835" s="94"/>
      <c r="W835" s="83"/>
      <c r="X835" s="83"/>
      <c r="Y835" s="83"/>
      <c r="Z835" s="83"/>
      <c r="AA835" s="83"/>
      <c r="AB835" s="83"/>
    </row>
    <row r="836">
      <c r="P836" s="83"/>
      <c r="Q836" s="83"/>
      <c r="R836" s="83"/>
      <c r="S836" s="83"/>
      <c r="T836" s="83"/>
      <c r="U836" s="83"/>
      <c r="V836" s="94"/>
      <c r="W836" s="83"/>
      <c r="X836" s="83"/>
      <c r="Y836" s="83"/>
      <c r="Z836" s="83"/>
      <c r="AA836" s="83"/>
      <c r="AB836" s="83"/>
    </row>
    <row r="837">
      <c r="P837" s="83"/>
      <c r="Q837" s="83"/>
      <c r="R837" s="83"/>
      <c r="S837" s="83"/>
      <c r="T837" s="83"/>
      <c r="U837" s="83"/>
      <c r="V837" s="94"/>
      <c r="W837" s="83"/>
      <c r="X837" s="83"/>
      <c r="Y837" s="83"/>
      <c r="Z837" s="83"/>
      <c r="AA837" s="83"/>
      <c r="AB837" s="83"/>
    </row>
    <row r="838">
      <c r="P838" s="83"/>
      <c r="Q838" s="83"/>
      <c r="R838" s="83"/>
      <c r="S838" s="83"/>
      <c r="T838" s="83"/>
      <c r="U838" s="83"/>
      <c r="V838" s="94"/>
      <c r="W838" s="83"/>
      <c r="X838" s="83"/>
      <c r="Y838" s="83"/>
      <c r="Z838" s="83"/>
      <c r="AA838" s="83"/>
      <c r="AB838" s="83"/>
    </row>
    <row r="839">
      <c r="P839" s="83"/>
      <c r="Q839" s="83"/>
      <c r="R839" s="83"/>
      <c r="S839" s="83"/>
      <c r="T839" s="83"/>
      <c r="U839" s="83"/>
      <c r="V839" s="94"/>
      <c r="W839" s="83"/>
      <c r="X839" s="83"/>
      <c r="Y839" s="83"/>
      <c r="Z839" s="83"/>
      <c r="AA839" s="83"/>
      <c r="AB839" s="83"/>
    </row>
    <row r="840">
      <c r="P840" s="83"/>
      <c r="Q840" s="83"/>
      <c r="R840" s="83"/>
      <c r="S840" s="83"/>
      <c r="T840" s="83"/>
      <c r="U840" s="83"/>
      <c r="V840" s="94"/>
      <c r="W840" s="83"/>
      <c r="X840" s="83"/>
      <c r="Y840" s="83"/>
      <c r="Z840" s="83"/>
      <c r="AA840" s="83"/>
      <c r="AB840" s="83"/>
    </row>
    <row r="841">
      <c r="P841" s="83"/>
      <c r="Q841" s="83"/>
      <c r="R841" s="83"/>
      <c r="S841" s="83"/>
      <c r="T841" s="83"/>
      <c r="U841" s="83"/>
      <c r="V841" s="94"/>
      <c r="W841" s="83"/>
      <c r="X841" s="83"/>
      <c r="Y841" s="83"/>
      <c r="Z841" s="83"/>
      <c r="AA841" s="83"/>
      <c r="AB841" s="83"/>
    </row>
    <row r="842">
      <c r="P842" s="83"/>
      <c r="Q842" s="83"/>
      <c r="R842" s="83"/>
      <c r="S842" s="83"/>
      <c r="T842" s="83"/>
      <c r="U842" s="83"/>
      <c r="V842" s="94"/>
      <c r="W842" s="83"/>
      <c r="X842" s="83"/>
      <c r="Y842" s="83"/>
      <c r="Z842" s="83"/>
      <c r="AA842" s="83"/>
      <c r="AB842" s="83"/>
    </row>
    <row r="843">
      <c r="P843" s="83"/>
      <c r="Q843" s="83"/>
      <c r="R843" s="83"/>
      <c r="S843" s="83"/>
      <c r="T843" s="83"/>
      <c r="U843" s="83"/>
      <c r="V843" s="94"/>
      <c r="W843" s="83"/>
      <c r="X843" s="83"/>
      <c r="Y843" s="83"/>
      <c r="Z843" s="83"/>
      <c r="AA843" s="83"/>
      <c r="AB843" s="83"/>
    </row>
    <row r="844">
      <c r="P844" s="83"/>
      <c r="Q844" s="83"/>
      <c r="R844" s="83"/>
      <c r="S844" s="83"/>
      <c r="T844" s="83"/>
      <c r="U844" s="83"/>
      <c r="V844" s="94"/>
      <c r="W844" s="83"/>
      <c r="X844" s="83"/>
      <c r="Y844" s="83"/>
      <c r="Z844" s="83"/>
      <c r="AA844" s="83"/>
      <c r="AB844" s="83"/>
    </row>
    <row r="845">
      <c r="P845" s="83"/>
      <c r="Q845" s="83"/>
      <c r="R845" s="83"/>
      <c r="S845" s="83"/>
      <c r="T845" s="83"/>
      <c r="U845" s="83"/>
      <c r="V845" s="94"/>
      <c r="W845" s="83"/>
      <c r="X845" s="83"/>
      <c r="Y845" s="83"/>
      <c r="Z845" s="83"/>
      <c r="AA845" s="83"/>
      <c r="AB845" s="83"/>
    </row>
    <row r="846">
      <c r="P846" s="83"/>
      <c r="Q846" s="83"/>
      <c r="R846" s="83"/>
      <c r="S846" s="83"/>
      <c r="T846" s="83"/>
      <c r="U846" s="83"/>
      <c r="V846" s="94"/>
      <c r="W846" s="83"/>
      <c r="X846" s="83"/>
      <c r="Y846" s="83"/>
      <c r="Z846" s="83"/>
      <c r="AA846" s="83"/>
      <c r="AB846" s="83"/>
    </row>
    <row r="847">
      <c r="P847" s="83"/>
      <c r="Q847" s="83"/>
      <c r="R847" s="83"/>
      <c r="S847" s="83"/>
      <c r="T847" s="83"/>
      <c r="U847" s="83"/>
      <c r="V847" s="94"/>
      <c r="W847" s="83"/>
      <c r="X847" s="83"/>
      <c r="Y847" s="83"/>
      <c r="Z847" s="83"/>
      <c r="AA847" s="83"/>
      <c r="AB847" s="83"/>
    </row>
    <row r="848">
      <c r="P848" s="83"/>
      <c r="Q848" s="83"/>
      <c r="R848" s="83"/>
      <c r="S848" s="83"/>
      <c r="T848" s="83"/>
      <c r="U848" s="83"/>
      <c r="V848" s="94"/>
      <c r="W848" s="83"/>
      <c r="X848" s="83"/>
      <c r="Y848" s="83"/>
      <c r="Z848" s="83"/>
      <c r="AA848" s="83"/>
      <c r="AB848" s="83"/>
    </row>
    <row r="849">
      <c r="P849" s="83"/>
      <c r="Q849" s="83"/>
      <c r="R849" s="83"/>
      <c r="S849" s="83"/>
      <c r="T849" s="83"/>
      <c r="U849" s="83"/>
      <c r="V849" s="94"/>
      <c r="W849" s="83"/>
      <c r="X849" s="83"/>
      <c r="Y849" s="83"/>
      <c r="Z849" s="83"/>
      <c r="AA849" s="83"/>
      <c r="AB849" s="83"/>
    </row>
    <row r="850">
      <c r="P850" s="83"/>
      <c r="Q850" s="83"/>
      <c r="R850" s="83"/>
      <c r="S850" s="83"/>
      <c r="T850" s="83"/>
      <c r="U850" s="83"/>
      <c r="V850" s="94"/>
      <c r="W850" s="83"/>
      <c r="X850" s="83"/>
      <c r="Y850" s="83"/>
      <c r="Z850" s="83"/>
      <c r="AA850" s="83"/>
      <c r="AB850" s="83"/>
    </row>
    <row r="851">
      <c r="P851" s="83"/>
      <c r="Q851" s="83"/>
      <c r="R851" s="83"/>
      <c r="S851" s="83"/>
      <c r="T851" s="83"/>
      <c r="U851" s="83"/>
      <c r="V851" s="94"/>
      <c r="W851" s="83"/>
      <c r="X851" s="83"/>
      <c r="Y851" s="83"/>
      <c r="Z851" s="83"/>
      <c r="AA851" s="83"/>
      <c r="AB851" s="83"/>
    </row>
    <row r="852">
      <c r="P852" s="83"/>
      <c r="Q852" s="83"/>
      <c r="R852" s="83"/>
      <c r="S852" s="83"/>
      <c r="T852" s="83"/>
      <c r="U852" s="83"/>
      <c r="V852" s="94"/>
      <c r="W852" s="83"/>
      <c r="X852" s="83"/>
      <c r="Y852" s="83"/>
      <c r="Z852" s="83"/>
      <c r="AA852" s="83"/>
      <c r="AB852" s="83"/>
    </row>
    <row r="853">
      <c r="P853" s="83"/>
      <c r="Q853" s="83"/>
      <c r="R853" s="83"/>
      <c r="S853" s="83"/>
      <c r="T853" s="83"/>
      <c r="U853" s="83"/>
      <c r="V853" s="94"/>
      <c r="W853" s="83"/>
      <c r="X853" s="83"/>
      <c r="Y853" s="83"/>
      <c r="Z853" s="83"/>
      <c r="AA853" s="83"/>
      <c r="AB853" s="83"/>
    </row>
    <row r="854">
      <c r="P854" s="83"/>
      <c r="Q854" s="83"/>
      <c r="R854" s="83"/>
      <c r="S854" s="83"/>
      <c r="T854" s="83"/>
      <c r="U854" s="83"/>
      <c r="V854" s="94"/>
      <c r="W854" s="83"/>
      <c r="X854" s="83"/>
      <c r="Y854" s="83"/>
      <c r="Z854" s="83"/>
      <c r="AA854" s="83"/>
      <c r="AB854" s="83"/>
    </row>
    <row r="855">
      <c r="P855" s="83"/>
      <c r="Q855" s="83"/>
      <c r="R855" s="83"/>
      <c r="S855" s="83"/>
      <c r="T855" s="83"/>
      <c r="U855" s="83"/>
      <c r="V855" s="94"/>
      <c r="W855" s="83"/>
      <c r="X855" s="83"/>
      <c r="Y855" s="83"/>
      <c r="Z855" s="83"/>
      <c r="AA855" s="83"/>
      <c r="AB855" s="83"/>
    </row>
    <row r="856">
      <c r="P856" s="83"/>
      <c r="Q856" s="83"/>
      <c r="R856" s="83"/>
      <c r="S856" s="83"/>
      <c r="T856" s="83"/>
      <c r="U856" s="83"/>
      <c r="V856" s="94"/>
      <c r="W856" s="83"/>
      <c r="X856" s="83"/>
      <c r="Y856" s="83"/>
      <c r="Z856" s="83"/>
      <c r="AA856" s="83"/>
      <c r="AB856" s="83"/>
    </row>
    <row r="857">
      <c r="P857" s="83"/>
      <c r="Q857" s="83"/>
      <c r="R857" s="83"/>
      <c r="S857" s="83"/>
      <c r="T857" s="83"/>
      <c r="U857" s="83"/>
      <c r="V857" s="94"/>
      <c r="W857" s="83"/>
      <c r="X857" s="83"/>
      <c r="Y857" s="83"/>
      <c r="Z857" s="83"/>
      <c r="AA857" s="83"/>
      <c r="AB857" s="83"/>
    </row>
    <row r="858">
      <c r="P858" s="83"/>
      <c r="Q858" s="83"/>
      <c r="R858" s="83"/>
      <c r="S858" s="83"/>
      <c r="T858" s="83"/>
      <c r="U858" s="83"/>
      <c r="V858" s="94"/>
      <c r="W858" s="83"/>
      <c r="X858" s="83"/>
      <c r="Y858" s="83"/>
      <c r="Z858" s="83"/>
      <c r="AA858" s="83"/>
      <c r="AB858" s="83"/>
    </row>
    <row r="859">
      <c r="P859" s="83"/>
      <c r="Q859" s="83"/>
      <c r="R859" s="83"/>
      <c r="S859" s="83"/>
      <c r="T859" s="83"/>
      <c r="U859" s="83"/>
      <c r="V859" s="94"/>
      <c r="W859" s="83"/>
      <c r="X859" s="83"/>
      <c r="Y859" s="83"/>
      <c r="Z859" s="83"/>
      <c r="AA859" s="83"/>
      <c r="AB859" s="83"/>
    </row>
    <row r="860">
      <c r="P860" s="83"/>
      <c r="Q860" s="83"/>
      <c r="R860" s="83"/>
      <c r="S860" s="83"/>
      <c r="T860" s="83"/>
      <c r="U860" s="83"/>
      <c r="V860" s="94"/>
      <c r="W860" s="83"/>
      <c r="X860" s="83"/>
      <c r="Y860" s="83"/>
      <c r="Z860" s="83"/>
      <c r="AA860" s="83"/>
      <c r="AB860" s="83"/>
    </row>
    <row r="861">
      <c r="P861" s="83"/>
      <c r="Q861" s="83"/>
      <c r="R861" s="83"/>
      <c r="S861" s="83"/>
      <c r="T861" s="83"/>
      <c r="U861" s="83"/>
      <c r="V861" s="94"/>
      <c r="W861" s="83"/>
      <c r="X861" s="83"/>
      <c r="Y861" s="83"/>
      <c r="Z861" s="83"/>
      <c r="AA861" s="83"/>
      <c r="AB861" s="83"/>
    </row>
    <row r="862">
      <c r="P862" s="83"/>
      <c r="Q862" s="83"/>
      <c r="R862" s="83"/>
      <c r="S862" s="83"/>
      <c r="T862" s="83"/>
      <c r="U862" s="83"/>
      <c r="V862" s="94"/>
      <c r="W862" s="83"/>
      <c r="X862" s="83"/>
      <c r="Y862" s="83"/>
      <c r="Z862" s="83"/>
      <c r="AA862" s="83"/>
      <c r="AB862" s="83"/>
    </row>
    <row r="863">
      <c r="P863" s="83"/>
      <c r="Q863" s="83"/>
      <c r="R863" s="83"/>
      <c r="S863" s="83"/>
      <c r="T863" s="83"/>
      <c r="U863" s="83"/>
      <c r="V863" s="94"/>
      <c r="W863" s="83"/>
      <c r="X863" s="83"/>
      <c r="Y863" s="83"/>
      <c r="Z863" s="83"/>
      <c r="AA863" s="83"/>
      <c r="AB863" s="83"/>
    </row>
    <row r="864">
      <c r="P864" s="83"/>
      <c r="Q864" s="83"/>
      <c r="R864" s="83"/>
      <c r="S864" s="83"/>
      <c r="T864" s="83"/>
      <c r="U864" s="83"/>
      <c r="V864" s="94"/>
      <c r="W864" s="83"/>
      <c r="X864" s="83"/>
      <c r="Y864" s="83"/>
      <c r="Z864" s="83"/>
      <c r="AA864" s="83"/>
      <c r="AB864" s="83"/>
    </row>
    <row r="865">
      <c r="P865" s="83"/>
      <c r="Q865" s="83"/>
      <c r="R865" s="83"/>
      <c r="S865" s="83"/>
      <c r="T865" s="83"/>
      <c r="U865" s="83"/>
      <c r="V865" s="94"/>
      <c r="W865" s="83"/>
      <c r="X865" s="83"/>
      <c r="Y865" s="83"/>
      <c r="Z865" s="83"/>
      <c r="AA865" s="83"/>
      <c r="AB865" s="83"/>
    </row>
    <row r="866">
      <c r="P866" s="83"/>
      <c r="Q866" s="83"/>
      <c r="R866" s="83"/>
      <c r="S866" s="83"/>
      <c r="T866" s="83"/>
      <c r="U866" s="83"/>
      <c r="V866" s="94"/>
      <c r="W866" s="83"/>
      <c r="X866" s="83"/>
      <c r="Y866" s="83"/>
      <c r="Z866" s="83"/>
      <c r="AA866" s="83"/>
      <c r="AB866" s="83"/>
    </row>
    <row r="867">
      <c r="P867" s="83"/>
      <c r="Q867" s="83"/>
      <c r="R867" s="83"/>
      <c r="S867" s="83"/>
      <c r="T867" s="83"/>
      <c r="U867" s="83"/>
      <c r="V867" s="94"/>
      <c r="W867" s="83"/>
      <c r="X867" s="83"/>
      <c r="Y867" s="83"/>
      <c r="Z867" s="83"/>
      <c r="AA867" s="83"/>
      <c r="AB867" s="83"/>
    </row>
    <row r="868">
      <c r="P868" s="83"/>
      <c r="Q868" s="83"/>
      <c r="R868" s="83"/>
      <c r="S868" s="83"/>
      <c r="T868" s="83"/>
      <c r="U868" s="83"/>
      <c r="V868" s="94"/>
      <c r="W868" s="83"/>
      <c r="X868" s="83"/>
      <c r="Y868" s="83"/>
      <c r="Z868" s="83"/>
      <c r="AA868" s="83"/>
      <c r="AB868" s="83"/>
    </row>
    <row r="869">
      <c r="P869" s="83"/>
      <c r="Q869" s="83"/>
      <c r="R869" s="83"/>
      <c r="S869" s="83"/>
      <c r="T869" s="83"/>
      <c r="U869" s="83"/>
      <c r="V869" s="94"/>
      <c r="W869" s="83"/>
      <c r="X869" s="83"/>
      <c r="Y869" s="83"/>
      <c r="Z869" s="83"/>
      <c r="AA869" s="83"/>
      <c r="AB869" s="83"/>
    </row>
    <row r="870">
      <c r="P870" s="83"/>
      <c r="Q870" s="83"/>
      <c r="R870" s="83"/>
      <c r="S870" s="83"/>
      <c r="T870" s="83"/>
      <c r="U870" s="83"/>
      <c r="V870" s="94"/>
      <c r="W870" s="83"/>
      <c r="X870" s="83"/>
      <c r="Y870" s="83"/>
      <c r="Z870" s="83"/>
      <c r="AA870" s="83"/>
      <c r="AB870" s="83"/>
    </row>
    <row r="871">
      <c r="P871" s="83"/>
      <c r="Q871" s="83"/>
      <c r="R871" s="83"/>
      <c r="S871" s="83"/>
      <c r="T871" s="83"/>
      <c r="U871" s="83"/>
      <c r="V871" s="94"/>
      <c r="W871" s="83"/>
      <c r="X871" s="83"/>
      <c r="Y871" s="83"/>
      <c r="Z871" s="83"/>
      <c r="AA871" s="83"/>
      <c r="AB871" s="83"/>
    </row>
    <row r="872">
      <c r="P872" s="83"/>
      <c r="Q872" s="83"/>
      <c r="R872" s="83"/>
      <c r="S872" s="83"/>
      <c r="T872" s="83"/>
      <c r="U872" s="83"/>
      <c r="V872" s="94"/>
      <c r="W872" s="83"/>
      <c r="X872" s="83"/>
      <c r="Y872" s="83"/>
      <c r="Z872" s="83"/>
      <c r="AA872" s="83"/>
      <c r="AB872" s="83"/>
    </row>
    <row r="873">
      <c r="P873" s="83"/>
      <c r="Q873" s="83"/>
      <c r="R873" s="83"/>
      <c r="S873" s="83"/>
      <c r="T873" s="83"/>
      <c r="U873" s="83"/>
      <c r="V873" s="94"/>
      <c r="W873" s="83"/>
      <c r="X873" s="83"/>
      <c r="Y873" s="83"/>
      <c r="Z873" s="83"/>
      <c r="AA873" s="83"/>
      <c r="AB873" s="83"/>
    </row>
    <row r="874">
      <c r="P874" s="83"/>
      <c r="Q874" s="83"/>
      <c r="R874" s="83"/>
      <c r="S874" s="83"/>
      <c r="T874" s="83"/>
      <c r="U874" s="83"/>
      <c r="V874" s="94"/>
      <c r="W874" s="83"/>
      <c r="X874" s="83"/>
      <c r="Y874" s="83"/>
      <c r="Z874" s="83"/>
      <c r="AA874" s="83"/>
      <c r="AB874" s="83"/>
    </row>
    <row r="875">
      <c r="P875" s="83"/>
      <c r="Q875" s="83"/>
      <c r="R875" s="83"/>
      <c r="S875" s="83"/>
      <c r="T875" s="83"/>
      <c r="U875" s="83"/>
      <c r="V875" s="94"/>
      <c r="W875" s="83"/>
      <c r="X875" s="83"/>
      <c r="Y875" s="83"/>
      <c r="Z875" s="83"/>
      <c r="AA875" s="83"/>
      <c r="AB875" s="83"/>
    </row>
    <row r="876">
      <c r="P876" s="83"/>
      <c r="Q876" s="83"/>
      <c r="R876" s="83"/>
      <c r="S876" s="83"/>
      <c r="T876" s="83"/>
      <c r="U876" s="83"/>
      <c r="V876" s="94"/>
      <c r="W876" s="83"/>
      <c r="X876" s="83"/>
      <c r="Y876" s="83"/>
      <c r="Z876" s="83"/>
      <c r="AA876" s="83"/>
      <c r="AB876" s="83"/>
    </row>
    <row r="877">
      <c r="P877" s="83"/>
      <c r="Q877" s="83"/>
      <c r="R877" s="83"/>
      <c r="S877" s="83"/>
      <c r="T877" s="83"/>
      <c r="U877" s="83"/>
      <c r="V877" s="94"/>
      <c r="W877" s="83"/>
      <c r="X877" s="83"/>
      <c r="Y877" s="83"/>
      <c r="Z877" s="83"/>
      <c r="AA877" s="83"/>
      <c r="AB877" s="83"/>
    </row>
    <row r="878">
      <c r="P878" s="83"/>
      <c r="Q878" s="83"/>
      <c r="R878" s="83"/>
      <c r="S878" s="83"/>
      <c r="T878" s="83"/>
      <c r="U878" s="83"/>
      <c r="V878" s="94"/>
      <c r="W878" s="83"/>
      <c r="X878" s="83"/>
      <c r="Y878" s="83"/>
      <c r="Z878" s="83"/>
      <c r="AA878" s="83"/>
      <c r="AB878" s="83"/>
    </row>
    <row r="879">
      <c r="P879" s="83"/>
      <c r="Q879" s="83"/>
      <c r="R879" s="83"/>
      <c r="S879" s="83"/>
      <c r="T879" s="83"/>
      <c r="U879" s="83"/>
      <c r="V879" s="94"/>
      <c r="W879" s="83"/>
      <c r="X879" s="83"/>
      <c r="Y879" s="83"/>
      <c r="Z879" s="83"/>
      <c r="AA879" s="83"/>
      <c r="AB879" s="83"/>
    </row>
    <row r="880">
      <c r="P880" s="83"/>
      <c r="Q880" s="83"/>
      <c r="R880" s="83"/>
      <c r="S880" s="83"/>
      <c r="T880" s="83"/>
      <c r="U880" s="83"/>
      <c r="V880" s="94"/>
      <c r="W880" s="83"/>
      <c r="X880" s="83"/>
      <c r="Y880" s="83"/>
      <c r="Z880" s="83"/>
      <c r="AA880" s="83"/>
      <c r="AB880" s="83"/>
    </row>
    <row r="881">
      <c r="P881" s="83"/>
      <c r="Q881" s="83"/>
      <c r="R881" s="83"/>
      <c r="S881" s="83"/>
      <c r="T881" s="83"/>
      <c r="U881" s="83"/>
      <c r="V881" s="94"/>
      <c r="W881" s="83"/>
      <c r="X881" s="83"/>
      <c r="Y881" s="83"/>
      <c r="Z881" s="83"/>
      <c r="AA881" s="83"/>
      <c r="AB881" s="83"/>
    </row>
    <row r="882">
      <c r="P882" s="83"/>
      <c r="Q882" s="83"/>
      <c r="R882" s="83"/>
      <c r="S882" s="83"/>
      <c r="T882" s="83"/>
      <c r="U882" s="83"/>
      <c r="V882" s="94"/>
      <c r="W882" s="83"/>
      <c r="X882" s="83"/>
      <c r="Y882" s="83"/>
      <c r="Z882" s="83"/>
      <c r="AA882" s="83"/>
      <c r="AB882" s="83"/>
    </row>
    <row r="883">
      <c r="P883" s="83"/>
      <c r="Q883" s="83"/>
      <c r="R883" s="83"/>
      <c r="S883" s="83"/>
      <c r="T883" s="83"/>
      <c r="U883" s="83"/>
      <c r="V883" s="94"/>
      <c r="W883" s="83"/>
      <c r="X883" s="83"/>
      <c r="Y883" s="83"/>
      <c r="Z883" s="83"/>
      <c r="AA883" s="83"/>
      <c r="AB883" s="83"/>
    </row>
    <row r="884">
      <c r="P884" s="83"/>
      <c r="Q884" s="83"/>
      <c r="R884" s="83"/>
      <c r="S884" s="83"/>
      <c r="T884" s="83"/>
      <c r="U884" s="83"/>
      <c r="V884" s="94"/>
      <c r="W884" s="83"/>
      <c r="X884" s="83"/>
      <c r="Y884" s="83"/>
      <c r="Z884" s="83"/>
      <c r="AA884" s="83"/>
      <c r="AB884" s="83"/>
    </row>
    <row r="885">
      <c r="P885" s="83"/>
      <c r="Q885" s="83"/>
      <c r="R885" s="83"/>
      <c r="S885" s="83"/>
      <c r="T885" s="83"/>
      <c r="U885" s="83"/>
      <c r="V885" s="94"/>
      <c r="W885" s="83"/>
      <c r="X885" s="83"/>
      <c r="Y885" s="83"/>
      <c r="Z885" s="83"/>
      <c r="AA885" s="83"/>
      <c r="AB885" s="83"/>
    </row>
    <row r="886">
      <c r="P886" s="83"/>
      <c r="Q886" s="83"/>
      <c r="R886" s="83"/>
      <c r="S886" s="83"/>
      <c r="T886" s="83"/>
      <c r="U886" s="83"/>
      <c r="V886" s="94"/>
      <c r="W886" s="83"/>
      <c r="X886" s="83"/>
      <c r="Y886" s="83"/>
      <c r="Z886" s="83"/>
      <c r="AA886" s="83"/>
      <c r="AB886" s="83"/>
    </row>
    <row r="887">
      <c r="P887" s="83"/>
      <c r="Q887" s="83"/>
      <c r="R887" s="83"/>
      <c r="S887" s="83"/>
      <c r="T887" s="83"/>
      <c r="U887" s="83"/>
      <c r="V887" s="94"/>
      <c r="W887" s="83"/>
      <c r="X887" s="83"/>
      <c r="Y887" s="83"/>
      <c r="Z887" s="83"/>
      <c r="AA887" s="83"/>
      <c r="AB887" s="83"/>
    </row>
    <row r="888">
      <c r="P888" s="83"/>
      <c r="Q888" s="83"/>
      <c r="R888" s="83"/>
      <c r="S888" s="83"/>
      <c r="T888" s="83"/>
      <c r="U888" s="83"/>
      <c r="V888" s="94"/>
      <c r="W888" s="83"/>
      <c r="X888" s="83"/>
      <c r="Y888" s="83"/>
      <c r="Z888" s="83"/>
      <c r="AA888" s="83"/>
      <c r="AB888" s="83"/>
    </row>
    <row r="889">
      <c r="P889" s="83"/>
      <c r="Q889" s="83"/>
      <c r="R889" s="83"/>
      <c r="S889" s="83"/>
      <c r="T889" s="83"/>
      <c r="U889" s="83"/>
      <c r="V889" s="94"/>
      <c r="W889" s="83"/>
      <c r="X889" s="83"/>
      <c r="Y889" s="83"/>
      <c r="Z889" s="83"/>
      <c r="AA889" s="83"/>
      <c r="AB889" s="83"/>
    </row>
    <row r="890">
      <c r="P890" s="83"/>
      <c r="Q890" s="83"/>
      <c r="R890" s="83"/>
      <c r="S890" s="83"/>
      <c r="T890" s="83"/>
      <c r="U890" s="83"/>
      <c r="V890" s="94"/>
      <c r="W890" s="83"/>
      <c r="X890" s="83"/>
      <c r="Y890" s="83"/>
      <c r="Z890" s="83"/>
      <c r="AA890" s="83"/>
      <c r="AB890" s="83"/>
    </row>
    <row r="891">
      <c r="P891" s="83"/>
      <c r="Q891" s="83"/>
      <c r="R891" s="83"/>
      <c r="S891" s="83"/>
      <c r="T891" s="83"/>
      <c r="U891" s="83"/>
      <c r="V891" s="94"/>
      <c r="W891" s="83"/>
      <c r="X891" s="83"/>
      <c r="Y891" s="83"/>
      <c r="Z891" s="83"/>
      <c r="AA891" s="83"/>
      <c r="AB891" s="83"/>
    </row>
    <row r="892">
      <c r="P892" s="83"/>
      <c r="Q892" s="83"/>
      <c r="R892" s="83"/>
      <c r="S892" s="83"/>
      <c r="T892" s="83"/>
      <c r="U892" s="83"/>
      <c r="V892" s="94"/>
      <c r="W892" s="83"/>
      <c r="X892" s="83"/>
      <c r="Y892" s="83"/>
      <c r="Z892" s="83"/>
      <c r="AA892" s="83"/>
      <c r="AB892" s="83"/>
    </row>
    <row r="893">
      <c r="P893" s="83"/>
      <c r="Q893" s="83"/>
      <c r="R893" s="83"/>
      <c r="S893" s="83"/>
      <c r="T893" s="83"/>
      <c r="U893" s="83"/>
      <c r="V893" s="94"/>
      <c r="W893" s="83"/>
      <c r="X893" s="83"/>
      <c r="Y893" s="83"/>
      <c r="Z893" s="83"/>
      <c r="AA893" s="83"/>
      <c r="AB893" s="83"/>
    </row>
    <row r="894">
      <c r="P894" s="83"/>
      <c r="Q894" s="83"/>
      <c r="R894" s="83"/>
      <c r="S894" s="83"/>
      <c r="T894" s="83"/>
      <c r="U894" s="83"/>
      <c r="V894" s="94"/>
      <c r="W894" s="83"/>
      <c r="X894" s="83"/>
      <c r="Y894" s="83"/>
      <c r="Z894" s="83"/>
      <c r="AA894" s="83"/>
      <c r="AB894" s="83"/>
    </row>
    <row r="895">
      <c r="P895" s="83"/>
      <c r="Q895" s="83"/>
      <c r="R895" s="83"/>
      <c r="S895" s="83"/>
      <c r="T895" s="83"/>
      <c r="U895" s="83"/>
      <c r="V895" s="94"/>
      <c r="W895" s="83"/>
      <c r="X895" s="83"/>
      <c r="Y895" s="83"/>
      <c r="Z895" s="83"/>
      <c r="AA895" s="83"/>
      <c r="AB895" s="83"/>
    </row>
    <row r="896">
      <c r="P896" s="83"/>
      <c r="Q896" s="83"/>
      <c r="R896" s="83"/>
      <c r="S896" s="83"/>
      <c r="T896" s="83"/>
      <c r="U896" s="83"/>
      <c r="V896" s="94"/>
      <c r="W896" s="83"/>
      <c r="X896" s="83"/>
      <c r="Y896" s="83"/>
      <c r="Z896" s="83"/>
      <c r="AA896" s="83"/>
      <c r="AB896" s="83"/>
    </row>
    <row r="897">
      <c r="P897" s="83"/>
      <c r="Q897" s="83"/>
      <c r="R897" s="83"/>
      <c r="S897" s="83"/>
      <c r="T897" s="83"/>
      <c r="U897" s="83"/>
      <c r="V897" s="94"/>
      <c r="W897" s="83"/>
      <c r="X897" s="83"/>
      <c r="Y897" s="83"/>
      <c r="Z897" s="83"/>
      <c r="AA897" s="83"/>
      <c r="AB897" s="83"/>
    </row>
    <row r="898">
      <c r="P898" s="83"/>
      <c r="Q898" s="83"/>
      <c r="R898" s="83"/>
      <c r="S898" s="83"/>
      <c r="T898" s="83"/>
      <c r="U898" s="83"/>
      <c r="V898" s="94"/>
      <c r="W898" s="83"/>
      <c r="X898" s="83"/>
      <c r="Y898" s="83"/>
      <c r="Z898" s="83"/>
      <c r="AA898" s="83"/>
      <c r="AB898" s="83"/>
    </row>
    <row r="899">
      <c r="P899" s="83"/>
      <c r="Q899" s="83"/>
      <c r="R899" s="83"/>
      <c r="S899" s="83"/>
      <c r="T899" s="83"/>
      <c r="U899" s="83"/>
      <c r="V899" s="94"/>
      <c r="W899" s="83"/>
      <c r="X899" s="83"/>
      <c r="Y899" s="83"/>
      <c r="Z899" s="83"/>
      <c r="AA899" s="83"/>
      <c r="AB899" s="83"/>
    </row>
    <row r="900">
      <c r="P900" s="83"/>
      <c r="Q900" s="83"/>
      <c r="R900" s="83"/>
      <c r="S900" s="83"/>
      <c r="T900" s="83"/>
      <c r="U900" s="83"/>
      <c r="V900" s="94"/>
      <c r="W900" s="83"/>
      <c r="X900" s="83"/>
      <c r="Y900" s="83"/>
      <c r="Z900" s="83"/>
      <c r="AA900" s="83"/>
      <c r="AB900" s="83"/>
    </row>
    <row r="901">
      <c r="P901" s="83"/>
      <c r="Q901" s="83"/>
      <c r="R901" s="83"/>
      <c r="S901" s="83"/>
      <c r="T901" s="83"/>
      <c r="U901" s="83"/>
      <c r="V901" s="94"/>
      <c r="W901" s="83"/>
      <c r="X901" s="83"/>
      <c r="Y901" s="83"/>
      <c r="Z901" s="83"/>
      <c r="AA901" s="83"/>
      <c r="AB901" s="83"/>
    </row>
    <row r="902">
      <c r="P902" s="83"/>
      <c r="Q902" s="83"/>
      <c r="R902" s="83"/>
      <c r="S902" s="83"/>
      <c r="T902" s="83"/>
      <c r="U902" s="83"/>
      <c r="V902" s="94"/>
      <c r="W902" s="83"/>
      <c r="X902" s="83"/>
      <c r="Y902" s="83"/>
      <c r="Z902" s="83"/>
      <c r="AA902" s="83"/>
      <c r="AB902" s="83"/>
    </row>
    <row r="903">
      <c r="P903" s="83"/>
      <c r="Q903" s="83"/>
      <c r="R903" s="83"/>
      <c r="S903" s="83"/>
      <c r="T903" s="83"/>
      <c r="U903" s="83"/>
      <c r="V903" s="94"/>
      <c r="W903" s="83"/>
      <c r="X903" s="83"/>
      <c r="Y903" s="83"/>
      <c r="Z903" s="83"/>
      <c r="AA903" s="83"/>
      <c r="AB903" s="83"/>
    </row>
    <row r="904">
      <c r="P904" s="83"/>
      <c r="Q904" s="83"/>
      <c r="R904" s="83"/>
      <c r="S904" s="83"/>
      <c r="T904" s="83"/>
      <c r="U904" s="83"/>
      <c r="V904" s="94"/>
      <c r="W904" s="83"/>
      <c r="X904" s="83"/>
      <c r="Y904" s="83"/>
      <c r="Z904" s="83"/>
      <c r="AA904" s="83"/>
      <c r="AB904" s="83"/>
    </row>
    <row r="905">
      <c r="P905" s="83"/>
      <c r="Q905" s="83"/>
      <c r="R905" s="83"/>
      <c r="S905" s="83"/>
      <c r="T905" s="83"/>
      <c r="U905" s="83"/>
      <c r="V905" s="94"/>
      <c r="W905" s="83"/>
      <c r="X905" s="83"/>
      <c r="Y905" s="83"/>
      <c r="Z905" s="83"/>
      <c r="AA905" s="83"/>
      <c r="AB905" s="83"/>
    </row>
    <row r="906">
      <c r="P906" s="83"/>
      <c r="Q906" s="83"/>
      <c r="R906" s="83"/>
      <c r="S906" s="83"/>
      <c r="T906" s="83"/>
      <c r="U906" s="83"/>
      <c r="V906" s="94"/>
      <c r="W906" s="83"/>
      <c r="X906" s="83"/>
      <c r="Y906" s="83"/>
      <c r="Z906" s="83"/>
      <c r="AA906" s="83"/>
      <c r="AB906" s="83"/>
    </row>
    <row r="907">
      <c r="P907" s="83"/>
      <c r="Q907" s="83"/>
      <c r="R907" s="83"/>
      <c r="S907" s="83"/>
      <c r="T907" s="83"/>
      <c r="U907" s="83"/>
      <c r="V907" s="94"/>
      <c r="W907" s="83"/>
      <c r="X907" s="83"/>
      <c r="Y907" s="83"/>
      <c r="Z907" s="83"/>
      <c r="AA907" s="83"/>
      <c r="AB907" s="83"/>
    </row>
    <row r="908">
      <c r="P908" s="83"/>
      <c r="Q908" s="83"/>
      <c r="R908" s="83"/>
      <c r="S908" s="83"/>
      <c r="T908" s="83"/>
      <c r="U908" s="83"/>
      <c r="V908" s="94"/>
      <c r="W908" s="83"/>
      <c r="X908" s="83"/>
      <c r="Y908" s="83"/>
      <c r="Z908" s="83"/>
      <c r="AA908" s="83"/>
      <c r="AB908" s="83"/>
    </row>
    <row r="909">
      <c r="P909" s="83"/>
      <c r="Q909" s="83"/>
      <c r="R909" s="83"/>
      <c r="S909" s="83"/>
      <c r="T909" s="83"/>
      <c r="U909" s="83"/>
      <c r="V909" s="94"/>
      <c r="W909" s="83"/>
      <c r="X909" s="83"/>
      <c r="Y909" s="83"/>
      <c r="Z909" s="83"/>
      <c r="AA909" s="83"/>
      <c r="AB909" s="83"/>
    </row>
    <row r="910">
      <c r="P910" s="83"/>
      <c r="Q910" s="83"/>
      <c r="R910" s="83"/>
      <c r="S910" s="83"/>
      <c r="T910" s="83"/>
      <c r="U910" s="83"/>
      <c r="V910" s="94"/>
      <c r="W910" s="83"/>
      <c r="X910" s="83"/>
      <c r="Y910" s="83"/>
      <c r="Z910" s="83"/>
      <c r="AA910" s="83"/>
      <c r="AB910" s="83"/>
    </row>
    <row r="911">
      <c r="P911" s="83"/>
      <c r="Q911" s="83"/>
      <c r="R911" s="83"/>
      <c r="S911" s="83"/>
      <c r="T911" s="83"/>
      <c r="U911" s="83"/>
      <c r="V911" s="94"/>
      <c r="W911" s="83"/>
      <c r="X911" s="83"/>
      <c r="Y911" s="83"/>
      <c r="Z911" s="83"/>
      <c r="AA911" s="83"/>
      <c r="AB911" s="83"/>
    </row>
    <row r="912">
      <c r="P912" s="83"/>
      <c r="Q912" s="83"/>
      <c r="R912" s="83"/>
      <c r="S912" s="83"/>
      <c r="T912" s="83"/>
      <c r="U912" s="83"/>
      <c r="V912" s="94"/>
      <c r="W912" s="83"/>
      <c r="X912" s="83"/>
      <c r="Y912" s="83"/>
      <c r="Z912" s="83"/>
      <c r="AA912" s="83"/>
      <c r="AB912" s="83"/>
    </row>
    <row r="913">
      <c r="P913" s="83"/>
      <c r="Q913" s="83"/>
      <c r="R913" s="83"/>
      <c r="S913" s="83"/>
      <c r="T913" s="83"/>
      <c r="U913" s="83"/>
      <c r="V913" s="94"/>
      <c r="W913" s="83"/>
      <c r="X913" s="83"/>
      <c r="Y913" s="83"/>
      <c r="Z913" s="83"/>
      <c r="AA913" s="83"/>
      <c r="AB913" s="83"/>
    </row>
    <row r="914">
      <c r="P914" s="83"/>
      <c r="Q914" s="83"/>
      <c r="R914" s="83"/>
      <c r="S914" s="83"/>
      <c r="T914" s="83"/>
      <c r="U914" s="83"/>
      <c r="V914" s="94"/>
      <c r="W914" s="83"/>
      <c r="X914" s="83"/>
      <c r="Y914" s="83"/>
      <c r="Z914" s="83"/>
      <c r="AA914" s="83"/>
      <c r="AB914" s="83"/>
    </row>
    <row r="915">
      <c r="P915" s="83"/>
      <c r="Q915" s="83"/>
      <c r="R915" s="83"/>
      <c r="S915" s="83"/>
      <c r="T915" s="83"/>
      <c r="U915" s="83"/>
      <c r="V915" s="94"/>
      <c r="W915" s="83"/>
      <c r="X915" s="83"/>
      <c r="Y915" s="83"/>
      <c r="Z915" s="83"/>
      <c r="AA915" s="83"/>
      <c r="AB915" s="83"/>
    </row>
    <row r="916">
      <c r="P916" s="83"/>
      <c r="Q916" s="83"/>
      <c r="R916" s="83"/>
      <c r="S916" s="83"/>
      <c r="T916" s="83"/>
      <c r="U916" s="83"/>
      <c r="V916" s="94"/>
      <c r="W916" s="83"/>
      <c r="X916" s="83"/>
      <c r="Y916" s="83"/>
      <c r="Z916" s="83"/>
      <c r="AA916" s="83"/>
      <c r="AB916" s="83"/>
    </row>
    <row r="917">
      <c r="P917" s="83"/>
      <c r="Q917" s="83"/>
      <c r="R917" s="83"/>
      <c r="S917" s="83"/>
      <c r="T917" s="83"/>
      <c r="U917" s="83"/>
      <c r="V917" s="94"/>
      <c r="W917" s="83"/>
      <c r="X917" s="83"/>
      <c r="Y917" s="83"/>
      <c r="Z917" s="83"/>
      <c r="AA917" s="83"/>
      <c r="AB917" s="83"/>
    </row>
    <row r="918">
      <c r="P918" s="83"/>
      <c r="Q918" s="83"/>
      <c r="R918" s="83"/>
      <c r="S918" s="83"/>
      <c r="T918" s="83"/>
      <c r="U918" s="83"/>
      <c r="V918" s="94"/>
      <c r="W918" s="83"/>
      <c r="X918" s="83"/>
      <c r="Y918" s="83"/>
      <c r="Z918" s="83"/>
      <c r="AA918" s="83"/>
      <c r="AB918" s="83"/>
    </row>
    <row r="919">
      <c r="P919" s="83"/>
      <c r="Q919" s="83"/>
      <c r="R919" s="83"/>
      <c r="S919" s="83"/>
      <c r="T919" s="83"/>
      <c r="U919" s="83"/>
      <c r="V919" s="94"/>
      <c r="W919" s="83"/>
      <c r="X919" s="83"/>
      <c r="Y919" s="83"/>
      <c r="Z919" s="83"/>
      <c r="AA919" s="83"/>
      <c r="AB919" s="83"/>
    </row>
    <row r="920">
      <c r="P920" s="83"/>
      <c r="Q920" s="83"/>
      <c r="R920" s="83"/>
      <c r="S920" s="83"/>
      <c r="T920" s="83"/>
      <c r="U920" s="83"/>
      <c r="V920" s="94"/>
      <c r="W920" s="83"/>
      <c r="X920" s="83"/>
      <c r="Y920" s="83"/>
      <c r="Z920" s="83"/>
      <c r="AA920" s="83"/>
      <c r="AB920" s="83"/>
    </row>
    <row r="921">
      <c r="P921" s="83"/>
      <c r="Q921" s="83"/>
      <c r="R921" s="83"/>
      <c r="S921" s="83"/>
      <c r="T921" s="83"/>
      <c r="U921" s="83"/>
      <c r="V921" s="94"/>
      <c r="W921" s="83"/>
      <c r="X921" s="83"/>
      <c r="Y921" s="83"/>
      <c r="Z921" s="83"/>
      <c r="AA921" s="83"/>
      <c r="AB921" s="83"/>
    </row>
    <row r="922">
      <c r="P922" s="83"/>
      <c r="Q922" s="83"/>
      <c r="R922" s="83"/>
      <c r="S922" s="83"/>
      <c r="T922" s="83"/>
      <c r="U922" s="83"/>
      <c r="V922" s="94"/>
      <c r="W922" s="83"/>
      <c r="X922" s="83"/>
      <c r="Y922" s="83"/>
      <c r="Z922" s="83"/>
      <c r="AA922" s="83"/>
      <c r="AB922" s="83"/>
    </row>
    <row r="923">
      <c r="P923" s="83"/>
      <c r="Q923" s="83"/>
      <c r="R923" s="83"/>
      <c r="S923" s="83"/>
      <c r="T923" s="83"/>
      <c r="U923" s="83"/>
      <c r="V923" s="94"/>
      <c r="W923" s="83"/>
      <c r="X923" s="83"/>
      <c r="Y923" s="83"/>
      <c r="Z923" s="83"/>
      <c r="AA923" s="83"/>
      <c r="AB923" s="83"/>
    </row>
    <row r="924">
      <c r="P924" s="83"/>
      <c r="Q924" s="83"/>
      <c r="R924" s="83"/>
      <c r="S924" s="83"/>
      <c r="T924" s="83"/>
      <c r="U924" s="83"/>
      <c r="V924" s="94"/>
      <c r="W924" s="83"/>
      <c r="X924" s="83"/>
      <c r="Y924" s="83"/>
      <c r="Z924" s="83"/>
      <c r="AA924" s="83"/>
      <c r="AB924" s="83"/>
    </row>
    <row r="925">
      <c r="P925" s="83"/>
      <c r="Q925" s="83"/>
      <c r="R925" s="83"/>
      <c r="S925" s="83"/>
      <c r="T925" s="83"/>
      <c r="U925" s="83"/>
      <c r="V925" s="94"/>
      <c r="W925" s="83"/>
      <c r="X925" s="83"/>
      <c r="Y925" s="83"/>
      <c r="Z925" s="83"/>
      <c r="AA925" s="83"/>
      <c r="AB925" s="83"/>
    </row>
    <row r="926">
      <c r="P926" s="83"/>
      <c r="Q926" s="83"/>
      <c r="R926" s="83"/>
      <c r="S926" s="83"/>
      <c r="T926" s="83"/>
      <c r="U926" s="83"/>
      <c r="V926" s="94"/>
      <c r="W926" s="83"/>
      <c r="X926" s="83"/>
      <c r="Y926" s="83"/>
      <c r="Z926" s="83"/>
      <c r="AA926" s="83"/>
      <c r="AB926" s="83"/>
    </row>
    <row r="927">
      <c r="P927" s="83"/>
      <c r="Q927" s="83"/>
      <c r="R927" s="83"/>
      <c r="S927" s="83"/>
      <c r="T927" s="83"/>
      <c r="U927" s="83"/>
      <c r="V927" s="94"/>
      <c r="W927" s="83"/>
      <c r="X927" s="83"/>
      <c r="Y927" s="83"/>
      <c r="Z927" s="83"/>
      <c r="AA927" s="83"/>
      <c r="AB927" s="83"/>
    </row>
    <row r="928">
      <c r="P928" s="83"/>
      <c r="Q928" s="83"/>
      <c r="R928" s="83"/>
      <c r="S928" s="83"/>
      <c r="T928" s="83"/>
      <c r="U928" s="83"/>
      <c r="V928" s="94"/>
      <c r="W928" s="83"/>
      <c r="X928" s="83"/>
      <c r="Y928" s="83"/>
      <c r="Z928" s="83"/>
      <c r="AA928" s="83"/>
      <c r="AB928" s="83"/>
    </row>
    <row r="929">
      <c r="P929" s="83"/>
      <c r="Q929" s="83"/>
      <c r="R929" s="83"/>
      <c r="S929" s="83"/>
      <c r="T929" s="83"/>
      <c r="U929" s="83"/>
      <c r="V929" s="94"/>
      <c r="W929" s="83"/>
      <c r="X929" s="83"/>
      <c r="Y929" s="83"/>
      <c r="Z929" s="83"/>
      <c r="AA929" s="83"/>
      <c r="AB929" s="83"/>
    </row>
    <row r="930">
      <c r="P930" s="83"/>
      <c r="Q930" s="83"/>
      <c r="R930" s="83"/>
      <c r="S930" s="83"/>
      <c r="T930" s="83"/>
      <c r="U930" s="83"/>
      <c r="V930" s="94"/>
      <c r="W930" s="83"/>
      <c r="X930" s="83"/>
      <c r="Y930" s="83"/>
      <c r="Z930" s="83"/>
      <c r="AA930" s="83"/>
      <c r="AB930" s="83"/>
    </row>
    <row r="931">
      <c r="P931" s="83"/>
      <c r="Q931" s="83"/>
      <c r="R931" s="83"/>
      <c r="S931" s="83"/>
      <c r="T931" s="83"/>
      <c r="U931" s="83"/>
      <c r="V931" s="94"/>
      <c r="W931" s="83"/>
      <c r="X931" s="83"/>
      <c r="Y931" s="83"/>
      <c r="Z931" s="83"/>
      <c r="AA931" s="83"/>
      <c r="AB931" s="83"/>
    </row>
    <row r="932">
      <c r="P932" s="83"/>
      <c r="Q932" s="83"/>
      <c r="R932" s="83"/>
      <c r="S932" s="83"/>
      <c r="T932" s="83"/>
      <c r="U932" s="83"/>
      <c r="V932" s="94"/>
      <c r="W932" s="83"/>
      <c r="X932" s="83"/>
      <c r="Y932" s="83"/>
      <c r="Z932" s="83"/>
      <c r="AA932" s="83"/>
      <c r="AB932" s="83"/>
    </row>
    <row r="933">
      <c r="P933" s="83"/>
      <c r="Q933" s="83"/>
      <c r="R933" s="83"/>
      <c r="S933" s="83"/>
      <c r="T933" s="83"/>
      <c r="U933" s="83"/>
      <c r="V933" s="94"/>
      <c r="W933" s="83"/>
      <c r="X933" s="83"/>
      <c r="Y933" s="83"/>
      <c r="Z933" s="83"/>
      <c r="AA933" s="83"/>
      <c r="AB933" s="83"/>
    </row>
    <row r="934">
      <c r="P934" s="83"/>
      <c r="Q934" s="83"/>
      <c r="R934" s="83"/>
      <c r="S934" s="83"/>
      <c r="T934" s="83"/>
      <c r="U934" s="83"/>
      <c r="V934" s="94"/>
      <c r="W934" s="83"/>
      <c r="X934" s="83"/>
      <c r="Y934" s="83"/>
      <c r="Z934" s="83"/>
      <c r="AA934" s="83"/>
      <c r="AB934" s="83"/>
    </row>
    <row r="935">
      <c r="P935" s="83"/>
      <c r="Q935" s="83"/>
      <c r="R935" s="83"/>
      <c r="S935" s="83"/>
      <c r="T935" s="83"/>
      <c r="U935" s="83"/>
      <c r="V935" s="94"/>
      <c r="W935" s="83"/>
      <c r="X935" s="83"/>
      <c r="Y935" s="83"/>
      <c r="Z935" s="83"/>
      <c r="AA935" s="83"/>
      <c r="AB935" s="83"/>
    </row>
    <row r="936">
      <c r="P936" s="83"/>
      <c r="Q936" s="83"/>
      <c r="R936" s="83"/>
      <c r="S936" s="83"/>
      <c r="T936" s="83"/>
      <c r="U936" s="83"/>
      <c r="V936" s="94"/>
      <c r="W936" s="83"/>
      <c r="X936" s="83"/>
      <c r="Y936" s="83"/>
      <c r="Z936" s="83"/>
      <c r="AA936" s="83"/>
      <c r="AB936" s="83"/>
    </row>
    <row r="937">
      <c r="P937" s="83"/>
      <c r="Q937" s="83"/>
      <c r="R937" s="83"/>
      <c r="S937" s="83"/>
      <c r="T937" s="83"/>
      <c r="U937" s="83"/>
      <c r="V937" s="94"/>
      <c r="W937" s="83"/>
      <c r="X937" s="83"/>
      <c r="Y937" s="83"/>
      <c r="Z937" s="83"/>
      <c r="AA937" s="83"/>
      <c r="AB937" s="83"/>
    </row>
    <row r="938">
      <c r="P938" s="83"/>
      <c r="Q938" s="83"/>
      <c r="R938" s="83"/>
      <c r="S938" s="83"/>
      <c r="T938" s="83"/>
      <c r="U938" s="83"/>
      <c r="V938" s="94"/>
      <c r="W938" s="83"/>
      <c r="X938" s="83"/>
      <c r="Y938" s="83"/>
      <c r="Z938" s="83"/>
      <c r="AA938" s="83"/>
      <c r="AB938" s="83"/>
    </row>
    <row r="939">
      <c r="P939" s="83"/>
      <c r="Q939" s="83"/>
      <c r="R939" s="83"/>
      <c r="S939" s="83"/>
      <c r="T939" s="83"/>
      <c r="U939" s="83"/>
      <c r="V939" s="94"/>
      <c r="W939" s="83"/>
      <c r="X939" s="83"/>
      <c r="Y939" s="83"/>
      <c r="Z939" s="83"/>
      <c r="AA939" s="83"/>
      <c r="AB939" s="83"/>
    </row>
    <row r="940">
      <c r="P940" s="83"/>
      <c r="Q940" s="83"/>
      <c r="R940" s="83"/>
      <c r="S940" s="83"/>
      <c r="T940" s="83"/>
      <c r="U940" s="83"/>
      <c r="V940" s="94"/>
      <c r="W940" s="83"/>
      <c r="X940" s="83"/>
      <c r="Y940" s="83"/>
      <c r="Z940" s="83"/>
      <c r="AA940" s="83"/>
      <c r="AB940" s="83"/>
    </row>
    <row r="941">
      <c r="P941" s="83"/>
      <c r="Q941" s="83"/>
      <c r="R941" s="83"/>
      <c r="S941" s="83"/>
      <c r="T941" s="83"/>
      <c r="U941" s="83"/>
      <c r="V941" s="94"/>
      <c r="W941" s="83"/>
      <c r="X941" s="83"/>
      <c r="Y941" s="83"/>
      <c r="Z941" s="83"/>
      <c r="AA941" s="83"/>
      <c r="AB941" s="83"/>
    </row>
    <row r="942">
      <c r="P942" s="83"/>
      <c r="Q942" s="83"/>
      <c r="R942" s="83"/>
      <c r="S942" s="83"/>
      <c r="T942" s="83"/>
      <c r="U942" s="83"/>
      <c r="V942" s="94"/>
      <c r="W942" s="83"/>
      <c r="X942" s="83"/>
      <c r="Y942" s="83"/>
      <c r="Z942" s="83"/>
      <c r="AA942" s="83"/>
      <c r="AB942" s="83"/>
    </row>
    <row r="943">
      <c r="P943" s="83"/>
      <c r="Q943" s="83"/>
      <c r="R943" s="83"/>
      <c r="S943" s="83"/>
      <c r="T943" s="83"/>
      <c r="U943" s="83"/>
      <c r="V943" s="94"/>
      <c r="W943" s="83"/>
      <c r="X943" s="83"/>
      <c r="Y943" s="83"/>
      <c r="Z943" s="83"/>
      <c r="AA943" s="83"/>
      <c r="AB943" s="83"/>
    </row>
    <row r="944">
      <c r="P944" s="83"/>
      <c r="Q944" s="83"/>
      <c r="R944" s="83"/>
      <c r="S944" s="83"/>
      <c r="T944" s="83"/>
      <c r="U944" s="83"/>
      <c r="V944" s="94"/>
      <c r="W944" s="83"/>
      <c r="X944" s="83"/>
      <c r="Y944" s="83"/>
      <c r="Z944" s="83"/>
      <c r="AA944" s="83"/>
      <c r="AB944" s="83"/>
    </row>
    <row r="945">
      <c r="P945" s="83"/>
      <c r="Q945" s="83"/>
      <c r="R945" s="83"/>
      <c r="S945" s="83"/>
      <c r="T945" s="83"/>
      <c r="U945" s="83"/>
      <c r="V945" s="94"/>
      <c r="W945" s="83"/>
      <c r="X945" s="83"/>
      <c r="Y945" s="83"/>
      <c r="Z945" s="83"/>
      <c r="AA945" s="83"/>
      <c r="AB945" s="83"/>
    </row>
    <row r="946">
      <c r="P946" s="83"/>
      <c r="Q946" s="83"/>
      <c r="R946" s="83"/>
      <c r="S946" s="83"/>
      <c r="T946" s="83"/>
      <c r="U946" s="83"/>
      <c r="V946" s="94"/>
      <c r="W946" s="83"/>
      <c r="X946" s="83"/>
      <c r="Y946" s="83"/>
      <c r="Z946" s="83"/>
      <c r="AA946" s="83"/>
      <c r="AB946" s="83"/>
    </row>
    <row r="947">
      <c r="P947" s="83"/>
      <c r="Q947" s="83"/>
      <c r="R947" s="83"/>
      <c r="S947" s="83"/>
      <c r="T947" s="83"/>
      <c r="U947" s="83"/>
      <c r="V947" s="94"/>
      <c r="W947" s="83"/>
      <c r="X947" s="83"/>
      <c r="Y947" s="83"/>
      <c r="Z947" s="83"/>
      <c r="AA947" s="83"/>
      <c r="AB947" s="83"/>
    </row>
    <row r="948">
      <c r="P948" s="83"/>
      <c r="Q948" s="83"/>
      <c r="R948" s="83"/>
      <c r="S948" s="83"/>
      <c r="T948" s="83"/>
      <c r="U948" s="83"/>
      <c r="V948" s="94"/>
      <c r="W948" s="83"/>
      <c r="X948" s="83"/>
      <c r="Y948" s="83"/>
      <c r="Z948" s="83"/>
      <c r="AA948" s="83"/>
      <c r="AB948" s="83"/>
    </row>
    <row r="949">
      <c r="P949" s="83"/>
      <c r="Q949" s="83"/>
      <c r="R949" s="83"/>
      <c r="S949" s="83"/>
      <c r="T949" s="83"/>
      <c r="U949" s="83"/>
      <c r="V949" s="94"/>
      <c r="W949" s="83"/>
      <c r="X949" s="83"/>
      <c r="Y949" s="83"/>
      <c r="Z949" s="83"/>
      <c r="AA949" s="83"/>
      <c r="AB949" s="83"/>
    </row>
    <row r="950">
      <c r="P950" s="83"/>
      <c r="Q950" s="83"/>
      <c r="R950" s="83"/>
      <c r="S950" s="83"/>
      <c r="T950" s="83"/>
      <c r="U950" s="83"/>
      <c r="V950" s="94"/>
      <c r="W950" s="83"/>
      <c r="X950" s="83"/>
      <c r="Y950" s="83"/>
      <c r="Z950" s="83"/>
      <c r="AA950" s="83"/>
      <c r="AB950" s="83"/>
    </row>
    <row r="951">
      <c r="P951" s="83"/>
      <c r="Q951" s="83"/>
      <c r="R951" s="83"/>
      <c r="S951" s="83"/>
      <c r="T951" s="83"/>
      <c r="U951" s="83"/>
      <c r="V951" s="94"/>
      <c r="W951" s="83"/>
      <c r="X951" s="83"/>
      <c r="Y951" s="83"/>
      <c r="Z951" s="83"/>
      <c r="AA951" s="83"/>
      <c r="AB951" s="83"/>
    </row>
    <row r="952">
      <c r="P952" s="83"/>
      <c r="Q952" s="83"/>
      <c r="R952" s="83"/>
      <c r="S952" s="83"/>
      <c r="T952" s="83"/>
      <c r="U952" s="83"/>
      <c r="V952" s="94"/>
      <c r="W952" s="83"/>
      <c r="X952" s="83"/>
      <c r="Y952" s="83"/>
      <c r="Z952" s="83"/>
      <c r="AA952" s="83"/>
      <c r="AB952" s="83"/>
    </row>
    <row r="953">
      <c r="P953" s="83"/>
      <c r="Q953" s="83"/>
      <c r="R953" s="83"/>
      <c r="S953" s="83"/>
      <c r="T953" s="83"/>
      <c r="U953" s="83"/>
      <c r="V953" s="94"/>
      <c r="W953" s="83"/>
      <c r="X953" s="83"/>
      <c r="Y953" s="83"/>
      <c r="Z953" s="83"/>
      <c r="AA953" s="83"/>
      <c r="AB953" s="83"/>
    </row>
    <row r="954">
      <c r="P954" s="83"/>
      <c r="Q954" s="83"/>
      <c r="R954" s="83"/>
      <c r="S954" s="83"/>
      <c r="T954" s="83"/>
      <c r="U954" s="83"/>
      <c r="V954" s="94"/>
      <c r="W954" s="83"/>
      <c r="X954" s="83"/>
      <c r="Y954" s="83"/>
      <c r="Z954" s="83"/>
      <c r="AA954" s="83"/>
      <c r="AB954" s="83"/>
    </row>
    <row r="955">
      <c r="P955" s="83"/>
      <c r="Q955" s="83"/>
      <c r="R955" s="83"/>
      <c r="S955" s="83"/>
      <c r="T955" s="83"/>
      <c r="U955" s="83"/>
      <c r="V955" s="94"/>
      <c r="W955" s="83"/>
      <c r="X955" s="83"/>
      <c r="Y955" s="83"/>
      <c r="Z955" s="83"/>
      <c r="AA955" s="83"/>
      <c r="AB955" s="83"/>
    </row>
    <row r="956">
      <c r="P956" s="83"/>
      <c r="Q956" s="83"/>
      <c r="R956" s="83"/>
      <c r="S956" s="83"/>
      <c r="T956" s="83"/>
      <c r="U956" s="83"/>
      <c r="V956" s="94"/>
      <c r="W956" s="83"/>
      <c r="X956" s="83"/>
      <c r="Y956" s="83"/>
      <c r="Z956" s="83"/>
      <c r="AA956" s="83"/>
      <c r="AB956" s="83"/>
    </row>
    <row r="957">
      <c r="P957" s="83"/>
      <c r="Q957" s="83"/>
      <c r="R957" s="83"/>
      <c r="S957" s="83"/>
      <c r="T957" s="83"/>
      <c r="U957" s="83"/>
      <c r="V957" s="94"/>
      <c r="W957" s="83"/>
      <c r="X957" s="83"/>
      <c r="Y957" s="83"/>
      <c r="Z957" s="83"/>
      <c r="AA957" s="83"/>
      <c r="AB957" s="83"/>
    </row>
    <row r="958">
      <c r="P958" s="83"/>
      <c r="Q958" s="83"/>
      <c r="R958" s="83"/>
      <c r="S958" s="83"/>
      <c r="T958" s="83"/>
      <c r="U958" s="83"/>
      <c r="V958" s="94"/>
      <c r="W958" s="83"/>
      <c r="X958" s="83"/>
      <c r="Y958" s="83"/>
      <c r="Z958" s="83"/>
      <c r="AA958" s="83"/>
      <c r="AB958" s="83"/>
    </row>
    <row r="959">
      <c r="P959" s="83"/>
      <c r="Q959" s="83"/>
      <c r="R959" s="83"/>
      <c r="S959" s="83"/>
      <c r="T959" s="83"/>
      <c r="U959" s="83"/>
      <c r="V959" s="94"/>
      <c r="W959" s="83"/>
      <c r="X959" s="83"/>
      <c r="Y959" s="83"/>
      <c r="Z959" s="83"/>
      <c r="AA959" s="83"/>
      <c r="AB959" s="83"/>
    </row>
    <row r="960">
      <c r="P960" s="83"/>
      <c r="Q960" s="83"/>
      <c r="R960" s="83"/>
      <c r="S960" s="83"/>
      <c r="T960" s="83"/>
      <c r="U960" s="83"/>
      <c r="V960" s="94"/>
      <c r="W960" s="83"/>
      <c r="X960" s="83"/>
      <c r="Y960" s="83"/>
      <c r="Z960" s="83"/>
      <c r="AA960" s="83"/>
      <c r="AB960" s="83"/>
    </row>
    <row r="961">
      <c r="P961" s="83"/>
      <c r="Q961" s="83"/>
      <c r="R961" s="83"/>
      <c r="S961" s="83"/>
      <c r="T961" s="83"/>
      <c r="U961" s="83"/>
      <c r="V961" s="94"/>
      <c r="W961" s="83"/>
      <c r="X961" s="83"/>
      <c r="Y961" s="83"/>
      <c r="Z961" s="83"/>
      <c r="AA961" s="83"/>
      <c r="AB961" s="83"/>
    </row>
    <row r="962">
      <c r="P962" s="83"/>
      <c r="Q962" s="83"/>
      <c r="R962" s="83"/>
      <c r="S962" s="83"/>
      <c r="T962" s="83"/>
      <c r="U962" s="83"/>
      <c r="V962" s="94"/>
      <c r="W962" s="83"/>
      <c r="X962" s="83"/>
      <c r="Y962" s="83"/>
      <c r="Z962" s="83"/>
      <c r="AA962" s="83"/>
      <c r="AB962" s="83"/>
    </row>
    <row r="963">
      <c r="P963" s="83"/>
      <c r="Q963" s="83"/>
      <c r="R963" s="83"/>
      <c r="S963" s="83"/>
      <c r="T963" s="83"/>
      <c r="U963" s="83"/>
      <c r="V963" s="94"/>
      <c r="W963" s="83"/>
      <c r="X963" s="83"/>
      <c r="Y963" s="83"/>
      <c r="Z963" s="83"/>
      <c r="AA963" s="83"/>
      <c r="AB963" s="83"/>
    </row>
    <row r="964">
      <c r="P964" s="83"/>
      <c r="Q964" s="83"/>
      <c r="R964" s="83"/>
      <c r="S964" s="83"/>
      <c r="T964" s="83"/>
      <c r="U964" s="83"/>
      <c r="V964" s="94"/>
      <c r="W964" s="83"/>
      <c r="X964" s="83"/>
      <c r="Y964" s="83"/>
      <c r="Z964" s="83"/>
      <c r="AA964" s="83"/>
      <c r="AB964" s="83"/>
    </row>
    <row r="965">
      <c r="P965" s="83"/>
      <c r="Q965" s="83"/>
      <c r="R965" s="83"/>
      <c r="S965" s="83"/>
      <c r="T965" s="83"/>
      <c r="U965" s="83"/>
      <c r="V965" s="94"/>
      <c r="W965" s="83"/>
      <c r="X965" s="83"/>
      <c r="Y965" s="83"/>
      <c r="Z965" s="83"/>
      <c r="AA965" s="83"/>
      <c r="AB965" s="83"/>
    </row>
    <row r="966">
      <c r="P966" s="83"/>
      <c r="Q966" s="83"/>
      <c r="R966" s="83"/>
      <c r="S966" s="83"/>
      <c r="T966" s="83"/>
      <c r="U966" s="83"/>
      <c r="V966" s="94"/>
      <c r="W966" s="83"/>
      <c r="X966" s="83"/>
      <c r="Y966" s="83"/>
      <c r="Z966" s="83"/>
      <c r="AA966" s="83"/>
      <c r="AB966" s="83"/>
    </row>
    <row r="967">
      <c r="P967" s="83"/>
      <c r="Q967" s="83"/>
      <c r="R967" s="83"/>
      <c r="S967" s="83"/>
      <c r="T967" s="83"/>
      <c r="U967" s="83"/>
      <c r="V967" s="94"/>
      <c r="W967" s="83"/>
      <c r="X967" s="83"/>
      <c r="Y967" s="83"/>
      <c r="Z967" s="83"/>
      <c r="AA967" s="83"/>
      <c r="AB967" s="83"/>
    </row>
    <row r="968">
      <c r="P968" s="83"/>
      <c r="Q968" s="83"/>
      <c r="R968" s="83"/>
      <c r="S968" s="83"/>
      <c r="T968" s="83"/>
      <c r="U968" s="83"/>
      <c r="V968" s="94"/>
      <c r="W968" s="83"/>
      <c r="X968" s="83"/>
      <c r="Y968" s="83"/>
      <c r="Z968" s="83"/>
      <c r="AA968" s="83"/>
      <c r="AB968" s="83"/>
    </row>
    <row r="969">
      <c r="P969" s="83"/>
      <c r="Q969" s="83"/>
      <c r="R969" s="83"/>
      <c r="S969" s="83"/>
      <c r="T969" s="83"/>
      <c r="U969" s="83"/>
      <c r="V969" s="94"/>
      <c r="W969" s="83"/>
      <c r="X969" s="83"/>
      <c r="Y969" s="83"/>
      <c r="Z969" s="83"/>
      <c r="AA969" s="83"/>
      <c r="AB969" s="83"/>
    </row>
    <row r="970">
      <c r="P970" s="83"/>
      <c r="Q970" s="83"/>
      <c r="R970" s="83"/>
      <c r="S970" s="83"/>
      <c r="T970" s="83"/>
      <c r="U970" s="83"/>
      <c r="V970" s="94"/>
      <c r="W970" s="83"/>
      <c r="X970" s="83"/>
      <c r="Y970" s="83"/>
      <c r="Z970" s="83"/>
      <c r="AA970" s="83"/>
      <c r="AB970" s="83"/>
    </row>
    <row r="971">
      <c r="P971" s="83"/>
      <c r="Q971" s="83"/>
      <c r="R971" s="83"/>
      <c r="S971" s="83"/>
      <c r="T971" s="83"/>
      <c r="U971" s="83"/>
      <c r="V971" s="94"/>
      <c r="W971" s="83"/>
      <c r="X971" s="83"/>
      <c r="Y971" s="83"/>
      <c r="Z971" s="83"/>
      <c r="AA971" s="83"/>
      <c r="AB971" s="83"/>
    </row>
    <row r="972">
      <c r="P972" s="83"/>
      <c r="Q972" s="83"/>
      <c r="R972" s="83"/>
      <c r="S972" s="83"/>
      <c r="T972" s="83"/>
      <c r="U972" s="83"/>
      <c r="V972" s="94"/>
      <c r="W972" s="83"/>
      <c r="X972" s="83"/>
      <c r="Y972" s="83"/>
      <c r="Z972" s="83"/>
      <c r="AA972" s="83"/>
      <c r="AB972" s="83"/>
    </row>
    <row r="973">
      <c r="P973" s="83"/>
      <c r="Q973" s="83"/>
      <c r="R973" s="83"/>
      <c r="S973" s="83"/>
      <c r="T973" s="83"/>
      <c r="U973" s="83"/>
      <c r="V973" s="94"/>
      <c r="W973" s="83"/>
      <c r="X973" s="83"/>
      <c r="Y973" s="83"/>
      <c r="Z973" s="83"/>
      <c r="AA973" s="83"/>
      <c r="AB973" s="83"/>
    </row>
    <row r="974">
      <c r="P974" s="83"/>
      <c r="Q974" s="83"/>
      <c r="R974" s="83"/>
      <c r="S974" s="83"/>
      <c r="T974" s="83"/>
      <c r="U974" s="83"/>
      <c r="V974" s="94"/>
      <c r="W974" s="83"/>
      <c r="X974" s="83"/>
      <c r="Y974" s="83"/>
      <c r="Z974" s="83"/>
      <c r="AA974" s="83"/>
      <c r="AB974" s="83"/>
    </row>
    <row r="975">
      <c r="P975" s="83"/>
      <c r="Q975" s="83"/>
      <c r="R975" s="83"/>
      <c r="S975" s="83"/>
      <c r="T975" s="83"/>
      <c r="U975" s="83"/>
      <c r="V975" s="94"/>
      <c r="W975" s="83"/>
      <c r="X975" s="83"/>
      <c r="Y975" s="83"/>
      <c r="Z975" s="83"/>
      <c r="AA975" s="83"/>
      <c r="AB975" s="83"/>
    </row>
    <row r="976">
      <c r="P976" s="83"/>
      <c r="Q976" s="83"/>
      <c r="R976" s="83"/>
      <c r="S976" s="83"/>
      <c r="T976" s="83"/>
      <c r="U976" s="83"/>
      <c r="V976" s="94"/>
      <c r="W976" s="83"/>
      <c r="X976" s="83"/>
      <c r="Y976" s="83"/>
      <c r="Z976" s="83"/>
      <c r="AA976" s="83"/>
      <c r="AB976" s="83"/>
    </row>
    <row r="977">
      <c r="P977" s="83"/>
      <c r="Q977" s="83"/>
      <c r="R977" s="83"/>
      <c r="S977" s="83"/>
      <c r="T977" s="83"/>
      <c r="U977" s="83"/>
      <c r="V977" s="94"/>
      <c r="W977" s="83"/>
      <c r="X977" s="83"/>
      <c r="Y977" s="83"/>
      <c r="Z977" s="83"/>
      <c r="AA977" s="83"/>
      <c r="AB977" s="83"/>
    </row>
    <row r="978">
      <c r="P978" s="83"/>
      <c r="Q978" s="83"/>
      <c r="R978" s="83"/>
      <c r="S978" s="83"/>
      <c r="T978" s="83"/>
      <c r="U978" s="83"/>
      <c r="V978" s="94"/>
      <c r="W978" s="83"/>
      <c r="X978" s="83"/>
      <c r="Y978" s="83"/>
      <c r="Z978" s="83"/>
      <c r="AA978" s="83"/>
      <c r="AB978" s="83"/>
    </row>
    <row r="979">
      <c r="P979" s="83"/>
      <c r="Q979" s="83"/>
      <c r="R979" s="83"/>
      <c r="S979" s="83"/>
      <c r="T979" s="83"/>
      <c r="U979" s="83"/>
      <c r="V979" s="94"/>
      <c r="W979" s="83"/>
      <c r="X979" s="83"/>
      <c r="Y979" s="83"/>
      <c r="Z979" s="83"/>
      <c r="AA979" s="83"/>
      <c r="AB979" s="83"/>
    </row>
    <row r="980">
      <c r="P980" s="83"/>
      <c r="Q980" s="83"/>
      <c r="R980" s="83"/>
      <c r="S980" s="83"/>
      <c r="T980" s="83"/>
      <c r="U980" s="83"/>
      <c r="V980" s="94"/>
      <c r="W980" s="83"/>
      <c r="X980" s="83"/>
      <c r="Y980" s="83"/>
      <c r="Z980" s="83"/>
      <c r="AA980" s="83"/>
      <c r="AB980" s="83"/>
    </row>
    <row r="981">
      <c r="P981" s="83"/>
      <c r="Q981" s="83"/>
      <c r="R981" s="83"/>
      <c r="S981" s="83"/>
      <c r="T981" s="83"/>
      <c r="U981" s="83"/>
      <c r="V981" s="94"/>
      <c r="W981" s="83"/>
      <c r="X981" s="83"/>
      <c r="Y981" s="83"/>
      <c r="Z981" s="83"/>
      <c r="AA981" s="83"/>
      <c r="AB981" s="83"/>
    </row>
    <row r="982">
      <c r="P982" s="83"/>
      <c r="Q982" s="83"/>
      <c r="R982" s="83"/>
      <c r="S982" s="83"/>
      <c r="T982" s="83"/>
      <c r="U982" s="83"/>
      <c r="V982" s="94"/>
      <c r="W982" s="83"/>
      <c r="X982" s="83"/>
      <c r="Y982" s="83"/>
      <c r="Z982" s="83"/>
      <c r="AA982" s="83"/>
      <c r="AB982" s="83"/>
    </row>
    <row r="983">
      <c r="P983" s="83"/>
      <c r="Q983" s="83"/>
      <c r="R983" s="83"/>
      <c r="S983" s="83"/>
      <c r="T983" s="83"/>
      <c r="U983" s="83"/>
      <c r="V983" s="94"/>
      <c r="W983" s="83"/>
      <c r="X983" s="83"/>
      <c r="Y983" s="83"/>
      <c r="Z983" s="83"/>
      <c r="AA983" s="83"/>
      <c r="AB983" s="83"/>
    </row>
    <row r="984">
      <c r="P984" s="83"/>
      <c r="Q984" s="83"/>
      <c r="R984" s="83"/>
      <c r="S984" s="83"/>
      <c r="T984" s="83"/>
      <c r="U984" s="83"/>
      <c r="V984" s="94"/>
      <c r="W984" s="83"/>
      <c r="X984" s="83"/>
      <c r="Y984" s="83"/>
      <c r="Z984" s="83"/>
      <c r="AA984" s="83"/>
      <c r="AB984" s="83"/>
    </row>
    <row r="985">
      <c r="P985" s="83"/>
      <c r="Q985" s="83"/>
      <c r="R985" s="83"/>
      <c r="S985" s="83"/>
      <c r="T985" s="83"/>
      <c r="U985" s="83"/>
      <c r="V985" s="94"/>
      <c r="W985" s="83"/>
      <c r="X985" s="83"/>
      <c r="Y985" s="83"/>
      <c r="Z985" s="83"/>
      <c r="AA985" s="83"/>
      <c r="AB985" s="83"/>
    </row>
    <row r="986">
      <c r="P986" s="83"/>
      <c r="Q986" s="83"/>
      <c r="R986" s="83"/>
      <c r="S986" s="83"/>
      <c r="T986" s="83"/>
      <c r="U986" s="83"/>
      <c r="V986" s="94"/>
      <c r="W986" s="83"/>
      <c r="X986" s="83"/>
      <c r="Y986" s="83"/>
      <c r="Z986" s="83"/>
      <c r="AA986" s="83"/>
      <c r="AB986" s="83"/>
    </row>
    <row r="987">
      <c r="P987" s="83"/>
      <c r="Q987" s="83"/>
      <c r="R987" s="83"/>
      <c r="S987" s="83"/>
      <c r="T987" s="83"/>
      <c r="U987" s="83"/>
      <c r="V987" s="94"/>
      <c r="W987" s="83"/>
      <c r="X987" s="83"/>
      <c r="Y987" s="83"/>
      <c r="Z987" s="83"/>
      <c r="AA987" s="83"/>
      <c r="AB987" s="83"/>
    </row>
    <row r="988">
      <c r="P988" s="83"/>
      <c r="Q988" s="83"/>
      <c r="R988" s="83"/>
      <c r="S988" s="83"/>
      <c r="T988" s="83"/>
      <c r="U988" s="83"/>
      <c r="V988" s="94"/>
      <c r="W988" s="83"/>
      <c r="X988" s="83"/>
      <c r="Y988" s="83"/>
      <c r="Z988" s="83"/>
      <c r="AA988" s="83"/>
      <c r="AB988" s="83"/>
    </row>
    <row r="989">
      <c r="P989" s="83"/>
      <c r="Q989" s="83"/>
      <c r="R989" s="83"/>
      <c r="S989" s="83"/>
      <c r="T989" s="83"/>
      <c r="U989" s="83"/>
      <c r="V989" s="94"/>
      <c r="W989" s="83"/>
      <c r="X989" s="83"/>
      <c r="Y989" s="83"/>
      <c r="Z989" s="83"/>
      <c r="AA989" s="83"/>
      <c r="AB989" s="83"/>
    </row>
    <row r="990">
      <c r="P990" s="83"/>
      <c r="Q990" s="83"/>
      <c r="R990" s="83"/>
      <c r="S990" s="83"/>
      <c r="T990" s="83"/>
      <c r="U990" s="83"/>
      <c r="V990" s="94"/>
      <c r="W990" s="83"/>
      <c r="X990" s="83"/>
      <c r="Y990" s="83"/>
      <c r="Z990" s="83"/>
      <c r="AA990" s="83"/>
      <c r="AB990" s="83"/>
    </row>
    <row r="991">
      <c r="P991" s="83"/>
      <c r="Q991" s="83"/>
      <c r="R991" s="83"/>
      <c r="S991" s="83"/>
      <c r="T991" s="83"/>
      <c r="U991" s="83"/>
      <c r="V991" s="94"/>
      <c r="W991" s="83"/>
      <c r="X991" s="83"/>
      <c r="Y991" s="83"/>
      <c r="Z991" s="83"/>
      <c r="AA991" s="83"/>
      <c r="AB991" s="83"/>
    </row>
    <row r="992">
      <c r="P992" s="83"/>
      <c r="Q992" s="83"/>
      <c r="R992" s="83"/>
      <c r="S992" s="83"/>
      <c r="T992" s="83"/>
      <c r="U992" s="83"/>
      <c r="V992" s="94"/>
      <c r="W992" s="83"/>
      <c r="X992" s="83"/>
      <c r="Y992" s="83"/>
      <c r="Z992" s="83"/>
      <c r="AA992" s="83"/>
      <c r="AB992" s="83"/>
    </row>
    <row r="993">
      <c r="P993" s="83"/>
      <c r="Q993" s="83"/>
      <c r="R993" s="83"/>
      <c r="S993" s="83"/>
      <c r="T993" s="83"/>
      <c r="U993" s="83"/>
      <c r="V993" s="94"/>
      <c r="W993" s="83"/>
      <c r="X993" s="83"/>
      <c r="Y993" s="83"/>
      <c r="Z993" s="83"/>
      <c r="AA993" s="83"/>
      <c r="AB993" s="83"/>
    </row>
    <row r="994">
      <c r="P994" s="83"/>
      <c r="Q994" s="83"/>
      <c r="R994" s="83"/>
      <c r="S994" s="83"/>
      <c r="T994" s="83"/>
      <c r="U994" s="83"/>
      <c r="V994" s="94"/>
      <c r="W994" s="83"/>
      <c r="X994" s="83"/>
      <c r="Y994" s="83"/>
      <c r="Z994" s="83"/>
      <c r="AA994" s="83"/>
      <c r="AB994" s="83"/>
    </row>
    <row r="995">
      <c r="P995" s="83"/>
      <c r="Q995" s="83"/>
      <c r="R995" s="83"/>
      <c r="S995" s="83"/>
      <c r="T995" s="83"/>
      <c r="U995" s="83"/>
      <c r="V995" s="94"/>
      <c r="W995" s="83"/>
      <c r="X995" s="83"/>
      <c r="Y995" s="83"/>
      <c r="Z995" s="83"/>
      <c r="AA995" s="83"/>
      <c r="AB995" s="83"/>
    </row>
    <row r="996">
      <c r="P996" s="83"/>
      <c r="Q996" s="83"/>
      <c r="R996" s="83"/>
      <c r="S996" s="83"/>
      <c r="T996" s="83"/>
      <c r="U996" s="83"/>
      <c r="V996" s="94"/>
      <c r="W996" s="83"/>
      <c r="X996" s="83"/>
      <c r="Y996" s="83"/>
      <c r="Z996" s="83"/>
      <c r="AA996" s="83"/>
      <c r="AB996" s="83"/>
    </row>
    <row r="997">
      <c r="P997" s="83"/>
      <c r="Q997" s="83"/>
      <c r="R997" s="83"/>
      <c r="S997" s="83"/>
      <c r="T997" s="83"/>
      <c r="U997" s="83"/>
      <c r="V997" s="94"/>
      <c r="W997" s="83"/>
      <c r="X997" s="83"/>
      <c r="Y997" s="83"/>
      <c r="Z997" s="83"/>
      <c r="AA997" s="83"/>
      <c r="AB997" s="83"/>
    </row>
  </sheetData>
  <mergeCells count="53">
    <mergeCell ref="Y3:Z3"/>
    <mergeCell ref="R4:S4"/>
    <mergeCell ref="T4:U4"/>
    <mergeCell ref="Y4:Z4"/>
    <mergeCell ref="B1:G1"/>
    <mergeCell ref="I1:N1"/>
    <mergeCell ref="P1:Y1"/>
    <mergeCell ref="B2:B5"/>
    <mergeCell ref="F2:G2"/>
    <mergeCell ref="AA2:AA4"/>
    <mergeCell ref="F3:G3"/>
    <mergeCell ref="T5:U5"/>
    <mergeCell ref="M24:N24"/>
    <mergeCell ref="M25:N25"/>
    <mergeCell ref="I2:I5"/>
    <mergeCell ref="K3:K5"/>
    <mergeCell ref="I6:I21"/>
    <mergeCell ref="I23:N23"/>
    <mergeCell ref="I24:I27"/>
    <mergeCell ref="K24:L24"/>
    <mergeCell ref="K25:K27"/>
    <mergeCell ref="M27:N27"/>
    <mergeCell ref="K2:L2"/>
    <mergeCell ref="M2:N2"/>
    <mergeCell ref="P2:P5"/>
    <mergeCell ref="Q2:Q4"/>
    <mergeCell ref="P6:P43"/>
    <mergeCell ref="R2:S2"/>
    <mergeCell ref="Y2:Z2"/>
    <mergeCell ref="M3:N3"/>
    <mergeCell ref="R3:S3"/>
    <mergeCell ref="F5:G5"/>
    <mergeCell ref="M5:N5"/>
    <mergeCell ref="F6:G6"/>
    <mergeCell ref="M6:N6"/>
    <mergeCell ref="T6:U6"/>
    <mergeCell ref="T7:U7"/>
    <mergeCell ref="T8:U8"/>
    <mergeCell ref="T9:U9"/>
    <mergeCell ref="F24:G24"/>
    <mergeCell ref="F25:G25"/>
    <mergeCell ref="I28:I43"/>
    <mergeCell ref="M28:N28"/>
    <mergeCell ref="B24:B27"/>
    <mergeCell ref="B28:B43"/>
    <mergeCell ref="D2:E2"/>
    <mergeCell ref="D3:D5"/>
    <mergeCell ref="B6:B21"/>
    <mergeCell ref="B23:G23"/>
    <mergeCell ref="D24:E24"/>
    <mergeCell ref="D25:D27"/>
    <mergeCell ref="F27:G27"/>
    <mergeCell ref="F28:G28"/>
  </mergeCells>
  <conditionalFormatting sqref="T11:T43">
    <cfRule type="expression" dxfId="2" priority="1">
      <formula>AND(U11 = FALSE, V11 &gt; ($H$22 - $P$6))</formula>
    </cfRule>
  </conditionalFormatting>
  <conditionalFormatting sqref="U11:U43 X11:X43">
    <cfRule type="expression" dxfId="7" priority="2">
      <formula>T11 = ""</formula>
    </cfRule>
  </conditionalFormatting>
  <conditionalFormatting sqref="S20:S43">
    <cfRule type="expression" dxfId="7" priority="3">
      <formula>R20 = ""</formula>
    </cfRule>
  </conditionalFormatting>
  <dataValidations>
    <dataValidation type="list" allowBlank="1" sqref="F5">
      <formula1>Variables!$G:$G</formula1>
    </dataValidation>
    <dataValidation type="list" allowBlank="1" showErrorMessage="1" sqref="Y3">
      <formula1>Variables!$S$2:$S$1000</formula1>
    </dataValidation>
    <dataValidation type="list" allowBlank="1" showErrorMessage="1" sqref="U3 W3">
      <formula1>"1,2"</formula1>
    </dataValidation>
    <dataValidation type="list" allowBlank="1" showErrorMessage="1" sqref="M3">
      <formula1>Variables!$H2:$H100</formula1>
    </dataValidation>
    <dataValidation type="list" allowBlank="1" showErrorMessage="1" sqref="F25">
      <formula1>Variables!$J2:$J100</formula1>
    </dataValidation>
    <dataValidation type="list" allowBlank="1" sqref="F27 M27">
      <formula1>Variables!$G$2:$G$1000</formula1>
    </dataValidation>
    <dataValidation type="list" allowBlank="1" showErrorMessage="1" sqref="T3">
      <formula1>Campaigns!$A$3:$A$984</formula1>
    </dataValidation>
    <dataValidation type="list" allowBlank="1" showErrorMessage="1" sqref="M5">
      <formula1>Variables!$I$2:$I$1000</formula1>
    </dataValidation>
    <dataValidation type="list" allowBlank="1" sqref="C3 J3 C25 J25">
      <formula1>'Heroes 1.1'!$A$4:$A$63</formula1>
    </dataValidation>
    <dataValidation type="list" allowBlank="1" showErrorMessage="1" sqref="F3">
      <formula1>Variables!$F$2:$F$100</formula1>
    </dataValidation>
    <dataValidation type="list" allowBlank="1" showErrorMessage="1" sqref="R3">
      <formula1>"Basic I,Basic II"</formula1>
    </dataValidation>
    <dataValidation type="list" allowBlank="1" showErrorMessage="1" sqref="C7:C18 J7:J18 C29:C40 J29:J40">
      <formula1>'Shop Items'!$C$2:$C$250</formula1>
    </dataValidation>
    <dataValidation type="list" allowBlank="1" showErrorMessage="1" sqref="V3">
      <formula1>Variables!$N$2:$N$1000</formula1>
    </dataValidation>
    <dataValidation type="list" allowBlank="1" showErrorMessage="1" sqref="R20:R43">
      <formula1>vote4OVERLORD!$B:$B</formula1>
    </dataValidation>
    <dataValidation type="list" allowBlank="1" showErrorMessage="1" sqref="M25">
      <formula1>Variables!$L2:$L100</formula1>
    </dataValidation>
  </dataValidations>
  <hyperlinks>
    <hyperlink r:id="rId1" ref="C21"/>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2" width="6.75"/>
    <col customWidth="1" min="3" max="3" width="15.88"/>
    <col customWidth="1" min="4" max="4" width="4.0"/>
    <col customWidth="1" min="5" max="5" width="6.75"/>
    <col customWidth="1" min="6" max="6" width="8.25"/>
    <col customWidth="1" min="7" max="7" width="19.75"/>
    <col customWidth="1" min="8" max="8" width="4.38"/>
    <col customWidth="1" min="9" max="9" width="12.75"/>
    <col customWidth="1" min="10" max="10" width="50.13"/>
    <col customWidth="1" min="11" max="11" width="4.75"/>
    <col customWidth="1" min="12" max="12" width="13.75"/>
    <col customWidth="1" min="13" max="13" width="4.25"/>
    <col customWidth="1" min="14" max="14" width="20.0"/>
    <col customWidth="1" min="15" max="15" width="5.13"/>
    <col customWidth="1" min="16" max="16" width="20.0"/>
    <col customWidth="1" min="17" max="17" width="5.13"/>
    <col customWidth="1" min="18" max="18" width="18.5"/>
    <col customWidth="1" min="19" max="19" width="4.5"/>
    <col customWidth="1" min="20" max="20" width="3.13"/>
    <col customWidth="1" min="21" max="21" width="2.63"/>
    <col customWidth="1" min="22" max="22" width="5.5"/>
    <col customWidth="1" min="23" max="23" width="6.0"/>
    <col customWidth="1" min="24" max="31" width="7.63"/>
  </cols>
  <sheetData>
    <row r="1" ht="80.25" customHeight="1">
      <c r="A1" s="296" t="s">
        <v>1413</v>
      </c>
      <c r="B1" s="297" t="s">
        <v>1502</v>
      </c>
      <c r="C1" s="298" t="s">
        <v>435</v>
      </c>
      <c r="D1" s="296" t="s">
        <v>1484</v>
      </c>
      <c r="E1" s="298" t="s">
        <v>1485</v>
      </c>
      <c r="F1" s="299" t="s">
        <v>1503</v>
      </c>
      <c r="G1" s="300" t="s">
        <v>1487</v>
      </c>
      <c r="H1" s="301" t="s">
        <v>1504</v>
      </c>
      <c r="I1" s="299" t="s">
        <v>1488</v>
      </c>
      <c r="J1" s="302" t="s">
        <v>670</v>
      </c>
      <c r="K1" s="301" t="s">
        <v>671</v>
      </c>
      <c r="L1" s="300" t="s">
        <v>1505</v>
      </c>
      <c r="M1" s="301" t="s">
        <v>1506</v>
      </c>
      <c r="N1" s="303" t="s">
        <v>1507</v>
      </c>
      <c r="O1" s="304" t="s">
        <v>1508</v>
      </c>
      <c r="P1" s="305" t="s">
        <v>1509</v>
      </c>
      <c r="Q1" s="304" t="s">
        <v>1510</v>
      </c>
      <c r="R1" s="305" t="s">
        <v>1511</v>
      </c>
      <c r="S1" s="306" t="s">
        <v>1512</v>
      </c>
      <c r="T1" s="301" t="s">
        <v>1513</v>
      </c>
      <c r="U1" s="307" t="s">
        <v>1514</v>
      </c>
      <c r="V1" s="304" t="s">
        <v>1515</v>
      </c>
      <c r="W1" s="308" t="s">
        <v>1400</v>
      </c>
      <c r="X1" s="309" t="s">
        <v>1516</v>
      </c>
      <c r="Y1" s="309" t="s">
        <v>1517</v>
      </c>
      <c r="Z1" s="309" t="s">
        <v>1518</v>
      </c>
      <c r="AA1" s="309" t="s">
        <v>1519</v>
      </c>
      <c r="AB1" s="226"/>
      <c r="AC1" s="226"/>
      <c r="AD1" s="226"/>
      <c r="AE1" s="226"/>
    </row>
    <row r="2" hidden="1">
      <c r="A2" s="310">
        <v>2.0</v>
      </c>
      <c r="B2" s="93">
        <f t="shared" ref="B2:B184" si="1"> IFERROR(
IFS(
AND(A2=1, D2 &gt;0),
IFS(W2 &lt; 5, 1, AND(W2 &gt;= 5, W2 &lt; 9), 2, AND(W2 &gt;= 9, W2 &lt; 13), 3, W2 &gt;= 13, 4),
AND(A2=2, D2 &gt;0),
IFS(W2 &lt;= 4, 5, AND(W2 &gt; 4, W2 &lt;= 10), 6, AND(W2 &gt; 10, W2 &lt;= 15), 7, W2 &gt; 15, 8)
)
,)</f>
        <v>8</v>
      </c>
      <c r="C2" s="310" t="s">
        <v>757</v>
      </c>
      <c r="D2" s="310">
        <v>175.0</v>
      </c>
      <c r="E2" s="310" t="s">
        <v>1520</v>
      </c>
      <c r="F2" s="310" t="s">
        <v>1521</v>
      </c>
      <c r="G2" s="311" t="s">
        <v>1522</v>
      </c>
      <c r="H2" s="312">
        <f>IFERROR(__xludf.DUMMYFUNCTION(" IF(ISBLANK(G2),,
SWITCH(
LEN(G2) - LEN(SUBSTITUTE(G2,"","","""")),
0 , VLOOKUP(G2, Variables!$A:$B, 2, FALSE),
1 , VLOOKUP(index(split(G2 ,"", "", FALSE),1,1), Variables!$A:$B , 2, FALSE) + VLOOKUP(index(split(G2 ,"", "", FALSE),1,2), Variables!$A:$B , 2"&amp;", FALSE),
2 , VLOOKUP(index(split(G2 ,"", "", FALSE),1,1), Variables!$A:$B , 2, FALSE) + VLOOKUP(index(split(G2 ,"", "", FALSE),1,2), Variables!$A:$B , 2, FALSE) + VLOOKUP(index(split(G2 ,"", "", FALSE),1,3), Variables!$A:$B , 2, FALSE),
3 , VLOOKUP(index"&amp;"(split(G2 ,"", "", FALSE),1,1), Variables!$A:$B , 2, FALSE) + VLOOKUP(index(split(G2 ,"", "", FALSE),1,2), Variables!$A:$B , 2, FALSE) + VLOOKUP(index(split(G2 ,"", "", FALSE),1,3), Variables!$A:$B , 2, FALSE) + VLOOKUP(index(split(G2 ,"", "", FALSE),1,4)"&amp;", Variables!$A:$B , 2, FALSE),
)
)"),3.9999999999999996)</f>
        <v>4</v>
      </c>
      <c r="I2" s="310" t="s">
        <v>1523</v>
      </c>
      <c r="J2" s="313" t="s">
        <v>758</v>
      </c>
      <c r="K2" s="314">
        <f>IFERROR(VLOOKUP(C2,vote4ITEMS!$A:$C, 3, FALSE),)</f>
        <v>6.5</v>
      </c>
      <c r="L2" s="313" t="s">
        <v>1099</v>
      </c>
      <c r="M2" s="315">
        <f>IFERROR(__xludf.DUMMYFUNCTION("IF(ISBLANK(L2),,
SWITCH(
LEN(L2) - LEN(SUBSTITUTE(L2,"","","""")),
0 , VLOOKUP(L2, vote4TRAITS!$A:$C , 3, FALSE),
1 , VLOOKUP(index(split(L2 ,"", "", FALSE),1,1), vote4TRAITS!$A:$C , 3, FALSE) + VLOOKUP(index(split(L2 ,"", "", FALSE),1,2), vote4TRAITS!$A:"&amp;"$C , 3, FALSE),
2 , VLOOKUP(index(split(L2 ,"", "", FALSE),1,1), vote4TRAITS!$A:$C , 3, FALSE) + VLOOKUP(index(split(L2 ,"", "", FALSE),1,2), vote4TRAITS!$A:$C , 3, FALSE) + VLOOKUP(index(split(L2 ,"", "", FALSE),1,3), vote4TRAITS!$A:$C , 3, FALSE),
3 , V"&amp;"LOOKUP(index(split(L2 ,"", "", FALSE),1,1), vote4TRAITS!$A:$C , 3, FALSE) + VLOOKUP(index(split(L2 ,"", "", FALSE),1,2), vote4TRAITS!$A:$C , 3, FALSE) + VLOOKUP(index(split(L2 ,"", "", FALSE),1,3), vote4TRAITS!$A:$C , 3, FALSE) + VLOOKUP(index(split(L2 ,"&amp;""", "", FALSE),1,4), vote4TRAITS!$A:$C , 3, FALSE)
))"),6.5)</f>
        <v>6.5</v>
      </c>
      <c r="N2" s="316" t="s">
        <v>1524</v>
      </c>
      <c r="O2" s="317">
        <f>IF(ISBLANK(N2),,IFERROR(
IF(IFERROR(SEARCH("SS:",N2),0) &gt; 0, 
VLOOKUP(SUBSTITUTE(N2,"SS: ",""),vote4SURGE!$A:$C , 3, FALSE) - 2,
VLOOKUP(SUBSTITUTE(N2,"S: ",""),vote4SURGE!$A:$C , 3, FALSE)
)
,
IF(IFERROR(SEARCH("SS:",N2),0) &gt; 0, 
VLOOKUP(C2,vote4SURGE!$A:$C , 3, FALSE) - 2,
VLOOKUP(C2,vote4SURGE!$A:$C , 3, FALSE)
)
))</f>
        <v>4.5</v>
      </c>
      <c r="P2" s="318"/>
      <c r="Q2" s="317" t="str">
        <f>IF(ISBLANK(P2),,IFERROR(
IF(IFERROR(SEARCH("SS:",P2),0) &gt; 0, 
VLOOKUP(SUBSTITUTE(P2,"SS: ",""),vote4SURGE!$A:$C , 3, FALSE) - 2,
VLOOKUP(SUBSTITUTE(P2,"S: ",""),vote4SURGE!$A:$C , 3, FALSE)
)
,
IF(IFERROR(SEARCH("SS:",P2),0) &gt; 0, 
VLOOKUP(C2,vote4SURGE!$A:$C , 3, FALSE) - 2,
VLOOKUP(C2,vote4SURGE!$A:$C , 3, FALSE)
)
))</f>
        <v/>
      </c>
      <c r="R2" s="318"/>
      <c r="S2" s="319" t="str">
        <f>IF(ISBLANK(R2),,IFERROR(
IF(IFERROR(SEARCH("SS:",R2),0) &gt; 0, 
VLOOKUP(SUBSTITUTE(R2,"SS: ",""),vote4SURGE!$A:$C , 3, FALSE) - 2,
VLOOKUP(SUBSTITUTE(R2,"S: ",""),vote4SURGE!$A:$C , 3, FALSE)
)
,
IF(IFERROR(SEARCH("SS:",R2),0) &gt; 0, 
VLOOKUP(C2,vote4SURGE!$A:$C , 3, FALSE) - 2,
VLOOKUP(C2,vote4SURGE!$A:$C , 3, FALSE)
)
))</f>
        <v/>
      </c>
      <c r="T2" s="320">
        <f t="shared" ref="T2:T184" si="2">SUM(
IF(ISBLANK(N2),,IF(IFERROR(SEARCH("SS:",N2),0) &gt; 0, 2, 1)),
IF(ISBLANK(P2),,IF(IFERROR(SEARCH("SS:",P2),0) &gt; 0, 2, 1)),
IF(ISBLANK(R2),,IF(IFERROR(SEARCH("SS:",R2),0) &gt; 0, 2, 1)),
)</f>
        <v>1</v>
      </c>
      <c r="U2" s="320">
        <f>IFERROR(__xludf.DUMMYFUNCTION("ROUND(
IF(ISBLANK(G2),,
SWITCH(
LEN(G2) - LEN(SUBSTITUTE(G2,"","","""")),
0 , VLOOKUP(G2, Variables!$A:$C, 3, FALSE),
1 , VLOOKUP(index(split(G2 ,"", "", FALSE),1,1), Variables!$A:$C , 3, FALSE) + VLOOKUP(index(split(G2 ,"", "", FALSE),1,2), Variables!$A:"&amp;"$C , 3, FALSE),
2 , VLOOKUP(index(split(G2 ,"", "", FALSE),1,1), Variables!$A:$C , 3, FALSE) + VLOOKUP(index(split(G2 ,"", "", FALSE),1,2), Variables!$A:$C , 3, FALSE) + VLOOKUP(index(split(G2 ,"", "", FALSE),1,3), Variables!$A:$C , 3, FALSE),
3 , VLOOKUP"&amp;"(index(split(G2 ,"", "", FALSE),1,1), Variables!$A:$C , 3, FALSE) + VLOOKUP(index(split(G2 ,"", "", FALSE),1,2), Variables!$A:$C , 3, FALSE) + VLOOKUP(index(split(G2 ,"", "", FALSE),1,3), Variables!$A:$C , 3, FALSE) + VLOOKUP(index(split(G2 ,"", "", FALSE"&amp;"),1,4), Variables!$A:$C , 3, FALSE),
)
)
)"),1.0)</f>
        <v>1</v>
      </c>
      <c r="V2" s="317">
        <f t="shared" ref="V2:V184" si="3">IF(T2 &gt; 1, 
MAX(O2,Q2,S2) + 
(IF(OR(T2 = 0,U2 = 0), 1 ,(U2 / T2)) * (SUM(O2,Q2,S2) - MAX(O2,Q2,S2)))
,
IF(OR(T2 = 0,U2 = 0), 1 ,(U2 / T2)) * SUM(O2,Q2,S2)
)</f>
        <v>4.5</v>
      </c>
      <c r="W2" s="321">
        <f t="shared" ref="W2:W184" si="4">SUM(H2,,K2,M2,V2)</f>
        <v>21.5</v>
      </c>
      <c r="X2" s="118"/>
      <c r="Y2" s="118"/>
      <c r="Z2" s="118"/>
      <c r="AA2" s="322"/>
      <c r="AB2" s="322"/>
      <c r="AC2" s="322"/>
      <c r="AD2" s="322"/>
      <c r="AE2" s="322"/>
    </row>
    <row r="3">
      <c r="A3" s="310">
        <v>1.0</v>
      </c>
      <c r="B3" s="93">
        <f t="shared" si="1"/>
        <v>4</v>
      </c>
      <c r="C3" s="310" t="s">
        <v>685</v>
      </c>
      <c r="D3" s="310">
        <v>175.0</v>
      </c>
      <c r="E3" s="310" t="s">
        <v>1520</v>
      </c>
      <c r="F3" s="310" t="s">
        <v>1521</v>
      </c>
      <c r="G3" s="313" t="s">
        <v>1525</v>
      </c>
      <c r="H3" s="312">
        <f>IFERROR(__xludf.DUMMYFUNCTION(" IF(ISBLANK(G3),,
SWITCH(
LEN(G3) - LEN(SUBSTITUTE(G3,"","","""")),
0 , VLOOKUP(G3, Variables!$A:$B, 2, FALSE),
1 , VLOOKUP(index(split(G3 ,"", "", FALSE),1,1), Variables!$A:$B , 2, FALSE) + VLOOKUP(index(split(G3 ,"", "", FALSE),1,2), Variables!$A:$B , 2"&amp;", FALSE),
2 , VLOOKUP(index(split(G3 ,"", "", FALSE),1,1), Variables!$A:$B , 2, FALSE) + VLOOKUP(index(split(G3 ,"", "", FALSE),1,2), Variables!$A:$B , 2, FALSE) + VLOOKUP(index(split(G3 ,"", "", FALSE),1,3), Variables!$A:$B , 2, FALSE),
3 , VLOOKUP(index"&amp;"(split(G3 ,"", "", FALSE),1,1), Variables!$A:$B , 2, FALSE) + VLOOKUP(index(split(G3 ,"", "", FALSE),1,2), Variables!$A:$B , 2, FALSE) + VLOOKUP(index(split(G3 ,"", "", FALSE),1,3), Variables!$A:$B , 2, FALSE) + VLOOKUP(index(split(G3 ,"", "", FALSE),1,4)"&amp;", Variables!$A:$B , 2, FALSE),
)
)"),3.333333333333333)</f>
        <v>3.333333333</v>
      </c>
      <c r="I3" s="310" t="s">
        <v>1526</v>
      </c>
      <c r="J3" s="313" t="s">
        <v>686</v>
      </c>
      <c r="K3" s="314">
        <f>IFERROR(VLOOKUP(C3,vote4ITEMS!$A:$C, 3, FALSE),)</f>
        <v>6.333333333</v>
      </c>
      <c r="L3" s="313" t="s">
        <v>1076</v>
      </c>
      <c r="M3" s="315">
        <f>IFERROR(__xludf.DUMMYFUNCTION("IF(ISBLANK(L3),,
SWITCH(
LEN(L3) - LEN(SUBSTITUTE(L3,"","","""")),
0 , VLOOKUP(L3, vote4TRAITS!$A:$C , 3, FALSE),
1 , VLOOKUP(index(split(L3 ,"", "", FALSE),1,1), vote4TRAITS!$A:$C , 3, FALSE) + VLOOKUP(index(split(L3 ,"", "", FALSE),1,2), vote4TRAITS!$A:"&amp;"$C , 3, FALSE),
2 , VLOOKUP(index(split(L3 ,"", "", FALSE),1,1), vote4TRAITS!$A:$C , 3, FALSE) + VLOOKUP(index(split(L3 ,"", "", FALSE),1,2), vote4TRAITS!$A:$C , 3, FALSE) + VLOOKUP(index(split(L3 ,"", "", FALSE),1,3), vote4TRAITS!$A:$C , 3, FALSE),
3 , V"&amp;"LOOKUP(index(split(L3 ,"", "", FALSE),1,1), vote4TRAITS!$A:$C , 3, FALSE) + VLOOKUP(index(split(L3 ,"", "", FALSE),1,2), vote4TRAITS!$A:$C , 3, FALSE) + VLOOKUP(index(split(L3 ,"", "", FALSE),1,3), vote4TRAITS!$A:$C , 3, FALSE) + VLOOKUP(index(split(L3 ,"&amp;""", "", FALSE),1,4), vote4TRAITS!$A:$C , 3, FALSE)
))"),5.5)</f>
        <v>5.5</v>
      </c>
      <c r="N3" s="316" t="s">
        <v>1524</v>
      </c>
      <c r="O3" s="317">
        <f>IF(ISBLANK(N3),,IFERROR(
IF(IFERROR(SEARCH("SS:",N3),0) &gt; 0, 
VLOOKUP(SUBSTITUTE(N3,"SS: ",""),vote4SURGE!$A:$C , 3, FALSE) - 2,
VLOOKUP(SUBSTITUTE(N3,"S: ",""),vote4SURGE!$A:$C , 3, FALSE)
)
,
IF(IFERROR(SEARCH("SS:",N3),0) &gt; 0, 
VLOOKUP(C3,vote4SURGE!$A:$C , 3, FALSE) - 2,
VLOOKUP(C3,vote4SURGE!$A:$C , 3, FALSE)
)
))</f>
        <v>4.5</v>
      </c>
      <c r="P3" s="318"/>
      <c r="Q3" s="317" t="str">
        <f>IF(ISBLANK(P3),,IFERROR(
IF(IFERROR(SEARCH("SS:",P3),0) &gt; 0, 
VLOOKUP(SUBSTITUTE(P3,"SS: ",""),vote4SURGE!$A:$C , 3, FALSE) - 2,
VLOOKUP(SUBSTITUTE(P3,"S: ",""),vote4SURGE!$A:$C , 3, FALSE)
)
,
IF(IFERROR(SEARCH("SS:",P3),0) &gt; 0, 
VLOOKUP(C3,vote4SURGE!$A:$C , 3, FALSE) - 2,
VLOOKUP(C3,vote4SURGE!$A:$C , 3, FALSE)
)
))</f>
        <v/>
      </c>
      <c r="R3" s="318"/>
      <c r="S3" s="319" t="str">
        <f>IF(ISBLANK(R3),,IFERROR(
IF(IFERROR(SEARCH("SS:",R3),0) &gt; 0, 
VLOOKUP(SUBSTITUTE(R3,"SS: ",""),vote4SURGE!$A:$C , 3, FALSE) - 2,
VLOOKUP(SUBSTITUTE(R3,"S: ",""),vote4SURGE!$A:$C , 3, FALSE)
)
,
IF(IFERROR(SEARCH("SS:",R3),0) &gt; 0, 
VLOOKUP(C3,vote4SURGE!$A:$C , 3, FALSE) - 2,
VLOOKUP(C3,vote4SURGE!$A:$C , 3, FALSE)
)
))</f>
        <v/>
      </c>
      <c r="T3" s="320">
        <f t="shared" si="2"/>
        <v>1</v>
      </c>
      <c r="U3" s="320">
        <f>IFERROR(__xludf.DUMMYFUNCTION("ROUND(
IF(ISBLANK(G3),,
SWITCH(
LEN(G3) - LEN(SUBSTITUTE(G3,"","","""")),
0 , VLOOKUP(G3, Variables!$A:$C, 3, FALSE),
1 , VLOOKUP(index(split(G3 ,"", "", FALSE),1,1), Variables!$A:$C , 3, FALSE) + VLOOKUP(index(split(G3 ,"", "", FALSE),1,2), Variables!$A:"&amp;"$C , 3, FALSE),
2 , VLOOKUP(index(split(G3 ,"", "", FALSE),1,1), Variables!$A:$C , 3, FALSE) + VLOOKUP(index(split(G3 ,"", "", FALSE),1,2), Variables!$A:$C , 3, FALSE) + VLOOKUP(index(split(G3 ,"", "", FALSE),1,3), Variables!$A:$C , 3, FALSE),
3 , VLOOKUP"&amp;"(index(split(G3 ,"", "", FALSE),1,1), Variables!$A:$C , 3, FALSE) + VLOOKUP(index(split(G3 ,"", "", FALSE),1,2), Variables!$A:$C , 3, FALSE) + VLOOKUP(index(split(G3 ,"", "", FALSE),1,3), Variables!$A:$C , 3, FALSE) + VLOOKUP(index(split(G3 ,"", "", FALSE"&amp;"),1,4), Variables!$A:$C , 3, FALSE),
)
)
)"),1.0)</f>
        <v>1</v>
      </c>
      <c r="V3" s="317">
        <f t="shared" si="3"/>
        <v>4.5</v>
      </c>
      <c r="W3" s="321">
        <f t="shared" si="4"/>
        <v>19.66666667</v>
      </c>
      <c r="X3" s="118">
        <f>COUNTIFS(W:W,"&lt;=5",A:A, "=1",D:D,"&lt;&gt;0")</f>
        <v>21</v>
      </c>
      <c r="Y3" s="118">
        <f>COUNTIFS(W:W,"&gt;= 5",W:W,"&lt;9",A:A, "=1",D:D,"&lt;&gt;0")</f>
        <v>21</v>
      </c>
      <c r="Z3" s="118">
        <f>COUNTIFS(W:W,"&gt;= 9",W:W,"&lt;13",A:A, "=1",D:D,"&lt;&gt;0")</f>
        <v>14</v>
      </c>
      <c r="AA3" s="322">
        <f>COUNTIFS(W:W,"&gt;= 13",W:W,"&lt;=20",A:A, "=1",D:D,"&lt;&gt;0")</f>
        <v>10</v>
      </c>
      <c r="AB3" s="322"/>
      <c r="AC3" s="322"/>
      <c r="AD3" s="322"/>
      <c r="AE3" s="322"/>
    </row>
    <row r="4" hidden="1">
      <c r="A4" s="310">
        <v>2.0</v>
      </c>
      <c r="B4" s="93">
        <f t="shared" si="1"/>
        <v>8</v>
      </c>
      <c r="C4" s="310" t="s">
        <v>733</v>
      </c>
      <c r="D4" s="310">
        <v>250.0</v>
      </c>
      <c r="E4" s="310" t="s">
        <v>1527</v>
      </c>
      <c r="F4" s="310" t="s">
        <v>1521</v>
      </c>
      <c r="G4" s="313" t="s">
        <v>1528</v>
      </c>
      <c r="H4" s="312">
        <f>IFERROR(__xludf.DUMMYFUNCTION(" IF(ISBLANK(G4),,
SWITCH(
LEN(G4) - LEN(SUBSTITUTE(G4,"","","""")),
0 , VLOOKUP(G4, Variables!$A:$B, 2, FALSE),
1 , VLOOKUP(index(split(G4 ,"", "", FALSE),1,1), Variables!$A:$B , 2, FALSE) + VLOOKUP(index(split(G4 ,"", "", FALSE),1,2), Variables!$A:$B , 2"&amp;", FALSE),
2 , VLOOKUP(index(split(G4 ,"", "", FALSE),1,1), Variables!$A:$B , 2, FALSE) + VLOOKUP(index(split(G4 ,"", "", FALSE),1,2), Variables!$A:$B , 2, FALSE) + VLOOKUP(index(split(G4 ,"", "", FALSE),1,3), Variables!$A:$B , 2, FALSE),
3 , VLOOKUP(index"&amp;"(split(G4 ,"", "", FALSE),1,1), Variables!$A:$B , 2, FALSE) + VLOOKUP(index(split(G4 ,"", "", FALSE),1,2), Variables!$A:$B , 2, FALSE) + VLOOKUP(index(split(G4 ,"", "", FALSE),1,3), Variables!$A:$B , 2, FALSE) + VLOOKUP(index(split(G4 ,"", "", FALSE),1,4)"&amp;", Variables!$A:$B , 2, FALSE),
)
)"),5.5)</f>
        <v>5.5</v>
      </c>
      <c r="I4" s="310" t="s">
        <v>1529</v>
      </c>
      <c r="J4" s="313" t="s">
        <v>734</v>
      </c>
      <c r="K4" s="314">
        <f>IFERROR(VLOOKUP(C4,vote4ITEMS!$A:$C, 3, FALSE),)</f>
        <v>4</v>
      </c>
      <c r="L4" s="313" t="s">
        <v>1076</v>
      </c>
      <c r="M4" s="315">
        <f>IFERROR(__xludf.DUMMYFUNCTION("IF(ISBLANK(L4),,
SWITCH(
LEN(L4) - LEN(SUBSTITUTE(L4,"","","""")),
0 , VLOOKUP(L4, vote4TRAITS!$A:$C , 3, FALSE),
1 , VLOOKUP(index(split(L4 ,"", "", FALSE),1,1), vote4TRAITS!$A:$C , 3, FALSE) + VLOOKUP(index(split(L4 ,"", "", FALSE),1,2), vote4TRAITS!$A:"&amp;"$C , 3, FALSE),
2 , VLOOKUP(index(split(L4 ,"", "", FALSE),1,1), vote4TRAITS!$A:$C , 3, FALSE) + VLOOKUP(index(split(L4 ,"", "", FALSE),1,2), vote4TRAITS!$A:$C , 3, FALSE) + VLOOKUP(index(split(L4 ,"", "", FALSE),1,3), vote4TRAITS!$A:$C , 3, FALSE),
3 , V"&amp;"LOOKUP(index(split(L4 ,"", "", FALSE),1,1), vote4TRAITS!$A:$C , 3, FALSE) + VLOOKUP(index(split(L4 ,"", "", FALSE),1,2), vote4TRAITS!$A:$C , 3, FALSE) + VLOOKUP(index(split(L4 ,"", "", FALSE),1,3), vote4TRAITS!$A:$C , 3, FALSE) + VLOOKUP(index(split(L4 ,"&amp;""", "", FALSE),1,4), vote4TRAITS!$A:$C , 3, FALSE)
))"),5.5)</f>
        <v>5.5</v>
      </c>
      <c r="N4" s="316" t="s">
        <v>1524</v>
      </c>
      <c r="O4" s="317">
        <f>IF(ISBLANK(N4),,IFERROR(
IF(IFERROR(SEARCH("SS:",N4),0) &gt; 0, 
VLOOKUP(SUBSTITUTE(N4,"SS: ",""),vote4SURGE!$A:$C , 3, FALSE) - 2,
VLOOKUP(SUBSTITUTE(N4,"S: ",""),vote4SURGE!$A:$C , 3, FALSE)
)
,
IF(IFERROR(SEARCH("SS:",N4),0) &gt; 0, 
VLOOKUP(C4,vote4SURGE!$A:$C , 3, FALSE) - 2,
VLOOKUP(C4,vote4SURGE!$A:$C , 3, FALSE)
)
))</f>
        <v>4.5</v>
      </c>
      <c r="P4" s="318"/>
      <c r="Q4" s="317" t="str">
        <f>IF(ISBLANK(P4),,IFERROR(
IF(IFERROR(SEARCH("SS:",P4),0) &gt; 0, 
VLOOKUP(SUBSTITUTE(P4,"SS: ",""),vote4SURGE!$A:$C , 3, FALSE) - 2,
VLOOKUP(SUBSTITUTE(P4,"S: ",""),vote4SURGE!$A:$C , 3, FALSE)
)
,
IF(IFERROR(SEARCH("SS:",P4),0) &gt; 0, 
VLOOKUP(C4,vote4SURGE!$A:$C , 3, FALSE) - 2,
VLOOKUP(C4,vote4SURGE!$A:$C , 3, FALSE)
)
))</f>
        <v/>
      </c>
      <c r="R4" s="318"/>
      <c r="S4" s="319" t="str">
        <f>IF(ISBLANK(R4),,IFERROR(
IF(IFERROR(SEARCH("SS:",R4),0) &gt; 0, 
VLOOKUP(SUBSTITUTE(R4,"SS: ",""),vote4SURGE!$A:$C , 3, FALSE) - 2,
VLOOKUP(SUBSTITUTE(R4,"S: ",""),vote4SURGE!$A:$C , 3, FALSE)
)
,
IF(IFERROR(SEARCH("SS:",R4),0) &gt; 0, 
VLOOKUP(C4,vote4SURGE!$A:$C , 3, FALSE) - 2,
VLOOKUP(C4,vote4SURGE!$A:$C , 3, FALSE)
)
))</f>
        <v/>
      </c>
      <c r="T4" s="320">
        <f t="shared" si="2"/>
        <v>1</v>
      </c>
      <c r="U4" s="320">
        <f>IFERROR(__xludf.DUMMYFUNCTION("ROUND(
IF(ISBLANK(G4),,
SWITCH(
LEN(G4) - LEN(SUBSTITUTE(G4,"","","""")),
0 , VLOOKUP(G4, Variables!$A:$C, 3, FALSE),
1 , VLOOKUP(index(split(G4 ,"", "", FALSE),1,1), Variables!$A:$C , 3, FALSE) + VLOOKUP(index(split(G4 ,"", "", FALSE),1,2), Variables!$A:"&amp;"$C , 3, FALSE),
2 , VLOOKUP(index(split(G4 ,"", "", FALSE),1,1), Variables!$A:$C , 3, FALSE) + VLOOKUP(index(split(G4 ,"", "", FALSE),1,2), Variables!$A:$C , 3, FALSE) + VLOOKUP(index(split(G4 ,"", "", FALSE),1,3), Variables!$A:$C , 3, FALSE),
3 , VLOOKUP"&amp;"(index(split(G4 ,"", "", FALSE),1,1), Variables!$A:$C , 3, FALSE) + VLOOKUP(index(split(G4 ,"", "", FALSE),1,2), Variables!$A:$C , 3, FALSE) + VLOOKUP(index(split(G4 ,"", "", FALSE),1,3), Variables!$A:$C , 3, FALSE) + VLOOKUP(index(split(G4 ,"", "", FALSE"&amp;"),1,4), Variables!$A:$C , 3, FALSE),
)
)
)"),1.0)</f>
        <v>1</v>
      </c>
      <c r="V4" s="317">
        <f t="shared" si="3"/>
        <v>4.5</v>
      </c>
      <c r="W4" s="321">
        <f t="shared" si="4"/>
        <v>19.5</v>
      </c>
      <c r="X4" s="118">
        <f>COUNTIFS(W:W,"&lt;=4",A:A, "=2",D:D,"&lt;&gt;0")</f>
        <v>13</v>
      </c>
      <c r="Y4" s="118">
        <f>COUNTIFS(W:W,"&gt; 4",W:W,"&lt;=10",A:A, "=2",D:D,"&lt;&gt;0")</f>
        <v>16</v>
      </c>
      <c r="Z4" s="118">
        <f>COUNTIFS(W:W,"&gt; 10",W:W,"&lt;= 15",A:A, "=2",D:D,"&lt;&gt;0")</f>
        <v>15</v>
      </c>
      <c r="AA4" s="322">
        <f>COUNTIFS(W:W,"&gt;15",A:A, "=2",D:D,"&lt;&gt;0")</f>
        <v>13</v>
      </c>
      <c r="AB4" s="322"/>
      <c r="AC4" s="322"/>
      <c r="AD4" s="322"/>
      <c r="AE4" s="322"/>
    </row>
    <row r="5" hidden="1">
      <c r="A5" s="310">
        <v>2.0</v>
      </c>
      <c r="B5" s="93">
        <f t="shared" si="1"/>
        <v>8</v>
      </c>
      <c r="C5" s="310" t="s">
        <v>1530</v>
      </c>
      <c r="D5" s="310">
        <v>150.0</v>
      </c>
      <c r="E5" s="310" t="s">
        <v>1520</v>
      </c>
      <c r="F5" s="310" t="s">
        <v>1531</v>
      </c>
      <c r="G5" s="313" t="s">
        <v>1532</v>
      </c>
      <c r="H5" s="312">
        <f>IFERROR(__xludf.DUMMYFUNCTION(" IF(ISBLANK(G5),,
SWITCH(
LEN(G5) - LEN(SUBSTITUTE(G5,"","","""")),
0 , VLOOKUP(G5, Variables!$A:$B, 2, FALSE),
1 , VLOOKUP(index(split(G5 ,"", "", FALSE),1,1), Variables!$A:$B , 2, FALSE) + VLOOKUP(index(split(G5 ,"", "", FALSE),1,2), Variables!$A:$B , 2"&amp;", FALSE),
2 , VLOOKUP(index(split(G5 ,"", "", FALSE),1,1), Variables!$A:$B , 2, FALSE) + VLOOKUP(index(split(G5 ,"", "", FALSE),1,2), Variables!$A:$B , 2, FALSE) + VLOOKUP(index(split(G5 ,"", "", FALSE),1,3), Variables!$A:$B , 2, FALSE),
3 , VLOOKUP(index"&amp;"(split(G5 ,"", "", FALSE),1,1), Variables!$A:$B , 2, FALSE) + VLOOKUP(index(split(G5 ,"", "", FALSE),1,2), Variables!$A:$B , 2, FALSE) + VLOOKUP(index(split(G5 ,"", "", FALSE),1,3), Variables!$A:$B , 2, FALSE) + VLOOKUP(index(split(G5 ,"", "", FALSE),1,4)"&amp;", Variables!$A:$B , 2, FALSE),
)
)"),3.0)</f>
        <v>3</v>
      </c>
      <c r="I5" s="310" t="s">
        <v>1533</v>
      </c>
      <c r="J5" s="313"/>
      <c r="K5" s="314" t="str">
        <f>IFERROR(VLOOKUP(C5,vote4ITEMS!$A:$C, 3, FALSE),)</f>
        <v/>
      </c>
      <c r="L5" s="313" t="s">
        <v>1078</v>
      </c>
      <c r="M5" s="315">
        <f>IFERROR(__xludf.DUMMYFUNCTION("IF(ISBLANK(L5),,
SWITCH(
LEN(L5) - LEN(SUBSTITUTE(L5,"","","""")),
0 , VLOOKUP(L5, vote4TRAITS!$A:$C , 3, FALSE),
1 , VLOOKUP(index(split(L5 ,"", "", FALSE),1,1), vote4TRAITS!$A:$C , 3, FALSE) + VLOOKUP(index(split(L5 ,"", "", FALSE),1,2), vote4TRAITS!$A:"&amp;"$C , 3, FALSE),
2 , VLOOKUP(index(split(L5 ,"", "", FALSE),1,1), vote4TRAITS!$A:$C , 3, FALSE) + VLOOKUP(index(split(L5 ,"", "", FALSE),1,2), vote4TRAITS!$A:$C , 3, FALSE) + VLOOKUP(index(split(L5 ,"", "", FALSE),1,3), vote4TRAITS!$A:$C , 3, FALSE),
3 , V"&amp;"LOOKUP(index(split(L5 ,"", "", FALSE),1,1), vote4TRAITS!$A:$C , 3, FALSE) + VLOOKUP(index(split(L5 ,"", "", FALSE),1,2), vote4TRAITS!$A:$C , 3, FALSE) + VLOOKUP(index(split(L5 ,"", "", FALSE),1,3), vote4TRAITS!$A:$C , 3, FALSE) + VLOOKUP(index(split(L5 ,"&amp;""", "", FALSE),1,4), vote4TRAITS!$A:$C , 3, FALSE)
))"),6.25)</f>
        <v>6.25</v>
      </c>
      <c r="N5" s="316" t="s">
        <v>1534</v>
      </c>
      <c r="O5" s="317">
        <f>IF(ISBLANK(N5),,IFERROR(
IF(IFERROR(SEARCH("SS:",N5),0) &gt; 0, 
VLOOKUP(SUBSTITUTE(N5,"SS: ",""),vote4SURGE!$A:$C , 3, FALSE) - 2,
VLOOKUP(SUBSTITUTE(N5,"S: ",""),vote4SURGE!$A:$C , 3, FALSE)
)
,
IF(IFERROR(SEARCH("SS:",N5),0) &gt; 0, 
VLOOKUP(C5,vote4SURGE!$A:$C , 3, FALSE) - 2,
VLOOKUP(C5,vote4SURGE!$A:$C , 3, FALSE)
)
))</f>
        <v>4.25</v>
      </c>
      <c r="P5" s="315" t="s">
        <v>1524</v>
      </c>
      <c r="Q5" s="317">
        <f>IF(ISBLANK(P5),,IFERROR(
IF(IFERROR(SEARCH("SS:",P5),0) &gt; 0, 
VLOOKUP(SUBSTITUTE(P5,"SS: ",""),vote4SURGE!$A:$C , 3, FALSE) - 2,
VLOOKUP(SUBSTITUTE(P5,"S: ",""),vote4SURGE!$A:$C , 3, FALSE)
)
,
IF(IFERROR(SEARCH("SS:",P5),0) &gt; 0, 
VLOOKUP(C5,vote4SURGE!$A:$C , 3, FALSE) - 2,
VLOOKUP(C5,vote4SURGE!$A:$C , 3, FALSE)
)
))</f>
        <v>4.5</v>
      </c>
      <c r="R5" s="315" t="s">
        <v>1535</v>
      </c>
      <c r="S5" s="319">
        <f>IF(ISBLANK(R5),,IFERROR(
IF(IFERROR(SEARCH("SS:",R5),0) &gt; 0, 
VLOOKUP(SUBSTITUTE(R5,"SS: ",""),vote4SURGE!$A:$C , 3, FALSE) - 2,
VLOOKUP(SUBSTITUTE(R5,"S: ",""),vote4SURGE!$A:$C , 3, FALSE)
)
,
IF(IFERROR(SEARCH("SS:",R5),0) &gt; 0, 
VLOOKUP(C5,vote4SURGE!$A:$C , 3, FALSE) - 2,
VLOOKUP(C5,vote4SURGE!$A:$C , 3, FALSE)
)
))</f>
        <v>4.25</v>
      </c>
      <c r="T5" s="320">
        <f t="shared" si="2"/>
        <v>3</v>
      </c>
      <c r="U5" s="320">
        <f>IFERROR(__xludf.DUMMYFUNCTION("ROUND(
IF(ISBLANK(G5),,
SWITCH(
LEN(G5) - LEN(SUBSTITUTE(G5,"","","""")),
0 , VLOOKUP(G5, Variables!$A:$C, 3, FALSE),
1 , VLOOKUP(index(split(G5 ,"", "", FALSE),1,1), Variables!$A:$C , 3, FALSE) + VLOOKUP(index(split(G5 ,"", "", FALSE),1,2), Variables!$A:"&amp;"$C , 3, FALSE),
2 , VLOOKUP(index(split(G5 ,"", "", FALSE),1,1), Variables!$A:$C , 3, FALSE) + VLOOKUP(index(split(G5 ,"", "", FALSE),1,2), Variables!$A:$C , 3, FALSE) + VLOOKUP(index(split(G5 ,"", "", FALSE),1,3), Variables!$A:$C , 3, FALSE),
3 , VLOOKUP"&amp;"(index(split(G5 ,"", "", FALSE),1,1), Variables!$A:$C , 3, FALSE) + VLOOKUP(index(split(G5 ,"", "", FALSE),1,2), Variables!$A:$C , 3, FALSE) + VLOOKUP(index(split(G5 ,"", "", FALSE),1,3), Variables!$A:$C , 3, FALSE) + VLOOKUP(index(split(G5 ,"", "", FALSE"&amp;"),1,4), Variables!$A:$C , 3, FALSE),
)
)
)"),2.0)</f>
        <v>2</v>
      </c>
      <c r="V5" s="317">
        <f t="shared" si="3"/>
        <v>10.16666667</v>
      </c>
      <c r="W5" s="321">
        <f t="shared" si="4"/>
        <v>19.41666667</v>
      </c>
      <c r="X5" s="118"/>
      <c r="Y5" s="118"/>
      <c r="Z5" s="118"/>
      <c r="AA5" s="322"/>
      <c r="AB5" s="322"/>
      <c r="AC5" s="322"/>
      <c r="AD5" s="322"/>
      <c r="AE5" s="322"/>
    </row>
    <row r="6" hidden="1">
      <c r="A6" s="310">
        <v>2.0</v>
      </c>
      <c r="B6" s="93">
        <f t="shared" si="1"/>
        <v>8</v>
      </c>
      <c r="C6" s="310" t="s">
        <v>1536</v>
      </c>
      <c r="D6" s="310">
        <v>175.0</v>
      </c>
      <c r="E6" s="310" t="s">
        <v>1520</v>
      </c>
      <c r="F6" s="310" t="s">
        <v>1521</v>
      </c>
      <c r="G6" s="313" t="s">
        <v>1537</v>
      </c>
      <c r="H6" s="312">
        <f>IFERROR(__xludf.DUMMYFUNCTION(" IF(ISBLANK(G6),,
SWITCH(
LEN(G6) - LEN(SUBSTITUTE(G6,"","","""")),
0 , VLOOKUP(G6, Variables!$A:$B, 2, FALSE),
1 , VLOOKUP(index(split(G6 ,"", "", FALSE),1,1), Variables!$A:$B , 2, FALSE) + VLOOKUP(index(split(G6 ,"", "", FALSE),1,2), Variables!$A:$B , 2"&amp;", FALSE),
2 , VLOOKUP(index(split(G6 ,"", "", FALSE),1,1), Variables!$A:$B , 2, FALSE) + VLOOKUP(index(split(G6 ,"", "", FALSE),1,2), Variables!$A:$B , 2, FALSE) + VLOOKUP(index(split(G6 ,"", "", FALSE),1,3), Variables!$A:$B , 2, FALSE),
3 , VLOOKUP(index"&amp;"(split(G6 ,"", "", FALSE),1,1), Variables!$A:$B , 2, FALSE) + VLOOKUP(index(split(G6 ,"", "", FALSE),1,2), Variables!$A:$B , 2, FALSE) + VLOOKUP(index(split(G6 ,"", "", FALSE),1,3), Variables!$A:$B , 2, FALSE) + VLOOKUP(index(split(G6 ,"", "", FALSE),1,4)"&amp;", Variables!$A:$B , 2, FALSE),
)
)"),4.5)</f>
        <v>4.5</v>
      </c>
      <c r="I6" s="310" t="s">
        <v>1538</v>
      </c>
      <c r="J6" s="313"/>
      <c r="K6" s="314" t="str">
        <f>IFERROR(VLOOKUP(C6,vote4ITEMS!$A:$C, 3, FALSE),)</f>
        <v/>
      </c>
      <c r="L6" s="313" t="s">
        <v>1099</v>
      </c>
      <c r="M6" s="315">
        <f>IFERROR(__xludf.DUMMYFUNCTION("IF(ISBLANK(L6),,
SWITCH(
LEN(L6) - LEN(SUBSTITUTE(L6,"","","""")),
0 , VLOOKUP(L6, vote4TRAITS!$A:$C , 3, FALSE),
1 , VLOOKUP(index(split(L6 ,"", "", FALSE),1,1), vote4TRAITS!$A:$C , 3, FALSE) + VLOOKUP(index(split(L6 ,"", "", FALSE),1,2), vote4TRAITS!$A:"&amp;"$C , 3, FALSE),
2 , VLOOKUP(index(split(L6 ,"", "", FALSE),1,1), vote4TRAITS!$A:$C , 3, FALSE) + VLOOKUP(index(split(L6 ,"", "", FALSE),1,2), vote4TRAITS!$A:$C , 3, FALSE) + VLOOKUP(index(split(L6 ,"", "", FALSE),1,3), vote4TRAITS!$A:$C , 3, FALSE),
3 , V"&amp;"LOOKUP(index(split(L6 ,"", "", FALSE),1,1), vote4TRAITS!$A:$C , 3, FALSE) + VLOOKUP(index(split(L6 ,"", "", FALSE),1,2), vote4TRAITS!$A:$C , 3, FALSE) + VLOOKUP(index(split(L6 ,"", "", FALSE),1,3), vote4TRAITS!$A:$C , 3, FALSE) + VLOOKUP(index(split(L6 ,"&amp;""", "", FALSE),1,4), vote4TRAITS!$A:$C , 3, FALSE)
))"),6.5)</f>
        <v>6.5</v>
      </c>
      <c r="N6" s="316" t="s">
        <v>1539</v>
      </c>
      <c r="O6" s="317">
        <f>IF(ISBLANK(N6),,IFERROR(
IF(IFERROR(SEARCH("SS:",N6),0) &gt; 0, 
VLOOKUP(SUBSTITUTE(N6,"SS: ",""),vote4SURGE!$A:$C , 3, FALSE) - 2,
VLOOKUP(SUBSTITUTE(N6,"S: ",""),vote4SURGE!$A:$C , 3, FALSE)
)
,
IF(IFERROR(SEARCH("SS:",N6),0) &gt; 0, 
VLOOKUP(C6,vote4SURGE!$A:$C , 3, FALSE) - 2,
VLOOKUP(C6,vote4SURGE!$A:$C , 3, FALSE)
)
))</f>
        <v>5</v>
      </c>
      <c r="P6" s="315" t="s">
        <v>1540</v>
      </c>
      <c r="Q6" s="317">
        <f>IF(ISBLANK(P6),,IFERROR(
IF(IFERROR(SEARCH("SS:",P6),0) &gt; 0, 
VLOOKUP(SUBSTITUTE(P6,"SS: ",""),vote4SURGE!$A:$C , 3, FALSE) - 2,
VLOOKUP(SUBSTITUTE(P6,"S: ",""),vote4SURGE!$A:$C , 3, FALSE)
)
,
IF(IFERROR(SEARCH("SS:",P6),0) &gt; 0, 
VLOOKUP(C6,vote4SURGE!$A:$C , 3, FALSE) - 2,
VLOOKUP(C6,vote4SURGE!$A:$C , 3, FALSE)
)
))</f>
        <v>5.25</v>
      </c>
      <c r="R6" s="318"/>
      <c r="S6" s="319" t="str">
        <f>IF(ISBLANK(R6),,IFERROR(
IF(IFERROR(SEARCH("SS:",R6),0) &gt; 0, 
VLOOKUP(SUBSTITUTE(R6,"SS: ",""),vote4SURGE!$A:$C , 3, FALSE) - 2,
VLOOKUP(SUBSTITUTE(R6,"S: ",""),vote4SURGE!$A:$C , 3, FALSE)
)
,
IF(IFERROR(SEARCH("SS:",R6),0) &gt; 0, 
VLOOKUP(C6,vote4SURGE!$A:$C , 3, FALSE) - 2,
VLOOKUP(C6,vote4SURGE!$A:$C , 3, FALSE)
)
))</f>
        <v/>
      </c>
      <c r="T6" s="320">
        <f t="shared" si="2"/>
        <v>2</v>
      </c>
      <c r="U6" s="320">
        <f>IFERROR(__xludf.DUMMYFUNCTION("ROUND(
IF(ISBLANK(G6),,
SWITCH(
LEN(G6) - LEN(SUBSTITUTE(G6,"","","""")),
0 , VLOOKUP(G6, Variables!$A:$C, 3, FALSE),
1 , VLOOKUP(index(split(G6 ,"", "", FALSE),1,1), Variables!$A:$C , 3, FALSE) + VLOOKUP(index(split(G6 ,"", "", FALSE),1,2), Variables!$A:"&amp;"$C , 3, FALSE),
2 , VLOOKUP(index(split(G6 ,"", "", FALSE),1,1), Variables!$A:$C , 3, FALSE) + VLOOKUP(index(split(G6 ,"", "", FALSE),1,2), Variables!$A:$C , 3, FALSE) + VLOOKUP(index(split(G6 ,"", "", FALSE),1,3), Variables!$A:$C , 3, FALSE),
3 , VLOOKUP"&amp;"(index(split(G6 ,"", "", FALSE),1,1), Variables!$A:$C , 3, FALSE) + VLOOKUP(index(split(G6 ,"", "", FALSE),1,2), Variables!$A:$C , 3, FALSE) + VLOOKUP(index(split(G6 ,"", "", FALSE),1,3), Variables!$A:$C , 3, FALSE) + VLOOKUP(index(split(G6 ,"", "", FALSE"&amp;"),1,4), Variables!$A:$C , 3, FALSE),
)
)
)"),1.0)</f>
        <v>1</v>
      </c>
      <c r="V6" s="317">
        <f t="shared" si="3"/>
        <v>7.75</v>
      </c>
      <c r="W6" s="321">
        <f t="shared" si="4"/>
        <v>18.75</v>
      </c>
      <c r="X6" s="322"/>
      <c r="Y6" s="322"/>
      <c r="Z6" s="322"/>
      <c r="AA6" s="322"/>
      <c r="AB6" s="322"/>
      <c r="AC6" s="322"/>
      <c r="AD6" s="322"/>
      <c r="AE6" s="322"/>
    </row>
    <row r="7" hidden="1">
      <c r="A7" s="310">
        <v>2.0</v>
      </c>
      <c r="B7" s="93">
        <f t="shared" si="1"/>
        <v>8</v>
      </c>
      <c r="C7" s="310" t="s">
        <v>838</v>
      </c>
      <c r="D7" s="310">
        <v>200.0</v>
      </c>
      <c r="E7" s="310" t="s">
        <v>1520</v>
      </c>
      <c r="F7" s="310" t="s">
        <v>1531</v>
      </c>
      <c r="G7" s="313" t="s">
        <v>1537</v>
      </c>
      <c r="H7" s="312">
        <f>IFERROR(__xludf.DUMMYFUNCTION(" IF(ISBLANK(G7),,
SWITCH(
LEN(G7) - LEN(SUBSTITUTE(G7,"","","""")),
0 , VLOOKUP(G7, Variables!$A:$B, 2, FALSE),
1 , VLOOKUP(index(split(G7 ,"", "", FALSE),1,1), Variables!$A:$B , 2, FALSE) + VLOOKUP(index(split(G7 ,"", "", FALSE),1,2), Variables!$A:$B , 2"&amp;", FALSE),
2 , VLOOKUP(index(split(G7 ,"", "", FALSE),1,1), Variables!$A:$B , 2, FALSE) + VLOOKUP(index(split(G7 ,"", "", FALSE),1,2), Variables!$A:$B , 2, FALSE) + VLOOKUP(index(split(G7 ,"", "", FALSE),1,3), Variables!$A:$B , 2, FALSE),
3 , VLOOKUP(index"&amp;"(split(G7 ,"", "", FALSE),1,1), Variables!$A:$B , 2, FALSE) + VLOOKUP(index(split(G7 ,"", "", FALSE),1,2), Variables!$A:$B , 2, FALSE) + VLOOKUP(index(split(G7 ,"", "", FALSE),1,3), Variables!$A:$B , 2, FALSE) + VLOOKUP(index(split(G7 ,"", "", FALSE),1,4)"&amp;", Variables!$A:$B , 2, FALSE),
)
)"),4.5)</f>
        <v>4.5</v>
      </c>
      <c r="I7" s="310" t="s">
        <v>1541</v>
      </c>
      <c r="J7" s="313" t="s">
        <v>839</v>
      </c>
      <c r="K7" s="314">
        <f>IFERROR(VLOOKUP(C7,vote4ITEMS!$A:$C, 3, FALSE),)</f>
        <v>8</v>
      </c>
      <c r="L7" s="313"/>
      <c r="M7" s="315" t="str">
        <f>IFERROR(__xludf.DUMMYFUNCTION("IF(ISBLANK(L7),,
SWITCH(
LEN(L7) - LEN(SUBSTITUTE(L7,"","","""")),
0 , VLOOKUP(L7, vote4TRAITS!$A:$C , 3, FALSE),
1 , VLOOKUP(index(split(L7 ,"", "", FALSE),1,1), vote4TRAITS!$A:$C , 3, FALSE) + VLOOKUP(index(split(L7 ,"", "", FALSE),1,2), vote4TRAITS!$A:"&amp;"$C , 3, FALSE),
2 , VLOOKUP(index(split(L7 ,"", "", FALSE),1,1), vote4TRAITS!$A:$C , 3, FALSE) + VLOOKUP(index(split(L7 ,"", "", FALSE),1,2), vote4TRAITS!$A:$C , 3, FALSE) + VLOOKUP(index(split(L7 ,"", "", FALSE),1,3), vote4TRAITS!$A:$C , 3, FALSE),
3 , V"&amp;"LOOKUP(index(split(L7 ,"", "", FALSE),1,1), vote4TRAITS!$A:$C , 3, FALSE) + VLOOKUP(index(split(L7 ,"", "", FALSE),1,2), vote4TRAITS!$A:$C , 3, FALSE) + VLOOKUP(index(split(L7 ,"", "", FALSE),1,3), vote4TRAITS!$A:$C , 3, FALSE) + VLOOKUP(index(split(L7 ,"&amp;""", "", FALSE),1,4), vote4TRAITS!$A:$C , 3, FALSE)
))"),"")</f>
        <v/>
      </c>
      <c r="N7" s="316" t="s">
        <v>1539</v>
      </c>
      <c r="O7" s="317">
        <f>IF(ISBLANK(N7),,IFERROR(
IF(IFERROR(SEARCH("SS:",N7),0) &gt; 0, 
VLOOKUP(SUBSTITUTE(N7,"SS: ",""),vote4SURGE!$A:$C , 3, FALSE) - 2,
VLOOKUP(SUBSTITUTE(N7,"S: ",""),vote4SURGE!$A:$C , 3, FALSE)
)
,
IF(IFERROR(SEARCH("SS:",N7),0) &gt; 0, 
VLOOKUP(C7,vote4SURGE!$A:$C , 3, FALSE) - 2,
VLOOKUP(C7,vote4SURGE!$A:$C , 3, FALSE)
)
))</f>
        <v>5</v>
      </c>
      <c r="P7" s="318"/>
      <c r="Q7" s="317" t="str">
        <f>IF(ISBLANK(P7),,IFERROR(
IF(IFERROR(SEARCH("SS:",P7),0) &gt; 0, 
VLOOKUP(SUBSTITUTE(P7,"SS: ",""),vote4SURGE!$A:$C , 3, FALSE) - 2,
VLOOKUP(SUBSTITUTE(P7,"S: ",""),vote4SURGE!$A:$C , 3, FALSE)
)
,
IF(IFERROR(SEARCH("SS:",P7),0) &gt; 0, 
VLOOKUP(C7,vote4SURGE!$A:$C , 3, FALSE) - 2,
VLOOKUP(C7,vote4SURGE!$A:$C , 3, FALSE)
)
))</f>
        <v/>
      </c>
      <c r="R7" s="318"/>
      <c r="S7" s="319" t="str">
        <f>IF(ISBLANK(R7),,IFERROR(
IF(IFERROR(SEARCH("SS:",R7),0) &gt; 0, 
VLOOKUP(SUBSTITUTE(R7,"SS: ",""),vote4SURGE!$A:$C , 3, FALSE) - 2,
VLOOKUP(SUBSTITUTE(R7,"S: ",""),vote4SURGE!$A:$C , 3, FALSE)
)
,
IF(IFERROR(SEARCH("SS:",R7),0) &gt; 0, 
VLOOKUP(C7,vote4SURGE!$A:$C , 3, FALSE) - 2,
VLOOKUP(C7,vote4SURGE!$A:$C , 3, FALSE)
)
))</f>
        <v/>
      </c>
      <c r="T7" s="320">
        <f t="shared" si="2"/>
        <v>1</v>
      </c>
      <c r="U7" s="320">
        <f>IFERROR(__xludf.DUMMYFUNCTION("ROUND(
IF(ISBLANK(G7),,
SWITCH(
LEN(G7) - LEN(SUBSTITUTE(G7,"","","""")),
0 , VLOOKUP(G7, Variables!$A:$C, 3, FALSE),
1 , VLOOKUP(index(split(G7 ,"", "", FALSE),1,1), Variables!$A:$C , 3, FALSE) + VLOOKUP(index(split(G7 ,"", "", FALSE),1,2), Variables!$A:"&amp;"$C , 3, FALSE),
2 , VLOOKUP(index(split(G7 ,"", "", FALSE),1,1), Variables!$A:$C , 3, FALSE) + VLOOKUP(index(split(G7 ,"", "", FALSE),1,2), Variables!$A:$C , 3, FALSE) + VLOOKUP(index(split(G7 ,"", "", FALSE),1,3), Variables!$A:$C , 3, FALSE),
3 , VLOOKUP"&amp;"(index(split(G7 ,"", "", FALSE),1,1), Variables!$A:$C , 3, FALSE) + VLOOKUP(index(split(G7 ,"", "", FALSE),1,2), Variables!$A:$C , 3, FALSE) + VLOOKUP(index(split(G7 ,"", "", FALSE),1,3), Variables!$A:$C , 3, FALSE) + VLOOKUP(index(split(G7 ,"", "", FALSE"&amp;"),1,4), Variables!$A:$C , 3, FALSE),
)
)
)"),1.0)</f>
        <v>1</v>
      </c>
      <c r="V7" s="317">
        <f t="shared" si="3"/>
        <v>5</v>
      </c>
      <c r="W7" s="321">
        <f t="shared" si="4"/>
        <v>17.5</v>
      </c>
      <c r="X7" s="322"/>
      <c r="Y7" s="322"/>
      <c r="Z7" s="322"/>
      <c r="AA7" s="322"/>
      <c r="AB7" s="322"/>
      <c r="AC7" s="322"/>
      <c r="AD7" s="322"/>
      <c r="AE7" s="322"/>
    </row>
    <row r="8" hidden="1">
      <c r="A8" s="310">
        <v>2.0</v>
      </c>
      <c r="B8" s="93">
        <f t="shared" si="1"/>
        <v>8</v>
      </c>
      <c r="C8" s="310" t="s">
        <v>1542</v>
      </c>
      <c r="D8" s="310">
        <v>200.0</v>
      </c>
      <c r="E8" s="310" t="s">
        <v>1520</v>
      </c>
      <c r="F8" s="310" t="s">
        <v>1521</v>
      </c>
      <c r="G8" s="313" t="s">
        <v>1528</v>
      </c>
      <c r="H8" s="312">
        <f>IFERROR(__xludf.DUMMYFUNCTION(" IF(ISBLANK(G8),,
SWITCH(
LEN(G8) - LEN(SUBSTITUTE(G8,"","","""")),
0 , VLOOKUP(G8, Variables!$A:$B, 2, FALSE),
1 , VLOOKUP(index(split(G8 ,"", "", FALSE),1,1), Variables!$A:$B , 2, FALSE) + VLOOKUP(index(split(G8 ,"", "", FALSE),1,2), Variables!$A:$B , 2"&amp;", FALSE),
2 , VLOOKUP(index(split(G8 ,"", "", FALSE),1,1), Variables!$A:$B , 2, FALSE) + VLOOKUP(index(split(G8 ,"", "", FALSE),1,2), Variables!$A:$B , 2, FALSE) + VLOOKUP(index(split(G8 ,"", "", FALSE),1,3), Variables!$A:$B , 2, FALSE),
3 , VLOOKUP(index"&amp;"(split(G8 ,"", "", FALSE),1,1), Variables!$A:$B , 2, FALSE) + VLOOKUP(index(split(G8 ,"", "", FALSE),1,2), Variables!$A:$B , 2, FALSE) + VLOOKUP(index(split(G8 ,"", "", FALSE),1,3), Variables!$A:$B , 2, FALSE) + VLOOKUP(index(split(G8 ,"", "", FALSE),1,4)"&amp;", Variables!$A:$B , 2, FALSE),
)
)"),5.5)</f>
        <v>5.5</v>
      </c>
      <c r="I8" s="310" t="s">
        <v>1543</v>
      </c>
      <c r="J8" s="313"/>
      <c r="K8" s="314" t="str">
        <f>IFERROR(VLOOKUP(C8,vote4ITEMS!$A:$C, 3, FALSE),)</f>
        <v/>
      </c>
      <c r="L8" s="313" t="s">
        <v>1099</v>
      </c>
      <c r="M8" s="315">
        <f>IFERROR(__xludf.DUMMYFUNCTION("IF(ISBLANK(L8),,
SWITCH(
LEN(L8) - LEN(SUBSTITUTE(L8,"","","""")),
0 , VLOOKUP(L8, vote4TRAITS!$A:$C , 3, FALSE),
1 , VLOOKUP(index(split(L8 ,"", "", FALSE),1,1), vote4TRAITS!$A:$C , 3, FALSE) + VLOOKUP(index(split(L8 ,"", "", FALSE),1,2), vote4TRAITS!$A:"&amp;"$C , 3, FALSE),
2 , VLOOKUP(index(split(L8 ,"", "", FALSE),1,1), vote4TRAITS!$A:$C , 3, FALSE) + VLOOKUP(index(split(L8 ,"", "", FALSE),1,2), vote4TRAITS!$A:$C , 3, FALSE) + VLOOKUP(index(split(L8 ,"", "", FALSE),1,3), vote4TRAITS!$A:$C , 3, FALSE),
3 , V"&amp;"LOOKUP(index(split(L8 ,"", "", FALSE),1,1), vote4TRAITS!$A:$C , 3, FALSE) + VLOOKUP(index(split(L8 ,"", "", FALSE),1,2), vote4TRAITS!$A:$C , 3, FALSE) + VLOOKUP(index(split(L8 ,"", "", FALSE),1,3), vote4TRAITS!$A:$C , 3, FALSE) + VLOOKUP(index(split(L8 ,"&amp;""", "", FALSE),1,4), vote4TRAITS!$A:$C , 3, FALSE)
))"),6.5)</f>
        <v>6.5</v>
      </c>
      <c r="N8" s="316" t="s">
        <v>1544</v>
      </c>
      <c r="O8" s="317">
        <f>IF(ISBLANK(N8),,IFERROR(
IF(IFERROR(SEARCH("SS:",N8),0) &gt; 0, 
VLOOKUP(SUBSTITUTE(N8,"SS: ",""),vote4SURGE!$A:$C , 3, FALSE) - 2,
VLOOKUP(SUBSTITUTE(N8,"S: ",""),vote4SURGE!$A:$C , 3, FALSE)
)
,
IF(IFERROR(SEARCH("SS:",N8),0) &gt; 0, 
VLOOKUP(C8,vote4SURGE!$A:$C , 3, FALSE) - 2,
VLOOKUP(C8,vote4SURGE!$A:$C , 3, FALSE)
)
))</f>
        <v>4</v>
      </c>
      <c r="P8" s="105" t="s">
        <v>1545</v>
      </c>
      <c r="Q8" s="317">
        <f>IF(ISBLANK(P8),,IFERROR(
IF(IFERROR(SEARCH("SS:",P8),0) &gt; 0, 
VLOOKUP(SUBSTITUTE(P8,"SS: ",""),vote4SURGE!$A:$C , 3, FALSE) - 2,
VLOOKUP(SUBSTITUTE(P8,"S: ",""),vote4SURGE!$A:$C , 3, FALSE)
)
,
IF(IFERROR(SEARCH("SS:",P8),0) &gt; 0, 
VLOOKUP(C8,vote4SURGE!$A:$C , 3, FALSE) - 2,
VLOOKUP(C8,vote4SURGE!$A:$C , 3, FALSE)
)
))</f>
        <v>4</v>
      </c>
      <c r="R8" s="318"/>
      <c r="S8" s="319" t="str">
        <f>IF(ISBLANK(R8),,IFERROR(
IF(IFERROR(SEARCH("SS:",R8),0) &gt; 0, 
VLOOKUP(SUBSTITUTE(R8,"SS: ",""),vote4SURGE!$A:$C , 3, FALSE) - 2,
VLOOKUP(SUBSTITUTE(R8,"S: ",""),vote4SURGE!$A:$C , 3, FALSE)
)
,
IF(IFERROR(SEARCH("SS:",R8),0) &gt; 0, 
VLOOKUP(C8,vote4SURGE!$A:$C , 3, FALSE) - 2,
VLOOKUP(C8,vote4SURGE!$A:$C , 3, FALSE)
)
))</f>
        <v/>
      </c>
      <c r="T8" s="320">
        <f t="shared" si="2"/>
        <v>3</v>
      </c>
      <c r="U8" s="320">
        <f>IFERROR(__xludf.DUMMYFUNCTION("ROUND(
IF(ISBLANK(G8),,
SWITCH(
LEN(G8) - LEN(SUBSTITUTE(G8,"","","""")),
0 , VLOOKUP(G8, Variables!$A:$C, 3, FALSE),
1 , VLOOKUP(index(split(G8 ,"", "", FALSE),1,1), Variables!$A:$C , 3, FALSE) + VLOOKUP(index(split(G8 ,"", "", FALSE),1,2), Variables!$A:"&amp;"$C , 3, FALSE),
2 , VLOOKUP(index(split(G8 ,"", "", FALSE),1,1), Variables!$A:$C , 3, FALSE) + VLOOKUP(index(split(G8 ,"", "", FALSE),1,2), Variables!$A:$C , 3, FALSE) + VLOOKUP(index(split(G8 ,"", "", FALSE),1,3), Variables!$A:$C , 3, FALSE),
3 , VLOOKUP"&amp;"(index(split(G8 ,"", "", FALSE),1,1), Variables!$A:$C , 3, FALSE) + VLOOKUP(index(split(G8 ,"", "", FALSE),1,2), Variables!$A:$C , 3, FALSE) + VLOOKUP(index(split(G8 ,"", "", FALSE),1,3), Variables!$A:$C , 3, FALSE) + VLOOKUP(index(split(G8 ,"", "", FALSE"&amp;"),1,4), Variables!$A:$C , 3, FALSE),
)
)
)"),1.0)</f>
        <v>1</v>
      </c>
      <c r="V8" s="317">
        <f t="shared" si="3"/>
        <v>5.333333333</v>
      </c>
      <c r="W8" s="321">
        <f t="shared" si="4"/>
        <v>17.33333333</v>
      </c>
      <c r="X8" s="322"/>
      <c r="Y8" s="322"/>
      <c r="Z8" s="322"/>
      <c r="AA8" s="322"/>
      <c r="AB8" s="322"/>
      <c r="AC8" s="322"/>
      <c r="AD8" s="322"/>
      <c r="AE8" s="322"/>
    </row>
    <row r="9" hidden="1">
      <c r="A9" s="310">
        <v>2.0</v>
      </c>
      <c r="B9" s="93">
        <f t="shared" si="1"/>
        <v>8</v>
      </c>
      <c r="C9" s="310" t="s">
        <v>769</v>
      </c>
      <c r="D9" s="310">
        <v>200.0</v>
      </c>
      <c r="E9" s="310" t="s">
        <v>1520</v>
      </c>
      <c r="F9" s="310" t="s">
        <v>1531</v>
      </c>
      <c r="G9" s="313" t="s">
        <v>1546</v>
      </c>
      <c r="H9" s="312">
        <f>IFERROR(__xludf.DUMMYFUNCTION(" IF(ISBLANK(G9),,
SWITCH(
LEN(G9) - LEN(SUBSTITUTE(G9,"","","""")),
0 , VLOOKUP(G9, Variables!$A:$B, 2, FALSE),
1 , VLOOKUP(index(split(G9 ,"", "", FALSE),1,1), Variables!$A:$B , 2, FALSE) + VLOOKUP(index(split(G9 ,"", "", FALSE),1,2), Variables!$A:$B , 2"&amp;", FALSE),
2 , VLOOKUP(index(split(G9 ,"", "", FALSE),1,1), Variables!$A:$B , 2, FALSE) + VLOOKUP(index(split(G9 ,"", "", FALSE),1,2), Variables!$A:$B , 2, FALSE) + VLOOKUP(index(split(G9 ,"", "", FALSE),1,3), Variables!$A:$B , 2, FALSE),
3 , VLOOKUP(index"&amp;"(split(G9 ,"", "", FALSE),1,1), Variables!$A:$B , 2, FALSE) + VLOOKUP(index(split(G9 ,"", "", FALSE),1,2), Variables!$A:$B , 2, FALSE) + VLOOKUP(index(split(G9 ,"", "", FALSE),1,3), Variables!$A:$B , 2, FALSE) + VLOOKUP(index(split(G9 ,"", "", FALSE),1,4)"&amp;", Variables!$A:$B , 2, FALSE),
)
)"),3.5)</f>
        <v>3.5</v>
      </c>
      <c r="I9" s="310" t="s">
        <v>1547</v>
      </c>
      <c r="J9" s="313" t="s">
        <v>770</v>
      </c>
      <c r="K9" s="314">
        <f>IFERROR(VLOOKUP(C9,vote4ITEMS!$A:$C, 3, FALSE),)</f>
        <v>9</v>
      </c>
      <c r="L9" s="313"/>
      <c r="M9" s="315" t="str">
        <f>IFERROR(__xludf.DUMMYFUNCTION("IF(ISBLANK(L9),,
SWITCH(
LEN(L9) - LEN(SUBSTITUTE(L9,"","","""")),
0 , VLOOKUP(L9, vote4TRAITS!$A:$C , 3, FALSE),
1 , VLOOKUP(index(split(L9 ,"", "", FALSE),1,1), vote4TRAITS!$A:$C , 3, FALSE) + VLOOKUP(index(split(L9 ,"", "", FALSE),1,2), vote4TRAITS!$A:"&amp;"$C , 3, FALSE),
2 , VLOOKUP(index(split(L9 ,"", "", FALSE),1,1), vote4TRAITS!$A:$C , 3, FALSE) + VLOOKUP(index(split(L9 ,"", "", FALSE),1,2), vote4TRAITS!$A:$C , 3, FALSE) + VLOOKUP(index(split(L9 ,"", "", FALSE),1,3), vote4TRAITS!$A:$C , 3, FALSE),
3 , V"&amp;"LOOKUP(index(split(L9 ,"", "", FALSE),1,1), vote4TRAITS!$A:$C , 3, FALSE) + VLOOKUP(index(split(L9 ,"", "", FALSE),1,2), vote4TRAITS!$A:$C , 3, FALSE) + VLOOKUP(index(split(L9 ,"", "", FALSE),1,3), vote4TRAITS!$A:$C , 3, FALSE) + VLOOKUP(index(split(L9 ,"&amp;""", "", FALSE),1,4), vote4TRAITS!$A:$C , 3, FALSE)
))"),"")</f>
        <v/>
      </c>
      <c r="N9" s="316" t="s">
        <v>1545</v>
      </c>
      <c r="O9" s="317">
        <f>IF(ISBLANK(N9),,IFERROR(
IF(IFERROR(SEARCH("SS:",N9),0) &gt; 0, 
VLOOKUP(SUBSTITUTE(N9,"SS: ",""),vote4SURGE!$A:$C , 3, FALSE) - 2,
VLOOKUP(SUBSTITUTE(N9,"S: ",""),vote4SURGE!$A:$C , 3, FALSE)
)
,
IF(IFERROR(SEARCH("SS:",N9),0) &gt; 0, 
VLOOKUP(C9,vote4SURGE!$A:$C , 3, FALSE) - 2,
VLOOKUP(C9,vote4SURGE!$A:$C , 3, FALSE)
)
))</f>
        <v>4</v>
      </c>
      <c r="P9" s="318"/>
      <c r="Q9" s="317" t="str">
        <f>IF(ISBLANK(P9),,IFERROR(
IF(IFERROR(SEARCH("SS:",P9),0) &gt; 0, 
VLOOKUP(SUBSTITUTE(P9,"SS: ",""),vote4SURGE!$A:$C , 3, FALSE) - 2,
VLOOKUP(SUBSTITUTE(P9,"S: ",""),vote4SURGE!$A:$C , 3, FALSE)
)
,
IF(IFERROR(SEARCH("SS:",P9),0) &gt; 0, 
VLOOKUP(C9,vote4SURGE!$A:$C , 3, FALSE) - 2,
VLOOKUP(C9,vote4SURGE!$A:$C , 3, FALSE)
)
))</f>
        <v/>
      </c>
      <c r="R9" s="318"/>
      <c r="S9" s="319" t="str">
        <f>IF(ISBLANK(R9),,IFERROR(
IF(IFERROR(SEARCH("SS:",R9),0) &gt; 0, 
VLOOKUP(SUBSTITUTE(R9,"SS: ",""),vote4SURGE!$A:$C , 3, FALSE) - 2,
VLOOKUP(SUBSTITUTE(R9,"S: ",""),vote4SURGE!$A:$C , 3, FALSE)
)
,
IF(IFERROR(SEARCH("SS:",R9),0) &gt; 0, 
VLOOKUP(C9,vote4SURGE!$A:$C , 3, FALSE) - 2,
VLOOKUP(C9,vote4SURGE!$A:$C , 3, FALSE)
)
))</f>
        <v/>
      </c>
      <c r="T9" s="320">
        <f t="shared" si="2"/>
        <v>2</v>
      </c>
      <c r="U9" s="320">
        <f>IFERROR(__xludf.DUMMYFUNCTION("ROUND(
IF(ISBLANK(G9),,
SWITCH(
LEN(G9) - LEN(SUBSTITUTE(G9,"","","""")),
0 , VLOOKUP(G9, Variables!$A:$C, 3, FALSE),
1 , VLOOKUP(index(split(G9 ,"", "", FALSE),1,1), Variables!$A:$C , 3, FALSE) + VLOOKUP(index(split(G9 ,"", "", FALSE),1,2), Variables!$A:"&amp;"$C , 3, FALSE),
2 , VLOOKUP(index(split(G9 ,"", "", FALSE),1,1), Variables!$A:$C , 3, FALSE) + VLOOKUP(index(split(G9 ,"", "", FALSE),1,2), Variables!$A:$C , 3, FALSE) + VLOOKUP(index(split(G9 ,"", "", FALSE),1,3), Variables!$A:$C , 3, FALSE),
3 , VLOOKUP"&amp;"(index(split(G9 ,"", "", FALSE),1,1), Variables!$A:$C , 3, FALSE) + VLOOKUP(index(split(G9 ,"", "", FALSE),1,2), Variables!$A:$C , 3, FALSE) + VLOOKUP(index(split(G9 ,"", "", FALSE),1,3), Variables!$A:$C , 3, FALSE) + VLOOKUP(index(split(G9 ,"", "", FALSE"&amp;"),1,4), Variables!$A:$C , 3, FALSE),
)
)
)"),1.0)</f>
        <v>1</v>
      </c>
      <c r="V9" s="317">
        <f t="shared" si="3"/>
        <v>4</v>
      </c>
      <c r="W9" s="321">
        <f t="shared" si="4"/>
        <v>16.5</v>
      </c>
      <c r="X9" s="322"/>
      <c r="Y9" s="322"/>
      <c r="Z9" s="322"/>
      <c r="AA9" s="322"/>
      <c r="AB9" s="322"/>
      <c r="AC9" s="322"/>
      <c r="AD9" s="322"/>
      <c r="AE9" s="322"/>
    </row>
    <row r="10" hidden="1">
      <c r="A10" s="310">
        <v>1.0</v>
      </c>
      <c r="B10" s="93" t="str">
        <f t="shared" si="1"/>
        <v/>
      </c>
      <c r="C10" s="310" t="s">
        <v>787</v>
      </c>
      <c r="D10" s="310">
        <v>0.0</v>
      </c>
      <c r="E10" s="310" t="s">
        <v>1527</v>
      </c>
      <c r="F10" s="310" t="s">
        <v>1521</v>
      </c>
      <c r="G10" s="313" t="s">
        <v>1548</v>
      </c>
      <c r="H10" s="312">
        <f>IFERROR(__xludf.DUMMYFUNCTION(" IF(ISBLANK(G10),,
SWITCH(
LEN(G10) - LEN(SUBSTITUTE(G10,"","","""")),
0 , VLOOKUP(G10, Variables!$A:$B, 2, FALSE),
1 , VLOOKUP(index(split(G10 ,"", "", FALSE),1,1), Variables!$A:$B , 2, FALSE) + VLOOKUP(index(split(G10 ,"", "", FALSE),1,2), Variables!$A:"&amp;"$B , 2, FALSE),
2 , VLOOKUP(index(split(G10 ,"", "", FALSE),1,1), Variables!$A:$B , 2, FALSE) + VLOOKUP(index(split(G10 ,"", "", FALSE),1,2), Variables!$A:$B , 2, FALSE) + VLOOKUP(index(split(G10 ,"", "", FALSE),1,3), Variables!$A:$B , 2, FALSE),
3 , VLOO"&amp;"KUP(index(split(G10 ,"", "", FALSE),1,1), Variables!$A:$B , 2, FALSE) + VLOOKUP(index(split(G10 ,"", "", FALSE),1,2), Variables!$A:$B , 2, FALSE) + VLOOKUP(index(split(G10 ,"", "", FALSE),1,3), Variables!$A:$B , 2, FALSE) + VLOOKUP(index(split(G10 ,"", """&amp;", FALSE),1,4), Variables!$A:$B , 2, FALSE),
)
)"),2.3333333333333335)</f>
        <v>2.333333333</v>
      </c>
      <c r="I10" s="310" t="s">
        <v>1549</v>
      </c>
      <c r="J10" s="311" t="s">
        <v>734</v>
      </c>
      <c r="K10" s="314">
        <f>IFERROR(VLOOKUP(C10,vote4ITEMS!$A:$C, 3, FALSE),)</f>
        <v>4</v>
      </c>
      <c r="L10" s="313" t="s">
        <v>1099</v>
      </c>
      <c r="M10" s="315">
        <f>IFERROR(__xludf.DUMMYFUNCTION("IF(ISBLANK(L10),,
SWITCH(
LEN(L10) - LEN(SUBSTITUTE(L10,"","","""")),
0 , VLOOKUP(L10, vote4TRAITS!$A:$C , 3, FALSE),
1 , VLOOKUP(index(split(L10 ,"", "", FALSE),1,1), vote4TRAITS!$A:$C , 3, FALSE) + VLOOKUP(index(split(L10 ,"", "", FALSE),1,2), vote4TRAI"&amp;"TS!$A:$C , 3, FALSE),
2 , VLOOKUP(index(split(L10 ,"", "", FALSE),1,1), vote4TRAITS!$A:$C , 3, FALSE) + VLOOKUP(index(split(L10 ,"", "", FALSE),1,2), vote4TRAITS!$A:$C , 3, FALSE) + VLOOKUP(index(split(L10 ,"", "", FALSE),1,3), vote4TRAITS!$A:$C , 3, FALS"&amp;"E),
3 , VLOOKUP(index(split(L10 ,"", "", FALSE),1,1), vote4TRAITS!$A:$C , 3, FALSE) + VLOOKUP(index(split(L10 ,"", "", FALSE),1,2), vote4TRAITS!$A:$C , 3, FALSE) + VLOOKUP(index(split(L10 ,"", "", FALSE),1,3), vote4TRAITS!$A:$C , 3, FALSE) + VLOOKUP(index"&amp;"(split(L10 ,"", "", FALSE),1,4), vote4TRAITS!$A:$C , 3, FALSE)
))"),6.5)</f>
        <v>6.5</v>
      </c>
      <c r="N10" s="316" t="s">
        <v>1550</v>
      </c>
      <c r="O10" s="317">
        <f>IF(ISBLANK(N10),,IFERROR(
IF(IFERROR(SEARCH("SS:",N10),0) &gt; 0, 
VLOOKUP(SUBSTITUTE(N10,"SS: ",""),vote4SURGE!$A:$C , 3, FALSE) - 2,
VLOOKUP(SUBSTITUTE(N10,"S: ",""),vote4SURGE!$A:$C , 3, FALSE)
)
,
IF(IFERROR(SEARCH("SS:",N10),0) &gt; 0, 
VLOOKUP(C10,vote4SURGE!$A:$C , 3, FALSE) - 2,
VLOOKUP(C10,vote4SURGE!$A:$C , 3, FALSE)
)
))</f>
        <v>3.75</v>
      </c>
      <c r="P10" s="318"/>
      <c r="Q10" s="317" t="str">
        <f>IF(ISBLANK(P10),,IFERROR(
IF(IFERROR(SEARCH("SS:",P10),0) &gt; 0, 
VLOOKUP(SUBSTITUTE(P10,"SS: ",""),vote4SURGE!$A:$C , 3, FALSE) - 2,
VLOOKUP(SUBSTITUTE(P10,"S: ",""),vote4SURGE!$A:$C , 3, FALSE)
)
,
IF(IFERROR(SEARCH("SS:",P10),0) &gt; 0, 
VLOOKUP(C10,vote4SURGE!$A:$C , 3, FALSE) - 2,
VLOOKUP(C10,vote4SURGE!$A:$C , 3, FALSE)
)
))</f>
        <v/>
      </c>
      <c r="R10" s="318"/>
      <c r="S10" s="319" t="str">
        <f>IF(ISBLANK(R10),,IFERROR(
IF(IFERROR(SEARCH("SS:",R10),0) &gt; 0, 
VLOOKUP(SUBSTITUTE(R10,"SS: ",""),vote4SURGE!$A:$C , 3, FALSE) - 2,
VLOOKUP(SUBSTITUTE(R10,"S: ",""),vote4SURGE!$A:$C , 3, FALSE)
)
,
IF(IFERROR(SEARCH("SS:",R10),0) &gt; 0, 
VLOOKUP(C10,vote4SURGE!$A:$C , 3, FALSE) - 2,
VLOOKUP(C10,vote4SURGE!$A:$C , 3, FALSE)
)
))</f>
        <v/>
      </c>
      <c r="T10" s="320">
        <f t="shared" si="2"/>
        <v>1</v>
      </c>
      <c r="U10" s="320">
        <f>IFERROR(__xludf.DUMMYFUNCTION("ROUND(
IF(ISBLANK(G10),,
SWITCH(
LEN(G10) - LEN(SUBSTITUTE(G10,"","","""")),
0 , VLOOKUP(G10, Variables!$A:$C, 3, FALSE),
1 , VLOOKUP(index(split(G10 ,"", "", FALSE),1,1), Variables!$A:$C , 3, FALSE) + VLOOKUP(index(split(G10 ,"", "", FALSE),1,2), Variabl"&amp;"es!$A:$C , 3, FALSE),
2 , VLOOKUP(index(split(G10 ,"", "", FALSE),1,1), Variables!$A:$C , 3, FALSE) + VLOOKUP(index(split(G10 ,"", "", FALSE),1,2), Variables!$A:$C , 3, FALSE) + VLOOKUP(index(split(G10 ,"", "", FALSE),1,3), Variables!$A:$C , 3, FALSE),
3 "&amp;", VLOOKUP(index(split(G10 ,"", "", FALSE),1,1), Variables!$A:$C , 3, FALSE) + VLOOKUP(index(split(G10 ,"", "", FALSE),1,2), Variables!$A:$C , 3, FALSE) + VLOOKUP(index(split(G10 ,"", "", FALSE),1,3), Variables!$A:$C , 3, FALSE) + VLOOKUP(index(split(G10 ,"&amp;""", "", FALSE),1,4), Variables!$A:$C , 3, FALSE),
)
)
)"),1.0)</f>
        <v>1</v>
      </c>
      <c r="V10" s="317">
        <f t="shared" si="3"/>
        <v>3.75</v>
      </c>
      <c r="W10" s="321">
        <f t="shared" si="4"/>
        <v>16.58333333</v>
      </c>
      <c r="X10" s="322"/>
      <c r="Y10" s="322"/>
      <c r="Z10" s="322"/>
      <c r="AA10" s="322"/>
      <c r="AB10" s="322"/>
      <c r="AC10" s="322"/>
      <c r="AD10" s="322"/>
      <c r="AE10" s="322"/>
    </row>
    <row r="11" hidden="1">
      <c r="A11" s="310">
        <v>2.0</v>
      </c>
      <c r="B11" s="93">
        <f t="shared" si="1"/>
        <v>8</v>
      </c>
      <c r="C11" s="310" t="s">
        <v>1551</v>
      </c>
      <c r="D11" s="310">
        <v>175.0</v>
      </c>
      <c r="E11" s="310" t="s">
        <v>1527</v>
      </c>
      <c r="F11" s="310" t="s">
        <v>1521</v>
      </c>
      <c r="G11" s="313" t="s">
        <v>1546</v>
      </c>
      <c r="H11" s="312">
        <f>IFERROR(__xludf.DUMMYFUNCTION(" IF(ISBLANK(G11),,
SWITCH(
LEN(G11) - LEN(SUBSTITUTE(G11,"","","""")),
0 , VLOOKUP(G11, Variables!$A:$B, 2, FALSE),
1 , VLOOKUP(index(split(G11 ,"", "", FALSE),1,1), Variables!$A:$B , 2, FALSE) + VLOOKUP(index(split(G11 ,"", "", FALSE),1,2), Variables!$A:"&amp;"$B , 2, FALSE),
2 , VLOOKUP(index(split(G11 ,"", "", FALSE),1,1), Variables!$A:$B , 2, FALSE) + VLOOKUP(index(split(G11 ,"", "", FALSE),1,2), Variables!$A:$B , 2, FALSE) + VLOOKUP(index(split(G11 ,"", "", FALSE),1,3), Variables!$A:$B , 2, FALSE),
3 , VLOO"&amp;"KUP(index(split(G11 ,"", "", FALSE),1,1), Variables!$A:$B , 2, FALSE) + VLOOKUP(index(split(G11 ,"", "", FALSE),1,2), Variables!$A:$B , 2, FALSE) + VLOOKUP(index(split(G11 ,"", "", FALSE),1,3), Variables!$A:$B , 2, FALSE) + VLOOKUP(index(split(G11 ,"", """&amp;", FALSE),1,4), Variables!$A:$B , 2, FALSE),
)
)"),3.5)</f>
        <v>3.5</v>
      </c>
      <c r="I11" s="310" t="s">
        <v>1552</v>
      </c>
      <c r="J11" s="313"/>
      <c r="K11" s="314" t="str">
        <f>IFERROR(VLOOKUP(C11,vote4ITEMS!$A:$C, 3, FALSE),)</f>
        <v/>
      </c>
      <c r="L11" s="313" t="s">
        <v>1076</v>
      </c>
      <c r="M11" s="315">
        <f>IFERROR(__xludf.DUMMYFUNCTION("IF(ISBLANK(L11),,
SWITCH(
LEN(L11) - LEN(SUBSTITUTE(L11,"","","""")),
0 , VLOOKUP(L11, vote4TRAITS!$A:$C , 3, FALSE),
1 , VLOOKUP(index(split(L11 ,"", "", FALSE),1,1), vote4TRAITS!$A:$C , 3, FALSE) + VLOOKUP(index(split(L11 ,"", "", FALSE),1,2), vote4TRAI"&amp;"TS!$A:$C , 3, FALSE),
2 , VLOOKUP(index(split(L11 ,"", "", FALSE),1,1), vote4TRAITS!$A:$C , 3, FALSE) + VLOOKUP(index(split(L11 ,"", "", FALSE),1,2), vote4TRAITS!$A:$C , 3, FALSE) + VLOOKUP(index(split(L11 ,"", "", FALSE),1,3), vote4TRAITS!$A:$C , 3, FALS"&amp;"E),
3 , VLOOKUP(index(split(L11 ,"", "", FALSE),1,1), vote4TRAITS!$A:$C , 3, FALSE) + VLOOKUP(index(split(L11 ,"", "", FALSE),1,2), vote4TRAITS!$A:$C , 3, FALSE) + VLOOKUP(index(split(L11 ,"", "", FALSE),1,3), vote4TRAITS!$A:$C , 3, FALSE) + VLOOKUP(index"&amp;"(split(L11 ,"", "", FALSE),1,4), vote4TRAITS!$A:$C , 3, FALSE)
))"),5.5)</f>
        <v>5.5</v>
      </c>
      <c r="N11" s="316" t="s">
        <v>1534</v>
      </c>
      <c r="O11" s="317">
        <f>IF(ISBLANK(N11),,IFERROR(
IF(IFERROR(SEARCH("SS:",N11),0) &gt; 0, 
VLOOKUP(SUBSTITUTE(N11,"SS: ",""),vote4SURGE!$A:$C , 3, FALSE) - 2,
VLOOKUP(SUBSTITUTE(N11,"S: ",""),vote4SURGE!$A:$C , 3, FALSE)
)
,
IF(IFERROR(SEARCH("SS:",N11),0) &gt; 0, 
VLOOKUP(C11,vote4SURGE!$A:$C , 3, FALSE) - 2,
VLOOKUP(C11,vote4SURGE!$A:$C , 3, FALSE)
)
))</f>
        <v>4.25</v>
      </c>
      <c r="P11" s="315" t="s">
        <v>1535</v>
      </c>
      <c r="Q11" s="317">
        <f>IF(ISBLANK(P11),,IFERROR(
IF(IFERROR(SEARCH("SS:",P11),0) &gt; 0, 
VLOOKUP(SUBSTITUTE(P11,"SS: ",""),vote4SURGE!$A:$C , 3, FALSE) - 2,
VLOOKUP(SUBSTITUTE(P11,"S: ",""),vote4SURGE!$A:$C , 3, FALSE)
)
,
IF(IFERROR(SEARCH("SS:",P11),0) &gt; 0, 
VLOOKUP(C11,vote4SURGE!$A:$C , 3, FALSE) - 2,
VLOOKUP(C11,vote4SURGE!$A:$C , 3, FALSE)
)
))</f>
        <v>4.25</v>
      </c>
      <c r="R11" s="315" t="s">
        <v>1553</v>
      </c>
      <c r="S11" s="319">
        <f>IF(ISBLANK(R11),,IFERROR(
IF(IFERROR(SEARCH("SS:",R11),0) &gt; 0, 
VLOOKUP(SUBSTITUTE(R11,"SS: ",""),vote4SURGE!$A:$C , 3, FALSE) - 2,
VLOOKUP(SUBSTITUTE(R11,"S: ",""),vote4SURGE!$A:$C , 3, FALSE)
)
,
IF(IFERROR(SEARCH("SS:",R11),0) &gt; 0, 
VLOOKUP(C11,vote4SURGE!$A:$C , 3, FALSE) - 2,
VLOOKUP(C11,vote4SURGE!$A:$C , 3, FALSE)
)
))</f>
        <v>4</v>
      </c>
      <c r="T11" s="320">
        <f t="shared" si="2"/>
        <v>3</v>
      </c>
      <c r="U11" s="320">
        <f>IFERROR(__xludf.DUMMYFUNCTION("ROUND(
IF(ISBLANK(G11),,
SWITCH(
LEN(G11) - LEN(SUBSTITUTE(G11,"","","""")),
0 , VLOOKUP(G11, Variables!$A:$C, 3, FALSE),
1 , VLOOKUP(index(split(G11 ,"", "", FALSE),1,1), Variables!$A:$C , 3, FALSE) + VLOOKUP(index(split(G11 ,"", "", FALSE),1,2), Variabl"&amp;"es!$A:$C , 3, FALSE),
2 , VLOOKUP(index(split(G11 ,"", "", FALSE),1,1), Variables!$A:$C , 3, FALSE) + VLOOKUP(index(split(G11 ,"", "", FALSE),1,2), Variables!$A:$C , 3, FALSE) + VLOOKUP(index(split(G11 ,"", "", FALSE),1,3), Variables!$A:$C , 3, FALSE),
3 "&amp;", VLOOKUP(index(split(G11 ,"", "", FALSE),1,1), Variables!$A:$C , 3, FALSE) + VLOOKUP(index(split(G11 ,"", "", FALSE),1,2), Variables!$A:$C , 3, FALSE) + VLOOKUP(index(split(G11 ,"", "", FALSE),1,3), Variables!$A:$C , 3, FALSE) + VLOOKUP(index(split(G11 ,"&amp;""", "", FALSE),1,4), Variables!$A:$C , 3, FALSE),
)
)
)"),1.0)</f>
        <v>1</v>
      </c>
      <c r="V11" s="317">
        <f t="shared" si="3"/>
        <v>7</v>
      </c>
      <c r="W11" s="321">
        <f t="shared" si="4"/>
        <v>16</v>
      </c>
      <c r="X11" s="322"/>
      <c r="Y11" s="322"/>
      <c r="Z11" s="322"/>
      <c r="AA11" s="322"/>
      <c r="AB11" s="322"/>
      <c r="AC11" s="322"/>
      <c r="AD11" s="322"/>
      <c r="AE11" s="322"/>
    </row>
    <row r="12" hidden="1">
      <c r="A12" s="310">
        <v>1.0</v>
      </c>
      <c r="B12" s="93">
        <f t="shared" si="1"/>
        <v>4</v>
      </c>
      <c r="C12" s="310" t="s">
        <v>735</v>
      </c>
      <c r="D12" s="310">
        <v>100.0</v>
      </c>
      <c r="E12" s="310" t="s">
        <v>1520</v>
      </c>
      <c r="F12" s="310" t="s">
        <v>1531</v>
      </c>
      <c r="G12" s="313" t="s">
        <v>1548</v>
      </c>
      <c r="H12" s="312">
        <f>IFERROR(__xludf.DUMMYFUNCTION(" IF(ISBLANK(G12),,
SWITCH(
LEN(G12) - LEN(SUBSTITUTE(G12,"","","""")),
0 , VLOOKUP(G12, Variables!$A:$B, 2, FALSE),
1 , VLOOKUP(index(split(G12 ,"", "", FALSE),1,1), Variables!$A:$B , 2, FALSE) + VLOOKUP(index(split(G12 ,"", "", FALSE),1,2), Variables!$A:"&amp;"$B , 2, FALSE),
2 , VLOOKUP(index(split(G12 ,"", "", FALSE),1,1), Variables!$A:$B , 2, FALSE) + VLOOKUP(index(split(G12 ,"", "", FALSE),1,2), Variables!$A:$B , 2, FALSE) + VLOOKUP(index(split(G12 ,"", "", FALSE),1,3), Variables!$A:$B , 2, FALSE),
3 , VLOO"&amp;"KUP(index(split(G12 ,"", "", FALSE),1,1), Variables!$A:$B , 2, FALSE) + VLOOKUP(index(split(G12 ,"", "", FALSE),1,2), Variables!$A:$B , 2, FALSE) + VLOOKUP(index(split(G12 ,"", "", FALSE),1,3), Variables!$A:$B , 2, FALSE) + VLOOKUP(index(split(G12 ,"", """&amp;", FALSE),1,4), Variables!$A:$B , 2, FALSE),
)
)"),2.3333333333333335)</f>
        <v>2.333333333</v>
      </c>
      <c r="I12" s="310" t="s">
        <v>1554</v>
      </c>
      <c r="J12" s="313" t="s">
        <v>736</v>
      </c>
      <c r="K12" s="314">
        <f>IFERROR(VLOOKUP(C12,vote4ITEMS!$A:$C, 3, FALSE),)</f>
        <v>8</v>
      </c>
      <c r="L12" s="313"/>
      <c r="M12" s="315" t="str">
        <f>IFERROR(__xludf.DUMMYFUNCTION("IF(ISBLANK(L12),,
SWITCH(
LEN(L12) - LEN(SUBSTITUTE(L12,"","","""")),
0 , VLOOKUP(L12, vote4TRAITS!$A:$C , 3, FALSE),
1 , VLOOKUP(index(split(L12 ,"", "", FALSE),1,1), vote4TRAITS!$A:$C , 3, FALSE) + VLOOKUP(index(split(L12 ,"", "", FALSE),1,2), vote4TRAI"&amp;"TS!$A:$C , 3, FALSE),
2 , VLOOKUP(index(split(L12 ,"", "", FALSE),1,1), vote4TRAITS!$A:$C , 3, FALSE) + VLOOKUP(index(split(L12 ,"", "", FALSE),1,2), vote4TRAITS!$A:$C , 3, FALSE) + VLOOKUP(index(split(L12 ,"", "", FALSE),1,3), vote4TRAITS!$A:$C , 3, FALS"&amp;"E),
3 , VLOOKUP(index(split(L12 ,"", "", FALSE),1,1), vote4TRAITS!$A:$C , 3, FALSE) + VLOOKUP(index(split(L12 ,"", "", FALSE),1,2), vote4TRAITS!$A:$C , 3, FALSE) + VLOOKUP(index(split(L12 ,"", "", FALSE),1,3), vote4TRAITS!$A:$C , 3, FALSE) + VLOOKUP(index"&amp;"(split(L12 ,"", "", FALSE),1,4), vote4TRAITS!$A:$C , 3, FALSE)
))"),"")</f>
        <v/>
      </c>
      <c r="N12" s="316" t="s">
        <v>1534</v>
      </c>
      <c r="O12" s="317">
        <f>IF(ISBLANK(N12),,IFERROR(
IF(IFERROR(SEARCH("SS:",N12),0) &gt; 0, 
VLOOKUP(SUBSTITUTE(N12,"SS: ",""),vote4SURGE!$A:$C , 3, FALSE) - 2,
VLOOKUP(SUBSTITUTE(N12,"S: ",""),vote4SURGE!$A:$C , 3, FALSE)
)
,
IF(IFERROR(SEARCH("SS:",N12),0) &gt; 0, 
VLOOKUP(C12,vote4SURGE!$A:$C , 3, FALSE) - 2,
VLOOKUP(C12,vote4SURGE!$A:$C , 3, FALSE)
)
))</f>
        <v>4.25</v>
      </c>
      <c r="P12" s="315" t="s">
        <v>1555</v>
      </c>
      <c r="Q12" s="317">
        <f>IF(ISBLANK(P12),,IFERROR(
IF(IFERROR(SEARCH("SS:",P12),0) &gt; 0, 
VLOOKUP(SUBSTITUTE(P12,"SS: ",""),vote4SURGE!$A:$C , 3, FALSE) - 2,
VLOOKUP(SUBSTITUTE(P12,"S: ",""),vote4SURGE!$A:$C , 3, FALSE)
)
,
IF(IFERROR(SEARCH("SS:",P12),0) &gt; 0, 
VLOOKUP(C12,vote4SURGE!$A:$C , 3, FALSE) - 2,
VLOOKUP(C12,vote4SURGE!$A:$C , 3, FALSE)
)
))</f>
        <v>3.25</v>
      </c>
      <c r="R12" s="318"/>
      <c r="S12" s="319" t="str">
        <f>IF(ISBLANK(R12),,IFERROR(
IF(IFERROR(SEARCH("SS:",R12),0) &gt; 0, 
VLOOKUP(SUBSTITUTE(R12,"SS: ",""),vote4SURGE!$A:$C , 3, FALSE) - 2,
VLOOKUP(SUBSTITUTE(R12,"S: ",""),vote4SURGE!$A:$C , 3, FALSE)
)
,
IF(IFERROR(SEARCH("SS:",R12),0) &gt; 0, 
VLOOKUP(C12,vote4SURGE!$A:$C , 3, FALSE) - 2,
VLOOKUP(C12,vote4SURGE!$A:$C , 3, FALSE)
)
))</f>
        <v/>
      </c>
      <c r="T12" s="320">
        <f t="shared" si="2"/>
        <v>2</v>
      </c>
      <c r="U12" s="320">
        <f>IFERROR(__xludf.DUMMYFUNCTION("ROUND(
IF(ISBLANK(G12),,
SWITCH(
LEN(G12) - LEN(SUBSTITUTE(G12,"","","""")),
0 , VLOOKUP(G12, Variables!$A:$C, 3, FALSE),
1 , VLOOKUP(index(split(G12 ,"", "", FALSE),1,1), Variables!$A:$C , 3, FALSE) + VLOOKUP(index(split(G12 ,"", "", FALSE),1,2), Variabl"&amp;"es!$A:$C , 3, FALSE),
2 , VLOOKUP(index(split(G12 ,"", "", FALSE),1,1), Variables!$A:$C , 3, FALSE) + VLOOKUP(index(split(G12 ,"", "", FALSE),1,2), Variables!$A:$C , 3, FALSE) + VLOOKUP(index(split(G12 ,"", "", FALSE),1,3), Variables!$A:$C , 3, FALSE),
3 "&amp;", VLOOKUP(index(split(G12 ,"", "", FALSE),1,1), Variables!$A:$C , 3, FALSE) + VLOOKUP(index(split(G12 ,"", "", FALSE),1,2), Variables!$A:$C , 3, FALSE) + VLOOKUP(index(split(G12 ,"", "", FALSE),1,3), Variables!$A:$C , 3, FALSE) + VLOOKUP(index(split(G12 ,"&amp;""", "", FALSE),1,4), Variables!$A:$C , 3, FALSE),
)
)
)"),1.0)</f>
        <v>1</v>
      </c>
      <c r="V12" s="317">
        <f t="shared" si="3"/>
        <v>5.875</v>
      </c>
      <c r="W12" s="321">
        <f t="shared" si="4"/>
        <v>16.20833333</v>
      </c>
      <c r="X12" s="322"/>
      <c r="Y12" s="322"/>
      <c r="Z12" s="322"/>
      <c r="AA12" s="322"/>
      <c r="AB12" s="322"/>
      <c r="AC12" s="322"/>
      <c r="AD12" s="322"/>
      <c r="AE12" s="322"/>
    </row>
    <row r="13" hidden="1">
      <c r="A13" s="310" t="s">
        <v>1556</v>
      </c>
      <c r="B13" s="93" t="str">
        <f t="shared" si="1"/>
        <v/>
      </c>
      <c r="C13" s="310" t="s">
        <v>926</v>
      </c>
      <c r="D13" s="323">
        <v>0.0</v>
      </c>
      <c r="E13" s="310" t="s">
        <v>1520</v>
      </c>
      <c r="F13" s="310" t="s">
        <v>1521</v>
      </c>
      <c r="G13" s="313" t="s">
        <v>1537</v>
      </c>
      <c r="H13" s="312">
        <f>IFERROR(__xludf.DUMMYFUNCTION(" IF(ISBLANK(G13),,
SWITCH(
LEN(G13) - LEN(SUBSTITUTE(G13,"","","""")),
0 , VLOOKUP(G13, Variables!$A:$B, 2, FALSE),
1 , VLOOKUP(index(split(G13 ,"", "", FALSE),1,1), Variables!$A:$B , 2, FALSE) + VLOOKUP(index(split(G13 ,"", "", FALSE),1,2), Variables!$A:"&amp;"$B , 2, FALSE),
2 , VLOOKUP(index(split(G13 ,"", "", FALSE),1,1), Variables!$A:$B , 2, FALSE) + VLOOKUP(index(split(G13 ,"", "", FALSE),1,2), Variables!$A:$B , 2, FALSE) + VLOOKUP(index(split(G13 ,"", "", FALSE),1,3), Variables!$A:$B , 2, FALSE),
3 , VLOO"&amp;"KUP(index(split(G13 ,"", "", FALSE),1,1), Variables!$A:$B , 2, FALSE) + VLOOKUP(index(split(G13 ,"", "", FALSE),1,2), Variables!$A:$B , 2, FALSE) + VLOOKUP(index(split(G13 ,"", "", FALSE),1,3), Variables!$A:$B , 2, FALSE) + VLOOKUP(index(split(G13 ,"", """&amp;", FALSE),1,4), Variables!$A:$B , 2, FALSE),
)
)"),4.5)</f>
        <v>4.5</v>
      </c>
      <c r="I13" s="310" t="s">
        <v>1557</v>
      </c>
      <c r="J13" s="311" t="s">
        <v>927</v>
      </c>
      <c r="K13" s="314">
        <f>IFERROR(VLOOKUP(C13,vote4ITEMS!$A:$C, 3, FALSE),)</f>
        <v>6.333333333</v>
      </c>
      <c r="L13" s="324"/>
      <c r="M13" s="315" t="str">
        <f>IFERROR(__xludf.DUMMYFUNCTION("IF(ISBLANK(L13),,
SWITCH(
LEN(L13) - LEN(SUBSTITUTE(L13,"","","""")),
0 , VLOOKUP(L13, vote4TRAITS!$A:$C , 3, FALSE),
1 , VLOOKUP(index(split(L13 ,"", "", FALSE),1,1), vote4TRAITS!$A:$C , 3, FALSE) + VLOOKUP(index(split(L13 ,"", "", FALSE),1,2), vote4TRAI"&amp;"TS!$A:$C , 3, FALSE),
2 , VLOOKUP(index(split(L13 ,"", "", FALSE),1,1), vote4TRAITS!$A:$C , 3, FALSE) + VLOOKUP(index(split(L13 ,"", "", FALSE),1,2), vote4TRAITS!$A:$C , 3, FALSE) + VLOOKUP(index(split(L13 ,"", "", FALSE),1,3), vote4TRAITS!$A:$C , 3, FALS"&amp;"E),
3 , VLOOKUP(index(split(L13 ,"", "", FALSE),1,1), vote4TRAITS!$A:$C , 3, FALSE) + VLOOKUP(index(split(L13 ,"", "", FALSE),1,2), vote4TRAITS!$A:$C , 3, FALSE) + VLOOKUP(index(split(L13 ,"", "", FALSE),1,3), vote4TRAITS!$A:$C , 3, FALSE) + VLOOKUP(index"&amp;"(split(L13 ,"", "", FALSE),1,4), vote4TRAITS!$A:$C , 3, FALSE)
))"),"")</f>
        <v/>
      </c>
      <c r="N13" s="325" t="s">
        <v>1540</v>
      </c>
      <c r="O13" s="317">
        <f>IF(ISBLANK(N13),,IFERROR(
IF(IFERROR(SEARCH("SS:",N13),0) &gt; 0, 
VLOOKUP(SUBSTITUTE(N13,"SS: ",""),vote4SURGE!$A:$C , 3, FALSE) - 2,
VLOOKUP(SUBSTITUTE(N13,"S: ",""),vote4SURGE!$A:$C , 3, FALSE)
)
,
IF(IFERROR(SEARCH("SS:",N13),0) &gt; 0, 
VLOOKUP(C13,vote4SURGE!$A:$C , 3, FALSE) - 2,
VLOOKUP(C13,vote4SURGE!$A:$C , 3, FALSE)
)
))</f>
        <v>5.25</v>
      </c>
      <c r="P13" s="318"/>
      <c r="Q13" s="317" t="str">
        <f>IF(ISBLANK(P13),,IFERROR(
IF(IFERROR(SEARCH("SS:",P13),0) &gt; 0, 
VLOOKUP(SUBSTITUTE(P13,"SS: ",""),vote4SURGE!$A:$C , 3, FALSE) - 2,
VLOOKUP(SUBSTITUTE(P13,"S: ",""),vote4SURGE!$A:$C , 3, FALSE)
)
,
IF(IFERROR(SEARCH("SS:",P13),0) &gt; 0, 
VLOOKUP(C13,vote4SURGE!$A:$C , 3, FALSE) - 2,
VLOOKUP(C13,vote4SURGE!$A:$C , 3, FALSE)
)
))</f>
        <v/>
      </c>
      <c r="R13" s="318"/>
      <c r="S13" s="319" t="str">
        <f>IF(ISBLANK(R13),,IFERROR(
IF(IFERROR(SEARCH("SS:",R13),0) &gt; 0, 
VLOOKUP(SUBSTITUTE(R13,"SS: ",""),vote4SURGE!$A:$C , 3, FALSE) - 2,
VLOOKUP(SUBSTITUTE(R13,"S: ",""),vote4SURGE!$A:$C , 3, FALSE)
)
,
IF(IFERROR(SEARCH("SS:",R13),0) &gt; 0, 
VLOOKUP(C13,vote4SURGE!$A:$C , 3, FALSE) - 2,
VLOOKUP(C13,vote4SURGE!$A:$C , 3, FALSE)
)
))</f>
        <v/>
      </c>
      <c r="T13" s="320">
        <f t="shared" si="2"/>
        <v>1</v>
      </c>
      <c r="U13" s="320">
        <f>IFERROR(__xludf.DUMMYFUNCTION("ROUND(
IF(ISBLANK(G13),,
SWITCH(
LEN(G13) - LEN(SUBSTITUTE(G13,"","","""")),
0 , VLOOKUP(G13, Variables!$A:$C, 3, FALSE),
1 , VLOOKUP(index(split(G13 ,"", "", FALSE),1,1), Variables!$A:$C , 3, FALSE) + VLOOKUP(index(split(G13 ,"", "", FALSE),1,2), Variabl"&amp;"es!$A:$C , 3, FALSE),
2 , VLOOKUP(index(split(G13 ,"", "", FALSE),1,1), Variables!$A:$C , 3, FALSE) + VLOOKUP(index(split(G13 ,"", "", FALSE),1,2), Variables!$A:$C , 3, FALSE) + VLOOKUP(index(split(G13 ,"", "", FALSE),1,3), Variables!$A:$C , 3, FALSE),
3 "&amp;", VLOOKUP(index(split(G13 ,"", "", FALSE),1,1), Variables!$A:$C , 3, FALSE) + VLOOKUP(index(split(G13 ,"", "", FALSE),1,2), Variables!$A:$C , 3, FALSE) + VLOOKUP(index(split(G13 ,"", "", FALSE),1,3), Variables!$A:$C , 3, FALSE) + VLOOKUP(index(split(G13 ,"&amp;""", "", FALSE),1,4), Variables!$A:$C , 3, FALSE),
)
)
)"),1.0)</f>
        <v>1</v>
      </c>
      <c r="V13" s="317">
        <f t="shared" si="3"/>
        <v>5.25</v>
      </c>
      <c r="W13" s="321">
        <f t="shared" si="4"/>
        <v>16.08333333</v>
      </c>
      <c r="X13" s="322"/>
      <c r="Y13" s="322"/>
      <c r="Z13" s="322"/>
      <c r="AA13" s="322"/>
      <c r="AB13" s="322"/>
      <c r="AC13" s="322"/>
      <c r="AD13" s="322"/>
      <c r="AE13" s="322"/>
    </row>
    <row r="14" hidden="1">
      <c r="A14" s="310">
        <v>1.0</v>
      </c>
      <c r="B14" s="93">
        <f t="shared" si="1"/>
        <v>4</v>
      </c>
      <c r="C14" s="310" t="s">
        <v>1558</v>
      </c>
      <c r="D14" s="310">
        <v>125.0</v>
      </c>
      <c r="E14" s="310" t="s">
        <v>1527</v>
      </c>
      <c r="F14" s="310" t="s">
        <v>1521</v>
      </c>
      <c r="G14" s="313" t="s">
        <v>1525</v>
      </c>
      <c r="H14" s="312">
        <f>IFERROR(__xludf.DUMMYFUNCTION(" IF(ISBLANK(G14),,
SWITCH(
LEN(G14) - LEN(SUBSTITUTE(G14,"","","""")),
0 , VLOOKUP(G14, Variables!$A:$B, 2, FALSE),
1 , VLOOKUP(index(split(G14 ,"", "", FALSE),1,1), Variables!$A:$B , 2, FALSE) + VLOOKUP(index(split(G14 ,"", "", FALSE),1,2), Variables!$A:"&amp;"$B , 2, FALSE),
2 , VLOOKUP(index(split(G14 ,"", "", FALSE),1,1), Variables!$A:$B , 2, FALSE) + VLOOKUP(index(split(G14 ,"", "", FALSE),1,2), Variables!$A:$B , 2, FALSE) + VLOOKUP(index(split(G14 ,"", "", FALSE),1,3), Variables!$A:$B , 2, FALSE),
3 , VLOO"&amp;"KUP(index(split(G14 ,"", "", FALSE),1,1), Variables!$A:$B , 2, FALSE) + VLOOKUP(index(split(G14 ,"", "", FALSE),1,2), Variables!$A:$B , 2, FALSE) + VLOOKUP(index(split(G14 ,"", "", FALSE),1,3), Variables!$A:$B , 2, FALSE) + VLOOKUP(index(split(G14 ,"", """&amp;", FALSE),1,4), Variables!$A:$B , 2, FALSE),
)
)"),3.333333333333333)</f>
        <v>3.333333333</v>
      </c>
      <c r="I14" s="310" t="s">
        <v>1557</v>
      </c>
      <c r="J14" s="313"/>
      <c r="K14" s="314" t="str">
        <f>IFERROR(VLOOKUP(C14,vote4ITEMS!$A:$C, 3, FALSE),)</f>
        <v/>
      </c>
      <c r="L14" s="313" t="s">
        <v>1076</v>
      </c>
      <c r="M14" s="315">
        <f>IFERROR(__xludf.DUMMYFUNCTION("IF(ISBLANK(L14),,
SWITCH(
LEN(L14) - LEN(SUBSTITUTE(L14,"","","""")),
0 , VLOOKUP(L14, vote4TRAITS!$A:$C , 3, FALSE),
1 , VLOOKUP(index(split(L14 ,"", "", FALSE),1,1), vote4TRAITS!$A:$C , 3, FALSE) + VLOOKUP(index(split(L14 ,"", "", FALSE),1,2), vote4TRAI"&amp;"TS!$A:$C , 3, FALSE),
2 , VLOOKUP(index(split(L14 ,"", "", FALSE),1,1), vote4TRAITS!$A:$C , 3, FALSE) + VLOOKUP(index(split(L14 ,"", "", FALSE),1,2), vote4TRAITS!$A:$C , 3, FALSE) + VLOOKUP(index(split(L14 ,"", "", FALSE),1,3), vote4TRAITS!$A:$C , 3, FALS"&amp;"E),
3 , VLOOKUP(index(split(L14 ,"", "", FALSE),1,1), vote4TRAITS!$A:$C , 3, FALSE) + VLOOKUP(index(split(L14 ,"", "", FALSE),1,2), vote4TRAITS!$A:$C , 3, FALSE) + VLOOKUP(index(split(L14 ,"", "", FALSE),1,3), vote4TRAITS!$A:$C , 3, FALSE) + VLOOKUP(index"&amp;"(split(L14 ,"", "", FALSE),1,4), vote4TRAITS!$A:$C , 3, FALSE)
))"),5.5)</f>
        <v>5.5</v>
      </c>
      <c r="N14" s="316" t="s">
        <v>1534</v>
      </c>
      <c r="O14" s="317">
        <f>IF(ISBLANK(N14),,IFERROR(
IF(IFERROR(SEARCH("SS:",N14),0) &gt; 0, 
VLOOKUP(SUBSTITUTE(N14,"SS: ",""),vote4SURGE!$A:$C , 3, FALSE) - 2,
VLOOKUP(SUBSTITUTE(N14,"S: ",""),vote4SURGE!$A:$C , 3, FALSE)
)
,
IF(IFERROR(SEARCH("SS:",N14),0) &gt; 0, 
VLOOKUP(C14,vote4SURGE!$A:$C , 3, FALSE) - 2,
VLOOKUP(C14,vote4SURGE!$A:$C , 3, FALSE)
)
))</f>
        <v>4.25</v>
      </c>
      <c r="P14" s="315" t="s">
        <v>1535</v>
      </c>
      <c r="Q14" s="317">
        <f>IF(ISBLANK(P14),,IFERROR(
IF(IFERROR(SEARCH("SS:",P14),0) &gt; 0, 
VLOOKUP(SUBSTITUTE(P14,"SS: ",""),vote4SURGE!$A:$C , 3, FALSE) - 2,
VLOOKUP(SUBSTITUTE(P14,"S: ",""),vote4SURGE!$A:$C , 3, FALSE)
)
,
IF(IFERROR(SEARCH("SS:",P14),0) &gt; 0, 
VLOOKUP(C14,vote4SURGE!$A:$C , 3, FALSE) - 2,
VLOOKUP(C14,vote4SURGE!$A:$C , 3, FALSE)
)
))</f>
        <v>4.25</v>
      </c>
      <c r="R14" s="318"/>
      <c r="S14" s="319" t="str">
        <f>IF(ISBLANK(R14),,IFERROR(
IF(IFERROR(SEARCH("SS:",R14),0) &gt; 0, 
VLOOKUP(SUBSTITUTE(R14,"SS: ",""),vote4SURGE!$A:$C , 3, FALSE) - 2,
VLOOKUP(SUBSTITUTE(R14,"S: ",""),vote4SURGE!$A:$C , 3, FALSE)
)
,
IF(IFERROR(SEARCH("SS:",R14),0) &gt; 0, 
VLOOKUP(C14,vote4SURGE!$A:$C , 3, FALSE) - 2,
VLOOKUP(C14,vote4SURGE!$A:$C , 3, FALSE)
)
))</f>
        <v/>
      </c>
      <c r="T14" s="320">
        <f t="shared" si="2"/>
        <v>2</v>
      </c>
      <c r="U14" s="320">
        <f>IFERROR(__xludf.DUMMYFUNCTION("ROUND(
IF(ISBLANK(G14),,
SWITCH(
LEN(G14) - LEN(SUBSTITUTE(G14,"","","""")),
0 , VLOOKUP(G14, Variables!$A:$C, 3, FALSE),
1 , VLOOKUP(index(split(G14 ,"", "", FALSE),1,1), Variables!$A:$C , 3, FALSE) + VLOOKUP(index(split(G14 ,"", "", FALSE),1,2), Variabl"&amp;"es!$A:$C , 3, FALSE),
2 , VLOOKUP(index(split(G14 ,"", "", FALSE),1,1), Variables!$A:$C , 3, FALSE) + VLOOKUP(index(split(G14 ,"", "", FALSE),1,2), Variables!$A:$C , 3, FALSE) + VLOOKUP(index(split(G14 ,"", "", FALSE),1,3), Variables!$A:$C , 3, FALSE),
3 "&amp;", VLOOKUP(index(split(G14 ,"", "", FALSE),1,1), Variables!$A:$C , 3, FALSE) + VLOOKUP(index(split(G14 ,"", "", FALSE),1,2), Variables!$A:$C , 3, FALSE) + VLOOKUP(index(split(G14 ,"", "", FALSE),1,3), Variables!$A:$C , 3, FALSE) + VLOOKUP(index(split(G14 ,"&amp;""", "", FALSE),1,4), Variables!$A:$C , 3, FALSE),
)
)
)"),1.0)</f>
        <v>1</v>
      </c>
      <c r="V14" s="317">
        <f t="shared" si="3"/>
        <v>6.375</v>
      </c>
      <c r="W14" s="321">
        <f t="shared" si="4"/>
        <v>15.20833333</v>
      </c>
      <c r="X14" s="322"/>
      <c r="Y14" s="322"/>
      <c r="Z14" s="322"/>
      <c r="AA14" s="322"/>
      <c r="AB14" s="322"/>
      <c r="AC14" s="322"/>
      <c r="AD14" s="322"/>
      <c r="AE14" s="322"/>
    </row>
    <row r="15" hidden="1">
      <c r="A15" s="310">
        <v>2.0</v>
      </c>
      <c r="B15" s="93">
        <f t="shared" si="1"/>
        <v>8</v>
      </c>
      <c r="C15" s="310" t="s">
        <v>802</v>
      </c>
      <c r="D15" s="310">
        <v>200.0</v>
      </c>
      <c r="E15" s="310" t="s">
        <v>1527</v>
      </c>
      <c r="F15" s="310" t="s">
        <v>1531</v>
      </c>
      <c r="G15" s="313" t="s">
        <v>1546</v>
      </c>
      <c r="H15" s="312">
        <f>IFERROR(__xludf.DUMMYFUNCTION(" IF(ISBLANK(G15),,
SWITCH(
LEN(G15) - LEN(SUBSTITUTE(G15,"","","""")),
0 , VLOOKUP(G15, Variables!$A:$B, 2, FALSE),
1 , VLOOKUP(index(split(G15 ,"", "", FALSE),1,1), Variables!$A:$B , 2, FALSE) + VLOOKUP(index(split(G15 ,"", "", FALSE),1,2), Variables!$A:"&amp;"$B , 2, FALSE),
2 , VLOOKUP(index(split(G15 ,"", "", FALSE),1,1), Variables!$A:$B , 2, FALSE) + VLOOKUP(index(split(G15 ,"", "", FALSE),1,2), Variables!$A:$B , 2, FALSE) + VLOOKUP(index(split(G15 ,"", "", FALSE),1,3), Variables!$A:$B , 2, FALSE),
3 , VLOO"&amp;"KUP(index(split(G15 ,"", "", FALSE),1,1), Variables!$A:$B , 2, FALSE) + VLOOKUP(index(split(G15 ,"", "", FALSE),1,2), Variables!$A:$B , 2, FALSE) + VLOOKUP(index(split(G15 ,"", "", FALSE),1,3), Variables!$A:$B , 2, FALSE) + VLOOKUP(index(split(G15 ,"", """&amp;", FALSE),1,4), Variables!$A:$B , 2, FALSE),
)
)"),3.5)</f>
        <v>3.5</v>
      </c>
      <c r="I15" s="310" t="s">
        <v>1559</v>
      </c>
      <c r="J15" s="313" t="s">
        <v>803</v>
      </c>
      <c r="K15" s="314">
        <f>IFERROR(VLOOKUP(C15,vote4ITEMS!$A:$C, 3, FALSE),)</f>
        <v>6</v>
      </c>
      <c r="L15" s="313"/>
      <c r="M15" s="315" t="str">
        <f>IFERROR(__xludf.DUMMYFUNCTION("IF(ISBLANK(L15),,
SWITCH(
LEN(L15) - LEN(SUBSTITUTE(L15,"","","""")),
0 , VLOOKUP(L15, vote4TRAITS!$A:$C , 3, FALSE),
1 , VLOOKUP(index(split(L15 ,"", "", FALSE),1,1), vote4TRAITS!$A:$C , 3, FALSE) + VLOOKUP(index(split(L15 ,"", "", FALSE),1,2), vote4TRAI"&amp;"TS!$A:$C , 3, FALSE),
2 , VLOOKUP(index(split(L15 ,"", "", FALSE),1,1), vote4TRAITS!$A:$C , 3, FALSE) + VLOOKUP(index(split(L15 ,"", "", FALSE),1,2), vote4TRAITS!$A:$C , 3, FALSE) + VLOOKUP(index(split(L15 ,"", "", FALSE),1,3), vote4TRAITS!$A:$C , 3, FALS"&amp;"E),
3 , VLOOKUP(index(split(L15 ,"", "", FALSE),1,1), vote4TRAITS!$A:$C , 3, FALSE) + VLOOKUP(index(split(L15 ,"", "", FALSE),1,2), vote4TRAITS!$A:$C , 3, FALSE) + VLOOKUP(index(split(L15 ,"", "", FALSE),1,3), vote4TRAITS!$A:$C , 3, FALSE) + VLOOKUP(index"&amp;"(split(L15 ,"", "", FALSE),1,4), vote4TRAITS!$A:$C , 3, FALSE)
))"),"")</f>
        <v/>
      </c>
      <c r="N15" s="316" t="s">
        <v>1534</v>
      </c>
      <c r="O15" s="317">
        <f>IF(ISBLANK(N15),,IFERROR(
IF(IFERROR(SEARCH("SS:",N15),0) &gt; 0, 
VLOOKUP(SUBSTITUTE(N15,"SS: ",""),vote4SURGE!$A:$C , 3, FALSE) - 2,
VLOOKUP(SUBSTITUTE(N15,"S: ",""),vote4SURGE!$A:$C , 3, FALSE)
)
,
IF(IFERROR(SEARCH("SS:",N15),0) &gt; 0, 
VLOOKUP(C15,vote4SURGE!$A:$C , 3, FALSE) - 2,
VLOOKUP(C15,vote4SURGE!$A:$C , 3, FALSE)
)
))</f>
        <v>4.25</v>
      </c>
      <c r="P15" s="315" t="s">
        <v>1560</v>
      </c>
      <c r="Q15" s="317">
        <f>IF(ISBLANK(P15),,IFERROR(
IF(IFERROR(SEARCH("SS:",P15),0) &gt; 0, 
VLOOKUP(SUBSTITUTE(P15,"SS: ",""),vote4SURGE!$A:$C , 3, FALSE) - 2,
VLOOKUP(SUBSTITUTE(P15,"S: ",""),vote4SURGE!$A:$C , 3, FALSE)
)
,
IF(IFERROR(SEARCH("SS:",P15),0) &gt; 0, 
VLOOKUP(C15,vote4SURGE!$A:$C , 3, FALSE) - 2,
VLOOKUP(C15,vote4SURGE!$A:$C , 3, FALSE)
)
))</f>
        <v>4.25</v>
      </c>
      <c r="R15" s="318"/>
      <c r="S15" s="319" t="str">
        <f>IF(ISBLANK(R15),,IFERROR(
IF(IFERROR(SEARCH("SS:",R15),0) &gt; 0, 
VLOOKUP(SUBSTITUTE(R15,"SS: ",""),vote4SURGE!$A:$C , 3, FALSE) - 2,
VLOOKUP(SUBSTITUTE(R15,"S: ",""),vote4SURGE!$A:$C , 3, FALSE)
)
,
IF(IFERROR(SEARCH("SS:",R15),0) &gt; 0, 
VLOOKUP(C15,vote4SURGE!$A:$C , 3, FALSE) - 2,
VLOOKUP(C15,vote4SURGE!$A:$C , 3, FALSE)
)
))</f>
        <v/>
      </c>
      <c r="T15" s="320">
        <f t="shared" si="2"/>
        <v>2</v>
      </c>
      <c r="U15" s="320">
        <f>IFERROR(__xludf.DUMMYFUNCTION("ROUND(
IF(ISBLANK(G15),,
SWITCH(
LEN(G15) - LEN(SUBSTITUTE(G15,"","","""")),
0 , VLOOKUP(G15, Variables!$A:$C, 3, FALSE),
1 , VLOOKUP(index(split(G15 ,"", "", FALSE),1,1), Variables!$A:$C , 3, FALSE) + VLOOKUP(index(split(G15 ,"", "", FALSE),1,2), Variabl"&amp;"es!$A:$C , 3, FALSE),
2 , VLOOKUP(index(split(G15 ,"", "", FALSE),1,1), Variables!$A:$C , 3, FALSE) + VLOOKUP(index(split(G15 ,"", "", FALSE),1,2), Variables!$A:$C , 3, FALSE) + VLOOKUP(index(split(G15 ,"", "", FALSE),1,3), Variables!$A:$C , 3, FALSE),
3 "&amp;", VLOOKUP(index(split(G15 ,"", "", FALSE),1,1), Variables!$A:$C , 3, FALSE) + VLOOKUP(index(split(G15 ,"", "", FALSE),1,2), Variables!$A:$C , 3, FALSE) + VLOOKUP(index(split(G15 ,"", "", FALSE),1,3), Variables!$A:$C , 3, FALSE) + VLOOKUP(index(split(G15 ,"&amp;""", "", FALSE),1,4), Variables!$A:$C , 3, FALSE),
)
)
)"),1.0)</f>
        <v>1</v>
      </c>
      <c r="V15" s="317">
        <f t="shared" si="3"/>
        <v>6.375</v>
      </c>
      <c r="W15" s="321">
        <f t="shared" si="4"/>
        <v>15.875</v>
      </c>
      <c r="X15" s="322"/>
      <c r="Y15" s="322"/>
      <c r="Z15" s="322"/>
      <c r="AA15" s="322"/>
      <c r="AB15" s="322"/>
      <c r="AC15" s="322"/>
      <c r="AD15" s="322"/>
      <c r="AE15" s="322"/>
    </row>
    <row r="16" hidden="1">
      <c r="A16" s="310">
        <v>2.0</v>
      </c>
      <c r="B16" s="93">
        <f t="shared" si="1"/>
        <v>8</v>
      </c>
      <c r="C16" s="310" t="s">
        <v>745</v>
      </c>
      <c r="D16" s="310">
        <v>125.0</v>
      </c>
      <c r="E16" s="310" t="s">
        <v>1520</v>
      </c>
      <c r="F16" s="310" t="s">
        <v>1521</v>
      </c>
      <c r="G16" s="313" t="s">
        <v>1546</v>
      </c>
      <c r="H16" s="312">
        <f>IFERROR(__xludf.DUMMYFUNCTION(" IF(ISBLANK(G16),,
SWITCH(
LEN(G16) - LEN(SUBSTITUTE(G16,"","","""")),
0 , VLOOKUP(G16, Variables!$A:$B, 2, FALSE),
1 , VLOOKUP(index(split(G16 ,"", "", FALSE),1,1), Variables!$A:$B , 2, FALSE) + VLOOKUP(index(split(G16 ,"", "", FALSE),1,2), Variables!$A:"&amp;"$B , 2, FALSE),
2 , VLOOKUP(index(split(G16 ,"", "", FALSE),1,1), Variables!$A:$B , 2, FALSE) + VLOOKUP(index(split(G16 ,"", "", FALSE),1,2), Variables!$A:$B , 2, FALSE) + VLOOKUP(index(split(G16 ,"", "", FALSE),1,3), Variables!$A:$B , 2, FALSE),
3 , VLOO"&amp;"KUP(index(split(G16 ,"", "", FALSE),1,1), Variables!$A:$B , 2, FALSE) + VLOOKUP(index(split(G16 ,"", "", FALSE),1,2), Variables!$A:$B , 2, FALSE) + VLOOKUP(index(split(G16 ,"", "", FALSE),1,3), Variables!$A:$B , 2, FALSE) + VLOOKUP(index(split(G16 ,"", """&amp;", FALSE),1,4), Variables!$A:$B , 2, FALSE),
)
)"),3.5)</f>
        <v>3.5</v>
      </c>
      <c r="I16" s="310" t="s">
        <v>1561</v>
      </c>
      <c r="J16" s="313" t="s">
        <v>746</v>
      </c>
      <c r="K16" s="314">
        <f>IFERROR(VLOOKUP(C16,vote4ITEMS!$A:$C, 3, FALSE),)</f>
        <v>7</v>
      </c>
      <c r="L16" s="313"/>
      <c r="M16" s="315" t="str">
        <f>IFERROR(__xludf.DUMMYFUNCTION("IF(ISBLANK(L16),,
SWITCH(
LEN(L16) - LEN(SUBSTITUTE(L16,"","","""")),
0 , VLOOKUP(L16, vote4TRAITS!$A:$C , 3, FALSE),
1 , VLOOKUP(index(split(L16 ,"", "", FALSE),1,1), vote4TRAITS!$A:$C , 3, FALSE) + VLOOKUP(index(split(L16 ,"", "", FALSE),1,2), vote4TRAI"&amp;"TS!$A:$C , 3, FALSE),
2 , VLOOKUP(index(split(L16 ,"", "", FALSE),1,1), vote4TRAITS!$A:$C , 3, FALSE) + VLOOKUP(index(split(L16 ,"", "", FALSE),1,2), vote4TRAITS!$A:$C , 3, FALSE) + VLOOKUP(index(split(L16 ,"", "", FALSE),1,3), vote4TRAITS!$A:$C , 3, FALS"&amp;"E),
3 , VLOOKUP(index(split(L16 ,"", "", FALSE),1,1), vote4TRAITS!$A:$C , 3, FALSE) + VLOOKUP(index(split(L16 ,"", "", FALSE),1,2), vote4TRAITS!$A:$C , 3, FALSE) + VLOOKUP(index(split(L16 ,"", "", FALSE),1,3), vote4TRAITS!$A:$C , 3, FALSE) + VLOOKUP(index"&amp;"(split(L16 ,"", "", FALSE),1,4), vote4TRAITS!$A:$C , 3, FALSE)
))"),"")</f>
        <v/>
      </c>
      <c r="N16" s="316" t="s">
        <v>1562</v>
      </c>
      <c r="O16" s="317">
        <f>IF(ISBLANK(N16),,IFERROR(
IF(IFERROR(SEARCH("SS:",N16),0) &gt; 0, 
VLOOKUP(SUBSTITUTE(N16,"SS: ",""),vote4SURGE!$A:$C , 3, FALSE) - 2,
VLOOKUP(SUBSTITUTE(N16,"S: ",""),vote4SURGE!$A:$C , 3, FALSE)
)
,
IF(IFERROR(SEARCH("SS:",N16),0) &gt; 0, 
VLOOKUP(C16,vote4SURGE!$A:$C , 3, FALSE) - 2,
VLOOKUP(C16,vote4SURGE!$A:$C , 3, FALSE)
)
))</f>
        <v>3.5</v>
      </c>
      <c r="P16" s="315" t="s">
        <v>1562</v>
      </c>
      <c r="Q16" s="317">
        <f>IF(ISBLANK(P16),,IFERROR(
IF(IFERROR(SEARCH("SS:",P16),0) &gt; 0, 
VLOOKUP(SUBSTITUTE(P16,"SS: ",""),vote4SURGE!$A:$C , 3, FALSE) - 2,
VLOOKUP(SUBSTITUTE(P16,"S: ",""),vote4SURGE!$A:$C , 3, FALSE)
)
,
IF(IFERROR(SEARCH("SS:",P16),0) &gt; 0, 
VLOOKUP(C16,vote4SURGE!$A:$C , 3, FALSE) - 2,
VLOOKUP(C16,vote4SURGE!$A:$C , 3, FALSE)
)
))</f>
        <v>3.5</v>
      </c>
      <c r="R16" s="318"/>
      <c r="S16" s="319" t="str">
        <f>IF(ISBLANK(R16),,IFERROR(
IF(IFERROR(SEARCH("SS:",R16),0) &gt; 0, 
VLOOKUP(SUBSTITUTE(R16,"SS: ",""),vote4SURGE!$A:$C , 3, FALSE) - 2,
VLOOKUP(SUBSTITUTE(R16,"S: ",""),vote4SURGE!$A:$C , 3, FALSE)
)
,
IF(IFERROR(SEARCH("SS:",R16),0) &gt; 0, 
VLOOKUP(C16,vote4SURGE!$A:$C , 3, FALSE) - 2,
VLOOKUP(C16,vote4SURGE!$A:$C , 3, FALSE)
)
))</f>
        <v/>
      </c>
      <c r="T16" s="320">
        <f t="shared" si="2"/>
        <v>2</v>
      </c>
      <c r="U16" s="320">
        <f>IFERROR(__xludf.DUMMYFUNCTION("ROUND(
IF(ISBLANK(G16),,
SWITCH(
LEN(G16) - LEN(SUBSTITUTE(G16,"","","""")),
0 , VLOOKUP(G16, Variables!$A:$C, 3, FALSE),
1 , VLOOKUP(index(split(G16 ,"", "", FALSE),1,1), Variables!$A:$C , 3, FALSE) + VLOOKUP(index(split(G16 ,"", "", FALSE),1,2), Variabl"&amp;"es!$A:$C , 3, FALSE),
2 , VLOOKUP(index(split(G16 ,"", "", FALSE),1,1), Variables!$A:$C , 3, FALSE) + VLOOKUP(index(split(G16 ,"", "", FALSE),1,2), Variables!$A:$C , 3, FALSE) + VLOOKUP(index(split(G16 ,"", "", FALSE),1,3), Variables!$A:$C , 3, FALSE),
3 "&amp;", VLOOKUP(index(split(G16 ,"", "", FALSE),1,1), Variables!$A:$C , 3, FALSE) + VLOOKUP(index(split(G16 ,"", "", FALSE),1,2), Variables!$A:$C , 3, FALSE) + VLOOKUP(index(split(G16 ,"", "", FALSE),1,3), Variables!$A:$C , 3, FALSE) + VLOOKUP(index(split(G16 ,"&amp;""", "", FALSE),1,4), Variables!$A:$C , 3, FALSE),
)
)
)"),1.0)</f>
        <v>1</v>
      </c>
      <c r="V16" s="317">
        <f t="shared" si="3"/>
        <v>5.25</v>
      </c>
      <c r="W16" s="321">
        <f t="shared" si="4"/>
        <v>15.75</v>
      </c>
      <c r="X16" s="322"/>
      <c r="Y16" s="322"/>
      <c r="Z16" s="322"/>
      <c r="AA16" s="322"/>
      <c r="AB16" s="322"/>
      <c r="AC16" s="322"/>
      <c r="AD16" s="322"/>
      <c r="AE16" s="322"/>
    </row>
    <row r="17" hidden="1">
      <c r="A17" s="310">
        <v>2.0</v>
      </c>
      <c r="B17" s="93">
        <f t="shared" si="1"/>
        <v>8</v>
      </c>
      <c r="C17" s="310" t="s">
        <v>894</v>
      </c>
      <c r="D17" s="310">
        <v>200.0</v>
      </c>
      <c r="E17" s="310" t="s">
        <v>1520</v>
      </c>
      <c r="F17" s="310" t="s">
        <v>1521</v>
      </c>
      <c r="G17" s="313" t="s">
        <v>1537</v>
      </c>
      <c r="H17" s="312">
        <f>IFERROR(__xludf.DUMMYFUNCTION(" IF(ISBLANK(G17),,
SWITCH(
LEN(G17) - LEN(SUBSTITUTE(G17,"","","""")),
0 , VLOOKUP(G17, Variables!$A:$B, 2, FALSE),
1 , VLOOKUP(index(split(G17 ,"", "", FALSE),1,1), Variables!$A:$B , 2, FALSE) + VLOOKUP(index(split(G17 ,"", "", FALSE),1,2), Variables!$A:"&amp;"$B , 2, FALSE),
2 , VLOOKUP(index(split(G17 ,"", "", FALSE),1,1), Variables!$A:$B , 2, FALSE) + VLOOKUP(index(split(G17 ,"", "", FALSE),1,2), Variables!$A:$B , 2, FALSE) + VLOOKUP(index(split(G17 ,"", "", FALSE),1,3), Variables!$A:$B , 2, FALSE),
3 , VLOO"&amp;"KUP(index(split(G17 ,"", "", FALSE),1,1), Variables!$A:$B , 2, FALSE) + VLOOKUP(index(split(G17 ,"", "", FALSE),1,2), Variables!$A:$B , 2, FALSE) + VLOOKUP(index(split(G17 ,"", "", FALSE),1,3), Variables!$A:$B , 2, FALSE) + VLOOKUP(index(split(G17 ,"", """&amp;", FALSE),1,4), Variables!$A:$B , 2, FALSE),
)
)"),4.5)</f>
        <v>4.5</v>
      </c>
      <c r="I17" s="310" t="s">
        <v>1557</v>
      </c>
      <c r="J17" s="313" t="s">
        <v>895</v>
      </c>
      <c r="K17" s="314">
        <f>IFERROR(VLOOKUP(C17,vote4ITEMS!$A:$C, 3, FALSE),)</f>
        <v>4.666666667</v>
      </c>
      <c r="L17" s="313"/>
      <c r="M17" s="315" t="str">
        <f>IFERROR(__xludf.DUMMYFUNCTION("IF(ISBLANK(L17),,
SWITCH(
LEN(L17) - LEN(SUBSTITUTE(L17,"","","""")),
0 , VLOOKUP(L17, vote4TRAITS!$A:$C , 3, FALSE),
1 , VLOOKUP(index(split(L17 ,"", "", FALSE),1,1), vote4TRAITS!$A:$C , 3, FALSE) + VLOOKUP(index(split(L17 ,"", "", FALSE),1,2), vote4TRAI"&amp;"TS!$A:$C , 3, FALSE),
2 , VLOOKUP(index(split(L17 ,"", "", FALSE),1,1), vote4TRAITS!$A:$C , 3, FALSE) + VLOOKUP(index(split(L17 ,"", "", FALSE),1,2), vote4TRAITS!$A:$C , 3, FALSE) + VLOOKUP(index(split(L17 ,"", "", FALSE),1,3), vote4TRAITS!$A:$C , 3, FALS"&amp;"E),
3 , VLOOKUP(index(split(L17 ,"", "", FALSE),1,1), vote4TRAITS!$A:$C , 3, FALSE) + VLOOKUP(index(split(L17 ,"", "", FALSE),1,2), vote4TRAITS!$A:$C , 3, FALSE) + VLOOKUP(index(split(L17 ,"", "", FALSE),1,3), vote4TRAITS!$A:$C , 3, FALSE) + VLOOKUP(index"&amp;"(split(L17 ,"", "", FALSE),1,4), vote4TRAITS!$A:$C , 3, FALSE)
))"),"")</f>
        <v/>
      </c>
      <c r="N17" s="316" t="s">
        <v>1524</v>
      </c>
      <c r="O17" s="317">
        <f>IF(ISBLANK(N17),,IFERROR(
IF(IFERROR(SEARCH("SS:",N17),0) &gt; 0, 
VLOOKUP(SUBSTITUTE(N17,"SS: ",""),vote4SURGE!$A:$C , 3, FALSE) - 2,
VLOOKUP(SUBSTITUTE(N17,"S: ",""),vote4SURGE!$A:$C , 3, FALSE)
)
,
IF(IFERROR(SEARCH("SS:",N17),0) &gt; 0, 
VLOOKUP(C17,vote4SURGE!$A:$C , 3, FALSE) - 2,
VLOOKUP(C17,vote4SURGE!$A:$C , 3, FALSE)
)
))</f>
        <v>4.5</v>
      </c>
      <c r="P17" s="315" t="s">
        <v>1562</v>
      </c>
      <c r="Q17" s="317">
        <f>IF(ISBLANK(P17),,IFERROR(
IF(IFERROR(SEARCH("SS:",P17),0) &gt; 0, 
VLOOKUP(SUBSTITUTE(P17,"SS: ",""),vote4SURGE!$A:$C , 3, FALSE) - 2,
VLOOKUP(SUBSTITUTE(P17,"S: ",""),vote4SURGE!$A:$C , 3, FALSE)
)
,
IF(IFERROR(SEARCH("SS:",P17),0) &gt; 0, 
VLOOKUP(C17,vote4SURGE!$A:$C , 3, FALSE) - 2,
VLOOKUP(C17,vote4SURGE!$A:$C , 3, FALSE)
)
))</f>
        <v>3.5</v>
      </c>
      <c r="R17" s="318"/>
      <c r="S17" s="319" t="str">
        <f>IF(ISBLANK(R17),,IFERROR(
IF(IFERROR(SEARCH("SS:",R17),0) &gt; 0, 
VLOOKUP(SUBSTITUTE(R17,"SS: ",""),vote4SURGE!$A:$C , 3, FALSE) - 2,
VLOOKUP(SUBSTITUTE(R17,"S: ",""),vote4SURGE!$A:$C , 3, FALSE)
)
,
IF(IFERROR(SEARCH("SS:",R17),0) &gt; 0, 
VLOOKUP(C17,vote4SURGE!$A:$C , 3, FALSE) - 2,
VLOOKUP(C17,vote4SURGE!$A:$C , 3, FALSE)
)
))</f>
        <v/>
      </c>
      <c r="T17" s="320">
        <f t="shared" si="2"/>
        <v>2</v>
      </c>
      <c r="U17" s="320">
        <f>IFERROR(__xludf.DUMMYFUNCTION("ROUND(
IF(ISBLANK(G17),,
SWITCH(
LEN(G17) - LEN(SUBSTITUTE(G17,"","","""")),
0 , VLOOKUP(G17, Variables!$A:$C, 3, FALSE),
1 , VLOOKUP(index(split(G17 ,"", "", FALSE),1,1), Variables!$A:$C , 3, FALSE) + VLOOKUP(index(split(G17 ,"", "", FALSE),1,2), Variabl"&amp;"es!$A:$C , 3, FALSE),
2 , VLOOKUP(index(split(G17 ,"", "", FALSE),1,1), Variables!$A:$C , 3, FALSE) + VLOOKUP(index(split(G17 ,"", "", FALSE),1,2), Variables!$A:$C , 3, FALSE) + VLOOKUP(index(split(G17 ,"", "", FALSE),1,3), Variables!$A:$C , 3, FALSE),
3 "&amp;", VLOOKUP(index(split(G17 ,"", "", FALSE),1,1), Variables!$A:$C , 3, FALSE) + VLOOKUP(index(split(G17 ,"", "", FALSE),1,2), Variables!$A:$C , 3, FALSE) + VLOOKUP(index(split(G17 ,"", "", FALSE),1,3), Variables!$A:$C , 3, FALSE) + VLOOKUP(index(split(G17 ,"&amp;""", "", FALSE),1,4), Variables!$A:$C , 3, FALSE),
)
)
)"),1.0)</f>
        <v>1</v>
      </c>
      <c r="V17" s="317">
        <f t="shared" si="3"/>
        <v>6.25</v>
      </c>
      <c r="W17" s="321">
        <f t="shared" si="4"/>
        <v>15.41666667</v>
      </c>
      <c r="X17" s="322"/>
      <c r="Y17" s="322"/>
      <c r="Z17" s="322"/>
      <c r="AA17" s="322"/>
      <c r="AB17" s="322"/>
      <c r="AC17" s="322"/>
      <c r="AD17" s="322"/>
      <c r="AE17" s="322"/>
    </row>
    <row r="18" hidden="1">
      <c r="A18" s="310">
        <v>1.0</v>
      </c>
      <c r="B18" s="93">
        <f t="shared" si="1"/>
        <v>4</v>
      </c>
      <c r="C18" s="310" t="s">
        <v>1563</v>
      </c>
      <c r="D18" s="310">
        <v>100.0</v>
      </c>
      <c r="E18" s="310" t="s">
        <v>1520</v>
      </c>
      <c r="F18" s="310" t="s">
        <v>1521</v>
      </c>
      <c r="G18" s="313" t="s">
        <v>1525</v>
      </c>
      <c r="H18" s="312">
        <f>IFERROR(__xludf.DUMMYFUNCTION(" IF(ISBLANK(G18),,
SWITCH(
LEN(G18) - LEN(SUBSTITUTE(G18,"","","""")),
0 , VLOOKUP(G18, Variables!$A:$B, 2, FALSE),
1 , VLOOKUP(index(split(G18 ,"", "", FALSE),1,1), Variables!$A:$B , 2, FALSE) + VLOOKUP(index(split(G18 ,"", "", FALSE),1,2), Variables!$A:"&amp;"$B , 2, FALSE),
2 , VLOOKUP(index(split(G18 ,"", "", FALSE),1,1), Variables!$A:$B , 2, FALSE) + VLOOKUP(index(split(G18 ,"", "", FALSE),1,2), Variables!$A:$B , 2, FALSE) + VLOOKUP(index(split(G18 ,"", "", FALSE),1,3), Variables!$A:$B , 2, FALSE),
3 , VLOO"&amp;"KUP(index(split(G18 ,"", "", FALSE),1,1), Variables!$A:$B , 2, FALSE) + VLOOKUP(index(split(G18 ,"", "", FALSE),1,2), Variables!$A:$B , 2, FALSE) + VLOOKUP(index(split(G18 ,"", "", FALSE),1,3), Variables!$A:$B , 2, FALSE) + VLOOKUP(index(split(G18 ,"", """&amp;", FALSE),1,4), Variables!$A:$B , 2, FALSE),
)
)"),3.333333333333333)</f>
        <v>3.333333333</v>
      </c>
      <c r="I18" s="310" t="s">
        <v>1526</v>
      </c>
      <c r="J18" s="313"/>
      <c r="K18" s="314" t="str">
        <f>IFERROR(VLOOKUP(C18,vote4ITEMS!$A:$C, 3, FALSE),)</f>
        <v/>
      </c>
      <c r="L18" s="313" t="s">
        <v>1076</v>
      </c>
      <c r="M18" s="315">
        <f>IFERROR(__xludf.DUMMYFUNCTION("IF(ISBLANK(L18),,
SWITCH(
LEN(L18) - LEN(SUBSTITUTE(L18,"","","""")),
0 , VLOOKUP(L18, vote4TRAITS!$A:$C , 3, FALSE),
1 , VLOOKUP(index(split(L18 ,"", "", FALSE),1,1), vote4TRAITS!$A:$C , 3, FALSE) + VLOOKUP(index(split(L18 ,"", "", FALSE),1,2), vote4TRAI"&amp;"TS!$A:$C , 3, FALSE),
2 , VLOOKUP(index(split(L18 ,"", "", FALSE),1,1), vote4TRAITS!$A:$C , 3, FALSE) + VLOOKUP(index(split(L18 ,"", "", FALSE),1,2), vote4TRAITS!$A:$C , 3, FALSE) + VLOOKUP(index(split(L18 ,"", "", FALSE),1,3), vote4TRAITS!$A:$C , 3, FALS"&amp;"E),
3 , VLOOKUP(index(split(L18 ,"", "", FALSE),1,1), vote4TRAITS!$A:$C , 3, FALSE) + VLOOKUP(index(split(L18 ,"", "", FALSE),1,2), vote4TRAITS!$A:$C , 3, FALSE) + VLOOKUP(index(split(L18 ,"", "", FALSE),1,3), vote4TRAITS!$A:$C , 3, FALSE) + VLOOKUP(index"&amp;"(split(L18 ,"", "", FALSE),1,4), vote4TRAITS!$A:$C , 3, FALSE)
))"),5.5)</f>
        <v>5.5</v>
      </c>
      <c r="N18" s="316" t="s">
        <v>1534</v>
      </c>
      <c r="O18" s="317">
        <f>IF(ISBLANK(N18),,IFERROR(
IF(IFERROR(SEARCH("SS:",N18),0) &gt; 0, 
VLOOKUP(SUBSTITUTE(N18,"SS: ",""),vote4SURGE!$A:$C , 3, FALSE) - 2,
VLOOKUP(SUBSTITUTE(N18,"S: ",""),vote4SURGE!$A:$C , 3, FALSE)
)
,
IF(IFERROR(SEARCH("SS:",N18),0) &gt; 0, 
VLOOKUP(C18,vote4SURGE!$A:$C , 3, FALSE) - 2,
VLOOKUP(C18,vote4SURGE!$A:$C , 3, FALSE)
)
))</f>
        <v>4.25</v>
      </c>
      <c r="P18" s="315" t="s">
        <v>1564</v>
      </c>
      <c r="Q18" s="317">
        <f>IF(ISBLANK(P18),,IFERROR(
IF(IFERROR(SEARCH("SS:",P18),0) &gt; 0, 
VLOOKUP(SUBSTITUTE(P18,"SS: ",""),vote4SURGE!$A:$C , 3, FALSE) - 2,
VLOOKUP(SUBSTITUTE(P18,"S: ",""),vote4SURGE!$A:$C , 3, FALSE)
)
,
IF(IFERROR(SEARCH("SS:",P18),0) &gt; 0, 
VLOOKUP(C18,vote4SURGE!$A:$C , 3, FALSE) - 2,
VLOOKUP(C18,vote4SURGE!$A:$C , 3, FALSE)
)
))</f>
        <v>3.5</v>
      </c>
      <c r="R18" s="318"/>
      <c r="S18" s="319" t="str">
        <f>IF(ISBLANK(R18),,IFERROR(
IF(IFERROR(SEARCH("SS:",R18),0) &gt; 0, 
VLOOKUP(SUBSTITUTE(R18,"SS: ",""),vote4SURGE!$A:$C , 3, FALSE) - 2,
VLOOKUP(SUBSTITUTE(R18,"S: ",""),vote4SURGE!$A:$C , 3, FALSE)
)
,
IF(IFERROR(SEARCH("SS:",R18),0) &gt; 0, 
VLOOKUP(C18,vote4SURGE!$A:$C , 3, FALSE) - 2,
VLOOKUP(C18,vote4SURGE!$A:$C , 3, FALSE)
)
))</f>
        <v/>
      </c>
      <c r="T18" s="320">
        <f t="shared" si="2"/>
        <v>2</v>
      </c>
      <c r="U18" s="320">
        <f>IFERROR(__xludf.DUMMYFUNCTION("ROUND(
IF(ISBLANK(G18),,
SWITCH(
LEN(G18) - LEN(SUBSTITUTE(G18,"","","""")),
0 , VLOOKUP(G18, Variables!$A:$C, 3, FALSE),
1 , VLOOKUP(index(split(G18 ,"", "", FALSE),1,1), Variables!$A:$C , 3, FALSE) + VLOOKUP(index(split(G18 ,"", "", FALSE),1,2), Variabl"&amp;"es!$A:$C , 3, FALSE),
2 , VLOOKUP(index(split(G18 ,"", "", FALSE),1,1), Variables!$A:$C , 3, FALSE) + VLOOKUP(index(split(G18 ,"", "", FALSE),1,2), Variables!$A:$C , 3, FALSE) + VLOOKUP(index(split(G18 ,"", "", FALSE),1,3), Variables!$A:$C , 3, FALSE),
3 "&amp;", VLOOKUP(index(split(G18 ,"", "", FALSE),1,1), Variables!$A:$C , 3, FALSE) + VLOOKUP(index(split(G18 ,"", "", FALSE),1,2), Variables!$A:$C , 3, FALSE) + VLOOKUP(index(split(G18 ,"", "", FALSE),1,3), Variables!$A:$C , 3, FALSE) + VLOOKUP(index(split(G18 ,"&amp;""", "", FALSE),1,4), Variables!$A:$C , 3, FALSE),
)
)
)"),1.0)</f>
        <v>1</v>
      </c>
      <c r="V18" s="317">
        <f t="shared" si="3"/>
        <v>6</v>
      </c>
      <c r="W18" s="321">
        <f t="shared" si="4"/>
        <v>14.83333333</v>
      </c>
      <c r="X18" s="322"/>
      <c r="Y18" s="322"/>
      <c r="Z18" s="322"/>
      <c r="AA18" s="322"/>
      <c r="AB18" s="322"/>
      <c r="AC18" s="322"/>
      <c r="AD18" s="322"/>
      <c r="AE18" s="322"/>
    </row>
    <row r="19" hidden="1">
      <c r="A19" s="310">
        <v>2.0</v>
      </c>
      <c r="B19" s="93">
        <f t="shared" si="1"/>
        <v>7</v>
      </c>
      <c r="C19" s="310" t="s">
        <v>836</v>
      </c>
      <c r="D19" s="310">
        <v>200.0</v>
      </c>
      <c r="E19" s="310" t="s">
        <v>1527</v>
      </c>
      <c r="F19" s="310" t="s">
        <v>1521</v>
      </c>
      <c r="G19" s="313" t="s">
        <v>1537</v>
      </c>
      <c r="H19" s="312">
        <f>IFERROR(__xludf.DUMMYFUNCTION(" IF(ISBLANK(G19),,
SWITCH(
LEN(G19) - LEN(SUBSTITUTE(G19,"","","""")),
0 , VLOOKUP(G19, Variables!$A:$B, 2, FALSE),
1 , VLOOKUP(index(split(G19 ,"", "", FALSE),1,1), Variables!$A:$B , 2, FALSE) + VLOOKUP(index(split(G19 ,"", "", FALSE),1,2), Variables!$A:"&amp;"$B , 2, FALSE),
2 , VLOOKUP(index(split(G19 ,"", "", FALSE),1,1), Variables!$A:$B , 2, FALSE) + VLOOKUP(index(split(G19 ,"", "", FALSE),1,2), Variables!$A:$B , 2, FALSE) + VLOOKUP(index(split(G19 ,"", "", FALSE),1,3), Variables!$A:$B , 2, FALSE),
3 , VLOO"&amp;"KUP(index(split(G19 ,"", "", FALSE),1,1), Variables!$A:$B , 2, FALSE) + VLOOKUP(index(split(G19 ,"", "", FALSE),1,2), Variables!$A:$B , 2, FALSE) + VLOOKUP(index(split(G19 ,"", "", FALSE),1,3), Variables!$A:$B , 2, FALSE) + VLOOKUP(index(split(G19 ,"", """&amp;", FALSE),1,4), Variables!$A:$B , 2, FALSE),
)
)"),4.5)</f>
        <v>4.5</v>
      </c>
      <c r="I19" s="310" t="s">
        <v>1557</v>
      </c>
      <c r="J19" s="313" t="s">
        <v>837</v>
      </c>
      <c r="K19" s="314">
        <f>IFERROR(VLOOKUP(C19,vote4ITEMS!$A:$C, 3, FALSE),)</f>
        <v>4.666666667</v>
      </c>
      <c r="L19" s="313"/>
      <c r="M19" s="318">
        <f>SUM(
IF(IFERROR(SEARCH("Aura 1",L19),0) &gt; 0 , VLOOKUP("Aura 1", vote4TRAITS!A:C , 3, FALSE), ),
IF(IFERROR(SEARCH("Backswing",L19),0) &gt; 0 , VLOOKUP("Backswing", vote4TRAITS!A:C , 3, FALSE), ),
IF(IFERROR(SEARCH("Blast",L19),0) &gt; 0 , VLOOKUP("Blast", vote4TRAITS!A:C , 3, FALSE), ),
IF(IFERROR(SEARCH("Combustible",L19),0) &gt; 0 , VLOOKUP("Combustible", vote4TRAITS!A:C , 3, FALSE), ),
IF(IFERROR(SEARCH("Command",L19),0) &gt; 0 , VLOOKUP("Command", vote4TRAITS!A:C , 3, FALSE), ),
IF(IFERROR(SEARCH("Cowardly",L19),0) &gt; 0 , VLOOKUP("Cowardly", vote4TRAITS!A:C , 3, FALSE), ),
IF(IFERROR(SEARCH("Death Wish",L19),0) &gt; 0 , VLOOKUP("Death Wish", vote4TRAITS!A:C , 3, FALSE), ),
IF(IFERROR(SEARCH("Entomb",L19),0) &gt; 0 , VLOOKUP("Entomb", vote4TRAITS!A:C , 3, FALSE), ),
IF(IFERROR(SEARCH("Ethereal Hold",L19),0) &gt; 0 , VLOOKUP("Ethereal Hold", vote4TRAITS!A:C , 3, FALSE), ),
IF(IFERROR(SEARCH("Extend",L19),0) &gt; 0 , VLOOKUP("Extend", vote4TRAITS!A:C , 3, FALSE), ),
IF(IFERROR(SEARCH("Filthy Murk",L19),0) &gt; 0 , VLOOKUP("Filthy Murk", vote4TRAITS!A:C , 3, FALSE), ),
IF(IFERROR(SEARCH("Flame Fiend",L19),0) &gt; 0 , VLOOKUP("Flame Fiend", vote4TRAITS!A:C , 3, FALSE), ),
IF(IFERROR(SEARCH("Fleshmonger",L19),0) &gt; 0 , VLOOKUP("Fleshmonger", vote4TRAITS!A:C , 3, FALSE), ),
IF(IFERROR(SEARCH("Fly",L19),0) &gt; 0 , VLOOKUP("Fly", vote4TRAITS!A:C , 3, FALSE), ),
IF(IFERROR(SEARCH("Freezing",L19),0) &gt; 0 , VLOOKUP("Freezing", vote4TRAITS!A:C , 3, FALSE), ),
IF(IFERROR(SEARCH("Lithesome",L19),0) &gt; 0 , VLOOKUP("Lithesome", vote4TRAITS!A:C , 3, FALSE), ),
IF(IFERROR(SEARCH("Harrowing",L19),0) &gt; 0 , VLOOKUP("Harrowing", vote4TRAITS!A:C , 3, FALSE), ),
IF(IFERROR(SEARCH("Hideous Laughter",L19),0) &gt; 0 , VLOOKUP("Hideous Laughter", vote4TRAITS!A:C , 3, FALSE), ),
IF(IFERROR(SEARCH("Hive Defense",L19),0) &gt; 0 , VLOOKUP("Hive Defense", vote4TRAITS!A:C , 3, FALSE), ),
IF(IFERROR(SEARCH("Horrifying",L19),0) &gt; 0 , VLOOKUP("Horrifying", vote4TRAITS!A:C , 3, FALSE), ),
IF(IFERROR(SEARCH("Ironskin",L19),0) &gt; 0 , VLOOKUP("Ironskin", vote4TRAITS!A:C , 3, FALSE), ),
IF(IFERROR(SEARCH("Unmovable",L19),0) &gt; 0 , VLOOKUP("Unmovable", vote4TRAITS!A:C , 3, FALSE), ),
IF(IFERROR(SEARCH("Lifethirst 1",L19),0) &gt; 0 , VLOOKUP("Lifethirst 1", vote4TRAITS!A:C , 3, FALSE), ),
IF(IFERROR(SEARCH("Lifethirst 2",L19),0) &gt; 0 , VLOOKUP("Lifethirst 2", vote4TRAITS!A:C , 3, FALSE), ),
IF(IFERROR(SEARCH("Morph",L19),0) &gt; 0 , VLOOKUP("Morph", vote4TRAITS!A:C , 3, FALSE), ),
IF(IFERROR(SEARCH("Night Stalker",L19),0) &gt; 0 , VLOOKUP("Night Stalker", vote4TRAITS!A:C , 3, FALSE), ),
IF(IFERROR(SEARCH("Overflowing",L19),0) &gt; 0 , VLOOKUP("Overflowing", vote4TRAITS!A:C , 3, FALSE), ),
IF(IFERROR(SEARCH("Pestilence",L19),0) &gt; 0 , VLOOKUP("Pestilence", vote4TRAITS!A:C , 3, FALSE), ),
IF(IFERROR(SEARCH("Phalanx",L19),0) &gt; 0 , VLOOKUP("Phalanx", vote4TRAITS!A:C , 3, FALSE), ),
IF(IFERROR(SEARCH("Plagued",L19),0) &gt; 0 , VLOOKUP("Plagued", vote4TRAITS!A:C , 3, FALSE), ),
IF(IFERROR(SEARCH("Prey on the Weak",L19),0) &gt; 0 , VLOOKUP("Prey on the Weak", vote4TRAITS!A:C , 3, FALSE), ),
IF(IFERROR(SEARCH("Protect",L19),0) &gt; 0 , VLOOKUP("Protect", vote4TRAITS!A:C , 3, FALSE), ),
IF(IFERROR(SEARCH("Puncture",L19),0) &gt; 0 , VLOOKUP("Puncture", vote4TRAITS!A:C , 3, FALSE), ),
IF(IFERROR(SEARCH("Putrid Boils",L19),0) &gt; 0 , VLOOKUP("Putrid Boils", vote4TRAITS!A:C , 3, FALSE), ),
IF(IFERROR(SEARCH("Ravage",L19),0) &gt; 0 , VLOOKUP("Ravage", vote4TRAITS!A:C , 3, FALSE), ),
IF(IFERROR(SEARCH("Ravenous",L19),0) &gt; 0 , VLOOKUP("Ravenous", vote4TRAITS!A:C , 3, FALSE), ),
IF(IFERROR(SEARCH("Reach",L19),0) &gt; 0 , VLOOKUP("Reach", vote4TRAITS!A:C , 3, FALSE), ),
IF(IFERROR(SEARCH("Reanimation",L19),0) &gt; 0 , VLOOKUP("Reanimation", vote4TRAITS!A:C , 3, FALSE), ),
IF(IFERROR(SEARCH("Reaper",L19),0) &gt; 0 , VLOOKUP("Reaper", vote4TRAITS!A:C , 3, FALSE), ),
IF(IFERROR(SEARCH("Riposte",L19),0) &gt; 0 , VLOOKUP("Riposte", vote4TRAITS!A:C , 3, FALSE)),
IF(IFERROR(SEARCH("Scamper",L19),0) &gt; 0 , VLOOKUP("Scamper", vote4TRAITS!A:C , 3, FALSE), ),
IF(IFERROR(SEARCH("Small Beginnings",L19),0) &gt; 0 , VLOOKUP("Small Beginnings", vote4TRAITS!A:C , 3, FALSE), ),
IF(IFERROR(SEARCH("Spawner",L19),0) &gt; 0 , VLOOKUP("Spawner", vote4TRAITS!A:C , 3,FALSE), ),
IF(IFERROR(SEARCH("Shadowr",L19),0) &gt; 0 , VLOOKUP("Shadow", vote4TRAITS!A:C , 3,FALSE), ),
IF(IFERROR(SEARCH("Shadow Step",L19),0) &gt; 0 , VLOOKUP("Shadow Step", vote4TRAITS!A:C , 3,FALSE), ),
IF(IFERROR(SEARCH("Shambling",L19),0) &gt; 0 , VLOOKUP("Shambling", vote4TRAITS!A:C , 3,FALSE), ),
IF(IFERROR(SEARCH("Stealthy",L19),0) &gt; 0 , VLOOKUP("Stealthy", vote4TRAITS!A:C , 3, FALSE), ),
IF(IFERROR(SEARCH("Web",L19),0) &gt; 0 , VLOOKUP("Web", vote4TRAITS!A:C , 3, FALSE), ),
IF(IFERROR(SEARCH("+1 Willpower",L19),0) &gt; 0 , VLOOKUP("+1 Willpower", vote4TRAITS!A:C , 3, FALSE), ),
IF(IFERROR(SEARCH("+1 Might",L19),0) &gt; 0 , VLOOKUP("+1 Might", vote4TRAITS!A:C , 3, FALSE), ),
IF(IFERROR(SEARCH("+1 Knowledge",L19),0) &gt; 0 , VLOOKUP("+1 Knowledge", vote4TRAITS!A:C , 3, FALSE), ),
IF(IFERROR(SEARCH("+1 Awareness",L19),0) &gt; 0 , VLOOKUP("+1 Awareness", vote4TRAITS!A:C , 3, FALSE), ),
IF(IFERROR(SEARCH("-1 Willpower",L19),0) &gt; 0 , VLOOKUP("-1 Willpower", vote4TRAITS!A:C , 3, FALSE), ),
IF(IFERROR(SEARCH("+1 Health",L19),0) &gt; 0 , VLOOKUP("+1 Health", vote4TRAITS!A:C , 3, FALSE), ),
IF(IFERROR(SEARCH("+2 Health",L19),0) &gt; 0 , VLOOKUP("+2 Health", vote4TRAITS!A:C , 3, FALSE), ),
IF(IFERROR(SEARCH("+1 Stamina",L19),0) &gt; 0 , VLOOKUP("+1 Stamina", vote4TRAITS!A:C , 3, FALSE), ),
IF(IFERROR(SEARCH("+2 Stamina",L19),0) &gt; 0 , VLOOKUP("+2 Stamina", vote4TRAITS!A:C , 3, FALSE), ),
IFS(
IFERROR(SEARCH("+1 Range", L19),) &gt; 0 ,VLOOKUP("+1 Range", vote4TRAITS!A:C , 3, FALSE),
IFERROR(SEARCH("+2 Range", L19),) &gt; 0 ,VLOOKUP("+2 Range", vote4TRAITS!A:C , 3, FALSE),
IFERROR(SEARCH("+3 Range", L19),) &gt; 0,VLOOKUP("+3 Range", vote4TRAITS!A:C , 3, FALSE),
0=0,0)
,
IFS(
IFERROR(SEARCH("Sorcery 1", L19),) &gt; 0 ,VLOOKUP("Sorcery 1", vote4TRAITS!A:C , 3, FALSE),
IFERROR(SEARCH("Sorcery 2", L19),) &gt; 0 ,VLOOKUP("Sorcery 2", vote4TRAITS!A:C , 3, FALSE),
IFERROR(SEARCH("Sorcery 3", L19),) &gt; 0,VLOOKUP("Sorcery 3", vote4TRAITS!A:C , 3, FALSE),
0=0,0)
,
IFS(
IFERROR(SEARCH("Pierce 1", L19),) &gt; 0 ,VLOOKUP("Pierce 1", vote4TRAITS!A:C , 3, FALSE),
IFERROR(SEARCH("Pierce 2", L19),) &gt; 0 ,VLOOKUP("Pierce 2", vote4TRAITS!A:C , 3, FALSE),
IFERROR(SEARCH("Pierce 3", L19),) &gt; 0,VLOOKUP("Pierce 3", vote4TRAITS!A:C , 3, FALSE),
IFERROR(SEARCH("Pierce 4", L19),) &gt; 0 ,VLOOKUP("Pierce 4", vote4TRAITS!A:C , 3, FALSE),
0=0,0)
,
IFS(
IFERROR(SEARCH("+1 Health", L19),) &gt; 0 ,VLOOKUP("+1 Health", vote4TRAITS!A:C , 3, FALSE),
IFERROR(SEARCH("+2 Health", L19),) &gt; 0 ,VLOOKUP("+2 Health", vote4TRAITS!A:C , 3, FALSE),
IFERROR(SEARCH("+3 Health", L19),) &gt; 0 ,VLOOKUP("+3 Health", vote4TRAITS!A:C , 3, FALSE),
IFERROR(SEARCH("+4 Health", L19),) &gt; 0 ,VLOOKUP("+4 Health", vote4TRAITS!A:C , 3, FALSE),
0=0,0)
,
IFS(
IFERROR(SEARCH("Soul Shackle 1", L19),) &gt; 0 ,VLOOKUP("Soul Shackle 1", vote4TRAITS!A:C , 3, FALSE),
IFERROR(SEARCH("Soul Shackle 2", L19),) &gt; 0 ,VLOOKUP("Soul Shackle 2", vote4TRAITS!A:C , 3, FALSE),
IFERROR(SEARCH("Soul Shackle 3", L19),) &gt; 0,VLOOKUP("Soul Shackle 3", vote4TRAITS!A:C , 3, FALSE),
0=0,0)
)</f>
        <v>0</v>
      </c>
      <c r="N19" s="316" t="s">
        <v>1565</v>
      </c>
      <c r="O19" s="317">
        <f>IF(ISBLANK(N19),,IFERROR(
IF(IFERROR(SEARCH("SS:",N19),0) &gt; 0, 
VLOOKUP(SUBSTITUTE(N19,"SS: ",""),vote4SURGE!$A:$C , 3, FALSE) - 2,
VLOOKUP(SUBSTITUTE(N19,"S: ",""),vote4SURGE!$A:$C , 3, FALSE)
)
,
IF(IFERROR(SEARCH("SS:",N19),0) &gt; 0, 
VLOOKUP(C19,vote4SURGE!$A:$C , 3, FALSE) - 2,
VLOOKUP(C19,vote4SURGE!$A:$C , 3, FALSE)
)
))</f>
        <v>4.333333333</v>
      </c>
      <c r="P19" s="105" t="s">
        <v>1566</v>
      </c>
      <c r="Q19" s="317">
        <f>IF(ISBLANK(P19),,IFERROR(
IF(IFERROR(SEARCH("SS:",P19),0) &gt; 0, 
VLOOKUP(SUBSTITUTE(P19,"SS: ",""),vote4SURGE!$A:$C , 3, FALSE) - 2,
VLOOKUP(SUBSTITUTE(P19,"S: ",""),vote4SURGE!$A:$C , 3, FALSE)
)
,
IF(IFERROR(SEARCH("SS:",P19),0) &gt; 0, 
VLOOKUP(C19,vote4SURGE!$A:$C , 3, FALSE) - 2,
VLOOKUP(C19,vote4SURGE!$A:$C , 3, FALSE)
)
))</f>
        <v>3</v>
      </c>
      <c r="R19" s="318"/>
      <c r="S19" s="319" t="str">
        <f>IF(ISBLANK(R19),,IFERROR(
IF(IFERROR(SEARCH("SS:",R19),0) &gt; 0, 
VLOOKUP(SUBSTITUTE(R19,"SS: ",""),vote4SURGE!$A:$C , 3, FALSE) - 2,
VLOOKUP(SUBSTITUTE(R19,"S: ",""),vote4SURGE!$A:$C , 3, FALSE)
)
,
IF(IFERROR(SEARCH("SS:",R19),0) &gt; 0, 
VLOOKUP(C19,vote4SURGE!$A:$C , 3, FALSE) - 2,
VLOOKUP(C19,vote4SURGE!$A:$C , 3, FALSE)
)
))</f>
        <v/>
      </c>
      <c r="T19" s="320">
        <f t="shared" si="2"/>
        <v>3</v>
      </c>
      <c r="U19" s="320">
        <f>IFERROR(__xludf.DUMMYFUNCTION("ROUND(
IF(ISBLANK(G19),,
SWITCH(
LEN(G19) - LEN(SUBSTITUTE(G19,"","","""")),
0 , VLOOKUP(G19, Variables!$A:$C, 3, FALSE),
1 , VLOOKUP(index(split(G19 ,"", "", FALSE),1,1), Variables!$A:$C , 3, FALSE) + VLOOKUP(index(split(G19 ,"", "", FALSE),1,2), Variabl"&amp;"es!$A:$C , 3, FALSE),
2 , VLOOKUP(index(split(G19 ,"", "", FALSE),1,1), Variables!$A:$C , 3, FALSE) + VLOOKUP(index(split(G19 ,"", "", FALSE),1,2), Variables!$A:$C , 3, FALSE) + VLOOKUP(index(split(G19 ,"", "", FALSE),1,3), Variables!$A:$C , 3, FALSE),
3 "&amp;", VLOOKUP(index(split(G19 ,"", "", FALSE),1,1), Variables!$A:$C , 3, FALSE) + VLOOKUP(index(split(G19 ,"", "", FALSE),1,2), Variables!$A:$C , 3, FALSE) + VLOOKUP(index(split(G19 ,"", "", FALSE),1,3), Variables!$A:$C , 3, FALSE) + VLOOKUP(index(split(G19 ,"&amp;""", "", FALSE),1,4), Variables!$A:$C , 3, FALSE),
)
)
)"),1.0)</f>
        <v>1</v>
      </c>
      <c r="V19" s="317">
        <f t="shared" si="3"/>
        <v>5.333333333</v>
      </c>
      <c r="W19" s="321">
        <f t="shared" si="4"/>
        <v>14.5</v>
      </c>
      <c r="X19" s="322"/>
      <c r="Y19" s="322"/>
      <c r="Z19" s="322"/>
      <c r="AA19" s="322"/>
      <c r="AB19" s="322"/>
      <c r="AC19" s="322"/>
      <c r="AD19" s="322"/>
      <c r="AE19" s="322"/>
    </row>
    <row r="20" hidden="1">
      <c r="A20" s="310" t="s">
        <v>1556</v>
      </c>
      <c r="B20" s="93" t="str">
        <f t="shared" si="1"/>
        <v/>
      </c>
      <c r="C20" s="310" t="s">
        <v>707</v>
      </c>
      <c r="D20" s="323">
        <v>0.0</v>
      </c>
      <c r="E20" s="310" t="s">
        <v>1520</v>
      </c>
      <c r="F20" s="310" t="s">
        <v>1567</v>
      </c>
      <c r="G20" s="313" t="s">
        <v>1546</v>
      </c>
      <c r="H20" s="312">
        <f>IFERROR(__xludf.DUMMYFUNCTION(" IF(ISBLANK(G20),,
SWITCH(
LEN(G20) - LEN(SUBSTITUTE(G20,"","","""")),
0 , VLOOKUP(G20, Variables!$A:$B, 2, FALSE),
1 , VLOOKUP(index(split(G20 ,"", "", FALSE),1,1), Variables!$A:$B , 2, FALSE) + VLOOKUP(index(split(G20 ,"", "", FALSE),1,2), Variables!$A:"&amp;"$B , 2, FALSE),
2 , VLOOKUP(index(split(G20 ,"", "", FALSE),1,1), Variables!$A:$B , 2, FALSE) + VLOOKUP(index(split(G20 ,"", "", FALSE),1,2), Variables!$A:$B , 2, FALSE) + VLOOKUP(index(split(G20 ,"", "", FALSE),1,3), Variables!$A:$B , 2, FALSE),
3 , VLOO"&amp;"KUP(index(split(G20 ,"", "", FALSE),1,1), Variables!$A:$B , 2, FALSE) + VLOOKUP(index(split(G20 ,"", "", FALSE),1,2), Variables!$A:$B , 2, FALSE) + VLOOKUP(index(split(G20 ,"", "", FALSE),1,3), Variables!$A:$B , 2, FALSE) + VLOOKUP(index(split(G20 ,"", """&amp;", FALSE),1,4), Variables!$A:$B , 2, FALSE),
)
)"),3.5)</f>
        <v>3.5</v>
      </c>
      <c r="I20" s="310" t="s">
        <v>1554</v>
      </c>
      <c r="J20" s="311" t="s">
        <v>708</v>
      </c>
      <c r="K20" s="314">
        <f>IFERROR(VLOOKUP(C20,vote4ITEMS!$A:$C, 3, FALSE),)</f>
        <v>3.5</v>
      </c>
      <c r="L20" s="324"/>
      <c r="M20" s="314">
        <f>SUM(
IF(IFERROR(SEARCH("Aura 1",L20),0) &gt; 0 , VLOOKUP("Aura 1", vote4TRAITS!A:C , 3, FALSE), ),
IF(IFERROR(SEARCH("Backswing",L20),0) &gt; 0 , VLOOKUP("Backswing", vote4TRAITS!A:C , 3, FALSE), ),
IF(IFERROR(SEARCH("Blast",L20),0) &gt; 0 , VLOOKUP("Blast", vote4TRAITS!A:C , 3, FALSE), ),
IF(IFERROR(SEARCH("Combustible",L20),0) &gt; 0 , VLOOKUP("Combustible", vote4TRAITS!A:C , 3, FALSE), ),
IF(IFERROR(SEARCH("Command",L20),0) &gt; 0 , VLOOKUP("Command", vote4TRAITS!A:C , 3, FALSE), ),
IF(IFERROR(SEARCH("Cowardly",L20),0) &gt; 0 , VLOOKUP("Cowardly", vote4TRAITS!A:C , 3, FALSE), ),
IF(IFERROR(SEARCH("Death Wish",L20),0) &gt; 0 , VLOOKUP("Death Wish", vote4TRAITS!A:C , 3, FALSE), ),
IF(IFERROR(SEARCH("Entomb",L20),0) &gt; 0 , VLOOKUP("Entomb", vote4TRAITS!A:C , 3, FALSE), ),
IF(IFERROR(SEARCH("Ethereal Hold",L20),0) &gt; 0 , VLOOKUP("Ethereal Hold", vote4TRAITS!A:C , 3, FALSE), ),
IF(IFERROR(SEARCH("Extend",L20),0) &gt; 0 , VLOOKUP("Extend", vote4TRAITS!A:C , 3, FALSE), ),
IF(IFERROR(SEARCH("Filthy Murk",L20),0) &gt; 0 , VLOOKUP("Filthy Murk", vote4TRAITS!A:C , 3, FALSE), ),
IF(IFERROR(SEARCH("Flame Fiend",L20),0) &gt; 0 , VLOOKUP("Flame Fiend", vote4TRAITS!A:C , 3, FALSE), ),
IF(IFERROR(SEARCH("Fleshmonger",L20),0) &gt; 0 , VLOOKUP("Fleshmonger", vote4TRAITS!A:C , 3, FALSE), ),
IF(IFERROR(SEARCH("Fly",L20),0) &gt; 0 , VLOOKUP("Fly", vote4TRAITS!A:C , 3, FALSE), ),
IF(IFERROR(SEARCH("Freezing",L20),0) &gt; 0 , VLOOKUP("Freezing", vote4TRAITS!A:C , 3, FALSE), ),
IF(IFERROR(SEARCH("Lithesome",L20),0) &gt; 0 , VLOOKUP("Lithesome", vote4TRAITS!A:C , 3, FALSE), ),
IF(IFERROR(SEARCH("Harrowing",L20),0) &gt; 0 , VLOOKUP("Harrowing", vote4TRAITS!A:C , 3, FALSE), ),
IF(IFERROR(SEARCH("Hideous Laughter",L20),0) &gt; 0 , VLOOKUP("Hideous Laughter", vote4TRAITS!A:C , 3, FALSE), ),
IF(IFERROR(SEARCH("Hive Defense",L20),0) &gt; 0 , VLOOKUP("Hive Defense", vote4TRAITS!A:C , 3, FALSE), ),
IF(IFERROR(SEARCH("Horrifying",L20),0) &gt; 0 , VLOOKUP("Horrifying", vote4TRAITS!A:C , 3, FALSE), ),
IF(IFERROR(SEARCH("Ironskin",L20),0) &gt; 0 , VLOOKUP("Ironskin", vote4TRAITS!A:C , 3, FALSE), ),
IF(IFERROR(SEARCH("Unmovable",L20),0) &gt; 0 , VLOOKUP("Unmovable", vote4TRAITS!A:C , 3, FALSE), ),
IF(IFERROR(SEARCH("Lifethirst 1",L20),0) &gt; 0 , VLOOKUP("Lifethirst 1", vote4TRAITS!A:C , 3, FALSE), ),
IF(IFERROR(SEARCH("Lifethirst 2",L20),0) &gt; 0 , VLOOKUP("Lifethirst 2", vote4TRAITS!A:C , 3, FALSE), ),
IF(IFERROR(SEARCH("Morph",L20),0) &gt; 0 , VLOOKUP("Morph", vote4TRAITS!A:C , 3, FALSE), ),
IF(IFERROR(SEARCH("Night Stalker",L20),0) &gt; 0 , VLOOKUP("Night Stalker", vote4TRAITS!A:C , 3, FALSE), ),
IF(IFERROR(SEARCH("Overflowing",L20),0) &gt; 0 , VLOOKUP("Overflowing", vote4TRAITS!A:C , 3, FALSE), ),
IF(IFERROR(SEARCH("Pestilence",L20),0) &gt; 0 , VLOOKUP("Pestilence", vote4TRAITS!A:C , 3, FALSE), ),
IF(IFERROR(SEARCH("Phalanx",L20),0) &gt; 0 , VLOOKUP("Phalanx", vote4TRAITS!A:C , 3, FALSE), ),
IF(IFERROR(SEARCH("Plagued",L20),0) &gt; 0 , VLOOKUP("Plagued", vote4TRAITS!A:C , 3, FALSE), ),
IF(IFERROR(SEARCH("Prey on the Weak",L20),0) &gt; 0 , VLOOKUP("Prey on the Weak", vote4TRAITS!A:C , 3, FALSE), ),
IF(IFERROR(SEARCH("Protect",L20),0) &gt; 0 , VLOOKUP("Protect", vote4TRAITS!A:C , 3, FALSE), ),
IF(IFERROR(SEARCH("Puncture",L20),0) &gt; 0 , VLOOKUP("Puncture", vote4TRAITS!A:C , 3, FALSE), ),
IF(IFERROR(SEARCH("Putrid Boils",L20),0) &gt; 0 , VLOOKUP("Putrid Boils", vote4TRAITS!A:C , 3, FALSE), ),
IF(IFERROR(SEARCH("Ravage",L20),0) &gt; 0 , VLOOKUP("Ravage", vote4TRAITS!A:C , 3, FALSE), ),
IF(IFERROR(SEARCH("Ravenous",L20),0) &gt; 0 , VLOOKUP("Ravenous", vote4TRAITS!A:C , 3, FALSE), ),
IF(IFERROR(SEARCH("Reach",L20),0) &gt; 0 , VLOOKUP("Reach", vote4TRAITS!A:C , 3, FALSE), ),
IF(IFERROR(SEARCH("Reanimation",L20),0) &gt; 0 , VLOOKUP("Reanimation", vote4TRAITS!A:C , 3, FALSE), ),
IF(IFERROR(SEARCH("Reaper",L20),0) &gt; 0 , VLOOKUP("Reaper", vote4TRAITS!A:C , 3, FALSE), ),
IF(IFERROR(SEARCH("Riposte",L20),0) &gt; 0 , VLOOKUP("Riposte", vote4TRAITS!A:C , 3, FALSE)),
IF(IFERROR(SEARCH("Scamper",L20),0) &gt; 0 , VLOOKUP("Scamper", vote4TRAITS!A:C , 3, FALSE), ),
IF(IFERROR(SEARCH("Small Beginnings",L20),0) &gt; 0 , VLOOKUP("Small Beginnings", vote4TRAITS!A:C , 3, FALSE), ),
IF(IFERROR(SEARCH("Spawner",L20),0) &gt; 0 , VLOOKUP("Spawner", vote4TRAITS!A:C , 3,FALSE), ),
IF(IFERROR(SEARCH("Shadowr",L20),0) &gt; 0 , VLOOKUP("Shadow", vote4TRAITS!A:C , 3,FALSE), ),
IF(IFERROR(SEARCH("Shadow Step",L20),0) &gt; 0 , VLOOKUP("Shadow Step", vote4TRAITS!A:C , 3,FALSE), ),
IF(IFERROR(SEARCH("Shambling",L20),0) &gt; 0 , VLOOKUP("Shambling", vote4TRAITS!A:C , 3,FALSE), ),
IF(IFERROR(SEARCH("Stealthy",L20),0) &gt; 0 , VLOOKUP("Stealthy", vote4TRAITS!A:C , 3, FALSE), ),
IF(IFERROR(SEARCH("Web",L20),0) &gt; 0 , VLOOKUP("Web", vote4TRAITS!A:C , 3, FALSE), ),
IF(IFERROR(SEARCH("+1 Willpower",L20),0) &gt; 0 , VLOOKUP("+1 Willpower", vote4TRAITS!A:C , 3, FALSE), ),
IF(IFERROR(SEARCH("+1 Might",L20),0) &gt; 0 , VLOOKUP("+1 Might", vote4TRAITS!A:C , 3, FALSE), ),
IF(IFERROR(SEARCH("+1 Knowledge",L20),0) &gt; 0 , VLOOKUP("+1 Knowledge", vote4TRAITS!A:C , 3, FALSE), ),
IF(IFERROR(SEARCH("+1 Awareness",L20),0) &gt; 0 , VLOOKUP("+1 Awareness", vote4TRAITS!A:C , 3, FALSE), ),
IF(IFERROR(SEARCH("-1 Willpower",L20),0) &gt; 0 , VLOOKUP("-1 Willpower", vote4TRAITS!A:C , 3, FALSE), ),
IF(IFERROR(SEARCH("+1 Health",L20),0) &gt; 0 , VLOOKUP("+1 Health", vote4TRAITS!A:C , 3, FALSE), ),
IF(IFERROR(SEARCH("+2 Health",L20),0) &gt; 0 , VLOOKUP("+2 Health", vote4TRAITS!A:C , 3, FALSE), ),
IF(IFERROR(SEARCH("+1 Stamina",L20),0) &gt; 0 , VLOOKUP("+1 Stamina", vote4TRAITS!A:C , 3, FALSE), ),
IF(IFERROR(SEARCH("+2 Stamina",L20),0) &gt; 0 , VLOOKUP("+2 Stamina", vote4TRAITS!A:C , 3, FALSE), ),
IFS(
IFERROR(SEARCH("+1 Range", L20),) &gt; 0 ,VLOOKUP("+1 Range", vote4TRAITS!A:C , 3, FALSE),
IFERROR(SEARCH("+2 Range", L20),) &gt; 0 ,VLOOKUP("+2 Range", vote4TRAITS!A:C , 3, FALSE),
IFERROR(SEARCH("+3 Range", L20),) &gt; 0,VLOOKUP("+3 Range", vote4TRAITS!A:C , 3, FALSE),
0=0,0)
,
IFS(
IFERROR(SEARCH("Sorcery 1", L20),) &gt; 0 ,VLOOKUP("Sorcery 1", vote4TRAITS!A:C , 3, FALSE),
IFERROR(SEARCH("Sorcery 2", L20),) &gt; 0 ,VLOOKUP("Sorcery 2", vote4TRAITS!A:C , 3, FALSE),
IFERROR(SEARCH("Sorcery 3", L20),) &gt; 0,VLOOKUP("Sorcery 3", vote4TRAITS!A:C , 3, FALSE),
0=0,0)
,
IFS(
IFERROR(SEARCH("Pierce 1", L20),) &gt; 0 ,VLOOKUP("Pierce 1", vote4TRAITS!A:C , 3, FALSE),
IFERROR(SEARCH("Pierce 2", L20),) &gt; 0 ,VLOOKUP("Pierce 2", vote4TRAITS!A:C , 3, FALSE),
IFERROR(SEARCH("Pierce 3", L20),) &gt; 0,VLOOKUP("Pierce 3", vote4TRAITS!A:C , 3, FALSE),
IFERROR(SEARCH("Pierce 4", L20),) &gt; 0 ,VLOOKUP("Pierce 4", vote4TRAITS!A:C , 3, FALSE),
0=0,0)
,
IFS(
IFERROR(SEARCH("+1 Health", L20),) &gt; 0 ,VLOOKUP("+1 Health", vote4TRAITS!A:C , 3, FALSE),
IFERROR(SEARCH("+2 Health", L20),) &gt; 0 ,VLOOKUP("+2 Health", vote4TRAITS!A:C , 3, FALSE),
IFERROR(SEARCH("+3 Health", L20),) &gt; 0 ,VLOOKUP("+3 Health", vote4TRAITS!A:C , 3, FALSE),
IFERROR(SEARCH("+4 Health", L20),) &gt; 0 ,VLOOKUP("+4 Health", vote4TRAITS!A:C , 3, FALSE),
0=0,0)
,
IFS(
IFERROR(SEARCH("Soul Shackle 1", L20),) &gt; 0 ,VLOOKUP("Soul Shackle 1", vote4TRAITS!A:C , 3, FALSE),
IFERROR(SEARCH("Soul Shackle 2", L20),) &gt; 0 ,VLOOKUP("Soul Shackle 2", vote4TRAITS!A:C , 3, FALSE),
IFERROR(SEARCH("Soul Shackle 3", L20),) &gt; 0,VLOOKUP("Soul Shackle 3", vote4TRAITS!A:C , 3, FALSE),
0=0,0)
)</f>
        <v>0</v>
      </c>
      <c r="N20" s="324" t="s">
        <v>1534</v>
      </c>
      <c r="O20" s="317">
        <f>IF(ISBLANK(N20),,IFERROR(
IF(IFERROR(SEARCH("SS:",N20),0) &gt; 0, 
VLOOKUP(SUBSTITUTE(N20,"SS: ",""),vote4SURGE!$A:$C , 3, FALSE) - 2,
VLOOKUP(SUBSTITUTE(N20,"S: ",""),vote4SURGE!$A:$C , 3, FALSE)
)
,
IF(IFERROR(SEARCH("SS:",N20),0) &gt; 0, 
VLOOKUP(C20,vote4SURGE!$A:$C , 3, FALSE) - 2,
VLOOKUP(C20,vote4SURGE!$A:$C , 3, FALSE)
)
))</f>
        <v>4.25</v>
      </c>
      <c r="P20" s="315" t="s">
        <v>1524</v>
      </c>
      <c r="Q20" s="317">
        <f>IF(ISBLANK(P20),,IFERROR(
IF(IFERROR(SEARCH("SS:",P20),0) &gt; 0, 
VLOOKUP(SUBSTITUTE(P20,"SS: ",""),vote4SURGE!$A:$C , 3, FALSE) - 2,
VLOOKUP(SUBSTITUTE(P20,"S: ",""),vote4SURGE!$A:$C , 3, FALSE)
)
,
IF(IFERROR(SEARCH("SS:",P20),0) &gt; 0, 
VLOOKUP(C20,vote4SURGE!$A:$C , 3, FALSE) - 2,
VLOOKUP(C20,vote4SURGE!$A:$C , 3, FALSE)
)
))</f>
        <v>4.5</v>
      </c>
      <c r="R20" s="315" t="s">
        <v>1568</v>
      </c>
      <c r="S20" s="319">
        <f>IF(ISBLANK(R20),,IFERROR(
IF(IFERROR(SEARCH("SS:",R20),0) &gt; 0, 
VLOOKUP(SUBSTITUTE(R20,"SS: ",""),vote4SURGE!$A:$C , 3, FALSE) - 2,
VLOOKUP(SUBSTITUTE(R20,"S: ",""),vote4SURGE!$A:$C , 3, FALSE)
)
,
IF(IFERROR(SEARCH("SS:",R20),0) &gt; 0, 
VLOOKUP(C20,vote4SURGE!$A:$C , 3, FALSE) - 2,
VLOOKUP(C20,vote4SURGE!$A:$C , 3, FALSE)
)
))</f>
        <v>4.75</v>
      </c>
      <c r="T20" s="320">
        <f t="shared" si="2"/>
        <v>3</v>
      </c>
      <c r="U20" s="320">
        <f>IFERROR(__xludf.DUMMYFUNCTION("ROUND(
IF(ISBLANK(G20),,
SWITCH(
LEN(G20) - LEN(SUBSTITUTE(G20,"","","""")),
0 , VLOOKUP(G20, Variables!$A:$C, 3, FALSE),
1 , VLOOKUP(index(split(G20 ,"", "", FALSE),1,1), Variables!$A:$C , 3, FALSE) + VLOOKUP(index(split(G20 ,"", "", FALSE),1,2), Variabl"&amp;"es!$A:$C , 3, FALSE),
2 , VLOOKUP(index(split(G20 ,"", "", FALSE),1,1), Variables!$A:$C , 3, FALSE) + VLOOKUP(index(split(G20 ,"", "", FALSE),1,2), Variables!$A:$C , 3, FALSE) + VLOOKUP(index(split(G20 ,"", "", FALSE),1,3), Variables!$A:$C , 3, FALSE),
3 "&amp;", VLOOKUP(index(split(G20 ,"", "", FALSE),1,1), Variables!$A:$C , 3, FALSE) + VLOOKUP(index(split(G20 ,"", "", FALSE),1,2), Variables!$A:$C , 3, FALSE) + VLOOKUP(index(split(G20 ,"", "", FALSE),1,3), Variables!$A:$C , 3, FALSE) + VLOOKUP(index(split(G20 ,"&amp;""", "", FALSE),1,4), Variables!$A:$C , 3, FALSE),
)
)
)"),1.0)</f>
        <v>1</v>
      </c>
      <c r="V20" s="317">
        <f t="shared" si="3"/>
        <v>7.666666667</v>
      </c>
      <c r="W20" s="321">
        <f t="shared" si="4"/>
        <v>14.66666667</v>
      </c>
      <c r="X20" s="322"/>
      <c r="Y20" s="322"/>
      <c r="Z20" s="322"/>
      <c r="AA20" s="322"/>
      <c r="AB20" s="322"/>
      <c r="AC20" s="322"/>
      <c r="AD20" s="322"/>
      <c r="AE20" s="322"/>
    </row>
    <row r="21" hidden="1">
      <c r="A21" s="310">
        <v>2.0</v>
      </c>
      <c r="B21" s="93">
        <f t="shared" si="1"/>
        <v>7</v>
      </c>
      <c r="C21" s="310" t="s">
        <v>695</v>
      </c>
      <c r="D21" s="310">
        <v>200.0</v>
      </c>
      <c r="E21" s="310" t="s">
        <v>1520</v>
      </c>
      <c r="F21" s="310" t="s">
        <v>1531</v>
      </c>
      <c r="G21" s="313" t="s">
        <v>1522</v>
      </c>
      <c r="H21" s="312">
        <f>IFERROR(__xludf.DUMMYFUNCTION(" IF(ISBLANK(G21),,
SWITCH(
LEN(G21) - LEN(SUBSTITUTE(G21,"","","""")),
0 , VLOOKUP(G21, Variables!$A:$B, 2, FALSE),
1 , VLOOKUP(index(split(G21 ,"", "", FALSE),1,1), Variables!$A:$B , 2, FALSE) + VLOOKUP(index(split(G21 ,"", "", FALSE),1,2), Variables!$A:"&amp;"$B , 2, FALSE),
2 , VLOOKUP(index(split(G21 ,"", "", FALSE),1,1), Variables!$A:$B , 2, FALSE) + VLOOKUP(index(split(G21 ,"", "", FALSE),1,2), Variables!$A:$B , 2, FALSE) + VLOOKUP(index(split(G21 ,"", "", FALSE),1,3), Variables!$A:$B , 2, FALSE),
3 , VLOO"&amp;"KUP(index(split(G21 ,"", "", FALSE),1,1), Variables!$A:$B , 2, FALSE) + VLOOKUP(index(split(G21 ,"", "", FALSE),1,2), Variables!$A:$B , 2, FALSE) + VLOOKUP(index(split(G21 ,"", "", FALSE),1,3), Variables!$A:$B , 2, FALSE) + VLOOKUP(index(split(G21 ,"", """&amp;", FALSE),1,4), Variables!$A:$B , 2, FALSE),
)
)"),3.9999999999999996)</f>
        <v>4</v>
      </c>
      <c r="I21" s="310" t="s">
        <v>1533</v>
      </c>
      <c r="J21" s="313" t="s">
        <v>696</v>
      </c>
      <c r="K21" s="314">
        <f>IFERROR(VLOOKUP(C21,vote4ITEMS!$A:$C, 3, FALSE),)</f>
        <v>7</v>
      </c>
      <c r="L21" s="313"/>
      <c r="M21" s="314">
        <f>SUM(
IF(IFERROR(SEARCH("Aura 1",L21),0) &gt; 0 , VLOOKUP("Aura 1", vote4TRAITS!A:C , 3, FALSE), ),
IF(IFERROR(SEARCH("Backswing",L21),0) &gt; 0 , VLOOKUP("Backswing", vote4TRAITS!A:C , 3, FALSE), ),
IF(IFERROR(SEARCH("Blast",L21),0) &gt; 0 , VLOOKUP("Blast", vote4TRAITS!A:C , 3, FALSE), ),
IF(IFERROR(SEARCH("Combustible",L21),0) &gt; 0 , VLOOKUP("Combustible", vote4TRAITS!A:C , 3, FALSE), ),
IF(IFERROR(SEARCH("Command",L21),0) &gt; 0 , VLOOKUP("Command", vote4TRAITS!A:C , 3, FALSE), ),
IF(IFERROR(SEARCH("Cowardly",L21),0) &gt; 0 , VLOOKUP("Cowardly", vote4TRAITS!A:C , 3, FALSE), ),
IF(IFERROR(SEARCH("Death Wish",L21),0) &gt; 0 , VLOOKUP("Death Wish", vote4TRAITS!A:C , 3, FALSE), ),
IF(IFERROR(SEARCH("Entomb",L21),0) &gt; 0 , VLOOKUP("Entomb", vote4TRAITS!A:C , 3, FALSE), ),
IF(IFERROR(SEARCH("Ethereal Hold",L21),0) &gt; 0 , VLOOKUP("Ethereal Hold", vote4TRAITS!A:C , 3, FALSE), ),
IF(IFERROR(SEARCH("Extend",L21),0) &gt; 0 , VLOOKUP("Extend", vote4TRAITS!A:C , 3, FALSE), ),
IF(IFERROR(SEARCH("Filthy Murk",L21),0) &gt; 0 , VLOOKUP("Filthy Murk", vote4TRAITS!A:C , 3, FALSE), ),
IF(IFERROR(SEARCH("Flame Fiend",L21),0) &gt; 0 , VLOOKUP("Flame Fiend", vote4TRAITS!A:C , 3, FALSE), ),
IF(IFERROR(SEARCH("Fleshmonger",L21),0) &gt; 0 , VLOOKUP("Fleshmonger", vote4TRAITS!A:C , 3, FALSE), ),
IF(IFERROR(SEARCH("Fly",L21),0) &gt; 0 , VLOOKUP("Fly", vote4TRAITS!A:C , 3, FALSE), ),
IF(IFERROR(SEARCH("Freezing",L21),0) &gt; 0 , VLOOKUP("Freezing", vote4TRAITS!A:C , 3, FALSE), ),
IF(IFERROR(SEARCH("Lithesome",L21),0) &gt; 0 , VLOOKUP("Lithesome", vote4TRAITS!A:C , 3, FALSE), ),
IF(IFERROR(SEARCH("Harrowing",L21),0) &gt; 0 , VLOOKUP("Harrowing", vote4TRAITS!A:C , 3, FALSE), ),
IF(IFERROR(SEARCH("Hideous Laughter",L21),0) &gt; 0 , VLOOKUP("Hideous Laughter", vote4TRAITS!A:C , 3, FALSE), ),
IF(IFERROR(SEARCH("Hive Defense",L21),0) &gt; 0 , VLOOKUP("Hive Defense", vote4TRAITS!A:C , 3, FALSE), ),
IF(IFERROR(SEARCH("Horrifying",L21),0) &gt; 0 , VLOOKUP("Horrifying", vote4TRAITS!A:C , 3, FALSE), ),
IF(IFERROR(SEARCH("Ironskin",L21),0) &gt; 0 , VLOOKUP("Ironskin", vote4TRAITS!A:C , 3, FALSE), ),
IF(IFERROR(SEARCH("Unmovable",L21),0) &gt; 0 , VLOOKUP("Unmovable", vote4TRAITS!A:C , 3, FALSE), ),
IF(IFERROR(SEARCH("Lifethirst 1",L21),0) &gt; 0 , VLOOKUP("Lifethirst 1", vote4TRAITS!A:C , 3, FALSE), ),
IF(IFERROR(SEARCH("Lifethirst 2",L21),0) &gt; 0 , VLOOKUP("Lifethirst 2", vote4TRAITS!A:C , 3, FALSE), ),
IF(IFERROR(SEARCH("Morph",L21),0) &gt; 0 , VLOOKUP("Morph", vote4TRAITS!A:C , 3, FALSE), ),
IF(IFERROR(SEARCH("Night Stalker",L21),0) &gt; 0 , VLOOKUP("Night Stalker", vote4TRAITS!A:C , 3, FALSE), ),
IF(IFERROR(SEARCH("Overflowing",L21),0) &gt; 0 , VLOOKUP("Overflowing", vote4TRAITS!A:C , 3, FALSE), ),
IF(IFERROR(SEARCH("Pestilence",L21),0) &gt; 0 , VLOOKUP("Pestilence", vote4TRAITS!A:C , 3, FALSE), ),
IF(IFERROR(SEARCH("Phalanx",L21),0) &gt; 0 , VLOOKUP("Phalanx", vote4TRAITS!A:C , 3, FALSE), ),
IF(IFERROR(SEARCH("Plagued",L21),0) &gt; 0 , VLOOKUP("Plagued", vote4TRAITS!A:C , 3, FALSE), ),
IF(IFERROR(SEARCH("Prey on the Weak",L21),0) &gt; 0 , VLOOKUP("Prey on the Weak", vote4TRAITS!A:C , 3, FALSE), ),
IF(IFERROR(SEARCH("Protect",L21),0) &gt; 0 , VLOOKUP("Protect", vote4TRAITS!A:C , 3, FALSE), ),
IF(IFERROR(SEARCH("Puncture",L21),0) &gt; 0 , VLOOKUP("Puncture", vote4TRAITS!A:C , 3, FALSE), ),
IF(IFERROR(SEARCH("Putrid Boils",L21),0) &gt; 0 , VLOOKUP("Putrid Boils", vote4TRAITS!A:C , 3, FALSE), ),
IF(IFERROR(SEARCH("Ravage",L21),0) &gt; 0 , VLOOKUP("Ravage", vote4TRAITS!A:C , 3, FALSE), ),
IF(IFERROR(SEARCH("Ravenous",L21),0) &gt; 0 , VLOOKUP("Ravenous", vote4TRAITS!A:C , 3, FALSE), ),
IF(IFERROR(SEARCH("Reach",L21),0) &gt; 0 , VLOOKUP("Reach", vote4TRAITS!A:C , 3, FALSE), ),
IF(IFERROR(SEARCH("Reanimation",L21),0) &gt; 0 , VLOOKUP("Reanimation", vote4TRAITS!A:C , 3, FALSE), ),
IF(IFERROR(SEARCH("Reaper",L21),0) &gt; 0 , VLOOKUP("Reaper", vote4TRAITS!A:C , 3, FALSE), ),
IF(IFERROR(SEARCH("Riposte",L21),0) &gt; 0 , VLOOKUP("Riposte", vote4TRAITS!A:C , 3, FALSE)),
IF(IFERROR(SEARCH("Scamper",L21),0) &gt; 0 , VLOOKUP("Scamper", vote4TRAITS!A:C , 3, FALSE), ),
IF(IFERROR(SEARCH("Small Beginnings",L21),0) &gt; 0 , VLOOKUP("Small Beginnings", vote4TRAITS!A:C , 3, FALSE), ),
IF(IFERROR(SEARCH("Spawner",L21),0) &gt; 0 , VLOOKUP("Spawner", vote4TRAITS!A:C , 3,FALSE), ),
IF(IFERROR(SEARCH("Shadowr",L21),0) &gt; 0 , VLOOKUP("Shadow", vote4TRAITS!A:C , 3,FALSE), ),
IF(IFERROR(SEARCH("Shadow Step",L21),0) &gt; 0 , VLOOKUP("Shadow Step", vote4TRAITS!A:C , 3,FALSE), ),
IF(IFERROR(SEARCH("Shambling",L21),0) &gt; 0 , VLOOKUP("Shambling", vote4TRAITS!A:C , 3,FALSE), ),
IF(IFERROR(SEARCH("Stealthy",L21),0) &gt; 0 , VLOOKUP("Stealthy", vote4TRAITS!A:C , 3, FALSE), ),
IF(IFERROR(SEARCH("Web",L21),0) &gt; 0 , VLOOKUP("Web", vote4TRAITS!A:C , 3, FALSE), ),
IF(IFERROR(SEARCH("+1 Willpower",L21),0) &gt; 0 , VLOOKUP("+1 Willpower", vote4TRAITS!A:C , 3, FALSE), ),
IF(IFERROR(SEARCH("+1 Might",L21),0) &gt; 0 , VLOOKUP("+1 Might", vote4TRAITS!A:C , 3, FALSE), ),
IF(IFERROR(SEARCH("+1 Knowledge",L21),0) &gt; 0 , VLOOKUP("+1 Knowledge", vote4TRAITS!A:C , 3, FALSE), ),
IF(IFERROR(SEARCH("+1 Awareness",L21),0) &gt; 0 , VLOOKUP("+1 Awareness", vote4TRAITS!A:C , 3, FALSE), ),
IF(IFERROR(SEARCH("-1 Willpower",L21),0) &gt; 0 , VLOOKUP("-1 Willpower", vote4TRAITS!A:C , 3, FALSE), ),
IF(IFERROR(SEARCH("+1 Health",L21),0) &gt; 0 , VLOOKUP("+1 Health", vote4TRAITS!A:C , 3, FALSE), ),
IF(IFERROR(SEARCH("+2 Health",L21),0) &gt; 0 , VLOOKUP("+2 Health", vote4TRAITS!A:C , 3, FALSE), ),
IF(IFERROR(SEARCH("+1 Stamina",L21),0) &gt; 0 , VLOOKUP("+1 Stamina", vote4TRAITS!A:C , 3, FALSE), ),
IF(IFERROR(SEARCH("+2 Stamina",L21),0) &gt; 0 , VLOOKUP("+2 Stamina", vote4TRAITS!A:C , 3, FALSE), ),
IFS(
IFERROR(SEARCH("+1 Range", L21),) &gt; 0 ,VLOOKUP("+1 Range", vote4TRAITS!A:C , 3, FALSE),
IFERROR(SEARCH("+2 Range", L21),) &gt; 0 ,VLOOKUP("+2 Range", vote4TRAITS!A:C , 3, FALSE),
IFERROR(SEARCH("+3 Range", L21),) &gt; 0,VLOOKUP("+3 Range", vote4TRAITS!A:C , 3, FALSE),
0=0,0)
,
IFS(
IFERROR(SEARCH("Sorcery 1", L21),) &gt; 0 ,VLOOKUP("Sorcery 1", vote4TRAITS!A:C , 3, FALSE),
IFERROR(SEARCH("Sorcery 2", L21),) &gt; 0 ,VLOOKUP("Sorcery 2", vote4TRAITS!A:C , 3, FALSE),
IFERROR(SEARCH("Sorcery 3", L21),) &gt; 0,VLOOKUP("Sorcery 3", vote4TRAITS!A:C , 3, FALSE),
0=0,0)
,
IFS(
IFERROR(SEARCH("Pierce 1", L21),) &gt; 0 ,VLOOKUP("Pierce 1", vote4TRAITS!A:C , 3, FALSE),
IFERROR(SEARCH("Pierce 2", L21),) &gt; 0 ,VLOOKUP("Pierce 2", vote4TRAITS!A:C , 3, FALSE),
IFERROR(SEARCH("Pierce 3", L21),) &gt; 0,VLOOKUP("Pierce 3", vote4TRAITS!A:C , 3, FALSE),
IFERROR(SEARCH("Pierce 4", L21),) &gt; 0 ,VLOOKUP("Pierce 4", vote4TRAITS!A:C , 3, FALSE),
0=0,0)
,
IFS(
IFERROR(SEARCH("+1 Health", L21),) &gt; 0 ,VLOOKUP("+1 Health", vote4TRAITS!A:C , 3, FALSE),
IFERROR(SEARCH("+2 Health", L21),) &gt; 0 ,VLOOKUP("+2 Health", vote4TRAITS!A:C , 3, FALSE),
IFERROR(SEARCH("+3 Health", L21),) &gt; 0 ,VLOOKUP("+3 Health", vote4TRAITS!A:C , 3, FALSE),
IFERROR(SEARCH("+4 Health", L21),) &gt; 0 ,VLOOKUP("+4 Health", vote4TRAITS!A:C , 3, FALSE),
0=0,0)
,
IFS(
IFERROR(SEARCH("Soul Shackle 1", L21),) &gt; 0 ,VLOOKUP("Soul Shackle 1", vote4TRAITS!A:C , 3, FALSE),
IFERROR(SEARCH("Soul Shackle 2", L21),) &gt; 0 ,VLOOKUP("Soul Shackle 2", vote4TRAITS!A:C , 3, FALSE),
IFERROR(SEARCH("Soul Shackle 3", L21),) &gt; 0,VLOOKUP("Soul Shackle 3", vote4TRAITS!A:C , 3, FALSE),
0=0,0)
)</f>
        <v>0</v>
      </c>
      <c r="N21" s="313"/>
      <c r="O21" s="317" t="str">
        <f>IF(ISBLANK(N21),,IFERROR(
IF(IFERROR(SEARCH("SS:",N21),0) &gt; 0, 
VLOOKUP(SUBSTITUTE(N21,"SS: ",""),vote4SURGE!$A:$C , 3, FALSE) - 2,
VLOOKUP(SUBSTITUTE(N21,"S: ",""),vote4SURGE!$A:$C , 3, FALSE)
)
,
IF(IFERROR(SEARCH("SS:",N21),0) &gt; 0, 
VLOOKUP(C21,vote4SURGE!$A:$C , 3, FALSE) - 2,
VLOOKUP(C21,vote4SURGE!$A:$C , 3, FALSE)
)
))</f>
        <v/>
      </c>
      <c r="P21" s="105" t="s">
        <v>1545</v>
      </c>
      <c r="Q21" s="317">
        <f>IF(ISBLANK(P21),,IFERROR(
IF(IFERROR(SEARCH("SS:",P21),0) &gt; 0, 
VLOOKUP(SUBSTITUTE(P21,"SS: ",""),vote4SURGE!$A:$C , 3, FALSE) - 2,
VLOOKUP(SUBSTITUTE(P21,"S: ",""),vote4SURGE!$A:$C , 3, FALSE)
)
,
IF(IFERROR(SEARCH("SS:",P21),0) &gt; 0, 
VLOOKUP(C21,vote4SURGE!$A:$C , 3, FALSE) - 2,
VLOOKUP(C21,vote4SURGE!$A:$C , 3, FALSE)
)
))</f>
        <v>4</v>
      </c>
      <c r="R21" s="318"/>
      <c r="S21" s="319" t="str">
        <f>IF(ISBLANK(R21),,IFERROR(
IF(IFERROR(SEARCH("SS:",R21),0) &gt; 0, 
VLOOKUP(SUBSTITUTE(R21,"SS: ",""),vote4SURGE!$A:$C , 3, FALSE) - 2,
VLOOKUP(SUBSTITUTE(R21,"S: ",""),vote4SURGE!$A:$C , 3, FALSE)
)
,
IF(IFERROR(SEARCH("SS:",R21),0) &gt; 0, 
VLOOKUP(C21,vote4SURGE!$A:$C , 3, FALSE) - 2,
VLOOKUP(C21,vote4SURGE!$A:$C , 3, FALSE)
)
))</f>
        <v/>
      </c>
      <c r="T21" s="320">
        <f t="shared" si="2"/>
        <v>2</v>
      </c>
      <c r="U21" s="320">
        <f>IFERROR(__xludf.DUMMYFUNCTION("ROUND(
IF(ISBLANK(G21),,
SWITCH(
LEN(G21) - LEN(SUBSTITUTE(G21,"","","""")),
0 , VLOOKUP(G21, Variables!$A:$C, 3, FALSE),
1 , VLOOKUP(index(split(G21 ,"", "", FALSE),1,1), Variables!$A:$C , 3, FALSE) + VLOOKUP(index(split(G21 ,"", "", FALSE),1,2), Variabl"&amp;"es!$A:$C , 3, FALSE),
2 , VLOOKUP(index(split(G21 ,"", "", FALSE),1,1), Variables!$A:$C , 3, FALSE) + VLOOKUP(index(split(G21 ,"", "", FALSE),1,2), Variables!$A:$C , 3, FALSE) + VLOOKUP(index(split(G21 ,"", "", FALSE),1,3), Variables!$A:$C , 3, FALSE),
3 "&amp;", VLOOKUP(index(split(G21 ,"", "", FALSE),1,1), Variables!$A:$C , 3, FALSE) + VLOOKUP(index(split(G21 ,"", "", FALSE),1,2), Variables!$A:$C , 3, FALSE) + VLOOKUP(index(split(G21 ,"", "", FALSE),1,3), Variables!$A:$C , 3, FALSE) + VLOOKUP(index(split(G21 ,"&amp;""", "", FALSE),1,4), Variables!$A:$C , 3, FALSE),
)
)
)"),1.0)</f>
        <v>1</v>
      </c>
      <c r="V21" s="317">
        <f t="shared" si="3"/>
        <v>4</v>
      </c>
      <c r="W21" s="321">
        <f t="shared" si="4"/>
        <v>15</v>
      </c>
      <c r="X21" s="322"/>
      <c r="Y21" s="322"/>
      <c r="Z21" s="322"/>
      <c r="AA21" s="322"/>
      <c r="AB21" s="322"/>
      <c r="AC21" s="322"/>
      <c r="AD21" s="322"/>
      <c r="AE21" s="322"/>
    </row>
    <row r="22" hidden="1">
      <c r="A22" s="310">
        <v>2.0</v>
      </c>
      <c r="B22" s="93">
        <f t="shared" si="1"/>
        <v>8</v>
      </c>
      <c r="C22" s="310" t="s">
        <v>1264</v>
      </c>
      <c r="D22" s="310">
        <v>175.0</v>
      </c>
      <c r="E22" s="310" t="s">
        <v>1520</v>
      </c>
      <c r="F22" s="310" t="s">
        <v>1531</v>
      </c>
      <c r="G22" s="313" t="s">
        <v>1569</v>
      </c>
      <c r="H22" s="312">
        <f>IFERROR(__xludf.DUMMYFUNCTION(" IF(ISBLANK(G22),,
SWITCH(
LEN(G22) - LEN(SUBSTITUTE(G22,"","","""")),
0 , VLOOKUP(G22, Variables!$A:$B, 2, FALSE),
1 , VLOOKUP(index(split(G22 ,"", "", FALSE),1,1), Variables!$A:$B , 2, FALSE) + VLOOKUP(index(split(G22 ,"", "", FALSE),1,2), Variables!$A:"&amp;"$B , 2, FALSE),
2 , VLOOKUP(index(split(G22 ,"", "", FALSE),1,1), Variables!$A:$B , 2, FALSE) + VLOOKUP(index(split(G22 ,"", "", FALSE),1,2), Variables!$A:$B , 2, FALSE) + VLOOKUP(index(split(G22 ,"", "", FALSE),1,3), Variables!$A:$B , 2, FALSE),
3 , VLOO"&amp;"KUP(index(split(G22 ,"", "", FALSE),1,1), Variables!$A:$B , 2, FALSE) + VLOOKUP(index(split(G22 ,"", "", FALSE),1,2), Variables!$A:$B , 2, FALSE) + VLOOKUP(index(split(G22 ,"", "", FALSE),1,3), Variables!$A:$B , 2, FALSE) + VLOOKUP(index(split(G22 ,"", """&amp;", FALSE),1,4), Variables!$A:$B , 2, FALSE),
)
)"),3.6666666666666665)</f>
        <v>3.666666667</v>
      </c>
      <c r="I22" s="310" t="s">
        <v>1570</v>
      </c>
      <c r="J22" s="311"/>
      <c r="K22" s="314" t="str">
        <f>IFERROR(VLOOKUP(C22,vote4ITEMS!$A:$C, 3, FALSE),)</f>
        <v/>
      </c>
      <c r="L22" s="313"/>
      <c r="M22" s="314">
        <f>SUM(
IF(IFERROR(SEARCH("Aura 1",L22),0) &gt; 0 , VLOOKUP("Aura 1", vote4TRAITS!A:C , 3, FALSE), ),
IF(IFERROR(SEARCH("Backswing",L22),0) &gt; 0 , VLOOKUP("Backswing", vote4TRAITS!A:C , 3, FALSE), ),
IF(IFERROR(SEARCH("Blast",L22),0) &gt; 0 , VLOOKUP("Blast", vote4TRAITS!A:C , 3, FALSE), ),
IF(IFERROR(SEARCH("Combustible",L22),0) &gt; 0 , VLOOKUP("Combustible", vote4TRAITS!A:C , 3, FALSE), ),
IF(IFERROR(SEARCH("Command",L22),0) &gt; 0 , VLOOKUP("Command", vote4TRAITS!A:C , 3, FALSE), ),
IF(IFERROR(SEARCH("Cowardly",L22),0) &gt; 0 , VLOOKUP("Cowardly", vote4TRAITS!A:C , 3, FALSE), ),
IF(IFERROR(SEARCH("Death Wish",L22),0) &gt; 0 , VLOOKUP("Death Wish", vote4TRAITS!A:C , 3, FALSE), ),
IF(IFERROR(SEARCH("Entomb",L22),0) &gt; 0 , VLOOKUP("Entomb", vote4TRAITS!A:C , 3, FALSE), ),
IF(IFERROR(SEARCH("Ethereal Hold",L22),0) &gt; 0 , VLOOKUP("Ethereal Hold", vote4TRAITS!A:C , 3, FALSE), ),
IF(IFERROR(SEARCH("Extend",L22),0) &gt; 0 , VLOOKUP("Extend", vote4TRAITS!A:C , 3, FALSE), ),
IF(IFERROR(SEARCH("Filthy Murk",L22),0) &gt; 0 , VLOOKUP("Filthy Murk", vote4TRAITS!A:C , 3, FALSE), ),
IF(IFERROR(SEARCH("Flame Fiend",L22),0) &gt; 0 , VLOOKUP("Flame Fiend", vote4TRAITS!A:C , 3, FALSE), ),
IF(IFERROR(SEARCH("Fleshmonger",L22),0) &gt; 0 , VLOOKUP("Fleshmonger", vote4TRAITS!A:C , 3, FALSE), ),
IF(IFERROR(SEARCH("Fly",L22),0) &gt; 0 , VLOOKUP("Fly", vote4TRAITS!A:C , 3, FALSE), ),
IF(IFERROR(SEARCH("Freezing",L22),0) &gt; 0 , VLOOKUP("Freezing", vote4TRAITS!A:C , 3, FALSE), ),
IF(IFERROR(SEARCH("Lithesome",L22),0) &gt; 0 , VLOOKUP("Lithesome", vote4TRAITS!A:C , 3, FALSE), ),
IF(IFERROR(SEARCH("Harrowing",L22),0) &gt; 0 , VLOOKUP("Harrowing", vote4TRAITS!A:C , 3, FALSE), ),
IF(IFERROR(SEARCH("Hideous Laughter",L22),0) &gt; 0 , VLOOKUP("Hideous Laughter", vote4TRAITS!A:C , 3, FALSE), ),
IF(IFERROR(SEARCH("Hive Defense",L22),0) &gt; 0 , VLOOKUP("Hive Defense", vote4TRAITS!A:C , 3, FALSE), ),
IF(IFERROR(SEARCH("Horrifying",L22),0) &gt; 0 , VLOOKUP("Horrifying", vote4TRAITS!A:C , 3, FALSE), ),
IF(IFERROR(SEARCH("Ironskin",L22),0) &gt; 0 , VLOOKUP("Ironskin", vote4TRAITS!A:C , 3, FALSE), ),
IF(IFERROR(SEARCH("Unmovable",L22),0) &gt; 0 , VLOOKUP("Unmovable", vote4TRAITS!A:C , 3, FALSE), ),
IF(IFERROR(SEARCH("Lifethirst 1",L22),0) &gt; 0 , VLOOKUP("Lifethirst 1", vote4TRAITS!A:C , 3, FALSE), ),
IF(IFERROR(SEARCH("Lifethirst 2",L22),0) &gt; 0 , VLOOKUP("Lifethirst 2", vote4TRAITS!A:C , 3, FALSE), ),
IF(IFERROR(SEARCH("Morph",L22),0) &gt; 0 , VLOOKUP("Morph", vote4TRAITS!A:C , 3, FALSE), ),
IF(IFERROR(SEARCH("Night Stalker",L22),0) &gt; 0 , VLOOKUP("Night Stalker", vote4TRAITS!A:C , 3, FALSE), ),
IF(IFERROR(SEARCH("Overflowing",L22),0) &gt; 0 , VLOOKUP("Overflowing", vote4TRAITS!A:C , 3, FALSE), ),
IF(IFERROR(SEARCH("Pestilence",L22),0) &gt; 0 , VLOOKUP("Pestilence", vote4TRAITS!A:C , 3, FALSE), ),
IF(IFERROR(SEARCH("Phalanx",L22),0) &gt; 0 , VLOOKUP("Phalanx", vote4TRAITS!A:C , 3, FALSE), ),
IF(IFERROR(SEARCH("Plagued",L22),0) &gt; 0 , VLOOKUP("Plagued", vote4TRAITS!A:C , 3, FALSE), ),
IF(IFERROR(SEARCH("Prey on the Weak",L22),0) &gt; 0 , VLOOKUP("Prey on the Weak", vote4TRAITS!A:C , 3, FALSE), ),
IF(IFERROR(SEARCH("Protect",L22),0) &gt; 0 , VLOOKUP("Protect", vote4TRAITS!A:C , 3, FALSE), ),
IF(IFERROR(SEARCH("Puncture",L22),0) &gt; 0 , VLOOKUP("Puncture", vote4TRAITS!A:C , 3, FALSE), ),
IF(IFERROR(SEARCH("Putrid Boils",L22),0) &gt; 0 , VLOOKUP("Putrid Boils", vote4TRAITS!A:C , 3, FALSE), ),
IF(IFERROR(SEARCH("Ravage",L22),0) &gt; 0 , VLOOKUP("Ravage", vote4TRAITS!A:C , 3, FALSE), ),
IF(IFERROR(SEARCH("Ravenous",L22),0) &gt; 0 , VLOOKUP("Ravenous", vote4TRAITS!A:C , 3, FALSE), ),
IF(IFERROR(SEARCH("Reach",L22),0) &gt; 0 , VLOOKUP("Reach", vote4TRAITS!A:C , 3, FALSE), ),
IF(IFERROR(SEARCH("Reanimation",L22),0) &gt; 0 , VLOOKUP("Reanimation", vote4TRAITS!A:C , 3, FALSE), ),
IF(IFERROR(SEARCH("Reaper",L22),0) &gt; 0 , VLOOKUP("Reaper", vote4TRAITS!A:C , 3, FALSE), ),
IF(IFERROR(SEARCH("Riposte",L22),0) &gt; 0 , VLOOKUP("Riposte", vote4TRAITS!A:C , 3, FALSE)),
IF(IFERROR(SEARCH("Scamper",L22),0) &gt; 0 , VLOOKUP("Scamper", vote4TRAITS!A:C , 3, FALSE), ),
IF(IFERROR(SEARCH("Small Beginnings",L22),0) &gt; 0 , VLOOKUP("Small Beginnings", vote4TRAITS!A:C , 3, FALSE), ),
IF(IFERROR(SEARCH("Spawner",L22),0) &gt; 0 , VLOOKUP("Spawner", vote4TRAITS!A:C , 3,FALSE), ),
IF(IFERROR(SEARCH("Shadowr",L22),0) &gt; 0 , VLOOKUP("Shadow", vote4TRAITS!A:C , 3,FALSE), ),
IF(IFERROR(SEARCH("Shadow Step",L22),0) &gt; 0 , VLOOKUP("Shadow Step", vote4TRAITS!A:C , 3,FALSE), ),
IF(IFERROR(SEARCH("Shambling",L22),0) &gt; 0 , VLOOKUP("Shambling", vote4TRAITS!A:C , 3,FALSE), ),
IF(IFERROR(SEARCH("Stealthy",L22),0) &gt; 0 , VLOOKUP("Stealthy", vote4TRAITS!A:C , 3, FALSE), ),
IF(IFERROR(SEARCH("Web",L22),0) &gt; 0 , VLOOKUP("Web", vote4TRAITS!A:C , 3, FALSE), ),
IF(IFERROR(SEARCH("+1 Willpower",L22),0) &gt; 0 , VLOOKUP("+1 Willpower", vote4TRAITS!A:C , 3, FALSE), ),
IF(IFERROR(SEARCH("+1 Might",L22),0) &gt; 0 , VLOOKUP("+1 Might", vote4TRAITS!A:C , 3, FALSE), ),
IF(IFERROR(SEARCH("+1 Knowledge",L22),0) &gt; 0 , VLOOKUP("+1 Knowledge", vote4TRAITS!A:C , 3, FALSE), ),
IF(IFERROR(SEARCH("+1 Awareness",L22),0) &gt; 0 , VLOOKUP("+1 Awareness", vote4TRAITS!A:C , 3, FALSE), ),
IF(IFERROR(SEARCH("-1 Willpower",L22),0) &gt; 0 , VLOOKUP("-1 Willpower", vote4TRAITS!A:C , 3, FALSE), ),
IF(IFERROR(SEARCH("+1 Health",L22),0) &gt; 0 , VLOOKUP("+1 Health", vote4TRAITS!A:C , 3, FALSE), ),
IF(IFERROR(SEARCH("+2 Health",L22),0) &gt; 0 , VLOOKUP("+2 Health", vote4TRAITS!A:C , 3, FALSE), ),
IF(IFERROR(SEARCH("+1 Stamina",L22),0) &gt; 0 , VLOOKUP("+1 Stamina", vote4TRAITS!A:C , 3, FALSE), ),
IF(IFERROR(SEARCH("+2 Stamina",L22),0) &gt; 0 , VLOOKUP("+2 Stamina", vote4TRAITS!A:C , 3, FALSE), ),
IFS(
IFERROR(SEARCH("+1 Range", L22),) &gt; 0 ,VLOOKUP("+1 Range", vote4TRAITS!A:C , 3, FALSE),
IFERROR(SEARCH("+2 Range", L22),) &gt; 0 ,VLOOKUP("+2 Range", vote4TRAITS!A:C , 3, FALSE),
IFERROR(SEARCH("+3 Range", L22),) &gt; 0,VLOOKUP("+3 Range", vote4TRAITS!A:C , 3, FALSE),
0=0,0)
,
IFS(
IFERROR(SEARCH("Sorcery 1", L22),) &gt; 0 ,VLOOKUP("Sorcery 1", vote4TRAITS!A:C , 3, FALSE),
IFERROR(SEARCH("Sorcery 2", L22),) &gt; 0 ,VLOOKUP("Sorcery 2", vote4TRAITS!A:C , 3, FALSE),
IFERROR(SEARCH("Sorcery 3", L22),) &gt; 0,VLOOKUP("Sorcery 3", vote4TRAITS!A:C , 3, FALSE),
0=0,0)
,
IFS(
IFERROR(SEARCH("Pierce 1", L22),) &gt; 0 ,VLOOKUP("Pierce 1", vote4TRAITS!A:C , 3, FALSE),
IFERROR(SEARCH("Pierce 2", L22),) &gt; 0 ,VLOOKUP("Pierce 2", vote4TRAITS!A:C , 3, FALSE),
IFERROR(SEARCH("Pierce 3", L22),) &gt; 0,VLOOKUP("Pierce 3", vote4TRAITS!A:C , 3, FALSE),
IFERROR(SEARCH("Pierce 4", L22),) &gt; 0 ,VLOOKUP("Pierce 4", vote4TRAITS!A:C , 3, FALSE),
0=0,0)
,
IFS(
IFERROR(SEARCH("+1 Health", L22),) &gt; 0 ,VLOOKUP("+1 Health", vote4TRAITS!A:C , 3, FALSE),
IFERROR(SEARCH("+2 Health", L22),) &gt; 0 ,VLOOKUP("+2 Health", vote4TRAITS!A:C , 3, FALSE),
IFERROR(SEARCH("+3 Health", L22),) &gt; 0 ,VLOOKUP("+3 Health", vote4TRAITS!A:C , 3, FALSE),
IFERROR(SEARCH("+4 Health", L22),) &gt; 0 ,VLOOKUP("+4 Health", vote4TRAITS!A:C , 3, FALSE),
0=0,0)
,
IFS(
IFERROR(SEARCH("Soul Shackle 1", L22),) &gt; 0 ,VLOOKUP("Soul Shackle 1", vote4TRAITS!A:C , 3, FALSE),
IFERROR(SEARCH("Soul Shackle 2", L22),) &gt; 0 ,VLOOKUP("Soul Shackle 2", vote4TRAITS!A:C , 3, FALSE),
IFERROR(SEARCH("Soul Shackle 3", L22),) &gt; 0,VLOOKUP("Soul Shackle 3", vote4TRAITS!A:C , 3, FALSE),
0=0,0)
)</f>
        <v>0</v>
      </c>
      <c r="N22" s="311" t="s">
        <v>1571</v>
      </c>
      <c r="O22" s="317">
        <f>IF(ISBLANK(N22),,IFERROR(
IF(IFERROR(SEARCH("SS:",N22),0) &gt; 0, 
VLOOKUP(SUBSTITUTE(N22,"SS: ",""),vote4SURGE!$A:$C , 3, FALSE) - 2,
VLOOKUP(SUBSTITUTE(N22,"S: ",""),vote4SURGE!$A:$C , 3, FALSE)
)
,
IF(IFERROR(SEARCH("SS:",N22),0) &gt; 0, 
VLOOKUP(C22,vote4SURGE!$A:$C , 3, FALSE) - 2,
VLOOKUP(C22,vote4SURGE!$A:$C , 3, FALSE)
)
))</f>
        <v>4.75</v>
      </c>
      <c r="P22" s="315" t="s">
        <v>1572</v>
      </c>
      <c r="Q22" s="317">
        <f>IF(ISBLANK(P22),,IFERROR(
IF(IFERROR(SEARCH("SS:",P22),0) &gt; 0, 
VLOOKUP(SUBSTITUTE(P22,"SS: ",""),vote4SURGE!$A:$C , 3, FALSE) - 2,
VLOOKUP(SUBSTITUTE(P22,"S: ",""),vote4SURGE!$A:$C , 3, FALSE)
)
,
IF(IFERROR(SEARCH("SS:",P22),0) &gt; 0, 
VLOOKUP(C22,vote4SURGE!$A:$C , 3, FALSE) - 2,
VLOOKUP(C22,vote4SURGE!$A:$C , 3, FALSE)
)
))</f>
        <v>4.666666667</v>
      </c>
      <c r="R22" s="315" t="s">
        <v>1573</v>
      </c>
      <c r="S22" s="326">
        <f>IF(ISBLANK(R22),,IFERROR(
IF(IFERROR(SEARCH("SS:",R22),0) &gt; 0, 
VLOOKUP(SUBSTITUTE(R22,"SS: ",""),vote4SURGE!$A:$C , 3, FALSE) - 2,
VLOOKUP(SUBSTITUTE(R22,"S: ",""),vote4SURGE!$A:$C , 3, FALSE)
)
,
IF(IFERROR(SEARCH("SS:",R22),0) &gt; 0, 
VLOOKUP(C22,vote4SURGE!$A:$C , 3, FALSE) - 2,
VLOOKUP(C22,vote4SURGE!$A:$C , 3, FALSE)
)
))</f>
        <v>5.25</v>
      </c>
      <c r="T22" s="320">
        <f t="shared" si="2"/>
        <v>3</v>
      </c>
      <c r="U22" s="320">
        <f>IFERROR(__xludf.DUMMYFUNCTION("ROUND(
IF(ISBLANK(G22),,
SWITCH(
LEN(G22) - LEN(SUBSTITUTE(G22,"","","""")),
0 , VLOOKUP(G22, Variables!$A:$C, 3, FALSE),
1 , VLOOKUP(index(split(G22 ,"", "", FALSE),1,1), Variables!$A:$C , 3, FALSE) + VLOOKUP(index(split(G22 ,"", "", FALSE),1,2), Variabl"&amp;"es!$A:$C , 3, FALSE),
2 , VLOOKUP(index(split(G22 ,"", "", FALSE),1,1), Variables!$A:$C , 3, FALSE) + VLOOKUP(index(split(G22 ,"", "", FALSE),1,2), Variables!$A:$C , 3, FALSE) + VLOOKUP(index(split(G22 ,"", "", FALSE),1,3), Variables!$A:$C , 3, FALSE),
3 "&amp;", VLOOKUP(index(split(G22 ,"", "", FALSE),1,1), Variables!$A:$C , 3, FALSE) + VLOOKUP(index(split(G22 ,"", "", FALSE),1,2), Variables!$A:$C , 3, FALSE) + VLOOKUP(index(split(G22 ,"", "", FALSE),1,3), Variables!$A:$C , 3, FALSE) + VLOOKUP(index(split(G22 ,"&amp;""", "", FALSE),1,4), Variables!$A:$C , 3, FALSE),
)
)
)"),2.0)</f>
        <v>2</v>
      </c>
      <c r="V22" s="317">
        <f t="shared" si="3"/>
        <v>11.52777778</v>
      </c>
      <c r="W22" s="321">
        <f t="shared" si="4"/>
        <v>15.19444444</v>
      </c>
      <c r="X22" s="322"/>
      <c r="Y22" s="322"/>
      <c r="Z22" s="322"/>
      <c r="AA22" s="322"/>
      <c r="AB22" s="322"/>
      <c r="AC22" s="322"/>
      <c r="AD22" s="322"/>
      <c r="AE22" s="322"/>
    </row>
    <row r="23" hidden="1">
      <c r="A23" s="310">
        <v>1.0</v>
      </c>
      <c r="B23" s="93">
        <f t="shared" si="1"/>
        <v>4</v>
      </c>
      <c r="C23" s="310" t="s">
        <v>1279</v>
      </c>
      <c r="D23" s="310">
        <v>125.0</v>
      </c>
      <c r="E23" s="310" t="s">
        <v>1527</v>
      </c>
      <c r="F23" s="310" t="s">
        <v>1521</v>
      </c>
      <c r="G23" s="313" t="s">
        <v>1525</v>
      </c>
      <c r="H23" s="312">
        <f>IFERROR(__xludf.DUMMYFUNCTION(" IF(ISBLANK(G23),,
SWITCH(
LEN(G23) - LEN(SUBSTITUTE(G23,"","","""")),
0 , VLOOKUP(G23, Variables!$A:$B, 2, FALSE),
1 , VLOOKUP(index(split(G23 ,"", "", FALSE),1,1), Variables!$A:$B , 2, FALSE) + VLOOKUP(index(split(G23 ,"", "", FALSE),1,2), Variables!$A:"&amp;"$B , 2, FALSE),
2 , VLOOKUP(index(split(G23 ,"", "", FALSE),1,1), Variables!$A:$B , 2, FALSE) + VLOOKUP(index(split(G23 ,"", "", FALSE),1,2), Variables!$A:$B , 2, FALSE) + VLOOKUP(index(split(G23 ,"", "", FALSE),1,3), Variables!$A:$B , 2, FALSE),
3 , VLOO"&amp;"KUP(index(split(G23 ,"", "", FALSE),1,1), Variables!$A:$B , 2, FALSE) + VLOOKUP(index(split(G23 ,"", "", FALSE),1,2), Variables!$A:$B , 2, FALSE) + VLOOKUP(index(split(G23 ,"", "", FALSE),1,3), Variables!$A:$B , 2, FALSE) + VLOOKUP(index(split(G23 ,"", """&amp;", FALSE),1,4), Variables!$A:$B , 2, FALSE),
)
)"),3.333333333333333)</f>
        <v>3.333333333</v>
      </c>
      <c r="I23" s="310" t="s">
        <v>1561</v>
      </c>
      <c r="J23" s="313"/>
      <c r="K23" s="314" t="str">
        <f>IFERROR(VLOOKUP(C23,vote4ITEMS!$A:$C, 3, FALSE),)</f>
        <v/>
      </c>
      <c r="L23" s="313" t="s">
        <v>1099</v>
      </c>
      <c r="M23" s="314">
        <f>SUM(
IF(IFERROR(SEARCH("Aura 1",L23),0) &gt; 0 , VLOOKUP("Aura 1", vote4TRAITS!A:C , 3, FALSE), ),
IF(IFERROR(SEARCH("Backswing",L23),0) &gt; 0 , VLOOKUP("Backswing", vote4TRAITS!A:C , 3, FALSE), ),
IF(IFERROR(SEARCH("Blast",L23),0) &gt; 0 , VLOOKUP("Blast", vote4TRAITS!A:C , 3, FALSE), ),
IF(IFERROR(SEARCH("Combustible",L23),0) &gt; 0 , VLOOKUP("Combustible", vote4TRAITS!A:C , 3, FALSE), ),
IF(IFERROR(SEARCH("Command",L23),0) &gt; 0 , VLOOKUP("Command", vote4TRAITS!A:C , 3, FALSE), ),
IF(IFERROR(SEARCH("Cowardly",L23),0) &gt; 0 , VLOOKUP("Cowardly", vote4TRAITS!A:C , 3, FALSE), ),
IF(IFERROR(SEARCH("Death Wish",L23),0) &gt; 0 , VLOOKUP("Death Wish", vote4TRAITS!A:C , 3, FALSE), ),
IF(IFERROR(SEARCH("Entomb",L23),0) &gt; 0 , VLOOKUP("Entomb", vote4TRAITS!A:C , 3, FALSE), ),
IF(IFERROR(SEARCH("Ethereal Hold",L23),0) &gt; 0 , VLOOKUP("Ethereal Hold", vote4TRAITS!A:C , 3, FALSE), ),
IF(IFERROR(SEARCH("Extend",L23),0) &gt; 0 , VLOOKUP("Extend", vote4TRAITS!A:C , 3, FALSE), ),
IF(IFERROR(SEARCH("Filthy Murk",L23),0) &gt; 0 , VLOOKUP("Filthy Murk", vote4TRAITS!A:C , 3, FALSE), ),
IF(IFERROR(SEARCH("Flame Fiend",L23),0) &gt; 0 , VLOOKUP("Flame Fiend", vote4TRAITS!A:C , 3, FALSE), ),
IF(IFERROR(SEARCH("Fleshmonger",L23),0) &gt; 0 , VLOOKUP("Fleshmonger", vote4TRAITS!A:C , 3, FALSE), ),
IF(IFERROR(SEARCH("Fly",L23),0) &gt; 0 , VLOOKUP("Fly", vote4TRAITS!A:C , 3, FALSE), ),
IF(IFERROR(SEARCH("Freezing",L23),0) &gt; 0 , VLOOKUP("Freezing", vote4TRAITS!A:C , 3, FALSE), ),
IF(IFERROR(SEARCH("Lithesome",L23),0) &gt; 0 , VLOOKUP("Lithesome", vote4TRAITS!A:C , 3, FALSE), ),
IF(IFERROR(SEARCH("Harrowing",L23),0) &gt; 0 , VLOOKUP("Harrowing", vote4TRAITS!A:C , 3, FALSE), ),
IF(IFERROR(SEARCH("Hideous Laughter",L23),0) &gt; 0 , VLOOKUP("Hideous Laughter", vote4TRAITS!A:C , 3, FALSE), ),
IF(IFERROR(SEARCH("Hive Defense",L23),0) &gt; 0 , VLOOKUP("Hive Defense", vote4TRAITS!A:C , 3, FALSE), ),
IF(IFERROR(SEARCH("Horrifying",L23),0) &gt; 0 , VLOOKUP("Horrifying", vote4TRAITS!A:C , 3, FALSE), ),
IF(IFERROR(SEARCH("Ironskin",L23),0) &gt; 0 , VLOOKUP("Ironskin", vote4TRAITS!A:C , 3, FALSE), ),
IF(IFERROR(SEARCH("Unmovable",L23),0) &gt; 0 , VLOOKUP("Unmovable", vote4TRAITS!A:C , 3, FALSE), ),
IF(IFERROR(SEARCH("Lifethirst 1",L23),0) &gt; 0 , VLOOKUP("Lifethirst 1", vote4TRAITS!A:C , 3, FALSE), ),
IF(IFERROR(SEARCH("Lifethirst 2",L23),0) &gt; 0 , VLOOKUP("Lifethirst 2", vote4TRAITS!A:C , 3, FALSE), ),
IF(IFERROR(SEARCH("Morph",L23),0) &gt; 0 , VLOOKUP("Morph", vote4TRAITS!A:C , 3, FALSE), ),
IF(IFERROR(SEARCH("Night Stalker",L23),0) &gt; 0 , VLOOKUP("Night Stalker", vote4TRAITS!A:C , 3, FALSE), ),
IF(IFERROR(SEARCH("Overflowing",L23),0) &gt; 0 , VLOOKUP("Overflowing", vote4TRAITS!A:C , 3, FALSE), ),
IF(IFERROR(SEARCH("Pestilence",L23),0) &gt; 0 , VLOOKUP("Pestilence", vote4TRAITS!A:C , 3, FALSE), ),
IF(IFERROR(SEARCH("Phalanx",L23),0) &gt; 0 , VLOOKUP("Phalanx", vote4TRAITS!A:C , 3, FALSE), ),
IF(IFERROR(SEARCH("Plagued",L23),0) &gt; 0 , VLOOKUP("Plagued", vote4TRAITS!A:C , 3, FALSE), ),
IF(IFERROR(SEARCH("Prey on the Weak",L23),0) &gt; 0 , VLOOKUP("Prey on the Weak", vote4TRAITS!A:C , 3, FALSE), ),
IF(IFERROR(SEARCH("Protect",L23),0) &gt; 0 , VLOOKUP("Protect", vote4TRAITS!A:C , 3, FALSE), ),
IF(IFERROR(SEARCH("Puncture",L23),0) &gt; 0 , VLOOKUP("Puncture", vote4TRAITS!A:C , 3, FALSE), ),
IF(IFERROR(SEARCH("Putrid Boils",L23),0) &gt; 0 , VLOOKUP("Putrid Boils", vote4TRAITS!A:C , 3, FALSE), ),
IF(IFERROR(SEARCH("Ravage",L23),0) &gt; 0 , VLOOKUP("Ravage", vote4TRAITS!A:C , 3, FALSE), ),
IF(IFERROR(SEARCH("Ravenous",L23),0) &gt; 0 , VLOOKUP("Ravenous", vote4TRAITS!A:C , 3, FALSE), ),
IF(IFERROR(SEARCH("Reach",L23),0) &gt; 0 , VLOOKUP("Reach", vote4TRAITS!A:C , 3, FALSE), ),
IF(IFERROR(SEARCH("Reanimation",L23),0) &gt; 0 , VLOOKUP("Reanimation", vote4TRAITS!A:C , 3, FALSE), ),
IF(IFERROR(SEARCH("Reaper",L23),0) &gt; 0 , VLOOKUP("Reaper", vote4TRAITS!A:C , 3, FALSE), ),
IF(IFERROR(SEARCH("Riposte",L23),0) &gt; 0 , VLOOKUP("Riposte", vote4TRAITS!A:C , 3, FALSE)),
IF(IFERROR(SEARCH("Scamper",L23),0) &gt; 0 , VLOOKUP("Scamper", vote4TRAITS!A:C , 3, FALSE), ),
IF(IFERROR(SEARCH("Small Beginnings",L23),0) &gt; 0 , VLOOKUP("Small Beginnings", vote4TRAITS!A:C , 3, FALSE), ),
IF(IFERROR(SEARCH("Spawner",L23),0) &gt; 0 , VLOOKUP("Spawner", vote4TRAITS!A:C , 3,FALSE), ),
IF(IFERROR(SEARCH("Shadowr",L23),0) &gt; 0 , VLOOKUP("Shadow", vote4TRAITS!A:C , 3,FALSE), ),
IF(IFERROR(SEARCH("Shadow Step",L23),0) &gt; 0 , VLOOKUP("Shadow Step", vote4TRAITS!A:C , 3,FALSE), ),
IF(IFERROR(SEARCH("Shambling",L23),0) &gt; 0 , VLOOKUP("Shambling", vote4TRAITS!A:C , 3,FALSE), ),
IF(IFERROR(SEARCH("Stealthy",L23),0) &gt; 0 , VLOOKUP("Stealthy", vote4TRAITS!A:C , 3, FALSE), ),
IF(IFERROR(SEARCH("Web",L23),0) &gt; 0 , VLOOKUP("Web", vote4TRAITS!A:C , 3, FALSE), ),
IF(IFERROR(SEARCH("+1 Willpower",L23),0) &gt; 0 , VLOOKUP("+1 Willpower", vote4TRAITS!A:C , 3, FALSE), ),
IF(IFERROR(SEARCH("+1 Might",L23),0) &gt; 0 , VLOOKUP("+1 Might", vote4TRAITS!A:C , 3, FALSE), ),
IF(IFERROR(SEARCH("+1 Knowledge",L23),0) &gt; 0 , VLOOKUP("+1 Knowledge", vote4TRAITS!A:C , 3, FALSE), ),
IF(IFERROR(SEARCH("+1 Awareness",L23),0) &gt; 0 , VLOOKUP("+1 Awareness", vote4TRAITS!A:C , 3, FALSE), ),
IF(IFERROR(SEARCH("-1 Willpower",L23),0) &gt; 0 , VLOOKUP("-1 Willpower", vote4TRAITS!A:C , 3, FALSE), ),
IF(IFERROR(SEARCH("+1 Health",L23),0) &gt; 0 , VLOOKUP("+1 Health", vote4TRAITS!A:C , 3, FALSE), ),
IF(IFERROR(SEARCH("+2 Health",L23),0) &gt; 0 , VLOOKUP("+2 Health", vote4TRAITS!A:C , 3, FALSE), ),
IF(IFERROR(SEARCH("+1 Stamina",L23),0) &gt; 0 , VLOOKUP("+1 Stamina", vote4TRAITS!A:C , 3, FALSE), ),
IF(IFERROR(SEARCH("+2 Stamina",L23),0) &gt; 0 , VLOOKUP("+2 Stamina", vote4TRAITS!A:C , 3, FALSE), ),
IFS(
IFERROR(SEARCH("+1 Range", L23),) &gt; 0 ,VLOOKUP("+1 Range", vote4TRAITS!A:C , 3, FALSE),
IFERROR(SEARCH("+2 Range", L23),) &gt; 0 ,VLOOKUP("+2 Range", vote4TRAITS!A:C , 3, FALSE),
IFERROR(SEARCH("+3 Range", L23),) &gt; 0,VLOOKUP("+3 Range", vote4TRAITS!A:C , 3, FALSE),
0=0,0)
,
IFS(
IFERROR(SEARCH("Sorcery 1", L23),) &gt; 0 ,VLOOKUP("Sorcery 1", vote4TRAITS!A:C , 3, FALSE),
IFERROR(SEARCH("Sorcery 2", L23),) &gt; 0 ,VLOOKUP("Sorcery 2", vote4TRAITS!A:C , 3, FALSE),
IFERROR(SEARCH("Sorcery 3", L23),) &gt; 0,VLOOKUP("Sorcery 3", vote4TRAITS!A:C , 3, FALSE),
0=0,0)
,
IFS(
IFERROR(SEARCH("Pierce 1", L23),) &gt; 0 ,VLOOKUP("Pierce 1", vote4TRAITS!A:C , 3, FALSE),
IFERROR(SEARCH("Pierce 2", L23),) &gt; 0 ,VLOOKUP("Pierce 2", vote4TRAITS!A:C , 3, FALSE),
IFERROR(SEARCH("Pierce 3", L23),) &gt; 0,VLOOKUP("Pierce 3", vote4TRAITS!A:C , 3, FALSE),
IFERROR(SEARCH("Pierce 4", L23),) &gt; 0 ,VLOOKUP("Pierce 4", vote4TRAITS!A:C , 3, FALSE),
0=0,0)
,
IFS(
IFERROR(SEARCH("+1 Health", L23),) &gt; 0 ,VLOOKUP("+1 Health", vote4TRAITS!A:C , 3, FALSE),
IFERROR(SEARCH("+2 Health", L23),) &gt; 0 ,VLOOKUP("+2 Health", vote4TRAITS!A:C , 3, FALSE),
IFERROR(SEARCH("+3 Health", L23),) &gt; 0 ,VLOOKUP("+3 Health", vote4TRAITS!A:C , 3, FALSE),
IFERROR(SEARCH("+4 Health", L23),) &gt; 0 ,VLOOKUP("+4 Health", vote4TRAITS!A:C , 3, FALSE),
0=0,0)
,
IFS(
IFERROR(SEARCH("Soul Shackle 1", L23),) &gt; 0 ,VLOOKUP("Soul Shackle 1", vote4TRAITS!A:C , 3, FALSE),
IFERROR(SEARCH("Soul Shackle 2", L23),) &gt; 0 ,VLOOKUP("Soul Shackle 2", vote4TRAITS!A:C , 3, FALSE),
IFERROR(SEARCH("Soul Shackle 3", L23),) &gt; 0,VLOOKUP("Soul Shackle 3", vote4TRAITS!A:C , 3, FALSE),
0=0,0)
)</f>
        <v>6.5</v>
      </c>
      <c r="N23" s="311" t="s">
        <v>1534</v>
      </c>
      <c r="O23" s="317">
        <f>IF(ISBLANK(N23),,IFERROR(
IF(IFERROR(SEARCH("SS:",N23),0) &gt; 0, 
VLOOKUP(SUBSTITUTE(N23,"SS: ",""),vote4SURGE!$A:$C , 3, FALSE) - 2,
VLOOKUP(SUBSTITUTE(N23,"S: ",""),vote4SURGE!$A:$C , 3, FALSE)
)
,
IF(IFERROR(SEARCH("SS:",N23),0) &gt; 0, 
VLOOKUP(C23,vote4SURGE!$A:$C , 3, FALSE) - 2,
VLOOKUP(C23,vote4SURGE!$A:$C , 3, FALSE)
)
))</f>
        <v>4.25</v>
      </c>
      <c r="P23" s="315" t="s">
        <v>1574</v>
      </c>
      <c r="Q23" s="317">
        <f>IF(ISBLANK(P23),,IFERROR(
IF(IFERROR(SEARCH("SS:",P23),0) &gt; 0, 
VLOOKUP(SUBSTITUTE(P23,"SS: ",""),vote4SURGE!$A:$C , 3, FALSE) - 2,
VLOOKUP(SUBSTITUTE(P23,"S: ",""),vote4SURGE!$A:$C , 3, FALSE)
)
,
IF(IFERROR(SEARCH("SS:",P23),0) &gt; 0, 
VLOOKUP(C23,vote4SURGE!$A:$C , 3, FALSE) - 2,
VLOOKUP(C23,vote4SURGE!$A:$C , 3, FALSE)
)
))</f>
        <v>1.666666667</v>
      </c>
      <c r="R23" s="318"/>
      <c r="S23" s="319" t="str">
        <f>IF(ISBLANK(R23),,IFERROR(
IF(IFERROR(SEARCH("SS:",R23),0) &gt; 0, 
VLOOKUP(SUBSTITUTE(R23,"SS: ",""),vote4SURGE!$A:$C , 3, FALSE) - 2,
VLOOKUP(SUBSTITUTE(R23,"S: ",""),vote4SURGE!$A:$C , 3, FALSE)
)
,
IF(IFERROR(SEARCH("SS:",R23),0) &gt; 0, 
VLOOKUP(C23,vote4SURGE!$A:$C , 3, FALSE) - 2,
VLOOKUP(C23,vote4SURGE!$A:$C , 3, FALSE)
)
))</f>
        <v/>
      </c>
      <c r="T23" s="320">
        <f t="shared" si="2"/>
        <v>2</v>
      </c>
      <c r="U23" s="320">
        <f>IFERROR(__xludf.DUMMYFUNCTION("ROUND(
IF(ISBLANK(G23),,
SWITCH(
LEN(G23) - LEN(SUBSTITUTE(G23,"","","""")),
0 , VLOOKUP(G23, Variables!$A:$C, 3, FALSE),
1 , VLOOKUP(index(split(G23 ,"", "", FALSE),1,1), Variables!$A:$C , 3, FALSE) + VLOOKUP(index(split(G23 ,"", "", FALSE),1,2), Variabl"&amp;"es!$A:$C , 3, FALSE),
2 , VLOOKUP(index(split(G23 ,"", "", FALSE),1,1), Variables!$A:$C , 3, FALSE) + VLOOKUP(index(split(G23 ,"", "", FALSE),1,2), Variables!$A:$C , 3, FALSE) + VLOOKUP(index(split(G23 ,"", "", FALSE),1,3), Variables!$A:$C , 3, FALSE),
3 "&amp;", VLOOKUP(index(split(G23 ,"", "", FALSE),1,1), Variables!$A:$C , 3, FALSE) + VLOOKUP(index(split(G23 ,"", "", FALSE),1,2), Variables!$A:$C , 3, FALSE) + VLOOKUP(index(split(G23 ,"", "", FALSE),1,3), Variables!$A:$C , 3, FALSE) + VLOOKUP(index(split(G23 ,"&amp;""", "", FALSE),1,4), Variables!$A:$C , 3, FALSE),
)
)
)"),1.0)</f>
        <v>1</v>
      </c>
      <c r="V23" s="317">
        <f t="shared" si="3"/>
        <v>5.083333333</v>
      </c>
      <c r="W23" s="321">
        <f t="shared" si="4"/>
        <v>14.91666667</v>
      </c>
      <c r="X23" s="327"/>
      <c r="Y23" s="327"/>
      <c r="Z23" s="327"/>
      <c r="AA23" s="327"/>
      <c r="AB23" s="327"/>
      <c r="AC23" s="327"/>
      <c r="AD23" s="327"/>
      <c r="AE23" s="327"/>
    </row>
    <row r="24" hidden="1">
      <c r="A24" s="310">
        <v>1.0</v>
      </c>
      <c r="B24" s="93">
        <f t="shared" si="1"/>
        <v>4</v>
      </c>
      <c r="C24" s="310" t="s">
        <v>1575</v>
      </c>
      <c r="D24" s="310">
        <v>75.0</v>
      </c>
      <c r="E24" s="310" t="s">
        <v>1527</v>
      </c>
      <c r="F24" s="310" t="s">
        <v>1521</v>
      </c>
      <c r="G24" s="313" t="s">
        <v>1548</v>
      </c>
      <c r="H24" s="312">
        <f>IFERROR(__xludf.DUMMYFUNCTION(" IF(ISBLANK(G24),,
SWITCH(
LEN(G24) - LEN(SUBSTITUTE(G24,"","","""")),
0 , VLOOKUP(G24, Variables!$A:$B, 2, FALSE),
1 , VLOOKUP(index(split(G24 ,"", "", FALSE),1,1), Variables!$A:$B , 2, FALSE) + VLOOKUP(index(split(G24 ,"", "", FALSE),1,2), Variables!$A:"&amp;"$B , 2, FALSE),
2 , VLOOKUP(index(split(G24 ,"", "", FALSE),1,1), Variables!$A:$B , 2, FALSE) + VLOOKUP(index(split(G24 ,"", "", FALSE),1,2), Variables!$A:$B , 2, FALSE) + VLOOKUP(index(split(G24 ,"", "", FALSE),1,3), Variables!$A:$B , 2, FALSE),
3 , VLOO"&amp;"KUP(index(split(G24 ,"", "", FALSE),1,1), Variables!$A:$B , 2, FALSE) + VLOOKUP(index(split(G24 ,"", "", FALSE),1,2), Variables!$A:$B , 2, FALSE) + VLOOKUP(index(split(G24 ,"", "", FALSE),1,3), Variables!$A:$B , 2, FALSE) + VLOOKUP(index(split(G24 ,"", """&amp;", FALSE),1,4), Variables!$A:$B , 2, FALSE),
)
)"),2.3333333333333335)</f>
        <v>2.333333333</v>
      </c>
      <c r="I24" s="310" t="s">
        <v>1561</v>
      </c>
      <c r="J24" s="313"/>
      <c r="K24" s="314" t="str">
        <f>IFERROR(VLOOKUP(C24,vote4ITEMS!$A:$C, 3, FALSE),)</f>
        <v/>
      </c>
      <c r="L24" s="313" t="s">
        <v>1099</v>
      </c>
      <c r="M24" s="314">
        <f>SUM(
IF(IFERROR(SEARCH("Aura 1",L24),0) &gt; 0 , VLOOKUP("Aura 1", vote4TRAITS!A:C , 3, FALSE), ),
IF(IFERROR(SEARCH("Backswing",L24),0) &gt; 0 , VLOOKUP("Backswing", vote4TRAITS!A:C , 3, FALSE), ),
IF(IFERROR(SEARCH("Blast",L24),0) &gt; 0 , VLOOKUP("Blast", vote4TRAITS!A:C , 3, FALSE), ),
IF(IFERROR(SEARCH("Combustible",L24),0) &gt; 0 , VLOOKUP("Combustible", vote4TRAITS!A:C , 3, FALSE), ),
IF(IFERROR(SEARCH("Command",L24),0) &gt; 0 , VLOOKUP("Command", vote4TRAITS!A:C , 3, FALSE), ),
IF(IFERROR(SEARCH("Cowardly",L24),0) &gt; 0 , VLOOKUP("Cowardly", vote4TRAITS!A:C , 3, FALSE), ),
IF(IFERROR(SEARCH("Death Wish",L24),0) &gt; 0 , VLOOKUP("Death Wish", vote4TRAITS!A:C , 3, FALSE), ),
IF(IFERROR(SEARCH("Entomb",L24),0) &gt; 0 , VLOOKUP("Entomb", vote4TRAITS!A:C , 3, FALSE), ),
IF(IFERROR(SEARCH("Ethereal Hold",L24),0) &gt; 0 , VLOOKUP("Ethereal Hold", vote4TRAITS!A:C , 3, FALSE), ),
IF(IFERROR(SEARCH("Extend",L24),0) &gt; 0 , VLOOKUP("Extend", vote4TRAITS!A:C , 3, FALSE), ),
IF(IFERROR(SEARCH("Filthy Murk",L24),0) &gt; 0 , VLOOKUP("Filthy Murk", vote4TRAITS!A:C , 3, FALSE), ),
IF(IFERROR(SEARCH("Flame Fiend",L24),0) &gt; 0 , VLOOKUP("Flame Fiend", vote4TRAITS!A:C , 3, FALSE), ),
IF(IFERROR(SEARCH("Fleshmonger",L24),0) &gt; 0 , VLOOKUP("Fleshmonger", vote4TRAITS!A:C , 3, FALSE), ),
IF(IFERROR(SEARCH("Fly",L24),0) &gt; 0 , VLOOKUP("Fly", vote4TRAITS!A:C , 3, FALSE), ),
IF(IFERROR(SEARCH("Freezing",L24),0) &gt; 0 , VLOOKUP("Freezing", vote4TRAITS!A:C , 3, FALSE), ),
IF(IFERROR(SEARCH("Lithesome",L24),0) &gt; 0 , VLOOKUP("Lithesome", vote4TRAITS!A:C , 3, FALSE), ),
IF(IFERROR(SEARCH("Harrowing",L24),0) &gt; 0 , VLOOKUP("Harrowing", vote4TRAITS!A:C , 3, FALSE), ),
IF(IFERROR(SEARCH("Hideous Laughter",L24),0) &gt; 0 , VLOOKUP("Hideous Laughter", vote4TRAITS!A:C , 3, FALSE), ),
IF(IFERROR(SEARCH("Hive Defense",L24),0) &gt; 0 , VLOOKUP("Hive Defense", vote4TRAITS!A:C , 3, FALSE), ),
IF(IFERROR(SEARCH("Horrifying",L24),0) &gt; 0 , VLOOKUP("Horrifying", vote4TRAITS!A:C , 3, FALSE), ),
IF(IFERROR(SEARCH("Ironskin",L24),0) &gt; 0 , VLOOKUP("Ironskin", vote4TRAITS!A:C , 3, FALSE), ),
IF(IFERROR(SEARCH("Unmovable",L24),0) &gt; 0 , VLOOKUP("Unmovable", vote4TRAITS!A:C , 3, FALSE), ),
IF(IFERROR(SEARCH("Lifethirst 1",L24),0) &gt; 0 , VLOOKUP("Lifethirst 1", vote4TRAITS!A:C , 3, FALSE), ),
IF(IFERROR(SEARCH("Lifethirst 2",L24),0) &gt; 0 , VLOOKUP("Lifethirst 2", vote4TRAITS!A:C , 3, FALSE), ),
IF(IFERROR(SEARCH("Morph",L24),0) &gt; 0 , VLOOKUP("Morph", vote4TRAITS!A:C , 3, FALSE), ),
IF(IFERROR(SEARCH("Night Stalker",L24),0) &gt; 0 , VLOOKUP("Night Stalker", vote4TRAITS!A:C , 3, FALSE), ),
IF(IFERROR(SEARCH("Overflowing",L24),0) &gt; 0 , VLOOKUP("Overflowing", vote4TRAITS!A:C , 3, FALSE), ),
IF(IFERROR(SEARCH("Pestilence",L24),0) &gt; 0 , VLOOKUP("Pestilence", vote4TRAITS!A:C , 3, FALSE), ),
IF(IFERROR(SEARCH("Phalanx",L24),0) &gt; 0 , VLOOKUP("Phalanx", vote4TRAITS!A:C , 3, FALSE), ),
IF(IFERROR(SEARCH("Plagued",L24),0) &gt; 0 , VLOOKUP("Plagued", vote4TRAITS!A:C , 3, FALSE), ),
IF(IFERROR(SEARCH("Prey on the Weak",L24),0) &gt; 0 , VLOOKUP("Prey on the Weak", vote4TRAITS!A:C , 3, FALSE), ),
IF(IFERROR(SEARCH("Protect",L24),0) &gt; 0 , VLOOKUP("Protect", vote4TRAITS!A:C , 3, FALSE), ),
IF(IFERROR(SEARCH("Puncture",L24),0) &gt; 0 , VLOOKUP("Puncture", vote4TRAITS!A:C , 3, FALSE), ),
IF(IFERROR(SEARCH("Putrid Boils",L24),0) &gt; 0 , VLOOKUP("Putrid Boils", vote4TRAITS!A:C , 3, FALSE), ),
IF(IFERROR(SEARCH("Ravage",L24),0) &gt; 0 , VLOOKUP("Ravage", vote4TRAITS!A:C , 3, FALSE), ),
IF(IFERROR(SEARCH("Ravenous",L24),0) &gt; 0 , VLOOKUP("Ravenous", vote4TRAITS!A:C , 3, FALSE), ),
IF(IFERROR(SEARCH("Reach",L24),0) &gt; 0 , VLOOKUP("Reach", vote4TRAITS!A:C , 3, FALSE), ),
IF(IFERROR(SEARCH("Reanimation",L24),0) &gt; 0 , VLOOKUP("Reanimation", vote4TRAITS!A:C , 3, FALSE), ),
IF(IFERROR(SEARCH("Reaper",L24),0) &gt; 0 , VLOOKUP("Reaper", vote4TRAITS!A:C , 3, FALSE), ),
IF(IFERROR(SEARCH("Riposte",L24),0) &gt; 0 , VLOOKUP("Riposte", vote4TRAITS!A:C , 3, FALSE)),
IF(IFERROR(SEARCH("Scamper",L24),0) &gt; 0 , VLOOKUP("Scamper", vote4TRAITS!A:C , 3, FALSE), ),
IF(IFERROR(SEARCH("Small Beginnings",L24),0) &gt; 0 , VLOOKUP("Small Beginnings", vote4TRAITS!A:C , 3, FALSE), ),
IF(IFERROR(SEARCH("Spawner",L24),0) &gt; 0 , VLOOKUP("Spawner", vote4TRAITS!A:C , 3,FALSE), ),
IF(IFERROR(SEARCH("Shadowr",L24),0) &gt; 0 , VLOOKUP("Shadow", vote4TRAITS!A:C , 3,FALSE), ),
IF(IFERROR(SEARCH("Shadow Step",L24),0) &gt; 0 , VLOOKUP("Shadow Step", vote4TRAITS!A:C , 3,FALSE), ),
IF(IFERROR(SEARCH("Shambling",L24),0) &gt; 0 , VLOOKUP("Shambling", vote4TRAITS!A:C , 3,FALSE), ),
IF(IFERROR(SEARCH("Stealthy",L24),0) &gt; 0 , VLOOKUP("Stealthy", vote4TRAITS!A:C , 3, FALSE), ),
IF(IFERROR(SEARCH("Web",L24),0) &gt; 0 , VLOOKUP("Web", vote4TRAITS!A:C , 3, FALSE), ),
IF(IFERROR(SEARCH("+1 Willpower",L24),0) &gt; 0 , VLOOKUP("+1 Willpower", vote4TRAITS!A:C , 3, FALSE), ),
IF(IFERROR(SEARCH("+1 Might",L24),0) &gt; 0 , VLOOKUP("+1 Might", vote4TRAITS!A:C , 3, FALSE), ),
IF(IFERROR(SEARCH("+1 Knowledge",L24),0) &gt; 0 , VLOOKUP("+1 Knowledge", vote4TRAITS!A:C , 3, FALSE), ),
IF(IFERROR(SEARCH("+1 Awareness",L24),0) &gt; 0 , VLOOKUP("+1 Awareness", vote4TRAITS!A:C , 3, FALSE), ),
IF(IFERROR(SEARCH("-1 Willpower",L24),0) &gt; 0 , VLOOKUP("-1 Willpower", vote4TRAITS!A:C , 3, FALSE), ),
IF(IFERROR(SEARCH("+1 Health",L24),0) &gt; 0 , VLOOKUP("+1 Health", vote4TRAITS!A:C , 3, FALSE), ),
IF(IFERROR(SEARCH("+2 Health",L24),0) &gt; 0 , VLOOKUP("+2 Health", vote4TRAITS!A:C , 3, FALSE), ),
IF(IFERROR(SEARCH("+1 Stamina",L24),0) &gt; 0 , VLOOKUP("+1 Stamina", vote4TRAITS!A:C , 3, FALSE), ),
IF(IFERROR(SEARCH("+2 Stamina",L24),0) &gt; 0 , VLOOKUP("+2 Stamina", vote4TRAITS!A:C , 3, FALSE), ),
IFS(
IFERROR(SEARCH("+1 Range", L24),) &gt; 0 ,VLOOKUP("+1 Range", vote4TRAITS!A:C , 3, FALSE),
IFERROR(SEARCH("+2 Range", L24),) &gt; 0 ,VLOOKUP("+2 Range", vote4TRAITS!A:C , 3, FALSE),
IFERROR(SEARCH("+3 Range", L24),) &gt; 0,VLOOKUP("+3 Range", vote4TRAITS!A:C , 3, FALSE),
0=0,0)
,
IFS(
IFERROR(SEARCH("Sorcery 1", L24),) &gt; 0 ,VLOOKUP("Sorcery 1", vote4TRAITS!A:C , 3, FALSE),
IFERROR(SEARCH("Sorcery 2", L24),) &gt; 0 ,VLOOKUP("Sorcery 2", vote4TRAITS!A:C , 3, FALSE),
IFERROR(SEARCH("Sorcery 3", L24),) &gt; 0,VLOOKUP("Sorcery 3", vote4TRAITS!A:C , 3, FALSE),
0=0,0)
,
IFS(
IFERROR(SEARCH("Pierce 1", L24),) &gt; 0 ,VLOOKUP("Pierce 1", vote4TRAITS!A:C , 3, FALSE),
IFERROR(SEARCH("Pierce 2", L24),) &gt; 0 ,VLOOKUP("Pierce 2", vote4TRAITS!A:C , 3, FALSE),
IFERROR(SEARCH("Pierce 3", L24),) &gt; 0,VLOOKUP("Pierce 3", vote4TRAITS!A:C , 3, FALSE),
IFERROR(SEARCH("Pierce 4", L24),) &gt; 0 ,VLOOKUP("Pierce 4", vote4TRAITS!A:C , 3, FALSE),
0=0,0)
,
IFS(
IFERROR(SEARCH("+1 Health", L24),) &gt; 0 ,VLOOKUP("+1 Health", vote4TRAITS!A:C , 3, FALSE),
IFERROR(SEARCH("+2 Health", L24),) &gt; 0 ,VLOOKUP("+2 Health", vote4TRAITS!A:C , 3, FALSE),
IFERROR(SEARCH("+3 Health", L24),) &gt; 0 ,VLOOKUP("+3 Health", vote4TRAITS!A:C , 3, FALSE),
IFERROR(SEARCH("+4 Health", L24),) &gt; 0 ,VLOOKUP("+4 Health", vote4TRAITS!A:C , 3, FALSE),
0=0,0)
,
IFS(
IFERROR(SEARCH("Soul Shackle 1", L24),) &gt; 0 ,VLOOKUP("Soul Shackle 1", vote4TRAITS!A:C , 3, FALSE),
IFERROR(SEARCH("Soul Shackle 2", L24),) &gt; 0 ,VLOOKUP("Soul Shackle 2", vote4TRAITS!A:C , 3, FALSE),
IFERROR(SEARCH("Soul Shackle 3", L24),) &gt; 0,VLOOKUP("Soul Shackle 3", vote4TRAITS!A:C , 3, FALSE),
0=0,0)
)</f>
        <v>6.5</v>
      </c>
      <c r="N24" s="311" t="s">
        <v>1562</v>
      </c>
      <c r="O24" s="317">
        <f>IF(ISBLANK(N24),,IFERROR(
IF(IFERROR(SEARCH("SS:",N24),0) &gt; 0, 
VLOOKUP(SUBSTITUTE(N24,"SS: ",""),vote4SURGE!$A:$C , 3, FALSE) - 2,
VLOOKUP(SUBSTITUTE(N24,"S: ",""),vote4SURGE!$A:$C , 3, FALSE)
)
,
IF(IFERROR(SEARCH("SS:",N24),0) &gt; 0, 
VLOOKUP(C24,vote4SURGE!$A:$C , 3, FALSE) - 2,
VLOOKUP(C24,vote4SURGE!$A:$C , 3, FALSE)
)
))</f>
        <v>3.5</v>
      </c>
      <c r="P24" s="315" t="s">
        <v>1564</v>
      </c>
      <c r="Q24" s="317">
        <f>IF(ISBLANK(P24),,IFERROR(
IF(IFERROR(SEARCH("SS:",P24),0) &gt; 0, 
VLOOKUP(SUBSTITUTE(P24,"SS: ",""),vote4SURGE!$A:$C , 3, FALSE) - 2,
VLOOKUP(SUBSTITUTE(P24,"S: ",""),vote4SURGE!$A:$C , 3, FALSE)
)
,
IF(IFERROR(SEARCH("SS:",P24),0) &gt; 0, 
VLOOKUP(C24,vote4SURGE!$A:$C , 3, FALSE) - 2,
VLOOKUP(C24,vote4SURGE!$A:$C , 3, FALSE)
)
))</f>
        <v>3.5</v>
      </c>
      <c r="R24" s="318"/>
      <c r="S24" s="319" t="str">
        <f>IF(ISBLANK(R24),,IFERROR(
IF(IFERROR(SEARCH("SS:",R24),0) &gt; 0, 
VLOOKUP(SUBSTITUTE(R24,"SS: ",""),vote4SURGE!$A:$C , 3, FALSE) - 2,
VLOOKUP(SUBSTITUTE(R24,"S: ",""),vote4SURGE!$A:$C , 3, FALSE)
)
,
IF(IFERROR(SEARCH("SS:",R24),0) &gt; 0, 
VLOOKUP(C24,vote4SURGE!$A:$C , 3, FALSE) - 2,
VLOOKUP(C24,vote4SURGE!$A:$C , 3, FALSE)
)
))</f>
        <v/>
      </c>
      <c r="T24" s="320">
        <f t="shared" si="2"/>
        <v>2</v>
      </c>
      <c r="U24" s="320">
        <f>IFERROR(__xludf.DUMMYFUNCTION("ROUND(
IF(ISBLANK(G24),,
SWITCH(
LEN(G24) - LEN(SUBSTITUTE(G24,"","","""")),
0 , VLOOKUP(G24, Variables!$A:$C, 3, FALSE),
1 , VLOOKUP(index(split(G24 ,"", "", FALSE),1,1), Variables!$A:$C , 3, FALSE) + VLOOKUP(index(split(G24 ,"", "", FALSE),1,2), Variabl"&amp;"es!$A:$C , 3, FALSE),
2 , VLOOKUP(index(split(G24 ,"", "", FALSE),1,1), Variables!$A:$C , 3, FALSE) + VLOOKUP(index(split(G24 ,"", "", FALSE),1,2), Variables!$A:$C , 3, FALSE) + VLOOKUP(index(split(G24 ,"", "", FALSE),1,3), Variables!$A:$C , 3, FALSE),
3 "&amp;", VLOOKUP(index(split(G24 ,"", "", FALSE),1,1), Variables!$A:$C , 3, FALSE) + VLOOKUP(index(split(G24 ,"", "", FALSE),1,2), Variables!$A:$C , 3, FALSE) + VLOOKUP(index(split(G24 ,"", "", FALSE),1,3), Variables!$A:$C , 3, FALSE) + VLOOKUP(index(split(G24 ,"&amp;""", "", FALSE),1,4), Variables!$A:$C , 3, FALSE),
)
)
)"),1.0)</f>
        <v>1</v>
      </c>
      <c r="V24" s="317">
        <f t="shared" si="3"/>
        <v>5.25</v>
      </c>
      <c r="W24" s="321">
        <f t="shared" si="4"/>
        <v>14.08333333</v>
      </c>
      <c r="X24" s="322"/>
      <c r="Y24" s="322"/>
      <c r="Z24" s="322"/>
      <c r="AA24" s="322"/>
      <c r="AB24" s="322"/>
      <c r="AC24" s="322"/>
      <c r="AD24" s="322"/>
      <c r="AE24" s="322"/>
    </row>
    <row r="25" hidden="1">
      <c r="A25" s="310">
        <v>1.0</v>
      </c>
      <c r="B25" s="93">
        <f t="shared" si="1"/>
        <v>4</v>
      </c>
      <c r="C25" s="310" t="s">
        <v>763</v>
      </c>
      <c r="D25" s="310">
        <v>125.0</v>
      </c>
      <c r="E25" s="310" t="s">
        <v>1520</v>
      </c>
      <c r="F25" s="310" t="s">
        <v>1521</v>
      </c>
      <c r="G25" s="313" t="s">
        <v>1525</v>
      </c>
      <c r="H25" s="312">
        <f>IFERROR(__xludf.DUMMYFUNCTION(" IF(ISBLANK(G25),,
SWITCH(
LEN(G25) - LEN(SUBSTITUTE(G25,"","","""")),
0 , VLOOKUP(G25, Variables!$A:$B, 2, FALSE),
1 , VLOOKUP(index(split(G25 ,"", "", FALSE),1,1), Variables!$A:$B , 2, FALSE) + VLOOKUP(index(split(G25 ,"", "", FALSE),1,2), Variables!$A:"&amp;"$B , 2, FALSE),
2 , VLOOKUP(index(split(G25 ,"", "", FALSE),1,1), Variables!$A:$B , 2, FALSE) + VLOOKUP(index(split(G25 ,"", "", FALSE),1,2), Variables!$A:$B , 2, FALSE) + VLOOKUP(index(split(G25 ,"", "", FALSE),1,3), Variables!$A:$B , 2, FALSE),
3 , VLOO"&amp;"KUP(index(split(G25 ,"", "", FALSE),1,1), Variables!$A:$B , 2, FALSE) + VLOOKUP(index(split(G25 ,"", "", FALSE),1,2), Variables!$A:$B , 2, FALSE) + VLOOKUP(index(split(G25 ,"", "", FALSE),1,3), Variables!$A:$B , 2, FALSE) + VLOOKUP(index(split(G25 ,"", """&amp;", FALSE),1,4), Variables!$A:$B , 2, FALSE),
)
)"),3.333333333333333)</f>
        <v>3.333333333</v>
      </c>
      <c r="I25" s="310" t="s">
        <v>1538</v>
      </c>
      <c r="J25" s="313" t="s">
        <v>764</v>
      </c>
      <c r="K25" s="314">
        <f>IFERROR(VLOOKUP(C25,vote4ITEMS!$A:$C, 3, FALSE),)</f>
        <v>6.333333333</v>
      </c>
      <c r="L25" s="313"/>
      <c r="M25" s="314">
        <f>SUM(
IF(IFERROR(SEARCH("Aura 1",L25),0) &gt; 0 , VLOOKUP("Aura 1", vote4TRAITS!A:C , 3, FALSE), ),
IF(IFERROR(SEARCH("Backswing",L25),0) &gt; 0 , VLOOKUP("Backswing", vote4TRAITS!A:C , 3, FALSE), ),
IF(IFERROR(SEARCH("Blast",L25),0) &gt; 0 , VLOOKUP("Blast", vote4TRAITS!A:C , 3, FALSE), ),
IF(IFERROR(SEARCH("Combustible",L25),0) &gt; 0 , VLOOKUP("Combustible", vote4TRAITS!A:C , 3, FALSE), ),
IF(IFERROR(SEARCH("Command",L25),0) &gt; 0 , VLOOKUP("Command", vote4TRAITS!A:C , 3, FALSE), ),
IF(IFERROR(SEARCH("Cowardly",L25),0) &gt; 0 , VLOOKUP("Cowardly", vote4TRAITS!A:C , 3, FALSE), ),
IF(IFERROR(SEARCH("Death Wish",L25),0) &gt; 0 , VLOOKUP("Death Wish", vote4TRAITS!A:C , 3, FALSE), ),
IF(IFERROR(SEARCH("Entomb",L25),0) &gt; 0 , VLOOKUP("Entomb", vote4TRAITS!A:C , 3, FALSE), ),
IF(IFERROR(SEARCH("Ethereal Hold",L25),0) &gt; 0 , VLOOKUP("Ethereal Hold", vote4TRAITS!A:C , 3, FALSE), ),
IF(IFERROR(SEARCH("Extend",L25),0) &gt; 0 , VLOOKUP("Extend", vote4TRAITS!A:C , 3, FALSE), ),
IF(IFERROR(SEARCH("Filthy Murk",L25),0) &gt; 0 , VLOOKUP("Filthy Murk", vote4TRAITS!A:C , 3, FALSE), ),
IF(IFERROR(SEARCH("Flame Fiend",L25),0) &gt; 0 , VLOOKUP("Flame Fiend", vote4TRAITS!A:C , 3, FALSE), ),
IF(IFERROR(SEARCH("Fleshmonger",L25),0) &gt; 0 , VLOOKUP("Fleshmonger", vote4TRAITS!A:C , 3, FALSE), ),
IF(IFERROR(SEARCH("Fly",L25),0) &gt; 0 , VLOOKUP("Fly", vote4TRAITS!A:C , 3, FALSE), ),
IF(IFERROR(SEARCH("Freezing",L25),0) &gt; 0 , VLOOKUP("Freezing", vote4TRAITS!A:C , 3, FALSE), ),
IF(IFERROR(SEARCH("Lithesome",L25),0) &gt; 0 , VLOOKUP("Lithesome", vote4TRAITS!A:C , 3, FALSE), ),
IF(IFERROR(SEARCH("Harrowing",L25),0) &gt; 0 , VLOOKUP("Harrowing", vote4TRAITS!A:C , 3, FALSE), ),
IF(IFERROR(SEARCH("Hideous Laughter",L25),0) &gt; 0 , VLOOKUP("Hideous Laughter", vote4TRAITS!A:C , 3, FALSE), ),
IF(IFERROR(SEARCH("Hive Defense",L25),0) &gt; 0 , VLOOKUP("Hive Defense", vote4TRAITS!A:C , 3, FALSE), ),
IF(IFERROR(SEARCH("Horrifying",L25),0) &gt; 0 , VLOOKUP("Horrifying", vote4TRAITS!A:C , 3, FALSE), ),
IF(IFERROR(SEARCH("Ironskin",L25),0) &gt; 0 , VLOOKUP("Ironskin", vote4TRAITS!A:C , 3, FALSE), ),
IF(IFERROR(SEARCH("Unmovable",L25),0) &gt; 0 , VLOOKUP("Unmovable", vote4TRAITS!A:C , 3, FALSE), ),
IF(IFERROR(SEARCH("Lifethirst 1",L25),0) &gt; 0 , VLOOKUP("Lifethirst 1", vote4TRAITS!A:C , 3, FALSE), ),
IF(IFERROR(SEARCH("Lifethirst 2",L25),0) &gt; 0 , VLOOKUP("Lifethirst 2", vote4TRAITS!A:C , 3, FALSE), ),
IF(IFERROR(SEARCH("Morph",L25),0) &gt; 0 , VLOOKUP("Morph", vote4TRAITS!A:C , 3, FALSE), ),
IF(IFERROR(SEARCH("Night Stalker",L25),0) &gt; 0 , VLOOKUP("Night Stalker", vote4TRAITS!A:C , 3, FALSE), ),
IF(IFERROR(SEARCH("Overflowing",L25),0) &gt; 0 , VLOOKUP("Overflowing", vote4TRAITS!A:C , 3, FALSE), ),
IF(IFERROR(SEARCH("Pestilence",L25),0) &gt; 0 , VLOOKUP("Pestilence", vote4TRAITS!A:C , 3, FALSE), ),
IF(IFERROR(SEARCH("Phalanx",L25),0) &gt; 0 , VLOOKUP("Phalanx", vote4TRAITS!A:C , 3, FALSE), ),
IF(IFERROR(SEARCH("Plagued",L25),0) &gt; 0 , VLOOKUP("Plagued", vote4TRAITS!A:C , 3, FALSE), ),
IF(IFERROR(SEARCH("Prey on the Weak",L25),0) &gt; 0 , VLOOKUP("Prey on the Weak", vote4TRAITS!A:C , 3, FALSE), ),
IF(IFERROR(SEARCH("Protect",L25),0) &gt; 0 , VLOOKUP("Protect", vote4TRAITS!A:C , 3, FALSE), ),
IF(IFERROR(SEARCH("Puncture",L25),0) &gt; 0 , VLOOKUP("Puncture", vote4TRAITS!A:C , 3, FALSE), ),
IF(IFERROR(SEARCH("Putrid Boils",L25),0) &gt; 0 , VLOOKUP("Putrid Boils", vote4TRAITS!A:C , 3, FALSE), ),
IF(IFERROR(SEARCH("Ravage",L25),0) &gt; 0 , VLOOKUP("Ravage", vote4TRAITS!A:C , 3, FALSE), ),
IF(IFERROR(SEARCH("Ravenous",L25),0) &gt; 0 , VLOOKUP("Ravenous", vote4TRAITS!A:C , 3, FALSE), ),
IF(IFERROR(SEARCH("Reach",L25),0) &gt; 0 , VLOOKUP("Reach", vote4TRAITS!A:C , 3, FALSE), ),
IF(IFERROR(SEARCH("Reanimation",L25),0) &gt; 0 , VLOOKUP("Reanimation", vote4TRAITS!A:C , 3, FALSE), ),
IF(IFERROR(SEARCH("Reaper",L25),0) &gt; 0 , VLOOKUP("Reaper", vote4TRAITS!A:C , 3, FALSE), ),
IF(IFERROR(SEARCH("Riposte",L25),0) &gt; 0 , VLOOKUP("Riposte", vote4TRAITS!A:C , 3, FALSE)),
IF(IFERROR(SEARCH("Scamper",L25),0) &gt; 0 , VLOOKUP("Scamper", vote4TRAITS!A:C , 3, FALSE), ),
IF(IFERROR(SEARCH("Small Beginnings",L25),0) &gt; 0 , VLOOKUP("Small Beginnings", vote4TRAITS!A:C , 3, FALSE), ),
IF(IFERROR(SEARCH("Spawner",L25),0) &gt; 0 , VLOOKUP("Spawner", vote4TRAITS!A:C , 3,FALSE), ),
IF(IFERROR(SEARCH("Shadowr",L25),0) &gt; 0 , VLOOKUP("Shadow", vote4TRAITS!A:C , 3,FALSE), ),
IF(IFERROR(SEARCH("Shadow Step",L25),0) &gt; 0 , VLOOKUP("Shadow Step", vote4TRAITS!A:C , 3,FALSE), ),
IF(IFERROR(SEARCH("Shambling",L25),0) &gt; 0 , VLOOKUP("Shambling", vote4TRAITS!A:C , 3,FALSE), ),
IF(IFERROR(SEARCH("Stealthy",L25),0) &gt; 0 , VLOOKUP("Stealthy", vote4TRAITS!A:C , 3, FALSE), ),
IF(IFERROR(SEARCH("Web",L25),0) &gt; 0 , VLOOKUP("Web", vote4TRAITS!A:C , 3, FALSE), ),
IF(IFERROR(SEARCH("+1 Willpower",L25),0) &gt; 0 , VLOOKUP("+1 Willpower", vote4TRAITS!A:C , 3, FALSE), ),
IF(IFERROR(SEARCH("+1 Might",L25),0) &gt; 0 , VLOOKUP("+1 Might", vote4TRAITS!A:C , 3, FALSE), ),
IF(IFERROR(SEARCH("+1 Knowledge",L25),0) &gt; 0 , VLOOKUP("+1 Knowledge", vote4TRAITS!A:C , 3, FALSE), ),
IF(IFERROR(SEARCH("+1 Awareness",L25),0) &gt; 0 , VLOOKUP("+1 Awareness", vote4TRAITS!A:C , 3, FALSE), ),
IF(IFERROR(SEARCH("-1 Willpower",L25),0) &gt; 0 , VLOOKUP("-1 Willpower", vote4TRAITS!A:C , 3, FALSE), ),
IF(IFERROR(SEARCH("+1 Health",L25),0) &gt; 0 , VLOOKUP("+1 Health", vote4TRAITS!A:C , 3, FALSE), ),
IF(IFERROR(SEARCH("+2 Health",L25),0) &gt; 0 , VLOOKUP("+2 Health", vote4TRAITS!A:C , 3, FALSE), ),
IF(IFERROR(SEARCH("+1 Stamina",L25),0) &gt; 0 , VLOOKUP("+1 Stamina", vote4TRAITS!A:C , 3, FALSE), ),
IF(IFERROR(SEARCH("+2 Stamina",L25),0) &gt; 0 , VLOOKUP("+2 Stamina", vote4TRAITS!A:C , 3, FALSE), ),
IFS(
IFERROR(SEARCH("+1 Range", L25),) &gt; 0 ,VLOOKUP("+1 Range", vote4TRAITS!A:C , 3, FALSE),
IFERROR(SEARCH("+2 Range", L25),) &gt; 0 ,VLOOKUP("+2 Range", vote4TRAITS!A:C , 3, FALSE),
IFERROR(SEARCH("+3 Range", L25),) &gt; 0,VLOOKUP("+3 Range", vote4TRAITS!A:C , 3, FALSE),
0=0,0)
,
IFS(
IFERROR(SEARCH("Sorcery 1", L25),) &gt; 0 ,VLOOKUP("Sorcery 1", vote4TRAITS!A:C , 3, FALSE),
IFERROR(SEARCH("Sorcery 2", L25),) &gt; 0 ,VLOOKUP("Sorcery 2", vote4TRAITS!A:C , 3, FALSE),
IFERROR(SEARCH("Sorcery 3", L25),) &gt; 0,VLOOKUP("Sorcery 3", vote4TRAITS!A:C , 3, FALSE),
0=0,0)
,
IFS(
IFERROR(SEARCH("Pierce 1", L25),) &gt; 0 ,VLOOKUP("Pierce 1", vote4TRAITS!A:C , 3, FALSE),
IFERROR(SEARCH("Pierce 2", L25),) &gt; 0 ,VLOOKUP("Pierce 2", vote4TRAITS!A:C , 3, FALSE),
IFERROR(SEARCH("Pierce 3", L25),) &gt; 0,VLOOKUP("Pierce 3", vote4TRAITS!A:C , 3, FALSE),
IFERROR(SEARCH("Pierce 4", L25),) &gt; 0 ,VLOOKUP("Pierce 4", vote4TRAITS!A:C , 3, FALSE),
0=0,0)
,
IFS(
IFERROR(SEARCH("+1 Health", L25),) &gt; 0 ,VLOOKUP("+1 Health", vote4TRAITS!A:C , 3, FALSE),
IFERROR(SEARCH("+2 Health", L25),) &gt; 0 ,VLOOKUP("+2 Health", vote4TRAITS!A:C , 3, FALSE),
IFERROR(SEARCH("+3 Health", L25),) &gt; 0 ,VLOOKUP("+3 Health", vote4TRAITS!A:C , 3, FALSE),
IFERROR(SEARCH("+4 Health", L25),) &gt; 0 ,VLOOKUP("+4 Health", vote4TRAITS!A:C , 3, FALSE),
0=0,0)
,
IFS(
IFERROR(SEARCH("Soul Shackle 1", L25),) &gt; 0 ,VLOOKUP("Soul Shackle 1", vote4TRAITS!A:C , 3, FALSE),
IFERROR(SEARCH("Soul Shackle 2", L25),) &gt; 0 ,VLOOKUP("Soul Shackle 2", vote4TRAITS!A:C , 3, FALSE),
IFERROR(SEARCH("Soul Shackle 3", L25),) &gt; 0,VLOOKUP("Soul Shackle 3", vote4TRAITS!A:C , 3, FALSE),
0=0,0)
)</f>
        <v>0</v>
      </c>
      <c r="N25" s="311" t="s">
        <v>1534</v>
      </c>
      <c r="O25" s="317">
        <f>IF(ISBLANK(N25),,IFERROR(
IF(IFERROR(SEARCH("SS:",N25),0) &gt; 0, 
VLOOKUP(SUBSTITUTE(N25,"SS: ",""),vote4SURGE!$A:$C , 3, FALSE) - 2,
VLOOKUP(SUBSTITUTE(N25,"S: ",""),vote4SURGE!$A:$C , 3, FALSE)
)
,
IF(IFERROR(SEARCH("SS:",N25),0) &gt; 0, 
VLOOKUP(C25,vote4SURGE!$A:$C , 3, FALSE) - 2,
VLOOKUP(C25,vote4SURGE!$A:$C , 3, FALSE)
)
))</f>
        <v>4.25</v>
      </c>
      <c r="P25" s="318"/>
      <c r="Q25" s="317" t="str">
        <f>IF(ISBLANK(P25),,IFERROR(
IF(IFERROR(SEARCH("SS:",P25),0) &gt; 0, 
VLOOKUP(SUBSTITUTE(P25,"SS: ",""),vote4SURGE!$A:$C , 3, FALSE) - 2,
VLOOKUP(SUBSTITUTE(P25,"S: ",""),vote4SURGE!$A:$C , 3, FALSE)
)
,
IF(IFERROR(SEARCH("SS:",P25),0) &gt; 0, 
VLOOKUP(C25,vote4SURGE!$A:$C , 3, FALSE) - 2,
VLOOKUP(C25,vote4SURGE!$A:$C , 3, FALSE)
)
))</f>
        <v/>
      </c>
      <c r="R25" s="318"/>
      <c r="S25" s="319" t="str">
        <f>IF(ISBLANK(R25),,IFERROR(
IF(IFERROR(SEARCH("SS:",R25),0) &gt; 0, 
VLOOKUP(SUBSTITUTE(R25,"SS: ",""),vote4SURGE!$A:$C , 3, FALSE) - 2,
VLOOKUP(SUBSTITUTE(R25,"S: ",""),vote4SURGE!$A:$C , 3, FALSE)
)
,
IF(IFERROR(SEARCH("SS:",R25),0) &gt; 0, 
VLOOKUP(C25,vote4SURGE!$A:$C , 3, FALSE) - 2,
VLOOKUP(C25,vote4SURGE!$A:$C , 3, FALSE)
)
))</f>
        <v/>
      </c>
      <c r="T25" s="320">
        <f t="shared" si="2"/>
        <v>1</v>
      </c>
      <c r="U25" s="320">
        <f>IFERROR(__xludf.DUMMYFUNCTION("ROUND(
IF(ISBLANK(G25),,
SWITCH(
LEN(G25) - LEN(SUBSTITUTE(G25,"","","""")),
0 , VLOOKUP(G25, Variables!$A:$C, 3, FALSE),
1 , VLOOKUP(index(split(G25 ,"", "", FALSE),1,1), Variables!$A:$C , 3, FALSE) + VLOOKUP(index(split(G25 ,"", "", FALSE),1,2), Variabl"&amp;"es!$A:$C , 3, FALSE),
2 , VLOOKUP(index(split(G25 ,"", "", FALSE),1,1), Variables!$A:$C , 3, FALSE) + VLOOKUP(index(split(G25 ,"", "", FALSE),1,2), Variables!$A:$C , 3, FALSE) + VLOOKUP(index(split(G25 ,"", "", FALSE),1,3), Variables!$A:$C , 3, FALSE),
3 "&amp;", VLOOKUP(index(split(G25 ,"", "", FALSE),1,1), Variables!$A:$C , 3, FALSE) + VLOOKUP(index(split(G25 ,"", "", FALSE),1,2), Variables!$A:$C , 3, FALSE) + VLOOKUP(index(split(G25 ,"", "", FALSE),1,3), Variables!$A:$C , 3, FALSE) + VLOOKUP(index(split(G25 ,"&amp;""", "", FALSE),1,4), Variables!$A:$C , 3, FALSE),
)
)
)"),1.0)</f>
        <v>1</v>
      </c>
      <c r="V25" s="317">
        <f t="shared" si="3"/>
        <v>4.25</v>
      </c>
      <c r="W25" s="321">
        <f t="shared" si="4"/>
        <v>13.91666667</v>
      </c>
      <c r="X25" s="322"/>
      <c r="Y25" s="322"/>
      <c r="Z25" s="322"/>
      <c r="AA25" s="322"/>
      <c r="AB25" s="322"/>
      <c r="AC25" s="322"/>
      <c r="AD25" s="322"/>
      <c r="AE25" s="322"/>
    </row>
    <row r="26">
      <c r="A26" s="310">
        <v>1.0</v>
      </c>
      <c r="B26" s="93">
        <f t="shared" si="1"/>
        <v>4</v>
      </c>
      <c r="C26" s="310" t="s">
        <v>1576</v>
      </c>
      <c r="D26" s="310">
        <v>175.0</v>
      </c>
      <c r="E26" s="310" t="s">
        <v>1527</v>
      </c>
      <c r="F26" s="310" t="s">
        <v>1531</v>
      </c>
      <c r="G26" s="313" t="s">
        <v>1548</v>
      </c>
      <c r="H26" s="312">
        <f>IFERROR(__xludf.DUMMYFUNCTION(" IF(ISBLANK(G26),,
SWITCH(
LEN(G26) - LEN(SUBSTITUTE(G26,"","","""")),
0 , VLOOKUP(G26, Variables!$A:$B, 2, FALSE),
1 , VLOOKUP(index(split(G26 ,"", "", FALSE),1,1), Variables!$A:$B , 2, FALSE) + VLOOKUP(index(split(G26 ,"", "", FALSE),1,2), Variables!$A:"&amp;"$B , 2, FALSE),
2 , VLOOKUP(index(split(G26 ,"", "", FALSE),1,1), Variables!$A:$B , 2, FALSE) + VLOOKUP(index(split(G26 ,"", "", FALSE),1,2), Variables!$A:$B , 2, FALSE) + VLOOKUP(index(split(G26 ,"", "", FALSE),1,3), Variables!$A:$B , 2, FALSE),
3 , VLOO"&amp;"KUP(index(split(G26 ,"", "", FALSE),1,1), Variables!$A:$B , 2, FALSE) + VLOOKUP(index(split(G26 ,"", "", FALSE),1,2), Variables!$A:$B , 2, FALSE) + VLOOKUP(index(split(G26 ,"", "", FALSE),1,3), Variables!$A:$B , 2, FALSE) + VLOOKUP(index(split(G26 ,"", """&amp;", FALSE),1,4), Variables!$A:$B , 2, FALSE),
)
)"),2.3333333333333335)</f>
        <v>2.333333333</v>
      </c>
      <c r="I26" s="310" t="s">
        <v>1541</v>
      </c>
      <c r="J26" s="313"/>
      <c r="K26" s="314" t="str">
        <f>IFERROR(VLOOKUP(C26,vote4ITEMS!$A:$C, 3, FALSE),)</f>
        <v/>
      </c>
      <c r="L26" s="313" t="s">
        <v>1076</v>
      </c>
      <c r="M26" s="314">
        <f>SUM(
IF(IFERROR(SEARCH("Aura 1",L26),0) &gt; 0 , VLOOKUP("Aura 1", vote4TRAITS!A:C , 3, FALSE), ),
IF(IFERROR(SEARCH("Backswing",L26),0) &gt; 0 , VLOOKUP("Backswing", vote4TRAITS!A:C , 3, FALSE), ),
IF(IFERROR(SEARCH("Blast",L26),0) &gt; 0 , VLOOKUP("Blast", vote4TRAITS!A:C , 3, FALSE), ),
IF(IFERROR(SEARCH("Combustible",L26),0) &gt; 0 , VLOOKUP("Combustible", vote4TRAITS!A:C , 3, FALSE), ),
IF(IFERROR(SEARCH("Command",L26),0) &gt; 0 , VLOOKUP("Command", vote4TRAITS!A:C , 3, FALSE), ),
IF(IFERROR(SEARCH("Cowardly",L26),0) &gt; 0 , VLOOKUP("Cowardly", vote4TRAITS!A:C , 3, FALSE), ),
IF(IFERROR(SEARCH("Death Wish",L26),0) &gt; 0 , VLOOKUP("Death Wish", vote4TRAITS!A:C , 3, FALSE), ),
IF(IFERROR(SEARCH("Entomb",L26),0) &gt; 0 , VLOOKUP("Entomb", vote4TRAITS!A:C , 3, FALSE), ),
IF(IFERROR(SEARCH("Ethereal Hold",L26),0) &gt; 0 , VLOOKUP("Ethereal Hold", vote4TRAITS!A:C , 3, FALSE), ),
IF(IFERROR(SEARCH("Extend",L26),0) &gt; 0 , VLOOKUP("Extend", vote4TRAITS!A:C , 3, FALSE), ),
IF(IFERROR(SEARCH("Filthy Murk",L26),0) &gt; 0 , VLOOKUP("Filthy Murk", vote4TRAITS!A:C , 3, FALSE), ),
IF(IFERROR(SEARCH("Flame Fiend",L26),0) &gt; 0 , VLOOKUP("Flame Fiend", vote4TRAITS!A:C , 3, FALSE), ),
IF(IFERROR(SEARCH("Fleshmonger",L26),0) &gt; 0 , VLOOKUP("Fleshmonger", vote4TRAITS!A:C , 3, FALSE), ),
IF(IFERROR(SEARCH("Fly",L26),0) &gt; 0 , VLOOKUP("Fly", vote4TRAITS!A:C , 3, FALSE), ),
IF(IFERROR(SEARCH("Freezing",L26),0) &gt; 0 , VLOOKUP("Freezing", vote4TRAITS!A:C , 3, FALSE), ),
IF(IFERROR(SEARCH("Lithesome",L26),0) &gt; 0 , VLOOKUP("Lithesome", vote4TRAITS!A:C , 3, FALSE), ),
IF(IFERROR(SEARCH("Harrowing",L26),0) &gt; 0 , VLOOKUP("Harrowing", vote4TRAITS!A:C , 3, FALSE), ),
IF(IFERROR(SEARCH("Hideous Laughter",L26),0) &gt; 0 , VLOOKUP("Hideous Laughter", vote4TRAITS!A:C , 3, FALSE), ),
IF(IFERROR(SEARCH("Hive Defense",L26),0) &gt; 0 , VLOOKUP("Hive Defense", vote4TRAITS!A:C , 3, FALSE), ),
IF(IFERROR(SEARCH("Horrifying",L26),0) &gt; 0 , VLOOKUP("Horrifying", vote4TRAITS!A:C , 3, FALSE), ),
IF(IFERROR(SEARCH("Ironskin",L26),0) &gt; 0 , VLOOKUP("Ironskin", vote4TRAITS!A:C , 3, FALSE), ),
IF(IFERROR(SEARCH("Unmovable",L26),0) &gt; 0 , VLOOKUP("Unmovable", vote4TRAITS!A:C , 3, FALSE), ),
IF(IFERROR(SEARCH("Lifethirst 1",L26),0) &gt; 0 , VLOOKUP("Lifethirst 1", vote4TRAITS!A:C , 3, FALSE), ),
IF(IFERROR(SEARCH("Lifethirst 2",L26),0) &gt; 0 , VLOOKUP("Lifethirst 2", vote4TRAITS!A:C , 3, FALSE), ),
IF(IFERROR(SEARCH("Morph",L26),0) &gt; 0 , VLOOKUP("Morph", vote4TRAITS!A:C , 3, FALSE), ),
IF(IFERROR(SEARCH("Night Stalker",L26),0) &gt; 0 , VLOOKUP("Night Stalker", vote4TRAITS!A:C , 3, FALSE), ),
IF(IFERROR(SEARCH("Overflowing",L26),0) &gt; 0 , VLOOKUP("Overflowing", vote4TRAITS!A:C , 3, FALSE), ),
IF(IFERROR(SEARCH("Pestilence",L26),0) &gt; 0 , VLOOKUP("Pestilence", vote4TRAITS!A:C , 3, FALSE), ),
IF(IFERROR(SEARCH("Phalanx",L26),0) &gt; 0 , VLOOKUP("Phalanx", vote4TRAITS!A:C , 3, FALSE), ),
IF(IFERROR(SEARCH("Plagued",L26),0) &gt; 0 , VLOOKUP("Plagued", vote4TRAITS!A:C , 3, FALSE), ),
IF(IFERROR(SEARCH("Prey on the Weak",L26),0) &gt; 0 , VLOOKUP("Prey on the Weak", vote4TRAITS!A:C , 3, FALSE), ),
IF(IFERROR(SEARCH("Protect",L26),0) &gt; 0 , VLOOKUP("Protect", vote4TRAITS!A:C , 3, FALSE), ),
IF(IFERROR(SEARCH("Puncture",L26),0) &gt; 0 , VLOOKUP("Puncture", vote4TRAITS!A:C , 3, FALSE), ),
IF(IFERROR(SEARCH("Putrid Boils",L26),0) &gt; 0 , VLOOKUP("Putrid Boils", vote4TRAITS!A:C , 3, FALSE), ),
IF(IFERROR(SEARCH("Ravage",L26),0) &gt; 0 , VLOOKUP("Ravage", vote4TRAITS!A:C , 3, FALSE), ),
IF(IFERROR(SEARCH("Ravenous",L26),0) &gt; 0 , VLOOKUP("Ravenous", vote4TRAITS!A:C , 3, FALSE), ),
IF(IFERROR(SEARCH("Reach",L26),0) &gt; 0 , VLOOKUP("Reach", vote4TRAITS!A:C , 3, FALSE), ),
IF(IFERROR(SEARCH("Reanimation",L26),0) &gt; 0 , VLOOKUP("Reanimation", vote4TRAITS!A:C , 3, FALSE), ),
IF(IFERROR(SEARCH("Reaper",L26),0) &gt; 0 , VLOOKUP("Reaper", vote4TRAITS!A:C , 3, FALSE), ),
IF(IFERROR(SEARCH("Riposte",L26),0) &gt; 0 , VLOOKUP("Riposte", vote4TRAITS!A:C , 3, FALSE)),
IF(IFERROR(SEARCH("Scamper",L26),0) &gt; 0 , VLOOKUP("Scamper", vote4TRAITS!A:C , 3, FALSE), ),
IF(IFERROR(SEARCH("Small Beginnings",L26),0) &gt; 0 , VLOOKUP("Small Beginnings", vote4TRAITS!A:C , 3, FALSE), ),
IF(IFERROR(SEARCH("Spawner",L26),0) &gt; 0 , VLOOKUP("Spawner", vote4TRAITS!A:C , 3,FALSE), ),
IF(IFERROR(SEARCH("Shadowr",L26),0) &gt; 0 , VLOOKUP("Shadow", vote4TRAITS!A:C , 3,FALSE), ),
IF(IFERROR(SEARCH("Shadow Step",L26),0) &gt; 0 , VLOOKUP("Shadow Step", vote4TRAITS!A:C , 3,FALSE), ),
IF(IFERROR(SEARCH("Shambling",L26),0) &gt; 0 , VLOOKUP("Shambling", vote4TRAITS!A:C , 3,FALSE), ),
IF(IFERROR(SEARCH("Stealthy",L26),0) &gt; 0 , VLOOKUP("Stealthy", vote4TRAITS!A:C , 3, FALSE), ),
IF(IFERROR(SEARCH("Web",L26),0) &gt; 0 , VLOOKUP("Web", vote4TRAITS!A:C , 3, FALSE), ),
IF(IFERROR(SEARCH("+1 Willpower",L26),0) &gt; 0 , VLOOKUP("+1 Willpower", vote4TRAITS!A:C , 3, FALSE), ),
IF(IFERROR(SEARCH("+1 Might",L26),0) &gt; 0 , VLOOKUP("+1 Might", vote4TRAITS!A:C , 3, FALSE), ),
IF(IFERROR(SEARCH("+1 Knowledge",L26),0) &gt; 0 , VLOOKUP("+1 Knowledge", vote4TRAITS!A:C , 3, FALSE), ),
IF(IFERROR(SEARCH("+1 Awareness",L26),0) &gt; 0 , VLOOKUP("+1 Awareness", vote4TRAITS!A:C , 3, FALSE), ),
IF(IFERROR(SEARCH("-1 Willpower",L26),0) &gt; 0 , VLOOKUP("-1 Willpower", vote4TRAITS!A:C , 3, FALSE), ),
IF(IFERROR(SEARCH("+1 Health",L26),0) &gt; 0 , VLOOKUP("+1 Health", vote4TRAITS!A:C , 3, FALSE), ),
IF(IFERROR(SEARCH("+2 Health",L26),0) &gt; 0 , VLOOKUP("+2 Health", vote4TRAITS!A:C , 3, FALSE), ),
IF(IFERROR(SEARCH("+1 Stamina",L26),0) &gt; 0 , VLOOKUP("+1 Stamina", vote4TRAITS!A:C , 3, FALSE), ),
IF(IFERROR(SEARCH("+2 Stamina",L26),0) &gt; 0 , VLOOKUP("+2 Stamina", vote4TRAITS!A:C , 3, FALSE), ),
IFS(
IFERROR(SEARCH("+1 Range", L26),) &gt; 0 ,VLOOKUP("+1 Range", vote4TRAITS!A:C , 3, FALSE),
IFERROR(SEARCH("+2 Range", L26),) &gt; 0 ,VLOOKUP("+2 Range", vote4TRAITS!A:C , 3, FALSE),
IFERROR(SEARCH("+3 Range", L26),) &gt; 0,VLOOKUP("+3 Range", vote4TRAITS!A:C , 3, FALSE),
0=0,0)
,
IFS(
IFERROR(SEARCH("Sorcery 1", L26),) &gt; 0 ,VLOOKUP("Sorcery 1", vote4TRAITS!A:C , 3, FALSE),
IFERROR(SEARCH("Sorcery 2", L26),) &gt; 0 ,VLOOKUP("Sorcery 2", vote4TRAITS!A:C , 3, FALSE),
IFERROR(SEARCH("Sorcery 3", L26),) &gt; 0,VLOOKUP("Sorcery 3", vote4TRAITS!A:C , 3, FALSE),
0=0,0)
,
IFS(
IFERROR(SEARCH("Pierce 1", L26),) &gt; 0 ,VLOOKUP("Pierce 1", vote4TRAITS!A:C , 3, FALSE),
IFERROR(SEARCH("Pierce 2", L26),) &gt; 0 ,VLOOKUP("Pierce 2", vote4TRAITS!A:C , 3, FALSE),
IFERROR(SEARCH("Pierce 3", L26),) &gt; 0,VLOOKUP("Pierce 3", vote4TRAITS!A:C , 3, FALSE),
IFERROR(SEARCH("Pierce 4", L26),) &gt; 0 ,VLOOKUP("Pierce 4", vote4TRAITS!A:C , 3, FALSE),
0=0,0)
,
IFS(
IFERROR(SEARCH("+1 Health", L26),) &gt; 0 ,VLOOKUP("+1 Health", vote4TRAITS!A:C , 3, FALSE),
IFERROR(SEARCH("+2 Health", L26),) &gt; 0 ,VLOOKUP("+2 Health", vote4TRAITS!A:C , 3, FALSE),
IFERROR(SEARCH("+3 Health", L26),) &gt; 0 ,VLOOKUP("+3 Health", vote4TRAITS!A:C , 3, FALSE),
IFERROR(SEARCH("+4 Health", L26),) &gt; 0 ,VLOOKUP("+4 Health", vote4TRAITS!A:C , 3, FALSE),
0=0,0)
,
IFS(
IFERROR(SEARCH("Soul Shackle 1", L26),) &gt; 0 ,VLOOKUP("Soul Shackle 1", vote4TRAITS!A:C , 3, FALSE),
IFERROR(SEARCH("Soul Shackle 2", L26),) &gt; 0 ,VLOOKUP("Soul Shackle 2", vote4TRAITS!A:C , 3, FALSE),
IFERROR(SEARCH("Soul Shackle 3", L26),) &gt; 0,VLOOKUP("Soul Shackle 3", vote4TRAITS!A:C , 3, FALSE),
0=0,0)
)</f>
        <v>5.5</v>
      </c>
      <c r="N26" s="311" t="s">
        <v>1534</v>
      </c>
      <c r="O26" s="317">
        <f>IF(ISBLANK(N26),,IFERROR(
IF(IFERROR(SEARCH("SS:",N26),0) &gt; 0, 
VLOOKUP(SUBSTITUTE(N26,"SS: ",""),vote4SURGE!$A:$C , 3, FALSE) - 2,
VLOOKUP(SUBSTITUTE(N26,"S: ",""),vote4SURGE!$A:$C , 3, FALSE)
)
,
IF(IFERROR(SEARCH("SS:",N26),0) &gt; 0, 
VLOOKUP(C26,vote4SURGE!$A:$C , 3, FALSE) - 2,
VLOOKUP(C26,vote4SURGE!$A:$C , 3, FALSE)
)
))</f>
        <v>4.25</v>
      </c>
      <c r="P26" s="315" t="s">
        <v>1577</v>
      </c>
      <c r="Q26" s="317">
        <f>IF(ISBLANK(P26),,IFERROR(
IF(IFERROR(SEARCH("SS:",P26),0) &gt; 0, 
VLOOKUP(SUBSTITUTE(P26,"SS: ",""),vote4SURGE!$A:$C , 3, FALSE) - 2,
VLOOKUP(SUBSTITUTE(P26,"S: ",""),vote4SURGE!$A:$C , 3, FALSE)
)
,
IF(IFERROR(SEARCH("SS:",P26),0) &gt; 0, 
VLOOKUP(C26,vote4SURGE!$A:$C , 3, FALSE) - 2,
VLOOKUP(C26,vote4SURGE!$A:$C , 3, FALSE)
)
))</f>
        <v>3.5</v>
      </c>
      <c r="R26" s="318"/>
      <c r="S26" s="319" t="str">
        <f>IF(ISBLANK(R26),,IFERROR(
IF(IFERROR(SEARCH("SS:",R26),0) &gt; 0, 
VLOOKUP(SUBSTITUTE(R26,"SS: ",""),vote4SURGE!$A:$C , 3, FALSE) - 2,
VLOOKUP(SUBSTITUTE(R26,"S: ",""),vote4SURGE!$A:$C , 3, FALSE)
)
,
IF(IFERROR(SEARCH("SS:",R26),0) &gt; 0, 
VLOOKUP(C26,vote4SURGE!$A:$C , 3, FALSE) - 2,
VLOOKUP(C26,vote4SURGE!$A:$C , 3, FALSE)
)
))</f>
        <v/>
      </c>
      <c r="T26" s="320">
        <f t="shared" si="2"/>
        <v>2</v>
      </c>
      <c r="U26" s="320">
        <f>IFERROR(__xludf.DUMMYFUNCTION("ROUND(
IF(ISBLANK(G26),,
SWITCH(
LEN(G26) - LEN(SUBSTITUTE(G26,"","","""")),
0 , VLOOKUP(G26, Variables!$A:$C, 3, FALSE),
1 , VLOOKUP(index(split(G26 ,"", "", FALSE),1,1), Variables!$A:$C , 3, FALSE) + VLOOKUP(index(split(G26 ,"", "", FALSE),1,2), Variabl"&amp;"es!$A:$C , 3, FALSE),
2 , VLOOKUP(index(split(G26 ,"", "", FALSE),1,1), Variables!$A:$C , 3, FALSE) + VLOOKUP(index(split(G26 ,"", "", FALSE),1,2), Variables!$A:$C , 3, FALSE) + VLOOKUP(index(split(G26 ,"", "", FALSE),1,3), Variables!$A:$C , 3, FALSE),
3 "&amp;", VLOOKUP(index(split(G26 ,"", "", FALSE),1,1), Variables!$A:$C , 3, FALSE) + VLOOKUP(index(split(G26 ,"", "", FALSE),1,2), Variables!$A:$C , 3, FALSE) + VLOOKUP(index(split(G26 ,"", "", FALSE),1,3), Variables!$A:$C , 3, FALSE) + VLOOKUP(index(split(G26 ,"&amp;""", "", FALSE),1,4), Variables!$A:$C , 3, FALSE),
)
)
)"),1.0)</f>
        <v>1</v>
      </c>
      <c r="V26" s="317">
        <f t="shared" si="3"/>
        <v>6</v>
      </c>
      <c r="W26" s="321">
        <f t="shared" si="4"/>
        <v>13.83333333</v>
      </c>
      <c r="X26" s="322"/>
      <c r="Y26" s="322"/>
      <c r="Z26" s="322"/>
      <c r="AA26" s="322"/>
      <c r="AB26" s="322"/>
      <c r="AC26" s="322"/>
      <c r="AD26" s="322"/>
      <c r="AE26" s="322"/>
    </row>
    <row r="27" hidden="1">
      <c r="A27" s="310">
        <v>1.0</v>
      </c>
      <c r="B27" s="93">
        <f t="shared" si="1"/>
        <v>4</v>
      </c>
      <c r="C27" s="310" t="s">
        <v>1578</v>
      </c>
      <c r="D27" s="310">
        <v>150.0</v>
      </c>
      <c r="E27" s="310" t="s">
        <v>1520</v>
      </c>
      <c r="F27" s="310" t="s">
        <v>1531</v>
      </c>
      <c r="G27" s="313" t="s">
        <v>1525</v>
      </c>
      <c r="H27" s="312">
        <f>IFERROR(__xludf.DUMMYFUNCTION(" IF(ISBLANK(G27),,
SWITCH(
LEN(G27) - LEN(SUBSTITUTE(G27,"","","""")),
0 , VLOOKUP(G27, Variables!$A:$B, 2, FALSE),
1 , VLOOKUP(index(split(G27 ,"", "", FALSE),1,1), Variables!$A:$B , 2, FALSE) + VLOOKUP(index(split(G27 ,"", "", FALSE),1,2), Variables!$A:"&amp;"$B , 2, FALSE),
2 , VLOOKUP(index(split(G27 ,"", "", FALSE),1,1), Variables!$A:$B , 2, FALSE) + VLOOKUP(index(split(G27 ,"", "", FALSE),1,2), Variables!$A:$B , 2, FALSE) + VLOOKUP(index(split(G27 ,"", "", FALSE),1,3), Variables!$A:$B , 2, FALSE),
3 , VLOO"&amp;"KUP(index(split(G27 ,"", "", FALSE),1,1), Variables!$A:$B , 2, FALSE) + VLOOKUP(index(split(G27 ,"", "", FALSE),1,2), Variables!$A:$B , 2, FALSE) + VLOOKUP(index(split(G27 ,"", "", FALSE),1,3), Variables!$A:$B , 2, FALSE) + VLOOKUP(index(split(G27 ,"", """&amp;", FALSE),1,4), Variables!$A:$B , 2, FALSE),
)
)"),3.333333333333333)</f>
        <v>3.333333333</v>
      </c>
      <c r="I27" s="310" t="s">
        <v>1533</v>
      </c>
      <c r="J27" s="313"/>
      <c r="K27" s="314" t="str">
        <f>IFERROR(VLOOKUP(C27,vote4ITEMS!$A:$C, 3, FALSE),)</f>
        <v/>
      </c>
      <c r="L27" s="313" t="s">
        <v>1076</v>
      </c>
      <c r="M27" s="314">
        <f>SUM(
IF(IFERROR(SEARCH("Aura 1",L27),0) &gt; 0 , VLOOKUP("Aura 1", vote4TRAITS!A:C , 3, FALSE), ),
IF(IFERROR(SEARCH("Backswing",L27),0) &gt; 0 , VLOOKUP("Backswing", vote4TRAITS!A:C , 3, FALSE), ),
IF(IFERROR(SEARCH("Blast",L27),0) &gt; 0 , VLOOKUP("Blast", vote4TRAITS!A:C , 3, FALSE), ),
IF(IFERROR(SEARCH("Combustible",L27),0) &gt; 0 , VLOOKUP("Combustible", vote4TRAITS!A:C , 3, FALSE), ),
IF(IFERROR(SEARCH("Command",L27),0) &gt; 0 , VLOOKUP("Command", vote4TRAITS!A:C , 3, FALSE), ),
IF(IFERROR(SEARCH("Cowardly",L27),0) &gt; 0 , VLOOKUP("Cowardly", vote4TRAITS!A:C , 3, FALSE), ),
IF(IFERROR(SEARCH("Death Wish",L27),0) &gt; 0 , VLOOKUP("Death Wish", vote4TRAITS!A:C , 3, FALSE), ),
IF(IFERROR(SEARCH("Entomb",L27),0) &gt; 0 , VLOOKUP("Entomb", vote4TRAITS!A:C , 3, FALSE), ),
IF(IFERROR(SEARCH("Ethereal Hold",L27),0) &gt; 0 , VLOOKUP("Ethereal Hold", vote4TRAITS!A:C , 3, FALSE), ),
IF(IFERROR(SEARCH("Extend",L27),0) &gt; 0 , VLOOKUP("Extend", vote4TRAITS!A:C , 3, FALSE), ),
IF(IFERROR(SEARCH("Filthy Murk",L27),0) &gt; 0 , VLOOKUP("Filthy Murk", vote4TRAITS!A:C , 3, FALSE), ),
IF(IFERROR(SEARCH("Flame Fiend",L27),0) &gt; 0 , VLOOKUP("Flame Fiend", vote4TRAITS!A:C , 3, FALSE), ),
IF(IFERROR(SEARCH("Fleshmonger",L27),0) &gt; 0 , VLOOKUP("Fleshmonger", vote4TRAITS!A:C , 3, FALSE), ),
IF(IFERROR(SEARCH("Fly",L27),0) &gt; 0 , VLOOKUP("Fly", vote4TRAITS!A:C , 3, FALSE), ),
IF(IFERROR(SEARCH("Freezing",L27),0) &gt; 0 , VLOOKUP("Freezing", vote4TRAITS!A:C , 3, FALSE), ),
IF(IFERROR(SEARCH("Lithesome",L27),0) &gt; 0 , VLOOKUP("Lithesome", vote4TRAITS!A:C , 3, FALSE), ),
IF(IFERROR(SEARCH("Harrowing",L27),0) &gt; 0 , VLOOKUP("Harrowing", vote4TRAITS!A:C , 3, FALSE), ),
IF(IFERROR(SEARCH("Hideous Laughter",L27),0) &gt; 0 , VLOOKUP("Hideous Laughter", vote4TRAITS!A:C , 3, FALSE), ),
IF(IFERROR(SEARCH("Hive Defense",L27),0) &gt; 0 , VLOOKUP("Hive Defense", vote4TRAITS!A:C , 3, FALSE), ),
IF(IFERROR(SEARCH("Horrifying",L27),0) &gt; 0 , VLOOKUP("Horrifying", vote4TRAITS!A:C , 3, FALSE), ),
IF(IFERROR(SEARCH("Ironskin",L27),0) &gt; 0 , VLOOKUP("Ironskin", vote4TRAITS!A:C , 3, FALSE), ),
IF(IFERROR(SEARCH("Unmovable",L27),0) &gt; 0 , VLOOKUP("Unmovable", vote4TRAITS!A:C , 3, FALSE), ),
IF(IFERROR(SEARCH("Lifethirst 1",L27),0) &gt; 0 , VLOOKUP("Lifethirst 1", vote4TRAITS!A:C , 3, FALSE), ),
IF(IFERROR(SEARCH("Lifethirst 2",L27),0) &gt; 0 , VLOOKUP("Lifethirst 2", vote4TRAITS!A:C , 3, FALSE), ),
IF(IFERROR(SEARCH("Morph",L27),0) &gt; 0 , VLOOKUP("Morph", vote4TRAITS!A:C , 3, FALSE), ),
IF(IFERROR(SEARCH("Night Stalker",L27),0) &gt; 0 , VLOOKUP("Night Stalker", vote4TRAITS!A:C , 3, FALSE), ),
IF(IFERROR(SEARCH("Overflowing",L27),0) &gt; 0 , VLOOKUP("Overflowing", vote4TRAITS!A:C , 3, FALSE), ),
IF(IFERROR(SEARCH("Pestilence",L27),0) &gt; 0 , VLOOKUP("Pestilence", vote4TRAITS!A:C , 3, FALSE), ),
IF(IFERROR(SEARCH("Phalanx",L27),0) &gt; 0 , VLOOKUP("Phalanx", vote4TRAITS!A:C , 3, FALSE), ),
IF(IFERROR(SEARCH("Plagued",L27),0) &gt; 0 , VLOOKUP("Plagued", vote4TRAITS!A:C , 3, FALSE), ),
IF(IFERROR(SEARCH("Prey on the Weak",L27),0) &gt; 0 , VLOOKUP("Prey on the Weak", vote4TRAITS!A:C , 3, FALSE), ),
IF(IFERROR(SEARCH("Protect",L27),0) &gt; 0 , VLOOKUP("Protect", vote4TRAITS!A:C , 3, FALSE), ),
IF(IFERROR(SEARCH("Puncture",L27),0) &gt; 0 , VLOOKUP("Puncture", vote4TRAITS!A:C , 3, FALSE), ),
IF(IFERROR(SEARCH("Putrid Boils",L27),0) &gt; 0 , VLOOKUP("Putrid Boils", vote4TRAITS!A:C , 3, FALSE), ),
IF(IFERROR(SEARCH("Ravage",L27),0) &gt; 0 , VLOOKUP("Ravage", vote4TRAITS!A:C , 3, FALSE), ),
IF(IFERROR(SEARCH("Ravenous",L27),0) &gt; 0 , VLOOKUP("Ravenous", vote4TRAITS!A:C , 3, FALSE), ),
IF(IFERROR(SEARCH("Reach",L27),0) &gt; 0 , VLOOKUP("Reach", vote4TRAITS!A:C , 3, FALSE), ),
IF(IFERROR(SEARCH("Reanimation",L27),0) &gt; 0 , VLOOKUP("Reanimation", vote4TRAITS!A:C , 3, FALSE), ),
IF(IFERROR(SEARCH("Reaper",L27),0) &gt; 0 , VLOOKUP("Reaper", vote4TRAITS!A:C , 3, FALSE), ),
IF(IFERROR(SEARCH("Riposte",L27),0) &gt; 0 , VLOOKUP("Riposte", vote4TRAITS!A:C , 3, FALSE)),
IF(IFERROR(SEARCH("Scamper",L27),0) &gt; 0 , VLOOKUP("Scamper", vote4TRAITS!A:C , 3, FALSE), ),
IF(IFERROR(SEARCH("Small Beginnings",L27),0) &gt; 0 , VLOOKUP("Small Beginnings", vote4TRAITS!A:C , 3, FALSE), ),
IF(IFERROR(SEARCH("Spawner",L27),0) &gt; 0 , VLOOKUP("Spawner", vote4TRAITS!A:C , 3,FALSE), ),
IF(IFERROR(SEARCH("Shadowr",L27),0) &gt; 0 , VLOOKUP("Shadow", vote4TRAITS!A:C , 3,FALSE), ),
IF(IFERROR(SEARCH("Shadow Step",L27),0) &gt; 0 , VLOOKUP("Shadow Step", vote4TRAITS!A:C , 3,FALSE), ),
IF(IFERROR(SEARCH("Shambling",L27),0) &gt; 0 , VLOOKUP("Shambling", vote4TRAITS!A:C , 3,FALSE), ),
IF(IFERROR(SEARCH("Stealthy",L27),0) &gt; 0 , VLOOKUP("Stealthy", vote4TRAITS!A:C , 3, FALSE), ),
IF(IFERROR(SEARCH("Web",L27),0) &gt; 0 , VLOOKUP("Web", vote4TRAITS!A:C , 3, FALSE), ),
IF(IFERROR(SEARCH("+1 Willpower",L27),0) &gt; 0 , VLOOKUP("+1 Willpower", vote4TRAITS!A:C , 3, FALSE), ),
IF(IFERROR(SEARCH("+1 Might",L27),0) &gt; 0 , VLOOKUP("+1 Might", vote4TRAITS!A:C , 3, FALSE), ),
IF(IFERROR(SEARCH("+1 Knowledge",L27),0) &gt; 0 , VLOOKUP("+1 Knowledge", vote4TRAITS!A:C , 3, FALSE), ),
IF(IFERROR(SEARCH("+1 Awareness",L27),0) &gt; 0 , VLOOKUP("+1 Awareness", vote4TRAITS!A:C , 3, FALSE), ),
IF(IFERROR(SEARCH("-1 Willpower",L27),0) &gt; 0 , VLOOKUP("-1 Willpower", vote4TRAITS!A:C , 3, FALSE), ),
IF(IFERROR(SEARCH("+1 Health",L27),0) &gt; 0 , VLOOKUP("+1 Health", vote4TRAITS!A:C , 3, FALSE), ),
IF(IFERROR(SEARCH("+2 Health",L27),0) &gt; 0 , VLOOKUP("+2 Health", vote4TRAITS!A:C , 3, FALSE), ),
IF(IFERROR(SEARCH("+1 Stamina",L27),0) &gt; 0 , VLOOKUP("+1 Stamina", vote4TRAITS!A:C , 3, FALSE), ),
IF(IFERROR(SEARCH("+2 Stamina",L27),0) &gt; 0 , VLOOKUP("+2 Stamina", vote4TRAITS!A:C , 3, FALSE), ),
IFS(
IFERROR(SEARCH("+1 Range", L27),) &gt; 0 ,VLOOKUP("+1 Range", vote4TRAITS!A:C , 3, FALSE),
IFERROR(SEARCH("+2 Range", L27),) &gt; 0 ,VLOOKUP("+2 Range", vote4TRAITS!A:C , 3, FALSE),
IFERROR(SEARCH("+3 Range", L27),) &gt; 0,VLOOKUP("+3 Range", vote4TRAITS!A:C , 3, FALSE),
0=0,0)
,
IFS(
IFERROR(SEARCH("Sorcery 1", L27),) &gt; 0 ,VLOOKUP("Sorcery 1", vote4TRAITS!A:C , 3, FALSE),
IFERROR(SEARCH("Sorcery 2", L27),) &gt; 0 ,VLOOKUP("Sorcery 2", vote4TRAITS!A:C , 3, FALSE),
IFERROR(SEARCH("Sorcery 3", L27),) &gt; 0,VLOOKUP("Sorcery 3", vote4TRAITS!A:C , 3, FALSE),
0=0,0)
,
IFS(
IFERROR(SEARCH("Pierce 1", L27),) &gt; 0 ,VLOOKUP("Pierce 1", vote4TRAITS!A:C , 3, FALSE),
IFERROR(SEARCH("Pierce 2", L27),) &gt; 0 ,VLOOKUP("Pierce 2", vote4TRAITS!A:C , 3, FALSE),
IFERROR(SEARCH("Pierce 3", L27),) &gt; 0,VLOOKUP("Pierce 3", vote4TRAITS!A:C , 3, FALSE),
IFERROR(SEARCH("Pierce 4", L27),) &gt; 0 ,VLOOKUP("Pierce 4", vote4TRAITS!A:C , 3, FALSE),
0=0,0)
,
IFS(
IFERROR(SEARCH("+1 Health", L27),) &gt; 0 ,VLOOKUP("+1 Health", vote4TRAITS!A:C , 3, FALSE),
IFERROR(SEARCH("+2 Health", L27),) &gt; 0 ,VLOOKUP("+2 Health", vote4TRAITS!A:C , 3, FALSE),
IFERROR(SEARCH("+3 Health", L27),) &gt; 0 ,VLOOKUP("+3 Health", vote4TRAITS!A:C , 3, FALSE),
IFERROR(SEARCH("+4 Health", L27),) &gt; 0 ,VLOOKUP("+4 Health", vote4TRAITS!A:C , 3, FALSE),
0=0,0)
,
IFS(
IFERROR(SEARCH("Soul Shackle 1", L27),) &gt; 0 ,VLOOKUP("Soul Shackle 1", vote4TRAITS!A:C , 3, FALSE),
IFERROR(SEARCH("Soul Shackle 2", L27),) &gt; 0 ,VLOOKUP("Soul Shackle 2", vote4TRAITS!A:C , 3, FALSE),
IFERROR(SEARCH("Soul Shackle 3", L27),) &gt; 0,VLOOKUP("Soul Shackle 3", vote4TRAITS!A:C , 3, FALSE),
0=0,0)
)</f>
        <v>5.5</v>
      </c>
      <c r="N27" s="311" t="s">
        <v>1562</v>
      </c>
      <c r="O27" s="317">
        <f>IF(ISBLANK(N27),,IFERROR(
IF(IFERROR(SEARCH("SS:",N27),0) &gt; 0, 
VLOOKUP(SUBSTITUTE(N27,"SS: ",""),vote4SURGE!$A:$C , 3, FALSE) - 2,
VLOOKUP(SUBSTITUTE(N27,"S: ",""),vote4SURGE!$A:$C , 3, FALSE)
)
,
IF(IFERROR(SEARCH("SS:",N27),0) &gt; 0, 
VLOOKUP(C27,vote4SURGE!$A:$C , 3, FALSE) - 2,
VLOOKUP(C27,vote4SURGE!$A:$C , 3, FALSE)
)
))</f>
        <v>3.5</v>
      </c>
      <c r="P27" s="315" t="s">
        <v>1579</v>
      </c>
      <c r="Q27" s="317">
        <f>IF(ISBLANK(P27),,IFERROR(
IF(IFERROR(SEARCH("SS:",P27),0) &gt; 0, 
VLOOKUP(SUBSTITUTE(P27,"SS: ",""),vote4SURGE!$A:$C , 3, FALSE) - 2,
VLOOKUP(SUBSTITUTE(P27,"S: ",""),vote4SURGE!$A:$C , 3, FALSE)
)
,
IF(IFERROR(SEARCH("SS:",P27),0) &gt; 0, 
VLOOKUP(C27,vote4SURGE!$A:$C , 3, FALSE) - 2,
VLOOKUP(C27,vote4SURGE!$A:$C , 3, FALSE)
)
))</f>
        <v>2.5</v>
      </c>
      <c r="R27" s="318"/>
      <c r="S27" s="319" t="str">
        <f>IF(ISBLANK(R27),,IFERROR(
IF(IFERROR(SEARCH("SS:",R27),0) &gt; 0, 
VLOOKUP(SUBSTITUTE(R27,"SS: ",""),vote4SURGE!$A:$C , 3, FALSE) - 2,
VLOOKUP(SUBSTITUTE(R27,"S: ",""),vote4SURGE!$A:$C , 3, FALSE)
)
,
IF(IFERROR(SEARCH("SS:",R27),0) &gt; 0, 
VLOOKUP(C27,vote4SURGE!$A:$C , 3, FALSE) - 2,
VLOOKUP(C27,vote4SURGE!$A:$C , 3, FALSE)
)
))</f>
        <v/>
      </c>
      <c r="T27" s="320">
        <f t="shared" si="2"/>
        <v>2</v>
      </c>
      <c r="U27" s="320">
        <f>IFERROR(__xludf.DUMMYFUNCTION("ROUND(
IF(ISBLANK(G27),,
SWITCH(
LEN(G27) - LEN(SUBSTITUTE(G27,"","","""")),
0 , VLOOKUP(G27, Variables!$A:$C, 3, FALSE),
1 , VLOOKUP(index(split(G27 ,"", "", FALSE),1,1), Variables!$A:$C , 3, FALSE) + VLOOKUP(index(split(G27 ,"", "", FALSE),1,2), Variabl"&amp;"es!$A:$C , 3, FALSE),
2 , VLOOKUP(index(split(G27 ,"", "", FALSE),1,1), Variables!$A:$C , 3, FALSE) + VLOOKUP(index(split(G27 ,"", "", FALSE),1,2), Variables!$A:$C , 3, FALSE) + VLOOKUP(index(split(G27 ,"", "", FALSE),1,3), Variables!$A:$C , 3, FALSE),
3 "&amp;", VLOOKUP(index(split(G27 ,"", "", FALSE),1,1), Variables!$A:$C , 3, FALSE) + VLOOKUP(index(split(G27 ,"", "", FALSE),1,2), Variables!$A:$C , 3, FALSE) + VLOOKUP(index(split(G27 ,"", "", FALSE),1,3), Variables!$A:$C , 3, FALSE) + VLOOKUP(index(split(G27 ,"&amp;""", "", FALSE),1,4), Variables!$A:$C , 3, FALSE),
)
)
)"),1.0)</f>
        <v>1</v>
      </c>
      <c r="V27" s="317">
        <f t="shared" si="3"/>
        <v>4.75</v>
      </c>
      <c r="W27" s="321">
        <f t="shared" si="4"/>
        <v>13.58333333</v>
      </c>
      <c r="X27" s="322"/>
      <c r="Y27" s="322"/>
      <c r="Z27" s="322"/>
      <c r="AA27" s="322"/>
      <c r="AB27" s="322"/>
      <c r="AC27" s="322"/>
      <c r="AD27" s="322"/>
      <c r="AE27" s="322"/>
    </row>
    <row r="28" hidden="1">
      <c r="A28" s="310" t="s">
        <v>1556</v>
      </c>
      <c r="B28" s="93" t="str">
        <f t="shared" si="1"/>
        <v/>
      </c>
      <c r="C28" s="310" t="s">
        <v>908</v>
      </c>
      <c r="D28" s="323">
        <v>0.0</v>
      </c>
      <c r="E28" s="310" t="s">
        <v>1520</v>
      </c>
      <c r="F28" s="310" t="s">
        <v>1567</v>
      </c>
      <c r="G28" s="313" t="s">
        <v>1546</v>
      </c>
      <c r="H28" s="312">
        <f>IFERROR(__xludf.DUMMYFUNCTION(" IF(ISBLANK(G28),,
SWITCH(
LEN(G28) - LEN(SUBSTITUTE(G28,"","","""")),
0 , VLOOKUP(G28, Variables!$A:$B, 2, FALSE),
1 , VLOOKUP(index(split(G28 ,"", "", FALSE),1,1), Variables!$A:$B , 2, FALSE) + VLOOKUP(index(split(G28 ,"", "", FALSE),1,2), Variables!$A:"&amp;"$B , 2, FALSE),
2 , VLOOKUP(index(split(G28 ,"", "", FALSE),1,1), Variables!$A:$B , 2, FALSE) + VLOOKUP(index(split(G28 ,"", "", FALSE),1,2), Variables!$A:$B , 2, FALSE) + VLOOKUP(index(split(G28 ,"", "", FALSE),1,3), Variables!$A:$B , 2, FALSE),
3 , VLOO"&amp;"KUP(index(split(G28 ,"", "", FALSE),1,1), Variables!$A:$B , 2, FALSE) + VLOOKUP(index(split(G28 ,"", "", FALSE),1,2), Variables!$A:$B , 2, FALSE) + VLOOKUP(index(split(G28 ,"", "", FALSE),1,3), Variables!$A:$B , 2, FALSE) + VLOOKUP(index(split(G28 ,"", """&amp;", FALSE),1,4), Variables!$A:$B , 2, FALSE),
)
)"),3.5)</f>
        <v>3.5</v>
      </c>
      <c r="I28" s="310" t="s">
        <v>1533</v>
      </c>
      <c r="J28" s="311" t="s">
        <v>1580</v>
      </c>
      <c r="K28" s="314">
        <f>IFERROR(VLOOKUP(C28,vote4ITEMS!$A:$C, 3, FALSE),)</f>
        <v>3.333333333</v>
      </c>
      <c r="L28" s="324"/>
      <c r="M28" s="314">
        <f>SUM(
IF(IFERROR(SEARCH("Aura 1",L28),0) &gt; 0 , VLOOKUP("Aura 1", vote4TRAITS!A:C , 3, FALSE), ),
IF(IFERROR(SEARCH("Backswing",L28),0) &gt; 0 , VLOOKUP("Backswing", vote4TRAITS!A:C , 3, FALSE), ),
IF(IFERROR(SEARCH("Blast",L28),0) &gt; 0 , VLOOKUP("Blast", vote4TRAITS!A:C , 3, FALSE), ),
IF(IFERROR(SEARCH("Combustible",L28),0) &gt; 0 , VLOOKUP("Combustible", vote4TRAITS!A:C , 3, FALSE), ),
IF(IFERROR(SEARCH("Command",L28),0) &gt; 0 , VLOOKUP("Command", vote4TRAITS!A:C , 3, FALSE), ),
IF(IFERROR(SEARCH("Cowardly",L28),0) &gt; 0 , VLOOKUP("Cowardly", vote4TRAITS!A:C , 3, FALSE), ),
IF(IFERROR(SEARCH("Death Wish",L28),0) &gt; 0 , VLOOKUP("Death Wish", vote4TRAITS!A:C , 3, FALSE), ),
IF(IFERROR(SEARCH("Entomb",L28),0) &gt; 0 , VLOOKUP("Entomb", vote4TRAITS!A:C , 3, FALSE), ),
IF(IFERROR(SEARCH("Ethereal Hold",L28),0) &gt; 0 , VLOOKUP("Ethereal Hold", vote4TRAITS!A:C , 3, FALSE), ),
IF(IFERROR(SEARCH("Extend",L28),0) &gt; 0 , VLOOKUP("Extend", vote4TRAITS!A:C , 3, FALSE), ),
IF(IFERROR(SEARCH("Filthy Murk",L28),0) &gt; 0 , VLOOKUP("Filthy Murk", vote4TRAITS!A:C , 3, FALSE), ),
IF(IFERROR(SEARCH("Flame Fiend",L28),0) &gt; 0 , VLOOKUP("Flame Fiend", vote4TRAITS!A:C , 3, FALSE), ),
IF(IFERROR(SEARCH("Fleshmonger",L28),0) &gt; 0 , VLOOKUP("Fleshmonger", vote4TRAITS!A:C , 3, FALSE), ),
IF(IFERROR(SEARCH("Fly",L28),0) &gt; 0 , VLOOKUP("Fly", vote4TRAITS!A:C , 3, FALSE), ),
IF(IFERROR(SEARCH("Freezing",L28),0) &gt; 0 , VLOOKUP("Freezing", vote4TRAITS!A:C , 3, FALSE), ),
IF(IFERROR(SEARCH("Lithesome",L28),0) &gt; 0 , VLOOKUP("Lithesome", vote4TRAITS!A:C , 3, FALSE), ),
IF(IFERROR(SEARCH("Harrowing",L28),0) &gt; 0 , VLOOKUP("Harrowing", vote4TRAITS!A:C , 3, FALSE), ),
IF(IFERROR(SEARCH("Hideous Laughter",L28),0) &gt; 0 , VLOOKUP("Hideous Laughter", vote4TRAITS!A:C , 3, FALSE), ),
IF(IFERROR(SEARCH("Hive Defense",L28),0) &gt; 0 , VLOOKUP("Hive Defense", vote4TRAITS!A:C , 3, FALSE), ),
IF(IFERROR(SEARCH("Horrifying",L28),0) &gt; 0 , VLOOKUP("Horrifying", vote4TRAITS!A:C , 3, FALSE), ),
IF(IFERROR(SEARCH("Ironskin",L28),0) &gt; 0 , VLOOKUP("Ironskin", vote4TRAITS!A:C , 3, FALSE), ),
IF(IFERROR(SEARCH("Unmovable",L28),0) &gt; 0 , VLOOKUP("Unmovable", vote4TRAITS!A:C , 3, FALSE), ),
IF(IFERROR(SEARCH("Lifethirst 1",L28),0) &gt; 0 , VLOOKUP("Lifethirst 1", vote4TRAITS!A:C , 3, FALSE), ),
IF(IFERROR(SEARCH("Lifethirst 2",L28),0) &gt; 0 , VLOOKUP("Lifethirst 2", vote4TRAITS!A:C , 3, FALSE), ),
IF(IFERROR(SEARCH("Morph",L28),0) &gt; 0 , VLOOKUP("Morph", vote4TRAITS!A:C , 3, FALSE), ),
IF(IFERROR(SEARCH("Night Stalker",L28),0) &gt; 0 , VLOOKUP("Night Stalker", vote4TRAITS!A:C , 3, FALSE), ),
IF(IFERROR(SEARCH("Overflowing",L28),0) &gt; 0 , VLOOKUP("Overflowing", vote4TRAITS!A:C , 3, FALSE), ),
IF(IFERROR(SEARCH("Pestilence",L28),0) &gt; 0 , VLOOKUP("Pestilence", vote4TRAITS!A:C , 3, FALSE), ),
IF(IFERROR(SEARCH("Phalanx",L28),0) &gt; 0 , VLOOKUP("Phalanx", vote4TRAITS!A:C , 3, FALSE), ),
IF(IFERROR(SEARCH("Plagued",L28),0) &gt; 0 , VLOOKUP("Plagued", vote4TRAITS!A:C , 3, FALSE), ),
IF(IFERROR(SEARCH("Prey on the Weak",L28),0) &gt; 0 , VLOOKUP("Prey on the Weak", vote4TRAITS!A:C , 3, FALSE), ),
IF(IFERROR(SEARCH("Protect",L28),0) &gt; 0 , VLOOKUP("Protect", vote4TRAITS!A:C , 3, FALSE), ),
IF(IFERROR(SEARCH("Puncture",L28),0) &gt; 0 , VLOOKUP("Puncture", vote4TRAITS!A:C , 3, FALSE), ),
IF(IFERROR(SEARCH("Putrid Boils",L28),0) &gt; 0 , VLOOKUP("Putrid Boils", vote4TRAITS!A:C , 3, FALSE), ),
IF(IFERROR(SEARCH("Ravage",L28),0) &gt; 0 , VLOOKUP("Ravage", vote4TRAITS!A:C , 3, FALSE), ),
IF(IFERROR(SEARCH("Ravenous",L28),0) &gt; 0 , VLOOKUP("Ravenous", vote4TRAITS!A:C , 3, FALSE), ),
IF(IFERROR(SEARCH("Reach",L28),0) &gt; 0 , VLOOKUP("Reach", vote4TRAITS!A:C , 3, FALSE), ),
IF(IFERROR(SEARCH("Reanimation",L28),0) &gt; 0 , VLOOKUP("Reanimation", vote4TRAITS!A:C , 3, FALSE), ),
IF(IFERROR(SEARCH("Reaper",L28),0) &gt; 0 , VLOOKUP("Reaper", vote4TRAITS!A:C , 3, FALSE), ),
IF(IFERROR(SEARCH("Riposte",L28),0) &gt; 0 , VLOOKUP("Riposte", vote4TRAITS!A:C , 3, FALSE)),
IF(IFERROR(SEARCH("Scamper",L28),0) &gt; 0 , VLOOKUP("Scamper", vote4TRAITS!A:C , 3, FALSE), ),
IF(IFERROR(SEARCH("Small Beginnings",L28),0) &gt; 0 , VLOOKUP("Small Beginnings", vote4TRAITS!A:C , 3, FALSE), ),
IF(IFERROR(SEARCH("Spawner",L28),0) &gt; 0 , VLOOKUP("Spawner", vote4TRAITS!A:C , 3,FALSE), ),
IF(IFERROR(SEARCH("Shadowr",L28),0) &gt; 0 , VLOOKUP("Shadow", vote4TRAITS!A:C , 3,FALSE), ),
IF(IFERROR(SEARCH("Shadow Step",L28),0) &gt; 0 , VLOOKUP("Shadow Step", vote4TRAITS!A:C , 3,FALSE), ),
IF(IFERROR(SEARCH("Shambling",L28),0) &gt; 0 , VLOOKUP("Shambling", vote4TRAITS!A:C , 3,FALSE), ),
IF(IFERROR(SEARCH("Stealthy",L28),0) &gt; 0 , VLOOKUP("Stealthy", vote4TRAITS!A:C , 3, FALSE), ),
IF(IFERROR(SEARCH("Web",L28),0) &gt; 0 , VLOOKUP("Web", vote4TRAITS!A:C , 3, FALSE), ),
IF(IFERROR(SEARCH("+1 Willpower",L28),0) &gt; 0 , VLOOKUP("+1 Willpower", vote4TRAITS!A:C , 3, FALSE), ),
IF(IFERROR(SEARCH("+1 Might",L28),0) &gt; 0 , VLOOKUP("+1 Might", vote4TRAITS!A:C , 3, FALSE), ),
IF(IFERROR(SEARCH("+1 Knowledge",L28),0) &gt; 0 , VLOOKUP("+1 Knowledge", vote4TRAITS!A:C , 3, FALSE), ),
IF(IFERROR(SEARCH("+1 Awareness",L28),0) &gt; 0 , VLOOKUP("+1 Awareness", vote4TRAITS!A:C , 3, FALSE), ),
IF(IFERROR(SEARCH("-1 Willpower",L28),0) &gt; 0 , VLOOKUP("-1 Willpower", vote4TRAITS!A:C , 3, FALSE), ),
IF(IFERROR(SEARCH("+1 Health",L28),0) &gt; 0 , VLOOKUP("+1 Health", vote4TRAITS!A:C , 3, FALSE), ),
IF(IFERROR(SEARCH("+2 Health",L28),0) &gt; 0 , VLOOKUP("+2 Health", vote4TRAITS!A:C , 3, FALSE), ),
IF(IFERROR(SEARCH("+1 Stamina",L28),0) &gt; 0 , VLOOKUP("+1 Stamina", vote4TRAITS!A:C , 3, FALSE), ),
IF(IFERROR(SEARCH("+2 Stamina",L28),0) &gt; 0 , VLOOKUP("+2 Stamina", vote4TRAITS!A:C , 3, FALSE), ),
IFS(
IFERROR(SEARCH("+1 Range", L28),) &gt; 0 ,VLOOKUP("+1 Range", vote4TRAITS!A:C , 3, FALSE),
IFERROR(SEARCH("+2 Range", L28),) &gt; 0 ,VLOOKUP("+2 Range", vote4TRAITS!A:C , 3, FALSE),
IFERROR(SEARCH("+3 Range", L28),) &gt; 0,VLOOKUP("+3 Range", vote4TRAITS!A:C , 3, FALSE),
0=0,0)
,
IFS(
IFERROR(SEARCH("Sorcery 1", L28),) &gt; 0 ,VLOOKUP("Sorcery 1", vote4TRAITS!A:C , 3, FALSE),
IFERROR(SEARCH("Sorcery 2", L28),) &gt; 0 ,VLOOKUP("Sorcery 2", vote4TRAITS!A:C , 3, FALSE),
IFERROR(SEARCH("Sorcery 3", L28),) &gt; 0,VLOOKUP("Sorcery 3", vote4TRAITS!A:C , 3, FALSE),
0=0,0)
,
IFS(
IFERROR(SEARCH("Pierce 1", L28),) &gt; 0 ,VLOOKUP("Pierce 1", vote4TRAITS!A:C , 3, FALSE),
IFERROR(SEARCH("Pierce 2", L28),) &gt; 0 ,VLOOKUP("Pierce 2", vote4TRAITS!A:C , 3, FALSE),
IFERROR(SEARCH("Pierce 3", L28),) &gt; 0,VLOOKUP("Pierce 3", vote4TRAITS!A:C , 3, FALSE),
IFERROR(SEARCH("Pierce 4", L28),) &gt; 0 ,VLOOKUP("Pierce 4", vote4TRAITS!A:C , 3, FALSE),
0=0,0)
,
IFS(
IFERROR(SEARCH("+1 Health", L28),) &gt; 0 ,VLOOKUP("+1 Health", vote4TRAITS!A:C , 3, FALSE),
IFERROR(SEARCH("+2 Health", L28),) &gt; 0 ,VLOOKUP("+2 Health", vote4TRAITS!A:C , 3, FALSE),
IFERROR(SEARCH("+3 Health", L28),) &gt; 0 ,VLOOKUP("+3 Health", vote4TRAITS!A:C , 3, FALSE),
IFERROR(SEARCH("+4 Health", L28),) &gt; 0 ,VLOOKUP("+4 Health", vote4TRAITS!A:C , 3, FALSE),
0=0,0)
,
IFS(
IFERROR(SEARCH("Soul Shackle 1", L28),) &gt; 0 ,VLOOKUP("Soul Shackle 1", vote4TRAITS!A:C , 3, FALSE),
IFERROR(SEARCH("Soul Shackle 2", L28),) &gt; 0 ,VLOOKUP("Soul Shackle 2", vote4TRAITS!A:C , 3, FALSE),
IFERROR(SEARCH("Soul Shackle 3", L28),) &gt; 0,VLOOKUP("Soul Shackle 3", vote4TRAITS!A:C , 3, FALSE),
0=0,0)
)</f>
        <v>0</v>
      </c>
      <c r="N28" s="324" t="s">
        <v>1581</v>
      </c>
      <c r="O28" s="317">
        <f>IF(ISBLANK(N28),,IFERROR(
IF(IFERROR(SEARCH("SS:",N28),0) &gt; 0, 
VLOOKUP(SUBSTITUTE(N28,"SS: ",""),vote4SURGE!$A:$C , 3, FALSE) - 2,
VLOOKUP(SUBSTITUTE(N28,"S: ",""),vote4SURGE!$A:$C , 3, FALSE)
)
,
IF(IFERROR(SEARCH("SS:",N28),0) &gt; 0, 
VLOOKUP(C28,vote4SURGE!$A:$C , 3, FALSE) - 2,
VLOOKUP(C28,vote4SURGE!$A:$C , 3, FALSE)
)
))</f>
        <v>3.75</v>
      </c>
      <c r="P28" s="315" t="s">
        <v>1534</v>
      </c>
      <c r="Q28" s="317">
        <f>IF(ISBLANK(P28),,IFERROR(
IF(IFERROR(SEARCH("SS:",P28),0) &gt; 0, 
VLOOKUP(SUBSTITUTE(P28,"SS: ",""),vote4SURGE!$A:$C , 3, FALSE) - 2,
VLOOKUP(SUBSTITUTE(P28,"S: ",""),vote4SURGE!$A:$C , 3, FALSE)
)
,
IF(IFERROR(SEARCH("SS:",P28),0) &gt; 0, 
VLOOKUP(C28,vote4SURGE!$A:$C , 3, FALSE) - 2,
VLOOKUP(C28,vote4SURGE!$A:$C , 3, FALSE)
)
))</f>
        <v>4.25</v>
      </c>
      <c r="R28" s="318"/>
      <c r="S28" s="319" t="str">
        <f>IF(ISBLANK(R28),,IFERROR(
IF(IFERROR(SEARCH("SS:",R28),0) &gt; 0, 
VLOOKUP(SUBSTITUTE(R28,"SS: ",""),vote4SURGE!$A:$C , 3, FALSE) - 2,
VLOOKUP(SUBSTITUTE(R28,"S: ",""),vote4SURGE!$A:$C , 3, FALSE)
)
,
IF(IFERROR(SEARCH("SS:",R28),0) &gt; 0, 
VLOOKUP(C28,vote4SURGE!$A:$C , 3, FALSE) - 2,
VLOOKUP(C28,vote4SURGE!$A:$C , 3, FALSE)
)
))</f>
        <v/>
      </c>
      <c r="T28" s="320">
        <f t="shared" si="2"/>
        <v>2</v>
      </c>
      <c r="U28" s="320">
        <f>IFERROR(__xludf.DUMMYFUNCTION("ROUND(
IF(ISBLANK(G28),,
SWITCH(
LEN(G28) - LEN(SUBSTITUTE(G28,"","","""")),
0 , VLOOKUP(G28, Variables!$A:$C, 3, FALSE),
1 , VLOOKUP(index(split(G28 ,"", "", FALSE),1,1), Variables!$A:$C , 3, FALSE) + VLOOKUP(index(split(G28 ,"", "", FALSE),1,2), Variabl"&amp;"es!$A:$C , 3, FALSE),
2 , VLOOKUP(index(split(G28 ,"", "", FALSE),1,1), Variables!$A:$C , 3, FALSE) + VLOOKUP(index(split(G28 ,"", "", FALSE),1,2), Variables!$A:$C , 3, FALSE) + VLOOKUP(index(split(G28 ,"", "", FALSE),1,3), Variables!$A:$C , 3, FALSE),
3 "&amp;", VLOOKUP(index(split(G28 ,"", "", FALSE),1,1), Variables!$A:$C , 3, FALSE) + VLOOKUP(index(split(G28 ,"", "", FALSE),1,2), Variables!$A:$C , 3, FALSE) + VLOOKUP(index(split(G28 ,"", "", FALSE),1,3), Variables!$A:$C , 3, FALSE) + VLOOKUP(index(split(G28 ,"&amp;""", "", FALSE),1,4), Variables!$A:$C , 3, FALSE),
)
)
)"),1.0)</f>
        <v>1</v>
      </c>
      <c r="V28" s="317">
        <f t="shared" si="3"/>
        <v>6.125</v>
      </c>
      <c r="W28" s="321">
        <f t="shared" si="4"/>
        <v>12.95833333</v>
      </c>
      <c r="X28" s="322"/>
      <c r="Y28" s="322"/>
      <c r="Z28" s="322"/>
      <c r="AA28" s="322"/>
      <c r="AB28" s="322"/>
      <c r="AC28" s="322"/>
      <c r="AD28" s="322"/>
      <c r="AE28" s="322"/>
    </row>
    <row r="29" hidden="1">
      <c r="A29" s="310">
        <v>2.0</v>
      </c>
      <c r="B29" s="93">
        <f t="shared" si="1"/>
        <v>8</v>
      </c>
      <c r="C29" s="310" t="s">
        <v>1582</v>
      </c>
      <c r="D29" s="310">
        <v>250.0</v>
      </c>
      <c r="E29" s="310" t="s">
        <v>1520</v>
      </c>
      <c r="F29" s="310" t="s">
        <v>1531</v>
      </c>
      <c r="G29" s="313" t="s">
        <v>1522</v>
      </c>
      <c r="H29" s="312">
        <f>IFERROR(__xludf.DUMMYFUNCTION(" IF(ISBLANK(G29),,
SWITCH(
LEN(G29) - LEN(SUBSTITUTE(G29,"","","""")),
0 , VLOOKUP(G29, Variables!$A:$B, 2, FALSE),
1 , VLOOKUP(index(split(G29 ,"", "", FALSE),1,1), Variables!$A:$B , 2, FALSE) + VLOOKUP(index(split(G29 ,"", "", FALSE),1,2), Variables!$A:"&amp;"$B , 2, FALSE),
2 , VLOOKUP(index(split(G29 ,"", "", FALSE),1,1), Variables!$A:$B , 2, FALSE) + VLOOKUP(index(split(G29 ,"", "", FALSE),1,2), Variables!$A:$B , 2, FALSE) + VLOOKUP(index(split(G29 ,"", "", FALSE),1,3), Variables!$A:$B , 2, FALSE),
3 , VLOO"&amp;"KUP(index(split(G29 ,"", "", FALSE),1,1), Variables!$A:$B , 2, FALSE) + VLOOKUP(index(split(G29 ,"", "", FALSE),1,2), Variables!$A:$B , 2, FALSE) + VLOOKUP(index(split(G29 ,"", "", FALSE),1,3), Variables!$A:$B , 2, FALSE) + VLOOKUP(index(split(G29 ,"", """&amp;", FALSE),1,4), Variables!$A:$B , 2, FALSE),
)
)"),3.9999999999999996)</f>
        <v>4</v>
      </c>
      <c r="I29" s="310" t="s">
        <v>1541</v>
      </c>
      <c r="J29" s="313"/>
      <c r="K29" s="314" t="str">
        <f>IFERROR(VLOOKUP(C29,vote4ITEMS!$A:$C, 3, FALSE),)</f>
        <v/>
      </c>
      <c r="L29" s="313" t="s">
        <v>1078</v>
      </c>
      <c r="M29" s="314">
        <f>SUM(
IF(IFERROR(SEARCH("Aura 1",L29),0) &gt; 0 , VLOOKUP("Aura 1", vote4TRAITS!A:C , 3, FALSE), ),
IF(IFERROR(SEARCH("Backswing",L29),0) &gt; 0 , VLOOKUP("Backswing", vote4TRAITS!A:C , 3, FALSE), ),
IF(IFERROR(SEARCH("Blast",L29),0) &gt; 0 , VLOOKUP("Blast", vote4TRAITS!A:C , 3, FALSE), ),
IF(IFERROR(SEARCH("Combustible",L29),0) &gt; 0 , VLOOKUP("Combustible", vote4TRAITS!A:C , 3, FALSE), ),
IF(IFERROR(SEARCH("Command",L29),0) &gt; 0 , VLOOKUP("Command", vote4TRAITS!A:C , 3, FALSE), ),
IF(IFERROR(SEARCH("Cowardly",L29),0) &gt; 0 , VLOOKUP("Cowardly", vote4TRAITS!A:C , 3, FALSE), ),
IF(IFERROR(SEARCH("Death Wish",L29),0) &gt; 0 , VLOOKUP("Death Wish", vote4TRAITS!A:C , 3, FALSE), ),
IF(IFERROR(SEARCH("Entomb",L29),0) &gt; 0 , VLOOKUP("Entomb", vote4TRAITS!A:C , 3, FALSE), ),
IF(IFERROR(SEARCH("Ethereal Hold",L29),0) &gt; 0 , VLOOKUP("Ethereal Hold", vote4TRAITS!A:C , 3, FALSE), ),
IF(IFERROR(SEARCH("Extend",L29),0) &gt; 0 , VLOOKUP("Extend", vote4TRAITS!A:C , 3, FALSE), ),
IF(IFERROR(SEARCH("Filthy Murk",L29),0) &gt; 0 , VLOOKUP("Filthy Murk", vote4TRAITS!A:C , 3, FALSE), ),
IF(IFERROR(SEARCH("Flame Fiend",L29),0) &gt; 0 , VLOOKUP("Flame Fiend", vote4TRAITS!A:C , 3, FALSE), ),
IF(IFERROR(SEARCH("Fleshmonger",L29),0) &gt; 0 , VLOOKUP("Fleshmonger", vote4TRAITS!A:C , 3, FALSE), ),
IF(IFERROR(SEARCH("Fly",L29),0) &gt; 0 , VLOOKUP("Fly", vote4TRAITS!A:C , 3, FALSE), ),
IF(IFERROR(SEARCH("Freezing",L29),0) &gt; 0 , VLOOKUP("Freezing", vote4TRAITS!A:C , 3, FALSE), ),
IF(IFERROR(SEARCH("Lithesome",L29),0) &gt; 0 , VLOOKUP("Lithesome", vote4TRAITS!A:C , 3, FALSE), ),
IF(IFERROR(SEARCH("Harrowing",L29),0) &gt; 0 , VLOOKUP("Harrowing", vote4TRAITS!A:C , 3, FALSE), ),
IF(IFERROR(SEARCH("Hideous Laughter",L29),0) &gt; 0 , VLOOKUP("Hideous Laughter", vote4TRAITS!A:C , 3, FALSE), ),
IF(IFERROR(SEARCH("Hive Defense",L29),0) &gt; 0 , VLOOKUP("Hive Defense", vote4TRAITS!A:C , 3, FALSE), ),
IF(IFERROR(SEARCH("Horrifying",L29),0) &gt; 0 , VLOOKUP("Horrifying", vote4TRAITS!A:C , 3, FALSE), ),
IF(IFERROR(SEARCH("Ironskin",L29),0) &gt; 0 , VLOOKUP("Ironskin", vote4TRAITS!A:C , 3, FALSE), ),
IF(IFERROR(SEARCH("Unmovable",L29),0) &gt; 0 , VLOOKUP("Unmovable", vote4TRAITS!A:C , 3, FALSE), ),
IF(IFERROR(SEARCH("Lifethirst 1",L29),0) &gt; 0 , VLOOKUP("Lifethirst 1", vote4TRAITS!A:C , 3, FALSE), ),
IF(IFERROR(SEARCH("Lifethirst 2",L29),0) &gt; 0 , VLOOKUP("Lifethirst 2", vote4TRAITS!A:C , 3, FALSE), ),
IF(IFERROR(SEARCH("Morph",L29),0) &gt; 0 , VLOOKUP("Morph", vote4TRAITS!A:C , 3, FALSE), ),
IF(IFERROR(SEARCH("Night Stalker",L29),0) &gt; 0 , VLOOKUP("Night Stalker", vote4TRAITS!A:C , 3, FALSE), ),
IF(IFERROR(SEARCH("Overflowing",L29),0) &gt; 0 , VLOOKUP("Overflowing", vote4TRAITS!A:C , 3, FALSE), ),
IF(IFERROR(SEARCH("Pestilence",L29),0) &gt; 0 , VLOOKUP("Pestilence", vote4TRAITS!A:C , 3, FALSE), ),
IF(IFERROR(SEARCH("Phalanx",L29),0) &gt; 0 , VLOOKUP("Phalanx", vote4TRAITS!A:C , 3, FALSE), ),
IF(IFERROR(SEARCH("Plagued",L29),0) &gt; 0 , VLOOKUP("Plagued", vote4TRAITS!A:C , 3, FALSE), ),
IF(IFERROR(SEARCH("Prey on the Weak",L29),0) &gt; 0 , VLOOKUP("Prey on the Weak", vote4TRAITS!A:C , 3, FALSE), ),
IF(IFERROR(SEARCH("Protect",L29),0) &gt; 0 , VLOOKUP("Protect", vote4TRAITS!A:C , 3, FALSE), ),
IF(IFERROR(SEARCH("Puncture",L29),0) &gt; 0 , VLOOKUP("Puncture", vote4TRAITS!A:C , 3, FALSE), ),
IF(IFERROR(SEARCH("Putrid Boils",L29),0) &gt; 0 , VLOOKUP("Putrid Boils", vote4TRAITS!A:C , 3, FALSE), ),
IF(IFERROR(SEARCH("Ravage",L29),0) &gt; 0 , VLOOKUP("Ravage", vote4TRAITS!A:C , 3, FALSE), ),
IF(IFERROR(SEARCH("Ravenous",L29),0) &gt; 0 , VLOOKUP("Ravenous", vote4TRAITS!A:C , 3, FALSE), ),
IF(IFERROR(SEARCH("Reach",L29),0) &gt; 0 , VLOOKUP("Reach", vote4TRAITS!A:C , 3, FALSE), ),
IF(IFERROR(SEARCH("Reanimation",L29),0) &gt; 0 , VLOOKUP("Reanimation", vote4TRAITS!A:C , 3, FALSE), ),
IF(IFERROR(SEARCH("Reaper",L29),0) &gt; 0 , VLOOKUP("Reaper", vote4TRAITS!A:C , 3, FALSE), ),
IF(IFERROR(SEARCH("Riposte",L29),0) &gt; 0 , VLOOKUP("Riposte", vote4TRAITS!A:C , 3, FALSE)),
IF(IFERROR(SEARCH("Scamper",L29),0) &gt; 0 , VLOOKUP("Scamper", vote4TRAITS!A:C , 3, FALSE), ),
IF(IFERROR(SEARCH("Small Beginnings",L29),0) &gt; 0 , VLOOKUP("Small Beginnings", vote4TRAITS!A:C , 3, FALSE), ),
IF(IFERROR(SEARCH("Spawner",L29),0) &gt; 0 , VLOOKUP("Spawner", vote4TRAITS!A:C , 3,FALSE), ),
IF(IFERROR(SEARCH("Shadowr",L29),0) &gt; 0 , VLOOKUP("Shadow", vote4TRAITS!A:C , 3,FALSE), ),
IF(IFERROR(SEARCH("Shadow Step",L29),0) &gt; 0 , VLOOKUP("Shadow Step", vote4TRAITS!A:C , 3,FALSE), ),
IF(IFERROR(SEARCH("Shambling",L29),0) &gt; 0 , VLOOKUP("Shambling", vote4TRAITS!A:C , 3,FALSE), ),
IF(IFERROR(SEARCH("Stealthy",L29),0) &gt; 0 , VLOOKUP("Stealthy", vote4TRAITS!A:C , 3, FALSE), ),
IF(IFERROR(SEARCH("Web",L29),0) &gt; 0 , VLOOKUP("Web", vote4TRAITS!A:C , 3, FALSE), ),
IF(IFERROR(SEARCH("+1 Willpower",L29),0) &gt; 0 , VLOOKUP("+1 Willpower", vote4TRAITS!A:C , 3, FALSE), ),
IF(IFERROR(SEARCH("+1 Might",L29),0) &gt; 0 , VLOOKUP("+1 Might", vote4TRAITS!A:C , 3, FALSE), ),
IF(IFERROR(SEARCH("+1 Knowledge",L29),0) &gt; 0 , VLOOKUP("+1 Knowledge", vote4TRAITS!A:C , 3, FALSE), ),
IF(IFERROR(SEARCH("+1 Awareness",L29),0) &gt; 0 , VLOOKUP("+1 Awareness", vote4TRAITS!A:C , 3, FALSE), ),
IF(IFERROR(SEARCH("-1 Willpower",L29),0) &gt; 0 , VLOOKUP("-1 Willpower", vote4TRAITS!A:C , 3, FALSE), ),
IF(IFERROR(SEARCH("+1 Health",L29),0) &gt; 0 , VLOOKUP("+1 Health", vote4TRAITS!A:C , 3, FALSE), ),
IF(IFERROR(SEARCH("+2 Health",L29),0) &gt; 0 , VLOOKUP("+2 Health", vote4TRAITS!A:C , 3, FALSE), ),
IF(IFERROR(SEARCH("+1 Stamina",L29),0) &gt; 0 , VLOOKUP("+1 Stamina", vote4TRAITS!A:C , 3, FALSE), ),
IF(IFERROR(SEARCH("+2 Stamina",L29),0) &gt; 0 , VLOOKUP("+2 Stamina", vote4TRAITS!A:C , 3, FALSE), ),
IFS(
IFERROR(SEARCH("+1 Range", L29),) &gt; 0 ,VLOOKUP("+1 Range", vote4TRAITS!A:C , 3, FALSE),
IFERROR(SEARCH("+2 Range", L29),) &gt; 0 ,VLOOKUP("+2 Range", vote4TRAITS!A:C , 3, FALSE),
IFERROR(SEARCH("+3 Range", L29),) &gt; 0,VLOOKUP("+3 Range", vote4TRAITS!A:C , 3, FALSE),
0=0,0)
,
IFS(
IFERROR(SEARCH("Sorcery 1", L29),) &gt; 0 ,VLOOKUP("Sorcery 1", vote4TRAITS!A:C , 3, FALSE),
IFERROR(SEARCH("Sorcery 2", L29),) &gt; 0 ,VLOOKUP("Sorcery 2", vote4TRAITS!A:C , 3, FALSE),
IFERROR(SEARCH("Sorcery 3", L29),) &gt; 0,VLOOKUP("Sorcery 3", vote4TRAITS!A:C , 3, FALSE),
0=0,0)
,
IFS(
IFERROR(SEARCH("Pierce 1", L29),) &gt; 0 ,VLOOKUP("Pierce 1", vote4TRAITS!A:C , 3, FALSE),
IFERROR(SEARCH("Pierce 2", L29),) &gt; 0 ,VLOOKUP("Pierce 2", vote4TRAITS!A:C , 3, FALSE),
IFERROR(SEARCH("Pierce 3", L29),) &gt; 0,VLOOKUP("Pierce 3", vote4TRAITS!A:C , 3, FALSE),
IFERROR(SEARCH("Pierce 4", L29),) &gt; 0 ,VLOOKUP("Pierce 4", vote4TRAITS!A:C , 3, FALSE),
0=0,0)
,
IFS(
IFERROR(SEARCH("+1 Health", L29),) &gt; 0 ,VLOOKUP("+1 Health", vote4TRAITS!A:C , 3, FALSE),
IFERROR(SEARCH("+2 Health", L29),) &gt; 0 ,VLOOKUP("+2 Health", vote4TRAITS!A:C , 3, FALSE),
IFERROR(SEARCH("+3 Health", L29),) &gt; 0 ,VLOOKUP("+3 Health", vote4TRAITS!A:C , 3, FALSE),
IFERROR(SEARCH("+4 Health", L29),) &gt; 0 ,VLOOKUP("+4 Health", vote4TRAITS!A:C , 3, FALSE),
0=0,0)
,
IFS(
IFERROR(SEARCH("Soul Shackle 1", L29),) &gt; 0 ,VLOOKUP("Soul Shackle 1", vote4TRAITS!A:C , 3, FALSE),
IFERROR(SEARCH("Soul Shackle 2", L29),) &gt; 0 ,VLOOKUP("Soul Shackle 2", vote4TRAITS!A:C , 3, FALSE),
IFERROR(SEARCH("Soul Shackle 3", L29),) &gt; 0,VLOOKUP("Soul Shackle 3", vote4TRAITS!A:C , 3, FALSE),
0=0,0)
)</f>
        <v>6.25</v>
      </c>
      <c r="N29" s="311" t="s">
        <v>1581</v>
      </c>
      <c r="O29" s="317">
        <f>IF(ISBLANK(N29),,IFERROR(
IF(IFERROR(SEARCH("SS:",N29),0) &gt; 0, 
VLOOKUP(SUBSTITUTE(N29,"SS: ",""),vote4SURGE!$A:$C , 3, FALSE) - 2,
VLOOKUP(SUBSTITUTE(N29,"S: ",""),vote4SURGE!$A:$C , 3, FALSE)
)
,
IF(IFERROR(SEARCH("SS:",N29),0) &gt; 0, 
VLOOKUP(C29,vote4SURGE!$A:$C , 3, FALSE) - 2,
VLOOKUP(C29,vote4SURGE!$A:$C , 3, FALSE)
)
))</f>
        <v>3.75</v>
      </c>
      <c r="P29" s="105" t="s">
        <v>1583</v>
      </c>
      <c r="Q29" s="317">
        <f>IF(ISBLANK(P29),,IFERROR(
IF(IFERROR(SEARCH("SS:",P29),0) &gt; 0, 
VLOOKUP(SUBSTITUTE(P29,"SS: ",""),vote4SURGE!$A:$C , 3, FALSE) - 2,
VLOOKUP(SUBSTITUTE(P29,"S: ",""),vote4SURGE!$A:$C , 3, FALSE)
)
,
IF(IFERROR(SEARCH("SS:",P29),0) &gt; 0, 
VLOOKUP(C29,vote4SURGE!$A:$C , 3, FALSE) - 2,
VLOOKUP(C29,vote4SURGE!$A:$C , 3, FALSE)
)
))</f>
        <v>3.333333333</v>
      </c>
      <c r="R29" s="318"/>
      <c r="S29" s="319" t="str">
        <f>IF(ISBLANK(R29),,IFERROR(
IF(IFERROR(SEARCH("SS:",R29),0) &gt; 0, 
VLOOKUP(SUBSTITUTE(R29,"SS: ",""),vote4SURGE!$A:$C , 3, FALSE) - 2,
VLOOKUP(SUBSTITUTE(R29,"S: ",""),vote4SURGE!$A:$C , 3, FALSE)
)
,
IF(IFERROR(SEARCH("SS:",R29),0) &gt; 0, 
VLOOKUP(C29,vote4SURGE!$A:$C , 3, FALSE) - 2,
VLOOKUP(C29,vote4SURGE!$A:$C , 3, FALSE)
)
))</f>
        <v/>
      </c>
      <c r="T29" s="320">
        <f t="shared" si="2"/>
        <v>3</v>
      </c>
      <c r="U29" s="320">
        <f>IFERROR(__xludf.DUMMYFUNCTION("ROUND(
IF(ISBLANK(G29),,
SWITCH(
LEN(G29) - LEN(SUBSTITUTE(G29,"","","""")),
0 , VLOOKUP(G29, Variables!$A:$C, 3, FALSE),
1 , VLOOKUP(index(split(G29 ,"", "", FALSE),1,1), Variables!$A:$C , 3, FALSE) + VLOOKUP(index(split(G29 ,"", "", FALSE),1,2), Variabl"&amp;"es!$A:$C , 3, FALSE),
2 , VLOOKUP(index(split(G29 ,"", "", FALSE),1,1), Variables!$A:$C , 3, FALSE) + VLOOKUP(index(split(G29 ,"", "", FALSE),1,2), Variables!$A:$C , 3, FALSE) + VLOOKUP(index(split(G29 ,"", "", FALSE),1,3), Variables!$A:$C , 3, FALSE),
3 "&amp;", VLOOKUP(index(split(G29 ,"", "", FALSE),1,1), Variables!$A:$C , 3, FALSE) + VLOOKUP(index(split(G29 ,"", "", FALSE),1,2), Variables!$A:$C , 3, FALSE) + VLOOKUP(index(split(G29 ,"", "", FALSE),1,3), Variables!$A:$C , 3, FALSE) + VLOOKUP(index(split(G29 ,"&amp;""", "", FALSE),1,4), Variables!$A:$C , 3, FALSE),
)
)
)"),1.0)</f>
        <v>1</v>
      </c>
      <c r="V29" s="317">
        <f t="shared" si="3"/>
        <v>4.861111111</v>
      </c>
      <c r="W29" s="321">
        <f t="shared" si="4"/>
        <v>15.11111111</v>
      </c>
      <c r="X29" s="322"/>
      <c r="Y29" s="322"/>
      <c r="Z29" s="322"/>
      <c r="AA29" s="322"/>
      <c r="AB29" s="322"/>
      <c r="AC29" s="322"/>
      <c r="AD29" s="322"/>
      <c r="AE29" s="322"/>
    </row>
    <row r="30" hidden="1">
      <c r="A30" s="310">
        <v>2.0</v>
      </c>
      <c r="B30" s="93">
        <f t="shared" si="1"/>
        <v>7</v>
      </c>
      <c r="C30" s="310" t="s">
        <v>1584</v>
      </c>
      <c r="D30" s="310">
        <v>200.0</v>
      </c>
      <c r="E30" s="310" t="s">
        <v>1520</v>
      </c>
      <c r="F30" s="310" t="s">
        <v>1531</v>
      </c>
      <c r="G30" s="313" t="s">
        <v>1546</v>
      </c>
      <c r="H30" s="312">
        <f>IFERROR(__xludf.DUMMYFUNCTION(" IF(ISBLANK(G30),,
SWITCH(
LEN(G30) - LEN(SUBSTITUTE(G30,"","","""")),
0 , VLOOKUP(G30, Variables!$A:$B, 2, FALSE),
1 , VLOOKUP(index(split(G30 ,"", "", FALSE),1,1), Variables!$A:$B , 2, FALSE) + VLOOKUP(index(split(G30 ,"", "", FALSE),1,2), Variables!$A:"&amp;"$B , 2, FALSE),
2 , VLOOKUP(index(split(G30 ,"", "", FALSE),1,1), Variables!$A:$B , 2, FALSE) + VLOOKUP(index(split(G30 ,"", "", FALSE),1,2), Variables!$A:$B , 2, FALSE) + VLOOKUP(index(split(G30 ,"", "", FALSE),1,3), Variables!$A:$B , 2, FALSE),
3 , VLOO"&amp;"KUP(index(split(G30 ,"", "", FALSE),1,1), Variables!$A:$B , 2, FALSE) + VLOOKUP(index(split(G30 ,"", "", FALSE),1,2), Variables!$A:$B , 2, FALSE) + VLOOKUP(index(split(G30 ,"", "", FALSE),1,3), Variables!$A:$B , 2, FALSE) + VLOOKUP(index(split(G30 ,"", """&amp;", FALSE),1,4), Variables!$A:$B , 2, FALSE),
)
)"),3.5)</f>
        <v>3.5</v>
      </c>
      <c r="I30" s="310" t="s">
        <v>1554</v>
      </c>
      <c r="J30" s="313"/>
      <c r="K30" s="314" t="str">
        <f>IFERROR(VLOOKUP(C30,vote4ITEMS!$A:$C, 3, FALSE),)</f>
        <v/>
      </c>
      <c r="L30" s="313" t="s">
        <v>1076</v>
      </c>
      <c r="M30" s="314">
        <f>SUM(
IF(IFERROR(SEARCH("Aura 1",L30),0) &gt; 0 , VLOOKUP("Aura 1", vote4TRAITS!A:C , 3, FALSE), ),
IF(IFERROR(SEARCH("Backswing",L30),0) &gt; 0 , VLOOKUP("Backswing", vote4TRAITS!A:C , 3, FALSE), ),
IF(IFERROR(SEARCH("Blast",L30),0) &gt; 0 , VLOOKUP("Blast", vote4TRAITS!A:C , 3, FALSE), ),
IF(IFERROR(SEARCH("Combustible",L30),0) &gt; 0 , VLOOKUP("Combustible", vote4TRAITS!A:C , 3, FALSE), ),
IF(IFERROR(SEARCH("Command",L30),0) &gt; 0 , VLOOKUP("Command", vote4TRAITS!A:C , 3, FALSE), ),
IF(IFERROR(SEARCH("Cowardly",L30),0) &gt; 0 , VLOOKUP("Cowardly", vote4TRAITS!A:C , 3, FALSE), ),
IF(IFERROR(SEARCH("Death Wish",L30),0) &gt; 0 , VLOOKUP("Death Wish", vote4TRAITS!A:C , 3, FALSE), ),
IF(IFERROR(SEARCH("Entomb",L30),0) &gt; 0 , VLOOKUP("Entomb", vote4TRAITS!A:C , 3, FALSE), ),
IF(IFERROR(SEARCH("Ethereal Hold",L30),0) &gt; 0 , VLOOKUP("Ethereal Hold", vote4TRAITS!A:C , 3, FALSE), ),
IF(IFERROR(SEARCH("Extend",L30),0) &gt; 0 , VLOOKUP("Extend", vote4TRAITS!A:C , 3, FALSE), ),
IF(IFERROR(SEARCH("Filthy Murk",L30),0) &gt; 0 , VLOOKUP("Filthy Murk", vote4TRAITS!A:C , 3, FALSE), ),
IF(IFERROR(SEARCH("Flame Fiend",L30),0) &gt; 0 , VLOOKUP("Flame Fiend", vote4TRAITS!A:C , 3, FALSE), ),
IF(IFERROR(SEARCH("Fleshmonger",L30),0) &gt; 0 , VLOOKUP("Fleshmonger", vote4TRAITS!A:C , 3, FALSE), ),
IF(IFERROR(SEARCH("Fly",L30),0) &gt; 0 , VLOOKUP("Fly", vote4TRAITS!A:C , 3, FALSE), ),
IF(IFERROR(SEARCH("Freezing",L30),0) &gt; 0 , VLOOKUP("Freezing", vote4TRAITS!A:C , 3, FALSE), ),
IF(IFERROR(SEARCH("Lithesome",L30),0) &gt; 0 , VLOOKUP("Lithesome", vote4TRAITS!A:C , 3, FALSE), ),
IF(IFERROR(SEARCH("Harrowing",L30),0) &gt; 0 , VLOOKUP("Harrowing", vote4TRAITS!A:C , 3, FALSE), ),
IF(IFERROR(SEARCH("Hideous Laughter",L30),0) &gt; 0 , VLOOKUP("Hideous Laughter", vote4TRAITS!A:C , 3, FALSE), ),
IF(IFERROR(SEARCH("Hive Defense",L30),0) &gt; 0 , VLOOKUP("Hive Defense", vote4TRAITS!A:C , 3, FALSE), ),
IF(IFERROR(SEARCH("Horrifying",L30),0) &gt; 0 , VLOOKUP("Horrifying", vote4TRAITS!A:C , 3, FALSE), ),
IF(IFERROR(SEARCH("Ironskin",L30),0) &gt; 0 , VLOOKUP("Ironskin", vote4TRAITS!A:C , 3, FALSE), ),
IF(IFERROR(SEARCH("Unmovable",L30),0) &gt; 0 , VLOOKUP("Unmovable", vote4TRAITS!A:C , 3, FALSE), ),
IF(IFERROR(SEARCH("Lifethirst 1",L30),0) &gt; 0 , VLOOKUP("Lifethirst 1", vote4TRAITS!A:C , 3, FALSE), ),
IF(IFERROR(SEARCH("Lifethirst 2",L30),0) &gt; 0 , VLOOKUP("Lifethirst 2", vote4TRAITS!A:C , 3, FALSE), ),
IF(IFERROR(SEARCH("Morph",L30),0) &gt; 0 , VLOOKUP("Morph", vote4TRAITS!A:C , 3, FALSE), ),
IF(IFERROR(SEARCH("Night Stalker",L30),0) &gt; 0 , VLOOKUP("Night Stalker", vote4TRAITS!A:C , 3, FALSE), ),
IF(IFERROR(SEARCH("Overflowing",L30),0) &gt; 0 , VLOOKUP("Overflowing", vote4TRAITS!A:C , 3, FALSE), ),
IF(IFERROR(SEARCH("Pestilence",L30),0) &gt; 0 , VLOOKUP("Pestilence", vote4TRAITS!A:C , 3, FALSE), ),
IF(IFERROR(SEARCH("Phalanx",L30),0) &gt; 0 , VLOOKUP("Phalanx", vote4TRAITS!A:C , 3, FALSE), ),
IF(IFERROR(SEARCH("Plagued",L30),0) &gt; 0 , VLOOKUP("Plagued", vote4TRAITS!A:C , 3, FALSE), ),
IF(IFERROR(SEARCH("Prey on the Weak",L30),0) &gt; 0 , VLOOKUP("Prey on the Weak", vote4TRAITS!A:C , 3, FALSE), ),
IF(IFERROR(SEARCH("Protect",L30),0) &gt; 0 , VLOOKUP("Protect", vote4TRAITS!A:C , 3, FALSE), ),
IF(IFERROR(SEARCH("Puncture",L30),0) &gt; 0 , VLOOKUP("Puncture", vote4TRAITS!A:C , 3, FALSE), ),
IF(IFERROR(SEARCH("Putrid Boils",L30),0) &gt; 0 , VLOOKUP("Putrid Boils", vote4TRAITS!A:C , 3, FALSE), ),
IF(IFERROR(SEARCH("Ravage",L30),0) &gt; 0 , VLOOKUP("Ravage", vote4TRAITS!A:C , 3, FALSE), ),
IF(IFERROR(SEARCH("Ravenous",L30),0) &gt; 0 , VLOOKUP("Ravenous", vote4TRAITS!A:C , 3, FALSE), ),
IF(IFERROR(SEARCH("Reach",L30),0) &gt; 0 , VLOOKUP("Reach", vote4TRAITS!A:C , 3, FALSE), ),
IF(IFERROR(SEARCH("Reanimation",L30),0) &gt; 0 , VLOOKUP("Reanimation", vote4TRAITS!A:C , 3, FALSE), ),
IF(IFERROR(SEARCH("Reaper",L30),0) &gt; 0 , VLOOKUP("Reaper", vote4TRAITS!A:C , 3, FALSE), ),
IF(IFERROR(SEARCH("Riposte",L30),0) &gt; 0 , VLOOKUP("Riposte", vote4TRAITS!A:C , 3, FALSE)),
IF(IFERROR(SEARCH("Scamper",L30),0) &gt; 0 , VLOOKUP("Scamper", vote4TRAITS!A:C , 3, FALSE), ),
IF(IFERROR(SEARCH("Small Beginnings",L30),0) &gt; 0 , VLOOKUP("Small Beginnings", vote4TRAITS!A:C , 3, FALSE), ),
IF(IFERROR(SEARCH("Spawner",L30),0) &gt; 0 , VLOOKUP("Spawner", vote4TRAITS!A:C , 3,FALSE), ),
IF(IFERROR(SEARCH("Shadowr",L30),0) &gt; 0 , VLOOKUP("Shadow", vote4TRAITS!A:C , 3,FALSE), ),
IF(IFERROR(SEARCH("Shadow Step",L30),0) &gt; 0 , VLOOKUP("Shadow Step", vote4TRAITS!A:C , 3,FALSE), ),
IF(IFERROR(SEARCH("Shambling",L30),0) &gt; 0 , VLOOKUP("Shambling", vote4TRAITS!A:C , 3,FALSE), ),
IF(IFERROR(SEARCH("Stealthy",L30),0) &gt; 0 , VLOOKUP("Stealthy", vote4TRAITS!A:C , 3, FALSE), ),
IF(IFERROR(SEARCH("Web",L30),0) &gt; 0 , VLOOKUP("Web", vote4TRAITS!A:C , 3, FALSE), ),
IF(IFERROR(SEARCH("+1 Willpower",L30),0) &gt; 0 , VLOOKUP("+1 Willpower", vote4TRAITS!A:C , 3, FALSE), ),
IF(IFERROR(SEARCH("+1 Might",L30),0) &gt; 0 , VLOOKUP("+1 Might", vote4TRAITS!A:C , 3, FALSE), ),
IF(IFERROR(SEARCH("+1 Knowledge",L30),0) &gt; 0 , VLOOKUP("+1 Knowledge", vote4TRAITS!A:C , 3, FALSE), ),
IF(IFERROR(SEARCH("+1 Awareness",L30),0) &gt; 0 , VLOOKUP("+1 Awareness", vote4TRAITS!A:C , 3, FALSE), ),
IF(IFERROR(SEARCH("-1 Willpower",L30),0) &gt; 0 , VLOOKUP("-1 Willpower", vote4TRAITS!A:C , 3, FALSE), ),
IF(IFERROR(SEARCH("+1 Health",L30),0) &gt; 0 , VLOOKUP("+1 Health", vote4TRAITS!A:C , 3, FALSE), ),
IF(IFERROR(SEARCH("+2 Health",L30),0) &gt; 0 , VLOOKUP("+2 Health", vote4TRAITS!A:C , 3, FALSE), ),
IF(IFERROR(SEARCH("+1 Stamina",L30),0) &gt; 0 , VLOOKUP("+1 Stamina", vote4TRAITS!A:C , 3, FALSE), ),
IF(IFERROR(SEARCH("+2 Stamina",L30),0) &gt; 0 , VLOOKUP("+2 Stamina", vote4TRAITS!A:C , 3, FALSE), ),
IFS(
IFERROR(SEARCH("+1 Range", L30),) &gt; 0 ,VLOOKUP("+1 Range", vote4TRAITS!A:C , 3, FALSE),
IFERROR(SEARCH("+2 Range", L30),) &gt; 0 ,VLOOKUP("+2 Range", vote4TRAITS!A:C , 3, FALSE),
IFERROR(SEARCH("+3 Range", L30),) &gt; 0,VLOOKUP("+3 Range", vote4TRAITS!A:C , 3, FALSE),
0=0,0)
,
IFS(
IFERROR(SEARCH("Sorcery 1", L30),) &gt; 0 ,VLOOKUP("Sorcery 1", vote4TRAITS!A:C , 3, FALSE),
IFERROR(SEARCH("Sorcery 2", L30),) &gt; 0 ,VLOOKUP("Sorcery 2", vote4TRAITS!A:C , 3, FALSE),
IFERROR(SEARCH("Sorcery 3", L30),) &gt; 0,VLOOKUP("Sorcery 3", vote4TRAITS!A:C , 3, FALSE),
0=0,0)
,
IFS(
IFERROR(SEARCH("Pierce 1", L30),) &gt; 0 ,VLOOKUP("Pierce 1", vote4TRAITS!A:C , 3, FALSE),
IFERROR(SEARCH("Pierce 2", L30),) &gt; 0 ,VLOOKUP("Pierce 2", vote4TRAITS!A:C , 3, FALSE),
IFERROR(SEARCH("Pierce 3", L30),) &gt; 0,VLOOKUP("Pierce 3", vote4TRAITS!A:C , 3, FALSE),
IFERROR(SEARCH("Pierce 4", L30),) &gt; 0 ,VLOOKUP("Pierce 4", vote4TRAITS!A:C , 3, FALSE),
0=0,0)
,
IFS(
IFERROR(SEARCH("+1 Health", L30),) &gt; 0 ,VLOOKUP("+1 Health", vote4TRAITS!A:C , 3, FALSE),
IFERROR(SEARCH("+2 Health", L30),) &gt; 0 ,VLOOKUP("+2 Health", vote4TRAITS!A:C , 3, FALSE),
IFERROR(SEARCH("+3 Health", L30),) &gt; 0 ,VLOOKUP("+3 Health", vote4TRAITS!A:C , 3, FALSE),
IFERROR(SEARCH("+4 Health", L30),) &gt; 0 ,VLOOKUP("+4 Health", vote4TRAITS!A:C , 3, FALSE),
0=0,0)
,
IFS(
IFERROR(SEARCH("Soul Shackle 1", L30),) &gt; 0 ,VLOOKUP("Soul Shackle 1", vote4TRAITS!A:C , 3, FALSE),
IFERROR(SEARCH("Soul Shackle 2", L30),) &gt; 0 ,VLOOKUP("Soul Shackle 2", vote4TRAITS!A:C , 3, FALSE),
IFERROR(SEARCH("Soul Shackle 3", L30),) &gt; 0,VLOOKUP("Soul Shackle 3", vote4TRAITS!A:C , 3, FALSE),
0=0,0)
)</f>
        <v>5.5</v>
      </c>
      <c r="N30" s="311" t="s">
        <v>1534</v>
      </c>
      <c r="O30" s="317">
        <f>IF(ISBLANK(N30),,IFERROR(
IF(IFERROR(SEARCH("SS:",N30),0) &gt; 0, 
VLOOKUP(SUBSTITUTE(N30,"SS: ",""),vote4SURGE!$A:$C , 3, FALSE) - 2,
VLOOKUP(SUBSTITUTE(N30,"S: ",""),vote4SURGE!$A:$C , 3, FALSE)
)
,
IF(IFERROR(SEARCH("SS:",N30),0) &gt; 0, 
VLOOKUP(C30,vote4SURGE!$A:$C , 3, FALSE) - 2,
VLOOKUP(C30,vote4SURGE!$A:$C , 3, FALSE)
)
))</f>
        <v>4.25</v>
      </c>
      <c r="P30" s="315" t="s">
        <v>1555</v>
      </c>
      <c r="Q30" s="317">
        <f>IF(ISBLANK(P30),,IFERROR(
IF(IFERROR(SEARCH("SS:",P30),0) &gt; 0, 
VLOOKUP(SUBSTITUTE(P30,"SS: ",""),vote4SURGE!$A:$C , 3, FALSE) - 2,
VLOOKUP(SUBSTITUTE(P30,"S: ",""),vote4SURGE!$A:$C , 3, FALSE)
)
,
IF(IFERROR(SEARCH("SS:",P30),0) &gt; 0, 
VLOOKUP(C30,vote4SURGE!$A:$C , 3, FALSE) - 2,
VLOOKUP(C30,vote4SURGE!$A:$C , 3, FALSE)
)
))</f>
        <v>3.25</v>
      </c>
      <c r="R30" s="318"/>
      <c r="S30" s="319" t="str">
        <f>IF(ISBLANK(R30),,IFERROR(
IF(IFERROR(SEARCH("SS:",R30),0) &gt; 0, 
VLOOKUP(SUBSTITUTE(R30,"SS: ",""),vote4SURGE!$A:$C , 3, FALSE) - 2,
VLOOKUP(SUBSTITUTE(R30,"S: ",""),vote4SURGE!$A:$C , 3, FALSE)
)
,
IF(IFERROR(SEARCH("SS:",R30),0) &gt; 0, 
VLOOKUP(C30,vote4SURGE!$A:$C , 3, FALSE) - 2,
VLOOKUP(C30,vote4SURGE!$A:$C , 3, FALSE)
)
))</f>
        <v/>
      </c>
      <c r="T30" s="320">
        <f t="shared" si="2"/>
        <v>2</v>
      </c>
      <c r="U30" s="320">
        <f>IFERROR(__xludf.DUMMYFUNCTION("ROUND(
IF(ISBLANK(G30),,
SWITCH(
LEN(G30) - LEN(SUBSTITUTE(G30,"","","""")),
0 , VLOOKUP(G30, Variables!$A:$C, 3, FALSE),
1 , VLOOKUP(index(split(G30 ,"", "", FALSE),1,1), Variables!$A:$C , 3, FALSE) + VLOOKUP(index(split(G30 ,"", "", FALSE),1,2), Variabl"&amp;"es!$A:$C , 3, FALSE),
2 , VLOOKUP(index(split(G30 ,"", "", FALSE),1,1), Variables!$A:$C , 3, FALSE) + VLOOKUP(index(split(G30 ,"", "", FALSE),1,2), Variables!$A:$C , 3, FALSE) + VLOOKUP(index(split(G30 ,"", "", FALSE),1,3), Variables!$A:$C , 3, FALSE),
3 "&amp;", VLOOKUP(index(split(G30 ,"", "", FALSE),1,1), Variables!$A:$C , 3, FALSE) + VLOOKUP(index(split(G30 ,"", "", FALSE),1,2), Variables!$A:$C , 3, FALSE) + VLOOKUP(index(split(G30 ,"", "", FALSE),1,3), Variables!$A:$C , 3, FALSE) + VLOOKUP(index(split(G30 ,"&amp;""", "", FALSE),1,4), Variables!$A:$C , 3, FALSE),
)
)
)"),1.0)</f>
        <v>1</v>
      </c>
      <c r="V30" s="317">
        <f t="shared" si="3"/>
        <v>5.875</v>
      </c>
      <c r="W30" s="321">
        <f t="shared" si="4"/>
        <v>14.875</v>
      </c>
      <c r="X30" s="322"/>
      <c r="Y30" s="322"/>
      <c r="Z30" s="322"/>
      <c r="AA30" s="322"/>
      <c r="AB30" s="322"/>
      <c r="AC30" s="322"/>
      <c r="AD30" s="322"/>
      <c r="AE30" s="322"/>
    </row>
    <row r="31" hidden="1">
      <c r="A31" s="310">
        <v>2.0</v>
      </c>
      <c r="B31" s="93">
        <f t="shared" si="1"/>
        <v>7</v>
      </c>
      <c r="C31" s="310" t="s">
        <v>785</v>
      </c>
      <c r="D31" s="310">
        <v>175.0</v>
      </c>
      <c r="E31" s="310" t="s">
        <v>1527</v>
      </c>
      <c r="F31" s="310" t="s">
        <v>1521</v>
      </c>
      <c r="G31" s="313" t="s">
        <v>1585</v>
      </c>
      <c r="H31" s="312">
        <f>IFERROR(__xludf.DUMMYFUNCTION(" IF(ISBLANK(G31),,
SWITCH(
LEN(G31) - LEN(SUBSTITUTE(G31,"","","""")),
0 , VLOOKUP(G31, Variables!$A:$B, 2, FALSE),
1 , VLOOKUP(index(split(G31 ,"", "", FALSE),1,1), Variables!$A:$B , 2, FALSE) + VLOOKUP(index(split(G31 ,"", "", FALSE),1,2), Variables!$A:"&amp;"$B , 2, FALSE),
2 , VLOOKUP(index(split(G31 ,"", "", FALSE),1,1), Variables!$A:$B , 2, FALSE) + VLOOKUP(index(split(G31 ,"", "", FALSE),1,2), Variables!$A:$B , 2, FALSE) + VLOOKUP(index(split(G31 ,"", "", FALSE),1,3), Variables!$A:$B , 2, FALSE),
3 , VLOO"&amp;"KUP(index(split(G31 ,"", "", FALSE),1,1), Variables!$A:$B , 2, FALSE) + VLOOKUP(index(split(G31 ,"", "", FALSE),1,2), Variables!$A:$B , 2, FALSE) + VLOOKUP(index(split(G31 ,"", "", FALSE),1,3), Variables!$A:$B , 2, FALSE) + VLOOKUP(index(split(G31 ,"", """&amp;", FALSE),1,4), Variables!$A:$B , 2, FALSE),
)
)"),4.166666666666667)</f>
        <v>4.166666667</v>
      </c>
      <c r="I31" s="310" t="s">
        <v>1552</v>
      </c>
      <c r="J31" s="313" t="s">
        <v>786</v>
      </c>
      <c r="K31" s="314">
        <f>IFERROR(VLOOKUP(C31,vote4ITEMS!$A:$C, 3, FALSE),)</f>
        <v>4.5</v>
      </c>
      <c r="L31" s="313"/>
      <c r="M31" s="314">
        <f>SUM(
IF(IFERROR(SEARCH("Aura 1",L31),0) &gt; 0 , VLOOKUP("Aura 1", vote4TRAITS!A:C , 3, FALSE), ),
IF(IFERROR(SEARCH("Backswing",L31),0) &gt; 0 , VLOOKUP("Backswing", vote4TRAITS!A:C , 3, FALSE), ),
IF(IFERROR(SEARCH("Blast",L31),0) &gt; 0 , VLOOKUP("Blast", vote4TRAITS!A:C , 3, FALSE), ),
IF(IFERROR(SEARCH("Combustible",L31),0) &gt; 0 , VLOOKUP("Combustible", vote4TRAITS!A:C , 3, FALSE), ),
IF(IFERROR(SEARCH("Command",L31),0) &gt; 0 , VLOOKUP("Command", vote4TRAITS!A:C , 3, FALSE), ),
IF(IFERROR(SEARCH("Cowardly",L31),0) &gt; 0 , VLOOKUP("Cowardly", vote4TRAITS!A:C , 3, FALSE), ),
IF(IFERROR(SEARCH("Death Wish",L31),0) &gt; 0 , VLOOKUP("Death Wish", vote4TRAITS!A:C , 3, FALSE), ),
IF(IFERROR(SEARCH("Entomb",L31),0) &gt; 0 , VLOOKUP("Entomb", vote4TRAITS!A:C , 3, FALSE), ),
IF(IFERROR(SEARCH("Ethereal Hold",L31),0) &gt; 0 , VLOOKUP("Ethereal Hold", vote4TRAITS!A:C , 3, FALSE), ),
IF(IFERROR(SEARCH("Extend",L31),0) &gt; 0 , VLOOKUP("Extend", vote4TRAITS!A:C , 3, FALSE), ),
IF(IFERROR(SEARCH("Filthy Murk",L31),0) &gt; 0 , VLOOKUP("Filthy Murk", vote4TRAITS!A:C , 3, FALSE), ),
IF(IFERROR(SEARCH("Flame Fiend",L31),0) &gt; 0 , VLOOKUP("Flame Fiend", vote4TRAITS!A:C , 3, FALSE), ),
IF(IFERROR(SEARCH("Fleshmonger",L31),0) &gt; 0 , VLOOKUP("Fleshmonger", vote4TRAITS!A:C , 3, FALSE), ),
IF(IFERROR(SEARCH("Fly",L31),0) &gt; 0 , VLOOKUP("Fly", vote4TRAITS!A:C , 3, FALSE), ),
IF(IFERROR(SEARCH("Freezing",L31),0) &gt; 0 , VLOOKUP("Freezing", vote4TRAITS!A:C , 3, FALSE), ),
IF(IFERROR(SEARCH("Lithesome",L31),0) &gt; 0 , VLOOKUP("Lithesome", vote4TRAITS!A:C , 3, FALSE), ),
IF(IFERROR(SEARCH("Harrowing",L31),0) &gt; 0 , VLOOKUP("Harrowing", vote4TRAITS!A:C , 3, FALSE), ),
IF(IFERROR(SEARCH("Hideous Laughter",L31),0) &gt; 0 , VLOOKUP("Hideous Laughter", vote4TRAITS!A:C , 3, FALSE), ),
IF(IFERROR(SEARCH("Hive Defense",L31),0) &gt; 0 , VLOOKUP("Hive Defense", vote4TRAITS!A:C , 3, FALSE), ),
IF(IFERROR(SEARCH("Horrifying",L31),0) &gt; 0 , VLOOKUP("Horrifying", vote4TRAITS!A:C , 3, FALSE), ),
IF(IFERROR(SEARCH("Ironskin",L31),0) &gt; 0 , VLOOKUP("Ironskin", vote4TRAITS!A:C , 3, FALSE), ),
IF(IFERROR(SEARCH("Unmovable",L31),0) &gt; 0 , VLOOKUP("Unmovable", vote4TRAITS!A:C , 3, FALSE), ),
IF(IFERROR(SEARCH("Lifethirst 1",L31),0) &gt; 0 , VLOOKUP("Lifethirst 1", vote4TRAITS!A:C , 3, FALSE), ),
IF(IFERROR(SEARCH("Lifethirst 2",L31),0) &gt; 0 , VLOOKUP("Lifethirst 2", vote4TRAITS!A:C , 3, FALSE), ),
IF(IFERROR(SEARCH("Morph",L31),0) &gt; 0 , VLOOKUP("Morph", vote4TRAITS!A:C , 3, FALSE), ),
IF(IFERROR(SEARCH("Night Stalker",L31),0) &gt; 0 , VLOOKUP("Night Stalker", vote4TRAITS!A:C , 3, FALSE), ),
IF(IFERROR(SEARCH("Overflowing",L31),0) &gt; 0 , VLOOKUP("Overflowing", vote4TRAITS!A:C , 3, FALSE), ),
IF(IFERROR(SEARCH("Pestilence",L31),0) &gt; 0 , VLOOKUP("Pestilence", vote4TRAITS!A:C , 3, FALSE), ),
IF(IFERROR(SEARCH("Phalanx",L31),0) &gt; 0 , VLOOKUP("Phalanx", vote4TRAITS!A:C , 3, FALSE), ),
IF(IFERROR(SEARCH("Plagued",L31),0) &gt; 0 , VLOOKUP("Plagued", vote4TRAITS!A:C , 3, FALSE), ),
IF(IFERROR(SEARCH("Prey on the Weak",L31),0) &gt; 0 , VLOOKUP("Prey on the Weak", vote4TRAITS!A:C , 3, FALSE), ),
IF(IFERROR(SEARCH("Protect",L31),0) &gt; 0 , VLOOKUP("Protect", vote4TRAITS!A:C , 3, FALSE), ),
IF(IFERROR(SEARCH("Puncture",L31),0) &gt; 0 , VLOOKUP("Puncture", vote4TRAITS!A:C , 3, FALSE), ),
IF(IFERROR(SEARCH("Putrid Boils",L31),0) &gt; 0 , VLOOKUP("Putrid Boils", vote4TRAITS!A:C , 3, FALSE), ),
IF(IFERROR(SEARCH("Ravage",L31),0) &gt; 0 , VLOOKUP("Ravage", vote4TRAITS!A:C , 3, FALSE), ),
IF(IFERROR(SEARCH("Ravenous",L31),0) &gt; 0 , VLOOKUP("Ravenous", vote4TRAITS!A:C , 3, FALSE), ),
IF(IFERROR(SEARCH("Reach",L31),0) &gt; 0 , VLOOKUP("Reach", vote4TRAITS!A:C , 3, FALSE), ),
IF(IFERROR(SEARCH("Reanimation",L31),0) &gt; 0 , VLOOKUP("Reanimation", vote4TRAITS!A:C , 3, FALSE), ),
IF(IFERROR(SEARCH("Reaper",L31),0) &gt; 0 , VLOOKUP("Reaper", vote4TRAITS!A:C , 3, FALSE), ),
IF(IFERROR(SEARCH("Riposte",L31),0) &gt; 0 , VLOOKUP("Riposte", vote4TRAITS!A:C , 3, FALSE)),
IF(IFERROR(SEARCH("Scamper",L31),0) &gt; 0 , VLOOKUP("Scamper", vote4TRAITS!A:C , 3, FALSE), ),
IF(IFERROR(SEARCH("Small Beginnings",L31),0) &gt; 0 , VLOOKUP("Small Beginnings", vote4TRAITS!A:C , 3, FALSE), ),
IF(IFERROR(SEARCH("Spawner",L31),0) &gt; 0 , VLOOKUP("Spawner", vote4TRAITS!A:C , 3,FALSE), ),
IF(IFERROR(SEARCH("Shadowr",L31),0) &gt; 0 , VLOOKUP("Shadow", vote4TRAITS!A:C , 3,FALSE), ),
IF(IFERROR(SEARCH("Shadow Step",L31),0) &gt; 0 , VLOOKUP("Shadow Step", vote4TRAITS!A:C , 3,FALSE), ),
IF(IFERROR(SEARCH("Shambling",L31),0) &gt; 0 , VLOOKUP("Shambling", vote4TRAITS!A:C , 3,FALSE), ),
IF(IFERROR(SEARCH("Stealthy",L31),0) &gt; 0 , VLOOKUP("Stealthy", vote4TRAITS!A:C , 3, FALSE), ),
IF(IFERROR(SEARCH("Web",L31),0) &gt; 0 , VLOOKUP("Web", vote4TRAITS!A:C , 3, FALSE), ),
IF(IFERROR(SEARCH("+1 Willpower",L31),0) &gt; 0 , VLOOKUP("+1 Willpower", vote4TRAITS!A:C , 3, FALSE), ),
IF(IFERROR(SEARCH("+1 Might",L31),0) &gt; 0 , VLOOKUP("+1 Might", vote4TRAITS!A:C , 3, FALSE), ),
IF(IFERROR(SEARCH("+1 Knowledge",L31),0) &gt; 0 , VLOOKUP("+1 Knowledge", vote4TRAITS!A:C , 3, FALSE), ),
IF(IFERROR(SEARCH("+1 Awareness",L31),0) &gt; 0 , VLOOKUP("+1 Awareness", vote4TRAITS!A:C , 3, FALSE), ),
IF(IFERROR(SEARCH("-1 Willpower",L31),0) &gt; 0 , VLOOKUP("-1 Willpower", vote4TRAITS!A:C , 3, FALSE), ),
IF(IFERROR(SEARCH("+1 Health",L31),0) &gt; 0 , VLOOKUP("+1 Health", vote4TRAITS!A:C , 3, FALSE), ),
IF(IFERROR(SEARCH("+2 Health",L31),0) &gt; 0 , VLOOKUP("+2 Health", vote4TRAITS!A:C , 3, FALSE), ),
IF(IFERROR(SEARCH("+1 Stamina",L31),0) &gt; 0 , VLOOKUP("+1 Stamina", vote4TRAITS!A:C , 3, FALSE), ),
IF(IFERROR(SEARCH("+2 Stamina",L31),0) &gt; 0 , VLOOKUP("+2 Stamina", vote4TRAITS!A:C , 3, FALSE), ),
IFS(
IFERROR(SEARCH("+1 Range", L31),) &gt; 0 ,VLOOKUP("+1 Range", vote4TRAITS!A:C , 3, FALSE),
IFERROR(SEARCH("+2 Range", L31),) &gt; 0 ,VLOOKUP("+2 Range", vote4TRAITS!A:C , 3, FALSE),
IFERROR(SEARCH("+3 Range", L31),) &gt; 0,VLOOKUP("+3 Range", vote4TRAITS!A:C , 3, FALSE),
0=0,0)
,
IFS(
IFERROR(SEARCH("Sorcery 1", L31),) &gt; 0 ,VLOOKUP("Sorcery 1", vote4TRAITS!A:C , 3, FALSE),
IFERROR(SEARCH("Sorcery 2", L31),) &gt; 0 ,VLOOKUP("Sorcery 2", vote4TRAITS!A:C , 3, FALSE),
IFERROR(SEARCH("Sorcery 3", L31),) &gt; 0,VLOOKUP("Sorcery 3", vote4TRAITS!A:C , 3, FALSE),
0=0,0)
,
IFS(
IFERROR(SEARCH("Pierce 1", L31),) &gt; 0 ,VLOOKUP("Pierce 1", vote4TRAITS!A:C , 3, FALSE),
IFERROR(SEARCH("Pierce 2", L31),) &gt; 0 ,VLOOKUP("Pierce 2", vote4TRAITS!A:C , 3, FALSE),
IFERROR(SEARCH("Pierce 3", L31),) &gt; 0,VLOOKUP("Pierce 3", vote4TRAITS!A:C , 3, FALSE),
IFERROR(SEARCH("Pierce 4", L31),) &gt; 0 ,VLOOKUP("Pierce 4", vote4TRAITS!A:C , 3, FALSE),
0=0,0)
,
IFS(
IFERROR(SEARCH("+1 Health", L31),) &gt; 0 ,VLOOKUP("+1 Health", vote4TRAITS!A:C , 3, FALSE),
IFERROR(SEARCH("+2 Health", L31),) &gt; 0 ,VLOOKUP("+2 Health", vote4TRAITS!A:C , 3, FALSE),
IFERROR(SEARCH("+3 Health", L31),) &gt; 0 ,VLOOKUP("+3 Health", vote4TRAITS!A:C , 3, FALSE),
IFERROR(SEARCH("+4 Health", L31),) &gt; 0 ,VLOOKUP("+4 Health", vote4TRAITS!A:C , 3, FALSE),
0=0,0)
,
IFS(
IFERROR(SEARCH("Soul Shackle 1", L31),) &gt; 0 ,VLOOKUP("Soul Shackle 1", vote4TRAITS!A:C , 3, FALSE),
IFERROR(SEARCH("Soul Shackle 2", L31),) &gt; 0 ,VLOOKUP("Soul Shackle 2", vote4TRAITS!A:C , 3, FALSE),
IFERROR(SEARCH("Soul Shackle 3", L31),) &gt; 0,VLOOKUP("Soul Shackle 3", vote4TRAITS!A:C , 3, FALSE),
0=0,0)
)</f>
        <v>0</v>
      </c>
      <c r="N31" s="311" t="s">
        <v>1586</v>
      </c>
      <c r="O31" s="317">
        <f>IF(ISBLANK(N31),,IFERROR(
IF(IFERROR(SEARCH("SS:",N31),0) &gt; 0, 
VLOOKUP(SUBSTITUTE(N31,"SS: ",""),vote4SURGE!$A:$C , 3, FALSE) - 2,
VLOOKUP(SUBSTITUTE(N31,"S: ",""),vote4SURGE!$A:$C , 3, FALSE)
)
,
IF(IFERROR(SEARCH("SS:",N31),0) &gt; 0, 
VLOOKUP(C31,vote4SURGE!$A:$C , 3, FALSE) - 2,
VLOOKUP(C31,vote4SURGE!$A:$C , 3, FALSE)
)
))</f>
        <v>2.25</v>
      </c>
      <c r="P31" s="105" t="s">
        <v>1587</v>
      </c>
      <c r="Q31" s="317">
        <f>IF(ISBLANK(P31),,IFERROR(
IF(IFERROR(SEARCH("SS:",P31),0) &gt; 0, 
VLOOKUP(SUBSTITUTE(P31,"SS: ",""),vote4SURGE!$A:$C , 3, FALSE) - 2,
VLOOKUP(SUBSTITUTE(P31,"S: ",""),vote4SURGE!$A:$C , 3, FALSE)
)
,
IF(IFERROR(SEARCH("SS:",P31),0) &gt; 0, 
VLOOKUP(C31,vote4SURGE!$A:$C , 3, FALSE) - 2,
VLOOKUP(C31,vote4SURGE!$A:$C , 3, FALSE)
)
))</f>
        <v>5</v>
      </c>
      <c r="R31" s="318"/>
      <c r="S31" s="319" t="str">
        <f>IF(ISBLANK(R31),,IFERROR(
IF(IFERROR(SEARCH("SS:",R31),0) &gt; 0, 
VLOOKUP(SUBSTITUTE(R31,"SS: ",""),vote4SURGE!$A:$C , 3, FALSE) - 2,
VLOOKUP(SUBSTITUTE(R31,"S: ",""),vote4SURGE!$A:$C , 3, FALSE)
)
,
IF(IFERROR(SEARCH("SS:",R31),0) &gt; 0, 
VLOOKUP(C31,vote4SURGE!$A:$C , 3, FALSE) - 2,
VLOOKUP(C31,vote4SURGE!$A:$C , 3, FALSE)
)
))</f>
        <v/>
      </c>
      <c r="T31" s="320">
        <f t="shared" si="2"/>
        <v>4</v>
      </c>
      <c r="U31" s="320">
        <f>IFERROR(__xludf.DUMMYFUNCTION("ROUND(
IF(ISBLANK(G31),,
SWITCH(
LEN(G31) - LEN(SUBSTITUTE(G31,"","","""")),
0 , VLOOKUP(G31, Variables!$A:$C, 3, FALSE),
1 , VLOOKUP(index(split(G31 ,"", "", FALSE),1,1), Variables!$A:$C , 3, FALSE) + VLOOKUP(index(split(G31 ,"", "", FALSE),1,2), Variabl"&amp;"es!$A:$C , 3, FALSE),
2 , VLOOKUP(index(split(G31 ,"", "", FALSE),1,1), Variables!$A:$C , 3, FALSE) + VLOOKUP(index(split(G31 ,"", "", FALSE),1,2), Variables!$A:$C , 3, FALSE) + VLOOKUP(index(split(G31 ,"", "", FALSE),1,3), Variables!$A:$C , 3, FALSE),
3 "&amp;", VLOOKUP(index(split(G31 ,"", "", FALSE),1,1), Variables!$A:$C , 3, FALSE) + VLOOKUP(index(split(G31 ,"", "", FALSE),1,2), Variables!$A:$C , 3, FALSE) + VLOOKUP(index(split(G31 ,"", "", FALSE),1,3), Variables!$A:$C , 3, FALSE) + VLOOKUP(index(split(G31 ,"&amp;""", "", FALSE),1,4), Variables!$A:$C , 3, FALSE),
)
)
)"),2.0)</f>
        <v>2</v>
      </c>
      <c r="V31" s="317">
        <f t="shared" si="3"/>
        <v>6.125</v>
      </c>
      <c r="W31" s="321">
        <f t="shared" si="4"/>
        <v>14.79166667</v>
      </c>
      <c r="X31" s="322"/>
      <c r="Y31" s="322"/>
      <c r="Z31" s="322"/>
      <c r="AA31" s="322"/>
      <c r="AB31" s="322"/>
      <c r="AC31" s="322"/>
      <c r="AD31" s="322"/>
      <c r="AE31" s="322"/>
    </row>
    <row r="32" hidden="1">
      <c r="A32" s="310">
        <v>2.0</v>
      </c>
      <c r="B32" s="93">
        <f t="shared" si="1"/>
        <v>7</v>
      </c>
      <c r="C32" s="310" t="s">
        <v>828</v>
      </c>
      <c r="D32" s="310">
        <v>225.0</v>
      </c>
      <c r="E32" s="310" t="s">
        <v>1520</v>
      </c>
      <c r="F32" s="310" t="s">
        <v>1521</v>
      </c>
      <c r="G32" s="313" t="s">
        <v>1528</v>
      </c>
      <c r="H32" s="312">
        <f>IFERROR(__xludf.DUMMYFUNCTION(" IF(ISBLANK(G32),,
SWITCH(
LEN(G32) - LEN(SUBSTITUTE(G32,"","","""")),
0 , VLOOKUP(G32, Variables!$A:$B, 2, FALSE),
1 , VLOOKUP(index(split(G32 ,"", "", FALSE),1,1), Variables!$A:$B , 2, FALSE) + VLOOKUP(index(split(G32 ,"", "", FALSE),1,2), Variables!$A:"&amp;"$B , 2, FALSE),
2 , VLOOKUP(index(split(G32 ,"", "", FALSE),1,1), Variables!$A:$B , 2, FALSE) + VLOOKUP(index(split(G32 ,"", "", FALSE),1,2), Variables!$A:$B , 2, FALSE) + VLOOKUP(index(split(G32 ,"", "", FALSE),1,3), Variables!$A:$B , 2, FALSE),
3 , VLOO"&amp;"KUP(index(split(G32 ,"", "", FALSE),1,1), Variables!$A:$B , 2, FALSE) + VLOOKUP(index(split(G32 ,"", "", FALSE),1,2), Variables!$A:$B , 2, FALSE) + VLOOKUP(index(split(G32 ,"", "", FALSE),1,3), Variables!$A:$B , 2, FALSE) + VLOOKUP(index(split(G32 ,"", """&amp;", FALSE),1,4), Variables!$A:$B , 2, FALSE),
)
)"),5.5)</f>
        <v>5.5</v>
      </c>
      <c r="I32" s="310" t="s">
        <v>1526</v>
      </c>
      <c r="J32" s="313" t="s">
        <v>829</v>
      </c>
      <c r="K32" s="314">
        <f>IFERROR(VLOOKUP(C32,vote4ITEMS!$A:$C, 3, FALSE),)</f>
        <v>4</v>
      </c>
      <c r="L32" s="313"/>
      <c r="M32" s="314">
        <f>SUM(
IF(IFERROR(SEARCH("Aura 1",L32),0) &gt; 0 , VLOOKUP("Aura 1", vote4TRAITS!A:C , 3, FALSE), ),
IF(IFERROR(SEARCH("Backswing",L32),0) &gt; 0 , VLOOKUP("Backswing", vote4TRAITS!A:C , 3, FALSE), ),
IF(IFERROR(SEARCH("Blast",L32),0) &gt; 0 , VLOOKUP("Blast", vote4TRAITS!A:C , 3, FALSE), ),
IF(IFERROR(SEARCH("Combustible",L32),0) &gt; 0 , VLOOKUP("Combustible", vote4TRAITS!A:C , 3, FALSE), ),
IF(IFERROR(SEARCH("Command",L32),0) &gt; 0 , VLOOKUP("Command", vote4TRAITS!A:C , 3, FALSE), ),
IF(IFERROR(SEARCH("Cowardly",L32),0) &gt; 0 , VLOOKUP("Cowardly", vote4TRAITS!A:C , 3, FALSE), ),
IF(IFERROR(SEARCH("Death Wish",L32),0) &gt; 0 , VLOOKUP("Death Wish", vote4TRAITS!A:C , 3, FALSE), ),
IF(IFERROR(SEARCH("Entomb",L32),0) &gt; 0 , VLOOKUP("Entomb", vote4TRAITS!A:C , 3, FALSE), ),
IF(IFERROR(SEARCH("Ethereal Hold",L32),0) &gt; 0 , VLOOKUP("Ethereal Hold", vote4TRAITS!A:C , 3, FALSE), ),
IF(IFERROR(SEARCH("Extend",L32),0) &gt; 0 , VLOOKUP("Extend", vote4TRAITS!A:C , 3, FALSE), ),
IF(IFERROR(SEARCH("Filthy Murk",L32),0) &gt; 0 , VLOOKUP("Filthy Murk", vote4TRAITS!A:C , 3, FALSE), ),
IF(IFERROR(SEARCH("Flame Fiend",L32),0) &gt; 0 , VLOOKUP("Flame Fiend", vote4TRAITS!A:C , 3, FALSE), ),
IF(IFERROR(SEARCH("Fleshmonger",L32),0) &gt; 0 , VLOOKUP("Fleshmonger", vote4TRAITS!A:C , 3, FALSE), ),
IF(IFERROR(SEARCH("Fly",L32),0) &gt; 0 , VLOOKUP("Fly", vote4TRAITS!A:C , 3, FALSE), ),
IF(IFERROR(SEARCH("Freezing",L32),0) &gt; 0 , VLOOKUP("Freezing", vote4TRAITS!A:C , 3, FALSE), ),
IF(IFERROR(SEARCH("Lithesome",L32),0) &gt; 0 , VLOOKUP("Lithesome", vote4TRAITS!A:C , 3, FALSE), ),
IF(IFERROR(SEARCH("Harrowing",L32),0) &gt; 0 , VLOOKUP("Harrowing", vote4TRAITS!A:C , 3, FALSE), ),
IF(IFERROR(SEARCH("Hideous Laughter",L32),0) &gt; 0 , VLOOKUP("Hideous Laughter", vote4TRAITS!A:C , 3, FALSE), ),
IF(IFERROR(SEARCH("Hive Defense",L32),0) &gt; 0 , VLOOKUP("Hive Defense", vote4TRAITS!A:C , 3, FALSE), ),
IF(IFERROR(SEARCH("Horrifying",L32),0) &gt; 0 , VLOOKUP("Horrifying", vote4TRAITS!A:C , 3, FALSE), ),
IF(IFERROR(SEARCH("Ironskin",L32),0) &gt; 0 , VLOOKUP("Ironskin", vote4TRAITS!A:C , 3, FALSE), ),
IF(IFERROR(SEARCH("Unmovable",L32),0) &gt; 0 , VLOOKUP("Unmovable", vote4TRAITS!A:C , 3, FALSE), ),
IF(IFERROR(SEARCH("Lifethirst 1",L32),0) &gt; 0 , VLOOKUP("Lifethirst 1", vote4TRAITS!A:C , 3, FALSE), ),
IF(IFERROR(SEARCH("Lifethirst 2",L32),0) &gt; 0 , VLOOKUP("Lifethirst 2", vote4TRAITS!A:C , 3, FALSE), ),
IF(IFERROR(SEARCH("Morph",L32),0) &gt; 0 , VLOOKUP("Morph", vote4TRAITS!A:C , 3, FALSE), ),
IF(IFERROR(SEARCH("Night Stalker",L32),0) &gt; 0 , VLOOKUP("Night Stalker", vote4TRAITS!A:C , 3, FALSE), ),
IF(IFERROR(SEARCH("Overflowing",L32),0) &gt; 0 , VLOOKUP("Overflowing", vote4TRAITS!A:C , 3, FALSE), ),
IF(IFERROR(SEARCH("Pestilence",L32),0) &gt; 0 , VLOOKUP("Pestilence", vote4TRAITS!A:C , 3, FALSE), ),
IF(IFERROR(SEARCH("Phalanx",L32),0) &gt; 0 , VLOOKUP("Phalanx", vote4TRAITS!A:C , 3, FALSE), ),
IF(IFERROR(SEARCH("Plagued",L32),0) &gt; 0 , VLOOKUP("Plagued", vote4TRAITS!A:C , 3, FALSE), ),
IF(IFERROR(SEARCH("Prey on the Weak",L32),0) &gt; 0 , VLOOKUP("Prey on the Weak", vote4TRAITS!A:C , 3, FALSE), ),
IF(IFERROR(SEARCH("Protect",L32),0) &gt; 0 , VLOOKUP("Protect", vote4TRAITS!A:C , 3, FALSE), ),
IF(IFERROR(SEARCH("Puncture",L32),0) &gt; 0 , VLOOKUP("Puncture", vote4TRAITS!A:C , 3, FALSE), ),
IF(IFERROR(SEARCH("Putrid Boils",L32),0) &gt; 0 , VLOOKUP("Putrid Boils", vote4TRAITS!A:C , 3, FALSE), ),
IF(IFERROR(SEARCH("Ravage",L32),0) &gt; 0 , VLOOKUP("Ravage", vote4TRAITS!A:C , 3, FALSE), ),
IF(IFERROR(SEARCH("Ravenous",L32),0) &gt; 0 , VLOOKUP("Ravenous", vote4TRAITS!A:C , 3, FALSE), ),
IF(IFERROR(SEARCH("Reach",L32),0) &gt; 0 , VLOOKUP("Reach", vote4TRAITS!A:C , 3, FALSE), ),
IF(IFERROR(SEARCH("Reanimation",L32),0) &gt; 0 , VLOOKUP("Reanimation", vote4TRAITS!A:C , 3, FALSE), ),
IF(IFERROR(SEARCH("Reaper",L32),0) &gt; 0 , VLOOKUP("Reaper", vote4TRAITS!A:C , 3, FALSE), ),
IF(IFERROR(SEARCH("Riposte",L32),0) &gt; 0 , VLOOKUP("Riposte", vote4TRAITS!A:C , 3, FALSE)),
IF(IFERROR(SEARCH("Scamper",L32),0) &gt; 0 , VLOOKUP("Scamper", vote4TRAITS!A:C , 3, FALSE), ),
IF(IFERROR(SEARCH("Small Beginnings",L32),0) &gt; 0 , VLOOKUP("Small Beginnings", vote4TRAITS!A:C , 3, FALSE), ),
IF(IFERROR(SEARCH("Spawner",L32),0) &gt; 0 , VLOOKUP("Spawner", vote4TRAITS!A:C , 3,FALSE), ),
IF(IFERROR(SEARCH("Shadowr",L32),0) &gt; 0 , VLOOKUP("Shadow", vote4TRAITS!A:C , 3,FALSE), ),
IF(IFERROR(SEARCH("Shadow Step",L32),0) &gt; 0 , VLOOKUP("Shadow Step", vote4TRAITS!A:C , 3,FALSE), ),
IF(IFERROR(SEARCH("Shambling",L32),0) &gt; 0 , VLOOKUP("Shambling", vote4TRAITS!A:C , 3,FALSE), ),
IF(IFERROR(SEARCH("Stealthy",L32),0) &gt; 0 , VLOOKUP("Stealthy", vote4TRAITS!A:C , 3, FALSE), ),
IF(IFERROR(SEARCH("Web",L32),0) &gt; 0 , VLOOKUP("Web", vote4TRAITS!A:C , 3, FALSE), ),
IF(IFERROR(SEARCH("+1 Willpower",L32),0) &gt; 0 , VLOOKUP("+1 Willpower", vote4TRAITS!A:C , 3, FALSE), ),
IF(IFERROR(SEARCH("+1 Might",L32),0) &gt; 0 , VLOOKUP("+1 Might", vote4TRAITS!A:C , 3, FALSE), ),
IF(IFERROR(SEARCH("+1 Knowledge",L32),0) &gt; 0 , VLOOKUP("+1 Knowledge", vote4TRAITS!A:C , 3, FALSE), ),
IF(IFERROR(SEARCH("+1 Awareness",L32),0) &gt; 0 , VLOOKUP("+1 Awareness", vote4TRAITS!A:C , 3, FALSE), ),
IF(IFERROR(SEARCH("-1 Willpower",L32),0) &gt; 0 , VLOOKUP("-1 Willpower", vote4TRAITS!A:C , 3, FALSE), ),
IF(IFERROR(SEARCH("+1 Health",L32),0) &gt; 0 , VLOOKUP("+1 Health", vote4TRAITS!A:C , 3, FALSE), ),
IF(IFERROR(SEARCH("+2 Health",L32),0) &gt; 0 , VLOOKUP("+2 Health", vote4TRAITS!A:C , 3, FALSE), ),
IF(IFERROR(SEARCH("+1 Stamina",L32),0) &gt; 0 , VLOOKUP("+1 Stamina", vote4TRAITS!A:C , 3, FALSE), ),
IF(IFERROR(SEARCH("+2 Stamina",L32),0) &gt; 0 , VLOOKUP("+2 Stamina", vote4TRAITS!A:C , 3, FALSE), ),
IFS(
IFERROR(SEARCH("+1 Range", L32),) &gt; 0 ,VLOOKUP("+1 Range", vote4TRAITS!A:C , 3, FALSE),
IFERROR(SEARCH("+2 Range", L32),) &gt; 0 ,VLOOKUP("+2 Range", vote4TRAITS!A:C , 3, FALSE),
IFERROR(SEARCH("+3 Range", L32),) &gt; 0,VLOOKUP("+3 Range", vote4TRAITS!A:C , 3, FALSE),
0=0,0)
,
IFS(
IFERROR(SEARCH("Sorcery 1", L32),) &gt; 0 ,VLOOKUP("Sorcery 1", vote4TRAITS!A:C , 3, FALSE),
IFERROR(SEARCH("Sorcery 2", L32),) &gt; 0 ,VLOOKUP("Sorcery 2", vote4TRAITS!A:C , 3, FALSE),
IFERROR(SEARCH("Sorcery 3", L32),) &gt; 0,VLOOKUP("Sorcery 3", vote4TRAITS!A:C , 3, FALSE),
0=0,0)
,
IFS(
IFERROR(SEARCH("Pierce 1", L32),) &gt; 0 ,VLOOKUP("Pierce 1", vote4TRAITS!A:C , 3, FALSE),
IFERROR(SEARCH("Pierce 2", L32),) &gt; 0 ,VLOOKUP("Pierce 2", vote4TRAITS!A:C , 3, FALSE),
IFERROR(SEARCH("Pierce 3", L32),) &gt; 0,VLOOKUP("Pierce 3", vote4TRAITS!A:C , 3, FALSE),
IFERROR(SEARCH("Pierce 4", L32),) &gt; 0 ,VLOOKUP("Pierce 4", vote4TRAITS!A:C , 3, FALSE),
0=0,0)
,
IFS(
IFERROR(SEARCH("+1 Health", L32),) &gt; 0 ,VLOOKUP("+1 Health", vote4TRAITS!A:C , 3, FALSE),
IFERROR(SEARCH("+2 Health", L32),) &gt; 0 ,VLOOKUP("+2 Health", vote4TRAITS!A:C , 3, FALSE),
IFERROR(SEARCH("+3 Health", L32),) &gt; 0 ,VLOOKUP("+3 Health", vote4TRAITS!A:C , 3, FALSE),
IFERROR(SEARCH("+4 Health", L32),) &gt; 0 ,VLOOKUP("+4 Health", vote4TRAITS!A:C , 3, FALSE),
0=0,0)
,
IFS(
IFERROR(SEARCH("Soul Shackle 1", L32),) &gt; 0 ,VLOOKUP("Soul Shackle 1", vote4TRAITS!A:C , 3, FALSE),
IFERROR(SEARCH("Soul Shackle 2", L32),) &gt; 0 ,VLOOKUP("Soul Shackle 2", vote4TRAITS!A:C , 3, FALSE),
IFERROR(SEARCH("Soul Shackle 3", L32),) &gt; 0,VLOOKUP("Soul Shackle 3", vote4TRAITS!A:C , 3, FALSE),
0=0,0)
)</f>
        <v>0</v>
      </c>
      <c r="N32" s="311" t="s">
        <v>1534</v>
      </c>
      <c r="O32" s="317">
        <f>IF(ISBLANK(N32),,IFERROR(
IF(IFERROR(SEARCH("SS:",N32),0) &gt; 0, 
VLOOKUP(SUBSTITUTE(N32,"SS: ",""),vote4SURGE!$A:$C , 3, FALSE) - 2,
VLOOKUP(SUBSTITUTE(N32,"S: ",""),vote4SURGE!$A:$C , 3, FALSE)
)
,
IF(IFERROR(SEARCH("SS:",N32),0) &gt; 0, 
VLOOKUP(C32,vote4SURGE!$A:$C , 3, FALSE) - 2,
VLOOKUP(C32,vote4SURGE!$A:$C , 3, FALSE)
)
))</f>
        <v>4.25</v>
      </c>
      <c r="P32" s="318"/>
      <c r="Q32" s="317" t="str">
        <f>IF(ISBLANK(P32),,IFERROR(
IF(IFERROR(SEARCH("SS:",P32),0) &gt; 0, 
VLOOKUP(SUBSTITUTE(P32,"SS: ",""),vote4SURGE!$A:$C , 3, FALSE) - 2,
VLOOKUP(SUBSTITUTE(P32,"S: ",""),vote4SURGE!$A:$C , 3, FALSE)
)
,
IF(IFERROR(SEARCH("SS:",P32),0) &gt; 0, 
VLOOKUP(C32,vote4SURGE!$A:$C , 3, FALSE) - 2,
VLOOKUP(C32,vote4SURGE!$A:$C , 3, FALSE)
)
))</f>
        <v/>
      </c>
      <c r="R32" s="318"/>
      <c r="S32" s="319" t="str">
        <f>IF(ISBLANK(R32),,IFERROR(
IF(IFERROR(SEARCH("SS:",R32),0) &gt; 0, 
VLOOKUP(SUBSTITUTE(R32,"SS: ",""),vote4SURGE!$A:$C , 3, FALSE) - 2,
VLOOKUP(SUBSTITUTE(R32,"S: ",""),vote4SURGE!$A:$C , 3, FALSE)
)
,
IF(IFERROR(SEARCH("SS:",R32),0) &gt; 0, 
VLOOKUP(C32,vote4SURGE!$A:$C , 3, FALSE) - 2,
VLOOKUP(C32,vote4SURGE!$A:$C , 3, FALSE)
)
))</f>
        <v/>
      </c>
      <c r="T32" s="320">
        <f t="shared" si="2"/>
        <v>1</v>
      </c>
      <c r="U32" s="320">
        <f>IFERROR(__xludf.DUMMYFUNCTION("ROUND(
IF(ISBLANK(G32),,
SWITCH(
LEN(G32) - LEN(SUBSTITUTE(G32,"","","""")),
0 , VLOOKUP(G32, Variables!$A:$C, 3, FALSE),
1 , VLOOKUP(index(split(G32 ,"", "", FALSE),1,1), Variables!$A:$C , 3, FALSE) + VLOOKUP(index(split(G32 ,"", "", FALSE),1,2), Variabl"&amp;"es!$A:$C , 3, FALSE),
2 , VLOOKUP(index(split(G32 ,"", "", FALSE),1,1), Variables!$A:$C , 3, FALSE) + VLOOKUP(index(split(G32 ,"", "", FALSE),1,2), Variables!$A:$C , 3, FALSE) + VLOOKUP(index(split(G32 ,"", "", FALSE),1,3), Variables!$A:$C , 3, FALSE),
3 "&amp;", VLOOKUP(index(split(G32 ,"", "", FALSE),1,1), Variables!$A:$C , 3, FALSE) + VLOOKUP(index(split(G32 ,"", "", FALSE),1,2), Variables!$A:$C , 3, FALSE) + VLOOKUP(index(split(G32 ,"", "", FALSE),1,3), Variables!$A:$C , 3, FALSE) + VLOOKUP(index(split(G32 ,"&amp;""", "", FALSE),1,4), Variables!$A:$C , 3, FALSE),
)
)
)"),1.0)</f>
        <v>1</v>
      </c>
      <c r="V32" s="317">
        <f t="shared" si="3"/>
        <v>4.25</v>
      </c>
      <c r="W32" s="321">
        <f t="shared" si="4"/>
        <v>13.75</v>
      </c>
      <c r="X32" s="322"/>
      <c r="Y32" s="322"/>
      <c r="Z32" s="322"/>
      <c r="AA32" s="322"/>
      <c r="AB32" s="322"/>
      <c r="AC32" s="322"/>
      <c r="AD32" s="322"/>
      <c r="AE32" s="322"/>
    </row>
    <row r="33" hidden="1">
      <c r="A33" s="310" t="s">
        <v>1556</v>
      </c>
      <c r="B33" s="93" t="str">
        <f t="shared" si="1"/>
        <v/>
      </c>
      <c r="C33" s="310" t="s">
        <v>868</v>
      </c>
      <c r="D33" s="323">
        <v>0.0</v>
      </c>
      <c r="E33" s="310" t="s">
        <v>1527</v>
      </c>
      <c r="F33" s="310" t="s">
        <v>1567</v>
      </c>
      <c r="G33" s="313" t="s">
        <v>1548</v>
      </c>
      <c r="H33" s="312">
        <f>IFERROR(__xludf.DUMMYFUNCTION(" IF(ISBLANK(G33),,
SWITCH(
LEN(G33) - LEN(SUBSTITUTE(G33,"","","""")),
0 , VLOOKUP(G33, Variables!$A:$B, 2, FALSE),
1 , VLOOKUP(index(split(G33 ,"", "", FALSE),1,1), Variables!$A:$B , 2, FALSE) + VLOOKUP(index(split(G33 ,"", "", FALSE),1,2), Variables!$A:"&amp;"$B , 2, FALSE),
2 , VLOOKUP(index(split(G33 ,"", "", FALSE),1,1), Variables!$A:$B , 2, FALSE) + VLOOKUP(index(split(G33 ,"", "", FALSE),1,2), Variables!$A:$B , 2, FALSE) + VLOOKUP(index(split(G33 ,"", "", FALSE),1,3), Variables!$A:$B , 2, FALSE),
3 , VLOO"&amp;"KUP(index(split(G33 ,"", "", FALSE),1,1), Variables!$A:$B , 2, FALSE) + VLOOKUP(index(split(G33 ,"", "", FALSE),1,2), Variables!$A:$B , 2, FALSE) + VLOOKUP(index(split(G33 ,"", "", FALSE),1,3), Variables!$A:$B , 2, FALSE) + VLOOKUP(index(split(G33 ,"", """&amp;", FALSE),1,4), Variables!$A:$B , 2, FALSE),
)
)"),2.3333333333333335)</f>
        <v>2.333333333</v>
      </c>
      <c r="I33" s="310" t="s">
        <v>1559</v>
      </c>
      <c r="J33" s="313"/>
      <c r="K33" s="314">
        <f>IFERROR(VLOOKUP(C33,vote4ITEMS!$A:$C, 3, FALSE),)</f>
        <v>3.666666667</v>
      </c>
      <c r="L33" s="324"/>
      <c r="M33" s="314">
        <f>SUM(
IF(IFERROR(SEARCH("Aura 1",L33),0) &gt; 0 , VLOOKUP("Aura 1", vote4TRAITS!A:C , 3, FALSE), ),
IF(IFERROR(SEARCH("Backswing",L33),0) &gt; 0 , VLOOKUP("Backswing", vote4TRAITS!A:C , 3, FALSE), ),
IF(IFERROR(SEARCH("Blast",L33),0) &gt; 0 , VLOOKUP("Blast", vote4TRAITS!A:C , 3, FALSE), ),
IF(IFERROR(SEARCH("Combustible",L33),0) &gt; 0 , VLOOKUP("Combustible", vote4TRAITS!A:C , 3, FALSE), ),
IF(IFERROR(SEARCH("Command",L33),0) &gt; 0 , VLOOKUP("Command", vote4TRAITS!A:C , 3, FALSE), ),
IF(IFERROR(SEARCH("Cowardly",L33),0) &gt; 0 , VLOOKUP("Cowardly", vote4TRAITS!A:C , 3, FALSE), ),
IF(IFERROR(SEARCH("Death Wish",L33),0) &gt; 0 , VLOOKUP("Death Wish", vote4TRAITS!A:C , 3, FALSE), ),
IF(IFERROR(SEARCH("Entomb",L33),0) &gt; 0 , VLOOKUP("Entomb", vote4TRAITS!A:C , 3, FALSE), ),
IF(IFERROR(SEARCH("Ethereal Hold",L33),0) &gt; 0 , VLOOKUP("Ethereal Hold", vote4TRAITS!A:C , 3, FALSE), ),
IF(IFERROR(SEARCH("Extend",L33),0) &gt; 0 , VLOOKUP("Extend", vote4TRAITS!A:C , 3, FALSE), ),
IF(IFERROR(SEARCH("Filthy Murk",L33),0) &gt; 0 , VLOOKUP("Filthy Murk", vote4TRAITS!A:C , 3, FALSE), ),
IF(IFERROR(SEARCH("Flame Fiend",L33),0) &gt; 0 , VLOOKUP("Flame Fiend", vote4TRAITS!A:C , 3, FALSE), ),
IF(IFERROR(SEARCH("Fleshmonger",L33),0) &gt; 0 , VLOOKUP("Fleshmonger", vote4TRAITS!A:C , 3, FALSE), ),
IF(IFERROR(SEARCH("Fly",L33),0) &gt; 0 , VLOOKUP("Fly", vote4TRAITS!A:C , 3, FALSE), ),
IF(IFERROR(SEARCH("Freezing",L33),0) &gt; 0 , VLOOKUP("Freezing", vote4TRAITS!A:C , 3, FALSE), ),
IF(IFERROR(SEARCH("Lithesome",L33),0) &gt; 0 , VLOOKUP("Lithesome", vote4TRAITS!A:C , 3, FALSE), ),
IF(IFERROR(SEARCH("Harrowing",L33),0) &gt; 0 , VLOOKUP("Harrowing", vote4TRAITS!A:C , 3, FALSE), ),
IF(IFERROR(SEARCH("Hideous Laughter",L33),0) &gt; 0 , VLOOKUP("Hideous Laughter", vote4TRAITS!A:C , 3, FALSE), ),
IF(IFERROR(SEARCH("Hive Defense",L33),0) &gt; 0 , VLOOKUP("Hive Defense", vote4TRAITS!A:C , 3, FALSE), ),
IF(IFERROR(SEARCH("Horrifying",L33),0) &gt; 0 , VLOOKUP("Horrifying", vote4TRAITS!A:C , 3, FALSE), ),
IF(IFERROR(SEARCH("Ironskin",L33),0) &gt; 0 , VLOOKUP("Ironskin", vote4TRAITS!A:C , 3, FALSE), ),
IF(IFERROR(SEARCH("Unmovable",L33),0) &gt; 0 , VLOOKUP("Unmovable", vote4TRAITS!A:C , 3, FALSE), ),
IF(IFERROR(SEARCH("Lifethirst 1",L33),0) &gt; 0 , VLOOKUP("Lifethirst 1", vote4TRAITS!A:C , 3, FALSE), ),
IF(IFERROR(SEARCH("Lifethirst 2",L33),0) &gt; 0 , VLOOKUP("Lifethirst 2", vote4TRAITS!A:C , 3, FALSE), ),
IF(IFERROR(SEARCH("Morph",L33),0) &gt; 0 , VLOOKUP("Morph", vote4TRAITS!A:C , 3, FALSE), ),
IF(IFERROR(SEARCH("Night Stalker",L33),0) &gt; 0 , VLOOKUP("Night Stalker", vote4TRAITS!A:C , 3, FALSE), ),
IF(IFERROR(SEARCH("Overflowing",L33),0) &gt; 0 , VLOOKUP("Overflowing", vote4TRAITS!A:C , 3, FALSE), ),
IF(IFERROR(SEARCH("Pestilence",L33),0) &gt; 0 , VLOOKUP("Pestilence", vote4TRAITS!A:C , 3, FALSE), ),
IF(IFERROR(SEARCH("Phalanx",L33),0) &gt; 0 , VLOOKUP("Phalanx", vote4TRAITS!A:C , 3, FALSE), ),
IF(IFERROR(SEARCH("Plagued",L33),0) &gt; 0 , VLOOKUP("Plagued", vote4TRAITS!A:C , 3, FALSE), ),
IF(IFERROR(SEARCH("Prey on the Weak",L33),0) &gt; 0 , VLOOKUP("Prey on the Weak", vote4TRAITS!A:C , 3, FALSE), ),
IF(IFERROR(SEARCH("Protect",L33),0) &gt; 0 , VLOOKUP("Protect", vote4TRAITS!A:C , 3, FALSE), ),
IF(IFERROR(SEARCH("Puncture",L33),0) &gt; 0 , VLOOKUP("Puncture", vote4TRAITS!A:C , 3, FALSE), ),
IF(IFERROR(SEARCH("Putrid Boils",L33),0) &gt; 0 , VLOOKUP("Putrid Boils", vote4TRAITS!A:C , 3, FALSE), ),
IF(IFERROR(SEARCH("Ravage",L33),0) &gt; 0 , VLOOKUP("Ravage", vote4TRAITS!A:C , 3, FALSE), ),
IF(IFERROR(SEARCH("Ravenous",L33),0) &gt; 0 , VLOOKUP("Ravenous", vote4TRAITS!A:C , 3, FALSE), ),
IF(IFERROR(SEARCH("Reach",L33),0) &gt; 0 , VLOOKUP("Reach", vote4TRAITS!A:C , 3, FALSE), ),
IF(IFERROR(SEARCH("Reanimation",L33),0) &gt; 0 , VLOOKUP("Reanimation", vote4TRAITS!A:C , 3, FALSE), ),
IF(IFERROR(SEARCH("Reaper",L33),0) &gt; 0 , VLOOKUP("Reaper", vote4TRAITS!A:C , 3, FALSE), ),
IF(IFERROR(SEARCH("Riposte",L33),0) &gt; 0 , VLOOKUP("Riposte", vote4TRAITS!A:C , 3, FALSE)),
IF(IFERROR(SEARCH("Scamper",L33),0) &gt; 0 , VLOOKUP("Scamper", vote4TRAITS!A:C , 3, FALSE), ),
IF(IFERROR(SEARCH("Small Beginnings",L33),0) &gt; 0 , VLOOKUP("Small Beginnings", vote4TRAITS!A:C , 3, FALSE), ),
IF(IFERROR(SEARCH("Spawner",L33),0) &gt; 0 , VLOOKUP("Spawner", vote4TRAITS!A:C , 3,FALSE), ),
IF(IFERROR(SEARCH("Shadowr",L33),0) &gt; 0 , VLOOKUP("Shadow", vote4TRAITS!A:C , 3,FALSE), ),
IF(IFERROR(SEARCH("Shadow Step",L33),0) &gt; 0 , VLOOKUP("Shadow Step", vote4TRAITS!A:C , 3,FALSE), ),
IF(IFERROR(SEARCH("Shambling",L33),0) &gt; 0 , VLOOKUP("Shambling", vote4TRAITS!A:C , 3,FALSE), ),
IF(IFERROR(SEARCH("Stealthy",L33),0) &gt; 0 , VLOOKUP("Stealthy", vote4TRAITS!A:C , 3, FALSE), ),
IF(IFERROR(SEARCH("Web",L33),0) &gt; 0 , VLOOKUP("Web", vote4TRAITS!A:C , 3, FALSE), ),
IF(IFERROR(SEARCH("+1 Willpower",L33),0) &gt; 0 , VLOOKUP("+1 Willpower", vote4TRAITS!A:C , 3, FALSE), ),
IF(IFERROR(SEARCH("+1 Might",L33),0) &gt; 0 , VLOOKUP("+1 Might", vote4TRAITS!A:C , 3, FALSE), ),
IF(IFERROR(SEARCH("+1 Knowledge",L33),0) &gt; 0 , VLOOKUP("+1 Knowledge", vote4TRAITS!A:C , 3, FALSE), ),
IF(IFERROR(SEARCH("+1 Awareness",L33),0) &gt; 0 , VLOOKUP("+1 Awareness", vote4TRAITS!A:C , 3, FALSE), ),
IF(IFERROR(SEARCH("-1 Willpower",L33),0) &gt; 0 , VLOOKUP("-1 Willpower", vote4TRAITS!A:C , 3, FALSE), ),
IF(IFERROR(SEARCH("+1 Health",L33),0) &gt; 0 , VLOOKUP("+1 Health", vote4TRAITS!A:C , 3, FALSE), ),
IF(IFERROR(SEARCH("+2 Health",L33),0) &gt; 0 , VLOOKUP("+2 Health", vote4TRAITS!A:C , 3, FALSE), ),
IF(IFERROR(SEARCH("+1 Stamina",L33),0) &gt; 0 , VLOOKUP("+1 Stamina", vote4TRAITS!A:C , 3, FALSE), ),
IF(IFERROR(SEARCH("+2 Stamina",L33),0) &gt; 0 , VLOOKUP("+2 Stamina", vote4TRAITS!A:C , 3, FALSE), ),
IFS(
IFERROR(SEARCH("+1 Range", L33),) &gt; 0 ,VLOOKUP("+1 Range", vote4TRAITS!A:C , 3, FALSE),
IFERROR(SEARCH("+2 Range", L33),) &gt; 0 ,VLOOKUP("+2 Range", vote4TRAITS!A:C , 3, FALSE),
IFERROR(SEARCH("+3 Range", L33),) &gt; 0,VLOOKUP("+3 Range", vote4TRAITS!A:C , 3, FALSE),
0=0,0)
,
IFS(
IFERROR(SEARCH("Sorcery 1", L33),) &gt; 0 ,VLOOKUP("Sorcery 1", vote4TRAITS!A:C , 3, FALSE),
IFERROR(SEARCH("Sorcery 2", L33),) &gt; 0 ,VLOOKUP("Sorcery 2", vote4TRAITS!A:C , 3, FALSE),
IFERROR(SEARCH("Sorcery 3", L33),) &gt; 0,VLOOKUP("Sorcery 3", vote4TRAITS!A:C , 3, FALSE),
0=0,0)
,
IFS(
IFERROR(SEARCH("Pierce 1", L33),) &gt; 0 ,VLOOKUP("Pierce 1", vote4TRAITS!A:C , 3, FALSE),
IFERROR(SEARCH("Pierce 2", L33),) &gt; 0 ,VLOOKUP("Pierce 2", vote4TRAITS!A:C , 3, FALSE),
IFERROR(SEARCH("Pierce 3", L33),) &gt; 0,VLOOKUP("Pierce 3", vote4TRAITS!A:C , 3, FALSE),
IFERROR(SEARCH("Pierce 4", L33),) &gt; 0 ,VLOOKUP("Pierce 4", vote4TRAITS!A:C , 3, FALSE),
0=0,0)
,
IFS(
IFERROR(SEARCH("+1 Health", L33),) &gt; 0 ,VLOOKUP("+1 Health", vote4TRAITS!A:C , 3, FALSE),
IFERROR(SEARCH("+2 Health", L33),) &gt; 0 ,VLOOKUP("+2 Health", vote4TRAITS!A:C , 3, FALSE),
IFERROR(SEARCH("+3 Health", L33),) &gt; 0 ,VLOOKUP("+3 Health", vote4TRAITS!A:C , 3, FALSE),
IFERROR(SEARCH("+4 Health", L33),) &gt; 0 ,VLOOKUP("+4 Health", vote4TRAITS!A:C , 3, FALSE),
0=0,0)
,
IFS(
IFERROR(SEARCH("Soul Shackle 1", L33),) &gt; 0 ,VLOOKUP("Soul Shackle 1", vote4TRAITS!A:C , 3, FALSE),
IFERROR(SEARCH("Soul Shackle 2", L33),) &gt; 0 ,VLOOKUP("Soul Shackle 2", vote4TRAITS!A:C , 3, FALSE),
IFERROR(SEARCH("Soul Shackle 3", L33),) &gt; 0,VLOOKUP("Soul Shackle 3", vote4TRAITS!A:C , 3, FALSE),
0=0,0)
)</f>
        <v>0</v>
      </c>
      <c r="N33" s="324" t="s">
        <v>1588</v>
      </c>
      <c r="O33" s="317">
        <f>IF(ISBLANK(N33),,IFERROR(
IF(IFERROR(SEARCH("SS:",N33),0) &gt; 0, 
VLOOKUP(SUBSTITUTE(N33,"SS: ",""),vote4SURGE!$A:$C , 3, FALSE) - 2,
VLOOKUP(SUBSTITUTE(N33,"S: ",""),vote4SURGE!$A:$C , 3, FALSE)
)
,
IF(IFERROR(SEARCH("SS:",N33),0) &gt; 0, 
VLOOKUP(C33,vote4SURGE!$A:$C , 3, FALSE) - 2,
VLOOKUP(C33,vote4SURGE!$A:$C , 3, FALSE)
)
))</f>
        <v>2.75</v>
      </c>
      <c r="P33" s="315" t="s">
        <v>1589</v>
      </c>
      <c r="Q33" s="317">
        <f>IF(ISBLANK(P33),,IFERROR(
IF(IFERROR(SEARCH("SS:",P33),0) &gt; 0, 
VLOOKUP(SUBSTITUTE(P33,"SS: ",""),vote4SURGE!$A:$C , 3, FALSE) - 2,
VLOOKUP(SUBSTITUTE(P33,"S: ",""),vote4SURGE!$A:$C , 3, FALSE)
)
,
IF(IFERROR(SEARCH("SS:",P33),0) &gt; 0, 
VLOOKUP(C33,vote4SURGE!$A:$C , 3, FALSE) - 2,
VLOOKUP(C33,vote4SURGE!$A:$C , 3, FALSE)
)
))</f>
        <v>3.25</v>
      </c>
      <c r="R33" s="315" t="s">
        <v>1524</v>
      </c>
      <c r="S33" s="319">
        <f>IF(ISBLANK(R33),,IFERROR(
IF(IFERROR(SEARCH("SS:",R33),0) &gt; 0, 
VLOOKUP(SUBSTITUTE(R33,"SS: ",""),vote4SURGE!$A:$C , 3, FALSE) - 2,
VLOOKUP(SUBSTITUTE(R33,"S: ",""),vote4SURGE!$A:$C , 3, FALSE)
)
,
IF(IFERROR(SEARCH("SS:",R33),0) &gt; 0, 
VLOOKUP(C33,vote4SURGE!$A:$C , 3, FALSE) - 2,
VLOOKUP(C33,vote4SURGE!$A:$C , 3, FALSE)
)
))</f>
        <v>4.5</v>
      </c>
      <c r="T33" s="320">
        <f t="shared" si="2"/>
        <v>3</v>
      </c>
      <c r="U33" s="320">
        <f>IFERROR(__xludf.DUMMYFUNCTION("ROUND(
IF(ISBLANK(G33),,
SWITCH(
LEN(G33) - LEN(SUBSTITUTE(G33,"","","""")),
0 , VLOOKUP(G33, Variables!$A:$C, 3, FALSE),
1 , VLOOKUP(index(split(G33 ,"", "", FALSE),1,1), Variables!$A:$C , 3, FALSE) + VLOOKUP(index(split(G33 ,"", "", FALSE),1,2), Variabl"&amp;"es!$A:$C , 3, FALSE),
2 , VLOOKUP(index(split(G33 ,"", "", FALSE),1,1), Variables!$A:$C , 3, FALSE) + VLOOKUP(index(split(G33 ,"", "", FALSE),1,2), Variables!$A:$C , 3, FALSE) + VLOOKUP(index(split(G33 ,"", "", FALSE),1,3), Variables!$A:$C , 3, FALSE),
3 "&amp;", VLOOKUP(index(split(G33 ,"", "", FALSE),1,1), Variables!$A:$C , 3, FALSE) + VLOOKUP(index(split(G33 ,"", "", FALSE),1,2), Variables!$A:$C , 3, FALSE) + VLOOKUP(index(split(G33 ,"", "", FALSE),1,3), Variables!$A:$C , 3, FALSE) + VLOOKUP(index(split(G33 ,"&amp;""", "", FALSE),1,4), Variables!$A:$C , 3, FALSE),
)
)
)"),1.0)</f>
        <v>1</v>
      </c>
      <c r="V33" s="317">
        <f t="shared" si="3"/>
        <v>6.5</v>
      </c>
      <c r="W33" s="321">
        <f t="shared" si="4"/>
        <v>12.5</v>
      </c>
      <c r="X33" s="322"/>
      <c r="Y33" s="322"/>
      <c r="Z33" s="322"/>
      <c r="AA33" s="322"/>
      <c r="AB33" s="322"/>
      <c r="AC33" s="322"/>
      <c r="AD33" s="322"/>
      <c r="AE33" s="322"/>
    </row>
    <row r="34" hidden="1">
      <c r="A34" s="310" t="s">
        <v>1556</v>
      </c>
      <c r="B34" s="93" t="str">
        <f t="shared" si="1"/>
        <v/>
      </c>
      <c r="C34" s="310" t="s">
        <v>1212</v>
      </c>
      <c r="D34" s="323">
        <v>0.0</v>
      </c>
      <c r="E34" s="310" t="s">
        <v>1527</v>
      </c>
      <c r="F34" s="310" t="s">
        <v>1521</v>
      </c>
      <c r="G34" s="313" t="s">
        <v>1537</v>
      </c>
      <c r="H34" s="312">
        <f>IFERROR(__xludf.DUMMYFUNCTION(" IF(ISBLANK(G34),,
SWITCH(
LEN(G34) - LEN(SUBSTITUTE(G34,"","","""")),
0 , VLOOKUP(G34, Variables!$A:$B, 2, FALSE),
1 , VLOOKUP(index(split(G34 ,"", "", FALSE),1,1), Variables!$A:$B , 2, FALSE) + VLOOKUP(index(split(G34 ,"", "", FALSE),1,2), Variables!$A:"&amp;"$B , 2, FALSE),
2 , VLOOKUP(index(split(G34 ,"", "", FALSE),1,1), Variables!$A:$B , 2, FALSE) + VLOOKUP(index(split(G34 ,"", "", FALSE),1,2), Variables!$A:$B , 2, FALSE) + VLOOKUP(index(split(G34 ,"", "", FALSE),1,3), Variables!$A:$B , 2, FALSE),
3 , VLOO"&amp;"KUP(index(split(G34 ,"", "", FALSE),1,1), Variables!$A:$B , 2, FALSE) + VLOOKUP(index(split(G34 ,"", "", FALSE),1,2), Variables!$A:$B , 2, FALSE) + VLOOKUP(index(split(G34 ,"", "", FALSE),1,3), Variables!$A:$B , 2, FALSE) + VLOOKUP(index(split(G34 ,"", """&amp;", FALSE),1,4), Variables!$A:$B , 2, FALSE),
)
)"),4.5)</f>
        <v>4.5</v>
      </c>
      <c r="I34" s="310" t="s">
        <v>1557</v>
      </c>
      <c r="J34" s="313"/>
      <c r="K34" s="314" t="str">
        <f>IFERROR(VLOOKUP(C34,vote4ITEMS!$A:$C, 3, FALSE),)</f>
        <v/>
      </c>
      <c r="L34" s="324"/>
      <c r="M34" s="314">
        <f>SUM(
IF(IFERROR(SEARCH("Aura 1",L34),0) &gt; 0 , VLOOKUP("Aura 1", vote4TRAITS!A:C , 3, FALSE), ),
IF(IFERROR(SEARCH("Backswing",L34),0) &gt; 0 , VLOOKUP("Backswing", vote4TRAITS!A:C , 3, FALSE), ),
IF(IFERROR(SEARCH("Blast",L34),0) &gt; 0 , VLOOKUP("Blast", vote4TRAITS!A:C , 3, FALSE), ),
IF(IFERROR(SEARCH("Combustible",L34),0) &gt; 0 , VLOOKUP("Combustible", vote4TRAITS!A:C , 3, FALSE), ),
IF(IFERROR(SEARCH("Command",L34),0) &gt; 0 , VLOOKUP("Command", vote4TRAITS!A:C , 3, FALSE), ),
IF(IFERROR(SEARCH("Cowardly",L34),0) &gt; 0 , VLOOKUP("Cowardly", vote4TRAITS!A:C , 3, FALSE), ),
IF(IFERROR(SEARCH("Death Wish",L34),0) &gt; 0 , VLOOKUP("Death Wish", vote4TRAITS!A:C , 3, FALSE), ),
IF(IFERROR(SEARCH("Entomb",L34),0) &gt; 0 , VLOOKUP("Entomb", vote4TRAITS!A:C , 3, FALSE), ),
IF(IFERROR(SEARCH("Ethereal Hold",L34),0) &gt; 0 , VLOOKUP("Ethereal Hold", vote4TRAITS!A:C , 3, FALSE), ),
IF(IFERROR(SEARCH("Extend",L34),0) &gt; 0 , VLOOKUP("Extend", vote4TRAITS!A:C , 3, FALSE), ),
IF(IFERROR(SEARCH("Filthy Murk",L34),0) &gt; 0 , VLOOKUP("Filthy Murk", vote4TRAITS!A:C , 3, FALSE), ),
IF(IFERROR(SEARCH("Flame Fiend",L34),0) &gt; 0 , VLOOKUP("Flame Fiend", vote4TRAITS!A:C , 3, FALSE), ),
IF(IFERROR(SEARCH("Fleshmonger",L34),0) &gt; 0 , VLOOKUP("Fleshmonger", vote4TRAITS!A:C , 3, FALSE), ),
IF(IFERROR(SEARCH("Fly",L34),0) &gt; 0 , VLOOKUP("Fly", vote4TRAITS!A:C , 3, FALSE), ),
IF(IFERROR(SEARCH("Freezing",L34),0) &gt; 0 , VLOOKUP("Freezing", vote4TRAITS!A:C , 3, FALSE), ),
IF(IFERROR(SEARCH("Lithesome",L34),0) &gt; 0 , VLOOKUP("Lithesome", vote4TRAITS!A:C , 3, FALSE), ),
IF(IFERROR(SEARCH("Harrowing",L34),0) &gt; 0 , VLOOKUP("Harrowing", vote4TRAITS!A:C , 3, FALSE), ),
IF(IFERROR(SEARCH("Hideous Laughter",L34),0) &gt; 0 , VLOOKUP("Hideous Laughter", vote4TRAITS!A:C , 3, FALSE), ),
IF(IFERROR(SEARCH("Hive Defense",L34),0) &gt; 0 , VLOOKUP("Hive Defense", vote4TRAITS!A:C , 3, FALSE), ),
IF(IFERROR(SEARCH("Horrifying",L34),0) &gt; 0 , VLOOKUP("Horrifying", vote4TRAITS!A:C , 3, FALSE), ),
IF(IFERROR(SEARCH("Ironskin",L34),0) &gt; 0 , VLOOKUP("Ironskin", vote4TRAITS!A:C , 3, FALSE), ),
IF(IFERROR(SEARCH("Unmovable",L34),0) &gt; 0 , VLOOKUP("Unmovable", vote4TRAITS!A:C , 3, FALSE), ),
IF(IFERROR(SEARCH("Lifethirst 1",L34),0) &gt; 0 , VLOOKUP("Lifethirst 1", vote4TRAITS!A:C , 3, FALSE), ),
IF(IFERROR(SEARCH("Lifethirst 2",L34),0) &gt; 0 , VLOOKUP("Lifethirst 2", vote4TRAITS!A:C , 3, FALSE), ),
IF(IFERROR(SEARCH("Morph",L34),0) &gt; 0 , VLOOKUP("Morph", vote4TRAITS!A:C , 3, FALSE), ),
IF(IFERROR(SEARCH("Night Stalker",L34),0) &gt; 0 , VLOOKUP("Night Stalker", vote4TRAITS!A:C , 3, FALSE), ),
IF(IFERROR(SEARCH("Overflowing",L34),0) &gt; 0 , VLOOKUP("Overflowing", vote4TRAITS!A:C , 3, FALSE), ),
IF(IFERROR(SEARCH("Pestilence",L34),0) &gt; 0 , VLOOKUP("Pestilence", vote4TRAITS!A:C , 3, FALSE), ),
IF(IFERROR(SEARCH("Phalanx",L34),0) &gt; 0 , VLOOKUP("Phalanx", vote4TRAITS!A:C , 3, FALSE), ),
IF(IFERROR(SEARCH("Plagued",L34),0) &gt; 0 , VLOOKUP("Plagued", vote4TRAITS!A:C , 3, FALSE), ),
IF(IFERROR(SEARCH("Prey on the Weak",L34),0) &gt; 0 , VLOOKUP("Prey on the Weak", vote4TRAITS!A:C , 3, FALSE), ),
IF(IFERROR(SEARCH("Protect",L34),0) &gt; 0 , VLOOKUP("Protect", vote4TRAITS!A:C , 3, FALSE), ),
IF(IFERROR(SEARCH("Puncture",L34),0) &gt; 0 , VLOOKUP("Puncture", vote4TRAITS!A:C , 3, FALSE), ),
IF(IFERROR(SEARCH("Putrid Boils",L34),0) &gt; 0 , VLOOKUP("Putrid Boils", vote4TRAITS!A:C , 3, FALSE), ),
IF(IFERROR(SEARCH("Ravage",L34),0) &gt; 0 , VLOOKUP("Ravage", vote4TRAITS!A:C , 3, FALSE), ),
IF(IFERROR(SEARCH("Ravenous",L34),0) &gt; 0 , VLOOKUP("Ravenous", vote4TRAITS!A:C , 3, FALSE), ),
IF(IFERROR(SEARCH("Reach",L34),0) &gt; 0 , VLOOKUP("Reach", vote4TRAITS!A:C , 3, FALSE), ),
IF(IFERROR(SEARCH("Reanimation",L34),0) &gt; 0 , VLOOKUP("Reanimation", vote4TRAITS!A:C , 3, FALSE), ),
IF(IFERROR(SEARCH("Reaper",L34),0) &gt; 0 , VLOOKUP("Reaper", vote4TRAITS!A:C , 3, FALSE), ),
IF(IFERROR(SEARCH("Riposte",L34),0) &gt; 0 , VLOOKUP("Riposte", vote4TRAITS!A:C , 3, FALSE)),
IF(IFERROR(SEARCH("Scamper",L34),0) &gt; 0 , VLOOKUP("Scamper", vote4TRAITS!A:C , 3, FALSE), ),
IF(IFERROR(SEARCH("Small Beginnings",L34),0) &gt; 0 , VLOOKUP("Small Beginnings", vote4TRAITS!A:C , 3, FALSE), ),
IF(IFERROR(SEARCH("Spawner",L34),0) &gt; 0 , VLOOKUP("Spawner", vote4TRAITS!A:C , 3,FALSE), ),
IF(IFERROR(SEARCH("Shadowr",L34),0) &gt; 0 , VLOOKUP("Shadow", vote4TRAITS!A:C , 3,FALSE), ),
IF(IFERROR(SEARCH("Shadow Step",L34),0) &gt; 0 , VLOOKUP("Shadow Step", vote4TRAITS!A:C , 3,FALSE), ),
IF(IFERROR(SEARCH("Shambling",L34),0) &gt; 0 , VLOOKUP("Shambling", vote4TRAITS!A:C , 3,FALSE), ),
IF(IFERROR(SEARCH("Stealthy",L34),0) &gt; 0 , VLOOKUP("Stealthy", vote4TRAITS!A:C , 3, FALSE), ),
IF(IFERROR(SEARCH("Web",L34),0) &gt; 0 , VLOOKUP("Web", vote4TRAITS!A:C , 3, FALSE), ),
IF(IFERROR(SEARCH("+1 Willpower",L34),0) &gt; 0 , VLOOKUP("+1 Willpower", vote4TRAITS!A:C , 3, FALSE), ),
IF(IFERROR(SEARCH("+1 Might",L34),0) &gt; 0 , VLOOKUP("+1 Might", vote4TRAITS!A:C , 3, FALSE), ),
IF(IFERROR(SEARCH("+1 Knowledge",L34),0) &gt; 0 , VLOOKUP("+1 Knowledge", vote4TRAITS!A:C , 3, FALSE), ),
IF(IFERROR(SEARCH("+1 Awareness",L34),0) &gt; 0 , VLOOKUP("+1 Awareness", vote4TRAITS!A:C , 3, FALSE), ),
IF(IFERROR(SEARCH("-1 Willpower",L34),0) &gt; 0 , VLOOKUP("-1 Willpower", vote4TRAITS!A:C , 3, FALSE), ),
IF(IFERROR(SEARCH("+1 Health",L34),0) &gt; 0 , VLOOKUP("+1 Health", vote4TRAITS!A:C , 3, FALSE), ),
IF(IFERROR(SEARCH("+2 Health",L34),0) &gt; 0 , VLOOKUP("+2 Health", vote4TRAITS!A:C , 3, FALSE), ),
IF(IFERROR(SEARCH("+1 Stamina",L34),0) &gt; 0 , VLOOKUP("+1 Stamina", vote4TRAITS!A:C , 3, FALSE), ),
IF(IFERROR(SEARCH("+2 Stamina",L34),0) &gt; 0 , VLOOKUP("+2 Stamina", vote4TRAITS!A:C , 3, FALSE), ),
IFS(
IFERROR(SEARCH("+1 Range", L34),) &gt; 0 ,VLOOKUP("+1 Range", vote4TRAITS!A:C , 3, FALSE),
IFERROR(SEARCH("+2 Range", L34),) &gt; 0 ,VLOOKUP("+2 Range", vote4TRAITS!A:C , 3, FALSE),
IFERROR(SEARCH("+3 Range", L34),) &gt; 0,VLOOKUP("+3 Range", vote4TRAITS!A:C , 3, FALSE),
0=0,0)
,
IFS(
IFERROR(SEARCH("Sorcery 1", L34),) &gt; 0 ,VLOOKUP("Sorcery 1", vote4TRAITS!A:C , 3, FALSE),
IFERROR(SEARCH("Sorcery 2", L34),) &gt; 0 ,VLOOKUP("Sorcery 2", vote4TRAITS!A:C , 3, FALSE),
IFERROR(SEARCH("Sorcery 3", L34),) &gt; 0,VLOOKUP("Sorcery 3", vote4TRAITS!A:C , 3, FALSE),
0=0,0)
,
IFS(
IFERROR(SEARCH("Pierce 1", L34),) &gt; 0 ,VLOOKUP("Pierce 1", vote4TRAITS!A:C , 3, FALSE),
IFERROR(SEARCH("Pierce 2", L34),) &gt; 0 ,VLOOKUP("Pierce 2", vote4TRAITS!A:C , 3, FALSE),
IFERROR(SEARCH("Pierce 3", L34),) &gt; 0,VLOOKUP("Pierce 3", vote4TRAITS!A:C , 3, FALSE),
IFERROR(SEARCH("Pierce 4", L34),) &gt; 0 ,VLOOKUP("Pierce 4", vote4TRAITS!A:C , 3, FALSE),
0=0,0)
,
IFS(
IFERROR(SEARCH("+1 Health", L34),) &gt; 0 ,VLOOKUP("+1 Health", vote4TRAITS!A:C , 3, FALSE),
IFERROR(SEARCH("+2 Health", L34),) &gt; 0 ,VLOOKUP("+2 Health", vote4TRAITS!A:C , 3, FALSE),
IFERROR(SEARCH("+3 Health", L34),) &gt; 0 ,VLOOKUP("+3 Health", vote4TRAITS!A:C , 3, FALSE),
IFERROR(SEARCH("+4 Health", L34),) &gt; 0 ,VLOOKUP("+4 Health", vote4TRAITS!A:C , 3, FALSE),
0=0,0)
,
IFS(
IFERROR(SEARCH("Soul Shackle 1", L34),) &gt; 0 ,VLOOKUP("Soul Shackle 1", vote4TRAITS!A:C , 3, FALSE),
IFERROR(SEARCH("Soul Shackle 2", L34),) &gt; 0 ,VLOOKUP("Soul Shackle 2", vote4TRAITS!A:C , 3, FALSE),
IFERROR(SEARCH("Soul Shackle 3", L34),) &gt; 0,VLOOKUP("Soul Shackle 3", vote4TRAITS!A:C , 3, FALSE),
0=0,0)
)</f>
        <v>0</v>
      </c>
      <c r="N34" s="324" t="s">
        <v>1539</v>
      </c>
      <c r="O34" s="317">
        <f>IF(ISBLANK(N34),,IFERROR(
IF(IFERROR(SEARCH("SS:",N34),0) &gt; 0, 
VLOOKUP(SUBSTITUTE(N34,"SS: ",""),vote4SURGE!$A:$C , 3, FALSE) - 2,
VLOOKUP(SUBSTITUTE(N34,"S: ",""),vote4SURGE!$A:$C , 3, FALSE)
)
,
IF(IFERROR(SEARCH("SS:",N34),0) &gt; 0, 
VLOOKUP(C34,vote4SURGE!$A:$C , 3, FALSE) - 2,
VLOOKUP(C34,vote4SURGE!$A:$C , 3, FALSE)
)
))</f>
        <v>5</v>
      </c>
      <c r="P34" s="315" t="s">
        <v>1590</v>
      </c>
      <c r="Q34" s="317">
        <f>IF(ISBLANK(P34),,IFERROR(
IF(IFERROR(SEARCH("SS:",P34),0) &gt; 0, 
VLOOKUP(SUBSTITUTE(P34,"SS: ",""),vote4SURGE!$A:$C , 3, FALSE) - 2,
VLOOKUP(SUBSTITUTE(P34,"S: ",""),vote4SURGE!$A:$C , 3, FALSE)
)
,
IF(IFERROR(SEARCH("SS:",P34),0) &gt; 0, 
VLOOKUP(C34,vote4SURGE!$A:$C , 3, FALSE) - 2,
VLOOKUP(C34,vote4SURGE!$A:$C , 3, FALSE)
)
))</f>
        <v>5.75</v>
      </c>
      <c r="R34" s="318"/>
      <c r="S34" s="319" t="str">
        <f>IF(ISBLANK(R34),,IFERROR(
IF(IFERROR(SEARCH("SS:",R34),0) &gt; 0, 
VLOOKUP(SUBSTITUTE(R34,"SS: ",""),vote4SURGE!$A:$C , 3, FALSE) - 2,
VLOOKUP(SUBSTITUTE(R34,"S: ",""),vote4SURGE!$A:$C , 3, FALSE)
)
,
IF(IFERROR(SEARCH("SS:",R34),0) &gt; 0, 
VLOOKUP(C34,vote4SURGE!$A:$C , 3, FALSE) - 2,
VLOOKUP(C34,vote4SURGE!$A:$C , 3, FALSE)
)
))</f>
        <v/>
      </c>
      <c r="T34" s="320">
        <f t="shared" si="2"/>
        <v>2</v>
      </c>
      <c r="U34" s="320">
        <f>IFERROR(__xludf.DUMMYFUNCTION("ROUND(
IF(ISBLANK(G34),,
SWITCH(
LEN(G34) - LEN(SUBSTITUTE(G34,"","","""")),
0 , VLOOKUP(G34, Variables!$A:$C, 3, FALSE),
1 , VLOOKUP(index(split(G34 ,"", "", FALSE),1,1), Variables!$A:$C , 3, FALSE) + VLOOKUP(index(split(G34 ,"", "", FALSE),1,2), Variabl"&amp;"es!$A:$C , 3, FALSE),
2 , VLOOKUP(index(split(G34 ,"", "", FALSE),1,1), Variables!$A:$C , 3, FALSE) + VLOOKUP(index(split(G34 ,"", "", FALSE),1,2), Variables!$A:$C , 3, FALSE) + VLOOKUP(index(split(G34 ,"", "", FALSE),1,3), Variables!$A:$C , 3, FALSE),
3 "&amp;", VLOOKUP(index(split(G34 ,"", "", FALSE),1,1), Variables!$A:$C , 3, FALSE) + VLOOKUP(index(split(G34 ,"", "", FALSE),1,2), Variables!$A:$C , 3, FALSE) + VLOOKUP(index(split(G34 ,"", "", FALSE),1,3), Variables!$A:$C , 3, FALSE) + VLOOKUP(index(split(G34 ,"&amp;""", "", FALSE),1,4), Variables!$A:$C , 3, FALSE),
)
)
)"),1.0)</f>
        <v>1</v>
      </c>
      <c r="V34" s="317">
        <f t="shared" si="3"/>
        <v>8.25</v>
      </c>
      <c r="W34" s="321">
        <f t="shared" si="4"/>
        <v>12.75</v>
      </c>
      <c r="X34" s="322"/>
      <c r="Y34" s="322"/>
      <c r="Z34" s="322"/>
      <c r="AA34" s="322"/>
      <c r="AB34" s="322"/>
      <c r="AC34" s="322"/>
      <c r="AD34" s="322"/>
      <c r="AE34" s="322"/>
    </row>
    <row r="35" hidden="1">
      <c r="A35" s="310">
        <v>1.0</v>
      </c>
      <c r="B35" s="93">
        <f t="shared" si="1"/>
        <v>4</v>
      </c>
      <c r="C35" s="310" t="s">
        <v>1591</v>
      </c>
      <c r="D35" s="310">
        <v>100.0</v>
      </c>
      <c r="E35" s="310" t="s">
        <v>1527</v>
      </c>
      <c r="F35" s="310" t="s">
        <v>1531</v>
      </c>
      <c r="G35" s="313" t="s">
        <v>1592</v>
      </c>
      <c r="H35" s="312">
        <f>IFERROR(__xludf.DUMMYFUNCTION(" IF(ISBLANK(G35),,
SWITCH(
LEN(G35) - LEN(SUBSTITUTE(G35,"","","""")),
0 , VLOOKUP(G35, Variables!$A:$B, 2, FALSE),
1 , VLOOKUP(index(split(G35 ,"", "", FALSE),1,1), Variables!$A:$B , 2, FALSE) + VLOOKUP(index(split(G35 ,"", "", FALSE),1,2), Variables!$A:"&amp;"$B , 2, FALSE),
2 , VLOOKUP(index(split(G35 ,"", "", FALSE),1,1), Variables!$A:$B , 2, FALSE) + VLOOKUP(index(split(G35 ,"", "", FALSE),1,2), Variables!$A:$B , 2, FALSE) + VLOOKUP(index(split(G35 ,"", "", FALSE),1,3), Variables!$A:$B , 2, FALSE),
3 , VLOO"&amp;"KUP(index(split(G35 ,"", "", FALSE),1,1), Variables!$A:$B , 2, FALSE) + VLOOKUP(index(split(G35 ,"", "", FALSE),1,2), Variables!$A:$B , 2, FALSE) + VLOOKUP(index(split(G35 ,"", "", FALSE),1,3), Variables!$A:$B , 2, FALSE) + VLOOKUP(index(split(G35 ,"", """&amp;", FALSE),1,4), Variables!$A:$B , 2, FALSE),
)
)"),1.8333333333333335)</f>
        <v>1.833333333</v>
      </c>
      <c r="I35" s="310" t="s">
        <v>1561</v>
      </c>
      <c r="J35" s="313"/>
      <c r="K35" s="314" t="str">
        <f>IFERROR(VLOOKUP(C35,vote4ITEMS!$A:$C, 3, FALSE),)</f>
        <v/>
      </c>
      <c r="L35" s="313" t="s">
        <v>1076</v>
      </c>
      <c r="M35" s="314">
        <f>SUM(
IF(IFERROR(SEARCH("Aura 1",L35),0) &gt; 0 , VLOOKUP("Aura 1", vote4TRAITS!A:C , 3, FALSE), ),
IF(IFERROR(SEARCH("Backswing",L35),0) &gt; 0 , VLOOKUP("Backswing", vote4TRAITS!A:C , 3, FALSE), ),
IF(IFERROR(SEARCH("Blast",L35),0) &gt; 0 , VLOOKUP("Blast", vote4TRAITS!A:C , 3, FALSE), ),
IF(IFERROR(SEARCH("Combustible",L35),0) &gt; 0 , VLOOKUP("Combustible", vote4TRAITS!A:C , 3, FALSE), ),
IF(IFERROR(SEARCH("Command",L35),0) &gt; 0 , VLOOKUP("Command", vote4TRAITS!A:C , 3, FALSE), ),
IF(IFERROR(SEARCH("Cowardly",L35),0) &gt; 0 , VLOOKUP("Cowardly", vote4TRAITS!A:C , 3, FALSE), ),
IF(IFERROR(SEARCH("Death Wish",L35),0) &gt; 0 , VLOOKUP("Death Wish", vote4TRAITS!A:C , 3, FALSE), ),
IF(IFERROR(SEARCH("Entomb",L35),0) &gt; 0 , VLOOKUP("Entomb", vote4TRAITS!A:C , 3, FALSE), ),
IF(IFERROR(SEARCH("Ethereal Hold",L35),0) &gt; 0 , VLOOKUP("Ethereal Hold", vote4TRAITS!A:C , 3, FALSE), ),
IF(IFERROR(SEARCH("Extend",L35),0) &gt; 0 , VLOOKUP("Extend", vote4TRAITS!A:C , 3, FALSE), ),
IF(IFERROR(SEARCH("Filthy Murk",L35),0) &gt; 0 , VLOOKUP("Filthy Murk", vote4TRAITS!A:C , 3, FALSE), ),
IF(IFERROR(SEARCH("Flame Fiend",L35),0) &gt; 0 , VLOOKUP("Flame Fiend", vote4TRAITS!A:C , 3, FALSE), ),
IF(IFERROR(SEARCH("Fleshmonger",L35),0) &gt; 0 , VLOOKUP("Fleshmonger", vote4TRAITS!A:C , 3, FALSE), ),
IF(IFERROR(SEARCH("Fly",L35),0) &gt; 0 , VLOOKUP("Fly", vote4TRAITS!A:C , 3, FALSE), ),
IF(IFERROR(SEARCH("Freezing",L35),0) &gt; 0 , VLOOKUP("Freezing", vote4TRAITS!A:C , 3, FALSE), ),
IF(IFERROR(SEARCH("Lithesome",L35),0) &gt; 0 , VLOOKUP("Lithesome", vote4TRAITS!A:C , 3, FALSE), ),
IF(IFERROR(SEARCH("Harrowing",L35),0) &gt; 0 , VLOOKUP("Harrowing", vote4TRAITS!A:C , 3, FALSE), ),
IF(IFERROR(SEARCH("Hideous Laughter",L35),0) &gt; 0 , VLOOKUP("Hideous Laughter", vote4TRAITS!A:C , 3, FALSE), ),
IF(IFERROR(SEARCH("Hive Defense",L35),0) &gt; 0 , VLOOKUP("Hive Defense", vote4TRAITS!A:C , 3, FALSE), ),
IF(IFERROR(SEARCH("Horrifying",L35),0) &gt; 0 , VLOOKUP("Horrifying", vote4TRAITS!A:C , 3, FALSE), ),
IF(IFERROR(SEARCH("Ironskin",L35),0) &gt; 0 , VLOOKUP("Ironskin", vote4TRAITS!A:C , 3, FALSE), ),
IF(IFERROR(SEARCH("Unmovable",L35),0) &gt; 0 , VLOOKUP("Unmovable", vote4TRAITS!A:C , 3, FALSE), ),
IF(IFERROR(SEARCH("Lifethirst 1",L35),0) &gt; 0 , VLOOKUP("Lifethirst 1", vote4TRAITS!A:C , 3, FALSE), ),
IF(IFERROR(SEARCH("Lifethirst 2",L35),0) &gt; 0 , VLOOKUP("Lifethirst 2", vote4TRAITS!A:C , 3, FALSE), ),
IF(IFERROR(SEARCH("Morph",L35),0) &gt; 0 , VLOOKUP("Morph", vote4TRAITS!A:C , 3, FALSE), ),
IF(IFERROR(SEARCH("Night Stalker",L35),0) &gt; 0 , VLOOKUP("Night Stalker", vote4TRAITS!A:C , 3, FALSE), ),
IF(IFERROR(SEARCH("Overflowing",L35),0) &gt; 0 , VLOOKUP("Overflowing", vote4TRAITS!A:C , 3, FALSE), ),
IF(IFERROR(SEARCH("Pestilence",L35),0) &gt; 0 , VLOOKUP("Pestilence", vote4TRAITS!A:C , 3, FALSE), ),
IF(IFERROR(SEARCH("Phalanx",L35),0) &gt; 0 , VLOOKUP("Phalanx", vote4TRAITS!A:C , 3, FALSE), ),
IF(IFERROR(SEARCH("Plagued",L35),0) &gt; 0 , VLOOKUP("Plagued", vote4TRAITS!A:C , 3, FALSE), ),
IF(IFERROR(SEARCH("Prey on the Weak",L35),0) &gt; 0 , VLOOKUP("Prey on the Weak", vote4TRAITS!A:C , 3, FALSE), ),
IF(IFERROR(SEARCH("Protect",L35),0) &gt; 0 , VLOOKUP("Protect", vote4TRAITS!A:C , 3, FALSE), ),
IF(IFERROR(SEARCH("Puncture",L35),0) &gt; 0 , VLOOKUP("Puncture", vote4TRAITS!A:C , 3, FALSE), ),
IF(IFERROR(SEARCH("Putrid Boils",L35),0) &gt; 0 , VLOOKUP("Putrid Boils", vote4TRAITS!A:C , 3, FALSE), ),
IF(IFERROR(SEARCH("Ravage",L35),0) &gt; 0 , VLOOKUP("Ravage", vote4TRAITS!A:C , 3, FALSE), ),
IF(IFERROR(SEARCH("Ravenous",L35),0) &gt; 0 , VLOOKUP("Ravenous", vote4TRAITS!A:C , 3, FALSE), ),
IF(IFERROR(SEARCH("Reach",L35),0) &gt; 0 , VLOOKUP("Reach", vote4TRAITS!A:C , 3, FALSE), ),
IF(IFERROR(SEARCH("Reanimation",L35),0) &gt; 0 , VLOOKUP("Reanimation", vote4TRAITS!A:C , 3, FALSE), ),
IF(IFERROR(SEARCH("Reaper",L35),0) &gt; 0 , VLOOKUP("Reaper", vote4TRAITS!A:C , 3, FALSE), ),
IF(IFERROR(SEARCH("Riposte",L35),0) &gt; 0 , VLOOKUP("Riposte", vote4TRAITS!A:C , 3, FALSE)),
IF(IFERROR(SEARCH("Scamper",L35),0) &gt; 0 , VLOOKUP("Scamper", vote4TRAITS!A:C , 3, FALSE), ),
IF(IFERROR(SEARCH("Small Beginnings",L35),0) &gt; 0 , VLOOKUP("Small Beginnings", vote4TRAITS!A:C , 3, FALSE), ),
IF(IFERROR(SEARCH("Spawner",L35),0) &gt; 0 , VLOOKUP("Spawner", vote4TRAITS!A:C , 3,FALSE), ),
IF(IFERROR(SEARCH("Shadowr",L35),0) &gt; 0 , VLOOKUP("Shadow", vote4TRAITS!A:C , 3,FALSE), ),
IF(IFERROR(SEARCH("Shadow Step",L35),0) &gt; 0 , VLOOKUP("Shadow Step", vote4TRAITS!A:C , 3,FALSE), ),
IF(IFERROR(SEARCH("Shambling",L35),0) &gt; 0 , VLOOKUP("Shambling", vote4TRAITS!A:C , 3,FALSE), ),
IF(IFERROR(SEARCH("Stealthy",L35),0) &gt; 0 , VLOOKUP("Stealthy", vote4TRAITS!A:C , 3, FALSE), ),
IF(IFERROR(SEARCH("Web",L35),0) &gt; 0 , VLOOKUP("Web", vote4TRAITS!A:C , 3, FALSE), ),
IF(IFERROR(SEARCH("+1 Willpower",L35),0) &gt; 0 , VLOOKUP("+1 Willpower", vote4TRAITS!A:C , 3, FALSE), ),
IF(IFERROR(SEARCH("+1 Might",L35),0) &gt; 0 , VLOOKUP("+1 Might", vote4TRAITS!A:C , 3, FALSE), ),
IF(IFERROR(SEARCH("+1 Knowledge",L35),0) &gt; 0 , VLOOKUP("+1 Knowledge", vote4TRAITS!A:C , 3, FALSE), ),
IF(IFERROR(SEARCH("+1 Awareness",L35),0) &gt; 0 , VLOOKUP("+1 Awareness", vote4TRAITS!A:C , 3, FALSE), ),
IF(IFERROR(SEARCH("-1 Willpower",L35),0) &gt; 0 , VLOOKUP("-1 Willpower", vote4TRAITS!A:C , 3, FALSE), ),
IF(IFERROR(SEARCH("+1 Health",L35),0) &gt; 0 , VLOOKUP("+1 Health", vote4TRAITS!A:C , 3, FALSE), ),
IF(IFERROR(SEARCH("+2 Health",L35),0) &gt; 0 , VLOOKUP("+2 Health", vote4TRAITS!A:C , 3, FALSE), ),
IF(IFERROR(SEARCH("+1 Stamina",L35),0) &gt; 0 , VLOOKUP("+1 Stamina", vote4TRAITS!A:C , 3, FALSE), ),
IF(IFERROR(SEARCH("+2 Stamina",L35),0) &gt; 0 , VLOOKUP("+2 Stamina", vote4TRAITS!A:C , 3, FALSE), ),
IFS(
IFERROR(SEARCH("+1 Range", L35),) &gt; 0 ,VLOOKUP("+1 Range", vote4TRAITS!A:C , 3, FALSE),
IFERROR(SEARCH("+2 Range", L35),) &gt; 0 ,VLOOKUP("+2 Range", vote4TRAITS!A:C , 3, FALSE),
IFERROR(SEARCH("+3 Range", L35),) &gt; 0,VLOOKUP("+3 Range", vote4TRAITS!A:C , 3, FALSE),
0=0,0)
,
IFS(
IFERROR(SEARCH("Sorcery 1", L35),) &gt; 0 ,VLOOKUP("Sorcery 1", vote4TRAITS!A:C , 3, FALSE),
IFERROR(SEARCH("Sorcery 2", L35),) &gt; 0 ,VLOOKUP("Sorcery 2", vote4TRAITS!A:C , 3, FALSE),
IFERROR(SEARCH("Sorcery 3", L35),) &gt; 0,VLOOKUP("Sorcery 3", vote4TRAITS!A:C , 3, FALSE),
0=0,0)
,
IFS(
IFERROR(SEARCH("Pierce 1", L35),) &gt; 0 ,VLOOKUP("Pierce 1", vote4TRAITS!A:C , 3, FALSE),
IFERROR(SEARCH("Pierce 2", L35),) &gt; 0 ,VLOOKUP("Pierce 2", vote4TRAITS!A:C , 3, FALSE),
IFERROR(SEARCH("Pierce 3", L35),) &gt; 0,VLOOKUP("Pierce 3", vote4TRAITS!A:C , 3, FALSE),
IFERROR(SEARCH("Pierce 4", L35),) &gt; 0 ,VLOOKUP("Pierce 4", vote4TRAITS!A:C , 3, FALSE),
0=0,0)
,
IFS(
IFERROR(SEARCH("+1 Health", L35),) &gt; 0 ,VLOOKUP("+1 Health", vote4TRAITS!A:C , 3, FALSE),
IFERROR(SEARCH("+2 Health", L35),) &gt; 0 ,VLOOKUP("+2 Health", vote4TRAITS!A:C , 3, FALSE),
IFERROR(SEARCH("+3 Health", L35),) &gt; 0 ,VLOOKUP("+3 Health", vote4TRAITS!A:C , 3, FALSE),
IFERROR(SEARCH("+4 Health", L35),) &gt; 0 ,VLOOKUP("+4 Health", vote4TRAITS!A:C , 3, FALSE),
0=0,0)
,
IFS(
IFERROR(SEARCH("Soul Shackle 1", L35),) &gt; 0 ,VLOOKUP("Soul Shackle 1", vote4TRAITS!A:C , 3, FALSE),
IFERROR(SEARCH("Soul Shackle 2", L35),) &gt; 0 ,VLOOKUP("Soul Shackle 2", vote4TRAITS!A:C , 3, FALSE),
IFERROR(SEARCH("Soul Shackle 3", L35),) &gt; 0,VLOOKUP("Soul Shackle 3", vote4TRAITS!A:C , 3, FALSE),
0=0,0)
)</f>
        <v>5.5</v>
      </c>
      <c r="N35" s="311" t="s">
        <v>1581</v>
      </c>
      <c r="O35" s="317">
        <f>IF(ISBLANK(N35),,IFERROR(
IF(IFERROR(SEARCH("SS:",N35),0) &gt; 0, 
VLOOKUP(SUBSTITUTE(N35,"SS: ",""),vote4SURGE!$A:$C , 3, FALSE) - 2,
VLOOKUP(SUBSTITUTE(N35,"S: ",""),vote4SURGE!$A:$C , 3, FALSE)
)
,
IF(IFERROR(SEARCH("SS:",N35),0) &gt; 0, 
VLOOKUP(C35,vote4SURGE!$A:$C , 3, FALSE) - 2,
VLOOKUP(C35,vote4SURGE!$A:$C , 3, FALSE)
)
))</f>
        <v>3.75</v>
      </c>
      <c r="P35" s="315" t="s">
        <v>1593</v>
      </c>
      <c r="Q35" s="317">
        <f>IF(ISBLANK(P35),,IFERROR(
IF(IFERROR(SEARCH("SS:",P35),0) &gt; 0, 
VLOOKUP(SUBSTITUTE(P35,"SS: ",""),vote4SURGE!$A:$C , 3, FALSE) - 2,
VLOOKUP(SUBSTITUTE(P35,"S: ",""),vote4SURGE!$A:$C , 3, FALSE)
)
,
IF(IFERROR(SEARCH("SS:",P35),0) &gt; 0, 
VLOOKUP(C35,vote4SURGE!$A:$C , 3, FALSE) - 2,
VLOOKUP(C35,vote4SURGE!$A:$C , 3, FALSE)
)
))</f>
        <v>4.333333333</v>
      </c>
      <c r="R35" s="318"/>
      <c r="S35" s="319" t="str">
        <f>IF(ISBLANK(R35),,IFERROR(
IF(IFERROR(SEARCH("SS:",R35),0) &gt; 0, 
VLOOKUP(SUBSTITUTE(R35,"SS: ",""),vote4SURGE!$A:$C , 3, FALSE) - 2,
VLOOKUP(SUBSTITUTE(R35,"S: ",""),vote4SURGE!$A:$C , 3, FALSE)
)
,
IF(IFERROR(SEARCH("SS:",R35),0) &gt; 0, 
VLOOKUP(C35,vote4SURGE!$A:$C , 3, FALSE) - 2,
VLOOKUP(C35,vote4SURGE!$A:$C , 3, FALSE)
)
))</f>
        <v/>
      </c>
      <c r="T35" s="320">
        <f t="shared" si="2"/>
        <v>2</v>
      </c>
      <c r="U35" s="320">
        <f>IFERROR(__xludf.DUMMYFUNCTION("ROUND(
IF(ISBLANK(G35),,
SWITCH(
LEN(G35) - LEN(SUBSTITUTE(G35,"","","""")),
0 , VLOOKUP(G35, Variables!$A:$C, 3, FALSE),
1 , VLOOKUP(index(split(G35 ,"", "", FALSE),1,1), Variables!$A:$C , 3, FALSE) + VLOOKUP(index(split(G35 ,"", "", FALSE),1,2), Variabl"&amp;"es!$A:$C , 3, FALSE),
2 , VLOOKUP(index(split(G35 ,"", "", FALSE),1,1), Variables!$A:$C , 3, FALSE) + VLOOKUP(index(split(G35 ,"", "", FALSE),1,2), Variables!$A:$C , 3, FALSE) + VLOOKUP(index(split(G35 ,"", "", FALSE),1,3), Variables!$A:$C , 3, FALSE),
3 "&amp;", VLOOKUP(index(split(G35 ,"", "", FALSE),1,1), Variables!$A:$C , 3, FALSE) + VLOOKUP(index(split(G35 ,"", "", FALSE),1,2), Variables!$A:$C , 3, FALSE) + VLOOKUP(index(split(G35 ,"", "", FALSE),1,3), Variables!$A:$C , 3, FALSE) + VLOOKUP(index(split(G35 ,"&amp;""", "", FALSE),1,4), Variables!$A:$C , 3, FALSE),
)
)
)"),1.0)</f>
        <v>1</v>
      </c>
      <c r="V35" s="317">
        <f t="shared" si="3"/>
        <v>6.208333333</v>
      </c>
      <c r="W35" s="321">
        <f t="shared" si="4"/>
        <v>13.54166667</v>
      </c>
      <c r="X35" s="322"/>
      <c r="Y35" s="322"/>
      <c r="Z35" s="322"/>
      <c r="AA35" s="322"/>
      <c r="AB35" s="322"/>
      <c r="AC35" s="322"/>
      <c r="AD35" s="322"/>
      <c r="AE35" s="322"/>
    </row>
    <row r="36" hidden="1">
      <c r="A36" s="310">
        <v>2.0</v>
      </c>
      <c r="B36" s="93">
        <f t="shared" si="1"/>
        <v>7</v>
      </c>
      <c r="C36" s="310" t="s">
        <v>938</v>
      </c>
      <c r="D36" s="310">
        <v>175.0</v>
      </c>
      <c r="E36" s="310" t="s">
        <v>1527</v>
      </c>
      <c r="F36" s="310" t="s">
        <v>1521</v>
      </c>
      <c r="G36" s="313" t="s">
        <v>1537</v>
      </c>
      <c r="H36" s="312">
        <f>IFERROR(__xludf.DUMMYFUNCTION(" IF(ISBLANK(G36),,
SWITCH(
LEN(G36) - LEN(SUBSTITUTE(G36,"","","""")),
0 , VLOOKUP(G36, Variables!$A:$B, 2, FALSE),
1 , VLOOKUP(index(split(G36 ,"", "", FALSE),1,1), Variables!$A:$B , 2, FALSE) + VLOOKUP(index(split(G36 ,"", "", FALSE),1,2), Variables!$A:"&amp;"$B , 2, FALSE),
2 , VLOOKUP(index(split(G36 ,"", "", FALSE),1,1), Variables!$A:$B , 2, FALSE) + VLOOKUP(index(split(G36 ,"", "", FALSE),1,2), Variables!$A:$B , 2, FALSE) + VLOOKUP(index(split(G36 ,"", "", FALSE),1,3), Variables!$A:$B , 2, FALSE),
3 , VLOO"&amp;"KUP(index(split(G36 ,"", "", FALSE),1,1), Variables!$A:$B , 2, FALSE) + VLOOKUP(index(split(G36 ,"", "", FALSE),1,2), Variables!$A:$B , 2, FALSE) + VLOOKUP(index(split(G36 ,"", "", FALSE),1,3), Variables!$A:$B , 2, FALSE) + VLOOKUP(index(split(G36 ,"", """&amp;", FALSE),1,4), Variables!$A:$B , 2, FALSE),
)
)"),4.5)</f>
        <v>4.5</v>
      </c>
      <c r="I36" s="310" t="s">
        <v>1552</v>
      </c>
      <c r="J36" s="313" t="s">
        <v>939</v>
      </c>
      <c r="K36" s="314">
        <f>IFERROR(VLOOKUP(C36,vote4ITEMS!$A:$C, 3, FALSE),)</f>
        <v>5</v>
      </c>
      <c r="L36" s="313"/>
      <c r="M36" s="314">
        <f>SUM(
IF(IFERROR(SEARCH("Aura 1",L36),0) &gt; 0 , VLOOKUP("Aura 1", vote4TRAITS!A:C , 3, FALSE), ),
IF(IFERROR(SEARCH("Backswing",L36),0) &gt; 0 , VLOOKUP("Backswing", vote4TRAITS!A:C , 3, FALSE), ),
IF(IFERROR(SEARCH("Blast",L36),0) &gt; 0 , VLOOKUP("Blast", vote4TRAITS!A:C , 3, FALSE), ),
IF(IFERROR(SEARCH("Combustible",L36),0) &gt; 0 , VLOOKUP("Combustible", vote4TRAITS!A:C , 3, FALSE), ),
IF(IFERROR(SEARCH("Command",L36),0) &gt; 0 , VLOOKUP("Command", vote4TRAITS!A:C , 3, FALSE), ),
IF(IFERROR(SEARCH("Cowardly",L36),0) &gt; 0 , VLOOKUP("Cowardly", vote4TRAITS!A:C , 3, FALSE), ),
IF(IFERROR(SEARCH("Death Wish",L36),0) &gt; 0 , VLOOKUP("Death Wish", vote4TRAITS!A:C , 3, FALSE), ),
IF(IFERROR(SEARCH("Entomb",L36),0) &gt; 0 , VLOOKUP("Entomb", vote4TRAITS!A:C , 3, FALSE), ),
IF(IFERROR(SEARCH("Ethereal Hold",L36),0) &gt; 0 , VLOOKUP("Ethereal Hold", vote4TRAITS!A:C , 3, FALSE), ),
IF(IFERROR(SEARCH("Extend",L36),0) &gt; 0 , VLOOKUP("Extend", vote4TRAITS!A:C , 3, FALSE), ),
IF(IFERROR(SEARCH("Filthy Murk",L36),0) &gt; 0 , VLOOKUP("Filthy Murk", vote4TRAITS!A:C , 3, FALSE), ),
IF(IFERROR(SEARCH("Flame Fiend",L36),0) &gt; 0 , VLOOKUP("Flame Fiend", vote4TRAITS!A:C , 3, FALSE), ),
IF(IFERROR(SEARCH("Fleshmonger",L36),0) &gt; 0 , VLOOKUP("Fleshmonger", vote4TRAITS!A:C , 3, FALSE), ),
IF(IFERROR(SEARCH("Fly",L36),0) &gt; 0 , VLOOKUP("Fly", vote4TRAITS!A:C , 3, FALSE), ),
IF(IFERROR(SEARCH("Freezing",L36),0) &gt; 0 , VLOOKUP("Freezing", vote4TRAITS!A:C , 3, FALSE), ),
IF(IFERROR(SEARCH("Lithesome",L36),0) &gt; 0 , VLOOKUP("Lithesome", vote4TRAITS!A:C , 3, FALSE), ),
IF(IFERROR(SEARCH("Harrowing",L36),0) &gt; 0 , VLOOKUP("Harrowing", vote4TRAITS!A:C , 3, FALSE), ),
IF(IFERROR(SEARCH("Hideous Laughter",L36),0) &gt; 0 , VLOOKUP("Hideous Laughter", vote4TRAITS!A:C , 3, FALSE), ),
IF(IFERROR(SEARCH("Hive Defense",L36),0) &gt; 0 , VLOOKUP("Hive Defense", vote4TRAITS!A:C , 3, FALSE), ),
IF(IFERROR(SEARCH("Horrifying",L36),0) &gt; 0 , VLOOKUP("Horrifying", vote4TRAITS!A:C , 3, FALSE), ),
IF(IFERROR(SEARCH("Ironskin",L36),0) &gt; 0 , VLOOKUP("Ironskin", vote4TRAITS!A:C , 3, FALSE), ),
IF(IFERROR(SEARCH("Unmovable",L36),0) &gt; 0 , VLOOKUP("Unmovable", vote4TRAITS!A:C , 3, FALSE), ),
IF(IFERROR(SEARCH("Lifethirst 1",L36),0) &gt; 0 , VLOOKUP("Lifethirst 1", vote4TRAITS!A:C , 3, FALSE), ),
IF(IFERROR(SEARCH("Lifethirst 2",L36),0) &gt; 0 , VLOOKUP("Lifethirst 2", vote4TRAITS!A:C , 3, FALSE), ),
IF(IFERROR(SEARCH("Morph",L36),0) &gt; 0 , VLOOKUP("Morph", vote4TRAITS!A:C , 3, FALSE), ),
IF(IFERROR(SEARCH("Night Stalker",L36),0) &gt; 0 , VLOOKUP("Night Stalker", vote4TRAITS!A:C , 3, FALSE), ),
IF(IFERROR(SEARCH("Overflowing",L36),0) &gt; 0 , VLOOKUP("Overflowing", vote4TRAITS!A:C , 3, FALSE), ),
IF(IFERROR(SEARCH("Pestilence",L36),0) &gt; 0 , VLOOKUP("Pestilence", vote4TRAITS!A:C , 3, FALSE), ),
IF(IFERROR(SEARCH("Phalanx",L36),0) &gt; 0 , VLOOKUP("Phalanx", vote4TRAITS!A:C , 3, FALSE), ),
IF(IFERROR(SEARCH("Plagued",L36),0) &gt; 0 , VLOOKUP("Plagued", vote4TRAITS!A:C , 3, FALSE), ),
IF(IFERROR(SEARCH("Prey on the Weak",L36),0) &gt; 0 , VLOOKUP("Prey on the Weak", vote4TRAITS!A:C , 3, FALSE), ),
IF(IFERROR(SEARCH("Protect",L36),0) &gt; 0 , VLOOKUP("Protect", vote4TRAITS!A:C , 3, FALSE), ),
IF(IFERROR(SEARCH("Puncture",L36),0) &gt; 0 , VLOOKUP("Puncture", vote4TRAITS!A:C , 3, FALSE), ),
IF(IFERROR(SEARCH("Putrid Boils",L36),0) &gt; 0 , VLOOKUP("Putrid Boils", vote4TRAITS!A:C , 3, FALSE), ),
IF(IFERROR(SEARCH("Ravage",L36),0) &gt; 0 , VLOOKUP("Ravage", vote4TRAITS!A:C , 3, FALSE), ),
IF(IFERROR(SEARCH("Ravenous",L36),0) &gt; 0 , VLOOKUP("Ravenous", vote4TRAITS!A:C , 3, FALSE), ),
IF(IFERROR(SEARCH("Reach",L36),0) &gt; 0 , VLOOKUP("Reach", vote4TRAITS!A:C , 3, FALSE), ),
IF(IFERROR(SEARCH("Reanimation",L36),0) &gt; 0 , VLOOKUP("Reanimation", vote4TRAITS!A:C , 3, FALSE), ),
IF(IFERROR(SEARCH("Reaper",L36),0) &gt; 0 , VLOOKUP("Reaper", vote4TRAITS!A:C , 3, FALSE), ),
IF(IFERROR(SEARCH("Riposte",L36),0) &gt; 0 , VLOOKUP("Riposte", vote4TRAITS!A:C , 3, FALSE)),
IF(IFERROR(SEARCH("Scamper",L36),0) &gt; 0 , VLOOKUP("Scamper", vote4TRAITS!A:C , 3, FALSE), ),
IF(IFERROR(SEARCH("Small Beginnings",L36),0) &gt; 0 , VLOOKUP("Small Beginnings", vote4TRAITS!A:C , 3, FALSE), ),
IF(IFERROR(SEARCH("Spawner",L36),0) &gt; 0 , VLOOKUP("Spawner", vote4TRAITS!A:C , 3,FALSE), ),
IF(IFERROR(SEARCH("Shadowr",L36),0) &gt; 0 , VLOOKUP("Shadow", vote4TRAITS!A:C , 3,FALSE), ),
IF(IFERROR(SEARCH("Shadow Step",L36),0) &gt; 0 , VLOOKUP("Shadow Step", vote4TRAITS!A:C , 3,FALSE), ),
IF(IFERROR(SEARCH("Shambling",L36),0) &gt; 0 , VLOOKUP("Shambling", vote4TRAITS!A:C , 3,FALSE), ),
IF(IFERROR(SEARCH("Stealthy",L36),0) &gt; 0 , VLOOKUP("Stealthy", vote4TRAITS!A:C , 3, FALSE), ),
IF(IFERROR(SEARCH("Web",L36),0) &gt; 0 , VLOOKUP("Web", vote4TRAITS!A:C , 3, FALSE), ),
IF(IFERROR(SEARCH("+1 Willpower",L36),0) &gt; 0 , VLOOKUP("+1 Willpower", vote4TRAITS!A:C , 3, FALSE), ),
IF(IFERROR(SEARCH("+1 Might",L36),0) &gt; 0 , VLOOKUP("+1 Might", vote4TRAITS!A:C , 3, FALSE), ),
IF(IFERROR(SEARCH("+1 Knowledge",L36),0) &gt; 0 , VLOOKUP("+1 Knowledge", vote4TRAITS!A:C , 3, FALSE), ),
IF(IFERROR(SEARCH("+1 Awareness",L36),0) &gt; 0 , VLOOKUP("+1 Awareness", vote4TRAITS!A:C , 3, FALSE), ),
IF(IFERROR(SEARCH("-1 Willpower",L36),0) &gt; 0 , VLOOKUP("-1 Willpower", vote4TRAITS!A:C , 3, FALSE), ),
IF(IFERROR(SEARCH("+1 Health",L36),0) &gt; 0 , VLOOKUP("+1 Health", vote4TRAITS!A:C , 3, FALSE), ),
IF(IFERROR(SEARCH("+2 Health",L36),0) &gt; 0 , VLOOKUP("+2 Health", vote4TRAITS!A:C , 3, FALSE), ),
IF(IFERROR(SEARCH("+1 Stamina",L36),0) &gt; 0 , VLOOKUP("+1 Stamina", vote4TRAITS!A:C , 3, FALSE), ),
IF(IFERROR(SEARCH("+2 Stamina",L36),0) &gt; 0 , VLOOKUP("+2 Stamina", vote4TRAITS!A:C , 3, FALSE), ),
IFS(
IFERROR(SEARCH("+1 Range", L36),) &gt; 0 ,VLOOKUP("+1 Range", vote4TRAITS!A:C , 3, FALSE),
IFERROR(SEARCH("+2 Range", L36),) &gt; 0 ,VLOOKUP("+2 Range", vote4TRAITS!A:C , 3, FALSE),
IFERROR(SEARCH("+3 Range", L36),) &gt; 0,VLOOKUP("+3 Range", vote4TRAITS!A:C , 3, FALSE),
0=0,0)
,
IFS(
IFERROR(SEARCH("Sorcery 1", L36),) &gt; 0 ,VLOOKUP("Sorcery 1", vote4TRAITS!A:C , 3, FALSE),
IFERROR(SEARCH("Sorcery 2", L36),) &gt; 0 ,VLOOKUP("Sorcery 2", vote4TRAITS!A:C , 3, FALSE),
IFERROR(SEARCH("Sorcery 3", L36),) &gt; 0,VLOOKUP("Sorcery 3", vote4TRAITS!A:C , 3, FALSE),
0=0,0)
,
IFS(
IFERROR(SEARCH("Pierce 1", L36),) &gt; 0 ,VLOOKUP("Pierce 1", vote4TRAITS!A:C , 3, FALSE),
IFERROR(SEARCH("Pierce 2", L36),) &gt; 0 ,VLOOKUP("Pierce 2", vote4TRAITS!A:C , 3, FALSE),
IFERROR(SEARCH("Pierce 3", L36),) &gt; 0,VLOOKUP("Pierce 3", vote4TRAITS!A:C , 3, FALSE),
IFERROR(SEARCH("Pierce 4", L36),) &gt; 0 ,VLOOKUP("Pierce 4", vote4TRAITS!A:C , 3, FALSE),
0=0,0)
,
IFS(
IFERROR(SEARCH("+1 Health", L36),) &gt; 0 ,VLOOKUP("+1 Health", vote4TRAITS!A:C , 3, FALSE),
IFERROR(SEARCH("+2 Health", L36),) &gt; 0 ,VLOOKUP("+2 Health", vote4TRAITS!A:C , 3, FALSE),
IFERROR(SEARCH("+3 Health", L36),) &gt; 0 ,VLOOKUP("+3 Health", vote4TRAITS!A:C , 3, FALSE),
IFERROR(SEARCH("+4 Health", L36),) &gt; 0 ,VLOOKUP("+4 Health", vote4TRAITS!A:C , 3, FALSE),
0=0,0)
,
IFS(
IFERROR(SEARCH("Soul Shackle 1", L36),) &gt; 0 ,VLOOKUP("Soul Shackle 1", vote4TRAITS!A:C , 3, FALSE),
IFERROR(SEARCH("Soul Shackle 2", L36),) &gt; 0 ,VLOOKUP("Soul Shackle 2", vote4TRAITS!A:C , 3, FALSE),
IFERROR(SEARCH("Soul Shackle 3", L36),) &gt; 0,VLOOKUP("Soul Shackle 3", vote4TRAITS!A:C , 3, FALSE),
0=0,0)
)</f>
        <v>0</v>
      </c>
      <c r="N36" s="311" t="s">
        <v>1534</v>
      </c>
      <c r="O36" s="317">
        <f>IF(ISBLANK(N36),,IFERROR(
IF(IFERROR(SEARCH("SS:",N36),0) &gt; 0, 
VLOOKUP(SUBSTITUTE(N36,"SS: ",""),vote4SURGE!$A:$C , 3, FALSE) - 2,
VLOOKUP(SUBSTITUTE(N36,"S: ",""),vote4SURGE!$A:$C , 3, FALSE)
)
,
IF(IFERROR(SEARCH("SS:",N36),0) &gt; 0, 
VLOOKUP(C36,vote4SURGE!$A:$C , 3, FALSE) - 2,
VLOOKUP(C36,vote4SURGE!$A:$C , 3, FALSE)
)
))</f>
        <v>4.25</v>
      </c>
      <c r="P36" s="318"/>
      <c r="Q36" s="317" t="str">
        <f>IF(ISBLANK(P36),,IFERROR(
IF(IFERROR(SEARCH("SS:",P36),0) &gt; 0, 
VLOOKUP(SUBSTITUTE(P36,"SS: ",""),vote4SURGE!$A:$C , 3, FALSE) - 2,
VLOOKUP(SUBSTITUTE(P36,"S: ",""),vote4SURGE!$A:$C , 3, FALSE)
)
,
IF(IFERROR(SEARCH("SS:",P36),0) &gt; 0, 
VLOOKUP(C36,vote4SURGE!$A:$C , 3, FALSE) - 2,
VLOOKUP(C36,vote4SURGE!$A:$C , 3, FALSE)
)
))</f>
        <v/>
      </c>
      <c r="R36" s="318"/>
      <c r="S36" s="319" t="str">
        <f>IF(ISBLANK(R36),,IFERROR(
IF(IFERROR(SEARCH("SS:",R36),0) &gt; 0, 
VLOOKUP(SUBSTITUTE(R36,"SS: ",""),vote4SURGE!$A:$C , 3, FALSE) - 2,
VLOOKUP(SUBSTITUTE(R36,"S: ",""),vote4SURGE!$A:$C , 3, FALSE)
)
,
IF(IFERROR(SEARCH("SS:",R36),0) &gt; 0, 
VLOOKUP(C36,vote4SURGE!$A:$C , 3, FALSE) - 2,
VLOOKUP(C36,vote4SURGE!$A:$C , 3, FALSE)
)
))</f>
        <v/>
      </c>
      <c r="T36" s="320">
        <f t="shared" si="2"/>
        <v>1</v>
      </c>
      <c r="U36" s="320">
        <f>IFERROR(__xludf.DUMMYFUNCTION("ROUND(
IF(ISBLANK(G36),,
SWITCH(
LEN(G36) - LEN(SUBSTITUTE(G36,"","","""")),
0 , VLOOKUP(G36, Variables!$A:$C, 3, FALSE),
1 , VLOOKUP(index(split(G36 ,"", "", FALSE),1,1), Variables!$A:$C , 3, FALSE) + VLOOKUP(index(split(G36 ,"", "", FALSE),1,2), Variabl"&amp;"es!$A:$C , 3, FALSE),
2 , VLOOKUP(index(split(G36 ,"", "", FALSE),1,1), Variables!$A:$C , 3, FALSE) + VLOOKUP(index(split(G36 ,"", "", FALSE),1,2), Variables!$A:$C , 3, FALSE) + VLOOKUP(index(split(G36 ,"", "", FALSE),1,3), Variables!$A:$C , 3, FALSE),
3 "&amp;", VLOOKUP(index(split(G36 ,"", "", FALSE),1,1), Variables!$A:$C , 3, FALSE) + VLOOKUP(index(split(G36 ,"", "", FALSE),1,2), Variables!$A:$C , 3, FALSE) + VLOOKUP(index(split(G36 ,"", "", FALSE),1,3), Variables!$A:$C , 3, FALSE) + VLOOKUP(index(split(G36 ,"&amp;""", "", FALSE),1,4), Variables!$A:$C , 3, FALSE),
)
)
)"),1.0)</f>
        <v>1</v>
      </c>
      <c r="V36" s="317">
        <f t="shared" si="3"/>
        <v>4.25</v>
      </c>
      <c r="W36" s="321">
        <f t="shared" si="4"/>
        <v>13.75</v>
      </c>
      <c r="X36" s="322"/>
      <c r="Y36" s="322"/>
      <c r="Z36" s="322"/>
      <c r="AA36" s="322"/>
      <c r="AB36" s="322"/>
      <c r="AC36" s="322"/>
      <c r="AD36" s="322"/>
      <c r="AE36" s="322"/>
    </row>
    <row r="37" hidden="1">
      <c r="A37" s="310">
        <v>2.0</v>
      </c>
      <c r="B37" s="93">
        <f t="shared" si="1"/>
        <v>7</v>
      </c>
      <c r="C37" s="310" t="s">
        <v>1594</v>
      </c>
      <c r="D37" s="310">
        <v>175.0</v>
      </c>
      <c r="E37" s="310" t="s">
        <v>1527</v>
      </c>
      <c r="F37" s="310" t="s">
        <v>1531</v>
      </c>
      <c r="G37" s="313" t="s">
        <v>1537</v>
      </c>
      <c r="H37" s="312">
        <f>IFERROR(__xludf.DUMMYFUNCTION(" IF(ISBLANK(G37),,
SWITCH(
LEN(G37) - LEN(SUBSTITUTE(G37,"","","""")),
0 , VLOOKUP(G37, Variables!$A:$B, 2, FALSE),
1 , VLOOKUP(index(split(G37 ,"", "", FALSE),1,1), Variables!$A:$B , 2, FALSE) + VLOOKUP(index(split(G37 ,"", "", FALSE),1,2), Variables!$A:"&amp;"$B , 2, FALSE),
2 , VLOOKUP(index(split(G37 ,"", "", FALSE),1,1), Variables!$A:$B , 2, FALSE) + VLOOKUP(index(split(G37 ,"", "", FALSE),1,2), Variables!$A:$B , 2, FALSE) + VLOOKUP(index(split(G37 ,"", "", FALSE),1,3), Variables!$A:$B , 2, FALSE),
3 , VLOO"&amp;"KUP(index(split(G37 ,"", "", FALSE),1,1), Variables!$A:$B , 2, FALSE) + VLOOKUP(index(split(G37 ,"", "", FALSE),1,2), Variables!$A:$B , 2, FALSE) + VLOOKUP(index(split(G37 ,"", "", FALSE),1,3), Variables!$A:$B , 2, FALSE) + VLOOKUP(index(split(G37 ,"", """&amp;", FALSE),1,4), Variables!$A:$B , 2, FALSE),
)
)"),4.5)</f>
        <v>4.5</v>
      </c>
      <c r="I37" s="310" t="s">
        <v>1561</v>
      </c>
      <c r="J37" s="313"/>
      <c r="K37" s="314" t="str">
        <f>IFERROR(VLOOKUP(C37,vote4ITEMS!$A:$C, 3, FALSE),)</f>
        <v/>
      </c>
      <c r="L37" s="313"/>
      <c r="M37" s="314">
        <f>SUM(
IF(IFERROR(SEARCH("Aura 1",L37),0) &gt; 0 , VLOOKUP("Aura 1", vote4TRAITS!A:C , 3, FALSE), ),
IF(IFERROR(SEARCH("Backswing",L37),0) &gt; 0 , VLOOKUP("Backswing", vote4TRAITS!A:C , 3, FALSE), ),
IF(IFERROR(SEARCH("Blast",L37),0) &gt; 0 , VLOOKUP("Blast", vote4TRAITS!A:C , 3, FALSE), ),
IF(IFERROR(SEARCH("Combustible",L37),0) &gt; 0 , VLOOKUP("Combustible", vote4TRAITS!A:C , 3, FALSE), ),
IF(IFERROR(SEARCH("Command",L37),0) &gt; 0 , VLOOKUP("Command", vote4TRAITS!A:C , 3, FALSE), ),
IF(IFERROR(SEARCH("Cowardly",L37),0) &gt; 0 , VLOOKUP("Cowardly", vote4TRAITS!A:C , 3, FALSE), ),
IF(IFERROR(SEARCH("Death Wish",L37),0) &gt; 0 , VLOOKUP("Death Wish", vote4TRAITS!A:C , 3, FALSE), ),
IF(IFERROR(SEARCH("Entomb",L37),0) &gt; 0 , VLOOKUP("Entomb", vote4TRAITS!A:C , 3, FALSE), ),
IF(IFERROR(SEARCH("Ethereal Hold",L37),0) &gt; 0 , VLOOKUP("Ethereal Hold", vote4TRAITS!A:C , 3, FALSE), ),
IF(IFERROR(SEARCH("Extend",L37),0) &gt; 0 , VLOOKUP("Extend", vote4TRAITS!A:C , 3, FALSE), ),
IF(IFERROR(SEARCH("Filthy Murk",L37),0) &gt; 0 , VLOOKUP("Filthy Murk", vote4TRAITS!A:C , 3, FALSE), ),
IF(IFERROR(SEARCH("Flame Fiend",L37),0) &gt; 0 , VLOOKUP("Flame Fiend", vote4TRAITS!A:C , 3, FALSE), ),
IF(IFERROR(SEARCH("Fleshmonger",L37),0) &gt; 0 , VLOOKUP("Fleshmonger", vote4TRAITS!A:C , 3, FALSE), ),
IF(IFERROR(SEARCH("Fly",L37),0) &gt; 0 , VLOOKUP("Fly", vote4TRAITS!A:C , 3, FALSE), ),
IF(IFERROR(SEARCH("Freezing",L37),0) &gt; 0 , VLOOKUP("Freezing", vote4TRAITS!A:C , 3, FALSE), ),
IF(IFERROR(SEARCH("Lithesome",L37),0) &gt; 0 , VLOOKUP("Lithesome", vote4TRAITS!A:C , 3, FALSE), ),
IF(IFERROR(SEARCH("Harrowing",L37),0) &gt; 0 , VLOOKUP("Harrowing", vote4TRAITS!A:C , 3, FALSE), ),
IF(IFERROR(SEARCH("Hideous Laughter",L37),0) &gt; 0 , VLOOKUP("Hideous Laughter", vote4TRAITS!A:C , 3, FALSE), ),
IF(IFERROR(SEARCH("Hive Defense",L37),0) &gt; 0 , VLOOKUP("Hive Defense", vote4TRAITS!A:C , 3, FALSE), ),
IF(IFERROR(SEARCH("Horrifying",L37),0) &gt; 0 , VLOOKUP("Horrifying", vote4TRAITS!A:C , 3, FALSE), ),
IF(IFERROR(SEARCH("Ironskin",L37),0) &gt; 0 , VLOOKUP("Ironskin", vote4TRAITS!A:C , 3, FALSE), ),
IF(IFERROR(SEARCH("Unmovable",L37),0) &gt; 0 , VLOOKUP("Unmovable", vote4TRAITS!A:C , 3, FALSE), ),
IF(IFERROR(SEARCH("Lifethirst 1",L37),0) &gt; 0 , VLOOKUP("Lifethirst 1", vote4TRAITS!A:C , 3, FALSE), ),
IF(IFERROR(SEARCH("Lifethirst 2",L37),0) &gt; 0 , VLOOKUP("Lifethirst 2", vote4TRAITS!A:C , 3, FALSE), ),
IF(IFERROR(SEARCH("Morph",L37),0) &gt; 0 , VLOOKUP("Morph", vote4TRAITS!A:C , 3, FALSE), ),
IF(IFERROR(SEARCH("Night Stalker",L37),0) &gt; 0 , VLOOKUP("Night Stalker", vote4TRAITS!A:C , 3, FALSE), ),
IF(IFERROR(SEARCH("Overflowing",L37),0) &gt; 0 , VLOOKUP("Overflowing", vote4TRAITS!A:C , 3, FALSE), ),
IF(IFERROR(SEARCH("Pestilence",L37),0) &gt; 0 , VLOOKUP("Pestilence", vote4TRAITS!A:C , 3, FALSE), ),
IF(IFERROR(SEARCH("Phalanx",L37),0) &gt; 0 , VLOOKUP("Phalanx", vote4TRAITS!A:C , 3, FALSE), ),
IF(IFERROR(SEARCH("Plagued",L37),0) &gt; 0 , VLOOKUP("Plagued", vote4TRAITS!A:C , 3, FALSE), ),
IF(IFERROR(SEARCH("Prey on the Weak",L37),0) &gt; 0 , VLOOKUP("Prey on the Weak", vote4TRAITS!A:C , 3, FALSE), ),
IF(IFERROR(SEARCH("Protect",L37),0) &gt; 0 , VLOOKUP("Protect", vote4TRAITS!A:C , 3, FALSE), ),
IF(IFERROR(SEARCH("Puncture",L37),0) &gt; 0 , VLOOKUP("Puncture", vote4TRAITS!A:C , 3, FALSE), ),
IF(IFERROR(SEARCH("Putrid Boils",L37),0) &gt; 0 , VLOOKUP("Putrid Boils", vote4TRAITS!A:C , 3, FALSE), ),
IF(IFERROR(SEARCH("Ravage",L37),0) &gt; 0 , VLOOKUP("Ravage", vote4TRAITS!A:C , 3, FALSE), ),
IF(IFERROR(SEARCH("Ravenous",L37),0) &gt; 0 , VLOOKUP("Ravenous", vote4TRAITS!A:C , 3, FALSE), ),
IF(IFERROR(SEARCH("Reach",L37),0) &gt; 0 , VLOOKUP("Reach", vote4TRAITS!A:C , 3, FALSE), ),
IF(IFERROR(SEARCH("Reanimation",L37),0) &gt; 0 , VLOOKUP("Reanimation", vote4TRAITS!A:C , 3, FALSE), ),
IF(IFERROR(SEARCH("Reaper",L37),0) &gt; 0 , VLOOKUP("Reaper", vote4TRAITS!A:C , 3, FALSE), ),
IF(IFERROR(SEARCH("Riposte",L37),0) &gt; 0 , VLOOKUP("Riposte", vote4TRAITS!A:C , 3, FALSE)),
IF(IFERROR(SEARCH("Scamper",L37),0) &gt; 0 , VLOOKUP("Scamper", vote4TRAITS!A:C , 3, FALSE), ),
IF(IFERROR(SEARCH("Small Beginnings",L37),0) &gt; 0 , VLOOKUP("Small Beginnings", vote4TRAITS!A:C , 3, FALSE), ),
IF(IFERROR(SEARCH("Spawner",L37),0) &gt; 0 , VLOOKUP("Spawner", vote4TRAITS!A:C , 3,FALSE), ),
IF(IFERROR(SEARCH("Shadowr",L37),0) &gt; 0 , VLOOKUP("Shadow", vote4TRAITS!A:C , 3,FALSE), ),
IF(IFERROR(SEARCH("Shadow Step",L37),0) &gt; 0 , VLOOKUP("Shadow Step", vote4TRAITS!A:C , 3,FALSE), ),
IF(IFERROR(SEARCH("Shambling",L37),0) &gt; 0 , VLOOKUP("Shambling", vote4TRAITS!A:C , 3,FALSE), ),
IF(IFERROR(SEARCH("Stealthy",L37),0) &gt; 0 , VLOOKUP("Stealthy", vote4TRAITS!A:C , 3, FALSE), ),
IF(IFERROR(SEARCH("Web",L37),0) &gt; 0 , VLOOKUP("Web", vote4TRAITS!A:C , 3, FALSE), ),
IF(IFERROR(SEARCH("+1 Willpower",L37),0) &gt; 0 , VLOOKUP("+1 Willpower", vote4TRAITS!A:C , 3, FALSE), ),
IF(IFERROR(SEARCH("+1 Might",L37),0) &gt; 0 , VLOOKUP("+1 Might", vote4TRAITS!A:C , 3, FALSE), ),
IF(IFERROR(SEARCH("+1 Knowledge",L37),0) &gt; 0 , VLOOKUP("+1 Knowledge", vote4TRAITS!A:C , 3, FALSE), ),
IF(IFERROR(SEARCH("+1 Awareness",L37),0) &gt; 0 , VLOOKUP("+1 Awareness", vote4TRAITS!A:C , 3, FALSE), ),
IF(IFERROR(SEARCH("-1 Willpower",L37),0) &gt; 0 , VLOOKUP("-1 Willpower", vote4TRAITS!A:C , 3, FALSE), ),
IF(IFERROR(SEARCH("+1 Health",L37),0) &gt; 0 , VLOOKUP("+1 Health", vote4TRAITS!A:C , 3, FALSE), ),
IF(IFERROR(SEARCH("+2 Health",L37),0) &gt; 0 , VLOOKUP("+2 Health", vote4TRAITS!A:C , 3, FALSE), ),
IF(IFERROR(SEARCH("+1 Stamina",L37),0) &gt; 0 , VLOOKUP("+1 Stamina", vote4TRAITS!A:C , 3, FALSE), ),
IF(IFERROR(SEARCH("+2 Stamina",L37),0) &gt; 0 , VLOOKUP("+2 Stamina", vote4TRAITS!A:C , 3, FALSE), ),
IFS(
IFERROR(SEARCH("+1 Range", L37),) &gt; 0 ,VLOOKUP("+1 Range", vote4TRAITS!A:C , 3, FALSE),
IFERROR(SEARCH("+2 Range", L37),) &gt; 0 ,VLOOKUP("+2 Range", vote4TRAITS!A:C , 3, FALSE),
IFERROR(SEARCH("+3 Range", L37),) &gt; 0,VLOOKUP("+3 Range", vote4TRAITS!A:C , 3, FALSE),
0=0,0)
,
IFS(
IFERROR(SEARCH("Sorcery 1", L37),) &gt; 0 ,VLOOKUP("Sorcery 1", vote4TRAITS!A:C , 3, FALSE),
IFERROR(SEARCH("Sorcery 2", L37),) &gt; 0 ,VLOOKUP("Sorcery 2", vote4TRAITS!A:C , 3, FALSE),
IFERROR(SEARCH("Sorcery 3", L37),) &gt; 0,VLOOKUP("Sorcery 3", vote4TRAITS!A:C , 3, FALSE),
0=0,0)
,
IFS(
IFERROR(SEARCH("Pierce 1", L37),) &gt; 0 ,VLOOKUP("Pierce 1", vote4TRAITS!A:C , 3, FALSE),
IFERROR(SEARCH("Pierce 2", L37),) &gt; 0 ,VLOOKUP("Pierce 2", vote4TRAITS!A:C , 3, FALSE),
IFERROR(SEARCH("Pierce 3", L37),) &gt; 0,VLOOKUP("Pierce 3", vote4TRAITS!A:C , 3, FALSE),
IFERROR(SEARCH("Pierce 4", L37),) &gt; 0 ,VLOOKUP("Pierce 4", vote4TRAITS!A:C , 3, FALSE),
0=0,0)
,
IFS(
IFERROR(SEARCH("+1 Health", L37),) &gt; 0 ,VLOOKUP("+1 Health", vote4TRAITS!A:C , 3, FALSE),
IFERROR(SEARCH("+2 Health", L37),) &gt; 0 ,VLOOKUP("+2 Health", vote4TRAITS!A:C , 3, FALSE),
IFERROR(SEARCH("+3 Health", L37),) &gt; 0 ,VLOOKUP("+3 Health", vote4TRAITS!A:C , 3, FALSE),
IFERROR(SEARCH("+4 Health", L37),) &gt; 0 ,VLOOKUP("+4 Health", vote4TRAITS!A:C , 3, FALSE),
0=0,0)
,
IFS(
IFERROR(SEARCH("Soul Shackle 1", L37),) &gt; 0 ,VLOOKUP("Soul Shackle 1", vote4TRAITS!A:C , 3, FALSE),
IFERROR(SEARCH("Soul Shackle 2", L37),) &gt; 0 ,VLOOKUP("Soul Shackle 2", vote4TRAITS!A:C , 3, FALSE),
IFERROR(SEARCH("Soul Shackle 3", L37),) &gt; 0,VLOOKUP("Soul Shackle 3", vote4TRAITS!A:C , 3, FALSE),
0=0,0)
)</f>
        <v>0</v>
      </c>
      <c r="N37" s="311" t="s">
        <v>1581</v>
      </c>
      <c r="O37" s="317">
        <f>IF(ISBLANK(N37),,IFERROR(
IF(IFERROR(SEARCH("SS:",N37),0) &gt; 0, 
VLOOKUP(SUBSTITUTE(N37,"SS: ",""),vote4SURGE!$A:$C , 3, FALSE) - 2,
VLOOKUP(SUBSTITUTE(N37,"S: ",""),vote4SURGE!$A:$C , 3, FALSE)
)
,
IF(IFERROR(SEARCH("SS:",N37),0) &gt; 0, 
VLOOKUP(C37,vote4SURGE!$A:$C , 3, FALSE) - 2,
VLOOKUP(C37,vote4SURGE!$A:$C , 3, FALSE)
)
))</f>
        <v>3.75</v>
      </c>
      <c r="P37" s="315" t="s">
        <v>1595</v>
      </c>
      <c r="Q37" s="317">
        <f>IF(ISBLANK(P37),,IFERROR(
IF(IFERROR(SEARCH("SS:",P37),0) &gt; 0, 
VLOOKUP(SUBSTITUTE(P37,"SS: ",""),vote4SURGE!$A:$C , 3, FALSE) - 2,
VLOOKUP(SUBSTITUTE(P37,"S: ",""),vote4SURGE!$A:$C , 3, FALSE)
)
,
IF(IFERROR(SEARCH("SS:",P37),0) &gt; 0, 
VLOOKUP(C37,vote4SURGE!$A:$C , 3, FALSE) - 2,
VLOOKUP(C37,vote4SURGE!$A:$C , 3, FALSE)
)
))</f>
        <v>6.5</v>
      </c>
      <c r="R37" s="315" t="s">
        <v>1560</v>
      </c>
      <c r="S37" s="319">
        <f>IF(ISBLANK(R37),,IFERROR(
IF(IFERROR(SEARCH("SS:",R37),0) &gt; 0, 
VLOOKUP(SUBSTITUTE(R37,"SS: ",""),vote4SURGE!$A:$C , 3, FALSE) - 2,
VLOOKUP(SUBSTITUTE(R37,"S: ",""),vote4SURGE!$A:$C , 3, FALSE)
)
,
IF(IFERROR(SEARCH("SS:",R37),0) &gt; 0, 
VLOOKUP(C37,vote4SURGE!$A:$C , 3, FALSE) - 2,
VLOOKUP(C37,vote4SURGE!$A:$C , 3, FALSE)
)
))</f>
        <v>4.25</v>
      </c>
      <c r="T37" s="320">
        <f t="shared" si="2"/>
        <v>3</v>
      </c>
      <c r="U37" s="320">
        <f>IFERROR(__xludf.DUMMYFUNCTION("ROUND(
IF(ISBLANK(G37),,
SWITCH(
LEN(G37) - LEN(SUBSTITUTE(G37,"","","""")),
0 , VLOOKUP(G37, Variables!$A:$C, 3, FALSE),
1 , VLOOKUP(index(split(G37 ,"", "", FALSE),1,1), Variables!$A:$C , 3, FALSE) + VLOOKUP(index(split(G37 ,"", "", FALSE),1,2), Variabl"&amp;"es!$A:$C , 3, FALSE),
2 , VLOOKUP(index(split(G37 ,"", "", FALSE),1,1), Variables!$A:$C , 3, FALSE) + VLOOKUP(index(split(G37 ,"", "", FALSE),1,2), Variables!$A:$C , 3, FALSE) + VLOOKUP(index(split(G37 ,"", "", FALSE),1,3), Variables!$A:$C , 3, FALSE),
3 "&amp;", VLOOKUP(index(split(G37 ,"", "", FALSE),1,1), Variables!$A:$C , 3, FALSE) + VLOOKUP(index(split(G37 ,"", "", FALSE),1,2), Variables!$A:$C , 3, FALSE) + VLOOKUP(index(split(G37 ,"", "", FALSE),1,3), Variables!$A:$C , 3, FALSE) + VLOOKUP(index(split(G37 ,"&amp;""", "", FALSE),1,4), Variables!$A:$C , 3, FALSE),
)
)
)"),1.0)</f>
        <v>1</v>
      </c>
      <c r="V37" s="317">
        <f t="shared" si="3"/>
        <v>9.166666667</v>
      </c>
      <c r="W37" s="321">
        <f t="shared" si="4"/>
        <v>13.66666667</v>
      </c>
      <c r="X37" s="322"/>
      <c r="Y37" s="322"/>
      <c r="Z37" s="322"/>
      <c r="AA37" s="322"/>
      <c r="AB37" s="322"/>
      <c r="AC37" s="322"/>
      <c r="AD37" s="322"/>
      <c r="AE37" s="322"/>
    </row>
    <row r="38" hidden="1">
      <c r="A38" s="310">
        <v>1.0</v>
      </c>
      <c r="B38" s="93">
        <f t="shared" si="1"/>
        <v>3</v>
      </c>
      <c r="C38" s="310" t="s">
        <v>800</v>
      </c>
      <c r="D38" s="310">
        <v>100.0</v>
      </c>
      <c r="E38" s="310" t="s">
        <v>1527</v>
      </c>
      <c r="F38" s="310" t="s">
        <v>1531</v>
      </c>
      <c r="G38" s="313" t="s">
        <v>1592</v>
      </c>
      <c r="H38" s="312">
        <f>IFERROR(__xludf.DUMMYFUNCTION(" IF(ISBLANK(G38),,
SWITCH(
LEN(G38) - LEN(SUBSTITUTE(G38,"","","""")),
0 , VLOOKUP(G38, Variables!$A:$B, 2, FALSE),
1 , VLOOKUP(index(split(G38 ,"", "", FALSE),1,1), Variables!$A:$B , 2, FALSE) + VLOOKUP(index(split(G38 ,"", "", FALSE),1,2), Variables!$A:"&amp;"$B , 2, FALSE),
2 , VLOOKUP(index(split(G38 ,"", "", FALSE),1,1), Variables!$A:$B , 2, FALSE) + VLOOKUP(index(split(G38 ,"", "", FALSE),1,2), Variables!$A:$B , 2, FALSE) + VLOOKUP(index(split(G38 ,"", "", FALSE),1,3), Variables!$A:$B , 2, FALSE),
3 , VLOO"&amp;"KUP(index(split(G38 ,"", "", FALSE),1,1), Variables!$A:$B , 2, FALSE) + VLOOKUP(index(split(G38 ,"", "", FALSE),1,2), Variables!$A:$B , 2, FALSE) + VLOOKUP(index(split(G38 ,"", "", FALSE),1,3), Variables!$A:$B , 2, FALSE) + VLOOKUP(index(split(G38 ,"", """&amp;", FALSE),1,4), Variables!$A:$B , 2, FALSE),
)
)"),1.8333333333333335)</f>
        <v>1.833333333</v>
      </c>
      <c r="I38" s="310" t="s">
        <v>1596</v>
      </c>
      <c r="J38" s="313" t="s">
        <v>801</v>
      </c>
      <c r="K38" s="314">
        <f>IFERROR(VLOOKUP(C38,vote4ITEMS!$A:$C, 3, FALSE),)</f>
        <v>5</v>
      </c>
      <c r="L38" s="313"/>
      <c r="M38" s="314">
        <f>SUM(
IF(IFERROR(SEARCH("Aura 1",L38),0) &gt; 0 , VLOOKUP("Aura 1", vote4TRAITS!A:C , 3, FALSE), ),
IF(IFERROR(SEARCH("Backswing",L38),0) &gt; 0 , VLOOKUP("Backswing", vote4TRAITS!A:C , 3, FALSE), ),
IF(IFERROR(SEARCH("Blast",L38),0) &gt; 0 , VLOOKUP("Blast", vote4TRAITS!A:C , 3, FALSE), ),
IF(IFERROR(SEARCH("Combustible",L38),0) &gt; 0 , VLOOKUP("Combustible", vote4TRAITS!A:C , 3, FALSE), ),
IF(IFERROR(SEARCH("Command",L38),0) &gt; 0 , VLOOKUP("Command", vote4TRAITS!A:C , 3, FALSE), ),
IF(IFERROR(SEARCH("Cowardly",L38),0) &gt; 0 , VLOOKUP("Cowardly", vote4TRAITS!A:C , 3, FALSE), ),
IF(IFERROR(SEARCH("Death Wish",L38),0) &gt; 0 , VLOOKUP("Death Wish", vote4TRAITS!A:C , 3, FALSE), ),
IF(IFERROR(SEARCH("Entomb",L38),0) &gt; 0 , VLOOKUP("Entomb", vote4TRAITS!A:C , 3, FALSE), ),
IF(IFERROR(SEARCH("Ethereal Hold",L38),0) &gt; 0 , VLOOKUP("Ethereal Hold", vote4TRAITS!A:C , 3, FALSE), ),
IF(IFERROR(SEARCH("Extend",L38),0) &gt; 0 , VLOOKUP("Extend", vote4TRAITS!A:C , 3, FALSE), ),
IF(IFERROR(SEARCH("Filthy Murk",L38),0) &gt; 0 , VLOOKUP("Filthy Murk", vote4TRAITS!A:C , 3, FALSE), ),
IF(IFERROR(SEARCH("Flame Fiend",L38),0) &gt; 0 , VLOOKUP("Flame Fiend", vote4TRAITS!A:C , 3, FALSE), ),
IF(IFERROR(SEARCH("Fleshmonger",L38),0) &gt; 0 , VLOOKUP("Fleshmonger", vote4TRAITS!A:C , 3, FALSE), ),
IF(IFERROR(SEARCH("Fly",L38),0) &gt; 0 , VLOOKUP("Fly", vote4TRAITS!A:C , 3, FALSE), ),
IF(IFERROR(SEARCH("Freezing",L38),0) &gt; 0 , VLOOKUP("Freezing", vote4TRAITS!A:C , 3, FALSE), ),
IF(IFERROR(SEARCH("Lithesome",L38),0) &gt; 0 , VLOOKUP("Lithesome", vote4TRAITS!A:C , 3, FALSE), ),
IF(IFERROR(SEARCH("Harrowing",L38),0) &gt; 0 , VLOOKUP("Harrowing", vote4TRAITS!A:C , 3, FALSE), ),
IF(IFERROR(SEARCH("Hideous Laughter",L38),0) &gt; 0 , VLOOKUP("Hideous Laughter", vote4TRAITS!A:C , 3, FALSE), ),
IF(IFERROR(SEARCH("Hive Defense",L38),0) &gt; 0 , VLOOKUP("Hive Defense", vote4TRAITS!A:C , 3, FALSE), ),
IF(IFERROR(SEARCH("Horrifying",L38),0) &gt; 0 , VLOOKUP("Horrifying", vote4TRAITS!A:C , 3, FALSE), ),
IF(IFERROR(SEARCH("Ironskin",L38),0) &gt; 0 , VLOOKUP("Ironskin", vote4TRAITS!A:C , 3, FALSE), ),
IF(IFERROR(SEARCH("Unmovable",L38),0) &gt; 0 , VLOOKUP("Unmovable", vote4TRAITS!A:C , 3, FALSE), ),
IF(IFERROR(SEARCH("Lifethirst 1",L38),0) &gt; 0 , VLOOKUP("Lifethirst 1", vote4TRAITS!A:C , 3, FALSE), ),
IF(IFERROR(SEARCH("Lifethirst 2",L38),0) &gt; 0 , VLOOKUP("Lifethirst 2", vote4TRAITS!A:C , 3, FALSE), ),
IF(IFERROR(SEARCH("Morph",L38),0) &gt; 0 , VLOOKUP("Morph", vote4TRAITS!A:C , 3, FALSE), ),
IF(IFERROR(SEARCH("Night Stalker",L38),0) &gt; 0 , VLOOKUP("Night Stalker", vote4TRAITS!A:C , 3, FALSE), ),
IF(IFERROR(SEARCH("Overflowing",L38),0) &gt; 0 , VLOOKUP("Overflowing", vote4TRAITS!A:C , 3, FALSE), ),
IF(IFERROR(SEARCH("Pestilence",L38),0) &gt; 0 , VLOOKUP("Pestilence", vote4TRAITS!A:C , 3, FALSE), ),
IF(IFERROR(SEARCH("Phalanx",L38),0) &gt; 0 , VLOOKUP("Phalanx", vote4TRAITS!A:C , 3, FALSE), ),
IF(IFERROR(SEARCH("Plagued",L38),0) &gt; 0 , VLOOKUP("Plagued", vote4TRAITS!A:C , 3, FALSE), ),
IF(IFERROR(SEARCH("Prey on the Weak",L38),0) &gt; 0 , VLOOKUP("Prey on the Weak", vote4TRAITS!A:C , 3, FALSE), ),
IF(IFERROR(SEARCH("Protect",L38),0) &gt; 0 , VLOOKUP("Protect", vote4TRAITS!A:C , 3, FALSE), ),
IF(IFERROR(SEARCH("Puncture",L38),0) &gt; 0 , VLOOKUP("Puncture", vote4TRAITS!A:C , 3, FALSE), ),
IF(IFERROR(SEARCH("Putrid Boils",L38),0) &gt; 0 , VLOOKUP("Putrid Boils", vote4TRAITS!A:C , 3, FALSE), ),
IF(IFERROR(SEARCH("Ravage",L38),0) &gt; 0 , VLOOKUP("Ravage", vote4TRAITS!A:C , 3, FALSE), ),
IF(IFERROR(SEARCH("Ravenous",L38),0) &gt; 0 , VLOOKUP("Ravenous", vote4TRAITS!A:C , 3, FALSE), ),
IF(IFERROR(SEARCH("Reach",L38),0) &gt; 0 , VLOOKUP("Reach", vote4TRAITS!A:C , 3, FALSE), ),
IF(IFERROR(SEARCH("Reanimation",L38),0) &gt; 0 , VLOOKUP("Reanimation", vote4TRAITS!A:C , 3, FALSE), ),
IF(IFERROR(SEARCH("Reaper",L38),0) &gt; 0 , VLOOKUP("Reaper", vote4TRAITS!A:C , 3, FALSE), ),
IF(IFERROR(SEARCH("Riposte",L38),0) &gt; 0 , VLOOKUP("Riposte", vote4TRAITS!A:C , 3, FALSE)),
IF(IFERROR(SEARCH("Scamper",L38),0) &gt; 0 , VLOOKUP("Scamper", vote4TRAITS!A:C , 3, FALSE), ),
IF(IFERROR(SEARCH("Small Beginnings",L38),0) &gt; 0 , VLOOKUP("Small Beginnings", vote4TRAITS!A:C , 3, FALSE), ),
IF(IFERROR(SEARCH("Spawner",L38),0) &gt; 0 , VLOOKUP("Spawner", vote4TRAITS!A:C , 3,FALSE), ),
IF(IFERROR(SEARCH("Shadowr",L38),0) &gt; 0 , VLOOKUP("Shadow", vote4TRAITS!A:C , 3,FALSE), ),
IF(IFERROR(SEARCH("Shadow Step",L38),0) &gt; 0 , VLOOKUP("Shadow Step", vote4TRAITS!A:C , 3,FALSE), ),
IF(IFERROR(SEARCH("Shambling",L38),0) &gt; 0 , VLOOKUP("Shambling", vote4TRAITS!A:C , 3,FALSE), ),
IF(IFERROR(SEARCH("Stealthy",L38),0) &gt; 0 , VLOOKUP("Stealthy", vote4TRAITS!A:C , 3, FALSE), ),
IF(IFERROR(SEARCH("Web",L38),0) &gt; 0 , VLOOKUP("Web", vote4TRAITS!A:C , 3, FALSE), ),
IF(IFERROR(SEARCH("+1 Willpower",L38),0) &gt; 0 , VLOOKUP("+1 Willpower", vote4TRAITS!A:C , 3, FALSE), ),
IF(IFERROR(SEARCH("+1 Might",L38),0) &gt; 0 , VLOOKUP("+1 Might", vote4TRAITS!A:C , 3, FALSE), ),
IF(IFERROR(SEARCH("+1 Knowledge",L38),0) &gt; 0 , VLOOKUP("+1 Knowledge", vote4TRAITS!A:C , 3, FALSE), ),
IF(IFERROR(SEARCH("+1 Awareness",L38),0) &gt; 0 , VLOOKUP("+1 Awareness", vote4TRAITS!A:C , 3, FALSE), ),
IF(IFERROR(SEARCH("-1 Willpower",L38),0) &gt; 0 , VLOOKUP("-1 Willpower", vote4TRAITS!A:C , 3, FALSE), ),
IF(IFERROR(SEARCH("+1 Health",L38),0) &gt; 0 , VLOOKUP("+1 Health", vote4TRAITS!A:C , 3, FALSE), ),
IF(IFERROR(SEARCH("+2 Health",L38),0) &gt; 0 , VLOOKUP("+2 Health", vote4TRAITS!A:C , 3, FALSE), ),
IF(IFERROR(SEARCH("+1 Stamina",L38),0) &gt; 0 , VLOOKUP("+1 Stamina", vote4TRAITS!A:C , 3, FALSE), ),
IF(IFERROR(SEARCH("+2 Stamina",L38),0) &gt; 0 , VLOOKUP("+2 Stamina", vote4TRAITS!A:C , 3, FALSE), ),
IFS(
IFERROR(SEARCH("+1 Range", L38),) &gt; 0 ,VLOOKUP("+1 Range", vote4TRAITS!A:C , 3, FALSE),
IFERROR(SEARCH("+2 Range", L38),) &gt; 0 ,VLOOKUP("+2 Range", vote4TRAITS!A:C , 3, FALSE),
IFERROR(SEARCH("+3 Range", L38),) &gt; 0,VLOOKUP("+3 Range", vote4TRAITS!A:C , 3, FALSE),
0=0,0)
,
IFS(
IFERROR(SEARCH("Sorcery 1", L38),) &gt; 0 ,VLOOKUP("Sorcery 1", vote4TRAITS!A:C , 3, FALSE),
IFERROR(SEARCH("Sorcery 2", L38),) &gt; 0 ,VLOOKUP("Sorcery 2", vote4TRAITS!A:C , 3, FALSE),
IFERROR(SEARCH("Sorcery 3", L38),) &gt; 0,VLOOKUP("Sorcery 3", vote4TRAITS!A:C , 3, FALSE),
0=0,0)
,
IFS(
IFERROR(SEARCH("Pierce 1", L38),) &gt; 0 ,VLOOKUP("Pierce 1", vote4TRAITS!A:C , 3, FALSE),
IFERROR(SEARCH("Pierce 2", L38),) &gt; 0 ,VLOOKUP("Pierce 2", vote4TRAITS!A:C , 3, FALSE),
IFERROR(SEARCH("Pierce 3", L38),) &gt; 0,VLOOKUP("Pierce 3", vote4TRAITS!A:C , 3, FALSE),
IFERROR(SEARCH("Pierce 4", L38),) &gt; 0 ,VLOOKUP("Pierce 4", vote4TRAITS!A:C , 3, FALSE),
0=0,0)
,
IFS(
IFERROR(SEARCH("+1 Health", L38),) &gt; 0 ,VLOOKUP("+1 Health", vote4TRAITS!A:C , 3, FALSE),
IFERROR(SEARCH("+2 Health", L38),) &gt; 0 ,VLOOKUP("+2 Health", vote4TRAITS!A:C , 3, FALSE),
IFERROR(SEARCH("+3 Health", L38),) &gt; 0 ,VLOOKUP("+3 Health", vote4TRAITS!A:C , 3, FALSE),
IFERROR(SEARCH("+4 Health", L38),) &gt; 0 ,VLOOKUP("+4 Health", vote4TRAITS!A:C , 3, FALSE),
0=0,0)
,
IFS(
IFERROR(SEARCH("Soul Shackle 1", L38),) &gt; 0 ,VLOOKUP("Soul Shackle 1", vote4TRAITS!A:C , 3, FALSE),
IFERROR(SEARCH("Soul Shackle 2", L38),) &gt; 0 ,VLOOKUP("Soul Shackle 2", vote4TRAITS!A:C , 3, FALSE),
IFERROR(SEARCH("Soul Shackle 3", L38),) &gt; 0,VLOOKUP("Soul Shackle 3", vote4TRAITS!A:C , 3, FALSE),
0=0,0)
)</f>
        <v>0</v>
      </c>
      <c r="N38" s="311" t="s">
        <v>1534</v>
      </c>
      <c r="O38" s="317">
        <f>IF(ISBLANK(N38),,IFERROR(
IF(IFERROR(SEARCH("SS:",N38),0) &gt; 0, 
VLOOKUP(SUBSTITUTE(N38,"SS: ",""),vote4SURGE!$A:$C , 3, FALSE) - 2,
VLOOKUP(SUBSTITUTE(N38,"S: ",""),vote4SURGE!$A:$C , 3, FALSE)
)
,
IF(IFERROR(SEARCH("SS:",N38),0) &gt; 0, 
VLOOKUP(C38,vote4SURGE!$A:$C , 3, FALSE) - 2,
VLOOKUP(C38,vote4SURGE!$A:$C , 3, FALSE)
)
))</f>
        <v>4.25</v>
      </c>
      <c r="P38" s="315" t="s">
        <v>1550</v>
      </c>
      <c r="Q38" s="317">
        <f>IF(ISBLANK(P38),,IFERROR(
IF(IFERROR(SEARCH("SS:",P38),0) &gt; 0, 
VLOOKUP(SUBSTITUTE(P38,"SS: ",""),vote4SURGE!$A:$C , 3, FALSE) - 2,
VLOOKUP(SUBSTITUTE(P38,"S: ",""),vote4SURGE!$A:$C , 3, FALSE)
)
,
IF(IFERROR(SEARCH("SS:",P38),0) &gt; 0, 
VLOOKUP(C38,vote4SURGE!$A:$C , 3, FALSE) - 2,
VLOOKUP(C38,vote4SURGE!$A:$C , 3, FALSE)
)
))</f>
        <v>3.75</v>
      </c>
      <c r="R38" s="318"/>
      <c r="S38" s="319" t="str">
        <f>IF(ISBLANK(R38),,IFERROR(
IF(IFERROR(SEARCH("SS:",R38),0) &gt; 0, 
VLOOKUP(SUBSTITUTE(R38,"SS: ",""),vote4SURGE!$A:$C , 3, FALSE) - 2,
VLOOKUP(SUBSTITUTE(R38,"S: ",""),vote4SURGE!$A:$C , 3, FALSE)
)
,
IF(IFERROR(SEARCH("SS:",R38),0) &gt; 0, 
VLOOKUP(C38,vote4SURGE!$A:$C , 3, FALSE) - 2,
VLOOKUP(C38,vote4SURGE!$A:$C , 3, FALSE)
)
))</f>
        <v/>
      </c>
      <c r="T38" s="320">
        <f t="shared" si="2"/>
        <v>2</v>
      </c>
      <c r="U38" s="320">
        <f>IFERROR(__xludf.DUMMYFUNCTION("ROUND(
IF(ISBLANK(G38),,
SWITCH(
LEN(G38) - LEN(SUBSTITUTE(G38,"","","""")),
0 , VLOOKUP(G38, Variables!$A:$C, 3, FALSE),
1 , VLOOKUP(index(split(G38 ,"", "", FALSE),1,1), Variables!$A:$C , 3, FALSE) + VLOOKUP(index(split(G38 ,"", "", FALSE),1,2), Variabl"&amp;"es!$A:$C , 3, FALSE),
2 , VLOOKUP(index(split(G38 ,"", "", FALSE),1,1), Variables!$A:$C , 3, FALSE) + VLOOKUP(index(split(G38 ,"", "", FALSE),1,2), Variables!$A:$C , 3, FALSE) + VLOOKUP(index(split(G38 ,"", "", FALSE),1,3), Variables!$A:$C , 3, FALSE),
3 "&amp;", VLOOKUP(index(split(G38 ,"", "", FALSE),1,1), Variables!$A:$C , 3, FALSE) + VLOOKUP(index(split(G38 ,"", "", FALSE),1,2), Variables!$A:$C , 3, FALSE) + VLOOKUP(index(split(G38 ,"", "", FALSE),1,3), Variables!$A:$C , 3, FALSE) + VLOOKUP(index(split(G38 ,"&amp;""", "", FALSE),1,4), Variables!$A:$C , 3, FALSE),
)
)
)"),1.0)</f>
        <v>1</v>
      </c>
      <c r="V38" s="317">
        <f t="shared" si="3"/>
        <v>6.125</v>
      </c>
      <c r="W38" s="321">
        <f t="shared" si="4"/>
        <v>12.95833333</v>
      </c>
      <c r="X38" s="322"/>
      <c r="Y38" s="322"/>
      <c r="Z38" s="322"/>
      <c r="AA38" s="322"/>
      <c r="AB38" s="322"/>
      <c r="AC38" s="322"/>
      <c r="AD38" s="322"/>
      <c r="AE38" s="322"/>
    </row>
    <row r="39" hidden="1">
      <c r="A39" s="310">
        <v>1.0</v>
      </c>
      <c r="B39" s="93" t="str">
        <f t="shared" si="1"/>
        <v/>
      </c>
      <c r="C39" s="310" t="s">
        <v>1597</v>
      </c>
      <c r="D39" s="323">
        <v>0.0</v>
      </c>
      <c r="E39" s="310" t="s">
        <v>1520</v>
      </c>
      <c r="F39" s="310" t="s">
        <v>1521</v>
      </c>
      <c r="G39" s="313" t="s">
        <v>1548</v>
      </c>
      <c r="H39" s="312">
        <f>IFERROR(__xludf.DUMMYFUNCTION(" IF(ISBLANK(G39),,
SWITCH(
LEN(G39) - LEN(SUBSTITUTE(G39,"","","""")),
0 , VLOOKUP(G39, Variables!$A:$B, 2, FALSE),
1 , VLOOKUP(index(split(G39 ,"", "", FALSE),1,1), Variables!$A:$B , 2, FALSE) + VLOOKUP(index(split(G39 ,"", "", FALSE),1,2), Variables!$A:"&amp;"$B , 2, FALSE),
2 , VLOOKUP(index(split(G39 ,"", "", FALSE),1,1), Variables!$A:$B , 2, FALSE) + VLOOKUP(index(split(G39 ,"", "", FALSE),1,2), Variables!$A:$B , 2, FALSE) + VLOOKUP(index(split(G39 ,"", "", FALSE),1,3), Variables!$A:$B , 2, FALSE),
3 , VLOO"&amp;"KUP(index(split(G39 ,"", "", FALSE),1,1), Variables!$A:$B , 2, FALSE) + VLOOKUP(index(split(G39 ,"", "", FALSE),1,2), Variables!$A:$B , 2, FALSE) + VLOOKUP(index(split(G39 ,"", "", FALSE),1,3), Variables!$A:$B , 2, FALSE) + VLOOKUP(index(split(G39 ,"", """&amp;", FALSE),1,4), Variables!$A:$B , 2, FALSE),
)
)"),2.3333333333333335)</f>
        <v>2.333333333</v>
      </c>
      <c r="I39" s="310" t="s">
        <v>1598</v>
      </c>
      <c r="J39" s="313"/>
      <c r="K39" s="314" t="str">
        <f>IFERROR(VLOOKUP(C39,vote4ITEMS!$A:$C, 3, FALSE),)</f>
        <v/>
      </c>
      <c r="L39" s="313" t="s">
        <v>1099</v>
      </c>
      <c r="M39" s="314">
        <f>SUM(
IF(IFERROR(SEARCH("Aura 1",L39),0) &gt; 0 , VLOOKUP("Aura 1", vote4TRAITS!A:C , 3, FALSE), ),
IF(IFERROR(SEARCH("Backswing",L39),0) &gt; 0 , VLOOKUP("Backswing", vote4TRAITS!A:C , 3, FALSE), ),
IF(IFERROR(SEARCH("Blast",L39),0) &gt; 0 , VLOOKUP("Blast", vote4TRAITS!A:C , 3, FALSE), ),
IF(IFERROR(SEARCH("Combustible",L39),0) &gt; 0 , VLOOKUP("Combustible", vote4TRAITS!A:C , 3, FALSE), ),
IF(IFERROR(SEARCH("Command",L39),0) &gt; 0 , VLOOKUP("Command", vote4TRAITS!A:C , 3, FALSE), ),
IF(IFERROR(SEARCH("Cowardly",L39),0) &gt; 0 , VLOOKUP("Cowardly", vote4TRAITS!A:C , 3, FALSE), ),
IF(IFERROR(SEARCH("Death Wish",L39),0) &gt; 0 , VLOOKUP("Death Wish", vote4TRAITS!A:C , 3, FALSE), ),
IF(IFERROR(SEARCH("Entomb",L39),0) &gt; 0 , VLOOKUP("Entomb", vote4TRAITS!A:C , 3, FALSE), ),
IF(IFERROR(SEARCH("Ethereal Hold",L39),0) &gt; 0 , VLOOKUP("Ethereal Hold", vote4TRAITS!A:C , 3, FALSE), ),
IF(IFERROR(SEARCH("Extend",L39),0) &gt; 0 , VLOOKUP("Extend", vote4TRAITS!A:C , 3, FALSE), ),
IF(IFERROR(SEARCH("Filthy Murk",L39),0) &gt; 0 , VLOOKUP("Filthy Murk", vote4TRAITS!A:C , 3, FALSE), ),
IF(IFERROR(SEARCH("Flame Fiend",L39),0) &gt; 0 , VLOOKUP("Flame Fiend", vote4TRAITS!A:C , 3, FALSE), ),
IF(IFERROR(SEARCH("Fleshmonger",L39),0) &gt; 0 , VLOOKUP("Fleshmonger", vote4TRAITS!A:C , 3, FALSE), ),
IF(IFERROR(SEARCH("Fly",L39),0) &gt; 0 , VLOOKUP("Fly", vote4TRAITS!A:C , 3, FALSE), ),
IF(IFERROR(SEARCH("Freezing",L39),0) &gt; 0 , VLOOKUP("Freezing", vote4TRAITS!A:C , 3, FALSE), ),
IF(IFERROR(SEARCH("Lithesome",L39),0) &gt; 0 , VLOOKUP("Lithesome", vote4TRAITS!A:C , 3, FALSE), ),
IF(IFERROR(SEARCH("Harrowing",L39),0) &gt; 0 , VLOOKUP("Harrowing", vote4TRAITS!A:C , 3, FALSE), ),
IF(IFERROR(SEARCH("Hideous Laughter",L39),0) &gt; 0 , VLOOKUP("Hideous Laughter", vote4TRAITS!A:C , 3, FALSE), ),
IF(IFERROR(SEARCH("Hive Defense",L39),0) &gt; 0 , VLOOKUP("Hive Defense", vote4TRAITS!A:C , 3, FALSE), ),
IF(IFERROR(SEARCH("Horrifying",L39),0) &gt; 0 , VLOOKUP("Horrifying", vote4TRAITS!A:C , 3, FALSE), ),
IF(IFERROR(SEARCH("Ironskin",L39),0) &gt; 0 , VLOOKUP("Ironskin", vote4TRAITS!A:C , 3, FALSE), ),
IF(IFERROR(SEARCH("Unmovable",L39),0) &gt; 0 , VLOOKUP("Unmovable", vote4TRAITS!A:C , 3, FALSE), ),
IF(IFERROR(SEARCH("Lifethirst 1",L39),0) &gt; 0 , VLOOKUP("Lifethirst 1", vote4TRAITS!A:C , 3, FALSE), ),
IF(IFERROR(SEARCH("Lifethirst 2",L39),0) &gt; 0 , VLOOKUP("Lifethirst 2", vote4TRAITS!A:C , 3, FALSE), ),
IF(IFERROR(SEARCH("Morph",L39),0) &gt; 0 , VLOOKUP("Morph", vote4TRAITS!A:C , 3, FALSE), ),
IF(IFERROR(SEARCH("Night Stalker",L39),0) &gt; 0 , VLOOKUP("Night Stalker", vote4TRAITS!A:C , 3, FALSE), ),
IF(IFERROR(SEARCH("Overflowing",L39),0) &gt; 0 , VLOOKUP("Overflowing", vote4TRAITS!A:C , 3, FALSE), ),
IF(IFERROR(SEARCH("Pestilence",L39),0) &gt; 0 , VLOOKUP("Pestilence", vote4TRAITS!A:C , 3, FALSE), ),
IF(IFERROR(SEARCH("Phalanx",L39),0) &gt; 0 , VLOOKUP("Phalanx", vote4TRAITS!A:C , 3, FALSE), ),
IF(IFERROR(SEARCH("Plagued",L39),0) &gt; 0 , VLOOKUP("Plagued", vote4TRAITS!A:C , 3, FALSE), ),
IF(IFERROR(SEARCH("Prey on the Weak",L39),0) &gt; 0 , VLOOKUP("Prey on the Weak", vote4TRAITS!A:C , 3, FALSE), ),
IF(IFERROR(SEARCH("Protect",L39),0) &gt; 0 , VLOOKUP("Protect", vote4TRAITS!A:C , 3, FALSE), ),
IF(IFERROR(SEARCH("Puncture",L39),0) &gt; 0 , VLOOKUP("Puncture", vote4TRAITS!A:C , 3, FALSE), ),
IF(IFERROR(SEARCH("Putrid Boils",L39),0) &gt; 0 , VLOOKUP("Putrid Boils", vote4TRAITS!A:C , 3, FALSE), ),
IF(IFERROR(SEARCH("Ravage",L39),0) &gt; 0 , VLOOKUP("Ravage", vote4TRAITS!A:C , 3, FALSE), ),
IF(IFERROR(SEARCH("Ravenous",L39),0) &gt; 0 , VLOOKUP("Ravenous", vote4TRAITS!A:C , 3, FALSE), ),
IF(IFERROR(SEARCH("Reach",L39),0) &gt; 0 , VLOOKUP("Reach", vote4TRAITS!A:C , 3, FALSE), ),
IF(IFERROR(SEARCH("Reanimation",L39),0) &gt; 0 , VLOOKUP("Reanimation", vote4TRAITS!A:C , 3, FALSE), ),
IF(IFERROR(SEARCH("Reaper",L39),0) &gt; 0 , VLOOKUP("Reaper", vote4TRAITS!A:C , 3, FALSE), ),
IF(IFERROR(SEARCH("Riposte",L39),0) &gt; 0 , VLOOKUP("Riposte", vote4TRAITS!A:C , 3, FALSE)),
IF(IFERROR(SEARCH("Scamper",L39),0) &gt; 0 , VLOOKUP("Scamper", vote4TRAITS!A:C , 3, FALSE), ),
IF(IFERROR(SEARCH("Small Beginnings",L39),0) &gt; 0 , VLOOKUP("Small Beginnings", vote4TRAITS!A:C , 3, FALSE), ),
IF(IFERROR(SEARCH("Spawner",L39),0) &gt; 0 , VLOOKUP("Spawner", vote4TRAITS!A:C , 3,FALSE), ),
IF(IFERROR(SEARCH("Shadowr",L39),0) &gt; 0 , VLOOKUP("Shadow", vote4TRAITS!A:C , 3,FALSE), ),
IF(IFERROR(SEARCH("Shadow Step",L39),0) &gt; 0 , VLOOKUP("Shadow Step", vote4TRAITS!A:C , 3,FALSE), ),
IF(IFERROR(SEARCH("Shambling",L39),0) &gt; 0 , VLOOKUP("Shambling", vote4TRAITS!A:C , 3,FALSE), ),
IF(IFERROR(SEARCH("Stealthy",L39),0) &gt; 0 , VLOOKUP("Stealthy", vote4TRAITS!A:C , 3, FALSE), ),
IF(IFERROR(SEARCH("Web",L39),0) &gt; 0 , VLOOKUP("Web", vote4TRAITS!A:C , 3, FALSE), ),
IF(IFERROR(SEARCH("+1 Willpower",L39),0) &gt; 0 , VLOOKUP("+1 Willpower", vote4TRAITS!A:C , 3, FALSE), ),
IF(IFERROR(SEARCH("+1 Might",L39),0) &gt; 0 , VLOOKUP("+1 Might", vote4TRAITS!A:C , 3, FALSE), ),
IF(IFERROR(SEARCH("+1 Knowledge",L39),0) &gt; 0 , VLOOKUP("+1 Knowledge", vote4TRAITS!A:C , 3, FALSE), ),
IF(IFERROR(SEARCH("+1 Awareness",L39),0) &gt; 0 , VLOOKUP("+1 Awareness", vote4TRAITS!A:C , 3, FALSE), ),
IF(IFERROR(SEARCH("-1 Willpower",L39),0) &gt; 0 , VLOOKUP("-1 Willpower", vote4TRAITS!A:C , 3, FALSE), ),
IF(IFERROR(SEARCH("+1 Health",L39),0) &gt; 0 , VLOOKUP("+1 Health", vote4TRAITS!A:C , 3, FALSE), ),
IF(IFERROR(SEARCH("+2 Health",L39),0) &gt; 0 , VLOOKUP("+2 Health", vote4TRAITS!A:C , 3, FALSE), ),
IF(IFERROR(SEARCH("+1 Stamina",L39),0) &gt; 0 , VLOOKUP("+1 Stamina", vote4TRAITS!A:C , 3, FALSE), ),
IF(IFERROR(SEARCH("+2 Stamina",L39),0) &gt; 0 , VLOOKUP("+2 Stamina", vote4TRAITS!A:C , 3, FALSE), ),
IFS(
IFERROR(SEARCH("+1 Range", L39),) &gt; 0 ,VLOOKUP("+1 Range", vote4TRAITS!A:C , 3, FALSE),
IFERROR(SEARCH("+2 Range", L39),) &gt; 0 ,VLOOKUP("+2 Range", vote4TRAITS!A:C , 3, FALSE),
IFERROR(SEARCH("+3 Range", L39),) &gt; 0,VLOOKUP("+3 Range", vote4TRAITS!A:C , 3, FALSE),
0=0,0)
,
IFS(
IFERROR(SEARCH("Sorcery 1", L39),) &gt; 0 ,VLOOKUP("Sorcery 1", vote4TRAITS!A:C , 3, FALSE),
IFERROR(SEARCH("Sorcery 2", L39),) &gt; 0 ,VLOOKUP("Sorcery 2", vote4TRAITS!A:C , 3, FALSE),
IFERROR(SEARCH("Sorcery 3", L39),) &gt; 0,VLOOKUP("Sorcery 3", vote4TRAITS!A:C , 3, FALSE),
0=0,0)
,
IFS(
IFERROR(SEARCH("Pierce 1", L39),) &gt; 0 ,VLOOKUP("Pierce 1", vote4TRAITS!A:C , 3, FALSE),
IFERROR(SEARCH("Pierce 2", L39),) &gt; 0 ,VLOOKUP("Pierce 2", vote4TRAITS!A:C , 3, FALSE),
IFERROR(SEARCH("Pierce 3", L39),) &gt; 0,VLOOKUP("Pierce 3", vote4TRAITS!A:C , 3, FALSE),
IFERROR(SEARCH("Pierce 4", L39),) &gt; 0 ,VLOOKUP("Pierce 4", vote4TRAITS!A:C , 3, FALSE),
0=0,0)
,
IFS(
IFERROR(SEARCH("+1 Health", L39),) &gt; 0 ,VLOOKUP("+1 Health", vote4TRAITS!A:C , 3, FALSE),
IFERROR(SEARCH("+2 Health", L39),) &gt; 0 ,VLOOKUP("+2 Health", vote4TRAITS!A:C , 3, FALSE),
IFERROR(SEARCH("+3 Health", L39),) &gt; 0 ,VLOOKUP("+3 Health", vote4TRAITS!A:C , 3, FALSE),
IFERROR(SEARCH("+4 Health", L39),) &gt; 0 ,VLOOKUP("+4 Health", vote4TRAITS!A:C , 3, FALSE),
0=0,0)
,
IFS(
IFERROR(SEARCH("Soul Shackle 1", L39),) &gt; 0 ,VLOOKUP("Soul Shackle 1", vote4TRAITS!A:C , 3, FALSE),
IFERROR(SEARCH("Soul Shackle 2", L39),) &gt; 0 ,VLOOKUP("Soul Shackle 2", vote4TRAITS!A:C , 3, FALSE),
IFERROR(SEARCH("Soul Shackle 3", L39),) &gt; 0,VLOOKUP("Soul Shackle 3", vote4TRAITS!A:C , 3, FALSE),
0=0,0)
)</f>
        <v>6.5</v>
      </c>
      <c r="N39" s="311" t="s">
        <v>1562</v>
      </c>
      <c r="O39" s="317">
        <f>IF(ISBLANK(N39),,IFERROR(
IF(IFERROR(SEARCH("SS:",N39),0) &gt; 0, 
VLOOKUP(SUBSTITUTE(N39,"SS: ",""),vote4SURGE!$A:$C , 3, FALSE) - 2,
VLOOKUP(SUBSTITUTE(N39,"S: ",""),vote4SURGE!$A:$C , 3, FALSE)
)
,
IF(IFERROR(SEARCH("SS:",N39),0) &gt; 0, 
VLOOKUP(C39,vote4SURGE!$A:$C , 3, FALSE) - 2,
VLOOKUP(C39,vote4SURGE!$A:$C , 3, FALSE)
)
))</f>
        <v>3.5</v>
      </c>
      <c r="P39" s="318"/>
      <c r="Q39" s="317" t="str">
        <f>IF(ISBLANK(P39),,IFERROR(
IF(IFERROR(SEARCH("SS:",P39),0) &gt; 0, 
VLOOKUP(SUBSTITUTE(P39,"SS: ",""),vote4SURGE!$A:$C , 3, FALSE) - 2,
VLOOKUP(SUBSTITUTE(P39,"S: ",""),vote4SURGE!$A:$C , 3, FALSE)
)
,
IF(IFERROR(SEARCH("SS:",P39),0) &gt; 0, 
VLOOKUP(C39,vote4SURGE!$A:$C , 3, FALSE) - 2,
VLOOKUP(C39,vote4SURGE!$A:$C , 3, FALSE)
)
))</f>
        <v/>
      </c>
      <c r="R39" s="318"/>
      <c r="S39" s="319" t="str">
        <f>IF(ISBLANK(R39),,IFERROR(
IF(IFERROR(SEARCH("SS:",R39),0) &gt; 0, 
VLOOKUP(SUBSTITUTE(R39,"SS: ",""),vote4SURGE!$A:$C , 3, FALSE) - 2,
VLOOKUP(SUBSTITUTE(R39,"S: ",""),vote4SURGE!$A:$C , 3, FALSE)
)
,
IF(IFERROR(SEARCH("SS:",R39),0) &gt; 0, 
VLOOKUP(C39,vote4SURGE!$A:$C , 3, FALSE) - 2,
VLOOKUP(C39,vote4SURGE!$A:$C , 3, FALSE)
)
))</f>
        <v/>
      </c>
      <c r="T39" s="320">
        <f t="shared" si="2"/>
        <v>1</v>
      </c>
      <c r="U39" s="320">
        <f>IFERROR(__xludf.DUMMYFUNCTION("ROUND(
IF(ISBLANK(G39),,
SWITCH(
LEN(G39) - LEN(SUBSTITUTE(G39,"","","""")),
0 , VLOOKUP(G39, Variables!$A:$C, 3, FALSE),
1 , VLOOKUP(index(split(G39 ,"", "", FALSE),1,1), Variables!$A:$C , 3, FALSE) + VLOOKUP(index(split(G39 ,"", "", FALSE),1,2), Variabl"&amp;"es!$A:$C , 3, FALSE),
2 , VLOOKUP(index(split(G39 ,"", "", FALSE),1,1), Variables!$A:$C , 3, FALSE) + VLOOKUP(index(split(G39 ,"", "", FALSE),1,2), Variables!$A:$C , 3, FALSE) + VLOOKUP(index(split(G39 ,"", "", FALSE),1,3), Variables!$A:$C , 3, FALSE),
3 "&amp;", VLOOKUP(index(split(G39 ,"", "", FALSE),1,1), Variables!$A:$C , 3, FALSE) + VLOOKUP(index(split(G39 ,"", "", FALSE),1,2), Variables!$A:$C , 3, FALSE) + VLOOKUP(index(split(G39 ,"", "", FALSE),1,3), Variables!$A:$C , 3, FALSE) + VLOOKUP(index(split(G39 ,"&amp;""", "", FALSE),1,4), Variables!$A:$C , 3, FALSE),
)
)
)"),1.0)</f>
        <v>1</v>
      </c>
      <c r="V39" s="317">
        <f t="shared" si="3"/>
        <v>3.5</v>
      </c>
      <c r="W39" s="321">
        <f t="shared" si="4"/>
        <v>12.33333333</v>
      </c>
      <c r="X39" s="322"/>
      <c r="Y39" s="322"/>
      <c r="Z39" s="322"/>
      <c r="AA39" s="322"/>
      <c r="AB39" s="322"/>
      <c r="AC39" s="322"/>
      <c r="AD39" s="322"/>
      <c r="AE39" s="322"/>
    </row>
    <row r="40" hidden="1">
      <c r="A40" s="310">
        <v>1.0</v>
      </c>
      <c r="B40" s="93" t="str">
        <f t="shared" si="1"/>
        <v/>
      </c>
      <c r="C40" s="310" t="s">
        <v>796</v>
      </c>
      <c r="D40" s="323">
        <v>0.0</v>
      </c>
      <c r="E40" s="310" t="s">
        <v>1527</v>
      </c>
      <c r="F40" s="310" t="s">
        <v>1521</v>
      </c>
      <c r="G40" s="313" t="s">
        <v>1548</v>
      </c>
      <c r="H40" s="312">
        <f>IFERROR(__xludf.DUMMYFUNCTION(" IF(ISBLANK(G40),,
SWITCH(
LEN(G40) - LEN(SUBSTITUTE(G40,"","","""")),
0 , VLOOKUP(G40, Variables!$A:$B, 2, FALSE),
1 , VLOOKUP(index(split(G40 ,"", "", FALSE),1,1), Variables!$A:$B , 2, FALSE) + VLOOKUP(index(split(G40 ,"", "", FALSE),1,2), Variables!$A:"&amp;"$B , 2, FALSE),
2 , VLOOKUP(index(split(G40 ,"", "", FALSE),1,1), Variables!$A:$B , 2, FALSE) + VLOOKUP(index(split(G40 ,"", "", FALSE),1,2), Variables!$A:$B , 2, FALSE) + VLOOKUP(index(split(G40 ,"", "", FALSE),1,3), Variables!$A:$B , 2, FALSE),
3 , VLOO"&amp;"KUP(index(split(G40 ,"", "", FALSE),1,1), Variables!$A:$B , 2, FALSE) + VLOOKUP(index(split(G40 ,"", "", FALSE),1,2), Variables!$A:$B , 2, FALSE) + VLOOKUP(index(split(G40 ,"", "", FALSE),1,3), Variables!$A:$B , 2, FALSE) + VLOOKUP(index(split(G40 ,"", """&amp;", FALSE),1,4), Variables!$A:$B , 2, FALSE),
)
)"),2.3333333333333335)</f>
        <v>2.333333333</v>
      </c>
      <c r="I40" s="310" t="s">
        <v>1526</v>
      </c>
      <c r="J40" s="313" t="s">
        <v>797</v>
      </c>
      <c r="K40" s="314">
        <f>IFERROR(VLOOKUP(C40,vote4ITEMS!$A:$C, 3, FALSE),)</f>
        <v>6.5</v>
      </c>
      <c r="L40" s="313"/>
      <c r="M40" s="314">
        <f>SUM(
IF(IFERROR(SEARCH("Aura 1",L40),0) &gt; 0 , VLOOKUP("Aura 1", vote4TRAITS!A:C , 3, FALSE), ),
IF(IFERROR(SEARCH("Backswing",L40),0) &gt; 0 , VLOOKUP("Backswing", vote4TRAITS!A:C , 3, FALSE), ),
IF(IFERROR(SEARCH("Blast",L40),0) &gt; 0 , VLOOKUP("Blast", vote4TRAITS!A:C , 3, FALSE), ),
IF(IFERROR(SEARCH("Combustible",L40),0) &gt; 0 , VLOOKUP("Combustible", vote4TRAITS!A:C , 3, FALSE), ),
IF(IFERROR(SEARCH("Command",L40),0) &gt; 0 , VLOOKUP("Command", vote4TRAITS!A:C , 3, FALSE), ),
IF(IFERROR(SEARCH("Cowardly",L40),0) &gt; 0 , VLOOKUP("Cowardly", vote4TRAITS!A:C , 3, FALSE), ),
IF(IFERROR(SEARCH("Death Wish",L40),0) &gt; 0 , VLOOKUP("Death Wish", vote4TRAITS!A:C , 3, FALSE), ),
IF(IFERROR(SEARCH("Entomb",L40),0) &gt; 0 , VLOOKUP("Entomb", vote4TRAITS!A:C , 3, FALSE), ),
IF(IFERROR(SEARCH("Ethereal Hold",L40),0) &gt; 0 , VLOOKUP("Ethereal Hold", vote4TRAITS!A:C , 3, FALSE), ),
IF(IFERROR(SEARCH("Extend",L40),0) &gt; 0 , VLOOKUP("Extend", vote4TRAITS!A:C , 3, FALSE), ),
IF(IFERROR(SEARCH("Filthy Murk",L40),0) &gt; 0 , VLOOKUP("Filthy Murk", vote4TRAITS!A:C , 3, FALSE), ),
IF(IFERROR(SEARCH("Flame Fiend",L40),0) &gt; 0 , VLOOKUP("Flame Fiend", vote4TRAITS!A:C , 3, FALSE), ),
IF(IFERROR(SEARCH("Fleshmonger",L40),0) &gt; 0 , VLOOKUP("Fleshmonger", vote4TRAITS!A:C , 3, FALSE), ),
IF(IFERROR(SEARCH("Fly",L40),0) &gt; 0 , VLOOKUP("Fly", vote4TRAITS!A:C , 3, FALSE), ),
IF(IFERROR(SEARCH("Freezing",L40),0) &gt; 0 , VLOOKUP("Freezing", vote4TRAITS!A:C , 3, FALSE), ),
IF(IFERROR(SEARCH("Lithesome",L40),0) &gt; 0 , VLOOKUP("Lithesome", vote4TRAITS!A:C , 3, FALSE), ),
IF(IFERROR(SEARCH("Harrowing",L40),0) &gt; 0 , VLOOKUP("Harrowing", vote4TRAITS!A:C , 3, FALSE), ),
IF(IFERROR(SEARCH("Hideous Laughter",L40),0) &gt; 0 , VLOOKUP("Hideous Laughter", vote4TRAITS!A:C , 3, FALSE), ),
IF(IFERROR(SEARCH("Hive Defense",L40),0) &gt; 0 , VLOOKUP("Hive Defense", vote4TRAITS!A:C , 3, FALSE), ),
IF(IFERROR(SEARCH("Horrifying",L40),0) &gt; 0 , VLOOKUP("Horrifying", vote4TRAITS!A:C , 3, FALSE), ),
IF(IFERROR(SEARCH("Ironskin",L40),0) &gt; 0 , VLOOKUP("Ironskin", vote4TRAITS!A:C , 3, FALSE), ),
IF(IFERROR(SEARCH("Unmovable",L40),0) &gt; 0 , VLOOKUP("Unmovable", vote4TRAITS!A:C , 3, FALSE), ),
IF(IFERROR(SEARCH("Lifethirst 1",L40),0) &gt; 0 , VLOOKUP("Lifethirst 1", vote4TRAITS!A:C , 3, FALSE), ),
IF(IFERROR(SEARCH("Lifethirst 2",L40),0) &gt; 0 , VLOOKUP("Lifethirst 2", vote4TRAITS!A:C , 3, FALSE), ),
IF(IFERROR(SEARCH("Morph",L40),0) &gt; 0 , VLOOKUP("Morph", vote4TRAITS!A:C , 3, FALSE), ),
IF(IFERROR(SEARCH("Night Stalker",L40),0) &gt; 0 , VLOOKUP("Night Stalker", vote4TRAITS!A:C , 3, FALSE), ),
IF(IFERROR(SEARCH("Overflowing",L40),0) &gt; 0 , VLOOKUP("Overflowing", vote4TRAITS!A:C , 3, FALSE), ),
IF(IFERROR(SEARCH("Pestilence",L40),0) &gt; 0 , VLOOKUP("Pestilence", vote4TRAITS!A:C , 3, FALSE), ),
IF(IFERROR(SEARCH("Phalanx",L40),0) &gt; 0 , VLOOKUP("Phalanx", vote4TRAITS!A:C , 3, FALSE), ),
IF(IFERROR(SEARCH("Plagued",L40),0) &gt; 0 , VLOOKUP("Plagued", vote4TRAITS!A:C , 3, FALSE), ),
IF(IFERROR(SEARCH("Prey on the Weak",L40),0) &gt; 0 , VLOOKUP("Prey on the Weak", vote4TRAITS!A:C , 3, FALSE), ),
IF(IFERROR(SEARCH("Protect",L40),0) &gt; 0 , VLOOKUP("Protect", vote4TRAITS!A:C , 3, FALSE), ),
IF(IFERROR(SEARCH("Puncture",L40),0) &gt; 0 , VLOOKUP("Puncture", vote4TRAITS!A:C , 3, FALSE), ),
IF(IFERROR(SEARCH("Putrid Boils",L40),0) &gt; 0 , VLOOKUP("Putrid Boils", vote4TRAITS!A:C , 3, FALSE), ),
IF(IFERROR(SEARCH("Ravage",L40),0) &gt; 0 , VLOOKUP("Ravage", vote4TRAITS!A:C , 3, FALSE), ),
IF(IFERROR(SEARCH("Ravenous",L40),0) &gt; 0 , VLOOKUP("Ravenous", vote4TRAITS!A:C , 3, FALSE), ),
IF(IFERROR(SEARCH("Reach",L40),0) &gt; 0 , VLOOKUP("Reach", vote4TRAITS!A:C , 3, FALSE), ),
IF(IFERROR(SEARCH("Reanimation",L40),0) &gt; 0 , VLOOKUP("Reanimation", vote4TRAITS!A:C , 3, FALSE), ),
IF(IFERROR(SEARCH("Reaper",L40),0) &gt; 0 , VLOOKUP("Reaper", vote4TRAITS!A:C , 3, FALSE), ),
IF(IFERROR(SEARCH("Riposte",L40),0) &gt; 0 , VLOOKUP("Riposte", vote4TRAITS!A:C , 3, FALSE)),
IF(IFERROR(SEARCH("Scamper",L40),0) &gt; 0 , VLOOKUP("Scamper", vote4TRAITS!A:C , 3, FALSE), ),
IF(IFERROR(SEARCH("Small Beginnings",L40),0) &gt; 0 , VLOOKUP("Small Beginnings", vote4TRAITS!A:C , 3, FALSE), ),
IF(IFERROR(SEARCH("Spawner",L40),0) &gt; 0 , VLOOKUP("Spawner", vote4TRAITS!A:C , 3,FALSE), ),
IF(IFERROR(SEARCH("Shadowr",L40),0) &gt; 0 , VLOOKUP("Shadow", vote4TRAITS!A:C , 3,FALSE), ),
IF(IFERROR(SEARCH("Shadow Step",L40),0) &gt; 0 , VLOOKUP("Shadow Step", vote4TRAITS!A:C , 3,FALSE), ),
IF(IFERROR(SEARCH("Shambling",L40),0) &gt; 0 , VLOOKUP("Shambling", vote4TRAITS!A:C , 3,FALSE), ),
IF(IFERROR(SEARCH("Stealthy",L40),0) &gt; 0 , VLOOKUP("Stealthy", vote4TRAITS!A:C , 3, FALSE), ),
IF(IFERROR(SEARCH("Web",L40),0) &gt; 0 , VLOOKUP("Web", vote4TRAITS!A:C , 3, FALSE), ),
IF(IFERROR(SEARCH("+1 Willpower",L40),0) &gt; 0 , VLOOKUP("+1 Willpower", vote4TRAITS!A:C , 3, FALSE), ),
IF(IFERROR(SEARCH("+1 Might",L40),0) &gt; 0 , VLOOKUP("+1 Might", vote4TRAITS!A:C , 3, FALSE), ),
IF(IFERROR(SEARCH("+1 Knowledge",L40),0) &gt; 0 , VLOOKUP("+1 Knowledge", vote4TRAITS!A:C , 3, FALSE), ),
IF(IFERROR(SEARCH("+1 Awareness",L40),0) &gt; 0 , VLOOKUP("+1 Awareness", vote4TRAITS!A:C , 3, FALSE), ),
IF(IFERROR(SEARCH("-1 Willpower",L40),0) &gt; 0 , VLOOKUP("-1 Willpower", vote4TRAITS!A:C , 3, FALSE), ),
IF(IFERROR(SEARCH("+1 Health",L40),0) &gt; 0 , VLOOKUP("+1 Health", vote4TRAITS!A:C , 3, FALSE), ),
IF(IFERROR(SEARCH("+2 Health",L40),0) &gt; 0 , VLOOKUP("+2 Health", vote4TRAITS!A:C , 3, FALSE), ),
IF(IFERROR(SEARCH("+1 Stamina",L40),0) &gt; 0 , VLOOKUP("+1 Stamina", vote4TRAITS!A:C , 3, FALSE), ),
IF(IFERROR(SEARCH("+2 Stamina",L40),0) &gt; 0 , VLOOKUP("+2 Stamina", vote4TRAITS!A:C , 3, FALSE), ),
IFS(
IFERROR(SEARCH("+1 Range", L40),) &gt; 0 ,VLOOKUP("+1 Range", vote4TRAITS!A:C , 3, FALSE),
IFERROR(SEARCH("+2 Range", L40),) &gt; 0 ,VLOOKUP("+2 Range", vote4TRAITS!A:C , 3, FALSE),
IFERROR(SEARCH("+3 Range", L40),) &gt; 0,VLOOKUP("+3 Range", vote4TRAITS!A:C , 3, FALSE),
0=0,0)
,
IFS(
IFERROR(SEARCH("Sorcery 1", L40),) &gt; 0 ,VLOOKUP("Sorcery 1", vote4TRAITS!A:C , 3, FALSE),
IFERROR(SEARCH("Sorcery 2", L40),) &gt; 0 ,VLOOKUP("Sorcery 2", vote4TRAITS!A:C , 3, FALSE),
IFERROR(SEARCH("Sorcery 3", L40),) &gt; 0,VLOOKUP("Sorcery 3", vote4TRAITS!A:C , 3, FALSE),
0=0,0)
,
IFS(
IFERROR(SEARCH("Pierce 1", L40),) &gt; 0 ,VLOOKUP("Pierce 1", vote4TRAITS!A:C , 3, FALSE),
IFERROR(SEARCH("Pierce 2", L40),) &gt; 0 ,VLOOKUP("Pierce 2", vote4TRAITS!A:C , 3, FALSE),
IFERROR(SEARCH("Pierce 3", L40),) &gt; 0,VLOOKUP("Pierce 3", vote4TRAITS!A:C , 3, FALSE),
IFERROR(SEARCH("Pierce 4", L40),) &gt; 0 ,VLOOKUP("Pierce 4", vote4TRAITS!A:C , 3, FALSE),
0=0,0)
,
IFS(
IFERROR(SEARCH("+1 Health", L40),) &gt; 0 ,VLOOKUP("+1 Health", vote4TRAITS!A:C , 3, FALSE),
IFERROR(SEARCH("+2 Health", L40),) &gt; 0 ,VLOOKUP("+2 Health", vote4TRAITS!A:C , 3, FALSE),
IFERROR(SEARCH("+3 Health", L40),) &gt; 0 ,VLOOKUP("+3 Health", vote4TRAITS!A:C , 3, FALSE),
IFERROR(SEARCH("+4 Health", L40),) &gt; 0 ,VLOOKUP("+4 Health", vote4TRAITS!A:C , 3, FALSE),
0=0,0)
,
IFS(
IFERROR(SEARCH("Soul Shackle 1", L40),) &gt; 0 ,VLOOKUP("Soul Shackle 1", vote4TRAITS!A:C , 3, FALSE),
IFERROR(SEARCH("Soul Shackle 2", L40),) &gt; 0 ,VLOOKUP("Soul Shackle 2", vote4TRAITS!A:C , 3, FALSE),
IFERROR(SEARCH("Soul Shackle 3", L40),) &gt; 0,VLOOKUP("Soul Shackle 3", vote4TRAITS!A:C , 3, FALSE),
0=0,0)
)</f>
        <v>0</v>
      </c>
      <c r="N40" s="311" t="s">
        <v>1564</v>
      </c>
      <c r="O40" s="317">
        <f>IF(ISBLANK(N40),,IFERROR(
IF(IFERROR(SEARCH("SS:",N40),0) &gt; 0, 
VLOOKUP(SUBSTITUTE(N40,"SS: ",""),vote4SURGE!$A:$C , 3, FALSE) - 2,
VLOOKUP(SUBSTITUTE(N40,"S: ",""),vote4SURGE!$A:$C , 3, FALSE)
)
,
IF(IFERROR(SEARCH("SS:",N40),0) &gt; 0, 
VLOOKUP(C40,vote4SURGE!$A:$C , 3, FALSE) - 2,
VLOOKUP(C40,vote4SURGE!$A:$C , 3, FALSE)
)
))</f>
        <v>3.5</v>
      </c>
      <c r="P40" s="318"/>
      <c r="Q40" s="317" t="str">
        <f>IF(ISBLANK(P40),,IFERROR(
IF(IFERROR(SEARCH("SS:",P40),0) &gt; 0, 
VLOOKUP(SUBSTITUTE(P40,"SS: ",""),vote4SURGE!$A:$C , 3, FALSE) - 2,
VLOOKUP(SUBSTITUTE(P40,"S: ",""),vote4SURGE!$A:$C , 3, FALSE)
)
,
IF(IFERROR(SEARCH("SS:",P40),0) &gt; 0, 
VLOOKUP(C40,vote4SURGE!$A:$C , 3, FALSE) - 2,
VLOOKUP(C40,vote4SURGE!$A:$C , 3, FALSE)
)
))</f>
        <v/>
      </c>
      <c r="R40" s="318"/>
      <c r="S40" s="319" t="str">
        <f>IF(ISBLANK(R40),,IFERROR(
IF(IFERROR(SEARCH("SS:",R40),0) &gt; 0, 
VLOOKUP(SUBSTITUTE(R40,"SS: ",""),vote4SURGE!$A:$C , 3, FALSE) - 2,
VLOOKUP(SUBSTITUTE(R40,"S: ",""),vote4SURGE!$A:$C , 3, FALSE)
)
,
IF(IFERROR(SEARCH("SS:",R40),0) &gt; 0, 
VLOOKUP(C40,vote4SURGE!$A:$C , 3, FALSE) - 2,
VLOOKUP(C40,vote4SURGE!$A:$C , 3, FALSE)
)
))</f>
        <v/>
      </c>
      <c r="T40" s="320">
        <f t="shared" si="2"/>
        <v>1</v>
      </c>
      <c r="U40" s="320">
        <f>IFERROR(__xludf.DUMMYFUNCTION("ROUND(
IF(ISBLANK(G40),,
SWITCH(
LEN(G40) - LEN(SUBSTITUTE(G40,"","","""")),
0 , VLOOKUP(G40, Variables!$A:$C, 3, FALSE),
1 , VLOOKUP(index(split(G40 ,"", "", FALSE),1,1), Variables!$A:$C , 3, FALSE) + VLOOKUP(index(split(G40 ,"", "", FALSE),1,2), Variabl"&amp;"es!$A:$C , 3, FALSE),
2 , VLOOKUP(index(split(G40 ,"", "", FALSE),1,1), Variables!$A:$C , 3, FALSE) + VLOOKUP(index(split(G40 ,"", "", FALSE),1,2), Variables!$A:$C , 3, FALSE) + VLOOKUP(index(split(G40 ,"", "", FALSE),1,3), Variables!$A:$C , 3, FALSE),
3 "&amp;", VLOOKUP(index(split(G40 ,"", "", FALSE),1,1), Variables!$A:$C , 3, FALSE) + VLOOKUP(index(split(G40 ,"", "", FALSE),1,2), Variables!$A:$C , 3, FALSE) + VLOOKUP(index(split(G40 ,"", "", FALSE),1,3), Variables!$A:$C , 3, FALSE) + VLOOKUP(index(split(G40 ,"&amp;""", "", FALSE),1,4), Variables!$A:$C , 3, FALSE),
)
)
)"),1.0)</f>
        <v>1</v>
      </c>
      <c r="V40" s="317">
        <f t="shared" si="3"/>
        <v>3.5</v>
      </c>
      <c r="W40" s="321">
        <f t="shared" si="4"/>
        <v>12.33333333</v>
      </c>
      <c r="X40" s="322"/>
      <c r="Y40" s="322"/>
      <c r="Z40" s="322"/>
      <c r="AA40" s="322"/>
      <c r="AB40" s="322"/>
      <c r="AC40" s="322"/>
      <c r="AD40" s="322"/>
      <c r="AE40" s="322"/>
    </row>
    <row r="41" hidden="1">
      <c r="A41" s="310">
        <v>1.0</v>
      </c>
      <c r="B41" s="93" t="str">
        <f t="shared" si="1"/>
        <v/>
      </c>
      <c r="C41" s="310" t="s">
        <v>1236</v>
      </c>
      <c r="D41" s="323">
        <v>0.0</v>
      </c>
      <c r="E41" s="310" t="s">
        <v>1527</v>
      </c>
      <c r="F41" s="310" t="s">
        <v>1521</v>
      </c>
      <c r="G41" s="313" t="s">
        <v>1548</v>
      </c>
      <c r="H41" s="312">
        <f>IFERROR(__xludf.DUMMYFUNCTION(" IF(ISBLANK(G41),,
SWITCH(
LEN(G41) - LEN(SUBSTITUTE(G41,"","","""")),
0 , VLOOKUP(G41, Variables!$A:$B, 2, FALSE),
1 , VLOOKUP(index(split(G41 ,"", "", FALSE),1,1), Variables!$A:$B , 2, FALSE) + VLOOKUP(index(split(G41 ,"", "", FALSE),1,2), Variables!$A:"&amp;"$B , 2, FALSE),
2 , VLOOKUP(index(split(G41 ,"", "", FALSE),1,1), Variables!$A:$B , 2, FALSE) + VLOOKUP(index(split(G41 ,"", "", FALSE),1,2), Variables!$A:$B , 2, FALSE) + VLOOKUP(index(split(G41 ,"", "", FALSE),1,3), Variables!$A:$B , 2, FALSE),
3 , VLOO"&amp;"KUP(index(split(G41 ,"", "", FALSE),1,1), Variables!$A:$B , 2, FALSE) + VLOOKUP(index(split(G41 ,"", "", FALSE),1,2), Variables!$A:$B , 2, FALSE) + VLOOKUP(index(split(G41 ,"", "", FALSE),1,3), Variables!$A:$B , 2, FALSE) + VLOOKUP(index(split(G41 ,"", """&amp;", FALSE),1,4), Variables!$A:$B , 2, FALSE),
)
)"),2.3333333333333335)</f>
        <v>2.333333333</v>
      </c>
      <c r="I41" s="310" t="s">
        <v>1561</v>
      </c>
      <c r="J41" s="313"/>
      <c r="K41" s="314" t="str">
        <f>IFERROR(VLOOKUP(C41,vote4ITEMS!$A:$C, 3, FALSE),)</f>
        <v/>
      </c>
      <c r="L41" s="313" t="s">
        <v>1099</v>
      </c>
      <c r="M41" s="314">
        <f>SUM(
IF(IFERROR(SEARCH("Aura 1",L41),0) &gt; 0 , VLOOKUP("Aura 1", vote4TRAITS!A:C , 3, FALSE), ),
IF(IFERROR(SEARCH("Backswing",L41),0) &gt; 0 , VLOOKUP("Backswing", vote4TRAITS!A:C , 3, FALSE), ),
IF(IFERROR(SEARCH("Blast",L41),0) &gt; 0 , VLOOKUP("Blast", vote4TRAITS!A:C , 3, FALSE), ),
IF(IFERROR(SEARCH("Combustible",L41),0) &gt; 0 , VLOOKUP("Combustible", vote4TRAITS!A:C , 3, FALSE), ),
IF(IFERROR(SEARCH("Command",L41),0) &gt; 0 , VLOOKUP("Command", vote4TRAITS!A:C , 3, FALSE), ),
IF(IFERROR(SEARCH("Cowardly",L41),0) &gt; 0 , VLOOKUP("Cowardly", vote4TRAITS!A:C , 3, FALSE), ),
IF(IFERROR(SEARCH("Death Wish",L41),0) &gt; 0 , VLOOKUP("Death Wish", vote4TRAITS!A:C , 3, FALSE), ),
IF(IFERROR(SEARCH("Entomb",L41),0) &gt; 0 , VLOOKUP("Entomb", vote4TRAITS!A:C , 3, FALSE), ),
IF(IFERROR(SEARCH("Ethereal Hold",L41),0) &gt; 0 , VLOOKUP("Ethereal Hold", vote4TRAITS!A:C , 3, FALSE), ),
IF(IFERROR(SEARCH("Extend",L41),0) &gt; 0 , VLOOKUP("Extend", vote4TRAITS!A:C , 3, FALSE), ),
IF(IFERROR(SEARCH("Filthy Murk",L41),0) &gt; 0 , VLOOKUP("Filthy Murk", vote4TRAITS!A:C , 3, FALSE), ),
IF(IFERROR(SEARCH("Flame Fiend",L41),0) &gt; 0 , VLOOKUP("Flame Fiend", vote4TRAITS!A:C , 3, FALSE), ),
IF(IFERROR(SEARCH("Fleshmonger",L41),0) &gt; 0 , VLOOKUP("Fleshmonger", vote4TRAITS!A:C , 3, FALSE), ),
IF(IFERROR(SEARCH("Fly",L41),0) &gt; 0 , VLOOKUP("Fly", vote4TRAITS!A:C , 3, FALSE), ),
IF(IFERROR(SEARCH("Freezing",L41),0) &gt; 0 , VLOOKUP("Freezing", vote4TRAITS!A:C , 3, FALSE), ),
IF(IFERROR(SEARCH("Lithesome",L41),0) &gt; 0 , VLOOKUP("Lithesome", vote4TRAITS!A:C , 3, FALSE), ),
IF(IFERROR(SEARCH("Harrowing",L41),0) &gt; 0 , VLOOKUP("Harrowing", vote4TRAITS!A:C , 3, FALSE), ),
IF(IFERROR(SEARCH("Hideous Laughter",L41),0) &gt; 0 , VLOOKUP("Hideous Laughter", vote4TRAITS!A:C , 3, FALSE), ),
IF(IFERROR(SEARCH("Hive Defense",L41),0) &gt; 0 , VLOOKUP("Hive Defense", vote4TRAITS!A:C , 3, FALSE), ),
IF(IFERROR(SEARCH("Horrifying",L41),0) &gt; 0 , VLOOKUP("Horrifying", vote4TRAITS!A:C , 3, FALSE), ),
IF(IFERROR(SEARCH("Ironskin",L41),0) &gt; 0 , VLOOKUP("Ironskin", vote4TRAITS!A:C , 3, FALSE), ),
IF(IFERROR(SEARCH("Unmovable",L41),0) &gt; 0 , VLOOKUP("Unmovable", vote4TRAITS!A:C , 3, FALSE), ),
IF(IFERROR(SEARCH("Lifethirst 1",L41),0) &gt; 0 , VLOOKUP("Lifethirst 1", vote4TRAITS!A:C , 3, FALSE), ),
IF(IFERROR(SEARCH("Lifethirst 2",L41),0) &gt; 0 , VLOOKUP("Lifethirst 2", vote4TRAITS!A:C , 3, FALSE), ),
IF(IFERROR(SEARCH("Morph",L41),0) &gt; 0 , VLOOKUP("Morph", vote4TRAITS!A:C , 3, FALSE), ),
IF(IFERROR(SEARCH("Night Stalker",L41),0) &gt; 0 , VLOOKUP("Night Stalker", vote4TRAITS!A:C , 3, FALSE), ),
IF(IFERROR(SEARCH("Overflowing",L41),0) &gt; 0 , VLOOKUP("Overflowing", vote4TRAITS!A:C , 3, FALSE), ),
IF(IFERROR(SEARCH("Pestilence",L41),0) &gt; 0 , VLOOKUP("Pestilence", vote4TRAITS!A:C , 3, FALSE), ),
IF(IFERROR(SEARCH("Phalanx",L41),0) &gt; 0 , VLOOKUP("Phalanx", vote4TRAITS!A:C , 3, FALSE), ),
IF(IFERROR(SEARCH("Plagued",L41),0) &gt; 0 , VLOOKUP("Plagued", vote4TRAITS!A:C , 3, FALSE), ),
IF(IFERROR(SEARCH("Prey on the Weak",L41),0) &gt; 0 , VLOOKUP("Prey on the Weak", vote4TRAITS!A:C , 3, FALSE), ),
IF(IFERROR(SEARCH("Protect",L41),0) &gt; 0 , VLOOKUP("Protect", vote4TRAITS!A:C , 3, FALSE), ),
IF(IFERROR(SEARCH("Puncture",L41),0) &gt; 0 , VLOOKUP("Puncture", vote4TRAITS!A:C , 3, FALSE), ),
IF(IFERROR(SEARCH("Putrid Boils",L41),0) &gt; 0 , VLOOKUP("Putrid Boils", vote4TRAITS!A:C , 3, FALSE), ),
IF(IFERROR(SEARCH("Ravage",L41),0) &gt; 0 , VLOOKUP("Ravage", vote4TRAITS!A:C , 3, FALSE), ),
IF(IFERROR(SEARCH("Ravenous",L41),0) &gt; 0 , VLOOKUP("Ravenous", vote4TRAITS!A:C , 3, FALSE), ),
IF(IFERROR(SEARCH("Reach",L41),0) &gt; 0 , VLOOKUP("Reach", vote4TRAITS!A:C , 3, FALSE), ),
IF(IFERROR(SEARCH("Reanimation",L41),0) &gt; 0 , VLOOKUP("Reanimation", vote4TRAITS!A:C , 3, FALSE), ),
IF(IFERROR(SEARCH("Reaper",L41),0) &gt; 0 , VLOOKUP("Reaper", vote4TRAITS!A:C , 3, FALSE), ),
IF(IFERROR(SEARCH("Riposte",L41),0) &gt; 0 , VLOOKUP("Riposte", vote4TRAITS!A:C , 3, FALSE)),
IF(IFERROR(SEARCH("Scamper",L41),0) &gt; 0 , VLOOKUP("Scamper", vote4TRAITS!A:C , 3, FALSE), ),
IF(IFERROR(SEARCH("Small Beginnings",L41),0) &gt; 0 , VLOOKUP("Small Beginnings", vote4TRAITS!A:C , 3, FALSE), ),
IF(IFERROR(SEARCH("Spawner",L41),0) &gt; 0 , VLOOKUP("Spawner", vote4TRAITS!A:C , 3,FALSE), ),
IF(IFERROR(SEARCH("Shadowr",L41),0) &gt; 0 , VLOOKUP("Shadow", vote4TRAITS!A:C , 3,FALSE), ),
IF(IFERROR(SEARCH("Shadow Step",L41),0) &gt; 0 , VLOOKUP("Shadow Step", vote4TRAITS!A:C , 3,FALSE), ),
IF(IFERROR(SEARCH("Shambling",L41),0) &gt; 0 , VLOOKUP("Shambling", vote4TRAITS!A:C , 3,FALSE), ),
IF(IFERROR(SEARCH("Stealthy",L41),0) &gt; 0 , VLOOKUP("Stealthy", vote4TRAITS!A:C , 3, FALSE), ),
IF(IFERROR(SEARCH("Web",L41),0) &gt; 0 , VLOOKUP("Web", vote4TRAITS!A:C , 3, FALSE), ),
IF(IFERROR(SEARCH("+1 Willpower",L41),0) &gt; 0 , VLOOKUP("+1 Willpower", vote4TRAITS!A:C , 3, FALSE), ),
IF(IFERROR(SEARCH("+1 Might",L41),0) &gt; 0 , VLOOKUP("+1 Might", vote4TRAITS!A:C , 3, FALSE), ),
IF(IFERROR(SEARCH("+1 Knowledge",L41),0) &gt; 0 , VLOOKUP("+1 Knowledge", vote4TRAITS!A:C , 3, FALSE), ),
IF(IFERROR(SEARCH("+1 Awareness",L41),0) &gt; 0 , VLOOKUP("+1 Awareness", vote4TRAITS!A:C , 3, FALSE), ),
IF(IFERROR(SEARCH("-1 Willpower",L41),0) &gt; 0 , VLOOKUP("-1 Willpower", vote4TRAITS!A:C , 3, FALSE), ),
IF(IFERROR(SEARCH("+1 Health",L41),0) &gt; 0 , VLOOKUP("+1 Health", vote4TRAITS!A:C , 3, FALSE), ),
IF(IFERROR(SEARCH("+2 Health",L41),0) &gt; 0 , VLOOKUP("+2 Health", vote4TRAITS!A:C , 3, FALSE), ),
IF(IFERROR(SEARCH("+1 Stamina",L41),0) &gt; 0 , VLOOKUP("+1 Stamina", vote4TRAITS!A:C , 3, FALSE), ),
IF(IFERROR(SEARCH("+2 Stamina",L41),0) &gt; 0 , VLOOKUP("+2 Stamina", vote4TRAITS!A:C , 3, FALSE), ),
IFS(
IFERROR(SEARCH("+1 Range", L41),) &gt; 0 ,VLOOKUP("+1 Range", vote4TRAITS!A:C , 3, FALSE),
IFERROR(SEARCH("+2 Range", L41),) &gt; 0 ,VLOOKUP("+2 Range", vote4TRAITS!A:C , 3, FALSE),
IFERROR(SEARCH("+3 Range", L41),) &gt; 0,VLOOKUP("+3 Range", vote4TRAITS!A:C , 3, FALSE),
0=0,0)
,
IFS(
IFERROR(SEARCH("Sorcery 1", L41),) &gt; 0 ,VLOOKUP("Sorcery 1", vote4TRAITS!A:C , 3, FALSE),
IFERROR(SEARCH("Sorcery 2", L41),) &gt; 0 ,VLOOKUP("Sorcery 2", vote4TRAITS!A:C , 3, FALSE),
IFERROR(SEARCH("Sorcery 3", L41),) &gt; 0,VLOOKUP("Sorcery 3", vote4TRAITS!A:C , 3, FALSE),
0=0,0)
,
IFS(
IFERROR(SEARCH("Pierce 1", L41),) &gt; 0 ,VLOOKUP("Pierce 1", vote4TRAITS!A:C , 3, FALSE),
IFERROR(SEARCH("Pierce 2", L41),) &gt; 0 ,VLOOKUP("Pierce 2", vote4TRAITS!A:C , 3, FALSE),
IFERROR(SEARCH("Pierce 3", L41),) &gt; 0,VLOOKUP("Pierce 3", vote4TRAITS!A:C , 3, FALSE),
IFERROR(SEARCH("Pierce 4", L41),) &gt; 0 ,VLOOKUP("Pierce 4", vote4TRAITS!A:C , 3, FALSE),
0=0,0)
,
IFS(
IFERROR(SEARCH("+1 Health", L41),) &gt; 0 ,VLOOKUP("+1 Health", vote4TRAITS!A:C , 3, FALSE),
IFERROR(SEARCH("+2 Health", L41),) &gt; 0 ,VLOOKUP("+2 Health", vote4TRAITS!A:C , 3, FALSE),
IFERROR(SEARCH("+3 Health", L41),) &gt; 0 ,VLOOKUP("+3 Health", vote4TRAITS!A:C , 3, FALSE),
IFERROR(SEARCH("+4 Health", L41),) &gt; 0 ,VLOOKUP("+4 Health", vote4TRAITS!A:C , 3, FALSE),
0=0,0)
,
IFS(
IFERROR(SEARCH("Soul Shackle 1", L41),) &gt; 0 ,VLOOKUP("Soul Shackle 1", vote4TRAITS!A:C , 3, FALSE),
IFERROR(SEARCH("Soul Shackle 2", L41),) &gt; 0 ,VLOOKUP("Soul Shackle 2", vote4TRAITS!A:C , 3, FALSE),
IFERROR(SEARCH("Soul Shackle 3", L41),) &gt; 0,VLOOKUP("Soul Shackle 3", vote4TRAITS!A:C , 3, FALSE),
0=0,0)
)</f>
        <v>6.5</v>
      </c>
      <c r="N41" s="311" t="s">
        <v>1564</v>
      </c>
      <c r="O41" s="317">
        <f>IF(ISBLANK(N41),,IFERROR(
IF(IFERROR(SEARCH("SS:",N41),0) &gt; 0, 
VLOOKUP(SUBSTITUTE(N41,"SS: ",""),vote4SURGE!$A:$C , 3, FALSE) - 2,
VLOOKUP(SUBSTITUTE(N41,"S: ",""),vote4SURGE!$A:$C , 3, FALSE)
)
,
IF(IFERROR(SEARCH("SS:",N41),0) &gt; 0, 
VLOOKUP(C41,vote4SURGE!$A:$C , 3, FALSE) - 2,
VLOOKUP(C41,vote4SURGE!$A:$C , 3, FALSE)
)
))</f>
        <v>3.5</v>
      </c>
      <c r="P41" s="315" t="s">
        <v>1599</v>
      </c>
      <c r="Q41" s="317">
        <f>IF(ISBLANK(P41),,IFERROR(
IF(IFERROR(SEARCH("SS:",P41),0) &gt; 0, 
VLOOKUP(SUBSTITUTE(P41,"SS: ",""),vote4SURGE!$A:$C , 3, FALSE) - 2,
VLOOKUP(SUBSTITUTE(P41,"S: ",""),vote4SURGE!$A:$C , 3, FALSE)
)
,
IF(IFERROR(SEARCH("SS:",P41),0) &gt; 0, 
VLOOKUP(C41,vote4SURGE!$A:$C , 3, FALSE) - 2,
VLOOKUP(C41,vote4SURGE!$A:$C , 3, FALSE)
)
))</f>
        <v>3.333333333</v>
      </c>
      <c r="R41" s="318"/>
      <c r="S41" s="319" t="str">
        <f>IF(ISBLANK(R41),,IFERROR(
IF(IFERROR(SEARCH("SS:",R41),0) &gt; 0, 
VLOOKUP(SUBSTITUTE(R41,"SS: ",""),vote4SURGE!$A:$C , 3, FALSE) - 2,
VLOOKUP(SUBSTITUTE(R41,"S: ",""),vote4SURGE!$A:$C , 3, FALSE)
)
,
IF(IFERROR(SEARCH("SS:",R41),0) &gt; 0, 
VLOOKUP(C41,vote4SURGE!$A:$C , 3, FALSE) - 2,
VLOOKUP(C41,vote4SURGE!$A:$C , 3, FALSE)
)
))</f>
        <v/>
      </c>
      <c r="T41" s="320">
        <f t="shared" si="2"/>
        <v>2</v>
      </c>
      <c r="U41" s="320">
        <f>IFERROR(__xludf.DUMMYFUNCTION("ROUND(
IF(ISBLANK(G41),,
SWITCH(
LEN(G41) - LEN(SUBSTITUTE(G41,"","","""")),
0 , VLOOKUP(G41, Variables!$A:$C, 3, FALSE),
1 , VLOOKUP(index(split(G41 ,"", "", FALSE),1,1), Variables!$A:$C , 3, FALSE) + VLOOKUP(index(split(G41 ,"", "", FALSE),1,2), Variabl"&amp;"es!$A:$C , 3, FALSE),
2 , VLOOKUP(index(split(G41 ,"", "", FALSE),1,1), Variables!$A:$C , 3, FALSE) + VLOOKUP(index(split(G41 ,"", "", FALSE),1,2), Variables!$A:$C , 3, FALSE) + VLOOKUP(index(split(G41 ,"", "", FALSE),1,3), Variables!$A:$C , 3, FALSE),
3 "&amp;", VLOOKUP(index(split(G41 ,"", "", FALSE),1,1), Variables!$A:$C , 3, FALSE) + VLOOKUP(index(split(G41 ,"", "", FALSE),1,2), Variables!$A:$C , 3, FALSE) + VLOOKUP(index(split(G41 ,"", "", FALSE),1,3), Variables!$A:$C , 3, FALSE) + VLOOKUP(index(split(G41 ,"&amp;""", "", FALSE),1,4), Variables!$A:$C , 3, FALSE),
)
)
)"),1.0)</f>
        <v>1</v>
      </c>
      <c r="V41" s="317">
        <f t="shared" si="3"/>
        <v>5.166666667</v>
      </c>
      <c r="W41" s="321">
        <f t="shared" si="4"/>
        <v>14</v>
      </c>
      <c r="X41" s="322"/>
      <c r="Y41" s="322"/>
      <c r="Z41" s="322"/>
      <c r="AA41" s="322"/>
      <c r="AB41" s="322"/>
      <c r="AC41" s="322"/>
      <c r="AD41" s="322"/>
      <c r="AE41" s="322"/>
    </row>
    <row r="42" hidden="1">
      <c r="A42" s="310" t="s">
        <v>1556</v>
      </c>
      <c r="B42" s="93" t="str">
        <f t="shared" si="1"/>
        <v/>
      </c>
      <c r="C42" s="310" t="s">
        <v>743</v>
      </c>
      <c r="D42" s="323">
        <v>0.0</v>
      </c>
      <c r="E42" s="310" t="s">
        <v>1520</v>
      </c>
      <c r="F42" s="310" t="s">
        <v>1521</v>
      </c>
      <c r="G42" s="313" t="s">
        <v>1525</v>
      </c>
      <c r="H42" s="312">
        <f>IFERROR(__xludf.DUMMYFUNCTION(" IF(ISBLANK(G42),,
SWITCH(
LEN(G42) - LEN(SUBSTITUTE(G42,"","","""")),
0 , VLOOKUP(G42, Variables!$A:$B, 2, FALSE),
1 , VLOOKUP(index(split(G42 ,"", "", FALSE),1,1), Variables!$A:$B , 2, FALSE) + VLOOKUP(index(split(G42 ,"", "", FALSE),1,2), Variables!$A:"&amp;"$B , 2, FALSE),
2 , VLOOKUP(index(split(G42 ,"", "", FALSE),1,1), Variables!$A:$B , 2, FALSE) + VLOOKUP(index(split(G42 ,"", "", FALSE),1,2), Variables!$A:$B , 2, FALSE) + VLOOKUP(index(split(G42 ,"", "", FALSE),1,3), Variables!$A:$B , 2, FALSE),
3 , VLOO"&amp;"KUP(index(split(G42 ,"", "", FALSE),1,1), Variables!$A:$B , 2, FALSE) + VLOOKUP(index(split(G42 ,"", "", FALSE),1,2), Variables!$A:$B , 2, FALSE) + VLOOKUP(index(split(G42 ,"", "", FALSE),1,3), Variables!$A:$B , 2, FALSE) + VLOOKUP(index(split(G42 ,"", """&amp;", FALSE),1,4), Variables!$A:$B , 2, FALSE),
)
)"),3.333333333333333)</f>
        <v>3.333333333</v>
      </c>
      <c r="I42" s="310" t="s">
        <v>1557</v>
      </c>
      <c r="J42" s="311" t="s">
        <v>744</v>
      </c>
      <c r="K42" s="314">
        <f>IFERROR(VLOOKUP(C42,vote4ITEMS!$A:$C, 3, FALSE),)</f>
        <v>5</v>
      </c>
      <c r="L42" s="324"/>
      <c r="M42" s="314">
        <f>SUM(
IF(IFERROR(SEARCH("Aura 1",L42),0) &gt; 0 , VLOOKUP("Aura 1", vote4TRAITS!A:C , 3, FALSE), ),
IF(IFERROR(SEARCH("Backswing",L42),0) &gt; 0 , VLOOKUP("Backswing", vote4TRAITS!A:C , 3, FALSE), ),
IF(IFERROR(SEARCH("Blast",L42),0) &gt; 0 , VLOOKUP("Blast", vote4TRAITS!A:C , 3, FALSE), ),
IF(IFERROR(SEARCH("Combustible",L42),0) &gt; 0 , VLOOKUP("Combustible", vote4TRAITS!A:C , 3, FALSE), ),
IF(IFERROR(SEARCH("Command",L42),0) &gt; 0 , VLOOKUP("Command", vote4TRAITS!A:C , 3, FALSE), ),
IF(IFERROR(SEARCH("Cowardly",L42),0) &gt; 0 , VLOOKUP("Cowardly", vote4TRAITS!A:C , 3, FALSE), ),
IF(IFERROR(SEARCH("Death Wish",L42),0) &gt; 0 , VLOOKUP("Death Wish", vote4TRAITS!A:C , 3, FALSE), ),
IF(IFERROR(SEARCH("Entomb",L42),0) &gt; 0 , VLOOKUP("Entomb", vote4TRAITS!A:C , 3, FALSE), ),
IF(IFERROR(SEARCH("Ethereal Hold",L42),0) &gt; 0 , VLOOKUP("Ethereal Hold", vote4TRAITS!A:C , 3, FALSE), ),
IF(IFERROR(SEARCH("Extend",L42),0) &gt; 0 , VLOOKUP("Extend", vote4TRAITS!A:C , 3, FALSE), ),
IF(IFERROR(SEARCH("Filthy Murk",L42),0) &gt; 0 , VLOOKUP("Filthy Murk", vote4TRAITS!A:C , 3, FALSE), ),
IF(IFERROR(SEARCH("Flame Fiend",L42),0) &gt; 0 , VLOOKUP("Flame Fiend", vote4TRAITS!A:C , 3, FALSE), ),
IF(IFERROR(SEARCH("Fleshmonger",L42),0) &gt; 0 , VLOOKUP("Fleshmonger", vote4TRAITS!A:C , 3, FALSE), ),
IF(IFERROR(SEARCH("Fly",L42),0) &gt; 0 , VLOOKUP("Fly", vote4TRAITS!A:C , 3, FALSE), ),
IF(IFERROR(SEARCH("Freezing",L42),0) &gt; 0 , VLOOKUP("Freezing", vote4TRAITS!A:C , 3, FALSE), ),
IF(IFERROR(SEARCH("Lithesome",L42),0) &gt; 0 , VLOOKUP("Lithesome", vote4TRAITS!A:C , 3, FALSE), ),
IF(IFERROR(SEARCH("Harrowing",L42),0) &gt; 0 , VLOOKUP("Harrowing", vote4TRAITS!A:C , 3, FALSE), ),
IF(IFERROR(SEARCH("Hideous Laughter",L42),0) &gt; 0 , VLOOKUP("Hideous Laughter", vote4TRAITS!A:C , 3, FALSE), ),
IF(IFERROR(SEARCH("Hive Defense",L42),0) &gt; 0 , VLOOKUP("Hive Defense", vote4TRAITS!A:C , 3, FALSE), ),
IF(IFERROR(SEARCH("Horrifying",L42),0) &gt; 0 , VLOOKUP("Horrifying", vote4TRAITS!A:C , 3, FALSE), ),
IF(IFERROR(SEARCH("Ironskin",L42),0) &gt; 0 , VLOOKUP("Ironskin", vote4TRAITS!A:C , 3, FALSE), ),
IF(IFERROR(SEARCH("Unmovable",L42),0) &gt; 0 , VLOOKUP("Unmovable", vote4TRAITS!A:C , 3, FALSE), ),
IF(IFERROR(SEARCH("Lifethirst 1",L42),0) &gt; 0 , VLOOKUP("Lifethirst 1", vote4TRAITS!A:C , 3, FALSE), ),
IF(IFERROR(SEARCH("Lifethirst 2",L42),0) &gt; 0 , VLOOKUP("Lifethirst 2", vote4TRAITS!A:C , 3, FALSE), ),
IF(IFERROR(SEARCH("Morph",L42),0) &gt; 0 , VLOOKUP("Morph", vote4TRAITS!A:C , 3, FALSE), ),
IF(IFERROR(SEARCH("Night Stalker",L42),0) &gt; 0 , VLOOKUP("Night Stalker", vote4TRAITS!A:C , 3, FALSE), ),
IF(IFERROR(SEARCH("Overflowing",L42),0) &gt; 0 , VLOOKUP("Overflowing", vote4TRAITS!A:C , 3, FALSE), ),
IF(IFERROR(SEARCH("Pestilence",L42),0) &gt; 0 , VLOOKUP("Pestilence", vote4TRAITS!A:C , 3, FALSE), ),
IF(IFERROR(SEARCH("Phalanx",L42),0) &gt; 0 , VLOOKUP("Phalanx", vote4TRAITS!A:C , 3, FALSE), ),
IF(IFERROR(SEARCH("Plagued",L42),0) &gt; 0 , VLOOKUP("Plagued", vote4TRAITS!A:C , 3, FALSE), ),
IF(IFERROR(SEARCH("Prey on the Weak",L42),0) &gt; 0 , VLOOKUP("Prey on the Weak", vote4TRAITS!A:C , 3, FALSE), ),
IF(IFERROR(SEARCH("Protect",L42),0) &gt; 0 , VLOOKUP("Protect", vote4TRAITS!A:C , 3, FALSE), ),
IF(IFERROR(SEARCH("Puncture",L42),0) &gt; 0 , VLOOKUP("Puncture", vote4TRAITS!A:C , 3, FALSE), ),
IF(IFERROR(SEARCH("Putrid Boils",L42),0) &gt; 0 , VLOOKUP("Putrid Boils", vote4TRAITS!A:C , 3, FALSE), ),
IF(IFERROR(SEARCH("Ravage",L42),0) &gt; 0 , VLOOKUP("Ravage", vote4TRAITS!A:C , 3, FALSE), ),
IF(IFERROR(SEARCH("Ravenous",L42),0) &gt; 0 , VLOOKUP("Ravenous", vote4TRAITS!A:C , 3, FALSE), ),
IF(IFERROR(SEARCH("Reach",L42),0) &gt; 0 , VLOOKUP("Reach", vote4TRAITS!A:C , 3, FALSE), ),
IF(IFERROR(SEARCH("Reanimation",L42),0) &gt; 0 , VLOOKUP("Reanimation", vote4TRAITS!A:C , 3, FALSE), ),
IF(IFERROR(SEARCH("Reaper",L42),0) &gt; 0 , VLOOKUP("Reaper", vote4TRAITS!A:C , 3, FALSE), ),
IF(IFERROR(SEARCH("Riposte",L42),0) &gt; 0 , VLOOKUP("Riposte", vote4TRAITS!A:C , 3, FALSE)),
IF(IFERROR(SEARCH("Scamper",L42),0) &gt; 0 , VLOOKUP("Scamper", vote4TRAITS!A:C , 3, FALSE), ),
IF(IFERROR(SEARCH("Small Beginnings",L42),0) &gt; 0 , VLOOKUP("Small Beginnings", vote4TRAITS!A:C , 3, FALSE), ),
IF(IFERROR(SEARCH("Spawner",L42),0) &gt; 0 , VLOOKUP("Spawner", vote4TRAITS!A:C , 3,FALSE), ),
IF(IFERROR(SEARCH("Shadowr",L42),0) &gt; 0 , VLOOKUP("Shadow", vote4TRAITS!A:C , 3,FALSE), ),
IF(IFERROR(SEARCH("Shadow Step",L42),0) &gt; 0 , VLOOKUP("Shadow Step", vote4TRAITS!A:C , 3,FALSE), ),
IF(IFERROR(SEARCH("Shambling",L42),0) &gt; 0 , VLOOKUP("Shambling", vote4TRAITS!A:C , 3,FALSE), ),
IF(IFERROR(SEARCH("Stealthy",L42),0) &gt; 0 , VLOOKUP("Stealthy", vote4TRAITS!A:C , 3, FALSE), ),
IF(IFERROR(SEARCH("Web",L42),0) &gt; 0 , VLOOKUP("Web", vote4TRAITS!A:C , 3, FALSE), ),
IF(IFERROR(SEARCH("+1 Willpower",L42),0) &gt; 0 , VLOOKUP("+1 Willpower", vote4TRAITS!A:C , 3, FALSE), ),
IF(IFERROR(SEARCH("+1 Might",L42),0) &gt; 0 , VLOOKUP("+1 Might", vote4TRAITS!A:C , 3, FALSE), ),
IF(IFERROR(SEARCH("+1 Knowledge",L42),0) &gt; 0 , VLOOKUP("+1 Knowledge", vote4TRAITS!A:C , 3, FALSE), ),
IF(IFERROR(SEARCH("+1 Awareness",L42),0) &gt; 0 , VLOOKUP("+1 Awareness", vote4TRAITS!A:C , 3, FALSE), ),
IF(IFERROR(SEARCH("-1 Willpower",L42),0) &gt; 0 , VLOOKUP("-1 Willpower", vote4TRAITS!A:C , 3, FALSE), ),
IF(IFERROR(SEARCH("+1 Health",L42),0) &gt; 0 , VLOOKUP("+1 Health", vote4TRAITS!A:C , 3, FALSE), ),
IF(IFERROR(SEARCH("+2 Health",L42),0) &gt; 0 , VLOOKUP("+2 Health", vote4TRAITS!A:C , 3, FALSE), ),
IF(IFERROR(SEARCH("+1 Stamina",L42),0) &gt; 0 , VLOOKUP("+1 Stamina", vote4TRAITS!A:C , 3, FALSE), ),
IF(IFERROR(SEARCH("+2 Stamina",L42),0) &gt; 0 , VLOOKUP("+2 Stamina", vote4TRAITS!A:C , 3, FALSE), ),
IFS(
IFERROR(SEARCH("+1 Range", L42),) &gt; 0 ,VLOOKUP("+1 Range", vote4TRAITS!A:C , 3, FALSE),
IFERROR(SEARCH("+2 Range", L42),) &gt; 0 ,VLOOKUP("+2 Range", vote4TRAITS!A:C , 3, FALSE),
IFERROR(SEARCH("+3 Range", L42),) &gt; 0,VLOOKUP("+3 Range", vote4TRAITS!A:C , 3, FALSE),
0=0,0)
,
IFS(
IFERROR(SEARCH("Sorcery 1", L42),) &gt; 0 ,VLOOKUP("Sorcery 1", vote4TRAITS!A:C , 3, FALSE),
IFERROR(SEARCH("Sorcery 2", L42),) &gt; 0 ,VLOOKUP("Sorcery 2", vote4TRAITS!A:C , 3, FALSE),
IFERROR(SEARCH("Sorcery 3", L42),) &gt; 0,VLOOKUP("Sorcery 3", vote4TRAITS!A:C , 3, FALSE),
0=0,0)
,
IFS(
IFERROR(SEARCH("Pierce 1", L42),) &gt; 0 ,VLOOKUP("Pierce 1", vote4TRAITS!A:C , 3, FALSE),
IFERROR(SEARCH("Pierce 2", L42),) &gt; 0 ,VLOOKUP("Pierce 2", vote4TRAITS!A:C , 3, FALSE),
IFERROR(SEARCH("Pierce 3", L42),) &gt; 0,VLOOKUP("Pierce 3", vote4TRAITS!A:C , 3, FALSE),
IFERROR(SEARCH("Pierce 4", L42),) &gt; 0 ,VLOOKUP("Pierce 4", vote4TRAITS!A:C , 3, FALSE),
0=0,0)
,
IFS(
IFERROR(SEARCH("+1 Health", L42),) &gt; 0 ,VLOOKUP("+1 Health", vote4TRAITS!A:C , 3, FALSE),
IFERROR(SEARCH("+2 Health", L42),) &gt; 0 ,VLOOKUP("+2 Health", vote4TRAITS!A:C , 3, FALSE),
IFERROR(SEARCH("+3 Health", L42),) &gt; 0 ,VLOOKUP("+3 Health", vote4TRAITS!A:C , 3, FALSE),
IFERROR(SEARCH("+4 Health", L42),) &gt; 0 ,VLOOKUP("+4 Health", vote4TRAITS!A:C , 3, FALSE),
0=0,0)
,
IFS(
IFERROR(SEARCH("Soul Shackle 1", L42),) &gt; 0 ,VLOOKUP("Soul Shackle 1", vote4TRAITS!A:C , 3, FALSE),
IFERROR(SEARCH("Soul Shackle 2", L42),) &gt; 0 ,VLOOKUP("Soul Shackle 2", vote4TRAITS!A:C , 3, FALSE),
IFERROR(SEARCH("Soul Shackle 3", L42),) &gt; 0,VLOOKUP("Soul Shackle 3", vote4TRAITS!A:C , 3, FALSE),
0=0,0)
)</f>
        <v>0</v>
      </c>
      <c r="N42" s="324" t="s">
        <v>1600</v>
      </c>
      <c r="O42" s="317">
        <f>IF(ISBLANK(N42),,IFERROR(
IF(IFERROR(SEARCH("SS:",N42),0) &gt; 0, 
VLOOKUP(SUBSTITUTE(N42,"SS: ",""),vote4SURGE!$A:$C , 3, FALSE) - 2,
VLOOKUP(SUBSTITUTE(N42,"S: ",""),vote4SURGE!$A:$C , 3, FALSE)
)
,
IF(IFERROR(SEARCH("SS:",N42),0) &gt; 0, 
VLOOKUP(C42,vote4SURGE!$A:$C , 3, FALSE) - 2,
VLOOKUP(C42,vote4SURGE!$A:$C , 3, FALSE)
)
))</f>
        <v>4</v>
      </c>
      <c r="P42" s="318"/>
      <c r="Q42" s="317" t="str">
        <f>IF(ISBLANK(P42),,IFERROR(
IF(IFERROR(SEARCH("SS:",P42),0) &gt; 0, 
VLOOKUP(SUBSTITUTE(P42,"SS: ",""),vote4SURGE!$A:$C , 3, FALSE) - 2,
VLOOKUP(SUBSTITUTE(P42,"S: ",""),vote4SURGE!$A:$C , 3, FALSE)
)
,
IF(IFERROR(SEARCH("SS:",P42),0) &gt; 0, 
VLOOKUP(C42,vote4SURGE!$A:$C , 3, FALSE) - 2,
VLOOKUP(C42,vote4SURGE!$A:$C , 3, FALSE)
)
))</f>
        <v/>
      </c>
      <c r="R42" s="318"/>
      <c r="S42" s="319" t="str">
        <f>IF(ISBLANK(R42),,IFERROR(
IF(IFERROR(SEARCH("SS:",R42),0) &gt; 0, 
VLOOKUP(SUBSTITUTE(R42,"SS: ",""),vote4SURGE!$A:$C , 3, FALSE) - 2,
VLOOKUP(SUBSTITUTE(R42,"S: ",""),vote4SURGE!$A:$C , 3, FALSE)
)
,
IF(IFERROR(SEARCH("SS:",R42),0) &gt; 0, 
VLOOKUP(C42,vote4SURGE!$A:$C , 3, FALSE) - 2,
VLOOKUP(C42,vote4SURGE!$A:$C , 3, FALSE)
)
))</f>
        <v/>
      </c>
      <c r="T42" s="320">
        <f t="shared" si="2"/>
        <v>1</v>
      </c>
      <c r="U42" s="320">
        <f>IFERROR(__xludf.DUMMYFUNCTION("ROUND(
IF(ISBLANK(G42),,
SWITCH(
LEN(G42) - LEN(SUBSTITUTE(G42,"","","""")),
0 , VLOOKUP(G42, Variables!$A:$C, 3, FALSE),
1 , VLOOKUP(index(split(G42 ,"", "", FALSE),1,1), Variables!$A:$C , 3, FALSE) + VLOOKUP(index(split(G42 ,"", "", FALSE),1,2), Variabl"&amp;"es!$A:$C , 3, FALSE),
2 , VLOOKUP(index(split(G42 ,"", "", FALSE),1,1), Variables!$A:$C , 3, FALSE) + VLOOKUP(index(split(G42 ,"", "", FALSE),1,2), Variables!$A:$C , 3, FALSE) + VLOOKUP(index(split(G42 ,"", "", FALSE),1,3), Variables!$A:$C , 3, FALSE),
3 "&amp;", VLOOKUP(index(split(G42 ,"", "", FALSE),1,1), Variables!$A:$C , 3, FALSE) + VLOOKUP(index(split(G42 ,"", "", FALSE),1,2), Variables!$A:$C , 3, FALSE) + VLOOKUP(index(split(G42 ,"", "", FALSE),1,3), Variables!$A:$C , 3, FALSE) + VLOOKUP(index(split(G42 ,"&amp;""", "", FALSE),1,4), Variables!$A:$C , 3, FALSE),
)
)
)"),1.0)</f>
        <v>1</v>
      </c>
      <c r="V42" s="317">
        <f t="shared" si="3"/>
        <v>4</v>
      </c>
      <c r="W42" s="321">
        <f t="shared" si="4"/>
        <v>12.33333333</v>
      </c>
      <c r="X42" s="322"/>
      <c r="Y42" s="322"/>
      <c r="Z42" s="322"/>
      <c r="AA42" s="322"/>
      <c r="AB42" s="322"/>
      <c r="AC42" s="322"/>
      <c r="AD42" s="322"/>
      <c r="AE42" s="322"/>
    </row>
    <row r="43" hidden="1">
      <c r="A43" s="310">
        <v>2.0</v>
      </c>
      <c r="B43" s="93">
        <f t="shared" si="1"/>
        <v>7</v>
      </c>
      <c r="C43" s="310" t="s">
        <v>1601</v>
      </c>
      <c r="D43" s="310">
        <v>200.0</v>
      </c>
      <c r="E43" s="310" t="s">
        <v>1520</v>
      </c>
      <c r="F43" s="310" t="s">
        <v>1531</v>
      </c>
      <c r="G43" s="313" t="s">
        <v>1546</v>
      </c>
      <c r="H43" s="312">
        <f>IFERROR(__xludf.DUMMYFUNCTION(" IF(ISBLANK(G43),,
SWITCH(
LEN(G43) - LEN(SUBSTITUTE(G43,"","","""")),
0 , VLOOKUP(G43, Variables!$A:$B, 2, FALSE),
1 , VLOOKUP(index(split(G43 ,"", "", FALSE),1,1), Variables!$A:$B , 2, FALSE) + VLOOKUP(index(split(G43 ,"", "", FALSE),1,2), Variables!$A:"&amp;"$B , 2, FALSE),
2 , VLOOKUP(index(split(G43 ,"", "", FALSE),1,1), Variables!$A:$B , 2, FALSE) + VLOOKUP(index(split(G43 ,"", "", FALSE),1,2), Variables!$A:$B , 2, FALSE) + VLOOKUP(index(split(G43 ,"", "", FALSE),1,3), Variables!$A:$B , 2, FALSE),
3 , VLOO"&amp;"KUP(index(split(G43 ,"", "", FALSE),1,1), Variables!$A:$B , 2, FALSE) + VLOOKUP(index(split(G43 ,"", "", FALSE),1,2), Variables!$A:$B , 2, FALSE) + VLOOKUP(index(split(G43 ,"", "", FALSE),1,3), Variables!$A:$B , 2, FALSE) + VLOOKUP(index(split(G43 ,"", """&amp;", FALSE),1,4), Variables!$A:$B , 2, FALSE),
)
)"),3.5)</f>
        <v>3.5</v>
      </c>
      <c r="I43" s="310" t="s">
        <v>1533</v>
      </c>
      <c r="J43" s="313"/>
      <c r="K43" s="314" t="str">
        <f>IFERROR(VLOOKUP(C43,vote4ITEMS!$A:$C, 3, FALSE),)</f>
        <v/>
      </c>
      <c r="L43" s="313"/>
      <c r="M43" s="314">
        <f>SUM(
IF(IFERROR(SEARCH("Aura 1",L43),0) &gt; 0 , VLOOKUP("Aura 1", vote4TRAITS!A:C , 3, FALSE), ),
IF(IFERROR(SEARCH("Backswing",L43),0) &gt; 0 , VLOOKUP("Backswing", vote4TRAITS!A:C , 3, FALSE), ),
IF(IFERROR(SEARCH("Blast",L43),0) &gt; 0 , VLOOKUP("Blast", vote4TRAITS!A:C , 3, FALSE), ),
IF(IFERROR(SEARCH("Combustible",L43),0) &gt; 0 , VLOOKUP("Combustible", vote4TRAITS!A:C , 3, FALSE), ),
IF(IFERROR(SEARCH("Command",L43),0) &gt; 0 , VLOOKUP("Command", vote4TRAITS!A:C , 3, FALSE), ),
IF(IFERROR(SEARCH("Cowardly",L43),0) &gt; 0 , VLOOKUP("Cowardly", vote4TRAITS!A:C , 3, FALSE), ),
IF(IFERROR(SEARCH("Death Wish",L43),0) &gt; 0 , VLOOKUP("Death Wish", vote4TRAITS!A:C , 3, FALSE), ),
IF(IFERROR(SEARCH("Entomb",L43),0) &gt; 0 , VLOOKUP("Entomb", vote4TRAITS!A:C , 3, FALSE), ),
IF(IFERROR(SEARCH("Ethereal Hold",L43),0) &gt; 0 , VLOOKUP("Ethereal Hold", vote4TRAITS!A:C , 3, FALSE), ),
IF(IFERROR(SEARCH("Extend",L43),0) &gt; 0 , VLOOKUP("Extend", vote4TRAITS!A:C , 3, FALSE), ),
IF(IFERROR(SEARCH("Filthy Murk",L43),0) &gt; 0 , VLOOKUP("Filthy Murk", vote4TRAITS!A:C , 3, FALSE), ),
IF(IFERROR(SEARCH("Flame Fiend",L43),0) &gt; 0 , VLOOKUP("Flame Fiend", vote4TRAITS!A:C , 3, FALSE), ),
IF(IFERROR(SEARCH("Fleshmonger",L43),0) &gt; 0 , VLOOKUP("Fleshmonger", vote4TRAITS!A:C , 3, FALSE), ),
IF(IFERROR(SEARCH("Fly",L43),0) &gt; 0 , VLOOKUP("Fly", vote4TRAITS!A:C , 3, FALSE), ),
IF(IFERROR(SEARCH("Freezing",L43),0) &gt; 0 , VLOOKUP("Freezing", vote4TRAITS!A:C , 3, FALSE), ),
IF(IFERROR(SEARCH("Lithesome",L43),0) &gt; 0 , VLOOKUP("Lithesome", vote4TRAITS!A:C , 3, FALSE), ),
IF(IFERROR(SEARCH("Harrowing",L43),0) &gt; 0 , VLOOKUP("Harrowing", vote4TRAITS!A:C , 3, FALSE), ),
IF(IFERROR(SEARCH("Hideous Laughter",L43),0) &gt; 0 , VLOOKUP("Hideous Laughter", vote4TRAITS!A:C , 3, FALSE), ),
IF(IFERROR(SEARCH("Hive Defense",L43),0) &gt; 0 , VLOOKUP("Hive Defense", vote4TRAITS!A:C , 3, FALSE), ),
IF(IFERROR(SEARCH("Horrifying",L43),0) &gt; 0 , VLOOKUP("Horrifying", vote4TRAITS!A:C , 3, FALSE), ),
IF(IFERROR(SEARCH("Ironskin",L43),0) &gt; 0 , VLOOKUP("Ironskin", vote4TRAITS!A:C , 3, FALSE), ),
IF(IFERROR(SEARCH("Unmovable",L43),0) &gt; 0 , VLOOKUP("Unmovable", vote4TRAITS!A:C , 3, FALSE), ),
IF(IFERROR(SEARCH("Lifethirst 1",L43),0) &gt; 0 , VLOOKUP("Lifethirst 1", vote4TRAITS!A:C , 3, FALSE), ),
IF(IFERROR(SEARCH("Lifethirst 2",L43),0) &gt; 0 , VLOOKUP("Lifethirst 2", vote4TRAITS!A:C , 3, FALSE), ),
IF(IFERROR(SEARCH("Morph",L43),0) &gt; 0 , VLOOKUP("Morph", vote4TRAITS!A:C , 3, FALSE), ),
IF(IFERROR(SEARCH("Night Stalker",L43),0) &gt; 0 , VLOOKUP("Night Stalker", vote4TRAITS!A:C , 3, FALSE), ),
IF(IFERROR(SEARCH("Overflowing",L43),0) &gt; 0 , VLOOKUP("Overflowing", vote4TRAITS!A:C , 3, FALSE), ),
IF(IFERROR(SEARCH("Pestilence",L43),0) &gt; 0 , VLOOKUP("Pestilence", vote4TRAITS!A:C , 3, FALSE), ),
IF(IFERROR(SEARCH("Phalanx",L43),0) &gt; 0 , VLOOKUP("Phalanx", vote4TRAITS!A:C , 3, FALSE), ),
IF(IFERROR(SEARCH("Plagued",L43),0) &gt; 0 , VLOOKUP("Plagued", vote4TRAITS!A:C , 3, FALSE), ),
IF(IFERROR(SEARCH("Prey on the Weak",L43),0) &gt; 0 , VLOOKUP("Prey on the Weak", vote4TRAITS!A:C , 3, FALSE), ),
IF(IFERROR(SEARCH("Protect",L43),0) &gt; 0 , VLOOKUP("Protect", vote4TRAITS!A:C , 3, FALSE), ),
IF(IFERROR(SEARCH("Puncture",L43),0) &gt; 0 , VLOOKUP("Puncture", vote4TRAITS!A:C , 3, FALSE), ),
IF(IFERROR(SEARCH("Putrid Boils",L43),0) &gt; 0 , VLOOKUP("Putrid Boils", vote4TRAITS!A:C , 3, FALSE), ),
IF(IFERROR(SEARCH("Ravage",L43),0) &gt; 0 , VLOOKUP("Ravage", vote4TRAITS!A:C , 3, FALSE), ),
IF(IFERROR(SEARCH("Ravenous",L43),0) &gt; 0 , VLOOKUP("Ravenous", vote4TRAITS!A:C , 3, FALSE), ),
IF(IFERROR(SEARCH("Reach",L43),0) &gt; 0 , VLOOKUP("Reach", vote4TRAITS!A:C , 3, FALSE), ),
IF(IFERROR(SEARCH("Reanimation",L43),0) &gt; 0 , VLOOKUP("Reanimation", vote4TRAITS!A:C , 3, FALSE), ),
IF(IFERROR(SEARCH("Reaper",L43),0) &gt; 0 , VLOOKUP("Reaper", vote4TRAITS!A:C , 3, FALSE), ),
IF(IFERROR(SEARCH("Riposte",L43),0) &gt; 0 , VLOOKUP("Riposte", vote4TRAITS!A:C , 3, FALSE)),
IF(IFERROR(SEARCH("Scamper",L43),0) &gt; 0 , VLOOKUP("Scamper", vote4TRAITS!A:C , 3, FALSE), ),
IF(IFERROR(SEARCH("Small Beginnings",L43),0) &gt; 0 , VLOOKUP("Small Beginnings", vote4TRAITS!A:C , 3, FALSE), ),
IF(IFERROR(SEARCH("Spawner",L43),0) &gt; 0 , VLOOKUP("Spawner", vote4TRAITS!A:C , 3,FALSE), ),
IF(IFERROR(SEARCH("Shadowr",L43),0) &gt; 0 , VLOOKUP("Shadow", vote4TRAITS!A:C , 3,FALSE), ),
IF(IFERROR(SEARCH("Shadow Step",L43),0) &gt; 0 , VLOOKUP("Shadow Step", vote4TRAITS!A:C , 3,FALSE), ),
IF(IFERROR(SEARCH("Shambling",L43),0) &gt; 0 , VLOOKUP("Shambling", vote4TRAITS!A:C , 3,FALSE), ),
IF(IFERROR(SEARCH("Stealthy",L43),0) &gt; 0 , VLOOKUP("Stealthy", vote4TRAITS!A:C , 3, FALSE), ),
IF(IFERROR(SEARCH("Web",L43),0) &gt; 0 , VLOOKUP("Web", vote4TRAITS!A:C , 3, FALSE), ),
IF(IFERROR(SEARCH("+1 Willpower",L43),0) &gt; 0 , VLOOKUP("+1 Willpower", vote4TRAITS!A:C , 3, FALSE), ),
IF(IFERROR(SEARCH("+1 Might",L43),0) &gt; 0 , VLOOKUP("+1 Might", vote4TRAITS!A:C , 3, FALSE), ),
IF(IFERROR(SEARCH("+1 Knowledge",L43),0) &gt; 0 , VLOOKUP("+1 Knowledge", vote4TRAITS!A:C , 3, FALSE), ),
IF(IFERROR(SEARCH("+1 Awareness",L43),0) &gt; 0 , VLOOKUP("+1 Awareness", vote4TRAITS!A:C , 3, FALSE), ),
IF(IFERROR(SEARCH("-1 Willpower",L43),0) &gt; 0 , VLOOKUP("-1 Willpower", vote4TRAITS!A:C , 3, FALSE), ),
IF(IFERROR(SEARCH("+1 Health",L43),0) &gt; 0 , VLOOKUP("+1 Health", vote4TRAITS!A:C , 3, FALSE), ),
IF(IFERROR(SEARCH("+2 Health",L43),0) &gt; 0 , VLOOKUP("+2 Health", vote4TRAITS!A:C , 3, FALSE), ),
IF(IFERROR(SEARCH("+1 Stamina",L43),0) &gt; 0 , VLOOKUP("+1 Stamina", vote4TRAITS!A:C , 3, FALSE), ),
IF(IFERROR(SEARCH("+2 Stamina",L43),0) &gt; 0 , VLOOKUP("+2 Stamina", vote4TRAITS!A:C , 3, FALSE), ),
IFS(
IFERROR(SEARCH("+1 Range", L43),) &gt; 0 ,VLOOKUP("+1 Range", vote4TRAITS!A:C , 3, FALSE),
IFERROR(SEARCH("+2 Range", L43),) &gt; 0 ,VLOOKUP("+2 Range", vote4TRAITS!A:C , 3, FALSE),
IFERROR(SEARCH("+3 Range", L43),) &gt; 0,VLOOKUP("+3 Range", vote4TRAITS!A:C , 3, FALSE),
0=0,0)
,
IFS(
IFERROR(SEARCH("Sorcery 1", L43),) &gt; 0 ,VLOOKUP("Sorcery 1", vote4TRAITS!A:C , 3, FALSE),
IFERROR(SEARCH("Sorcery 2", L43),) &gt; 0 ,VLOOKUP("Sorcery 2", vote4TRAITS!A:C , 3, FALSE),
IFERROR(SEARCH("Sorcery 3", L43),) &gt; 0,VLOOKUP("Sorcery 3", vote4TRAITS!A:C , 3, FALSE),
0=0,0)
,
IFS(
IFERROR(SEARCH("Pierce 1", L43),) &gt; 0 ,VLOOKUP("Pierce 1", vote4TRAITS!A:C , 3, FALSE),
IFERROR(SEARCH("Pierce 2", L43),) &gt; 0 ,VLOOKUP("Pierce 2", vote4TRAITS!A:C , 3, FALSE),
IFERROR(SEARCH("Pierce 3", L43),) &gt; 0,VLOOKUP("Pierce 3", vote4TRAITS!A:C , 3, FALSE),
IFERROR(SEARCH("Pierce 4", L43),) &gt; 0 ,VLOOKUP("Pierce 4", vote4TRAITS!A:C , 3, FALSE),
0=0,0)
,
IFS(
IFERROR(SEARCH("+1 Health", L43),) &gt; 0 ,VLOOKUP("+1 Health", vote4TRAITS!A:C , 3, FALSE),
IFERROR(SEARCH("+2 Health", L43),) &gt; 0 ,VLOOKUP("+2 Health", vote4TRAITS!A:C , 3, FALSE),
IFERROR(SEARCH("+3 Health", L43),) &gt; 0 ,VLOOKUP("+3 Health", vote4TRAITS!A:C , 3, FALSE),
IFERROR(SEARCH("+4 Health", L43),) &gt; 0 ,VLOOKUP("+4 Health", vote4TRAITS!A:C , 3, FALSE),
0=0,0)
,
IFS(
IFERROR(SEARCH("Soul Shackle 1", L43),) &gt; 0 ,VLOOKUP("Soul Shackle 1", vote4TRAITS!A:C , 3, FALSE),
IFERROR(SEARCH("Soul Shackle 2", L43),) &gt; 0 ,VLOOKUP("Soul Shackle 2", vote4TRAITS!A:C , 3, FALSE),
IFERROR(SEARCH("Soul Shackle 3", L43),) &gt; 0,VLOOKUP("Soul Shackle 3", vote4TRAITS!A:C , 3, FALSE),
0=0,0)
)</f>
        <v>0</v>
      </c>
      <c r="N43" s="311" t="s">
        <v>1595</v>
      </c>
      <c r="O43" s="317">
        <f>IF(ISBLANK(N43),,IFERROR(
IF(IFERROR(SEARCH("SS:",N43),0) &gt; 0, 
VLOOKUP(SUBSTITUTE(N43,"SS: ",""),vote4SURGE!$A:$C , 3, FALSE) - 2,
VLOOKUP(SUBSTITUTE(N43,"S: ",""),vote4SURGE!$A:$C , 3, FALSE)
)
,
IF(IFERROR(SEARCH("SS:",N43),0) &gt; 0, 
VLOOKUP(C43,vote4SURGE!$A:$C , 3, FALSE) - 2,
VLOOKUP(C43,vote4SURGE!$A:$C , 3, FALSE)
)
))</f>
        <v>6.5</v>
      </c>
      <c r="P43" s="315" t="s">
        <v>1534</v>
      </c>
      <c r="Q43" s="317">
        <f>IF(ISBLANK(P43),,IFERROR(
IF(IFERROR(SEARCH("SS:",P43),0) &gt; 0, 
VLOOKUP(SUBSTITUTE(P43,"SS: ",""),vote4SURGE!$A:$C , 3, FALSE) - 2,
VLOOKUP(SUBSTITUTE(P43,"S: ",""),vote4SURGE!$A:$C , 3, FALSE)
)
,
IF(IFERROR(SEARCH("SS:",P43),0) &gt; 0, 
VLOOKUP(C43,vote4SURGE!$A:$C , 3, FALSE) - 2,
VLOOKUP(C43,vote4SURGE!$A:$C , 3, FALSE)
)
))</f>
        <v>4.25</v>
      </c>
      <c r="R43" s="315" t="s">
        <v>1534</v>
      </c>
      <c r="S43" s="319">
        <f>IF(ISBLANK(R43),,IFERROR(
IF(IFERROR(SEARCH("SS:",R43),0) &gt; 0, 
VLOOKUP(SUBSTITUTE(R43,"SS: ",""),vote4SURGE!$A:$C , 3, FALSE) - 2,
VLOOKUP(SUBSTITUTE(R43,"S: ",""),vote4SURGE!$A:$C , 3, FALSE)
)
,
IF(IFERROR(SEARCH("SS:",R43),0) &gt; 0, 
VLOOKUP(C43,vote4SURGE!$A:$C , 3, FALSE) - 2,
VLOOKUP(C43,vote4SURGE!$A:$C , 3, FALSE)
)
))</f>
        <v>4.25</v>
      </c>
      <c r="T43" s="320">
        <f t="shared" si="2"/>
        <v>3</v>
      </c>
      <c r="U43" s="320">
        <f>IFERROR(__xludf.DUMMYFUNCTION("ROUND(
IF(ISBLANK(G43),,
SWITCH(
LEN(G43) - LEN(SUBSTITUTE(G43,"","","""")),
0 , VLOOKUP(G43, Variables!$A:$C, 3, FALSE),
1 , VLOOKUP(index(split(G43 ,"", "", FALSE),1,1), Variables!$A:$C , 3, FALSE) + VLOOKUP(index(split(G43 ,"", "", FALSE),1,2), Variabl"&amp;"es!$A:$C , 3, FALSE),
2 , VLOOKUP(index(split(G43 ,"", "", FALSE),1,1), Variables!$A:$C , 3, FALSE) + VLOOKUP(index(split(G43 ,"", "", FALSE),1,2), Variables!$A:$C , 3, FALSE) + VLOOKUP(index(split(G43 ,"", "", FALSE),1,3), Variables!$A:$C , 3, FALSE),
3 "&amp;", VLOOKUP(index(split(G43 ,"", "", FALSE),1,1), Variables!$A:$C , 3, FALSE) + VLOOKUP(index(split(G43 ,"", "", FALSE),1,2), Variables!$A:$C , 3, FALSE) + VLOOKUP(index(split(G43 ,"", "", FALSE),1,3), Variables!$A:$C , 3, FALSE) + VLOOKUP(index(split(G43 ,"&amp;""", "", FALSE),1,4), Variables!$A:$C , 3, FALSE),
)
)
)"),1.0)</f>
        <v>1</v>
      </c>
      <c r="V43" s="317">
        <f t="shared" si="3"/>
        <v>9.333333333</v>
      </c>
      <c r="W43" s="321">
        <f t="shared" si="4"/>
        <v>12.83333333</v>
      </c>
      <c r="X43" s="322"/>
      <c r="Y43" s="322"/>
      <c r="Z43" s="322"/>
      <c r="AA43" s="322"/>
      <c r="AB43" s="322"/>
      <c r="AC43" s="322"/>
      <c r="AD43" s="322"/>
      <c r="AE43" s="322"/>
    </row>
    <row r="44" hidden="1">
      <c r="A44" s="310">
        <v>1.0</v>
      </c>
      <c r="B44" s="93">
        <f t="shared" si="1"/>
        <v>3</v>
      </c>
      <c r="C44" s="310" t="s">
        <v>731</v>
      </c>
      <c r="D44" s="310">
        <v>150.0</v>
      </c>
      <c r="E44" s="310" t="s">
        <v>1520</v>
      </c>
      <c r="F44" s="310" t="s">
        <v>1521</v>
      </c>
      <c r="G44" s="313" t="s">
        <v>1532</v>
      </c>
      <c r="H44" s="312">
        <f>IFERROR(__xludf.DUMMYFUNCTION(" IF(ISBLANK(G44),,
SWITCH(
LEN(G44) - LEN(SUBSTITUTE(G44,"","","""")),
0 , VLOOKUP(G44, Variables!$A:$B, 2, FALSE),
1 , VLOOKUP(index(split(G44 ,"", "", FALSE),1,1), Variables!$A:$B , 2, FALSE) + VLOOKUP(index(split(G44 ,"", "", FALSE),1,2), Variables!$A:"&amp;"$B , 2, FALSE),
2 , VLOOKUP(index(split(G44 ,"", "", FALSE),1,1), Variables!$A:$B , 2, FALSE) + VLOOKUP(index(split(G44 ,"", "", FALSE),1,2), Variables!$A:$B , 2, FALSE) + VLOOKUP(index(split(G44 ,"", "", FALSE),1,3), Variables!$A:$B , 2, FALSE),
3 , VLOO"&amp;"KUP(index(split(G44 ,"", "", FALSE),1,1), Variables!$A:$B , 2, FALSE) + VLOOKUP(index(split(G44 ,"", "", FALSE),1,2), Variables!$A:$B , 2, FALSE) + VLOOKUP(index(split(G44 ,"", "", FALSE),1,3), Variables!$A:$B , 2, FALSE) + VLOOKUP(index(split(G44 ,"", """&amp;", FALSE),1,4), Variables!$A:$B , 2, FALSE),
)
)"),3.0)</f>
        <v>3</v>
      </c>
      <c r="I44" s="310" t="s">
        <v>1549</v>
      </c>
      <c r="J44" s="313" t="s">
        <v>732</v>
      </c>
      <c r="K44" s="314">
        <f>IFERROR(VLOOKUP(C44,vote4ITEMS!$A:$C, 3, FALSE),)</f>
        <v>0</v>
      </c>
      <c r="L44" s="313" t="s">
        <v>1099</v>
      </c>
      <c r="M44" s="314">
        <f>SUM(
IF(IFERROR(SEARCH("Aura 1",L44),0) &gt; 0 , VLOOKUP("Aura 1", vote4TRAITS!A:C , 3, FALSE), ),
IF(IFERROR(SEARCH("Backswing",L44),0) &gt; 0 , VLOOKUP("Backswing", vote4TRAITS!A:C , 3, FALSE), ),
IF(IFERROR(SEARCH("Blast",L44),0) &gt; 0 , VLOOKUP("Blast", vote4TRAITS!A:C , 3, FALSE), ),
IF(IFERROR(SEARCH("Combustible",L44),0) &gt; 0 , VLOOKUP("Combustible", vote4TRAITS!A:C , 3, FALSE), ),
IF(IFERROR(SEARCH("Command",L44),0) &gt; 0 , VLOOKUP("Command", vote4TRAITS!A:C , 3, FALSE), ),
IF(IFERROR(SEARCH("Cowardly",L44),0) &gt; 0 , VLOOKUP("Cowardly", vote4TRAITS!A:C , 3, FALSE), ),
IF(IFERROR(SEARCH("Death Wish",L44),0) &gt; 0 , VLOOKUP("Death Wish", vote4TRAITS!A:C , 3, FALSE), ),
IF(IFERROR(SEARCH("Entomb",L44),0) &gt; 0 , VLOOKUP("Entomb", vote4TRAITS!A:C , 3, FALSE), ),
IF(IFERROR(SEARCH("Ethereal Hold",L44),0) &gt; 0 , VLOOKUP("Ethereal Hold", vote4TRAITS!A:C , 3, FALSE), ),
IF(IFERROR(SEARCH("Extend",L44),0) &gt; 0 , VLOOKUP("Extend", vote4TRAITS!A:C , 3, FALSE), ),
IF(IFERROR(SEARCH("Filthy Murk",L44),0) &gt; 0 , VLOOKUP("Filthy Murk", vote4TRAITS!A:C , 3, FALSE), ),
IF(IFERROR(SEARCH("Flame Fiend",L44),0) &gt; 0 , VLOOKUP("Flame Fiend", vote4TRAITS!A:C , 3, FALSE), ),
IF(IFERROR(SEARCH("Fleshmonger",L44),0) &gt; 0 , VLOOKUP("Fleshmonger", vote4TRAITS!A:C , 3, FALSE), ),
IF(IFERROR(SEARCH("Fly",L44),0) &gt; 0 , VLOOKUP("Fly", vote4TRAITS!A:C , 3, FALSE), ),
IF(IFERROR(SEARCH("Freezing",L44),0) &gt; 0 , VLOOKUP("Freezing", vote4TRAITS!A:C , 3, FALSE), ),
IF(IFERROR(SEARCH("Lithesome",L44),0) &gt; 0 , VLOOKUP("Lithesome", vote4TRAITS!A:C , 3, FALSE), ),
IF(IFERROR(SEARCH("Harrowing",L44),0) &gt; 0 , VLOOKUP("Harrowing", vote4TRAITS!A:C , 3, FALSE), ),
IF(IFERROR(SEARCH("Hideous Laughter",L44),0) &gt; 0 , VLOOKUP("Hideous Laughter", vote4TRAITS!A:C , 3, FALSE), ),
IF(IFERROR(SEARCH("Hive Defense",L44),0) &gt; 0 , VLOOKUP("Hive Defense", vote4TRAITS!A:C , 3, FALSE), ),
IF(IFERROR(SEARCH("Horrifying",L44),0) &gt; 0 , VLOOKUP("Horrifying", vote4TRAITS!A:C , 3, FALSE), ),
IF(IFERROR(SEARCH("Ironskin",L44),0) &gt; 0 , VLOOKUP("Ironskin", vote4TRAITS!A:C , 3, FALSE), ),
IF(IFERROR(SEARCH("Unmovable",L44),0) &gt; 0 , VLOOKUP("Unmovable", vote4TRAITS!A:C , 3, FALSE), ),
IF(IFERROR(SEARCH("Lifethirst 1",L44),0) &gt; 0 , VLOOKUP("Lifethirst 1", vote4TRAITS!A:C , 3, FALSE), ),
IF(IFERROR(SEARCH("Lifethirst 2",L44),0) &gt; 0 , VLOOKUP("Lifethirst 2", vote4TRAITS!A:C , 3, FALSE), ),
IF(IFERROR(SEARCH("Morph",L44),0) &gt; 0 , VLOOKUP("Morph", vote4TRAITS!A:C , 3, FALSE), ),
IF(IFERROR(SEARCH("Night Stalker",L44),0) &gt; 0 , VLOOKUP("Night Stalker", vote4TRAITS!A:C , 3, FALSE), ),
IF(IFERROR(SEARCH("Overflowing",L44),0) &gt; 0 , VLOOKUP("Overflowing", vote4TRAITS!A:C , 3, FALSE), ),
IF(IFERROR(SEARCH("Pestilence",L44),0) &gt; 0 , VLOOKUP("Pestilence", vote4TRAITS!A:C , 3, FALSE), ),
IF(IFERROR(SEARCH("Phalanx",L44),0) &gt; 0 , VLOOKUP("Phalanx", vote4TRAITS!A:C , 3, FALSE), ),
IF(IFERROR(SEARCH("Plagued",L44),0) &gt; 0 , VLOOKUP("Plagued", vote4TRAITS!A:C , 3, FALSE), ),
IF(IFERROR(SEARCH("Prey on the Weak",L44),0) &gt; 0 , VLOOKUP("Prey on the Weak", vote4TRAITS!A:C , 3, FALSE), ),
IF(IFERROR(SEARCH("Protect",L44),0) &gt; 0 , VLOOKUP("Protect", vote4TRAITS!A:C , 3, FALSE), ),
IF(IFERROR(SEARCH("Puncture",L44),0) &gt; 0 , VLOOKUP("Puncture", vote4TRAITS!A:C , 3, FALSE), ),
IF(IFERROR(SEARCH("Putrid Boils",L44),0) &gt; 0 , VLOOKUP("Putrid Boils", vote4TRAITS!A:C , 3, FALSE), ),
IF(IFERROR(SEARCH("Ravage",L44),0) &gt; 0 , VLOOKUP("Ravage", vote4TRAITS!A:C , 3, FALSE), ),
IF(IFERROR(SEARCH("Ravenous",L44),0) &gt; 0 , VLOOKUP("Ravenous", vote4TRAITS!A:C , 3, FALSE), ),
IF(IFERROR(SEARCH("Reach",L44),0) &gt; 0 , VLOOKUP("Reach", vote4TRAITS!A:C , 3, FALSE), ),
IF(IFERROR(SEARCH("Reanimation",L44),0) &gt; 0 , VLOOKUP("Reanimation", vote4TRAITS!A:C , 3, FALSE), ),
IF(IFERROR(SEARCH("Reaper",L44),0) &gt; 0 , VLOOKUP("Reaper", vote4TRAITS!A:C , 3, FALSE), ),
IF(IFERROR(SEARCH("Riposte",L44),0) &gt; 0 , VLOOKUP("Riposte", vote4TRAITS!A:C , 3, FALSE)),
IF(IFERROR(SEARCH("Scamper",L44),0) &gt; 0 , VLOOKUP("Scamper", vote4TRAITS!A:C , 3, FALSE), ),
IF(IFERROR(SEARCH("Small Beginnings",L44),0) &gt; 0 , VLOOKUP("Small Beginnings", vote4TRAITS!A:C , 3, FALSE), ),
IF(IFERROR(SEARCH("Spawner",L44),0) &gt; 0 , VLOOKUP("Spawner", vote4TRAITS!A:C , 3,FALSE), ),
IF(IFERROR(SEARCH("Shadowr",L44),0) &gt; 0 , VLOOKUP("Shadow", vote4TRAITS!A:C , 3,FALSE), ),
IF(IFERROR(SEARCH("Shadow Step",L44),0) &gt; 0 , VLOOKUP("Shadow Step", vote4TRAITS!A:C , 3,FALSE), ),
IF(IFERROR(SEARCH("Shambling",L44),0) &gt; 0 , VLOOKUP("Shambling", vote4TRAITS!A:C , 3,FALSE), ),
IF(IFERROR(SEARCH("Stealthy",L44),0) &gt; 0 , VLOOKUP("Stealthy", vote4TRAITS!A:C , 3, FALSE), ),
IF(IFERROR(SEARCH("Web",L44),0) &gt; 0 , VLOOKUP("Web", vote4TRAITS!A:C , 3, FALSE), ),
IF(IFERROR(SEARCH("+1 Willpower",L44),0) &gt; 0 , VLOOKUP("+1 Willpower", vote4TRAITS!A:C , 3, FALSE), ),
IF(IFERROR(SEARCH("+1 Might",L44),0) &gt; 0 , VLOOKUP("+1 Might", vote4TRAITS!A:C , 3, FALSE), ),
IF(IFERROR(SEARCH("+1 Knowledge",L44),0) &gt; 0 , VLOOKUP("+1 Knowledge", vote4TRAITS!A:C , 3, FALSE), ),
IF(IFERROR(SEARCH("+1 Awareness",L44),0) &gt; 0 , VLOOKUP("+1 Awareness", vote4TRAITS!A:C , 3, FALSE), ),
IF(IFERROR(SEARCH("-1 Willpower",L44),0) &gt; 0 , VLOOKUP("-1 Willpower", vote4TRAITS!A:C , 3, FALSE), ),
IF(IFERROR(SEARCH("+1 Health",L44),0) &gt; 0 , VLOOKUP("+1 Health", vote4TRAITS!A:C , 3, FALSE), ),
IF(IFERROR(SEARCH("+2 Health",L44),0) &gt; 0 , VLOOKUP("+2 Health", vote4TRAITS!A:C , 3, FALSE), ),
IF(IFERROR(SEARCH("+1 Stamina",L44),0) &gt; 0 , VLOOKUP("+1 Stamina", vote4TRAITS!A:C , 3, FALSE), ),
IF(IFERROR(SEARCH("+2 Stamina",L44),0) &gt; 0 , VLOOKUP("+2 Stamina", vote4TRAITS!A:C , 3, FALSE), ),
IFS(
IFERROR(SEARCH("+1 Range", L44),) &gt; 0 ,VLOOKUP("+1 Range", vote4TRAITS!A:C , 3, FALSE),
IFERROR(SEARCH("+2 Range", L44),) &gt; 0 ,VLOOKUP("+2 Range", vote4TRAITS!A:C , 3, FALSE),
IFERROR(SEARCH("+3 Range", L44),) &gt; 0,VLOOKUP("+3 Range", vote4TRAITS!A:C , 3, FALSE),
0=0,0)
,
IFS(
IFERROR(SEARCH("Sorcery 1", L44),) &gt; 0 ,VLOOKUP("Sorcery 1", vote4TRAITS!A:C , 3, FALSE),
IFERROR(SEARCH("Sorcery 2", L44),) &gt; 0 ,VLOOKUP("Sorcery 2", vote4TRAITS!A:C , 3, FALSE),
IFERROR(SEARCH("Sorcery 3", L44),) &gt; 0,VLOOKUP("Sorcery 3", vote4TRAITS!A:C , 3, FALSE),
0=0,0)
,
IFS(
IFERROR(SEARCH("Pierce 1", L44),) &gt; 0 ,VLOOKUP("Pierce 1", vote4TRAITS!A:C , 3, FALSE),
IFERROR(SEARCH("Pierce 2", L44),) &gt; 0 ,VLOOKUP("Pierce 2", vote4TRAITS!A:C , 3, FALSE),
IFERROR(SEARCH("Pierce 3", L44),) &gt; 0,VLOOKUP("Pierce 3", vote4TRAITS!A:C , 3, FALSE),
IFERROR(SEARCH("Pierce 4", L44),) &gt; 0 ,VLOOKUP("Pierce 4", vote4TRAITS!A:C , 3, FALSE),
0=0,0)
,
IFS(
IFERROR(SEARCH("+1 Health", L44),) &gt; 0 ,VLOOKUP("+1 Health", vote4TRAITS!A:C , 3, FALSE),
IFERROR(SEARCH("+2 Health", L44),) &gt; 0 ,VLOOKUP("+2 Health", vote4TRAITS!A:C , 3, FALSE),
IFERROR(SEARCH("+3 Health", L44),) &gt; 0 ,VLOOKUP("+3 Health", vote4TRAITS!A:C , 3, FALSE),
IFERROR(SEARCH("+4 Health", L44),) &gt; 0 ,VLOOKUP("+4 Health", vote4TRAITS!A:C , 3, FALSE),
0=0,0)
,
IFS(
IFERROR(SEARCH("Soul Shackle 1", L44),) &gt; 0 ,VLOOKUP("Soul Shackle 1", vote4TRAITS!A:C , 3, FALSE),
IFERROR(SEARCH("Soul Shackle 2", L44),) &gt; 0 ,VLOOKUP("Soul Shackle 2", vote4TRAITS!A:C , 3, FALSE),
IFERROR(SEARCH("Soul Shackle 3", L44),) &gt; 0,VLOOKUP("Soul Shackle 3", vote4TRAITS!A:C , 3, FALSE),
0=0,0)
)</f>
        <v>6.5</v>
      </c>
      <c r="N44" s="311" t="s">
        <v>1566</v>
      </c>
      <c r="O44" s="317">
        <f>IF(ISBLANK(N44),,IFERROR(
IF(IFERROR(SEARCH("SS:",N44),0) &gt; 0, 
VLOOKUP(SUBSTITUTE(N44,"SS: ",""),vote4SURGE!$A:$C , 3, FALSE) - 2,
VLOOKUP(SUBSTITUTE(N44,"S: ",""),vote4SURGE!$A:$C , 3, FALSE)
)
,
IF(IFERROR(SEARCH("SS:",N44),0) &gt; 0, 
VLOOKUP(C44,vote4SURGE!$A:$C , 3, FALSE) - 2,
VLOOKUP(C44,vote4SURGE!$A:$C , 3, FALSE)
)
))</f>
        <v>3</v>
      </c>
      <c r="P44" s="318"/>
      <c r="Q44" s="317" t="str">
        <f>IF(ISBLANK(P44),,IFERROR(
IF(IFERROR(SEARCH("SS:",P44),0) &gt; 0, 
VLOOKUP(SUBSTITUTE(P44,"SS: ",""),vote4SURGE!$A:$C , 3, FALSE) - 2,
VLOOKUP(SUBSTITUTE(P44,"S: ",""),vote4SURGE!$A:$C , 3, FALSE)
)
,
IF(IFERROR(SEARCH("SS:",P44),0) &gt; 0, 
VLOOKUP(C44,vote4SURGE!$A:$C , 3, FALSE) - 2,
VLOOKUP(C44,vote4SURGE!$A:$C , 3, FALSE)
)
))</f>
        <v/>
      </c>
      <c r="R44" s="318"/>
      <c r="S44" s="319" t="str">
        <f>IF(ISBLANK(R44),,IFERROR(
IF(IFERROR(SEARCH("SS:",R44),0) &gt; 0, 
VLOOKUP(SUBSTITUTE(R44,"SS: ",""),vote4SURGE!$A:$C , 3, FALSE) - 2,
VLOOKUP(SUBSTITUTE(R44,"S: ",""),vote4SURGE!$A:$C , 3, FALSE)
)
,
IF(IFERROR(SEARCH("SS:",R44),0) &gt; 0, 
VLOOKUP(C44,vote4SURGE!$A:$C , 3, FALSE) - 2,
VLOOKUP(C44,vote4SURGE!$A:$C , 3, FALSE)
)
))</f>
        <v/>
      </c>
      <c r="T44" s="320">
        <f t="shared" si="2"/>
        <v>2</v>
      </c>
      <c r="U44" s="320">
        <f>IFERROR(__xludf.DUMMYFUNCTION("ROUND(
IF(ISBLANK(G44),,
SWITCH(
LEN(G44) - LEN(SUBSTITUTE(G44,"","","""")),
0 , VLOOKUP(G44, Variables!$A:$C, 3, FALSE),
1 , VLOOKUP(index(split(G44 ,"", "", FALSE),1,1), Variables!$A:$C , 3, FALSE) + VLOOKUP(index(split(G44 ,"", "", FALSE),1,2), Variabl"&amp;"es!$A:$C , 3, FALSE),
2 , VLOOKUP(index(split(G44 ,"", "", FALSE),1,1), Variables!$A:$C , 3, FALSE) + VLOOKUP(index(split(G44 ,"", "", FALSE),1,2), Variables!$A:$C , 3, FALSE) + VLOOKUP(index(split(G44 ,"", "", FALSE),1,3), Variables!$A:$C , 3, FALSE),
3 "&amp;", VLOOKUP(index(split(G44 ,"", "", FALSE),1,1), Variables!$A:$C , 3, FALSE) + VLOOKUP(index(split(G44 ,"", "", FALSE),1,2), Variables!$A:$C , 3, FALSE) + VLOOKUP(index(split(G44 ,"", "", FALSE),1,3), Variables!$A:$C , 3, FALSE) + VLOOKUP(index(split(G44 ,"&amp;""", "", FALSE),1,4), Variables!$A:$C , 3, FALSE),
)
)
)"),2.0)</f>
        <v>2</v>
      </c>
      <c r="V44" s="317">
        <f t="shared" si="3"/>
        <v>3</v>
      </c>
      <c r="W44" s="321">
        <f t="shared" si="4"/>
        <v>12.5</v>
      </c>
      <c r="X44" s="322"/>
      <c r="Y44" s="322"/>
      <c r="Z44" s="322"/>
      <c r="AA44" s="322"/>
      <c r="AB44" s="322"/>
      <c r="AC44" s="322"/>
      <c r="AD44" s="322"/>
      <c r="AE44" s="322"/>
    </row>
    <row r="45">
      <c r="A45" s="310">
        <v>1.0</v>
      </c>
      <c r="B45" s="93">
        <f t="shared" si="1"/>
        <v>3</v>
      </c>
      <c r="C45" s="310" t="s">
        <v>761</v>
      </c>
      <c r="D45" s="310">
        <v>175.0</v>
      </c>
      <c r="E45" s="310" t="s">
        <v>1520</v>
      </c>
      <c r="F45" s="310" t="s">
        <v>1521</v>
      </c>
      <c r="G45" s="313" t="s">
        <v>1525</v>
      </c>
      <c r="H45" s="312">
        <f>IFERROR(__xludf.DUMMYFUNCTION(" IF(ISBLANK(G45),,
SWITCH(
LEN(G45) - LEN(SUBSTITUTE(G45,"","","""")),
0 , VLOOKUP(G45, Variables!$A:$B, 2, FALSE),
1 , VLOOKUP(index(split(G45 ,"", "", FALSE),1,1), Variables!$A:$B , 2, FALSE) + VLOOKUP(index(split(G45 ,"", "", FALSE),1,2), Variables!$A:"&amp;"$B , 2, FALSE),
2 , VLOOKUP(index(split(G45 ,"", "", FALSE),1,1), Variables!$A:$B , 2, FALSE) + VLOOKUP(index(split(G45 ,"", "", FALSE),1,2), Variables!$A:$B , 2, FALSE) + VLOOKUP(index(split(G45 ,"", "", FALSE),1,3), Variables!$A:$B , 2, FALSE),
3 , VLOO"&amp;"KUP(index(split(G45 ,"", "", FALSE),1,1), Variables!$A:$B , 2, FALSE) + VLOOKUP(index(split(G45 ,"", "", FALSE),1,2), Variables!$A:$B , 2, FALSE) + VLOOKUP(index(split(G45 ,"", "", FALSE),1,3), Variables!$A:$B , 2, FALSE) + VLOOKUP(index(split(G45 ,"", """&amp;", FALSE),1,4), Variables!$A:$B , 2, FALSE),
)
)"),3.333333333333333)</f>
        <v>3.333333333</v>
      </c>
      <c r="I45" s="310" t="s">
        <v>1526</v>
      </c>
      <c r="J45" s="313" t="s">
        <v>762</v>
      </c>
      <c r="K45" s="314">
        <f>IFERROR(VLOOKUP(C45,vote4ITEMS!$A:$C, 3, FALSE),)</f>
        <v>4</v>
      </c>
      <c r="L45" s="313"/>
      <c r="M45" s="314">
        <f>SUM(
IF(IFERROR(SEARCH("Aura 1",L45),0) &gt; 0 , VLOOKUP("Aura 1", vote4TRAITS!A:C , 3, FALSE), ),
IF(IFERROR(SEARCH("Backswing",L45),0) &gt; 0 , VLOOKUP("Backswing", vote4TRAITS!A:C , 3, FALSE), ),
IF(IFERROR(SEARCH("Blast",L45),0) &gt; 0 , VLOOKUP("Blast", vote4TRAITS!A:C , 3, FALSE), ),
IF(IFERROR(SEARCH("Combustible",L45),0) &gt; 0 , VLOOKUP("Combustible", vote4TRAITS!A:C , 3, FALSE), ),
IF(IFERROR(SEARCH("Command",L45),0) &gt; 0 , VLOOKUP("Command", vote4TRAITS!A:C , 3, FALSE), ),
IF(IFERROR(SEARCH("Cowardly",L45),0) &gt; 0 , VLOOKUP("Cowardly", vote4TRAITS!A:C , 3, FALSE), ),
IF(IFERROR(SEARCH("Death Wish",L45),0) &gt; 0 , VLOOKUP("Death Wish", vote4TRAITS!A:C , 3, FALSE), ),
IF(IFERROR(SEARCH("Entomb",L45),0) &gt; 0 , VLOOKUP("Entomb", vote4TRAITS!A:C , 3, FALSE), ),
IF(IFERROR(SEARCH("Ethereal Hold",L45),0) &gt; 0 , VLOOKUP("Ethereal Hold", vote4TRAITS!A:C , 3, FALSE), ),
IF(IFERROR(SEARCH("Extend",L45),0) &gt; 0 , VLOOKUP("Extend", vote4TRAITS!A:C , 3, FALSE), ),
IF(IFERROR(SEARCH("Filthy Murk",L45),0) &gt; 0 , VLOOKUP("Filthy Murk", vote4TRAITS!A:C , 3, FALSE), ),
IF(IFERROR(SEARCH("Flame Fiend",L45),0) &gt; 0 , VLOOKUP("Flame Fiend", vote4TRAITS!A:C , 3, FALSE), ),
IF(IFERROR(SEARCH("Fleshmonger",L45),0) &gt; 0 , VLOOKUP("Fleshmonger", vote4TRAITS!A:C , 3, FALSE), ),
IF(IFERROR(SEARCH("Fly",L45),0) &gt; 0 , VLOOKUP("Fly", vote4TRAITS!A:C , 3, FALSE), ),
IF(IFERROR(SEARCH("Freezing",L45),0) &gt; 0 , VLOOKUP("Freezing", vote4TRAITS!A:C , 3, FALSE), ),
IF(IFERROR(SEARCH("Lithesome",L45),0) &gt; 0 , VLOOKUP("Lithesome", vote4TRAITS!A:C , 3, FALSE), ),
IF(IFERROR(SEARCH("Harrowing",L45),0) &gt; 0 , VLOOKUP("Harrowing", vote4TRAITS!A:C , 3, FALSE), ),
IF(IFERROR(SEARCH("Hideous Laughter",L45),0) &gt; 0 , VLOOKUP("Hideous Laughter", vote4TRAITS!A:C , 3, FALSE), ),
IF(IFERROR(SEARCH("Hive Defense",L45),0) &gt; 0 , VLOOKUP("Hive Defense", vote4TRAITS!A:C , 3, FALSE), ),
IF(IFERROR(SEARCH("Horrifying",L45),0) &gt; 0 , VLOOKUP("Horrifying", vote4TRAITS!A:C , 3, FALSE), ),
IF(IFERROR(SEARCH("Ironskin",L45),0) &gt; 0 , VLOOKUP("Ironskin", vote4TRAITS!A:C , 3, FALSE), ),
IF(IFERROR(SEARCH("Unmovable",L45),0) &gt; 0 , VLOOKUP("Unmovable", vote4TRAITS!A:C , 3, FALSE), ),
IF(IFERROR(SEARCH("Lifethirst 1",L45),0) &gt; 0 , VLOOKUP("Lifethirst 1", vote4TRAITS!A:C , 3, FALSE), ),
IF(IFERROR(SEARCH("Lifethirst 2",L45),0) &gt; 0 , VLOOKUP("Lifethirst 2", vote4TRAITS!A:C , 3, FALSE), ),
IF(IFERROR(SEARCH("Morph",L45),0) &gt; 0 , VLOOKUP("Morph", vote4TRAITS!A:C , 3, FALSE), ),
IF(IFERROR(SEARCH("Night Stalker",L45),0) &gt; 0 , VLOOKUP("Night Stalker", vote4TRAITS!A:C , 3, FALSE), ),
IF(IFERROR(SEARCH("Overflowing",L45),0) &gt; 0 , VLOOKUP("Overflowing", vote4TRAITS!A:C , 3, FALSE), ),
IF(IFERROR(SEARCH("Pestilence",L45),0) &gt; 0 , VLOOKUP("Pestilence", vote4TRAITS!A:C , 3, FALSE), ),
IF(IFERROR(SEARCH("Phalanx",L45),0) &gt; 0 , VLOOKUP("Phalanx", vote4TRAITS!A:C , 3, FALSE), ),
IF(IFERROR(SEARCH("Plagued",L45),0) &gt; 0 , VLOOKUP("Plagued", vote4TRAITS!A:C , 3, FALSE), ),
IF(IFERROR(SEARCH("Prey on the Weak",L45),0) &gt; 0 , VLOOKUP("Prey on the Weak", vote4TRAITS!A:C , 3, FALSE), ),
IF(IFERROR(SEARCH("Protect",L45),0) &gt; 0 , VLOOKUP("Protect", vote4TRAITS!A:C , 3, FALSE), ),
IF(IFERROR(SEARCH("Puncture",L45),0) &gt; 0 , VLOOKUP("Puncture", vote4TRAITS!A:C , 3, FALSE), ),
IF(IFERROR(SEARCH("Putrid Boils",L45),0) &gt; 0 , VLOOKUP("Putrid Boils", vote4TRAITS!A:C , 3, FALSE), ),
IF(IFERROR(SEARCH("Ravage",L45),0) &gt; 0 , VLOOKUP("Ravage", vote4TRAITS!A:C , 3, FALSE), ),
IF(IFERROR(SEARCH("Ravenous",L45),0) &gt; 0 , VLOOKUP("Ravenous", vote4TRAITS!A:C , 3, FALSE), ),
IF(IFERROR(SEARCH("Reach",L45),0) &gt; 0 , VLOOKUP("Reach", vote4TRAITS!A:C , 3, FALSE), ),
IF(IFERROR(SEARCH("Reanimation",L45),0) &gt; 0 , VLOOKUP("Reanimation", vote4TRAITS!A:C , 3, FALSE), ),
IF(IFERROR(SEARCH("Reaper",L45),0) &gt; 0 , VLOOKUP("Reaper", vote4TRAITS!A:C , 3, FALSE), ),
IF(IFERROR(SEARCH("Riposte",L45),0) &gt; 0 , VLOOKUP("Riposte", vote4TRAITS!A:C , 3, FALSE)),
IF(IFERROR(SEARCH("Scamper",L45),0) &gt; 0 , VLOOKUP("Scamper", vote4TRAITS!A:C , 3, FALSE), ),
IF(IFERROR(SEARCH("Small Beginnings",L45),0) &gt; 0 , VLOOKUP("Small Beginnings", vote4TRAITS!A:C , 3, FALSE), ),
IF(IFERROR(SEARCH("Spawner",L45),0) &gt; 0 , VLOOKUP("Spawner", vote4TRAITS!A:C , 3,FALSE), ),
IF(IFERROR(SEARCH("Shadowr",L45),0) &gt; 0 , VLOOKUP("Shadow", vote4TRAITS!A:C , 3,FALSE), ),
IF(IFERROR(SEARCH("Shadow Step",L45),0) &gt; 0 , VLOOKUP("Shadow Step", vote4TRAITS!A:C , 3,FALSE), ),
IF(IFERROR(SEARCH("Shambling",L45),0) &gt; 0 , VLOOKUP("Shambling", vote4TRAITS!A:C , 3,FALSE), ),
IF(IFERROR(SEARCH("Stealthy",L45),0) &gt; 0 , VLOOKUP("Stealthy", vote4TRAITS!A:C , 3, FALSE), ),
IF(IFERROR(SEARCH("Web",L45),0) &gt; 0 , VLOOKUP("Web", vote4TRAITS!A:C , 3, FALSE), ),
IF(IFERROR(SEARCH("+1 Willpower",L45),0) &gt; 0 , VLOOKUP("+1 Willpower", vote4TRAITS!A:C , 3, FALSE), ),
IF(IFERROR(SEARCH("+1 Might",L45),0) &gt; 0 , VLOOKUP("+1 Might", vote4TRAITS!A:C , 3, FALSE), ),
IF(IFERROR(SEARCH("+1 Knowledge",L45),0) &gt; 0 , VLOOKUP("+1 Knowledge", vote4TRAITS!A:C , 3, FALSE), ),
IF(IFERROR(SEARCH("+1 Awareness",L45),0) &gt; 0 , VLOOKUP("+1 Awareness", vote4TRAITS!A:C , 3, FALSE), ),
IF(IFERROR(SEARCH("-1 Willpower",L45),0) &gt; 0 , VLOOKUP("-1 Willpower", vote4TRAITS!A:C , 3, FALSE), ),
IF(IFERROR(SEARCH("+1 Health",L45),0) &gt; 0 , VLOOKUP("+1 Health", vote4TRAITS!A:C , 3, FALSE), ),
IF(IFERROR(SEARCH("+2 Health",L45),0) &gt; 0 , VLOOKUP("+2 Health", vote4TRAITS!A:C , 3, FALSE), ),
IF(IFERROR(SEARCH("+1 Stamina",L45),0) &gt; 0 , VLOOKUP("+1 Stamina", vote4TRAITS!A:C , 3, FALSE), ),
IF(IFERROR(SEARCH("+2 Stamina",L45),0) &gt; 0 , VLOOKUP("+2 Stamina", vote4TRAITS!A:C , 3, FALSE), ),
IFS(
IFERROR(SEARCH("+1 Range", L45),) &gt; 0 ,VLOOKUP("+1 Range", vote4TRAITS!A:C , 3, FALSE),
IFERROR(SEARCH("+2 Range", L45),) &gt; 0 ,VLOOKUP("+2 Range", vote4TRAITS!A:C , 3, FALSE),
IFERROR(SEARCH("+3 Range", L45),) &gt; 0,VLOOKUP("+3 Range", vote4TRAITS!A:C , 3, FALSE),
0=0,0)
,
IFS(
IFERROR(SEARCH("Sorcery 1", L45),) &gt; 0 ,VLOOKUP("Sorcery 1", vote4TRAITS!A:C , 3, FALSE),
IFERROR(SEARCH("Sorcery 2", L45),) &gt; 0 ,VLOOKUP("Sorcery 2", vote4TRAITS!A:C , 3, FALSE),
IFERROR(SEARCH("Sorcery 3", L45),) &gt; 0,VLOOKUP("Sorcery 3", vote4TRAITS!A:C , 3, FALSE),
0=0,0)
,
IFS(
IFERROR(SEARCH("Pierce 1", L45),) &gt; 0 ,VLOOKUP("Pierce 1", vote4TRAITS!A:C , 3, FALSE),
IFERROR(SEARCH("Pierce 2", L45),) &gt; 0 ,VLOOKUP("Pierce 2", vote4TRAITS!A:C , 3, FALSE),
IFERROR(SEARCH("Pierce 3", L45),) &gt; 0,VLOOKUP("Pierce 3", vote4TRAITS!A:C , 3, FALSE),
IFERROR(SEARCH("Pierce 4", L45),) &gt; 0 ,VLOOKUP("Pierce 4", vote4TRAITS!A:C , 3, FALSE),
0=0,0)
,
IFS(
IFERROR(SEARCH("+1 Health", L45),) &gt; 0 ,VLOOKUP("+1 Health", vote4TRAITS!A:C , 3, FALSE),
IFERROR(SEARCH("+2 Health", L45),) &gt; 0 ,VLOOKUP("+2 Health", vote4TRAITS!A:C , 3, FALSE),
IFERROR(SEARCH("+3 Health", L45),) &gt; 0 ,VLOOKUP("+3 Health", vote4TRAITS!A:C , 3, FALSE),
IFERROR(SEARCH("+4 Health", L45),) &gt; 0 ,VLOOKUP("+4 Health", vote4TRAITS!A:C , 3, FALSE),
0=0,0)
,
IFS(
IFERROR(SEARCH("Soul Shackle 1", L45),) &gt; 0 ,VLOOKUP("Soul Shackle 1", vote4TRAITS!A:C , 3, FALSE),
IFERROR(SEARCH("Soul Shackle 2", L45),) &gt; 0 ,VLOOKUP("Soul Shackle 2", vote4TRAITS!A:C , 3, FALSE),
IFERROR(SEARCH("Soul Shackle 3", L45),) &gt; 0,VLOOKUP("Soul Shackle 3", vote4TRAITS!A:C , 3, FALSE),
0=0,0)
)</f>
        <v>0</v>
      </c>
      <c r="N45" s="311" t="s">
        <v>1534</v>
      </c>
      <c r="O45" s="317">
        <f>IF(ISBLANK(N45),,IFERROR(
IF(IFERROR(SEARCH("SS:",N45),0) &gt; 0, 
VLOOKUP(SUBSTITUTE(N45,"SS: ",""),vote4SURGE!$A:$C , 3, FALSE) - 2,
VLOOKUP(SUBSTITUTE(N45,"S: ",""),vote4SURGE!$A:$C , 3, FALSE)
)
,
IF(IFERROR(SEARCH("SS:",N45),0) &gt; 0, 
VLOOKUP(C45,vote4SURGE!$A:$C , 3, FALSE) - 2,
VLOOKUP(C45,vote4SURGE!$A:$C , 3, FALSE)
)
))</f>
        <v>4.25</v>
      </c>
      <c r="P45" s="318"/>
      <c r="Q45" s="317" t="str">
        <f>IF(ISBLANK(P45),,IFERROR(
IF(IFERROR(SEARCH("SS:",P45),0) &gt; 0, 
VLOOKUP(SUBSTITUTE(P45,"SS: ",""),vote4SURGE!$A:$C , 3, FALSE) - 2,
VLOOKUP(SUBSTITUTE(P45,"S: ",""),vote4SURGE!$A:$C , 3, FALSE)
)
,
IF(IFERROR(SEARCH("SS:",P45),0) &gt; 0, 
VLOOKUP(C45,vote4SURGE!$A:$C , 3, FALSE) - 2,
VLOOKUP(C45,vote4SURGE!$A:$C , 3, FALSE)
)
))</f>
        <v/>
      </c>
      <c r="R45" s="318"/>
      <c r="S45" s="319" t="str">
        <f>IF(ISBLANK(R45),,IFERROR(
IF(IFERROR(SEARCH("SS:",R45),0) &gt; 0, 
VLOOKUP(SUBSTITUTE(R45,"SS: ",""),vote4SURGE!$A:$C , 3, FALSE) - 2,
VLOOKUP(SUBSTITUTE(R45,"S: ",""),vote4SURGE!$A:$C , 3, FALSE)
)
,
IF(IFERROR(SEARCH("SS:",R45),0) &gt; 0, 
VLOOKUP(C45,vote4SURGE!$A:$C , 3, FALSE) - 2,
VLOOKUP(C45,vote4SURGE!$A:$C , 3, FALSE)
)
))</f>
        <v/>
      </c>
      <c r="T45" s="320">
        <f t="shared" si="2"/>
        <v>1</v>
      </c>
      <c r="U45" s="320">
        <f>IFERROR(__xludf.DUMMYFUNCTION("ROUND(
IF(ISBLANK(G45),,
SWITCH(
LEN(G45) - LEN(SUBSTITUTE(G45,"","","""")),
0 , VLOOKUP(G45, Variables!$A:$C, 3, FALSE),
1 , VLOOKUP(index(split(G45 ,"", "", FALSE),1,1), Variables!$A:$C , 3, FALSE) + VLOOKUP(index(split(G45 ,"", "", FALSE),1,2), Variabl"&amp;"es!$A:$C , 3, FALSE),
2 , VLOOKUP(index(split(G45 ,"", "", FALSE),1,1), Variables!$A:$C , 3, FALSE) + VLOOKUP(index(split(G45 ,"", "", FALSE),1,2), Variables!$A:$C , 3, FALSE) + VLOOKUP(index(split(G45 ,"", "", FALSE),1,3), Variables!$A:$C , 3, FALSE),
3 "&amp;", VLOOKUP(index(split(G45 ,"", "", FALSE),1,1), Variables!$A:$C , 3, FALSE) + VLOOKUP(index(split(G45 ,"", "", FALSE),1,2), Variables!$A:$C , 3, FALSE) + VLOOKUP(index(split(G45 ,"", "", FALSE),1,3), Variables!$A:$C , 3, FALSE) + VLOOKUP(index(split(G45 ,"&amp;""", "", FALSE),1,4), Variables!$A:$C , 3, FALSE),
)
)
)"),1.0)</f>
        <v>1</v>
      </c>
      <c r="V45" s="317">
        <f t="shared" si="3"/>
        <v>4.25</v>
      </c>
      <c r="W45" s="321">
        <f t="shared" si="4"/>
        <v>11.58333333</v>
      </c>
      <c r="X45" s="322"/>
      <c r="Y45" s="322"/>
      <c r="Z45" s="322"/>
      <c r="AA45" s="322"/>
      <c r="AB45" s="322"/>
      <c r="AC45" s="322"/>
      <c r="AD45" s="322"/>
      <c r="AE45" s="322"/>
    </row>
    <row r="46" hidden="1">
      <c r="A46" s="310">
        <v>1.0</v>
      </c>
      <c r="B46" s="93" t="str">
        <f t="shared" si="1"/>
        <v/>
      </c>
      <c r="C46" s="310" t="s">
        <v>944</v>
      </c>
      <c r="D46" s="323">
        <v>0.0</v>
      </c>
      <c r="E46" s="310"/>
      <c r="F46" s="310" t="s">
        <v>1521</v>
      </c>
      <c r="G46" s="313" t="s">
        <v>1525</v>
      </c>
      <c r="H46" s="312">
        <f>IFERROR(__xludf.DUMMYFUNCTION(" IF(ISBLANK(G46),,
SWITCH(
LEN(G46) - LEN(SUBSTITUTE(G46,"","","""")),
0 , VLOOKUP(G46, Variables!$A:$B, 2, FALSE),
1 , VLOOKUP(index(split(G46 ,"", "", FALSE),1,1), Variables!$A:$B , 2, FALSE) + VLOOKUP(index(split(G46 ,"", "", FALSE),1,2), Variables!$A:"&amp;"$B , 2, FALSE),
2 , VLOOKUP(index(split(G46 ,"", "", FALSE),1,1), Variables!$A:$B , 2, FALSE) + VLOOKUP(index(split(G46 ,"", "", FALSE),1,2), Variables!$A:$B , 2, FALSE) + VLOOKUP(index(split(G46 ,"", "", FALSE),1,3), Variables!$A:$B , 2, FALSE),
3 , VLOO"&amp;"KUP(index(split(G46 ,"", "", FALSE),1,1), Variables!$A:$B , 2, FALSE) + VLOOKUP(index(split(G46 ,"", "", FALSE),1,2), Variables!$A:$B , 2, FALSE) + VLOOKUP(index(split(G46 ,"", "", FALSE),1,3), Variables!$A:$B , 2, FALSE) + VLOOKUP(index(split(G46 ,"", """&amp;", FALSE),1,4), Variables!$A:$B , 2, FALSE),
)
)"),3.333333333333333)</f>
        <v>3.333333333</v>
      </c>
      <c r="I46" s="310" t="s">
        <v>1557</v>
      </c>
      <c r="J46" s="313" t="s">
        <v>945</v>
      </c>
      <c r="K46" s="314">
        <f>IFERROR(VLOOKUP(C46,vote4ITEMS!$A:$C, 3, FALSE),)</f>
        <v>5</v>
      </c>
      <c r="L46" s="313"/>
      <c r="M46" s="314">
        <f>SUM(
IF(IFERROR(SEARCH("Aura 1",L46),0) &gt; 0 , VLOOKUP("Aura 1", vote4TRAITS!A:C , 3, FALSE), ),
IF(IFERROR(SEARCH("Backswing",L46),0) &gt; 0 , VLOOKUP("Backswing", vote4TRAITS!A:C , 3, FALSE), ),
IF(IFERROR(SEARCH("Blast",L46),0) &gt; 0 , VLOOKUP("Blast", vote4TRAITS!A:C , 3, FALSE), ),
IF(IFERROR(SEARCH("Combustible",L46),0) &gt; 0 , VLOOKUP("Combustible", vote4TRAITS!A:C , 3, FALSE), ),
IF(IFERROR(SEARCH("Command",L46),0) &gt; 0 , VLOOKUP("Command", vote4TRAITS!A:C , 3, FALSE), ),
IF(IFERROR(SEARCH("Cowardly",L46),0) &gt; 0 , VLOOKUP("Cowardly", vote4TRAITS!A:C , 3, FALSE), ),
IF(IFERROR(SEARCH("Death Wish",L46),0) &gt; 0 , VLOOKUP("Death Wish", vote4TRAITS!A:C , 3, FALSE), ),
IF(IFERROR(SEARCH("Entomb",L46),0) &gt; 0 , VLOOKUP("Entomb", vote4TRAITS!A:C , 3, FALSE), ),
IF(IFERROR(SEARCH("Ethereal Hold",L46),0) &gt; 0 , VLOOKUP("Ethereal Hold", vote4TRAITS!A:C , 3, FALSE), ),
IF(IFERROR(SEARCH("Extend",L46),0) &gt; 0 , VLOOKUP("Extend", vote4TRAITS!A:C , 3, FALSE), ),
IF(IFERROR(SEARCH("Filthy Murk",L46),0) &gt; 0 , VLOOKUP("Filthy Murk", vote4TRAITS!A:C , 3, FALSE), ),
IF(IFERROR(SEARCH("Flame Fiend",L46),0) &gt; 0 , VLOOKUP("Flame Fiend", vote4TRAITS!A:C , 3, FALSE), ),
IF(IFERROR(SEARCH("Fleshmonger",L46),0) &gt; 0 , VLOOKUP("Fleshmonger", vote4TRAITS!A:C , 3, FALSE), ),
IF(IFERROR(SEARCH("Fly",L46),0) &gt; 0 , VLOOKUP("Fly", vote4TRAITS!A:C , 3, FALSE), ),
IF(IFERROR(SEARCH("Freezing",L46),0) &gt; 0 , VLOOKUP("Freezing", vote4TRAITS!A:C , 3, FALSE), ),
IF(IFERROR(SEARCH("Lithesome",L46),0) &gt; 0 , VLOOKUP("Lithesome", vote4TRAITS!A:C , 3, FALSE), ),
IF(IFERROR(SEARCH("Harrowing",L46),0) &gt; 0 , VLOOKUP("Harrowing", vote4TRAITS!A:C , 3, FALSE), ),
IF(IFERROR(SEARCH("Hideous Laughter",L46),0) &gt; 0 , VLOOKUP("Hideous Laughter", vote4TRAITS!A:C , 3, FALSE), ),
IF(IFERROR(SEARCH("Hive Defense",L46),0) &gt; 0 , VLOOKUP("Hive Defense", vote4TRAITS!A:C , 3, FALSE), ),
IF(IFERROR(SEARCH("Horrifying",L46),0) &gt; 0 , VLOOKUP("Horrifying", vote4TRAITS!A:C , 3, FALSE), ),
IF(IFERROR(SEARCH("Ironskin",L46),0) &gt; 0 , VLOOKUP("Ironskin", vote4TRAITS!A:C , 3, FALSE), ),
IF(IFERROR(SEARCH("Unmovable",L46),0) &gt; 0 , VLOOKUP("Unmovable", vote4TRAITS!A:C , 3, FALSE), ),
IF(IFERROR(SEARCH("Lifethirst 1",L46),0) &gt; 0 , VLOOKUP("Lifethirst 1", vote4TRAITS!A:C , 3, FALSE), ),
IF(IFERROR(SEARCH("Lifethirst 2",L46),0) &gt; 0 , VLOOKUP("Lifethirst 2", vote4TRAITS!A:C , 3, FALSE), ),
IF(IFERROR(SEARCH("Morph",L46),0) &gt; 0 , VLOOKUP("Morph", vote4TRAITS!A:C , 3, FALSE), ),
IF(IFERROR(SEARCH("Night Stalker",L46),0) &gt; 0 , VLOOKUP("Night Stalker", vote4TRAITS!A:C , 3, FALSE), ),
IF(IFERROR(SEARCH("Overflowing",L46),0) &gt; 0 , VLOOKUP("Overflowing", vote4TRAITS!A:C , 3, FALSE), ),
IF(IFERROR(SEARCH("Pestilence",L46),0) &gt; 0 , VLOOKUP("Pestilence", vote4TRAITS!A:C , 3, FALSE), ),
IF(IFERROR(SEARCH("Phalanx",L46),0) &gt; 0 , VLOOKUP("Phalanx", vote4TRAITS!A:C , 3, FALSE), ),
IF(IFERROR(SEARCH("Plagued",L46),0) &gt; 0 , VLOOKUP("Plagued", vote4TRAITS!A:C , 3, FALSE), ),
IF(IFERROR(SEARCH("Prey on the Weak",L46),0) &gt; 0 , VLOOKUP("Prey on the Weak", vote4TRAITS!A:C , 3, FALSE), ),
IF(IFERROR(SEARCH("Protect",L46),0) &gt; 0 , VLOOKUP("Protect", vote4TRAITS!A:C , 3, FALSE), ),
IF(IFERROR(SEARCH("Puncture",L46),0) &gt; 0 , VLOOKUP("Puncture", vote4TRAITS!A:C , 3, FALSE), ),
IF(IFERROR(SEARCH("Putrid Boils",L46),0) &gt; 0 , VLOOKUP("Putrid Boils", vote4TRAITS!A:C , 3, FALSE), ),
IF(IFERROR(SEARCH("Ravage",L46),0) &gt; 0 , VLOOKUP("Ravage", vote4TRAITS!A:C , 3, FALSE), ),
IF(IFERROR(SEARCH("Ravenous",L46),0) &gt; 0 , VLOOKUP("Ravenous", vote4TRAITS!A:C , 3, FALSE), ),
IF(IFERROR(SEARCH("Reach",L46),0) &gt; 0 , VLOOKUP("Reach", vote4TRAITS!A:C , 3, FALSE), ),
IF(IFERROR(SEARCH("Reanimation",L46),0) &gt; 0 , VLOOKUP("Reanimation", vote4TRAITS!A:C , 3, FALSE), ),
IF(IFERROR(SEARCH("Reaper",L46),0) &gt; 0 , VLOOKUP("Reaper", vote4TRAITS!A:C , 3, FALSE), ),
IF(IFERROR(SEARCH("Riposte",L46),0) &gt; 0 , VLOOKUP("Riposte", vote4TRAITS!A:C , 3, FALSE)),
IF(IFERROR(SEARCH("Scamper",L46),0) &gt; 0 , VLOOKUP("Scamper", vote4TRAITS!A:C , 3, FALSE), ),
IF(IFERROR(SEARCH("Small Beginnings",L46),0) &gt; 0 , VLOOKUP("Small Beginnings", vote4TRAITS!A:C , 3, FALSE), ),
IF(IFERROR(SEARCH("Spawner",L46),0) &gt; 0 , VLOOKUP("Spawner", vote4TRAITS!A:C , 3,FALSE), ),
IF(IFERROR(SEARCH("Shadowr",L46),0) &gt; 0 , VLOOKUP("Shadow", vote4TRAITS!A:C , 3,FALSE), ),
IF(IFERROR(SEARCH("Shadow Step",L46),0) &gt; 0 , VLOOKUP("Shadow Step", vote4TRAITS!A:C , 3,FALSE), ),
IF(IFERROR(SEARCH("Shambling",L46),0) &gt; 0 , VLOOKUP("Shambling", vote4TRAITS!A:C , 3,FALSE), ),
IF(IFERROR(SEARCH("Stealthy",L46),0) &gt; 0 , VLOOKUP("Stealthy", vote4TRAITS!A:C , 3, FALSE), ),
IF(IFERROR(SEARCH("Web",L46),0) &gt; 0 , VLOOKUP("Web", vote4TRAITS!A:C , 3, FALSE), ),
IF(IFERROR(SEARCH("+1 Willpower",L46),0) &gt; 0 , VLOOKUP("+1 Willpower", vote4TRAITS!A:C , 3, FALSE), ),
IF(IFERROR(SEARCH("+1 Might",L46),0) &gt; 0 , VLOOKUP("+1 Might", vote4TRAITS!A:C , 3, FALSE), ),
IF(IFERROR(SEARCH("+1 Knowledge",L46),0) &gt; 0 , VLOOKUP("+1 Knowledge", vote4TRAITS!A:C , 3, FALSE), ),
IF(IFERROR(SEARCH("+1 Awareness",L46),0) &gt; 0 , VLOOKUP("+1 Awareness", vote4TRAITS!A:C , 3, FALSE), ),
IF(IFERROR(SEARCH("-1 Willpower",L46),0) &gt; 0 , VLOOKUP("-1 Willpower", vote4TRAITS!A:C , 3, FALSE), ),
IF(IFERROR(SEARCH("+1 Health",L46),0) &gt; 0 , VLOOKUP("+1 Health", vote4TRAITS!A:C , 3, FALSE), ),
IF(IFERROR(SEARCH("+2 Health",L46),0) &gt; 0 , VLOOKUP("+2 Health", vote4TRAITS!A:C , 3, FALSE), ),
IF(IFERROR(SEARCH("+1 Stamina",L46),0) &gt; 0 , VLOOKUP("+1 Stamina", vote4TRAITS!A:C , 3, FALSE), ),
IF(IFERROR(SEARCH("+2 Stamina",L46),0) &gt; 0 , VLOOKUP("+2 Stamina", vote4TRAITS!A:C , 3, FALSE), ),
IFS(
IFERROR(SEARCH("+1 Range", L46),) &gt; 0 ,VLOOKUP("+1 Range", vote4TRAITS!A:C , 3, FALSE),
IFERROR(SEARCH("+2 Range", L46),) &gt; 0 ,VLOOKUP("+2 Range", vote4TRAITS!A:C , 3, FALSE),
IFERROR(SEARCH("+3 Range", L46),) &gt; 0,VLOOKUP("+3 Range", vote4TRAITS!A:C , 3, FALSE),
0=0,0)
,
IFS(
IFERROR(SEARCH("Sorcery 1", L46),) &gt; 0 ,VLOOKUP("Sorcery 1", vote4TRAITS!A:C , 3, FALSE),
IFERROR(SEARCH("Sorcery 2", L46),) &gt; 0 ,VLOOKUP("Sorcery 2", vote4TRAITS!A:C , 3, FALSE),
IFERROR(SEARCH("Sorcery 3", L46),) &gt; 0,VLOOKUP("Sorcery 3", vote4TRAITS!A:C , 3, FALSE),
0=0,0)
,
IFS(
IFERROR(SEARCH("Pierce 1", L46),) &gt; 0 ,VLOOKUP("Pierce 1", vote4TRAITS!A:C , 3, FALSE),
IFERROR(SEARCH("Pierce 2", L46),) &gt; 0 ,VLOOKUP("Pierce 2", vote4TRAITS!A:C , 3, FALSE),
IFERROR(SEARCH("Pierce 3", L46),) &gt; 0,VLOOKUP("Pierce 3", vote4TRAITS!A:C , 3, FALSE),
IFERROR(SEARCH("Pierce 4", L46),) &gt; 0 ,VLOOKUP("Pierce 4", vote4TRAITS!A:C , 3, FALSE),
0=0,0)
,
IFS(
IFERROR(SEARCH("+1 Health", L46),) &gt; 0 ,VLOOKUP("+1 Health", vote4TRAITS!A:C , 3, FALSE),
IFERROR(SEARCH("+2 Health", L46),) &gt; 0 ,VLOOKUP("+2 Health", vote4TRAITS!A:C , 3, FALSE),
IFERROR(SEARCH("+3 Health", L46),) &gt; 0 ,VLOOKUP("+3 Health", vote4TRAITS!A:C , 3, FALSE),
IFERROR(SEARCH("+4 Health", L46),) &gt; 0 ,VLOOKUP("+4 Health", vote4TRAITS!A:C , 3, FALSE),
0=0,0)
,
IFS(
IFERROR(SEARCH("Soul Shackle 1", L46),) &gt; 0 ,VLOOKUP("Soul Shackle 1", vote4TRAITS!A:C , 3, FALSE),
IFERROR(SEARCH("Soul Shackle 2", L46),) &gt; 0 ,VLOOKUP("Soul Shackle 2", vote4TRAITS!A:C , 3, FALSE),
IFERROR(SEARCH("Soul Shackle 3", L46),) &gt; 0,VLOOKUP("Soul Shackle 3", vote4TRAITS!A:C , 3, FALSE),
0=0,0)
)</f>
        <v>0</v>
      </c>
      <c r="N46" s="311" t="s">
        <v>1562</v>
      </c>
      <c r="O46" s="317">
        <f>IF(ISBLANK(N46),,IFERROR(
IF(IFERROR(SEARCH("SS:",N46),0) &gt; 0, 
VLOOKUP(SUBSTITUTE(N46,"SS: ",""),vote4SURGE!$A:$C , 3, FALSE) - 2,
VLOOKUP(SUBSTITUTE(N46,"S: ",""),vote4SURGE!$A:$C , 3, FALSE)
)
,
IF(IFERROR(SEARCH("SS:",N46),0) &gt; 0, 
VLOOKUP(C46,vote4SURGE!$A:$C , 3, FALSE) - 2,
VLOOKUP(C46,vote4SURGE!$A:$C , 3, FALSE)
)
))</f>
        <v>3.5</v>
      </c>
      <c r="P46" s="318"/>
      <c r="Q46" s="317" t="str">
        <f>IF(ISBLANK(P46),,IFERROR(
IF(IFERROR(SEARCH("SS:",P46),0) &gt; 0, 
VLOOKUP(SUBSTITUTE(P46,"SS: ",""),vote4SURGE!$A:$C , 3, FALSE) - 2,
VLOOKUP(SUBSTITUTE(P46,"S: ",""),vote4SURGE!$A:$C , 3, FALSE)
)
,
IF(IFERROR(SEARCH("SS:",P46),0) &gt; 0, 
VLOOKUP(C46,vote4SURGE!$A:$C , 3, FALSE) - 2,
VLOOKUP(C46,vote4SURGE!$A:$C , 3, FALSE)
)
))</f>
        <v/>
      </c>
      <c r="R46" s="318"/>
      <c r="S46" s="319" t="str">
        <f>IF(ISBLANK(R46),,IFERROR(
IF(IFERROR(SEARCH("SS:",R46),0) &gt; 0, 
VLOOKUP(SUBSTITUTE(R46,"SS: ",""),vote4SURGE!$A:$C , 3, FALSE) - 2,
VLOOKUP(SUBSTITUTE(R46,"S: ",""),vote4SURGE!$A:$C , 3, FALSE)
)
,
IF(IFERROR(SEARCH("SS:",R46),0) &gt; 0, 
VLOOKUP(C46,vote4SURGE!$A:$C , 3, FALSE) - 2,
VLOOKUP(C46,vote4SURGE!$A:$C , 3, FALSE)
)
))</f>
        <v/>
      </c>
      <c r="T46" s="320">
        <f t="shared" si="2"/>
        <v>1</v>
      </c>
      <c r="U46" s="320">
        <f>IFERROR(__xludf.DUMMYFUNCTION("ROUND(
IF(ISBLANK(G46),,
SWITCH(
LEN(G46) - LEN(SUBSTITUTE(G46,"","","""")),
0 , VLOOKUP(G46, Variables!$A:$C, 3, FALSE),
1 , VLOOKUP(index(split(G46 ,"", "", FALSE),1,1), Variables!$A:$C , 3, FALSE) + VLOOKUP(index(split(G46 ,"", "", FALSE),1,2), Variabl"&amp;"es!$A:$C , 3, FALSE),
2 , VLOOKUP(index(split(G46 ,"", "", FALSE),1,1), Variables!$A:$C , 3, FALSE) + VLOOKUP(index(split(G46 ,"", "", FALSE),1,2), Variables!$A:$C , 3, FALSE) + VLOOKUP(index(split(G46 ,"", "", FALSE),1,3), Variables!$A:$C , 3, FALSE),
3 "&amp;", VLOOKUP(index(split(G46 ,"", "", FALSE),1,1), Variables!$A:$C , 3, FALSE) + VLOOKUP(index(split(G46 ,"", "", FALSE),1,2), Variables!$A:$C , 3, FALSE) + VLOOKUP(index(split(G46 ,"", "", FALSE),1,3), Variables!$A:$C , 3, FALSE) + VLOOKUP(index(split(G46 ,"&amp;""", "", FALSE),1,4), Variables!$A:$C , 3, FALSE),
)
)
)"),1.0)</f>
        <v>1</v>
      </c>
      <c r="V46" s="317">
        <f t="shared" si="3"/>
        <v>3.5</v>
      </c>
      <c r="W46" s="321">
        <f t="shared" si="4"/>
        <v>11.83333333</v>
      </c>
      <c r="X46" s="322"/>
      <c r="Y46" s="322"/>
      <c r="Z46" s="322"/>
      <c r="AA46" s="322"/>
      <c r="AB46" s="322"/>
      <c r="AC46" s="322"/>
      <c r="AD46" s="322"/>
      <c r="AE46" s="322"/>
    </row>
    <row r="47" hidden="1">
      <c r="A47" s="310">
        <v>1.0</v>
      </c>
      <c r="B47" s="93">
        <f t="shared" si="1"/>
        <v>3</v>
      </c>
      <c r="C47" s="310" t="s">
        <v>1602</v>
      </c>
      <c r="D47" s="310">
        <v>150.0</v>
      </c>
      <c r="E47" s="310" t="s">
        <v>1520</v>
      </c>
      <c r="F47" s="310" t="s">
        <v>1531</v>
      </c>
      <c r="G47" s="313" t="s">
        <v>1525</v>
      </c>
      <c r="H47" s="312">
        <f>IFERROR(__xludf.DUMMYFUNCTION(" IF(ISBLANK(G47),,
SWITCH(
LEN(G47) - LEN(SUBSTITUTE(G47,"","","""")),
0 , VLOOKUP(G47, Variables!$A:$B, 2, FALSE),
1 , VLOOKUP(index(split(G47 ,"", "", FALSE),1,1), Variables!$A:$B , 2, FALSE) + VLOOKUP(index(split(G47 ,"", "", FALSE),1,2), Variables!$A:"&amp;"$B , 2, FALSE),
2 , VLOOKUP(index(split(G47 ,"", "", FALSE),1,1), Variables!$A:$B , 2, FALSE) + VLOOKUP(index(split(G47 ,"", "", FALSE),1,2), Variables!$A:$B , 2, FALSE) + VLOOKUP(index(split(G47 ,"", "", FALSE),1,3), Variables!$A:$B , 2, FALSE),
3 , VLOO"&amp;"KUP(index(split(G47 ,"", "", FALSE),1,1), Variables!$A:$B , 2, FALSE) + VLOOKUP(index(split(G47 ,"", "", FALSE),1,2), Variables!$A:$B , 2, FALSE) + VLOOKUP(index(split(G47 ,"", "", FALSE),1,3), Variables!$A:$B , 2, FALSE) + VLOOKUP(index(split(G47 ,"", """&amp;", FALSE),1,4), Variables!$A:$B , 2, FALSE),
)
)"),3.333333333333333)</f>
        <v>3.333333333</v>
      </c>
      <c r="I47" s="310" t="s">
        <v>1533</v>
      </c>
      <c r="J47" s="313"/>
      <c r="K47" s="314" t="str">
        <f>IFERROR(VLOOKUP(C47,vote4ITEMS!$A:$C, 3, FALSE),)</f>
        <v/>
      </c>
      <c r="L47" s="313"/>
      <c r="M47" s="314">
        <f>SUM(
IF(IFERROR(SEARCH("Aura 1",L47),0) &gt; 0 , VLOOKUP("Aura 1", vote4TRAITS!A:C , 3, FALSE), ),
IF(IFERROR(SEARCH("Backswing",L47),0) &gt; 0 , VLOOKUP("Backswing", vote4TRAITS!A:C , 3, FALSE), ),
IF(IFERROR(SEARCH("Blast",L47),0) &gt; 0 , VLOOKUP("Blast", vote4TRAITS!A:C , 3, FALSE), ),
IF(IFERROR(SEARCH("Combustible",L47),0) &gt; 0 , VLOOKUP("Combustible", vote4TRAITS!A:C , 3, FALSE), ),
IF(IFERROR(SEARCH("Command",L47),0) &gt; 0 , VLOOKUP("Command", vote4TRAITS!A:C , 3, FALSE), ),
IF(IFERROR(SEARCH("Cowardly",L47),0) &gt; 0 , VLOOKUP("Cowardly", vote4TRAITS!A:C , 3, FALSE), ),
IF(IFERROR(SEARCH("Death Wish",L47),0) &gt; 0 , VLOOKUP("Death Wish", vote4TRAITS!A:C , 3, FALSE), ),
IF(IFERROR(SEARCH("Entomb",L47),0) &gt; 0 , VLOOKUP("Entomb", vote4TRAITS!A:C , 3, FALSE), ),
IF(IFERROR(SEARCH("Ethereal Hold",L47),0) &gt; 0 , VLOOKUP("Ethereal Hold", vote4TRAITS!A:C , 3, FALSE), ),
IF(IFERROR(SEARCH("Extend",L47),0) &gt; 0 , VLOOKUP("Extend", vote4TRAITS!A:C , 3, FALSE), ),
IF(IFERROR(SEARCH("Filthy Murk",L47),0) &gt; 0 , VLOOKUP("Filthy Murk", vote4TRAITS!A:C , 3, FALSE), ),
IF(IFERROR(SEARCH("Flame Fiend",L47),0) &gt; 0 , VLOOKUP("Flame Fiend", vote4TRAITS!A:C , 3, FALSE), ),
IF(IFERROR(SEARCH("Fleshmonger",L47),0) &gt; 0 , VLOOKUP("Fleshmonger", vote4TRAITS!A:C , 3, FALSE), ),
IF(IFERROR(SEARCH("Fly",L47),0) &gt; 0 , VLOOKUP("Fly", vote4TRAITS!A:C , 3, FALSE), ),
IF(IFERROR(SEARCH("Freezing",L47),0) &gt; 0 , VLOOKUP("Freezing", vote4TRAITS!A:C , 3, FALSE), ),
IF(IFERROR(SEARCH("Lithesome",L47),0) &gt; 0 , VLOOKUP("Lithesome", vote4TRAITS!A:C , 3, FALSE), ),
IF(IFERROR(SEARCH("Harrowing",L47),0) &gt; 0 , VLOOKUP("Harrowing", vote4TRAITS!A:C , 3, FALSE), ),
IF(IFERROR(SEARCH("Hideous Laughter",L47),0) &gt; 0 , VLOOKUP("Hideous Laughter", vote4TRAITS!A:C , 3, FALSE), ),
IF(IFERROR(SEARCH("Hive Defense",L47),0) &gt; 0 , VLOOKUP("Hive Defense", vote4TRAITS!A:C , 3, FALSE), ),
IF(IFERROR(SEARCH("Horrifying",L47),0) &gt; 0 , VLOOKUP("Horrifying", vote4TRAITS!A:C , 3, FALSE), ),
IF(IFERROR(SEARCH("Ironskin",L47),0) &gt; 0 , VLOOKUP("Ironskin", vote4TRAITS!A:C , 3, FALSE), ),
IF(IFERROR(SEARCH("Unmovable",L47),0) &gt; 0 , VLOOKUP("Unmovable", vote4TRAITS!A:C , 3, FALSE), ),
IF(IFERROR(SEARCH("Lifethirst 1",L47),0) &gt; 0 , VLOOKUP("Lifethirst 1", vote4TRAITS!A:C , 3, FALSE), ),
IF(IFERROR(SEARCH("Lifethirst 2",L47),0) &gt; 0 , VLOOKUP("Lifethirst 2", vote4TRAITS!A:C , 3, FALSE), ),
IF(IFERROR(SEARCH("Morph",L47),0) &gt; 0 , VLOOKUP("Morph", vote4TRAITS!A:C , 3, FALSE), ),
IF(IFERROR(SEARCH("Night Stalker",L47),0) &gt; 0 , VLOOKUP("Night Stalker", vote4TRAITS!A:C , 3, FALSE), ),
IF(IFERROR(SEARCH("Overflowing",L47),0) &gt; 0 , VLOOKUP("Overflowing", vote4TRAITS!A:C , 3, FALSE), ),
IF(IFERROR(SEARCH("Pestilence",L47),0) &gt; 0 , VLOOKUP("Pestilence", vote4TRAITS!A:C , 3, FALSE), ),
IF(IFERROR(SEARCH("Phalanx",L47),0) &gt; 0 , VLOOKUP("Phalanx", vote4TRAITS!A:C , 3, FALSE), ),
IF(IFERROR(SEARCH("Plagued",L47),0) &gt; 0 , VLOOKUP("Plagued", vote4TRAITS!A:C , 3, FALSE), ),
IF(IFERROR(SEARCH("Prey on the Weak",L47),0) &gt; 0 , VLOOKUP("Prey on the Weak", vote4TRAITS!A:C , 3, FALSE), ),
IF(IFERROR(SEARCH("Protect",L47),0) &gt; 0 , VLOOKUP("Protect", vote4TRAITS!A:C , 3, FALSE), ),
IF(IFERROR(SEARCH("Puncture",L47),0) &gt; 0 , VLOOKUP("Puncture", vote4TRAITS!A:C , 3, FALSE), ),
IF(IFERROR(SEARCH("Putrid Boils",L47),0) &gt; 0 , VLOOKUP("Putrid Boils", vote4TRAITS!A:C , 3, FALSE), ),
IF(IFERROR(SEARCH("Ravage",L47),0) &gt; 0 , VLOOKUP("Ravage", vote4TRAITS!A:C , 3, FALSE), ),
IF(IFERROR(SEARCH("Ravenous",L47),0) &gt; 0 , VLOOKUP("Ravenous", vote4TRAITS!A:C , 3, FALSE), ),
IF(IFERROR(SEARCH("Reach",L47),0) &gt; 0 , VLOOKUP("Reach", vote4TRAITS!A:C , 3, FALSE), ),
IF(IFERROR(SEARCH("Reanimation",L47),0) &gt; 0 , VLOOKUP("Reanimation", vote4TRAITS!A:C , 3, FALSE), ),
IF(IFERROR(SEARCH("Reaper",L47),0) &gt; 0 , VLOOKUP("Reaper", vote4TRAITS!A:C , 3, FALSE), ),
IF(IFERROR(SEARCH("Riposte",L47),0) &gt; 0 , VLOOKUP("Riposte", vote4TRAITS!A:C , 3, FALSE)),
IF(IFERROR(SEARCH("Scamper",L47),0) &gt; 0 , VLOOKUP("Scamper", vote4TRAITS!A:C , 3, FALSE), ),
IF(IFERROR(SEARCH("Small Beginnings",L47),0) &gt; 0 , VLOOKUP("Small Beginnings", vote4TRAITS!A:C , 3, FALSE), ),
IF(IFERROR(SEARCH("Spawner",L47),0) &gt; 0 , VLOOKUP("Spawner", vote4TRAITS!A:C , 3,FALSE), ),
IF(IFERROR(SEARCH("Shadowr",L47),0) &gt; 0 , VLOOKUP("Shadow", vote4TRAITS!A:C , 3,FALSE), ),
IF(IFERROR(SEARCH("Shadow Step",L47),0) &gt; 0 , VLOOKUP("Shadow Step", vote4TRAITS!A:C , 3,FALSE), ),
IF(IFERROR(SEARCH("Shambling",L47),0) &gt; 0 , VLOOKUP("Shambling", vote4TRAITS!A:C , 3,FALSE), ),
IF(IFERROR(SEARCH("Stealthy",L47),0) &gt; 0 , VLOOKUP("Stealthy", vote4TRAITS!A:C , 3, FALSE), ),
IF(IFERROR(SEARCH("Web",L47),0) &gt; 0 , VLOOKUP("Web", vote4TRAITS!A:C , 3, FALSE), ),
IF(IFERROR(SEARCH("+1 Willpower",L47),0) &gt; 0 , VLOOKUP("+1 Willpower", vote4TRAITS!A:C , 3, FALSE), ),
IF(IFERROR(SEARCH("+1 Might",L47),0) &gt; 0 , VLOOKUP("+1 Might", vote4TRAITS!A:C , 3, FALSE), ),
IF(IFERROR(SEARCH("+1 Knowledge",L47),0) &gt; 0 , VLOOKUP("+1 Knowledge", vote4TRAITS!A:C , 3, FALSE), ),
IF(IFERROR(SEARCH("+1 Awareness",L47),0) &gt; 0 , VLOOKUP("+1 Awareness", vote4TRAITS!A:C , 3, FALSE), ),
IF(IFERROR(SEARCH("-1 Willpower",L47),0) &gt; 0 , VLOOKUP("-1 Willpower", vote4TRAITS!A:C , 3, FALSE), ),
IF(IFERROR(SEARCH("+1 Health",L47),0) &gt; 0 , VLOOKUP("+1 Health", vote4TRAITS!A:C , 3, FALSE), ),
IF(IFERROR(SEARCH("+2 Health",L47),0) &gt; 0 , VLOOKUP("+2 Health", vote4TRAITS!A:C , 3, FALSE), ),
IF(IFERROR(SEARCH("+1 Stamina",L47),0) &gt; 0 , VLOOKUP("+1 Stamina", vote4TRAITS!A:C , 3, FALSE), ),
IF(IFERROR(SEARCH("+2 Stamina",L47),0) &gt; 0 , VLOOKUP("+2 Stamina", vote4TRAITS!A:C , 3, FALSE), ),
IFS(
IFERROR(SEARCH("+1 Range", L47),) &gt; 0 ,VLOOKUP("+1 Range", vote4TRAITS!A:C , 3, FALSE),
IFERROR(SEARCH("+2 Range", L47),) &gt; 0 ,VLOOKUP("+2 Range", vote4TRAITS!A:C , 3, FALSE),
IFERROR(SEARCH("+3 Range", L47),) &gt; 0,VLOOKUP("+3 Range", vote4TRAITS!A:C , 3, FALSE),
0=0,0)
,
IFS(
IFERROR(SEARCH("Sorcery 1", L47),) &gt; 0 ,VLOOKUP("Sorcery 1", vote4TRAITS!A:C , 3, FALSE),
IFERROR(SEARCH("Sorcery 2", L47),) &gt; 0 ,VLOOKUP("Sorcery 2", vote4TRAITS!A:C , 3, FALSE),
IFERROR(SEARCH("Sorcery 3", L47),) &gt; 0,VLOOKUP("Sorcery 3", vote4TRAITS!A:C , 3, FALSE),
0=0,0)
,
IFS(
IFERROR(SEARCH("Pierce 1", L47),) &gt; 0 ,VLOOKUP("Pierce 1", vote4TRAITS!A:C , 3, FALSE),
IFERROR(SEARCH("Pierce 2", L47),) &gt; 0 ,VLOOKUP("Pierce 2", vote4TRAITS!A:C , 3, FALSE),
IFERROR(SEARCH("Pierce 3", L47),) &gt; 0,VLOOKUP("Pierce 3", vote4TRAITS!A:C , 3, FALSE),
IFERROR(SEARCH("Pierce 4", L47),) &gt; 0 ,VLOOKUP("Pierce 4", vote4TRAITS!A:C , 3, FALSE),
0=0,0)
,
IFS(
IFERROR(SEARCH("+1 Health", L47),) &gt; 0 ,VLOOKUP("+1 Health", vote4TRAITS!A:C , 3, FALSE),
IFERROR(SEARCH("+2 Health", L47),) &gt; 0 ,VLOOKUP("+2 Health", vote4TRAITS!A:C , 3, FALSE),
IFERROR(SEARCH("+3 Health", L47),) &gt; 0 ,VLOOKUP("+3 Health", vote4TRAITS!A:C , 3, FALSE),
IFERROR(SEARCH("+4 Health", L47),) &gt; 0 ,VLOOKUP("+4 Health", vote4TRAITS!A:C , 3, FALSE),
0=0,0)
,
IFS(
IFERROR(SEARCH("Soul Shackle 1", L47),) &gt; 0 ,VLOOKUP("Soul Shackle 1", vote4TRAITS!A:C , 3, FALSE),
IFERROR(SEARCH("Soul Shackle 2", L47),) &gt; 0 ,VLOOKUP("Soul Shackle 2", vote4TRAITS!A:C , 3, FALSE),
IFERROR(SEARCH("Soul Shackle 3", L47),) &gt; 0,VLOOKUP("Soul Shackle 3", vote4TRAITS!A:C , 3, FALSE),
0=0,0)
)</f>
        <v>0</v>
      </c>
      <c r="N47" s="311" t="s">
        <v>1595</v>
      </c>
      <c r="O47" s="317">
        <f>IF(ISBLANK(N47),,IFERROR(
IF(IFERROR(SEARCH("SS:",N47),0) &gt; 0, 
VLOOKUP(SUBSTITUTE(N47,"SS: ",""),vote4SURGE!$A:$C , 3, FALSE) - 2,
VLOOKUP(SUBSTITUTE(N47,"S: ",""),vote4SURGE!$A:$C , 3, FALSE)
)
,
IF(IFERROR(SEARCH("SS:",N47),0) &gt; 0, 
VLOOKUP(C47,vote4SURGE!$A:$C , 3, FALSE) - 2,
VLOOKUP(C47,vote4SURGE!$A:$C , 3, FALSE)
)
))</f>
        <v>6.5</v>
      </c>
      <c r="P47" s="315" t="s">
        <v>1603</v>
      </c>
      <c r="Q47" s="317">
        <f>IF(ISBLANK(P47),,IFERROR(
IF(IFERROR(SEARCH("SS:",P47),0) &gt; 0, 
VLOOKUP(SUBSTITUTE(P47,"SS: ",""),vote4SURGE!$A:$C , 3, FALSE) - 2,
VLOOKUP(SUBSTITUTE(P47,"S: ",""),vote4SURGE!$A:$C , 3, FALSE)
)
,
IF(IFERROR(SEARCH("SS:",P47),0) &gt; 0, 
VLOOKUP(C47,vote4SURGE!$A:$C , 3, FALSE) - 2,
VLOOKUP(C47,vote4SURGE!$A:$C , 3, FALSE)
)
))</f>
        <v>4.5</v>
      </c>
      <c r="R47" s="318"/>
      <c r="S47" s="319" t="str">
        <f>IF(ISBLANK(R47),,IFERROR(
IF(IFERROR(SEARCH("SS:",R47),0) &gt; 0, 
VLOOKUP(SUBSTITUTE(R47,"SS: ",""),vote4SURGE!$A:$C , 3, FALSE) - 2,
VLOOKUP(SUBSTITUTE(R47,"S: ",""),vote4SURGE!$A:$C , 3, FALSE)
)
,
IF(IFERROR(SEARCH("SS:",R47),0) &gt; 0, 
VLOOKUP(C47,vote4SURGE!$A:$C , 3, FALSE) - 2,
VLOOKUP(C47,vote4SURGE!$A:$C , 3, FALSE)
)
))</f>
        <v/>
      </c>
      <c r="T47" s="320">
        <f t="shared" si="2"/>
        <v>2</v>
      </c>
      <c r="U47" s="320">
        <f>IFERROR(__xludf.DUMMYFUNCTION("ROUND(
IF(ISBLANK(G47),,
SWITCH(
LEN(G47) - LEN(SUBSTITUTE(G47,"","","""")),
0 , VLOOKUP(G47, Variables!$A:$C, 3, FALSE),
1 , VLOOKUP(index(split(G47 ,"", "", FALSE),1,1), Variables!$A:$C , 3, FALSE) + VLOOKUP(index(split(G47 ,"", "", FALSE),1,2), Variabl"&amp;"es!$A:$C , 3, FALSE),
2 , VLOOKUP(index(split(G47 ,"", "", FALSE),1,1), Variables!$A:$C , 3, FALSE) + VLOOKUP(index(split(G47 ,"", "", FALSE),1,2), Variables!$A:$C , 3, FALSE) + VLOOKUP(index(split(G47 ,"", "", FALSE),1,3), Variables!$A:$C , 3, FALSE),
3 "&amp;", VLOOKUP(index(split(G47 ,"", "", FALSE),1,1), Variables!$A:$C , 3, FALSE) + VLOOKUP(index(split(G47 ,"", "", FALSE),1,2), Variables!$A:$C , 3, FALSE) + VLOOKUP(index(split(G47 ,"", "", FALSE),1,3), Variables!$A:$C , 3, FALSE) + VLOOKUP(index(split(G47 ,"&amp;""", "", FALSE),1,4), Variables!$A:$C , 3, FALSE),
)
)
)"),1.0)</f>
        <v>1</v>
      </c>
      <c r="V47" s="317">
        <f t="shared" si="3"/>
        <v>8.75</v>
      </c>
      <c r="W47" s="321">
        <f t="shared" si="4"/>
        <v>12.08333333</v>
      </c>
      <c r="X47" s="322"/>
      <c r="Y47" s="322"/>
      <c r="Z47" s="322"/>
      <c r="AA47" s="322"/>
      <c r="AB47" s="322"/>
      <c r="AC47" s="322"/>
      <c r="AD47" s="322"/>
      <c r="AE47" s="322"/>
    </row>
    <row r="48" hidden="1">
      <c r="A48" s="310">
        <v>2.0</v>
      </c>
      <c r="B48" s="93">
        <f t="shared" si="1"/>
        <v>7</v>
      </c>
      <c r="C48" s="310" t="s">
        <v>1604</v>
      </c>
      <c r="D48" s="310">
        <v>200.0</v>
      </c>
      <c r="E48" s="310" t="s">
        <v>1520</v>
      </c>
      <c r="F48" s="310" t="s">
        <v>1531</v>
      </c>
      <c r="G48" s="313" t="s">
        <v>1546</v>
      </c>
      <c r="H48" s="312">
        <f>IFERROR(__xludf.DUMMYFUNCTION(" IF(ISBLANK(G48),,
SWITCH(
LEN(G48) - LEN(SUBSTITUTE(G48,"","","""")),
0 , VLOOKUP(G48, Variables!$A:$B, 2, FALSE),
1 , VLOOKUP(index(split(G48 ,"", "", FALSE),1,1), Variables!$A:$B , 2, FALSE) + VLOOKUP(index(split(G48 ,"", "", FALSE),1,2), Variables!$A:"&amp;"$B , 2, FALSE),
2 , VLOOKUP(index(split(G48 ,"", "", FALSE),1,1), Variables!$A:$B , 2, FALSE) + VLOOKUP(index(split(G48 ,"", "", FALSE),1,2), Variables!$A:$B , 2, FALSE) + VLOOKUP(index(split(G48 ,"", "", FALSE),1,3), Variables!$A:$B , 2, FALSE),
3 , VLOO"&amp;"KUP(index(split(G48 ,"", "", FALSE),1,1), Variables!$A:$B , 2, FALSE) + VLOOKUP(index(split(G48 ,"", "", FALSE),1,2), Variables!$A:$B , 2, FALSE) + VLOOKUP(index(split(G48 ,"", "", FALSE),1,3), Variables!$A:$B , 2, FALSE) + VLOOKUP(index(split(G48 ,"", """&amp;", FALSE),1,4), Variables!$A:$B , 2, FALSE),
)
)"),3.5)</f>
        <v>3.5</v>
      </c>
      <c r="I48" s="310" t="s">
        <v>1533</v>
      </c>
      <c r="J48" s="313"/>
      <c r="K48" s="314" t="str">
        <f>IFERROR(VLOOKUP(C48,vote4ITEMS!$A:$C, 3, FALSE),)</f>
        <v/>
      </c>
      <c r="L48" s="313"/>
      <c r="M48" s="314">
        <f>SUM(
IF(IFERROR(SEARCH("Aura 1",L48),0) &gt; 0 , VLOOKUP("Aura 1", vote4TRAITS!A:C , 3, FALSE), ),
IF(IFERROR(SEARCH("Backswing",L48),0) &gt; 0 , VLOOKUP("Backswing", vote4TRAITS!A:C , 3, FALSE), ),
IF(IFERROR(SEARCH("Blast",L48),0) &gt; 0 , VLOOKUP("Blast", vote4TRAITS!A:C , 3, FALSE), ),
IF(IFERROR(SEARCH("Combustible",L48),0) &gt; 0 , VLOOKUP("Combustible", vote4TRAITS!A:C , 3, FALSE), ),
IF(IFERROR(SEARCH("Command",L48),0) &gt; 0 , VLOOKUP("Command", vote4TRAITS!A:C , 3, FALSE), ),
IF(IFERROR(SEARCH("Cowardly",L48),0) &gt; 0 , VLOOKUP("Cowardly", vote4TRAITS!A:C , 3, FALSE), ),
IF(IFERROR(SEARCH("Death Wish",L48),0) &gt; 0 , VLOOKUP("Death Wish", vote4TRAITS!A:C , 3, FALSE), ),
IF(IFERROR(SEARCH("Entomb",L48),0) &gt; 0 , VLOOKUP("Entomb", vote4TRAITS!A:C , 3, FALSE), ),
IF(IFERROR(SEARCH("Ethereal Hold",L48),0) &gt; 0 , VLOOKUP("Ethereal Hold", vote4TRAITS!A:C , 3, FALSE), ),
IF(IFERROR(SEARCH("Extend",L48),0) &gt; 0 , VLOOKUP("Extend", vote4TRAITS!A:C , 3, FALSE), ),
IF(IFERROR(SEARCH("Filthy Murk",L48),0) &gt; 0 , VLOOKUP("Filthy Murk", vote4TRAITS!A:C , 3, FALSE), ),
IF(IFERROR(SEARCH("Flame Fiend",L48),0) &gt; 0 , VLOOKUP("Flame Fiend", vote4TRAITS!A:C , 3, FALSE), ),
IF(IFERROR(SEARCH("Fleshmonger",L48),0) &gt; 0 , VLOOKUP("Fleshmonger", vote4TRAITS!A:C , 3, FALSE), ),
IF(IFERROR(SEARCH("Fly",L48),0) &gt; 0 , VLOOKUP("Fly", vote4TRAITS!A:C , 3, FALSE), ),
IF(IFERROR(SEARCH("Freezing",L48),0) &gt; 0 , VLOOKUP("Freezing", vote4TRAITS!A:C , 3, FALSE), ),
IF(IFERROR(SEARCH("Lithesome",L48),0) &gt; 0 , VLOOKUP("Lithesome", vote4TRAITS!A:C , 3, FALSE), ),
IF(IFERROR(SEARCH("Harrowing",L48),0) &gt; 0 , VLOOKUP("Harrowing", vote4TRAITS!A:C , 3, FALSE), ),
IF(IFERROR(SEARCH("Hideous Laughter",L48),0) &gt; 0 , VLOOKUP("Hideous Laughter", vote4TRAITS!A:C , 3, FALSE), ),
IF(IFERROR(SEARCH("Hive Defense",L48),0) &gt; 0 , VLOOKUP("Hive Defense", vote4TRAITS!A:C , 3, FALSE), ),
IF(IFERROR(SEARCH("Horrifying",L48),0) &gt; 0 , VLOOKUP("Horrifying", vote4TRAITS!A:C , 3, FALSE), ),
IF(IFERROR(SEARCH("Ironskin",L48),0) &gt; 0 , VLOOKUP("Ironskin", vote4TRAITS!A:C , 3, FALSE), ),
IF(IFERROR(SEARCH("Unmovable",L48),0) &gt; 0 , VLOOKUP("Unmovable", vote4TRAITS!A:C , 3, FALSE), ),
IF(IFERROR(SEARCH("Lifethirst 1",L48),0) &gt; 0 , VLOOKUP("Lifethirst 1", vote4TRAITS!A:C , 3, FALSE), ),
IF(IFERROR(SEARCH("Lifethirst 2",L48),0) &gt; 0 , VLOOKUP("Lifethirst 2", vote4TRAITS!A:C , 3, FALSE), ),
IF(IFERROR(SEARCH("Morph",L48),0) &gt; 0 , VLOOKUP("Morph", vote4TRAITS!A:C , 3, FALSE), ),
IF(IFERROR(SEARCH("Night Stalker",L48),0) &gt; 0 , VLOOKUP("Night Stalker", vote4TRAITS!A:C , 3, FALSE), ),
IF(IFERROR(SEARCH("Overflowing",L48),0) &gt; 0 , VLOOKUP("Overflowing", vote4TRAITS!A:C , 3, FALSE), ),
IF(IFERROR(SEARCH("Pestilence",L48),0) &gt; 0 , VLOOKUP("Pestilence", vote4TRAITS!A:C , 3, FALSE), ),
IF(IFERROR(SEARCH("Phalanx",L48),0) &gt; 0 , VLOOKUP("Phalanx", vote4TRAITS!A:C , 3, FALSE), ),
IF(IFERROR(SEARCH("Plagued",L48),0) &gt; 0 , VLOOKUP("Plagued", vote4TRAITS!A:C , 3, FALSE), ),
IF(IFERROR(SEARCH("Prey on the Weak",L48),0) &gt; 0 , VLOOKUP("Prey on the Weak", vote4TRAITS!A:C , 3, FALSE), ),
IF(IFERROR(SEARCH("Protect",L48),0) &gt; 0 , VLOOKUP("Protect", vote4TRAITS!A:C , 3, FALSE), ),
IF(IFERROR(SEARCH("Puncture",L48),0) &gt; 0 , VLOOKUP("Puncture", vote4TRAITS!A:C , 3, FALSE), ),
IF(IFERROR(SEARCH("Putrid Boils",L48),0) &gt; 0 , VLOOKUP("Putrid Boils", vote4TRAITS!A:C , 3, FALSE), ),
IF(IFERROR(SEARCH("Ravage",L48),0) &gt; 0 , VLOOKUP("Ravage", vote4TRAITS!A:C , 3, FALSE), ),
IF(IFERROR(SEARCH("Ravenous",L48),0) &gt; 0 , VLOOKUP("Ravenous", vote4TRAITS!A:C , 3, FALSE), ),
IF(IFERROR(SEARCH("Reach",L48),0) &gt; 0 , VLOOKUP("Reach", vote4TRAITS!A:C , 3, FALSE), ),
IF(IFERROR(SEARCH("Reanimation",L48),0) &gt; 0 , VLOOKUP("Reanimation", vote4TRAITS!A:C , 3, FALSE), ),
IF(IFERROR(SEARCH("Reaper",L48),0) &gt; 0 , VLOOKUP("Reaper", vote4TRAITS!A:C , 3, FALSE), ),
IF(IFERROR(SEARCH("Riposte",L48),0) &gt; 0 , VLOOKUP("Riposte", vote4TRAITS!A:C , 3, FALSE)),
IF(IFERROR(SEARCH("Scamper",L48),0) &gt; 0 , VLOOKUP("Scamper", vote4TRAITS!A:C , 3, FALSE), ),
IF(IFERROR(SEARCH("Small Beginnings",L48),0) &gt; 0 , VLOOKUP("Small Beginnings", vote4TRAITS!A:C , 3, FALSE), ),
IF(IFERROR(SEARCH("Spawner",L48),0) &gt; 0 , VLOOKUP("Spawner", vote4TRAITS!A:C , 3,FALSE), ),
IF(IFERROR(SEARCH("Shadowr",L48),0) &gt; 0 , VLOOKUP("Shadow", vote4TRAITS!A:C , 3,FALSE), ),
IF(IFERROR(SEARCH("Shadow Step",L48),0) &gt; 0 , VLOOKUP("Shadow Step", vote4TRAITS!A:C , 3,FALSE), ),
IF(IFERROR(SEARCH("Shambling",L48),0) &gt; 0 , VLOOKUP("Shambling", vote4TRAITS!A:C , 3,FALSE), ),
IF(IFERROR(SEARCH("Stealthy",L48),0) &gt; 0 , VLOOKUP("Stealthy", vote4TRAITS!A:C , 3, FALSE), ),
IF(IFERROR(SEARCH("Web",L48),0) &gt; 0 , VLOOKUP("Web", vote4TRAITS!A:C , 3, FALSE), ),
IF(IFERROR(SEARCH("+1 Willpower",L48),0) &gt; 0 , VLOOKUP("+1 Willpower", vote4TRAITS!A:C , 3, FALSE), ),
IF(IFERROR(SEARCH("+1 Might",L48),0) &gt; 0 , VLOOKUP("+1 Might", vote4TRAITS!A:C , 3, FALSE), ),
IF(IFERROR(SEARCH("+1 Knowledge",L48),0) &gt; 0 , VLOOKUP("+1 Knowledge", vote4TRAITS!A:C , 3, FALSE), ),
IF(IFERROR(SEARCH("+1 Awareness",L48),0) &gt; 0 , VLOOKUP("+1 Awareness", vote4TRAITS!A:C , 3, FALSE), ),
IF(IFERROR(SEARCH("-1 Willpower",L48),0) &gt; 0 , VLOOKUP("-1 Willpower", vote4TRAITS!A:C , 3, FALSE), ),
IF(IFERROR(SEARCH("+1 Health",L48),0) &gt; 0 , VLOOKUP("+1 Health", vote4TRAITS!A:C , 3, FALSE), ),
IF(IFERROR(SEARCH("+2 Health",L48),0) &gt; 0 , VLOOKUP("+2 Health", vote4TRAITS!A:C , 3, FALSE), ),
IF(IFERROR(SEARCH("+1 Stamina",L48),0) &gt; 0 , VLOOKUP("+1 Stamina", vote4TRAITS!A:C , 3, FALSE), ),
IF(IFERROR(SEARCH("+2 Stamina",L48),0) &gt; 0 , VLOOKUP("+2 Stamina", vote4TRAITS!A:C , 3, FALSE), ),
IFS(
IFERROR(SEARCH("+1 Range", L48),) &gt; 0 ,VLOOKUP("+1 Range", vote4TRAITS!A:C , 3, FALSE),
IFERROR(SEARCH("+2 Range", L48),) &gt; 0 ,VLOOKUP("+2 Range", vote4TRAITS!A:C , 3, FALSE),
IFERROR(SEARCH("+3 Range", L48),) &gt; 0,VLOOKUP("+3 Range", vote4TRAITS!A:C , 3, FALSE),
0=0,0)
,
IFS(
IFERROR(SEARCH("Sorcery 1", L48),) &gt; 0 ,VLOOKUP("Sorcery 1", vote4TRAITS!A:C , 3, FALSE),
IFERROR(SEARCH("Sorcery 2", L48),) &gt; 0 ,VLOOKUP("Sorcery 2", vote4TRAITS!A:C , 3, FALSE),
IFERROR(SEARCH("Sorcery 3", L48),) &gt; 0,VLOOKUP("Sorcery 3", vote4TRAITS!A:C , 3, FALSE),
0=0,0)
,
IFS(
IFERROR(SEARCH("Pierce 1", L48),) &gt; 0 ,VLOOKUP("Pierce 1", vote4TRAITS!A:C , 3, FALSE),
IFERROR(SEARCH("Pierce 2", L48),) &gt; 0 ,VLOOKUP("Pierce 2", vote4TRAITS!A:C , 3, FALSE),
IFERROR(SEARCH("Pierce 3", L48),) &gt; 0,VLOOKUP("Pierce 3", vote4TRAITS!A:C , 3, FALSE),
IFERROR(SEARCH("Pierce 4", L48),) &gt; 0 ,VLOOKUP("Pierce 4", vote4TRAITS!A:C , 3, FALSE),
0=0,0)
,
IFS(
IFERROR(SEARCH("+1 Health", L48),) &gt; 0 ,VLOOKUP("+1 Health", vote4TRAITS!A:C , 3, FALSE),
IFERROR(SEARCH("+2 Health", L48),) &gt; 0 ,VLOOKUP("+2 Health", vote4TRAITS!A:C , 3, FALSE),
IFERROR(SEARCH("+3 Health", L48),) &gt; 0 ,VLOOKUP("+3 Health", vote4TRAITS!A:C , 3, FALSE),
IFERROR(SEARCH("+4 Health", L48),) &gt; 0 ,VLOOKUP("+4 Health", vote4TRAITS!A:C , 3, FALSE),
0=0,0)
,
IFS(
IFERROR(SEARCH("Soul Shackle 1", L48),) &gt; 0 ,VLOOKUP("Soul Shackle 1", vote4TRAITS!A:C , 3, FALSE),
IFERROR(SEARCH("Soul Shackle 2", L48),) &gt; 0 ,VLOOKUP("Soul Shackle 2", vote4TRAITS!A:C , 3, FALSE),
IFERROR(SEARCH("Soul Shackle 3", L48),) &gt; 0,VLOOKUP("Soul Shackle 3", vote4TRAITS!A:C , 3, FALSE),
0=0,0)
)</f>
        <v>0</v>
      </c>
      <c r="N48" s="311" t="s">
        <v>1595</v>
      </c>
      <c r="O48" s="317">
        <f>IF(ISBLANK(N48),,IFERROR(
IF(IFERROR(SEARCH("SS:",N48),0) &gt; 0, 
VLOOKUP(SUBSTITUTE(N48,"SS: ",""),vote4SURGE!$A:$C , 3, FALSE) - 2,
VLOOKUP(SUBSTITUTE(N48,"S: ",""),vote4SURGE!$A:$C , 3, FALSE)
)
,
IF(IFERROR(SEARCH("SS:",N48),0) &gt; 0, 
VLOOKUP(C48,vote4SURGE!$A:$C , 3, FALSE) - 2,
VLOOKUP(C48,vote4SURGE!$A:$C , 3, FALSE)
)
))</f>
        <v>6.5</v>
      </c>
      <c r="P48" s="315" t="s">
        <v>1544</v>
      </c>
      <c r="Q48" s="317">
        <f>IF(ISBLANK(P48),,IFERROR(
IF(IFERROR(SEARCH("SS:",P48),0) &gt; 0, 
VLOOKUP(SUBSTITUTE(P48,"SS: ",""),vote4SURGE!$A:$C , 3, FALSE) - 2,
VLOOKUP(SUBSTITUTE(P48,"S: ",""),vote4SURGE!$A:$C , 3, FALSE)
)
,
IF(IFERROR(SEARCH("SS:",P48),0) &gt; 0, 
VLOOKUP(C48,vote4SURGE!$A:$C , 3, FALSE) - 2,
VLOOKUP(C48,vote4SURGE!$A:$C , 3, FALSE)
)
))</f>
        <v>4</v>
      </c>
      <c r="R48" s="315" t="s">
        <v>1534</v>
      </c>
      <c r="S48" s="319">
        <f>IF(ISBLANK(R48),,IFERROR(
IF(IFERROR(SEARCH("SS:",R48),0) &gt; 0, 
VLOOKUP(SUBSTITUTE(R48,"SS: ",""),vote4SURGE!$A:$C , 3, FALSE) - 2,
VLOOKUP(SUBSTITUTE(R48,"S: ",""),vote4SURGE!$A:$C , 3, FALSE)
)
,
IF(IFERROR(SEARCH("SS:",R48),0) &gt; 0, 
VLOOKUP(C48,vote4SURGE!$A:$C , 3, FALSE) - 2,
VLOOKUP(C48,vote4SURGE!$A:$C , 3, FALSE)
)
))</f>
        <v>4.25</v>
      </c>
      <c r="T48" s="320">
        <f t="shared" si="2"/>
        <v>3</v>
      </c>
      <c r="U48" s="320">
        <f>IFERROR(__xludf.DUMMYFUNCTION("ROUND(
IF(ISBLANK(G48),,
SWITCH(
LEN(G48) - LEN(SUBSTITUTE(G48,"","","""")),
0 , VLOOKUP(G48, Variables!$A:$C, 3, FALSE),
1 , VLOOKUP(index(split(G48 ,"", "", FALSE),1,1), Variables!$A:$C , 3, FALSE) + VLOOKUP(index(split(G48 ,"", "", FALSE),1,2), Variabl"&amp;"es!$A:$C , 3, FALSE),
2 , VLOOKUP(index(split(G48 ,"", "", FALSE),1,1), Variables!$A:$C , 3, FALSE) + VLOOKUP(index(split(G48 ,"", "", FALSE),1,2), Variables!$A:$C , 3, FALSE) + VLOOKUP(index(split(G48 ,"", "", FALSE),1,3), Variables!$A:$C , 3, FALSE),
3 "&amp;", VLOOKUP(index(split(G48 ,"", "", FALSE),1,1), Variables!$A:$C , 3, FALSE) + VLOOKUP(index(split(G48 ,"", "", FALSE),1,2), Variables!$A:$C , 3, FALSE) + VLOOKUP(index(split(G48 ,"", "", FALSE),1,3), Variables!$A:$C , 3, FALSE) + VLOOKUP(index(split(G48 ,"&amp;""", "", FALSE),1,4), Variables!$A:$C , 3, FALSE),
)
)
)"),1.0)</f>
        <v>1</v>
      </c>
      <c r="V48" s="317">
        <f t="shared" si="3"/>
        <v>9.25</v>
      </c>
      <c r="W48" s="321">
        <f t="shared" si="4"/>
        <v>12.75</v>
      </c>
      <c r="X48" s="322"/>
      <c r="Y48" s="322"/>
      <c r="Z48" s="322"/>
      <c r="AA48" s="322"/>
      <c r="AB48" s="322"/>
      <c r="AC48" s="322"/>
      <c r="AD48" s="322"/>
      <c r="AE48" s="322"/>
    </row>
    <row r="49" hidden="1">
      <c r="A49" s="310">
        <v>2.0</v>
      </c>
      <c r="B49" s="93">
        <f t="shared" si="1"/>
        <v>7</v>
      </c>
      <c r="C49" s="310" t="s">
        <v>705</v>
      </c>
      <c r="D49" s="310">
        <v>200.0</v>
      </c>
      <c r="E49" s="310" t="s">
        <v>1527</v>
      </c>
      <c r="F49" s="310" t="s">
        <v>1531</v>
      </c>
      <c r="G49" s="313" t="s">
        <v>1546</v>
      </c>
      <c r="H49" s="312">
        <f>IFERROR(__xludf.DUMMYFUNCTION(" IF(ISBLANK(G49),,
SWITCH(
LEN(G49) - LEN(SUBSTITUTE(G49,"","","""")),
0 , VLOOKUP(G49, Variables!$A:$B, 2, FALSE),
1 , VLOOKUP(index(split(G49 ,"", "", FALSE),1,1), Variables!$A:$B , 2, FALSE) + VLOOKUP(index(split(G49 ,"", "", FALSE),1,2), Variables!$A:"&amp;"$B , 2, FALSE),
2 , VLOOKUP(index(split(G49 ,"", "", FALSE),1,1), Variables!$A:$B , 2, FALSE) + VLOOKUP(index(split(G49 ,"", "", FALSE),1,2), Variables!$A:$B , 2, FALSE) + VLOOKUP(index(split(G49 ,"", "", FALSE),1,3), Variables!$A:$B , 2, FALSE),
3 , VLOO"&amp;"KUP(index(split(G49 ,"", "", FALSE),1,1), Variables!$A:$B , 2, FALSE) + VLOOKUP(index(split(G49 ,"", "", FALSE),1,2), Variables!$A:$B , 2, FALSE) + VLOOKUP(index(split(G49 ,"", "", FALSE),1,3), Variables!$A:$B , 2, FALSE) + VLOOKUP(index(split(G49 ,"", """&amp;", FALSE),1,4), Variables!$A:$B , 2, FALSE),
)
)"),3.5)</f>
        <v>3.5</v>
      </c>
      <c r="I49" s="310" t="s">
        <v>1596</v>
      </c>
      <c r="J49" s="313" t="s">
        <v>706</v>
      </c>
      <c r="K49" s="314">
        <f>IFERROR(VLOOKUP(C49,vote4ITEMS!$A:$C, 3, FALSE),)</f>
        <v>2</v>
      </c>
      <c r="L49" s="313"/>
      <c r="M49" s="314">
        <f>SUM(
IF(IFERROR(SEARCH("Aura 1",L49),0) &gt; 0 , VLOOKUP("Aura 1", vote4TRAITS!A:C , 3, FALSE), ),
IF(IFERROR(SEARCH("Backswing",L49),0) &gt; 0 , VLOOKUP("Backswing", vote4TRAITS!A:C , 3, FALSE), ),
IF(IFERROR(SEARCH("Blast",L49),0) &gt; 0 , VLOOKUP("Blast", vote4TRAITS!A:C , 3, FALSE), ),
IF(IFERROR(SEARCH("Combustible",L49),0) &gt; 0 , VLOOKUP("Combustible", vote4TRAITS!A:C , 3, FALSE), ),
IF(IFERROR(SEARCH("Command",L49),0) &gt; 0 , VLOOKUP("Command", vote4TRAITS!A:C , 3, FALSE), ),
IF(IFERROR(SEARCH("Cowardly",L49),0) &gt; 0 , VLOOKUP("Cowardly", vote4TRAITS!A:C , 3, FALSE), ),
IF(IFERROR(SEARCH("Death Wish",L49),0) &gt; 0 , VLOOKUP("Death Wish", vote4TRAITS!A:C , 3, FALSE), ),
IF(IFERROR(SEARCH("Entomb",L49),0) &gt; 0 , VLOOKUP("Entomb", vote4TRAITS!A:C , 3, FALSE), ),
IF(IFERROR(SEARCH("Ethereal Hold",L49),0) &gt; 0 , VLOOKUP("Ethereal Hold", vote4TRAITS!A:C , 3, FALSE), ),
IF(IFERROR(SEARCH("Extend",L49),0) &gt; 0 , VLOOKUP("Extend", vote4TRAITS!A:C , 3, FALSE), ),
IF(IFERROR(SEARCH("Filthy Murk",L49),0) &gt; 0 , VLOOKUP("Filthy Murk", vote4TRAITS!A:C , 3, FALSE), ),
IF(IFERROR(SEARCH("Flame Fiend",L49),0) &gt; 0 , VLOOKUP("Flame Fiend", vote4TRAITS!A:C , 3, FALSE), ),
IF(IFERROR(SEARCH("Fleshmonger",L49),0) &gt; 0 , VLOOKUP("Fleshmonger", vote4TRAITS!A:C , 3, FALSE), ),
IF(IFERROR(SEARCH("Fly",L49),0) &gt; 0 , VLOOKUP("Fly", vote4TRAITS!A:C , 3, FALSE), ),
IF(IFERROR(SEARCH("Freezing",L49),0) &gt; 0 , VLOOKUP("Freezing", vote4TRAITS!A:C , 3, FALSE), ),
IF(IFERROR(SEARCH("Lithesome",L49),0) &gt; 0 , VLOOKUP("Lithesome", vote4TRAITS!A:C , 3, FALSE), ),
IF(IFERROR(SEARCH("Harrowing",L49),0) &gt; 0 , VLOOKUP("Harrowing", vote4TRAITS!A:C , 3, FALSE), ),
IF(IFERROR(SEARCH("Hideous Laughter",L49),0) &gt; 0 , VLOOKUP("Hideous Laughter", vote4TRAITS!A:C , 3, FALSE), ),
IF(IFERROR(SEARCH("Hive Defense",L49),0) &gt; 0 , VLOOKUP("Hive Defense", vote4TRAITS!A:C , 3, FALSE), ),
IF(IFERROR(SEARCH("Horrifying",L49),0) &gt; 0 , VLOOKUP("Horrifying", vote4TRAITS!A:C , 3, FALSE), ),
IF(IFERROR(SEARCH("Ironskin",L49),0) &gt; 0 , VLOOKUP("Ironskin", vote4TRAITS!A:C , 3, FALSE), ),
IF(IFERROR(SEARCH("Unmovable",L49),0) &gt; 0 , VLOOKUP("Unmovable", vote4TRAITS!A:C , 3, FALSE), ),
IF(IFERROR(SEARCH("Lifethirst 1",L49),0) &gt; 0 , VLOOKUP("Lifethirst 1", vote4TRAITS!A:C , 3, FALSE), ),
IF(IFERROR(SEARCH("Lifethirst 2",L49),0) &gt; 0 , VLOOKUP("Lifethirst 2", vote4TRAITS!A:C , 3, FALSE), ),
IF(IFERROR(SEARCH("Morph",L49),0) &gt; 0 , VLOOKUP("Morph", vote4TRAITS!A:C , 3, FALSE), ),
IF(IFERROR(SEARCH("Night Stalker",L49),0) &gt; 0 , VLOOKUP("Night Stalker", vote4TRAITS!A:C , 3, FALSE), ),
IF(IFERROR(SEARCH("Overflowing",L49),0) &gt; 0 , VLOOKUP("Overflowing", vote4TRAITS!A:C , 3, FALSE), ),
IF(IFERROR(SEARCH("Pestilence",L49),0) &gt; 0 , VLOOKUP("Pestilence", vote4TRAITS!A:C , 3, FALSE), ),
IF(IFERROR(SEARCH("Phalanx",L49),0) &gt; 0 , VLOOKUP("Phalanx", vote4TRAITS!A:C , 3, FALSE), ),
IF(IFERROR(SEARCH("Plagued",L49),0) &gt; 0 , VLOOKUP("Plagued", vote4TRAITS!A:C , 3, FALSE), ),
IF(IFERROR(SEARCH("Prey on the Weak",L49),0) &gt; 0 , VLOOKUP("Prey on the Weak", vote4TRAITS!A:C , 3, FALSE), ),
IF(IFERROR(SEARCH("Protect",L49),0) &gt; 0 , VLOOKUP("Protect", vote4TRAITS!A:C , 3, FALSE), ),
IF(IFERROR(SEARCH("Puncture",L49),0) &gt; 0 , VLOOKUP("Puncture", vote4TRAITS!A:C , 3, FALSE), ),
IF(IFERROR(SEARCH("Putrid Boils",L49),0) &gt; 0 , VLOOKUP("Putrid Boils", vote4TRAITS!A:C , 3, FALSE), ),
IF(IFERROR(SEARCH("Ravage",L49),0) &gt; 0 , VLOOKUP("Ravage", vote4TRAITS!A:C , 3, FALSE), ),
IF(IFERROR(SEARCH("Ravenous",L49),0) &gt; 0 , VLOOKUP("Ravenous", vote4TRAITS!A:C , 3, FALSE), ),
IF(IFERROR(SEARCH("Reach",L49),0) &gt; 0 , VLOOKUP("Reach", vote4TRAITS!A:C , 3, FALSE), ),
IF(IFERROR(SEARCH("Reanimation",L49),0) &gt; 0 , VLOOKUP("Reanimation", vote4TRAITS!A:C , 3, FALSE), ),
IF(IFERROR(SEARCH("Reaper",L49),0) &gt; 0 , VLOOKUP("Reaper", vote4TRAITS!A:C , 3, FALSE), ),
IF(IFERROR(SEARCH("Riposte",L49),0) &gt; 0 , VLOOKUP("Riposte", vote4TRAITS!A:C , 3, FALSE)),
IF(IFERROR(SEARCH("Scamper",L49),0) &gt; 0 , VLOOKUP("Scamper", vote4TRAITS!A:C , 3, FALSE), ),
IF(IFERROR(SEARCH("Small Beginnings",L49),0) &gt; 0 , VLOOKUP("Small Beginnings", vote4TRAITS!A:C , 3, FALSE), ),
IF(IFERROR(SEARCH("Spawner",L49),0) &gt; 0 , VLOOKUP("Spawner", vote4TRAITS!A:C , 3,FALSE), ),
IF(IFERROR(SEARCH("Shadowr",L49),0) &gt; 0 , VLOOKUP("Shadow", vote4TRAITS!A:C , 3,FALSE), ),
IF(IFERROR(SEARCH("Shadow Step",L49),0) &gt; 0 , VLOOKUP("Shadow Step", vote4TRAITS!A:C , 3,FALSE), ),
IF(IFERROR(SEARCH("Shambling",L49),0) &gt; 0 , VLOOKUP("Shambling", vote4TRAITS!A:C , 3,FALSE), ),
IF(IFERROR(SEARCH("Stealthy",L49),0) &gt; 0 , VLOOKUP("Stealthy", vote4TRAITS!A:C , 3, FALSE), ),
IF(IFERROR(SEARCH("Web",L49),0) &gt; 0 , VLOOKUP("Web", vote4TRAITS!A:C , 3, FALSE), ),
IF(IFERROR(SEARCH("+1 Willpower",L49),0) &gt; 0 , VLOOKUP("+1 Willpower", vote4TRAITS!A:C , 3, FALSE), ),
IF(IFERROR(SEARCH("+1 Might",L49),0) &gt; 0 , VLOOKUP("+1 Might", vote4TRAITS!A:C , 3, FALSE), ),
IF(IFERROR(SEARCH("+1 Knowledge",L49),0) &gt; 0 , VLOOKUP("+1 Knowledge", vote4TRAITS!A:C , 3, FALSE), ),
IF(IFERROR(SEARCH("+1 Awareness",L49),0) &gt; 0 , VLOOKUP("+1 Awareness", vote4TRAITS!A:C , 3, FALSE), ),
IF(IFERROR(SEARCH("-1 Willpower",L49),0) &gt; 0 , VLOOKUP("-1 Willpower", vote4TRAITS!A:C , 3, FALSE), ),
IF(IFERROR(SEARCH("+1 Health",L49),0) &gt; 0 , VLOOKUP("+1 Health", vote4TRAITS!A:C , 3, FALSE), ),
IF(IFERROR(SEARCH("+2 Health",L49),0) &gt; 0 , VLOOKUP("+2 Health", vote4TRAITS!A:C , 3, FALSE), ),
IF(IFERROR(SEARCH("+1 Stamina",L49),0) &gt; 0 , VLOOKUP("+1 Stamina", vote4TRAITS!A:C , 3, FALSE), ),
IF(IFERROR(SEARCH("+2 Stamina",L49),0) &gt; 0 , VLOOKUP("+2 Stamina", vote4TRAITS!A:C , 3, FALSE), ),
IFS(
IFERROR(SEARCH("+1 Range", L49),) &gt; 0 ,VLOOKUP("+1 Range", vote4TRAITS!A:C , 3, FALSE),
IFERROR(SEARCH("+2 Range", L49),) &gt; 0 ,VLOOKUP("+2 Range", vote4TRAITS!A:C , 3, FALSE),
IFERROR(SEARCH("+3 Range", L49),) &gt; 0,VLOOKUP("+3 Range", vote4TRAITS!A:C , 3, FALSE),
0=0,0)
,
IFS(
IFERROR(SEARCH("Sorcery 1", L49),) &gt; 0 ,VLOOKUP("Sorcery 1", vote4TRAITS!A:C , 3, FALSE),
IFERROR(SEARCH("Sorcery 2", L49),) &gt; 0 ,VLOOKUP("Sorcery 2", vote4TRAITS!A:C , 3, FALSE),
IFERROR(SEARCH("Sorcery 3", L49),) &gt; 0,VLOOKUP("Sorcery 3", vote4TRAITS!A:C , 3, FALSE),
0=0,0)
,
IFS(
IFERROR(SEARCH("Pierce 1", L49),) &gt; 0 ,VLOOKUP("Pierce 1", vote4TRAITS!A:C , 3, FALSE),
IFERROR(SEARCH("Pierce 2", L49),) &gt; 0 ,VLOOKUP("Pierce 2", vote4TRAITS!A:C , 3, FALSE),
IFERROR(SEARCH("Pierce 3", L49),) &gt; 0,VLOOKUP("Pierce 3", vote4TRAITS!A:C , 3, FALSE),
IFERROR(SEARCH("Pierce 4", L49),) &gt; 0 ,VLOOKUP("Pierce 4", vote4TRAITS!A:C , 3, FALSE),
0=0,0)
,
IFS(
IFERROR(SEARCH("+1 Health", L49),) &gt; 0 ,VLOOKUP("+1 Health", vote4TRAITS!A:C , 3, FALSE),
IFERROR(SEARCH("+2 Health", L49),) &gt; 0 ,VLOOKUP("+2 Health", vote4TRAITS!A:C , 3, FALSE),
IFERROR(SEARCH("+3 Health", L49),) &gt; 0 ,VLOOKUP("+3 Health", vote4TRAITS!A:C , 3, FALSE),
IFERROR(SEARCH("+4 Health", L49),) &gt; 0 ,VLOOKUP("+4 Health", vote4TRAITS!A:C , 3, FALSE),
0=0,0)
,
IFS(
IFERROR(SEARCH("Soul Shackle 1", L49),) &gt; 0 ,VLOOKUP("Soul Shackle 1", vote4TRAITS!A:C , 3, FALSE),
IFERROR(SEARCH("Soul Shackle 2", L49),) &gt; 0 ,VLOOKUP("Soul Shackle 2", vote4TRAITS!A:C , 3, FALSE),
IFERROR(SEARCH("Soul Shackle 3", L49),) &gt; 0,VLOOKUP("Soul Shackle 3", vote4TRAITS!A:C , 3, FALSE),
0=0,0)
)</f>
        <v>0</v>
      </c>
      <c r="N49" s="311" t="s">
        <v>1605</v>
      </c>
      <c r="O49" s="317">
        <f>IF(ISBLANK(N49),,IFERROR(
IF(IFERROR(SEARCH("SS:",N49),0) &gt; 0, 
VLOOKUP(SUBSTITUTE(N49,"SS: ",""),vote4SURGE!$A:$C , 3, FALSE) - 2,
VLOOKUP(SUBSTITUTE(N49,"S: ",""),vote4SURGE!$A:$C , 3, FALSE)
)
,
IF(IFERROR(SEARCH("SS:",N49),0) &gt; 0, 
VLOOKUP(C49,vote4SURGE!$A:$C , 3, FALSE) - 2,
VLOOKUP(C49,vote4SURGE!$A:$C , 3, FALSE)
)
))</f>
        <v>4</v>
      </c>
      <c r="P49" s="315" t="s">
        <v>1534</v>
      </c>
      <c r="Q49" s="317">
        <f>IF(ISBLANK(P49),,IFERROR(
IF(IFERROR(SEARCH("SS:",P49),0) &gt; 0, 
VLOOKUP(SUBSTITUTE(P49,"SS: ",""),vote4SURGE!$A:$C , 3, FALSE) - 2,
VLOOKUP(SUBSTITUTE(P49,"S: ",""),vote4SURGE!$A:$C , 3, FALSE)
)
,
IF(IFERROR(SEARCH("SS:",P49),0) &gt; 0, 
VLOOKUP(C49,vote4SURGE!$A:$C , 3, FALSE) - 2,
VLOOKUP(C49,vote4SURGE!$A:$C , 3, FALSE)
)
))</f>
        <v>4.25</v>
      </c>
      <c r="R49" s="318"/>
      <c r="S49" s="319" t="str">
        <f>IF(ISBLANK(R49),,IFERROR(
IF(IFERROR(SEARCH("SS:",R49),0) &gt; 0, 
VLOOKUP(SUBSTITUTE(R49,"SS: ",""),vote4SURGE!$A:$C , 3, FALSE) - 2,
VLOOKUP(SUBSTITUTE(R49,"S: ",""),vote4SURGE!$A:$C , 3, FALSE)
)
,
IF(IFERROR(SEARCH("SS:",R49),0) &gt; 0, 
VLOOKUP(C49,vote4SURGE!$A:$C , 3, FALSE) - 2,
VLOOKUP(C49,vote4SURGE!$A:$C , 3, FALSE)
)
))</f>
        <v/>
      </c>
      <c r="T49" s="320">
        <f t="shared" si="2"/>
        <v>2</v>
      </c>
      <c r="U49" s="320">
        <f>IFERROR(__xludf.DUMMYFUNCTION("ROUND(
IF(ISBLANK(G49),,
SWITCH(
LEN(G49) - LEN(SUBSTITUTE(G49,"","","""")),
0 , VLOOKUP(G49, Variables!$A:$C, 3, FALSE),
1 , VLOOKUP(index(split(G49 ,"", "", FALSE),1,1), Variables!$A:$C , 3, FALSE) + VLOOKUP(index(split(G49 ,"", "", FALSE),1,2), Variabl"&amp;"es!$A:$C , 3, FALSE),
2 , VLOOKUP(index(split(G49 ,"", "", FALSE),1,1), Variables!$A:$C , 3, FALSE) + VLOOKUP(index(split(G49 ,"", "", FALSE),1,2), Variables!$A:$C , 3, FALSE) + VLOOKUP(index(split(G49 ,"", "", FALSE),1,3), Variables!$A:$C , 3, FALSE),
3 "&amp;", VLOOKUP(index(split(G49 ,"", "", FALSE),1,1), Variables!$A:$C , 3, FALSE) + VLOOKUP(index(split(G49 ,"", "", FALSE),1,2), Variables!$A:$C , 3, FALSE) + VLOOKUP(index(split(G49 ,"", "", FALSE),1,3), Variables!$A:$C , 3, FALSE) + VLOOKUP(index(split(G49 ,"&amp;""", "", FALSE),1,4), Variables!$A:$C , 3, FALSE),
)
)
)"),1.0)</f>
        <v>1</v>
      </c>
      <c r="V49" s="317">
        <f t="shared" si="3"/>
        <v>6.25</v>
      </c>
      <c r="W49" s="321">
        <f t="shared" si="4"/>
        <v>11.75</v>
      </c>
      <c r="X49" s="322"/>
      <c r="Y49" s="322"/>
      <c r="Z49" s="322"/>
      <c r="AA49" s="322"/>
      <c r="AB49" s="322"/>
      <c r="AC49" s="322"/>
      <c r="AD49" s="322"/>
      <c r="AE49" s="322"/>
    </row>
    <row r="50" hidden="1">
      <c r="A50" s="310">
        <v>2.0</v>
      </c>
      <c r="B50" s="93">
        <f t="shared" si="1"/>
        <v>7</v>
      </c>
      <c r="C50" s="310" t="s">
        <v>1500</v>
      </c>
      <c r="D50" s="310">
        <v>175.0</v>
      </c>
      <c r="E50" s="310" t="s">
        <v>1520</v>
      </c>
      <c r="F50" s="310" t="s">
        <v>1521</v>
      </c>
      <c r="G50" s="313" t="s">
        <v>1528</v>
      </c>
      <c r="H50" s="312">
        <f>IFERROR(__xludf.DUMMYFUNCTION(" IF(ISBLANK(G50),,
SWITCH(
LEN(G50) - LEN(SUBSTITUTE(G50,"","","""")),
0 , VLOOKUP(G50, Variables!$A:$B, 2, FALSE),
1 , VLOOKUP(index(split(G50 ,"", "", FALSE),1,1), Variables!$A:$B , 2, FALSE) + VLOOKUP(index(split(G50 ,"", "", FALSE),1,2), Variables!$A:"&amp;"$B , 2, FALSE),
2 , VLOOKUP(index(split(G50 ,"", "", FALSE),1,1), Variables!$A:$B , 2, FALSE) + VLOOKUP(index(split(G50 ,"", "", FALSE),1,2), Variables!$A:$B , 2, FALSE) + VLOOKUP(index(split(G50 ,"", "", FALSE),1,3), Variables!$A:$B , 2, FALSE),
3 , VLOO"&amp;"KUP(index(split(G50 ,"", "", FALSE),1,1), Variables!$A:$B , 2, FALSE) + VLOOKUP(index(split(G50 ,"", "", FALSE),1,2), Variables!$A:$B , 2, FALSE) + VLOOKUP(index(split(G50 ,"", "", FALSE),1,3), Variables!$A:$B , 2, FALSE) + VLOOKUP(index(split(G50 ,"", """&amp;", FALSE),1,4), Variables!$A:$B , 2, FALSE),
)
)"),5.5)</f>
        <v>5.5</v>
      </c>
      <c r="I50" s="310" t="s">
        <v>1526</v>
      </c>
      <c r="J50" s="313"/>
      <c r="K50" s="314" t="str">
        <f>IFERROR(VLOOKUP(C50,vote4ITEMS!$A:$C, 3, FALSE),)</f>
        <v/>
      </c>
      <c r="L50" s="313"/>
      <c r="M50" s="314">
        <f>SUM(
IF(IFERROR(SEARCH("Aura 1",L50),0) &gt; 0 , VLOOKUP("Aura 1", vote4TRAITS!A:C , 3, FALSE), ),
IF(IFERROR(SEARCH("Backswing",L50),0) &gt; 0 , VLOOKUP("Backswing", vote4TRAITS!A:C , 3, FALSE), ),
IF(IFERROR(SEARCH("Blast",L50),0) &gt; 0 , VLOOKUP("Blast", vote4TRAITS!A:C , 3, FALSE), ),
IF(IFERROR(SEARCH("Combustible",L50),0) &gt; 0 , VLOOKUP("Combustible", vote4TRAITS!A:C , 3, FALSE), ),
IF(IFERROR(SEARCH("Command",L50),0) &gt; 0 , VLOOKUP("Command", vote4TRAITS!A:C , 3, FALSE), ),
IF(IFERROR(SEARCH("Cowardly",L50),0) &gt; 0 , VLOOKUP("Cowardly", vote4TRAITS!A:C , 3, FALSE), ),
IF(IFERROR(SEARCH("Death Wish",L50),0) &gt; 0 , VLOOKUP("Death Wish", vote4TRAITS!A:C , 3, FALSE), ),
IF(IFERROR(SEARCH("Entomb",L50),0) &gt; 0 , VLOOKUP("Entomb", vote4TRAITS!A:C , 3, FALSE), ),
IF(IFERROR(SEARCH("Ethereal Hold",L50),0) &gt; 0 , VLOOKUP("Ethereal Hold", vote4TRAITS!A:C , 3, FALSE), ),
IF(IFERROR(SEARCH("Extend",L50),0) &gt; 0 , VLOOKUP("Extend", vote4TRAITS!A:C , 3, FALSE), ),
IF(IFERROR(SEARCH("Filthy Murk",L50),0) &gt; 0 , VLOOKUP("Filthy Murk", vote4TRAITS!A:C , 3, FALSE), ),
IF(IFERROR(SEARCH("Flame Fiend",L50),0) &gt; 0 , VLOOKUP("Flame Fiend", vote4TRAITS!A:C , 3, FALSE), ),
IF(IFERROR(SEARCH("Fleshmonger",L50),0) &gt; 0 , VLOOKUP("Fleshmonger", vote4TRAITS!A:C , 3, FALSE), ),
IF(IFERROR(SEARCH("Fly",L50),0) &gt; 0 , VLOOKUP("Fly", vote4TRAITS!A:C , 3, FALSE), ),
IF(IFERROR(SEARCH("Freezing",L50),0) &gt; 0 , VLOOKUP("Freezing", vote4TRAITS!A:C , 3, FALSE), ),
IF(IFERROR(SEARCH("Lithesome",L50),0) &gt; 0 , VLOOKUP("Lithesome", vote4TRAITS!A:C , 3, FALSE), ),
IF(IFERROR(SEARCH("Harrowing",L50),0) &gt; 0 , VLOOKUP("Harrowing", vote4TRAITS!A:C , 3, FALSE), ),
IF(IFERROR(SEARCH("Hideous Laughter",L50),0) &gt; 0 , VLOOKUP("Hideous Laughter", vote4TRAITS!A:C , 3, FALSE), ),
IF(IFERROR(SEARCH("Hive Defense",L50),0) &gt; 0 , VLOOKUP("Hive Defense", vote4TRAITS!A:C , 3, FALSE), ),
IF(IFERROR(SEARCH("Horrifying",L50),0) &gt; 0 , VLOOKUP("Horrifying", vote4TRAITS!A:C , 3, FALSE), ),
IF(IFERROR(SEARCH("Ironskin",L50),0) &gt; 0 , VLOOKUP("Ironskin", vote4TRAITS!A:C , 3, FALSE), ),
IF(IFERROR(SEARCH("Unmovable",L50),0) &gt; 0 , VLOOKUP("Unmovable", vote4TRAITS!A:C , 3, FALSE), ),
IF(IFERROR(SEARCH("Lifethirst 1",L50),0) &gt; 0 , VLOOKUP("Lifethirst 1", vote4TRAITS!A:C , 3, FALSE), ),
IF(IFERROR(SEARCH("Lifethirst 2",L50),0) &gt; 0 , VLOOKUP("Lifethirst 2", vote4TRAITS!A:C , 3, FALSE), ),
IF(IFERROR(SEARCH("Morph",L50),0) &gt; 0 , VLOOKUP("Morph", vote4TRAITS!A:C , 3, FALSE), ),
IF(IFERROR(SEARCH("Night Stalker",L50),0) &gt; 0 , VLOOKUP("Night Stalker", vote4TRAITS!A:C , 3, FALSE), ),
IF(IFERROR(SEARCH("Overflowing",L50),0) &gt; 0 , VLOOKUP("Overflowing", vote4TRAITS!A:C , 3, FALSE), ),
IF(IFERROR(SEARCH("Pestilence",L50),0) &gt; 0 , VLOOKUP("Pestilence", vote4TRAITS!A:C , 3, FALSE), ),
IF(IFERROR(SEARCH("Phalanx",L50),0) &gt; 0 , VLOOKUP("Phalanx", vote4TRAITS!A:C , 3, FALSE), ),
IF(IFERROR(SEARCH("Plagued",L50),0) &gt; 0 , VLOOKUP("Plagued", vote4TRAITS!A:C , 3, FALSE), ),
IF(IFERROR(SEARCH("Prey on the Weak",L50),0) &gt; 0 , VLOOKUP("Prey on the Weak", vote4TRAITS!A:C , 3, FALSE), ),
IF(IFERROR(SEARCH("Protect",L50),0) &gt; 0 , VLOOKUP("Protect", vote4TRAITS!A:C , 3, FALSE), ),
IF(IFERROR(SEARCH("Puncture",L50),0) &gt; 0 , VLOOKUP("Puncture", vote4TRAITS!A:C , 3, FALSE), ),
IF(IFERROR(SEARCH("Putrid Boils",L50),0) &gt; 0 , VLOOKUP("Putrid Boils", vote4TRAITS!A:C , 3, FALSE), ),
IF(IFERROR(SEARCH("Ravage",L50),0) &gt; 0 , VLOOKUP("Ravage", vote4TRAITS!A:C , 3, FALSE), ),
IF(IFERROR(SEARCH("Ravenous",L50),0) &gt; 0 , VLOOKUP("Ravenous", vote4TRAITS!A:C , 3, FALSE), ),
IF(IFERROR(SEARCH("Reach",L50),0) &gt; 0 , VLOOKUP("Reach", vote4TRAITS!A:C , 3, FALSE), ),
IF(IFERROR(SEARCH("Reanimation",L50),0) &gt; 0 , VLOOKUP("Reanimation", vote4TRAITS!A:C , 3, FALSE), ),
IF(IFERROR(SEARCH("Reaper",L50),0) &gt; 0 , VLOOKUP("Reaper", vote4TRAITS!A:C , 3, FALSE), ),
IF(IFERROR(SEARCH("Riposte",L50),0) &gt; 0 , VLOOKUP("Riposte", vote4TRAITS!A:C , 3, FALSE)),
IF(IFERROR(SEARCH("Scamper",L50),0) &gt; 0 , VLOOKUP("Scamper", vote4TRAITS!A:C , 3, FALSE), ),
IF(IFERROR(SEARCH("Small Beginnings",L50),0) &gt; 0 , VLOOKUP("Small Beginnings", vote4TRAITS!A:C , 3, FALSE), ),
IF(IFERROR(SEARCH("Spawner",L50),0) &gt; 0 , VLOOKUP("Spawner", vote4TRAITS!A:C , 3,FALSE), ),
IF(IFERROR(SEARCH("Shadowr",L50),0) &gt; 0 , VLOOKUP("Shadow", vote4TRAITS!A:C , 3,FALSE), ),
IF(IFERROR(SEARCH("Shadow Step",L50),0) &gt; 0 , VLOOKUP("Shadow Step", vote4TRAITS!A:C , 3,FALSE), ),
IF(IFERROR(SEARCH("Shambling",L50),0) &gt; 0 , VLOOKUP("Shambling", vote4TRAITS!A:C , 3,FALSE), ),
IF(IFERROR(SEARCH("Stealthy",L50),0) &gt; 0 , VLOOKUP("Stealthy", vote4TRAITS!A:C , 3, FALSE), ),
IF(IFERROR(SEARCH("Web",L50),0) &gt; 0 , VLOOKUP("Web", vote4TRAITS!A:C , 3, FALSE), ),
IF(IFERROR(SEARCH("+1 Willpower",L50),0) &gt; 0 , VLOOKUP("+1 Willpower", vote4TRAITS!A:C , 3, FALSE), ),
IF(IFERROR(SEARCH("+1 Might",L50),0) &gt; 0 , VLOOKUP("+1 Might", vote4TRAITS!A:C , 3, FALSE), ),
IF(IFERROR(SEARCH("+1 Knowledge",L50),0) &gt; 0 , VLOOKUP("+1 Knowledge", vote4TRAITS!A:C , 3, FALSE), ),
IF(IFERROR(SEARCH("+1 Awareness",L50),0) &gt; 0 , VLOOKUP("+1 Awareness", vote4TRAITS!A:C , 3, FALSE), ),
IF(IFERROR(SEARCH("-1 Willpower",L50),0) &gt; 0 , VLOOKUP("-1 Willpower", vote4TRAITS!A:C , 3, FALSE), ),
IF(IFERROR(SEARCH("+1 Health",L50),0) &gt; 0 , VLOOKUP("+1 Health", vote4TRAITS!A:C , 3, FALSE), ),
IF(IFERROR(SEARCH("+2 Health",L50),0) &gt; 0 , VLOOKUP("+2 Health", vote4TRAITS!A:C , 3, FALSE), ),
IF(IFERROR(SEARCH("+1 Stamina",L50),0) &gt; 0 , VLOOKUP("+1 Stamina", vote4TRAITS!A:C , 3, FALSE), ),
IF(IFERROR(SEARCH("+2 Stamina",L50),0) &gt; 0 , VLOOKUP("+2 Stamina", vote4TRAITS!A:C , 3, FALSE), ),
IFS(
IFERROR(SEARCH("+1 Range", L50),) &gt; 0 ,VLOOKUP("+1 Range", vote4TRAITS!A:C , 3, FALSE),
IFERROR(SEARCH("+2 Range", L50),) &gt; 0 ,VLOOKUP("+2 Range", vote4TRAITS!A:C , 3, FALSE),
IFERROR(SEARCH("+3 Range", L50),) &gt; 0,VLOOKUP("+3 Range", vote4TRAITS!A:C , 3, FALSE),
0=0,0)
,
IFS(
IFERROR(SEARCH("Sorcery 1", L50),) &gt; 0 ,VLOOKUP("Sorcery 1", vote4TRAITS!A:C , 3, FALSE),
IFERROR(SEARCH("Sorcery 2", L50),) &gt; 0 ,VLOOKUP("Sorcery 2", vote4TRAITS!A:C , 3, FALSE),
IFERROR(SEARCH("Sorcery 3", L50),) &gt; 0,VLOOKUP("Sorcery 3", vote4TRAITS!A:C , 3, FALSE),
0=0,0)
,
IFS(
IFERROR(SEARCH("Pierce 1", L50),) &gt; 0 ,VLOOKUP("Pierce 1", vote4TRAITS!A:C , 3, FALSE),
IFERROR(SEARCH("Pierce 2", L50),) &gt; 0 ,VLOOKUP("Pierce 2", vote4TRAITS!A:C , 3, FALSE),
IFERROR(SEARCH("Pierce 3", L50),) &gt; 0,VLOOKUP("Pierce 3", vote4TRAITS!A:C , 3, FALSE),
IFERROR(SEARCH("Pierce 4", L50),) &gt; 0 ,VLOOKUP("Pierce 4", vote4TRAITS!A:C , 3, FALSE),
0=0,0)
,
IFS(
IFERROR(SEARCH("+1 Health", L50),) &gt; 0 ,VLOOKUP("+1 Health", vote4TRAITS!A:C , 3, FALSE),
IFERROR(SEARCH("+2 Health", L50),) &gt; 0 ,VLOOKUP("+2 Health", vote4TRAITS!A:C , 3, FALSE),
IFERROR(SEARCH("+3 Health", L50),) &gt; 0 ,VLOOKUP("+3 Health", vote4TRAITS!A:C , 3, FALSE),
IFERROR(SEARCH("+4 Health", L50),) &gt; 0 ,VLOOKUP("+4 Health", vote4TRAITS!A:C , 3, FALSE),
0=0,0)
,
IFS(
IFERROR(SEARCH("Soul Shackle 1", L50),) &gt; 0 ,VLOOKUP("Soul Shackle 1", vote4TRAITS!A:C , 3, FALSE),
IFERROR(SEARCH("Soul Shackle 2", L50),) &gt; 0 ,VLOOKUP("Soul Shackle 2", vote4TRAITS!A:C , 3, FALSE),
IFERROR(SEARCH("Soul Shackle 3", L50),) &gt; 0,VLOOKUP("Soul Shackle 3", vote4TRAITS!A:C , 3, FALSE),
0=0,0)
)</f>
        <v>0</v>
      </c>
      <c r="N50" s="311" t="s">
        <v>1562</v>
      </c>
      <c r="O50" s="317">
        <f>IF(ISBLANK(N50),,IFERROR(
IF(IFERROR(SEARCH("SS:",N50),0) &gt; 0, 
VLOOKUP(SUBSTITUTE(N50,"SS: ",""),vote4SURGE!$A:$C , 3, FALSE) - 2,
VLOOKUP(SUBSTITUTE(N50,"S: ",""),vote4SURGE!$A:$C , 3, FALSE)
)
,
IF(IFERROR(SEARCH("SS:",N50),0) &gt; 0, 
VLOOKUP(C50,vote4SURGE!$A:$C , 3, FALSE) - 2,
VLOOKUP(C50,vote4SURGE!$A:$C , 3, FALSE)
)
))</f>
        <v>3.5</v>
      </c>
      <c r="P50" s="105" t="s">
        <v>1587</v>
      </c>
      <c r="Q50" s="317">
        <f>IF(ISBLANK(P50),,IFERROR(
IF(IFERROR(SEARCH("SS:",P50),0) &gt; 0, 
VLOOKUP(SUBSTITUTE(P50,"SS: ",""),vote4SURGE!$A:$C , 3, FALSE) - 2,
VLOOKUP(SUBSTITUTE(P50,"S: ",""),vote4SURGE!$A:$C , 3, FALSE)
)
,
IF(IFERROR(SEARCH("SS:",P50),0) &gt; 0, 
VLOOKUP(C50,vote4SURGE!$A:$C , 3, FALSE) - 2,
VLOOKUP(C50,vote4SURGE!$A:$C , 3, FALSE)
)
))</f>
        <v>5</v>
      </c>
      <c r="R50" s="318"/>
      <c r="S50" s="319" t="str">
        <f>IF(ISBLANK(R50),,IFERROR(
IF(IFERROR(SEARCH("SS:",R50),0) &gt; 0, 
VLOOKUP(SUBSTITUTE(R50,"SS: ",""),vote4SURGE!$A:$C , 3, FALSE) - 2,
VLOOKUP(SUBSTITUTE(R50,"S: ",""),vote4SURGE!$A:$C , 3, FALSE)
)
,
IF(IFERROR(SEARCH("SS:",R50),0) &gt; 0, 
VLOOKUP(C50,vote4SURGE!$A:$C , 3, FALSE) - 2,
VLOOKUP(C50,vote4SURGE!$A:$C , 3, FALSE)
)
))</f>
        <v/>
      </c>
      <c r="T50" s="320">
        <f t="shared" si="2"/>
        <v>3</v>
      </c>
      <c r="U50" s="320">
        <f>IFERROR(__xludf.DUMMYFUNCTION("ROUND(
IF(ISBLANK(G50),,
SWITCH(
LEN(G50) - LEN(SUBSTITUTE(G50,"","","""")),
0 , VLOOKUP(G50, Variables!$A:$C, 3, FALSE),
1 , VLOOKUP(index(split(G50 ,"", "", FALSE),1,1), Variables!$A:$C , 3, FALSE) + VLOOKUP(index(split(G50 ,"", "", FALSE),1,2), Variabl"&amp;"es!$A:$C , 3, FALSE),
2 , VLOOKUP(index(split(G50 ,"", "", FALSE),1,1), Variables!$A:$C , 3, FALSE) + VLOOKUP(index(split(G50 ,"", "", FALSE),1,2), Variables!$A:$C , 3, FALSE) + VLOOKUP(index(split(G50 ,"", "", FALSE),1,3), Variables!$A:$C , 3, FALSE),
3 "&amp;", VLOOKUP(index(split(G50 ,"", "", FALSE),1,1), Variables!$A:$C , 3, FALSE) + VLOOKUP(index(split(G50 ,"", "", FALSE),1,2), Variables!$A:$C , 3, FALSE) + VLOOKUP(index(split(G50 ,"", "", FALSE),1,3), Variables!$A:$C , 3, FALSE) + VLOOKUP(index(split(G50 ,"&amp;""", "", FALSE),1,4), Variables!$A:$C , 3, FALSE),
)
)
)"),1.0)</f>
        <v>1</v>
      </c>
      <c r="V50" s="317">
        <f t="shared" si="3"/>
        <v>6.166666667</v>
      </c>
      <c r="W50" s="321">
        <f t="shared" si="4"/>
        <v>11.66666667</v>
      </c>
      <c r="X50" s="322"/>
      <c r="Y50" s="322"/>
      <c r="Z50" s="322"/>
      <c r="AA50" s="322"/>
      <c r="AB50" s="322"/>
      <c r="AC50" s="322"/>
      <c r="AD50" s="322"/>
      <c r="AE50" s="322"/>
    </row>
    <row r="51" hidden="1">
      <c r="A51" s="310">
        <v>1.0</v>
      </c>
      <c r="B51" s="93">
        <f t="shared" si="1"/>
        <v>3</v>
      </c>
      <c r="C51" s="310" t="s">
        <v>1428</v>
      </c>
      <c r="D51" s="310">
        <v>150.0</v>
      </c>
      <c r="E51" s="310" t="s">
        <v>1520</v>
      </c>
      <c r="F51" s="310" t="s">
        <v>1531</v>
      </c>
      <c r="G51" s="313" t="s">
        <v>1548</v>
      </c>
      <c r="H51" s="312">
        <f>IFERROR(__xludf.DUMMYFUNCTION(" IF(ISBLANK(G51),,
SWITCH(
LEN(G51) - LEN(SUBSTITUTE(G51,"","","""")),
0 , VLOOKUP(G51, Variables!$A:$B, 2, FALSE),
1 , VLOOKUP(index(split(G51 ,"", "", FALSE),1,1), Variables!$A:$B , 2, FALSE) + VLOOKUP(index(split(G51 ,"", "", FALSE),1,2), Variables!$A:"&amp;"$B , 2, FALSE),
2 , VLOOKUP(index(split(G51 ,"", "", FALSE),1,1), Variables!$A:$B , 2, FALSE) + VLOOKUP(index(split(G51 ,"", "", FALSE),1,2), Variables!$A:$B , 2, FALSE) + VLOOKUP(index(split(G51 ,"", "", FALSE),1,3), Variables!$A:$B , 2, FALSE),
3 , VLOO"&amp;"KUP(index(split(G51 ,"", "", FALSE),1,1), Variables!$A:$B , 2, FALSE) + VLOOKUP(index(split(G51 ,"", "", FALSE),1,2), Variables!$A:$B , 2, FALSE) + VLOOKUP(index(split(G51 ,"", "", FALSE),1,3), Variables!$A:$B , 2, FALSE) + VLOOKUP(index(split(G51 ,"", """&amp;", FALSE),1,4), Variables!$A:$B , 2, FALSE),
)
)"),2.3333333333333335)</f>
        <v>2.333333333</v>
      </c>
      <c r="I51" s="310" t="s">
        <v>1570</v>
      </c>
      <c r="J51" s="313"/>
      <c r="K51" s="314" t="str">
        <f>IFERROR(VLOOKUP(C51,vote4ITEMS!$A:$C, 3, FALSE),)</f>
        <v/>
      </c>
      <c r="L51" s="313" t="s">
        <v>1137</v>
      </c>
      <c r="M51" s="314">
        <f>SUM(
IF(IFERROR(SEARCH("Aura 1",L51),0) &gt; 0 , VLOOKUP("Aura 1", vote4TRAITS!A:C , 3, FALSE), ),
IF(IFERROR(SEARCH("Backswing",L51),0) &gt; 0 , VLOOKUP("Backswing", vote4TRAITS!A:C , 3, FALSE), ),
IF(IFERROR(SEARCH("Blast",L51),0) &gt; 0 , VLOOKUP("Blast", vote4TRAITS!A:C , 3, FALSE), ),
IF(IFERROR(SEARCH("Combustible",L51),0) &gt; 0 , VLOOKUP("Combustible", vote4TRAITS!A:C , 3, FALSE), ),
IF(IFERROR(SEARCH("Command",L51),0) &gt; 0 , VLOOKUP("Command", vote4TRAITS!A:C , 3, FALSE), ),
IF(IFERROR(SEARCH("Cowardly",L51),0) &gt; 0 , VLOOKUP("Cowardly", vote4TRAITS!A:C , 3, FALSE), ),
IF(IFERROR(SEARCH("Death Wish",L51),0) &gt; 0 , VLOOKUP("Death Wish", vote4TRAITS!A:C , 3, FALSE), ),
IF(IFERROR(SEARCH("Entomb",L51),0) &gt; 0 , VLOOKUP("Entomb", vote4TRAITS!A:C , 3, FALSE), ),
IF(IFERROR(SEARCH("Ethereal Hold",L51),0) &gt; 0 , VLOOKUP("Ethereal Hold", vote4TRAITS!A:C , 3, FALSE), ),
IF(IFERROR(SEARCH("Extend",L51),0) &gt; 0 , VLOOKUP("Extend", vote4TRAITS!A:C , 3, FALSE), ),
IF(IFERROR(SEARCH("Filthy Murk",L51),0) &gt; 0 , VLOOKUP("Filthy Murk", vote4TRAITS!A:C , 3, FALSE), ),
IF(IFERROR(SEARCH("Flame Fiend",L51),0) &gt; 0 , VLOOKUP("Flame Fiend", vote4TRAITS!A:C , 3, FALSE), ),
IF(IFERROR(SEARCH("Fleshmonger",L51),0) &gt; 0 , VLOOKUP("Fleshmonger", vote4TRAITS!A:C , 3, FALSE), ),
IF(IFERROR(SEARCH("Fly",L51),0) &gt; 0 , VLOOKUP("Fly", vote4TRAITS!A:C , 3, FALSE), ),
IF(IFERROR(SEARCH("Freezing",L51),0) &gt; 0 , VLOOKUP("Freezing", vote4TRAITS!A:C , 3, FALSE), ),
IF(IFERROR(SEARCH("Lithesome",L51),0) &gt; 0 , VLOOKUP("Lithesome", vote4TRAITS!A:C , 3, FALSE), ),
IF(IFERROR(SEARCH("Harrowing",L51),0) &gt; 0 , VLOOKUP("Harrowing", vote4TRAITS!A:C , 3, FALSE), ),
IF(IFERROR(SEARCH("Hideous Laughter",L51),0) &gt; 0 , VLOOKUP("Hideous Laughter", vote4TRAITS!A:C , 3, FALSE), ),
IF(IFERROR(SEARCH("Hive Defense",L51),0) &gt; 0 , VLOOKUP("Hive Defense", vote4TRAITS!A:C , 3, FALSE), ),
IF(IFERROR(SEARCH("Horrifying",L51),0) &gt; 0 , VLOOKUP("Horrifying", vote4TRAITS!A:C , 3, FALSE), ),
IF(IFERROR(SEARCH("Ironskin",L51),0) &gt; 0 , VLOOKUP("Ironskin", vote4TRAITS!A:C , 3, FALSE), ),
IF(IFERROR(SEARCH("Unmovable",L51),0) &gt; 0 , VLOOKUP("Unmovable", vote4TRAITS!A:C , 3, FALSE), ),
IF(IFERROR(SEARCH("Lifethirst 1",L51),0) &gt; 0 , VLOOKUP("Lifethirst 1", vote4TRAITS!A:C , 3, FALSE), ),
IF(IFERROR(SEARCH("Lifethirst 2",L51),0) &gt; 0 , VLOOKUP("Lifethirst 2", vote4TRAITS!A:C , 3, FALSE), ),
IF(IFERROR(SEARCH("Morph",L51),0) &gt; 0 , VLOOKUP("Morph", vote4TRAITS!A:C , 3, FALSE), ),
IF(IFERROR(SEARCH("Night Stalker",L51),0) &gt; 0 , VLOOKUP("Night Stalker", vote4TRAITS!A:C , 3, FALSE), ),
IF(IFERROR(SEARCH("Overflowing",L51),0) &gt; 0 , VLOOKUP("Overflowing", vote4TRAITS!A:C , 3, FALSE), ),
IF(IFERROR(SEARCH("Pestilence",L51),0) &gt; 0 , VLOOKUP("Pestilence", vote4TRAITS!A:C , 3, FALSE), ),
IF(IFERROR(SEARCH("Phalanx",L51),0) &gt; 0 , VLOOKUP("Phalanx", vote4TRAITS!A:C , 3, FALSE), ),
IF(IFERROR(SEARCH("Plagued",L51),0) &gt; 0 , VLOOKUP("Plagued", vote4TRAITS!A:C , 3, FALSE), ),
IF(IFERROR(SEARCH("Prey on the Weak",L51),0) &gt; 0 , VLOOKUP("Prey on the Weak", vote4TRAITS!A:C , 3, FALSE), ),
IF(IFERROR(SEARCH("Protect",L51),0) &gt; 0 , VLOOKUP("Protect", vote4TRAITS!A:C , 3, FALSE), ),
IF(IFERROR(SEARCH("Puncture",L51),0) &gt; 0 , VLOOKUP("Puncture", vote4TRAITS!A:C , 3, FALSE), ),
IF(IFERROR(SEARCH("Putrid Boils",L51),0) &gt; 0 , VLOOKUP("Putrid Boils", vote4TRAITS!A:C , 3, FALSE), ),
IF(IFERROR(SEARCH("Ravage",L51),0) &gt; 0 , VLOOKUP("Ravage", vote4TRAITS!A:C , 3, FALSE), ),
IF(IFERROR(SEARCH("Ravenous",L51),0) &gt; 0 , VLOOKUP("Ravenous", vote4TRAITS!A:C , 3, FALSE), ),
IF(IFERROR(SEARCH("Reach",L51),0) &gt; 0 , VLOOKUP("Reach", vote4TRAITS!A:C , 3, FALSE), ),
IF(IFERROR(SEARCH("Reanimation",L51),0) &gt; 0 , VLOOKUP("Reanimation", vote4TRAITS!A:C , 3, FALSE), ),
IF(IFERROR(SEARCH("Reaper",L51),0) &gt; 0 , VLOOKUP("Reaper", vote4TRAITS!A:C , 3, FALSE), ),
IF(IFERROR(SEARCH("Riposte",L51),0) &gt; 0 , VLOOKUP("Riposte", vote4TRAITS!A:C , 3, FALSE)),
IF(IFERROR(SEARCH("Scamper",L51),0) &gt; 0 , VLOOKUP("Scamper", vote4TRAITS!A:C , 3, FALSE), ),
IF(IFERROR(SEARCH("Small Beginnings",L51),0) &gt; 0 , VLOOKUP("Small Beginnings", vote4TRAITS!A:C , 3, FALSE), ),
IF(IFERROR(SEARCH("Spawner",L51),0) &gt; 0 , VLOOKUP("Spawner", vote4TRAITS!A:C , 3,FALSE), ),
IF(IFERROR(SEARCH("Shadowr",L51),0) &gt; 0 , VLOOKUP("Shadow", vote4TRAITS!A:C , 3,FALSE), ),
IF(IFERROR(SEARCH("Shadow Step",L51),0) &gt; 0 , VLOOKUP("Shadow Step", vote4TRAITS!A:C , 3,FALSE), ),
IF(IFERROR(SEARCH("Shambling",L51),0) &gt; 0 , VLOOKUP("Shambling", vote4TRAITS!A:C , 3,FALSE), ),
IF(IFERROR(SEARCH("Stealthy",L51),0) &gt; 0 , VLOOKUP("Stealthy", vote4TRAITS!A:C , 3, FALSE), ),
IF(IFERROR(SEARCH("Web",L51),0) &gt; 0 , VLOOKUP("Web", vote4TRAITS!A:C , 3, FALSE), ),
IF(IFERROR(SEARCH("+1 Willpower",L51),0) &gt; 0 , VLOOKUP("+1 Willpower", vote4TRAITS!A:C , 3, FALSE), ),
IF(IFERROR(SEARCH("+1 Might",L51),0) &gt; 0 , VLOOKUP("+1 Might", vote4TRAITS!A:C , 3, FALSE), ),
IF(IFERROR(SEARCH("+1 Knowledge",L51),0) &gt; 0 , VLOOKUP("+1 Knowledge", vote4TRAITS!A:C , 3, FALSE), ),
IF(IFERROR(SEARCH("+1 Awareness",L51),0) &gt; 0 , VLOOKUP("+1 Awareness", vote4TRAITS!A:C , 3, FALSE), ),
IF(IFERROR(SEARCH("-1 Willpower",L51),0) &gt; 0 , VLOOKUP("-1 Willpower", vote4TRAITS!A:C , 3, FALSE), ),
IF(IFERROR(SEARCH("+1 Health",L51),0) &gt; 0 , VLOOKUP("+1 Health", vote4TRAITS!A:C , 3, FALSE), ),
IF(IFERROR(SEARCH("+2 Health",L51),0) &gt; 0 , VLOOKUP("+2 Health", vote4TRAITS!A:C , 3, FALSE), ),
IF(IFERROR(SEARCH("+1 Stamina",L51),0) &gt; 0 , VLOOKUP("+1 Stamina", vote4TRAITS!A:C , 3, FALSE), ),
IF(IFERROR(SEARCH("+2 Stamina",L51),0) &gt; 0 , VLOOKUP("+2 Stamina", vote4TRAITS!A:C , 3, FALSE), ),
IFS(
IFERROR(SEARCH("+1 Range", L51),) &gt; 0 ,VLOOKUP("+1 Range", vote4TRAITS!A:C , 3, FALSE),
IFERROR(SEARCH("+2 Range", L51),) &gt; 0 ,VLOOKUP("+2 Range", vote4TRAITS!A:C , 3, FALSE),
IFERROR(SEARCH("+3 Range", L51),) &gt; 0,VLOOKUP("+3 Range", vote4TRAITS!A:C , 3, FALSE),
0=0,0)
,
IFS(
IFERROR(SEARCH("Sorcery 1", L51),) &gt; 0 ,VLOOKUP("Sorcery 1", vote4TRAITS!A:C , 3, FALSE),
IFERROR(SEARCH("Sorcery 2", L51),) &gt; 0 ,VLOOKUP("Sorcery 2", vote4TRAITS!A:C , 3, FALSE),
IFERROR(SEARCH("Sorcery 3", L51),) &gt; 0,VLOOKUP("Sorcery 3", vote4TRAITS!A:C , 3, FALSE),
0=0,0)
,
IFS(
IFERROR(SEARCH("Pierce 1", L51),) &gt; 0 ,VLOOKUP("Pierce 1", vote4TRAITS!A:C , 3, FALSE),
IFERROR(SEARCH("Pierce 2", L51),) &gt; 0 ,VLOOKUP("Pierce 2", vote4TRAITS!A:C , 3, FALSE),
IFERROR(SEARCH("Pierce 3", L51),) &gt; 0,VLOOKUP("Pierce 3", vote4TRAITS!A:C , 3, FALSE),
IFERROR(SEARCH("Pierce 4", L51),) &gt; 0 ,VLOOKUP("Pierce 4", vote4TRAITS!A:C , 3, FALSE),
0=0,0)
,
IFS(
IFERROR(SEARCH("+1 Health", L51),) &gt; 0 ,VLOOKUP("+1 Health", vote4TRAITS!A:C , 3, FALSE),
IFERROR(SEARCH("+2 Health", L51),) &gt; 0 ,VLOOKUP("+2 Health", vote4TRAITS!A:C , 3, FALSE),
IFERROR(SEARCH("+3 Health", L51),) &gt; 0 ,VLOOKUP("+3 Health", vote4TRAITS!A:C , 3, FALSE),
IFERROR(SEARCH("+4 Health", L51),) &gt; 0 ,VLOOKUP("+4 Health", vote4TRAITS!A:C , 3, FALSE),
0=0,0)
,
IFS(
IFERROR(SEARCH("Soul Shackle 1", L51),) &gt; 0 ,VLOOKUP("Soul Shackle 1", vote4TRAITS!A:C , 3, FALSE),
IFERROR(SEARCH("Soul Shackle 2", L51),) &gt; 0 ,VLOOKUP("Soul Shackle 2", vote4TRAITS!A:C , 3, FALSE),
IFERROR(SEARCH("Soul Shackle 3", L51),) &gt; 0,VLOOKUP("Soul Shackle 3", vote4TRAITS!A:C , 3, FALSE),
0=0,0)
)</f>
        <v>6</v>
      </c>
      <c r="N51" s="311" t="s">
        <v>1555</v>
      </c>
      <c r="O51" s="317">
        <f>IF(ISBLANK(N51),,IFERROR(
IF(IFERROR(SEARCH("SS:",N51),0) &gt; 0, 
VLOOKUP(SUBSTITUTE(N51,"SS: ",""),vote4SURGE!$A:$C , 3, FALSE) - 2,
VLOOKUP(SUBSTITUTE(N51,"S: ",""),vote4SURGE!$A:$C , 3, FALSE)
)
,
IF(IFERROR(SEARCH("SS:",N51),0) &gt; 0, 
VLOOKUP(C51,vote4SURGE!$A:$C , 3, FALSE) - 2,
VLOOKUP(C51,vote4SURGE!$A:$C , 3, FALSE)
)
))</f>
        <v>3.25</v>
      </c>
      <c r="P51" s="318"/>
      <c r="Q51" s="317" t="str">
        <f>IF(ISBLANK(P51),,IFERROR(
IF(IFERROR(SEARCH("SS:",P51),0) &gt; 0, 
VLOOKUP(SUBSTITUTE(P51,"SS: ",""),vote4SURGE!$A:$C , 3, FALSE) - 2,
VLOOKUP(SUBSTITUTE(P51,"S: ",""),vote4SURGE!$A:$C , 3, FALSE)
)
,
IF(IFERROR(SEARCH("SS:",P51),0) &gt; 0, 
VLOOKUP(C51,vote4SURGE!$A:$C , 3, FALSE) - 2,
VLOOKUP(C51,vote4SURGE!$A:$C , 3, FALSE)
)
))</f>
        <v/>
      </c>
      <c r="R51" s="318"/>
      <c r="S51" s="319" t="str">
        <f>IF(ISBLANK(R51),,IFERROR(
IF(IFERROR(SEARCH("SS:",R51),0) &gt; 0, 
VLOOKUP(SUBSTITUTE(R51,"SS: ",""),vote4SURGE!$A:$C , 3, FALSE) - 2,
VLOOKUP(SUBSTITUTE(R51,"S: ",""),vote4SURGE!$A:$C , 3, FALSE)
)
,
IF(IFERROR(SEARCH("SS:",R51),0) &gt; 0, 
VLOOKUP(C51,vote4SURGE!$A:$C , 3, FALSE) - 2,
VLOOKUP(C51,vote4SURGE!$A:$C , 3, FALSE)
)
))</f>
        <v/>
      </c>
      <c r="T51" s="320">
        <f t="shared" si="2"/>
        <v>1</v>
      </c>
      <c r="U51" s="320">
        <f>IFERROR(__xludf.DUMMYFUNCTION("ROUND(
IF(ISBLANK(G51),,
SWITCH(
LEN(G51) - LEN(SUBSTITUTE(G51,"","","""")),
0 , VLOOKUP(G51, Variables!$A:$C, 3, FALSE),
1 , VLOOKUP(index(split(G51 ,"", "", FALSE),1,1), Variables!$A:$C , 3, FALSE) + VLOOKUP(index(split(G51 ,"", "", FALSE),1,2), Variabl"&amp;"es!$A:$C , 3, FALSE),
2 , VLOOKUP(index(split(G51 ,"", "", FALSE),1,1), Variables!$A:$C , 3, FALSE) + VLOOKUP(index(split(G51 ,"", "", FALSE),1,2), Variables!$A:$C , 3, FALSE) + VLOOKUP(index(split(G51 ,"", "", FALSE),1,3), Variables!$A:$C , 3, FALSE),
3 "&amp;", VLOOKUP(index(split(G51 ,"", "", FALSE),1,1), Variables!$A:$C , 3, FALSE) + VLOOKUP(index(split(G51 ,"", "", FALSE),1,2), Variables!$A:$C , 3, FALSE) + VLOOKUP(index(split(G51 ,"", "", FALSE),1,3), Variables!$A:$C , 3, FALSE) + VLOOKUP(index(split(G51 ,"&amp;""", "", FALSE),1,4), Variables!$A:$C , 3, FALSE),
)
)
)"),1.0)</f>
        <v>1</v>
      </c>
      <c r="V51" s="317">
        <f t="shared" si="3"/>
        <v>3.25</v>
      </c>
      <c r="W51" s="321">
        <f t="shared" si="4"/>
        <v>11.58333333</v>
      </c>
      <c r="X51" s="322"/>
      <c r="Y51" s="322"/>
      <c r="Z51" s="322"/>
      <c r="AA51" s="322"/>
      <c r="AB51" s="322"/>
      <c r="AC51" s="322"/>
      <c r="AD51" s="322"/>
      <c r="AE51" s="322"/>
    </row>
    <row r="52" hidden="1">
      <c r="A52" s="310">
        <v>2.0</v>
      </c>
      <c r="B52" s="93">
        <f t="shared" si="1"/>
        <v>7</v>
      </c>
      <c r="C52" s="310" t="s">
        <v>1606</v>
      </c>
      <c r="D52" s="310">
        <v>175.0</v>
      </c>
      <c r="E52" s="310" t="s">
        <v>1520</v>
      </c>
      <c r="F52" s="310" t="s">
        <v>1531</v>
      </c>
      <c r="G52" s="313" t="s">
        <v>1537</v>
      </c>
      <c r="H52" s="312">
        <f>IFERROR(__xludf.DUMMYFUNCTION(" IF(ISBLANK(G52),,
SWITCH(
LEN(G52) - LEN(SUBSTITUTE(G52,"","","""")),
0 , VLOOKUP(G52, Variables!$A:$B, 2, FALSE),
1 , VLOOKUP(index(split(G52 ,"", "", FALSE),1,1), Variables!$A:$B , 2, FALSE) + VLOOKUP(index(split(G52 ,"", "", FALSE),1,2), Variables!$A:"&amp;"$B , 2, FALSE),
2 , VLOOKUP(index(split(G52 ,"", "", FALSE),1,1), Variables!$A:$B , 2, FALSE) + VLOOKUP(index(split(G52 ,"", "", FALSE),1,2), Variables!$A:$B , 2, FALSE) + VLOOKUP(index(split(G52 ,"", "", FALSE),1,3), Variables!$A:$B , 2, FALSE),
3 , VLOO"&amp;"KUP(index(split(G52 ,"", "", FALSE),1,1), Variables!$A:$B , 2, FALSE) + VLOOKUP(index(split(G52 ,"", "", FALSE),1,2), Variables!$A:$B , 2, FALSE) + VLOOKUP(index(split(G52 ,"", "", FALSE),1,3), Variables!$A:$B , 2, FALSE) + VLOOKUP(index(split(G52 ,"", """&amp;", FALSE),1,4), Variables!$A:$B , 2, FALSE),
)
)"),4.5)</f>
        <v>4.5</v>
      </c>
      <c r="I52" s="310" t="s">
        <v>1570</v>
      </c>
      <c r="J52" s="313"/>
      <c r="K52" s="314" t="str">
        <f>IFERROR(VLOOKUP(C52,vote4ITEMS!$A:$C, 3, FALSE),)</f>
        <v/>
      </c>
      <c r="L52" s="313"/>
      <c r="M52" s="314">
        <f>SUM(
IF(IFERROR(SEARCH("Aura 1",L52),0) &gt; 0 , VLOOKUP("Aura 1", vote4TRAITS!A:C , 3, FALSE), ),
IF(IFERROR(SEARCH("Backswing",L52),0) &gt; 0 , VLOOKUP("Backswing", vote4TRAITS!A:C , 3, FALSE), ),
IF(IFERROR(SEARCH("Blast",L52),0) &gt; 0 , VLOOKUP("Blast", vote4TRAITS!A:C , 3, FALSE), ),
IF(IFERROR(SEARCH("Combustible",L52),0) &gt; 0 , VLOOKUP("Combustible", vote4TRAITS!A:C , 3, FALSE), ),
IF(IFERROR(SEARCH("Command",L52),0) &gt; 0 , VLOOKUP("Command", vote4TRAITS!A:C , 3, FALSE), ),
IF(IFERROR(SEARCH("Cowardly",L52),0) &gt; 0 , VLOOKUP("Cowardly", vote4TRAITS!A:C , 3, FALSE), ),
IF(IFERROR(SEARCH("Death Wish",L52),0) &gt; 0 , VLOOKUP("Death Wish", vote4TRAITS!A:C , 3, FALSE), ),
IF(IFERROR(SEARCH("Entomb",L52),0) &gt; 0 , VLOOKUP("Entomb", vote4TRAITS!A:C , 3, FALSE), ),
IF(IFERROR(SEARCH("Ethereal Hold",L52),0) &gt; 0 , VLOOKUP("Ethereal Hold", vote4TRAITS!A:C , 3, FALSE), ),
IF(IFERROR(SEARCH("Extend",L52),0) &gt; 0 , VLOOKUP("Extend", vote4TRAITS!A:C , 3, FALSE), ),
IF(IFERROR(SEARCH("Filthy Murk",L52),0) &gt; 0 , VLOOKUP("Filthy Murk", vote4TRAITS!A:C , 3, FALSE), ),
IF(IFERROR(SEARCH("Flame Fiend",L52),0) &gt; 0 , VLOOKUP("Flame Fiend", vote4TRAITS!A:C , 3, FALSE), ),
IF(IFERROR(SEARCH("Fleshmonger",L52),0) &gt; 0 , VLOOKUP("Fleshmonger", vote4TRAITS!A:C , 3, FALSE), ),
IF(IFERROR(SEARCH("Fly",L52),0) &gt; 0 , VLOOKUP("Fly", vote4TRAITS!A:C , 3, FALSE), ),
IF(IFERROR(SEARCH("Freezing",L52),0) &gt; 0 , VLOOKUP("Freezing", vote4TRAITS!A:C , 3, FALSE), ),
IF(IFERROR(SEARCH("Lithesome",L52),0) &gt; 0 , VLOOKUP("Lithesome", vote4TRAITS!A:C , 3, FALSE), ),
IF(IFERROR(SEARCH("Harrowing",L52),0) &gt; 0 , VLOOKUP("Harrowing", vote4TRAITS!A:C , 3, FALSE), ),
IF(IFERROR(SEARCH("Hideous Laughter",L52),0) &gt; 0 , VLOOKUP("Hideous Laughter", vote4TRAITS!A:C , 3, FALSE), ),
IF(IFERROR(SEARCH("Hive Defense",L52),0) &gt; 0 , VLOOKUP("Hive Defense", vote4TRAITS!A:C , 3, FALSE), ),
IF(IFERROR(SEARCH("Horrifying",L52),0) &gt; 0 , VLOOKUP("Horrifying", vote4TRAITS!A:C , 3, FALSE), ),
IF(IFERROR(SEARCH("Ironskin",L52),0) &gt; 0 , VLOOKUP("Ironskin", vote4TRAITS!A:C , 3, FALSE), ),
IF(IFERROR(SEARCH("Unmovable",L52),0) &gt; 0 , VLOOKUP("Unmovable", vote4TRAITS!A:C , 3, FALSE), ),
IF(IFERROR(SEARCH("Lifethirst 1",L52),0) &gt; 0 , VLOOKUP("Lifethirst 1", vote4TRAITS!A:C , 3, FALSE), ),
IF(IFERROR(SEARCH("Lifethirst 2",L52),0) &gt; 0 , VLOOKUP("Lifethirst 2", vote4TRAITS!A:C , 3, FALSE), ),
IF(IFERROR(SEARCH("Morph",L52),0) &gt; 0 , VLOOKUP("Morph", vote4TRAITS!A:C , 3, FALSE), ),
IF(IFERROR(SEARCH("Night Stalker",L52),0) &gt; 0 , VLOOKUP("Night Stalker", vote4TRAITS!A:C , 3, FALSE), ),
IF(IFERROR(SEARCH("Overflowing",L52),0) &gt; 0 , VLOOKUP("Overflowing", vote4TRAITS!A:C , 3, FALSE), ),
IF(IFERROR(SEARCH("Pestilence",L52),0) &gt; 0 , VLOOKUP("Pestilence", vote4TRAITS!A:C , 3, FALSE), ),
IF(IFERROR(SEARCH("Phalanx",L52),0) &gt; 0 , VLOOKUP("Phalanx", vote4TRAITS!A:C , 3, FALSE), ),
IF(IFERROR(SEARCH("Plagued",L52),0) &gt; 0 , VLOOKUP("Plagued", vote4TRAITS!A:C , 3, FALSE), ),
IF(IFERROR(SEARCH("Prey on the Weak",L52),0) &gt; 0 , VLOOKUP("Prey on the Weak", vote4TRAITS!A:C , 3, FALSE), ),
IF(IFERROR(SEARCH("Protect",L52),0) &gt; 0 , VLOOKUP("Protect", vote4TRAITS!A:C , 3, FALSE), ),
IF(IFERROR(SEARCH("Puncture",L52),0) &gt; 0 , VLOOKUP("Puncture", vote4TRAITS!A:C , 3, FALSE), ),
IF(IFERROR(SEARCH("Putrid Boils",L52),0) &gt; 0 , VLOOKUP("Putrid Boils", vote4TRAITS!A:C , 3, FALSE), ),
IF(IFERROR(SEARCH("Ravage",L52),0) &gt; 0 , VLOOKUP("Ravage", vote4TRAITS!A:C , 3, FALSE), ),
IF(IFERROR(SEARCH("Ravenous",L52),0) &gt; 0 , VLOOKUP("Ravenous", vote4TRAITS!A:C , 3, FALSE), ),
IF(IFERROR(SEARCH("Reach",L52),0) &gt; 0 , VLOOKUP("Reach", vote4TRAITS!A:C , 3, FALSE), ),
IF(IFERROR(SEARCH("Reanimation",L52),0) &gt; 0 , VLOOKUP("Reanimation", vote4TRAITS!A:C , 3, FALSE), ),
IF(IFERROR(SEARCH("Reaper",L52),0) &gt; 0 , VLOOKUP("Reaper", vote4TRAITS!A:C , 3, FALSE), ),
IF(IFERROR(SEARCH("Riposte",L52),0) &gt; 0 , VLOOKUP("Riposte", vote4TRAITS!A:C , 3, FALSE)),
IF(IFERROR(SEARCH("Scamper",L52),0) &gt; 0 , VLOOKUP("Scamper", vote4TRAITS!A:C , 3, FALSE), ),
IF(IFERROR(SEARCH("Small Beginnings",L52),0) &gt; 0 , VLOOKUP("Small Beginnings", vote4TRAITS!A:C , 3, FALSE), ),
IF(IFERROR(SEARCH("Spawner",L52),0) &gt; 0 , VLOOKUP("Spawner", vote4TRAITS!A:C , 3,FALSE), ),
IF(IFERROR(SEARCH("Shadowr",L52),0) &gt; 0 , VLOOKUP("Shadow", vote4TRAITS!A:C , 3,FALSE), ),
IF(IFERROR(SEARCH("Shadow Step",L52),0) &gt; 0 , VLOOKUP("Shadow Step", vote4TRAITS!A:C , 3,FALSE), ),
IF(IFERROR(SEARCH("Shambling",L52),0) &gt; 0 , VLOOKUP("Shambling", vote4TRAITS!A:C , 3,FALSE), ),
IF(IFERROR(SEARCH("Stealthy",L52),0) &gt; 0 , VLOOKUP("Stealthy", vote4TRAITS!A:C , 3, FALSE), ),
IF(IFERROR(SEARCH("Web",L52),0) &gt; 0 , VLOOKUP("Web", vote4TRAITS!A:C , 3, FALSE), ),
IF(IFERROR(SEARCH("+1 Willpower",L52),0) &gt; 0 , VLOOKUP("+1 Willpower", vote4TRAITS!A:C , 3, FALSE), ),
IF(IFERROR(SEARCH("+1 Might",L52),0) &gt; 0 , VLOOKUP("+1 Might", vote4TRAITS!A:C , 3, FALSE), ),
IF(IFERROR(SEARCH("+1 Knowledge",L52),0) &gt; 0 , VLOOKUP("+1 Knowledge", vote4TRAITS!A:C , 3, FALSE), ),
IF(IFERROR(SEARCH("+1 Awareness",L52),0) &gt; 0 , VLOOKUP("+1 Awareness", vote4TRAITS!A:C , 3, FALSE), ),
IF(IFERROR(SEARCH("-1 Willpower",L52),0) &gt; 0 , VLOOKUP("-1 Willpower", vote4TRAITS!A:C , 3, FALSE), ),
IF(IFERROR(SEARCH("+1 Health",L52),0) &gt; 0 , VLOOKUP("+1 Health", vote4TRAITS!A:C , 3, FALSE), ),
IF(IFERROR(SEARCH("+2 Health",L52),0) &gt; 0 , VLOOKUP("+2 Health", vote4TRAITS!A:C , 3, FALSE), ),
IF(IFERROR(SEARCH("+1 Stamina",L52),0) &gt; 0 , VLOOKUP("+1 Stamina", vote4TRAITS!A:C , 3, FALSE), ),
IF(IFERROR(SEARCH("+2 Stamina",L52),0) &gt; 0 , VLOOKUP("+2 Stamina", vote4TRAITS!A:C , 3, FALSE), ),
IFS(
IFERROR(SEARCH("+1 Range", L52),) &gt; 0 ,VLOOKUP("+1 Range", vote4TRAITS!A:C , 3, FALSE),
IFERROR(SEARCH("+2 Range", L52),) &gt; 0 ,VLOOKUP("+2 Range", vote4TRAITS!A:C , 3, FALSE),
IFERROR(SEARCH("+3 Range", L52),) &gt; 0,VLOOKUP("+3 Range", vote4TRAITS!A:C , 3, FALSE),
0=0,0)
,
IFS(
IFERROR(SEARCH("Sorcery 1", L52),) &gt; 0 ,VLOOKUP("Sorcery 1", vote4TRAITS!A:C , 3, FALSE),
IFERROR(SEARCH("Sorcery 2", L52),) &gt; 0 ,VLOOKUP("Sorcery 2", vote4TRAITS!A:C , 3, FALSE),
IFERROR(SEARCH("Sorcery 3", L52),) &gt; 0,VLOOKUP("Sorcery 3", vote4TRAITS!A:C , 3, FALSE),
0=0,0)
,
IFS(
IFERROR(SEARCH("Pierce 1", L52),) &gt; 0 ,VLOOKUP("Pierce 1", vote4TRAITS!A:C , 3, FALSE),
IFERROR(SEARCH("Pierce 2", L52),) &gt; 0 ,VLOOKUP("Pierce 2", vote4TRAITS!A:C , 3, FALSE),
IFERROR(SEARCH("Pierce 3", L52),) &gt; 0,VLOOKUP("Pierce 3", vote4TRAITS!A:C , 3, FALSE),
IFERROR(SEARCH("Pierce 4", L52),) &gt; 0 ,VLOOKUP("Pierce 4", vote4TRAITS!A:C , 3, FALSE),
0=0,0)
,
IFS(
IFERROR(SEARCH("+1 Health", L52),) &gt; 0 ,VLOOKUP("+1 Health", vote4TRAITS!A:C , 3, FALSE),
IFERROR(SEARCH("+2 Health", L52),) &gt; 0 ,VLOOKUP("+2 Health", vote4TRAITS!A:C , 3, FALSE),
IFERROR(SEARCH("+3 Health", L52),) &gt; 0 ,VLOOKUP("+3 Health", vote4TRAITS!A:C , 3, FALSE),
IFERROR(SEARCH("+4 Health", L52),) &gt; 0 ,VLOOKUP("+4 Health", vote4TRAITS!A:C , 3, FALSE),
0=0,0)
,
IFS(
IFERROR(SEARCH("Soul Shackle 1", L52),) &gt; 0 ,VLOOKUP("Soul Shackle 1", vote4TRAITS!A:C , 3, FALSE),
IFERROR(SEARCH("Soul Shackle 2", L52),) &gt; 0 ,VLOOKUP("Soul Shackle 2", vote4TRAITS!A:C , 3, FALSE),
IFERROR(SEARCH("Soul Shackle 3", L52),) &gt; 0,VLOOKUP("Soul Shackle 3", vote4TRAITS!A:C , 3, FALSE),
0=0,0)
)</f>
        <v>0</v>
      </c>
      <c r="N52" s="311" t="s">
        <v>1555</v>
      </c>
      <c r="O52" s="317">
        <f>IF(ISBLANK(N52),,IFERROR(
IF(IFERROR(SEARCH("SS:",N52),0) &gt; 0, 
VLOOKUP(SUBSTITUTE(N52,"SS: ",""),vote4SURGE!$A:$C , 3, FALSE) - 2,
VLOOKUP(SUBSTITUTE(N52,"S: ",""),vote4SURGE!$A:$C , 3, FALSE)
)
,
IF(IFERROR(SEARCH("SS:",N52),0) &gt; 0, 
VLOOKUP(C52,vote4SURGE!$A:$C , 3, FALSE) - 2,
VLOOKUP(C52,vote4SURGE!$A:$C , 3, FALSE)
)
))</f>
        <v>3.25</v>
      </c>
      <c r="P52" s="315" t="s">
        <v>1534</v>
      </c>
      <c r="Q52" s="317">
        <f>IF(ISBLANK(P52),,IFERROR(
IF(IFERROR(SEARCH("SS:",P52),0) &gt; 0, 
VLOOKUP(SUBSTITUTE(P52,"SS: ",""),vote4SURGE!$A:$C , 3, FALSE) - 2,
VLOOKUP(SUBSTITUTE(P52,"S: ",""),vote4SURGE!$A:$C , 3, FALSE)
)
,
IF(IFERROR(SEARCH("SS:",P52),0) &gt; 0, 
VLOOKUP(C52,vote4SURGE!$A:$C , 3, FALSE) - 2,
VLOOKUP(C52,vote4SURGE!$A:$C , 3, FALSE)
)
))</f>
        <v>4.25</v>
      </c>
      <c r="R52" s="315" t="s">
        <v>1603</v>
      </c>
      <c r="S52" s="319">
        <f>IF(ISBLANK(R52),,IFERROR(
IF(IFERROR(SEARCH("SS:",R52),0) &gt; 0, 
VLOOKUP(SUBSTITUTE(R52,"SS: ",""),vote4SURGE!$A:$C , 3, FALSE) - 2,
VLOOKUP(SUBSTITUTE(R52,"S: ",""),vote4SURGE!$A:$C , 3, FALSE)
)
,
IF(IFERROR(SEARCH("SS:",R52),0) &gt; 0, 
VLOOKUP(C52,vote4SURGE!$A:$C , 3, FALSE) - 2,
VLOOKUP(C52,vote4SURGE!$A:$C , 3, FALSE)
)
))</f>
        <v>4.5</v>
      </c>
      <c r="T52" s="320">
        <f t="shared" si="2"/>
        <v>3</v>
      </c>
      <c r="U52" s="320">
        <f>IFERROR(__xludf.DUMMYFUNCTION("ROUND(
IF(ISBLANK(G52),,
SWITCH(
LEN(G52) - LEN(SUBSTITUTE(G52,"","","""")),
0 , VLOOKUP(G52, Variables!$A:$C, 3, FALSE),
1 , VLOOKUP(index(split(G52 ,"", "", FALSE),1,1), Variables!$A:$C , 3, FALSE) + VLOOKUP(index(split(G52 ,"", "", FALSE),1,2), Variabl"&amp;"es!$A:$C , 3, FALSE),
2 , VLOOKUP(index(split(G52 ,"", "", FALSE),1,1), Variables!$A:$C , 3, FALSE) + VLOOKUP(index(split(G52 ,"", "", FALSE),1,2), Variables!$A:$C , 3, FALSE) + VLOOKUP(index(split(G52 ,"", "", FALSE),1,3), Variables!$A:$C , 3, FALSE),
3 "&amp;", VLOOKUP(index(split(G52 ,"", "", FALSE),1,1), Variables!$A:$C , 3, FALSE) + VLOOKUP(index(split(G52 ,"", "", FALSE),1,2), Variables!$A:$C , 3, FALSE) + VLOOKUP(index(split(G52 ,"", "", FALSE),1,3), Variables!$A:$C , 3, FALSE) + VLOOKUP(index(split(G52 ,"&amp;""", "", FALSE),1,4), Variables!$A:$C , 3, FALSE),
)
)
)"),1.0)</f>
        <v>1</v>
      </c>
      <c r="V52" s="317">
        <f t="shared" si="3"/>
        <v>7</v>
      </c>
      <c r="W52" s="321">
        <f t="shared" si="4"/>
        <v>11.5</v>
      </c>
      <c r="X52" s="322"/>
      <c r="Y52" s="322"/>
      <c r="Z52" s="322"/>
      <c r="AA52" s="322"/>
      <c r="AB52" s="322"/>
      <c r="AC52" s="322"/>
      <c r="AD52" s="322"/>
      <c r="AE52" s="322"/>
    </row>
    <row r="53" hidden="1">
      <c r="A53" s="310" t="s">
        <v>1556</v>
      </c>
      <c r="B53" s="93" t="str">
        <f t="shared" si="1"/>
        <v/>
      </c>
      <c r="C53" s="310" t="s">
        <v>1281</v>
      </c>
      <c r="D53" s="323">
        <v>0.0</v>
      </c>
      <c r="E53" s="310" t="s">
        <v>1520</v>
      </c>
      <c r="F53" s="310" t="s">
        <v>1567</v>
      </c>
      <c r="G53" s="313" t="s">
        <v>1537</v>
      </c>
      <c r="H53" s="312">
        <f>IFERROR(__xludf.DUMMYFUNCTION(" IF(ISBLANK(G53),,
SWITCH(
LEN(G53) - LEN(SUBSTITUTE(G53,"","","""")),
0 , VLOOKUP(G53, Variables!$A:$B, 2, FALSE),
1 , VLOOKUP(index(split(G53 ,"", "", FALSE),1,1), Variables!$A:$B , 2, FALSE) + VLOOKUP(index(split(G53 ,"", "", FALSE),1,2), Variables!$A:"&amp;"$B , 2, FALSE),
2 , VLOOKUP(index(split(G53 ,"", "", FALSE),1,1), Variables!$A:$B , 2, FALSE) + VLOOKUP(index(split(G53 ,"", "", FALSE),1,2), Variables!$A:$B , 2, FALSE) + VLOOKUP(index(split(G53 ,"", "", FALSE),1,3), Variables!$A:$B , 2, FALSE),
3 , VLOO"&amp;"KUP(index(split(G53 ,"", "", FALSE),1,1), Variables!$A:$B , 2, FALSE) + VLOOKUP(index(split(G53 ,"", "", FALSE),1,2), Variables!$A:$B , 2, FALSE) + VLOOKUP(index(split(G53 ,"", "", FALSE),1,3), Variables!$A:$B , 2, FALSE) + VLOOKUP(index(split(G53 ,"", """&amp;", FALSE),1,4), Variables!$A:$B , 2, FALSE),
)
)"),4.5)</f>
        <v>4.5</v>
      </c>
      <c r="I53" s="310" t="s">
        <v>1554</v>
      </c>
      <c r="J53" s="311"/>
      <c r="K53" s="314" t="str">
        <f>IFERROR(VLOOKUP(C53,vote4ITEMS!$A:$C, 3, FALSE),)</f>
        <v/>
      </c>
      <c r="L53" s="328" t="s">
        <v>965</v>
      </c>
      <c r="M53" s="314">
        <f>SUM(
IF(IFERROR(SEARCH("Aura 1",L53),0) &gt; 0 , VLOOKUP("Aura 1", vote4TRAITS!A:C , 3, FALSE), ),
IF(IFERROR(SEARCH("Backswing",L53),0) &gt; 0 , VLOOKUP("Backswing", vote4TRAITS!A:C , 3, FALSE), ),
IF(IFERROR(SEARCH("Blast",L53),0) &gt; 0 , VLOOKUP("Blast", vote4TRAITS!A:C , 3, FALSE), ),
IF(IFERROR(SEARCH("Combustible",L53),0) &gt; 0 , VLOOKUP("Combustible", vote4TRAITS!A:C , 3, FALSE), ),
IF(IFERROR(SEARCH("Command",L53),0) &gt; 0 , VLOOKUP("Command", vote4TRAITS!A:C , 3, FALSE), ),
IF(IFERROR(SEARCH("Cowardly",L53),0) &gt; 0 , VLOOKUP("Cowardly", vote4TRAITS!A:C , 3, FALSE), ),
IF(IFERROR(SEARCH("Death Wish",L53),0) &gt; 0 , VLOOKUP("Death Wish", vote4TRAITS!A:C , 3, FALSE), ),
IF(IFERROR(SEARCH("Entomb",L53),0) &gt; 0 , VLOOKUP("Entomb", vote4TRAITS!A:C , 3, FALSE), ),
IF(IFERROR(SEARCH("Ethereal Hold",L53),0) &gt; 0 , VLOOKUP("Ethereal Hold", vote4TRAITS!A:C , 3, FALSE), ),
IF(IFERROR(SEARCH("Extend",L53),0) &gt; 0 , VLOOKUP("Extend", vote4TRAITS!A:C , 3, FALSE), ),
IF(IFERROR(SEARCH("Filthy Murk",L53),0) &gt; 0 , VLOOKUP("Filthy Murk", vote4TRAITS!A:C , 3, FALSE), ),
IF(IFERROR(SEARCH("Flame Fiend",L53),0) &gt; 0 , VLOOKUP("Flame Fiend", vote4TRAITS!A:C , 3, FALSE), ),
IF(IFERROR(SEARCH("Fleshmonger",L53),0) &gt; 0 , VLOOKUP("Fleshmonger", vote4TRAITS!A:C , 3, FALSE), ),
IF(IFERROR(SEARCH("Fly",L53),0) &gt; 0 , VLOOKUP("Fly", vote4TRAITS!A:C , 3, FALSE), ),
IF(IFERROR(SEARCH("Freezing",L53),0) &gt; 0 , VLOOKUP("Freezing", vote4TRAITS!A:C , 3, FALSE), ),
IF(IFERROR(SEARCH("Lithesome",L53),0) &gt; 0 , VLOOKUP("Lithesome", vote4TRAITS!A:C , 3, FALSE), ),
IF(IFERROR(SEARCH("Harrowing",L53),0) &gt; 0 , VLOOKUP("Harrowing", vote4TRAITS!A:C , 3, FALSE), ),
IF(IFERROR(SEARCH("Hideous Laughter",L53),0) &gt; 0 , VLOOKUP("Hideous Laughter", vote4TRAITS!A:C , 3, FALSE), ),
IF(IFERROR(SEARCH("Hive Defense",L53),0) &gt; 0 , VLOOKUP("Hive Defense", vote4TRAITS!A:C , 3, FALSE), ),
IF(IFERROR(SEARCH("Horrifying",L53),0) &gt; 0 , VLOOKUP("Horrifying", vote4TRAITS!A:C , 3, FALSE), ),
IF(IFERROR(SEARCH("Ironskin",L53),0) &gt; 0 , VLOOKUP("Ironskin", vote4TRAITS!A:C , 3, FALSE), ),
IF(IFERROR(SEARCH("Unmovable",L53),0) &gt; 0 , VLOOKUP("Unmovable", vote4TRAITS!A:C , 3, FALSE), ),
IF(IFERROR(SEARCH("Lifethirst 1",L53),0) &gt; 0 , VLOOKUP("Lifethirst 1", vote4TRAITS!A:C , 3, FALSE), ),
IF(IFERROR(SEARCH("Lifethirst 2",L53),0) &gt; 0 , VLOOKUP("Lifethirst 2", vote4TRAITS!A:C , 3, FALSE), ),
IF(IFERROR(SEARCH("Morph",L53),0) &gt; 0 , VLOOKUP("Morph", vote4TRAITS!A:C , 3, FALSE), ),
IF(IFERROR(SEARCH("Night Stalker",L53),0) &gt; 0 , VLOOKUP("Night Stalker", vote4TRAITS!A:C , 3, FALSE), ),
IF(IFERROR(SEARCH("Overflowing",L53),0) &gt; 0 , VLOOKUP("Overflowing", vote4TRAITS!A:C , 3, FALSE), ),
IF(IFERROR(SEARCH("Pestilence",L53),0) &gt; 0 , VLOOKUP("Pestilence", vote4TRAITS!A:C , 3, FALSE), ),
IF(IFERROR(SEARCH("Phalanx",L53),0) &gt; 0 , VLOOKUP("Phalanx", vote4TRAITS!A:C , 3, FALSE), ),
IF(IFERROR(SEARCH("Plagued",L53),0) &gt; 0 , VLOOKUP("Plagued", vote4TRAITS!A:C , 3, FALSE), ),
IF(IFERROR(SEARCH("Prey on the Weak",L53),0) &gt; 0 , VLOOKUP("Prey on the Weak", vote4TRAITS!A:C , 3, FALSE), ),
IF(IFERROR(SEARCH("Protect",L53),0) &gt; 0 , VLOOKUP("Protect", vote4TRAITS!A:C , 3, FALSE), ),
IF(IFERROR(SEARCH("Puncture",L53),0) &gt; 0 , VLOOKUP("Puncture", vote4TRAITS!A:C , 3, FALSE), ),
IF(IFERROR(SEARCH("Putrid Boils",L53),0) &gt; 0 , VLOOKUP("Putrid Boils", vote4TRAITS!A:C , 3, FALSE), ),
IF(IFERROR(SEARCH("Ravage",L53),0) &gt; 0 , VLOOKUP("Ravage", vote4TRAITS!A:C , 3, FALSE), ),
IF(IFERROR(SEARCH("Ravenous",L53),0) &gt; 0 , VLOOKUP("Ravenous", vote4TRAITS!A:C , 3, FALSE), ),
IF(IFERROR(SEARCH("Reach",L53),0) &gt; 0 , VLOOKUP("Reach", vote4TRAITS!A:C , 3, FALSE), ),
IF(IFERROR(SEARCH("Reanimation",L53),0) &gt; 0 , VLOOKUP("Reanimation", vote4TRAITS!A:C , 3, FALSE), ),
IF(IFERROR(SEARCH("Reaper",L53),0) &gt; 0 , VLOOKUP("Reaper", vote4TRAITS!A:C , 3, FALSE), ),
IF(IFERROR(SEARCH("Riposte",L53),0) &gt; 0 , VLOOKUP("Riposte", vote4TRAITS!A:C , 3, FALSE)),
IF(IFERROR(SEARCH("Scamper",L53),0) &gt; 0 , VLOOKUP("Scamper", vote4TRAITS!A:C , 3, FALSE), ),
IF(IFERROR(SEARCH("Small Beginnings",L53),0) &gt; 0 , VLOOKUP("Small Beginnings", vote4TRAITS!A:C , 3, FALSE), ),
IF(IFERROR(SEARCH("Spawner",L53),0) &gt; 0 , VLOOKUP("Spawner", vote4TRAITS!A:C , 3,FALSE), ),
IF(IFERROR(SEARCH("Shadowr",L53),0) &gt; 0 , VLOOKUP("Shadow", vote4TRAITS!A:C , 3,FALSE), ),
IF(IFERROR(SEARCH("Shadow Step",L53),0) &gt; 0 , VLOOKUP("Shadow Step", vote4TRAITS!A:C , 3,FALSE), ),
IF(IFERROR(SEARCH("Shambling",L53),0) &gt; 0 , VLOOKUP("Shambling", vote4TRAITS!A:C , 3,FALSE), ),
IF(IFERROR(SEARCH("Stealthy",L53),0) &gt; 0 , VLOOKUP("Stealthy", vote4TRAITS!A:C , 3, FALSE), ),
IF(IFERROR(SEARCH("Web",L53),0) &gt; 0 , VLOOKUP("Web", vote4TRAITS!A:C , 3, FALSE), ),
IF(IFERROR(SEARCH("+1 Willpower",L53),0) &gt; 0 , VLOOKUP("+1 Willpower", vote4TRAITS!A:C , 3, FALSE), ),
IF(IFERROR(SEARCH("+1 Might",L53),0) &gt; 0 , VLOOKUP("+1 Might", vote4TRAITS!A:C , 3, FALSE), ),
IF(IFERROR(SEARCH("+1 Knowledge",L53),0) &gt; 0 , VLOOKUP("+1 Knowledge", vote4TRAITS!A:C , 3, FALSE), ),
IF(IFERROR(SEARCH("+1 Awareness",L53),0) &gt; 0 , VLOOKUP("+1 Awareness", vote4TRAITS!A:C , 3, FALSE), ),
IF(IFERROR(SEARCH("-1 Willpower",L53),0) &gt; 0 , VLOOKUP("-1 Willpower", vote4TRAITS!A:C , 3, FALSE), ),
IF(IFERROR(SEARCH("+1 Health",L53),0) &gt; 0 , VLOOKUP("+1 Health", vote4TRAITS!A:C , 3, FALSE), ),
IF(IFERROR(SEARCH("+2 Health",L53),0) &gt; 0 , VLOOKUP("+2 Health", vote4TRAITS!A:C , 3, FALSE), ),
IF(IFERROR(SEARCH("+1 Stamina",L53),0) &gt; 0 , VLOOKUP("+1 Stamina", vote4TRAITS!A:C , 3, FALSE), ),
IF(IFERROR(SEARCH("+2 Stamina",L53),0) &gt; 0 , VLOOKUP("+2 Stamina", vote4TRAITS!A:C , 3, FALSE), ),
IFS(
IFERROR(SEARCH("+1 Range", L53),) &gt; 0 ,VLOOKUP("+1 Range", vote4TRAITS!A:C , 3, FALSE),
IFERROR(SEARCH("+2 Range", L53),) &gt; 0 ,VLOOKUP("+2 Range", vote4TRAITS!A:C , 3, FALSE),
IFERROR(SEARCH("+3 Range", L53),) &gt; 0,VLOOKUP("+3 Range", vote4TRAITS!A:C , 3, FALSE),
0=0,0)
,
IFS(
IFERROR(SEARCH("Sorcery 1", L53),) &gt; 0 ,VLOOKUP("Sorcery 1", vote4TRAITS!A:C , 3, FALSE),
IFERROR(SEARCH("Sorcery 2", L53),) &gt; 0 ,VLOOKUP("Sorcery 2", vote4TRAITS!A:C , 3, FALSE),
IFERROR(SEARCH("Sorcery 3", L53),) &gt; 0,VLOOKUP("Sorcery 3", vote4TRAITS!A:C , 3, FALSE),
0=0,0)
,
IFS(
IFERROR(SEARCH("Pierce 1", L53),) &gt; 0 ,VLOOKUP("Pierce 1", vote4TRAITS!A:C , 3, FALSE),
IFERROR(SEARCH("Pierce 2", L53),) &gt; 0 ,VLOOKUP("Pierce 2", vote4TRAITS!A:C , 3, FALSE),
IFERROR(SEARCH("Pierce 3", L53),) &gt; 0,VLOOKUP("Pierce 3", vote4TRAITS!A:C , 3, FALSE),
IFERROR(SEARCH("Pierce 4", L53),) &gt; 0 ,VLOOKUP("Pierce 4", vote4TRAITS!A:C , 3, FALSE),
0=0,0)
,
IFS(
IFERROR(SEARCH("+1 Health", L53),) &gt; 0 ,VLOOKUP("+1 Health", vote4TRAITS!A:C , 3, FALSE),
IFERROR(SEARCH("+2 Health", L53),) &gt; 0 ,VLOOKUP("+2 Health", vote4TRAITS!A:C , 3, FALSE),
IFERROR(SEARCH("+3 Health", L53),) &gt; 0 ,VLOOKUP("+3 Health", vote4TRAITS!A:C , 3, FALSE),
IFERROR(SEARCH("+4 Health", L53),) &gt; 0 ,VLOOKUP("+4 Health", vote4TRAITS!A:C , 3, FALSE),
0=0,0)
,
IFS(
IFERROR(SEARCH("Soul Shackle 1", L53),) &gt; 0 ,VLOOKUP("Soul Shackle 1", vote4TRAITS!A:C , 3, FALSE),
IFERROR(SEARCH("Soul Shackle 2", L53),) &gt; 0 ,VLOOKUP("Soul Shackle 2", vote4TRAITS!A:C , 3, FALSE),
IFERROR(SEARCH("Soul Shackle 3", L53),) &gt; 0,VLOOKUP("Soul Shackle 3", vote4TRAITS!A:C , 3, FALSE),
0=0,0)
)</f>
        <v>2</v>
      </c>
      <c r="N53" s="324" t="s">
        <v>1599</v>
      </c>
      <c r="O53" s="317">
        <f>IF(ISBLANK(N53),,IFERROR(
IF(IFERROR(SEARCH("SS:",N53),0) &gt; 0, 
VLOOKUP(SUBSTITUTE(N53,"SS: ",""),vote4SURGE!$A:$C , 3, FALSE) - 2,
VLOOKUP(SUBSTITUTE(N53,"S: ",""),vote4SURGE!$A:$C , 3, FALSE)
)
,
IF(IFERROR(SEARCH("SS:",N53),0) &gt; 0, 
VLOOKUP(C53,vote4SURGE!$A:$C , 3, FALSE) - 2,
VLOOKUP(C53,vote4SURGE!$A:$C , 3, FALSE)
)
))</f>
        <v>3.333333333</v>
      </c>
      <c r="P53" s="315" t="s">
        <v>1534</v>
      </c>
      <c r="Q53" s="317">
        <f>IF(ISBLANK(P53),,IFERROR(
IF(IFERROR(SEARCH("SS:",P53),0) &gt; 0, 
VLOOKUP(SUBSTITUTE(P53,"SS: ",""),vote4SURGE!$A:$C , 3, FALSE) - 2,
VLOOKUP(SUBSTITUTE(P53,"S: ",""),vote4SURGE!$A:$C , 3, FALSE)
)
,
IF(IFERROR(SEARCH("SS:",P53),0) &gt; 0, 
VLOOKUP(C53,vote4SURGE!$A:$C , 3, FALSE) - 2,
VLOOKUP(C53,vote4SURGE!$A:$C , 3, FALSE)
)
))</f>
        <v>4.25</v>
      </c>
      <c r="R53" s="318"/>
      <c r="S53" s="319" t="str">
        <f>IF(ISBLANK(R53),,IFERROR(
IF(IFERROR(SEARCH("SS:",R53),0) &gt; 0, 
VLOOKUP(SUBSTITUTE(R53,"SS: ",""),vote4SURGE!$A:$C , 3, FALSE) - 2,
VLOOKUP(SUBSTITUTE(R53,"S: ",""),vote4SURGE!$A:$C , 3, FALSE)
)
,
IF(IFERROR(SEARCH("SS:",R53),0) &gt; 0, 
VLOOKUP(C53,vote4SURGE!$A:$C , 3, FALSE) - 2,
VLOOKUP(C53,vote4SURGE!$A:$C , 3, FALSE)
)
))</f>
        <v/>
      </c>
      <c r="T53" s="320">
        <f t="shared" si="2"/>
        <v>2</v>
      </c>
      <c r="U53" s="320">
        <f>IFERROR(__xludf.DUMMYFUNCTION("ROUND(
IF(ISBLANK(G53),,
SWITCH(
LEN(G53) - LEN(SUBSTITUTE(G53,"","","""")),
0 , VLOOKUP(G53, Variables!$A:$C, 3, FALSE),
1 , VLOOKUP(index(split(G53 ,"", "", FALSE),1,1), Variables!$A:$C , 3, FALSE) + VLOOKUP(index(split(G53 ,"", "", FALSE),1,2), Variabl"&amp;"es!$A:$C , 3, FALSE),
2 , VLOOKUP(index(split(G53 ,"", "", FALSE),1,1), Variables!$A:$C , 3, FALSE) + VLOOKUP(index(split(G53 ,"", "", FALSE),1,2), Variables!$A:$C , 3, FALSE) + VLOOKUP(index(split(G53 ,"", "", FALSE),1,3), Variables!$A:$C , 3, FALSE),
3 "&amp;", VLOOKUP(index(split(G53 ,"", "", FALSE),1,1), Variables!$A:$C , 3, FALSE) + VLOOKUP(index(split(G53 ,"", "", FALSE),1,2), Variables!$A:$C , 3, FALSE) + VLOOKUP(index(split(G53 ,"", "", FALSE),1,3), Variables!$A:$C , 3, FALSE) + VLOOKUP(index(split(G53 ,"&amp;""", "", FALSE),1,4), Variables!$A:$C , 3, FALSE),
)
)
)"),1.0)</f>
        <v>1</v>
      </c>
      <c r="V53" s="317">
        <f t="shared" si="3"/>
        <v>5.916666667</v>
      </c>
      <c r="W53" s="321">
        <f t="shared" si="4"/>
        <v>12.41666667</v>
      </c>
      <c r="X53" s="322"/>
      <c r="Y53" s="322"/>
      <c r="Z53" s="322"/>
      <c r="AA53" s="322"/>
      <c r="AB53" s="322"/>
      <c r="AC53" s="322"/>
      <c r="AD53" s="322"/>
      <c r="AE53" s="322"/>
    </row>
    <row r="54" hidden="1">
      <c r="A54" s="310" t="s">
        <v>1556</v>
      </c>
      <c r="B54" s="93" t="str">
        <f t="shared" si="1"/>
        <v/>
      </c>
      <c r="C54" s="310" t="s">
        <v>886</v>
      </c>
      <c r="D54" s="323">
        <v>0.0</v>
      </c>
      <c r="E54" s="310" t="s">
        <v>1520</v>
      </c>
      <c r="F54" s="310" t="s">
        <v>1567</v>
      </c>
      <c r="G54" s="313" t="s">
        <v>1548</v>
      </c>
      <c r="H54" s="312">
        <f>IFERROR(__xludf.DUMMYFUNCTION(" IF(ISBLANK(G54),,
SWITCH(
LEN(G54) - LEN(SUBSTITUTE(G54,"","","""")),
0 , VLOOKUP(G54, Variables!$A:$B, 2, FALSE),
1 , VLOOKUP(index(split(G54 ,"", "", FALSE),1,1), Variables!$A:$B , 2, FALSE) + VLOOKUP(index(split(G54 ,"", "", FALSE),1,2), Variables!$A:"&amp;"$B , 2, FALSE),
2 , VLOOKUP(index(split(G54 ,"", "", FALSE),1,1), Variables!$A:$B , 2, FALSE) + VLOOKUP(index(split(G54 ,"", "", FALSE),1,2), Variables!$A:$B , 2, FALSE) + VLOOKUP(index(split(G54 ,"", "", FALSE),1,3), Variables!$A:$B , 2, FALSE),
3 , VLOO"&amp;"KUP(index(split(G54 ,"", "", FALSE),1,1), Variables!$A:$B , 2, FALSE) + VLOOKUP(index(split(G54 ,"", "", FALSE),1,2), Variables!$A:$B , 2, FALSE) + VLOOKUP(index(split(G54 ,"", "", FALSE),1,3), Variables!$A:$B , 2, FALSE) + VLOOKUP(index(split(G54 ,"", """&amp;", FALSE),1,4), Variables!$A:$B , 2, FALSE),
)
)"),2.3333333333333335)</f>
        <v>2.333333333</v>
      </c>
      <c r="I54" s="310" t="s">
        <v>1570</v>
      </c>
      <c r="J54" s="311" t="s">
        <v>887</v>
      </c>
      <c r="K54" s="314">
        <f>IFERROR(VLOOKUP(C54,vote4ITEMS!$A:$C, 3, FALSE),)</f>
        <v>2</v>
      </c>
      <c r="L54" s="324"/>
      <c r="M54" s="314">
        <f>SUM(
IF(IFERROR(SEARCH("Aura 1",L54),0) &gt; 0 , VLOOKUP("Aura 1", vote4TRAITS!A:C , 3, FALSE), ),
IF(IFERROR(SEARCH("Backswing",L54),0) &gt; 0 , VLOOKUP("Backswing", vote4TRAITS!A:C , 3, FALSE), ),
IF(IFERROR(SEARCH("Blast",L54),0) &gt; 0 , VLOOKUP("Blast", vote4TRAITS!A:C , 3, FALSE), ),
IF(IFERROR(SEARCH("Combustible",L54),0) &gt; 0 , VLOOKUP("Combustible", vote4TRAITS!A:C , 3, FALSE), ),
IF(IFERROR(SEARCH("Command",L54),0) &gt; 0 , VLOOKUP("Command", vote4TRAITS!A:C , 3, FALSE), ),
IF(IFERROR(SEARCH("Cowardly",L54),0) &gt; 0 , VLOOKUP("Cowardly", vote4TRAITS!A:C , 3, FALSE), ),
IF(IFERROR(SEARCH("Death Wish",L54),0) &gt; 0 , VLOOKUP("Death Wish", vote4TRAITS!A:C , 3, FALSE), ),
IF(IFERROR(SEARCH("Entomb",L54),0) &gt; 0 , VLOOKUP("Entomb", vote4TRAITS!A:C , 3, FALSE), ),
IF(IFERROR(SEARCH("Ethereal Hold",L54),0) &gt; 0 , VLOOKUP("Ethereal Hold", vote4TRAITS!A:C , 3, FALSE), ),
IF(IFERROR(SEARCH("Extend",L54),0) &gt; 0 , VLOOKUP("Extend", vote4TRAITS!A:C , 3, FALSE), ),
IF(IFERROR(SEARCH("Filthy Murk",L54),0) &gt; 0 , VLOOKUP("Filthy Murk", vote4TRAITS!A:C , 3, FALSE), ),
IF(IFERROR(SEARCH("Flame Fiend",L54),0) &gt; 0 , VLOOKUP("Flame Fiend", vote4TRAITS!A:C , 3, FALSE), ),
IF(IFERROR(SEARCH("Fleshmonger",L54),0) &gt; 0 , VLOOKUP("Fleshmonger", vote4TRAITS!A:C , 3, FALSE), ),
IF(IFERROR(SEARCH("Fly",L54),0) &gt; 0 , VLOOKUP("Fly", vote4TRAITS!A:C , 3, FALSE), ),
IF(IFERROR(SEARCH("Freezing",L54),0) &gt; 0 , VLOOKUP("Freezing", vote4TRAITS!A:C , 3, FALSE), ),
IF(IFERROR(SEARCH("Lithesome",L54),0) &gt; 0 , VLOOKUP("Lithesome", vote4TRAITS!A:C , 3, FALSE), ),
IF(IFERROR(SEARCH("Harrowing",L54),0) &gt; 0 , VLOOKUP("Harrowing", vote4TRAITS!A:C , 3, FALSE), ),
IF(IFERROR(SEARCH("Hideous Laughter",L54),0) &gt; 0 , VLOOKUP("Hideous Laughter", vote4TRAITS!A:C , 3, FALSE), ),
IF(IFERROR(SEARCH("Hive Defense",L54),0) &gt; 0 , VLOOKUP("Hive Defense", vote4TRAITS!A:C , 3, FALSE), ),
IF(IFERROR(SEARCH("Horrifying",L54),0) &gt; 0 , VLOOKUP("Horrifying", vote4TRAITS!A:C , 3, FALSE), ),
IF(IFERROR(SEARCH("Ironskin",L54),0) &gt; 0 , VLOOKUP("Ironskin", vote4TRAITS!A:C , 3, FALSE), ),
IF(IFERROR(SEARCH("Unmovable",L54),0) &gt; 0 , VLOOKUP("Unmovable", vote4TRAITS!A:C , 3, FALSE), ),
IF(IFERROR(SEARCH("Lifethirst 1",L54),0) &gt; 0 , VLOOKUP("Lifethirst 1", vote4TRAITS!A:C , 3, FALSE), ),
IF(IFERROR(SEARCH("Lifethirst 2",L54),0) &gt; 0 , VLOOKUP("Lifethirst 2", vote4TRAITS!A:C , 3, FALSE), ),
IF(IFERROR(SEARCH("Morph",L54),0) &gt; 0 , VLOOKUP("Morph", vote4TRAITS!A:C , 3, FALSE), ),
IF(IFERROR(SEARCH("Night Stalker",L54),0) &gt; 0 , VLOOKUP("Night Stalker", vote4TRAITS!A:C , 3, FALSE), ),
IF(IFERROR(SEARCH("Overflowing",L54),0) &gt; 0 , VLOOKUP("Overflowing", vote4TRAITS!A:C , 3, FALSE), ),
IF(IFERROR(SEARCH("Pestilence",L54),0) &gt; 0 , VLOOKUP("Pestilence", vote4TRAITS!A:C , 3, FALSE), ),
IF(IFERROR(SEARCH("Phalanx",L54),0) &gt; 0 , VLOOKUP("Phalanx", vote4TRAITS!A:C , 3, FALSE), ),
IF(IFERROR(SEARCH("Plagued",L54),0) &gt; 0 , VLOOKUP("Plagued", vote4TRAITS!A:C , 3, FALSE), ),
IF(IFERROR(SEARCH("Prey on the Weak",L54),0) &gt; 0 , VLOOKUP("Prey on the Weak", vote4TRAITS!A:C , 3, FALSE), ),
IF(IFERROR(SEARCH("Protect",L54),0) &gt; 0 , VLOOKUP("Protect", vote4TRAITS!A:C , 3, FALSE), ),
IF(IFERROR(SEARCH("Puncture",L54),0) &gt; 0 , VLOOKUP("Puncture", vote4TRAITS!A:C , 3, FALSE), ),
IF(IFERROR(SEARCH("Putrid Boils",L54),0) &gt; 0 , VLOOKUP("Putrid Boils", vote4TRAITS!A:C , 3, FALSE), ),
IF(IFERROR(SEARCH("Ravage",L54),0) &gt; 0 , VLOOKUP("Ravage", vote4TRAITS!A:C , 3, FALSE), ),
IF(IFERROR(SEARCH("Ravenous",L54),0) &gt; 0 , VLOOKUP("Ravenous", vote4TRAITS!A:C , 3, FALSE), ),
IF(IFERROR(SEARCH("Reach",L54),0) &gt; 0 , VLOOKUP("Reach", vote4TRAITS!A:C , 3, FALSE), ),
IF(IFERROR(SEARCH("Reanimation",L54),0) &gt; 0 , VLOOKUP("Reanimation", vote4TRAITS!A:C , 3, FALSE), ),
IF(IFERROR(SEARCH("Reaper",L54),0) &gt; 0 , VLOOKUP("Reaper", vote4TRAITS!A:C , 3, FALSE), ),
IF(IFERROR(SEARCH("Riposte",L54),0) &gt; 0 , VLOOKUP("Riposte", vote4TRAITS!A:C , 3, FALSE)),
IF(IFERROR(SEARCH("Scamper",L54),0) &gt; 0 , VLOOKUP("Scamper", vote4TRAITS!A:C , 3, FALSE), ),
IF(IFERROR(SEARCH("Small Beginnings",L54),0) &gt; 0 , VLOOKUP("Small Beginnings", vote4TRAITS!A:C , 3, FALSE), ),
IF(IFERROR(SEARCH("Spawner",L54),0) &gt; 0 , VLOOKUP("Spawner", vote4TRAITS!A:C , 3,FALSE), ),
IF(IFERROR(SEARCH("Shadowr",L54),0) &gt; 0 , VLOOKUP("Shadow", vote4TRAITS!A:C , 3,FALSE), ),
IF(IFERROR(SEARCH("Shadow Step",L54),0) &gt; 0 , VLOOKUP("Shadow Step", vote4TRAITS!A:C , 3,FALSE), ),
IF(IFERROR(SEARCH("Shambling",L54),0) &gt; 0 , VLOOKUP("Shambling", vote4TRAITS!A:C , 3,FALSE), ),
IF(IFERROR(SEARCH("Stealthy",L54),0) &gt; 0 , VLOOKUP("Stealthy", vote4TRAITS!A:C , 3, FALSE), ),
IF(IFERROR(SEARCH("Web",L54),0) &gt; 0 , VLOOKUP("Web", vote4TRAITS!A:C , 3, FALSE), ),
IF(IFERROR(SEARCH("+1 Willpower",L54),0) &gt; 0 , VLOOKUP("+1 Willpower", vote4TRAITS!A:C , 3, FALSE), ),
IF(IFERROR(SEARCH("+1 Might",L54),0) &gt; 0 , VLOOKUP("+1 Might", vote4TRAITS!A:C , 3, FALSE), ),
IF(IFERROR(SEARCH("+1 Knowledge",L54),0) &gt; 0 , VLOOKUP("+1 Knowledge", vote4TRAITS!A:C , 3, FALSE), ),
IF(IFERROR(SEARCH("+1 Awareness",L54),0) &gt; 0 , VLOOKUP("+1 Awareness", vote4TRAITS!A:C , 3, FALSE), ),
IF(IFERROR(SEARCH("-1 Willpower",L54),0) &gt; 0 , VLOOKUP("-1 Willpower", vote4TRAITS!A:C , 3, FALSE), ),
IF(IFERROR(SEARCH("+1 Health",L54),0) &gt; 0 , VLOOKUP("+1 Health", vote4TRAITS!A:C , 3, FALSE), ),
IF(IFERROR(SEARCH("+2 Health",L54),0) &gt; 0 , VLOOKUP("+2 Health", vote4TRAITS!A:C , 3, FALSE), ),
IF(IFERROR(SEARCH("+1 Stamina",L54),0) &gt; 0 , VLOOKUP("+1 Stamina", vote4TRAITS!A:C , 3, FALSE), ),
IF(IFERROR(SEARCH("+2 Stamina",L54),0) &gt; 0 , VLOOKUP("+2 Stamina", vote4TRAITS!A:C , 3, FALSE), ),
IFS(
IFERROR(SEARCH("+1 Range", L54),) &gt; 0 ,VLOOKUP("+1 Range", vote4TRAITS!A:C , 3, FALSE),
IFERROR(SEARCH("+2 Range", L54),) &gt; 0 ,VLOOKUP("+2 Range", vote4TRAITS!A:C , 3, FALSE),
IFERROR(SEARCH("+3 Range", L54),) &gt; 0,VLOOKUP("+3 Range", vote4TRAITS!A:C , 3, FALSE),
0=0,0)
,
IFS(
IFERROR(SEARCH("Sorcery 1", L54),) &gt; 0 ,VLOOKUP("Sorcery 1", vote4TRAITS!A:C , 3, FALSE),
IFERROR(SEARCH("Sorcery 2", L54),) &gt; 0 ,VLOOKUP("Sorcery 2", vote4TRAITS!A:C , 3, FALSE),
IFERROR(SEARCH("Sorcery 3", L54),) &gt; 0,VLOOKUP("Sorcery 3", vote4TRAITS!A:C , 3, FALSE),
0=0,0)
,
IFS(
IFERROR(SEARCH("Pierce 1", L54),) &gt; 0 ,VLOOKUP("Pierce 1", vote4TRAITS!A:C , 3, FALSE),
IFERROR(SEARCH("Pierce 2", L54),) &gt; 0 ,VLOOKUP("Pierce 2", vote4TRAITS!A:C , 3, FALSE),
IFERROR(SEARCH("Pierce 3", L54),) &gt; 0,VLOOKUP("Pierce 3", vote4TRAITS!A:C , 3, FALSE),
IFERROR(SEARCH("Pierce 4", L54),) &gt; 0 ,VLOOKUP("Pierce 4", vote4TRAITS!A:C , 3, FALSE),
0=0,0)
,
IFS(
IFERROR(SEARCH("+1 Health", L54),) &gt; 0 ,VLOOKUP("+1 Health", vote4TRAITS!A:C , 3, FALSE),
IFERROR(SEARCH("+2 Health", L54),) &gt; 0 ,VLOOKUP("+2 Health", vote4TRAITS!A:C , 3, FALSE),
IFERROR(SEARCH("+3 Health", L54),) &gt; 0 ,VLOOKUP("+3 Health", vote4TRAITS!A:C , 3, FALSE),
IFERROR(SEARCH("+4 Health", L54),) &gt; 0 ,VLOOKUP("+4 Health", vote4TRAITS!A:C , 3, FALSE),
0=0,0)
,
IFS(
IFERROR(SEARCH("Soul Shackle 1", L54),) &gt; 0 ,VLOOKUP("Soul Shackle 1", vote4TRAITS!A:C , 3, FALSE),
IFERROR(SEARCH("Soul Shackle 2", L54),) &gt; 0 ,VLOOKUP("Soul Shackle 2", vote4TRAITS!A:C , 3, FALSE),
IFERROR(SEARCH("Soul Shackle 3", L54),) &gt; 0,VLOOKUP("Soul Shackle 3", vote4TRAITS!A:C , 3, FALSE),
0=0,0)
)</f>
        <v>0</v>
      </c>
      <c r="N54" s="324" t="s">
        <v>1534</v>
      </c>
      <c r="O54" s="317">
        <f>IF(ISBLANK(N54),,IFERROR(
IF(IFERROR(SEARCH("SS:",N54),0) &gt; 0, 
VLOOKUP(SUBSTITUTE(N54,"SS: ",""),vote4SURGE!$A:$C , 3, FALSE) - 2,
VLOOKUP(SUBSTITUTE(N54,"S: ",""),vote4SURGE!$A:$C , 3, FALSE)
)
,
IF(IFERROR(SEARCH("SS:",N54),0) &gt; 0, 
VLOOKUP(C54,vote4SURGE!$A:$C , 3, FALSE) - 2,
VLOOKUP(C54,vote4SURGE!$A:$C , 3, FALSE)
)
))</f>
        <v>4.25</v>
      </c>
      <c r="P54" s="315" t="s">
        <v>1607</v>
      </c>
      <c r="Q54" s="317">
        <f>IF(ISBLANK(P54),,IFERROR(
IF(IFERROR(SEARCH("SS:",P54),0) &gt; 0, 
VLOOKUP(SUBSTITUTE(P54,"SS: ",""),vote4SURGE!$A:$C , 3, FALSE) - 2,
VLOOKUP(SUBSTITUTE(P54,"S: ",""),vote4SURGE!$A:$C , 3, FALSE)
)
,
IF(IFERROR(SEARCH("SS:",P54),0) &gt; 0, 
VLOOKUP(C54,vote4SURGE!$A:$C , 3, FALSE) - 2,
VLOOKUP(C54,vote4SURGE!$A:$C , 3, FALSE)
)
))</f>
        <v>2.75</v>
      </c>
      <c r="R54" s="318"/>
      <c r="S54" s="319" t="str">
        <f>IF(ISBLANK(R54),,IFERROR(
IF(IFERROR(SEARCH("SS:",R54),0) &gt; 0, 
VLOOKUP(SUBSTITUTE(R54,"SS: ",""),vote4SURGE!$A:$C , 3, FALSE) - 2,
VLOOKUP(SUBSTITUTE(R54,"S: ",""),vote4SURGE!$A:$C , 3, FALSE)
)
,
IF(IFERROR(SEARCH("SS:",R54),0) &gt; 0, 
VLOOKUP(C54,vote4SURGE!$A:$C , 3, FALSE) - 2,
VLOOKUP(C54,vote4SURGE!$A:$C , 3, FALSE)
)
))</f>
        <v/>
      </c>
      <c r="T54" s="320">
        <f t="shared" si="2"/>
        <v>2</v>
      </c>
      <c r="U54" s="320">
        <f>IFERROR(__xludf.DUMMYFUNCTION("ROUND(
IF(ISBLANK(G54),,
SWITCH(
LEN(G54) - LEN(SUBSTITUTE(G54,"","","""")),
0 , VLOOKUP(G54, Variables!$A:$C, 3, FALSE),
1 , VLOOKUP(index(split(G54 ,"", "", FALSE),1,1), Variables!$A:$C , 3, FALSE) + VLOOKUP(index(split(G54 ,"", "", FALSE),1,2), Variabl"&amp;"es!$A:$C , 3, FALSE),
2 , VLOOKUP(index(split(G54 ,"", "", FALSE),1,1), Variables!$A:$C , 3, FALSE) + VLOOKUP(index(split(G54 ,"", "", FALSE),1,2), Variables!$A:$C , 3, FALSE) + VLOOKUP(index(split(G54 ,"", "", FALSE),1,3), Variables!$A:$C , 3, FALSE),
3 "&amp;", VLOOKUP(index(split(G54 ,"", "", FALSE),1,1), Variables!$A:$C , 3, FALSE) + VLOOKUP(index(split(G54 ,"", "", FALSE),1,2), Variables!$A:$C , 3, FALSE) + VLOOKUP(index(split(G54 ,"", "", FALSE),1,3), Variables!$A:$C , 3, FALSE) + VLOOKUP(index(split(G54 ,"&amp;""", "", FALSE),1,4), Variables!$A:$C , 3, FALSE),
)
)
)"),1.0)</f>
        <v>1</v>
      </c>
      <c r="V54" s="317">
        <f t="shared" si="3"/>
        <v>5.625</v>
      </c>
      <c r="W54" s="321">
        <f t="shared" si="4"/>
        <v>9.958333333</v>
      </c>
      <c r="X54" s="322"/>
      <c r="Y54" s="322"/>
      <c r="Z54" s="322"/>
      <c r="AA54" s="322"/>
      <c r="AB54" s="322"/>
      <c r="AC54" s="322"/>
      <c r="AD54" s="322"/>
      <c r="AE54" s="322"/>
    </row>
    <row r="55" hidden="1">
      <c r="A55" s="310">
        <v>1.0</v>
      </c>
      <c r="B55" s="93" t="str">
        <f t="shared" si="1"/>
        <v/>
      </c>
      <c r="C55" s="310" t="s">
        <v>848</v>
      </c>
      <c r="D55" s="323">
        <v>0.0</v>
      </c>
      <c r="E55" s="310" t="s">
        <v>1527</v>
      </c>
      <c r="F55" s="310" t="s">
        <v>1521</v>
      </c>
      <c r="G55" s="313" t="s">
        <v>1548</v>
      </c>
      <c r="H55" s="312">
        <f>IFERROR(__xludf.DUMMYFUNCTION(" IF(ISBLANK(G55),,
SWITCH(
LEN(G55) - LEN(SUBSTITUTE(G55,"","","""")),
0 , VLOOKUP(G55, Variables!$A:$B, 2, FALSE),
1 , VLOOKUP(index(split(G55 ,"", "", FALSE),1,1), Variables!$A:$B , 2, FALSE) + VLOOKUP(index(split(G55 ,"", "", FALSE),1,2), Variables!$A:"&amp;"$B , 2, FALSE),
2 , VLOOKUP(index(split(G55 ,"", "", FALSE),1,1), Variables!$A:$B , 2, FALSE) + VLOOKUP(index(split(G55 ,"", "", FALSE),1,2), Variables!$A:$B , 2, FALSE) + VLOOKUP(index(split(G55 ,"", "", FALSE),1,3), Variables!$A:$B , 2, FALSE),
3 , VLOO"&amp;"KUP(index(split(G55 ,"", "", FALSE),1,1), Variables!$A:$B , 2, FALSE) + VLOOKUP(index(split(G55 ,"", "", FALSE),1,2), Variables!$A:$B , 2, FALSE) + VLOOKUP(index(split(G55 ,"", "", FALSE),1,3), Variables!$A:$B , 2, FALSE) + VLOOKUP(index(split(G55 ,"", """&amp;", FALSE),1,4), Variables!$A:$B , 2, FALSE),
)
)"),2.3333333333333335)</f>
        <v>2.333333333</v>
      </c>
      <c r="I55" s="310" t="s">
        <v>1526</v>
      </c>
      <c r="J55" s="313" t="s">
        <v>849</v>
      </c>
      <c r="K55" s="314">
        <f>IFERROR(VLOOKUP(C55,vote4ITEMS!$A:$C, 3, FALSE),)</f>
        <v>4.333333333</v>
      </c>
      <c r="L55" s="313"/>
      <c r="M55" s="314">
        <f>SUM(
IF(IFERROR(SEARCH("Aura 1",L55),0) &gt; 0 , VLOOKUP("Aura 1", vote4TRAITS!A:C , 3, FALSE), ),
IF(IFERROR(SEARCH("Backswing",L55),0) &gt; 0 , VLOOKUP("Backswing", vote4TRAITS!A:C , 3, FALSE), ),
IF(IFERROR(SEARCH("Blast",L55),0) &gt; 0 , VLOOKUP("Blast", vote4TRAITS!A:C , 3, FALSE), ),
IF(IFERROR(SEARCH("Combustible",L55),0) &gt; 0 , VLOOKUP("Combustible", vote4TRAITS!A:C , 3, FALSE), ),
IF(IFERROR(SEARCH("Command",L55),0) &gt; 0 , VLOOKUP("Command", vote4TRAITS!A:C , 3, FALSE), ),
IF(IFERROR(SEARCH("Cowardly",L55),0) &gt; 0 , VLOOKUP("Cowardly", vote4TRAITS!A:C , 3, FALSE), ),
IF(IFERROR(SEARCH("Death Wish",L55),0) &gt; 0 , VLOOKUP("Death Wish", vote4TRAITS!A:C , 3, FALSE), ),
IF(IFERROR(SEARCH("Entomb",L55),0) &gt; 0 , VLOOKUP("Entomb", vote4TRAITS!A:C , 3, FALSE), ),
IF(IFERROR(SEARCH("Ethereal Hold",L55),0) &gt; 0 , VLOOKUP("Ethereal Hold", vote4TRAITS!A:C , 3, FALSE), ),
IF(IFERROR(SEARCH("Extend",L55),0) &gt; 0 , VLOOKUP("Extend", vote4TRAITS!A:C , 3, FALSE), ),
IF(IFERROR(SEARCH("Filthy Murk",L55),0) &gt; 0 , VLOOKUP("Filthy Murk", vote4TRAITS!A:C , 3, FALSE), ),
IF(IFERROR(SEARCH("Flame Fiend",L55),0) &gt; 0 , VLOOKUP("Flame Fiend", vote4TRAITS!A:C , 3, FALSE), ),
IF(IFERROR(SEARCH("Fleshmonger",L55),0) &gt; 0 , VLOOKUP("Fleshmonger", vote4TRAITS!A:C , 3, FALSE), ),
IF(IFERROR(SEARCH("Fly",L55),0) &gt; 0 , VLOOKUP("Fly", vote4TRAITS!A:C , 3, FALSE), ),
IF(IFERROR(SEARCH("Freezing",L55),0) &gt; 0 , VLOOKUP("Freezing", vote4TRAITS!A:C , 3, FALSE), ),
IF(IFERROR(SEARCH("Lithesome",L55),0) &gt; 0 , VLOOKUP("Lithesome", vote4TRAITS!A:C , 3, FALSE), ),
IF(IFERROR(SEARCH("Harrowing",L55),0) &gt; 0 , VLOOKUP("Harrowing", vote4TRAITS!A:C , 3, FALSE), ),
IF(IFERROR(SEARCH("Hideous Laughter",L55),0) &gt; 0 , VLOOKUP("Hideous Laughter", vote4TRAITS!A:C , 3, FALSE), ),
IF(IFERROR(SEARCH("Hive Defense",L55),0) &gt; 0 , VLOOKUP("Hive Defense", vote4TRAITS!A:C , 3, FALSE), ),
IF(IFERROR(SEARCH("Horrifying",L55),0) &gt; 0 , VLOOKUP("Horrifying", vote4TRAITS!A:C , 3, FALSE), ),
IF(IFERROR(SEARCH("Ironskin",L55),0) &gt; 0 , VLOOKUP("Ironskin", vote4TRAITS!A:C , 3, FALSE), ),
IF(IFERROR(SEARCH("Unmovable",L55),0) &gt; 0 , VLOOKUP("Unmovable", vote4TRAITS!A:C , 3, FALSE), ),
IF(IFERROR(SEARCH("Lifethirst 1",L55),0) &gt; 0 , VLOOKUP("Lifethirst 1", vote4TRAITS!A:C , 3, FALSE), ),
IF(IFERROR(SEARCH("Lifethirst 2",L55),0) &gt; 0 , VLOOKUP("Lifethirst 2", vote4TRAITS!A:C , 3, FALSE), ),
IF(IFERROR(SEARCH("Morph",L55),0) &gt; 0 , VLOOKUP("Morph", vote4TRAITS!A:C , 3, FALSE), ),
IF(IFERROR(SEARCH("Night Stalker",L55),0) &gt; 0 , VLOOKUP("Night Stalker", vote4TRAITS!A:C , 3, FALSE), ),
IF(IFERROR(SEARCH("Overflowing",L55),0) &gt; 0 , VLOOKUP("Overflowing", vote4TRAITS!A:C , 3, FALSE), ),
IF(IFERROR(SEARCH("Pestilence",L55),0) &gt; 0 , VLOOKUP("Pestilence", vote4TRAITS!A:C , 3, FALSE), ),
IF(IFERROR(SEARCH("Phalanx",L55),0) &gt; 0 , VLOOKUP("Phalanx", vote4TRAITS!A:C , 3, FALSE), ),
IF(IFERROR(SEARCH("Plagued",L55),0) &gt; 0 , VLOOKUP("Plagued", vote4TRAITS!A:C , 3, FALSE), ),
IF(IFERROR(SEARCH("Prey on the Weak",L55),0) &gt; 0 , VLOOKUP("Prey on the Weak", vote4TRAITS!A:C , 3, FALSE), ),
IF(IFERROR(SEARCH("Protect",L55),0) &gt; 0 , VLOOKUP("Protect", vote4TRAITS!A:C , 3, FALSE), ),
IF(IFERROR(SEARCH("Puncture",L55),0) &gt; 0 , VLOOKUP("Puncture", vote4TRAITS!A:C , 3, FALSE), ),
IF(IFERROR(SEARCH("Putrid Boils",L55),0) &gt; 0 , VLOOKUP("Putrid Boils", vote4TRAITS!A:C , 3, FALSE), ),
IF(IFERROR(SEARCH("Ravage",L55),0) &gt; 0 , VLOOKUP("Ravage", vote4TRAITS!A:C , 3, FALSE), ),
IF(IFERROR(SEARCH("Ravenous",L55),0) &gt; 0 , VLOOKUP("Ravenous", vote4TRAITS!A:C , 3, FALSE), ),
IF(IFERROR(SEARCH("Reach",L55),0) &gt; 0 , VLOOKUP("Reach", vote4TRAITS!A:C , 3, FALSE), ),
IF(IFERROR(SEARCH("Reanimation",L55),0) &gt; 0 , VLOOKUP("Reanimation", vote4TRAITS!A:C , 3, FALSE), ),
IF(IFERROR(SEARCH("Reaper",L55),0) &gt; 0 , VLOOKUP("Reaper", vote4TRAITS!A:C , 3, FALSE), ),
IF(IFERROR(SEARCH("Riposte",L55),0) &gt; 0 , VLOOKUP("Riposte", vote4TRAITS!A:C , 3, FALSE)),
IF(IFERROR(SEARCH("Scamper",L55),0) &gt; 0 , VLOOKUP("Scamper", vote4TRAITS!A:C , 3, FALSE), ),
IF(IFERROR(SEARCH("Small Beginnings",L55),0) &gt; 0 , VLOOKUP("Small Beginnings", vote4TRAITS!A:C , 3, FALSE), ),
IF(IFERROR(SEARCH("Spawner",L55),0) &gt; 0 , VLOOKUP("Spawner", vote4TRAITS!A:C , 3,FALSE), ),
IF(IFERROR(SEARCH("Shadowr",L55),0) &gt; 0 , VLOOKUP("Shadow", vote4TRAITS!A:C , 3,FALSE), ),
IF(IFERROR(SEARCH("Shadow Step",L55),0) &gt; 0 , VLOOKUP("Shadow Step", vote4TRAITS!A:C , 3,FALSE), ),
IF(IFERROR(SEARCH("Shambling",L55),0) &gt; 0 , VLOOKUP("Shambling", vote4TRAITS!A:C , 3,FALSE), ),
IF(IFERROR(SEARCH("Stealthy",L55),0) &gt; 0 , VLOOKUP("Stealthy", vote4TRAITS!A:C , 3, FALSE), ),
IF(IFERROR(SEARCH("Web",L55),0) &gt; 0 , VLOOKUP("Web", vote4TRAITS!A:C , 3, FALSE), ),
IF(IFERROR(SEARCH("+1 Willpower",L55),0) &gt; 0 , VLOOKUP("+1 Willpower", vote4TRAITS!A:C , 3, FALSE), ),
IF(IFERROR(SEARCH("+1 Might",L55),0) &gt; 0 , VLOOKUP("+1 Might", vote4TRAITS!A:C , 3, FALSE), ),
IF(IFERROR(SEARCH("+1 Knowledge",L55),0) &gt; 0 , VLOOKUP("+1 Knowledge", vote4TRAITS!A:C , 3, FALSE), ),
IF(IFERROR(SEARCH("+1 Awareness",L55),0) &gt; 0 , VLOOKUP("+1 Awareness", vote4TRAITS!A:C , 3, FALSE), ),
IF(IFERROR(SEARCH("-1 Willpower",L55),0) &gt; 0 , VLOOKUP("-1 Willpower", vote4TRAITS!A:C , 3, FALSE), ),
IF(IFERROR(SEARCH("+1 Health",L55),0) &gt; 0 , VLOOKUP("+1 Health", vote4TRAITS!A:C , 3, FALSE), ),
IF(IFERROR(SEARCH("+2 Health",L55),0) &gt; 0 , VLOOKUP("+2 Health", vote4TRAITS!A:C , 3, FALSE), ),
IF(IFERROR(SEARCH("+1 Stamina",L55),0) &gt; 0 , VLOOKUP("+1 Stamina", vote4TRAITS!A:C , 3, FALSE), ),
IF(IFERROR(SEARCH("+2 Stamina",L55),0) &gt; 0 , VLOOKUP("+2 Stamina", vote4TRAITS!A:C , 3, FALSE), ),
IFS(
IFERROR(SEARCH("+1 Range", L55),) &gt; 0 ,VLOOKUP("+1 Range", vote4TRAITS!A:C , 3, FALSE),
IFERROR(SEARCH("+2 Range", L55),) &gt; 0 ,VLOOKUP("+2 Range", vote4TRAITS!A:C , 3, FALSE),
IFERROR(SEARCH("+3 Range", L55),) &gt; 0,VLOOKUP("+3 Range", vote4TRAITS!A:C , 3, FALSE),
0=0,0)
,
IFS(
IFERROR(SEARCH("Sorcery 1", L55),) &gt; 0 ,VLOOKUP("Sorcery 1", vote4TRAITS!A:C , 3, FALSE),
IFERROR(SEARCH("Sorcery 2", L55),) &gt; 0 ,VLOOKUP("Sorcery 2", vote4TRAITS!A:C , 3, FALSE),
IFERROR(SEARCH("Sorcery 3", L55),) &gt; 0,VLOOKUP("Sorcery 3", vote4TRAITS!A:C , 3, FALSE),
0=0,0)
,
IFS(
IFERROR(SEARCH("Pierce 1", L55),) &gt; 0 ,VLOOKUP("Pierce 1", vote4TRAITS!A:C , 3, FALSE),
IFERROR(SEARCH("Pierce 2", L55),) &gt; 0 ,VLOOKUP("Pierce 2", vote4TRAITS!A:C , 3, FALSE),
IFERROR(SEARCH("Pierce 3", L55),) &gt; 0,VLOOKUP("Pierce 3", vote4TRAITS!A:C , 3, FALSE),
IFERROR(SEARCH("Pierce 4", L55),) &gt; 0 ,VLOOKUP("Pierce 4", vote4TRAITS!A:C , 3, FALSE),
0=0,0)
,
IFS(
IFERROR(SEARCH("+1 Health", L55),) &gt; 0 ,VLOOKUP("+1 Health", vote4TRAITS!A:C , 3, FALSE),
IFERROR(SEARCH("+2 Health", L55),) &gt; 0 ,VLOOKUP("+2 Health", vote4TRAITS!A:C , 3, FALSE),
IFERROR(SEARCH("+3 Health", L55),) &gt; 0 ,VLOOKUP("+3 Health", vote4TRAITS!A:C , 3, FALSE),
IFERROR(SEARCH("+4 Health", L55),) &gt; 0 ,VLOOKUP("+4 Health", vote4TRAITS!A:C , 3, FALSE),
0=0,0)
,
IFS(
IFERROR(SEARCH("Soul Shackle 1", L55),) &gt; 0 ,VLOOKUP("Soul Shackle 1", vote4TRAITS!A:C , 3, FALSE),
IFERROR(SEARCH("Soul Shackle 2", L55),) &gt; 0 ,VLOOKUP("Soul Shackle 2", vote4TRAITS!A:C , 3, FALSE),
IFERROR(SEARCH("Soul Shackle 3", L55),) &gt; 0,VLOOKUP("Soul Shackle 3", vote4TRAITS!A:C , 3, FALSE),
0=0,0)
)</f>
        <v>0</v>
      </c>
      <c r="N55" s="311" t="s">
        <v>1534</v>
      </c>
      <c r="O55" s="317">
        <f>IF(ISBLANK(N55),,IFERROR(
IF(IFERROR(SEARCH("SS:",N55),0) &gt; 0, 
VLOOKUP(SUBSTITUTE(N55,"SS: ",""),vote4SURGE!$A:$C , 3, FALSE) - 2,
VLOOKUP(SUBSTITUTE(N55,"S: ",""),vote4SURGE!$A:$C , 3, FALSE)
)
,
IF(IFERROR(SEARCH("SS:",N55),0) &gt; 0, 
VLOOKUP(C55,vote4SURGE!$A:$C , 3, FALSE) - 2,
VLOOKUP(C55,vote4SURGE!$A:$C , 3, FALSE)
)
))</f>
        <v>4.25</v>
      </c>
      <c r="P55" s="318"/>
      <c r="Q55" s="317" t="str">
        <f>IF(ISBLANK(P55),,IFERROR(
IF(IFERROR(SEARCH("SS:",P55),0) &gt; 0, 
VLOOKUP(SUBSTITUTE(P55,"SS: ",""),vote4SURGE!$A:$C , 3, FALSE) - 2,
VLOOKUP(SUBSTITUTE(P55,"S: ",""),vote4SURGE!$A:$C , 3, FALSE)
)
,
IF(IFERROR(SEARCH("SS:",P55),0) &gt; 0, 
VLOOKUP(C55,vote4SURGE!$A:$C , 3, FALSE) - 2,
VLOOKUP(C55,vote4SURGE!$A:$C , 3, FALSE)
)
))</f>
        <v/>
      </c>
      <c r="R55" s="318"/>
      <c r="S55" s="319" t="str">
        <f>IF(ISBLANK(R55),,IFERROR(
IF(IFERROR(SEARCH("SS:",R55),0) &gt; 0, 
VLOOKUP(SUBSTITUTE(R55,"SS: ",""),vote4SURGE!$A:$C , 3, FALSE) - 2,
VLOOKUP(SUBSTITUTE(R55,"S: ",""),vote4SURGE!$A:$C , 3, FALSE)
)
,
IF(IFERROR(SEARCH("SS:",R55),0) &gt; 0, 
VLOOKUP(C55,vote4SURGE!$A:$C , 3, FALSE) - 2,
VLOOKUP(C55,vote4SURGE!$A:$C , 3, FALSE)
)
))</f>
        <v/>
      </c>
      <c r="T55" s="320">
        <f t="shared" si="2"/>
        <v>1</v>
      </c>
      <c r="U55" s="320">
        <f>IFERROR(__xludf.DUMMYFUNCTION("ROUND(
IF(ISBLANK(G55),,
SWITCH(
LEN(G55) - LEN(SUBSTITUTE(G55,"","","""")),
0 , VLOOKUP(G55, Variables!$A:$C, 3, FALSE),
1 , VLOOKUP(index(split(G55 ,"", "", FALSE),1,1), Variables!$A:$C , 3, FALSE) + VLOOKUP(index(split(G55 ,"", "", FALSE),1,2), Variabl"&amp;"es!$A:$C , 3, FALSE),
2 , VLOOKUP(index(split(G55 ,"", "", FALSE),1,1), Variables!$A:$C , 3, FALSE) + VLOOKUP(index(split(G55 ,"", "", FALSE),1,2), Variables!$A:$C , 3, FALSE) + VLOOKUP(index(split(G55 ,"", "", FALSE),1,3), Variables!$A:$C , 3, FALSE),
3 "&amp;", VLOOKUP(index(split(G55 ,"", "", FALSE),1,1), Variables!$A:$C , 3, FALSE) + VLOOKUP(index(split(G55 ,"", "", FALSE),1,2), Variables!$A:$C , 3, FALSE) + VLOOKUP(index(split(G55 ,"", "", FALSE),1,3), Variables!$A:$C , 3, FALSE) + VLOOKUP(index(split(G55 ,"&amp;""", "", FALSE),1,4), Variables!$A:$C , 3, FALSE),
)
)
)"),1.0)</f>
        <v>1</v>
      </c>
      <c r="V55" s="317">
        <f t="shared" si="3"/>
        <v>4.25</v>
      </c>
      <c r="W55" s="321">
        <f t="shared" si="4"/>
        <v>10.91666667</v>
      </c>
      <c r="X55" s="322"/>
      <c r="Y55" s="322"/>
      <c r="Z55" s="322"/>
      <c r="AA55" s="322"/>
      <c r="AB55" s="322"/>
      <c r="AC55" s="322"/>
      <c r="AD55" s="322"/>
      <c r="AE55" s="322"/>
    </row>
    <row r="56" hidden="1">
      <c r="A56" s="310">
        <v>1.0</v>
      </c>
      <c r="B56" s="93">
        <f t="shared" si="1"/>
        <v>3</v>
      </c>
      <c r="C56" s="310" t="s">
        <v>858</v>
      </c>
      <c r="D56" s="310">
        <v>125.0</v>
      </c>
      <c r="E56" s="310" t="s">
        <v>1527</v>
      </c>
      <c r="F56" s="310" t="s">
        <v>1521</v>
      </c>
      <c r="G56" s="313" t="s">
        <v>1592</v>
      </c>
      <c r="H56" s="312">
        <f>IFERROR(__xludf.DUMMYFUNCTION(" IF(ISBLANK(G56),,
SWITCH(
LEN(G56) - LEN(SUBSTITUTE(G56,"","","""")),
0 , VLOOKUP(G56, Variables!$A:$B, 2, FALSE),
1 , VLOOKUP(index(split(G56 ,"", "", FALSE),1,1), Variables!$A:$B , 2, FALSE) + VLOOKUP(index(split(G56 ,"", "", FALSE),1,2), Variables!$A:"&amp;"$B , 2, FALSE),
2 , VLOOKUP(index(split(G56 ,"", "", FALSE),1,1), Variables!$A:$B , 2, FALSE) + VLOOKUP(index(split(G56 ,"", "", FALSE),1,2), Variables!$A:$B , 2, FALSE) + VLOOKUP(index(split(G56 ,"", "", FALSE),1,3), Variables!$A:$B , 2, FALSE),
3 , VLOO"&amp;"KUP(index(split(G56 ,"", "", FALSE),1,1), Variables!$A:$B , 2, FALSE) + VLOOKUP(index(split(G56 ,"", "", FALSE),1,2), Variables!$A:$B , 2, FALSE) + VLOOKUP(index(split(G56 ,"", "", FALSE),1,3), Variables!$A:$B , 2, FALSE) + VLOOKUP(index(split(G56 ,"", """&amp;", FALSE),1,4), Variables!$A:$B , 2, FALSE),
)
)"),1.8333333333333335)</f>
        <v>1.833333333</v>
      </c>
      <c r="I56" s="310" t="s">
        <v>1557</v>
      </c>
      <c r="J56" s="313" t="s">
        <v>859</v>
      </c>
      <c r="K56" s="314">
        <f>IFERROR(VLOOKUP(C56,vote4ITEMS!$A:$C, 3, FALSE),)</f>
        <v>4</v>
      </c>
      <c r="L56" s="313"/>
      <c r="M56" s="314">
        <f>SUM(
IF(IFERROR(SEARCH("Aura 1",L56),0) &gt; 0 , VLOOKUP("Aura 1", vote4TRAITS!A:C , 3, FALSE), ),
IF(IFERROR(SEARCH("Backswing",L56),0) &gt; 0 , VLOOKUP("Backswing", vote4TRAITS!A:C , 3, FALSE), ),
IF(IFERROR(SEARCH("Blast",L56),0) &gt; 0 , VLOOKUP("Blast", vote4TRAITS!A:C , 3, FALSE), ),
IF(IFERROR(SEARCH("Combustible",L56),0) &gt; 0 , VLOOKUP("Combustible", vote4TRAITS!A:C , 3, FALSE), ),
IF(IFERROR(SEARCH("Command",L56),0) &gt; 0 , VLOOKUP("Command", vote4TRAITS!A:C , 3, FALSE), ),
IF(IFERROR(SEARCH("Cowardly",L56),0) &gt; 0 , VLOOKUP("Cowardly", vote4TRAITS!A:C , 3, FALSE), ),
IF(IFERROR(SEARCH("Death Wish",L56),0) &gt; 0 , VLOOKUP("Death Wish", vote4TRAITS!A:C , 3, FALSE), ),
IF(IFERROR(SEARCH("Entomb",L56),0) &gt; 0 , VLOOKUP("Entomb", vote4TRAITS!A:C , 3, FALSE), ),
IF(IFERROR(SEARCH("Ethereal Hold",L56),0) &gt; 0 , VLOOKUP("Ethereal Hold", vote4TRAITS!A:C , 3, FALSE), ),
IF(IFERROR(SEARCH("Extend",L56),0) &gt; 0 , VLOOKUP("Extend", vote4TRAITS!A:C , 3, FALSE), ),
IF(IFERROR(SEARCH("Filthy Murk",L56),0) &gt; 0 , VLOOKUP("Filthy Murk", vote4TRAITS!A:C , 3, FALSE), ),
IF(IFERROR(SEARCH("Flame Fiend",L56),0) &gt; 0 , VLOOKUP("Flame Fiend", vote4TRAITS!A:C , 3, FALSE), ),
IF(IFERROR(SEARCH("Fleshmonger",L56),0) &gt; 0 , VLOOKUP("Fleshmonger", vote4TRAITS!A:C , 3, FALSE), ),
IF(IFERROR(SEARCH("Fly",L56),0) &gt; 0 , VLOOKUP("Fly", vote4TRAITS!A:C , 3, FALSE), ),
IF(IFERROR(SEARCH("Freezing",L56),0) &gt; 0 , VLOOKUP("Freezing", vote4TRAITS!A:C , 3, FALSE), ),
IF(IFERROR(SEARCH("Lithesome",L56),0) &gt; 0 , VLOOKUP("Lithesome", vote4TRAITS!A:C , 3, FALSE), ),
IF(IFERROR(SEARCH("Harrowing",L56),0) &gt; 0 , VLOOKUP("Harrowing", vote4TRAITS!A:C , 3, FALSE), ),
IF(IFERROR(SEARCH("Hideous Laughter",L56),0) &gt; 0 , VLOOKUP("Hideous Laughter", vote4TRAITS!A:C , 3, FALSE), ),
IF(IFERROR(SEARCH("Hive Defense",L56),0) &gt; 0 , VLOOKUP("Hive Defense", vote4TRAITS!A:C , 3, FALSE), ),
IF(IFERROR(SEARCH("Horrifying",L56),0) &gt; 0 , VLOOKUP("Horrifying", vote4TRAITS!A:C , 3, FALSE), ),
IF(IFERROR(SEARCH("Ironskin",L56),0) &gt; 0 , VLOOKUP("Ironskin", vote4TRAITS!A:C , 3, FALSE), ),
IF(IFERROR(SEARCH("Unmovable",L56),0) &gt; 0 , VLOOKUP("Unmovable", vote4TRAITS!A:C , 3, FALSE), ),
IF(IFERROR(SEARCH("Lifethirst 1",L56),0) &gt; 0 , VLOOKUP("Lifethirst 1", vote4TRAITS!A:C , 3, FALSE), ),
IF(IFERROR(SEARCH("Lifethirst 2",L56),0) &gt; 0 , VLOOKUP("Lifethirst 2", vote4TRAITS!A:C , 3, FALSE), ),
IF(IFERROR(SEARCH("Morph",L56),0) &gt; 0 , VLOOKUP("Morph", vote4TRAITS!A:C , 3, FALSE), ),
IF(IFERROR(SEARCH("Night Stalker",L56),0) &gt; 0 , VLOOKUP("Night Stalker", vote4TRAITS!A:C , 3, FALSE), ),
IF(IFERROR(SEARCH("Overflowing",L56),0) &gt; 0 , VLOOKUP("Overflowing", vote4TRAITS!A:C , 3, FALSE), ),
IF(IFERROR(SEARCH("Pestilence",L56),0) &gt; 0 , VLOOKUP("Pestilence", vote4TRAITS!A:C , 3, FALSE), ),
IF(IFERROR(SEARCH("Phalanx",L56),0) &gt; 0 , VLOOKUP("Phalanx", vote4TRAITS!A:C , 3, FALSE), ),
IF(IFERROR(SEARCH("Plagued",L56),0) &gt; 0 , VLOOKUP("Plagued", vote4TRAITS!A:C , 3, FALSE), ),
IF(IFERROR(SEARCH("Prey on the Weak",L56),0) &gt; 0 , VLOOKUP("Prey on the Weak", vote4TRAITS!A:C , 3, FALSE), ),
IF(IFERROR(SEARCH("Protect",L56),0) &gt; 0 , VLOOKUP("Protect", vote4TRAITS!A:C , 3, FALSE), ),
IF(IFERROR(SEARCH("Puncture",L56),0) &gt; 0 , VLOOKUP("Puncture", vote4TRAITS!A:C , 3, FALSE), ),
IF(IFERROR(SEARCH("Putrid Boils",L56),0) &gt; 0 , VLOOKUP("Putrid Boils", vote4TRAITS!A:C , 3, FALSE), ),
IF(IFERROR(SEARCH("Ravage",L56),0) &gt; 0 , VLOOKUP("Ravage", vote4TRAITS!A:C , 3, FALSE), ),
IF(IFERROR(SEARCH("Ravenous",L56),0) &gt; 0 , VLOOKUP("Ravenous", vote4TRAITS!A:C , 3, FALSE), ),
IF(IFERROR(SEARCH("Reach",L56),0) &gt; 0 , VLOOKUP("Reach", vote4TRAITS!A:C , 3, FALSE), ),
IF(IFERROR(SEARCH("Reanimation",L56),0) &gt; 0 , VLOOKUP("Reanimation", vote4TRAITS!A:C , 3, FALSE), ),
IF(IFERROR(SEARCH("Reaper",L56),0) &gt; 0 , VLOOKUP("Reaper", vote4TRAITS!A:C , 3, FALSE), ),
IF(IFERROR(SEARCH("Riposte",L56),0) &gt; 0 , VLOOKUP("Riposte", vote4TRAITS!A:C , 3, FALSE)),
IF(IFERROR(SEARCH("Scamper",L56),0) &gt; 0 , VLOOKUP("Scamper", vote4TRAITS!A:C , 3, FALSE), ),
IF(IFERROR(SEARCH("Small Beginnings",L56),0) &gt; 0 , VLOOKUP("Small Beginnings", vote4TRAITS!A:C , 3, FALSE), ),
IF(IFERROR(SEARCH("Spawner",L56),0) &gt; 0 , VLOOKUP("Spawner", vote4TRAITS!A:C , 3,FALSE), ),
IF(IFERROR(SEARCH("Shadowr",L56),0) &gt; 0 , VLOOKUP("Shadow", vote4TRAITS!A:C , 3,FALSE), ),
IF(IFERROR(SEARCH("Shadow Step",L56),0) &gt; 0 , VLOOKUP("Shadow Step", vote4TRAITS!A:C , 3,FALSE), ),
IF(IFERROR(SEARCH("Shambling",L56),0) &gt; 0 , VLOOKUP("Shambling", vote4TRAITS!A:C , 3,FALSE), ),
IF(IFERROR(SEARCH("Stealthy",L56),0) &gt; 0 , VLOOKUP("Stealthy", vote4TRAITS!A:C , 3, FALSE), ),
IF(IFERROR(SEARCH("Web",L56),0) &gt; 0 , VLOOKUP("Web", vote4TRAITS!A:C , 3, FALSE), ),
IF(IFERROR(SEARCH("+1 Willpower",L56),0) &gt; 0 , VLOOKUP("+1 Willpower", vote4TRAITS!A:C , 3, FALSE), ),
IF(IFERROR(SEARCH("+1 Might",L56),0) &gt; 0 , VLOOKUP("+1 Might", vote4TRAITS!A:C , 3, FALSE), ),
IF(IFERROR(SEARCH("+1 Knowledge",L56),0) &gt; 0 , VLOOKUP("+1 Knowledge", vote4TRAITS!A:C , 3, FALSE), ),
IF(IFERROR(SEARCH("+1 Awareness",L56),0) &gt; 0 , VLOOKUP("+1 Awareness", vote4TRAITS!A:C , 3, FALSE), ),
IF(IFERROR(SEARCH("-1 Willpower",L56),0) &gt; 0 , VLOOKUP("-1 Willpower", vote4TRAITS!A:C , 3, FALSE), ),
IF(IFERROR(SEARCH("+1 Health",L56),0) &gt; 0 , VLOOKUP("+1 Health", vote4TRAITS!A:C , 3, FALSE), ),
IF(IFERROR(SEARCH("+2 Health",L56),0) &gt; 0 , VLOOKUP("+2 Health", vote4TRAITS!A:C , 3, FALSE), ),
IF(IFERROR(SEARCH("+1 Stamina",L56),0) &gt; 0 , VLOOKUP("+1 Stamina", vote4TRAITS!A:C , 3, FALSE), ),
IF(IFERROR(SEARCH("+2 Stamina",L56),0) &gt; 0 , VLOOKUP("+2 Stamina", vote4TRAITS!A:C , 3, FALSE), ),
IFS(
IFERROR(SEARCH("+1 Range", L56),) &gt; 0 ,VLOOKUP("+1 Range", vote4TRAITS!A:C , 3, FALSE),
IFERROR(SEARCH("+2 Range", L56),) &gt; 0 ,VLOOKUP("+2 Range", vote4TRAITS!A:C , 3, FALSE),
IFERROR(SEARCH("+3 Range", L56),) &gt; 0,VLOOKUP("+3 Range", vote4TRAITS!A:C , 3, FALSE),
0=0,0)
,
IFS(
IFERROR(SEARCH("Sorcery 1", L56),) &gt; 0 ,VLOOKUP("Sorcery 1", vote4TRAITS!A:C , 3, FALSE),
IFERROR(SEARCH("Sorcery 2", L56),) &gt; 0 ,VLOOKUP("Sorcery 2", vote4TRAITS!A:C , 3, FALSE),
IFERROR(SEARCH("Sorcery 3", L56),) &gt; 0,VLOOKUP("Sorcery 3", vote4TRAITS!A:C , 3, FALSE),
0=0,0)
,
IFS(
IFERROR(SEARCH("Pierce 1", L56),) &gt; 0 ,VLOOKUP("Pierce 1", vote4TRAITS!A:C , 3, FALSE),
IFERROR(SEARCH("Pierce 2", L56),) &gt; 0 ,VLOOKUP("Pierce 2", vote4TRAITS!A:C , 3, FALSE),
IFERROR(SEARCH("Pierce 3", L56),) &gt; 0,VLOOKUP("Pierce 3", vote4TRAITS!A:C , 3, FALSE),
IFERROR(SEARCH("Pierce 4", L56),) &gt; 0 ,VLOOKUP("Pierce 4", vote4TRAITS!A:C , 3, FALSE),
0=0,0)
,
IFS(
IFERROR(SEARCH("+1 Health", L56),) &gt; 0 ,VLOOKUP("+1 Health", vote4TRAITS!A:C , 3, FALSE),
IFERROR(SEARCH("+2 Health", L56),) &gt; 0 ,VLOOKUP("+2 Health", vote4TRAITS!A:C , 3, FALSE),
IFERROR(SEARCH("+3 Health", L56),) &gt; 0 ,VLOOKUP("+3 Health", vote4TRAITS!A:C , 3, FALSE),
IFERROR(SEARCH("+4 Health", L56),) &gt; 0 ,VLOOKUP("+4 Health", vote4TRAITS!A:C , 3, FALSE),
0=0,0)
,
IFS(
IFERROR(SEARCH("Soul Shackle 1", L56),) &gt; 0 ,VLOOKUP("Soul Shackle 1", vote4TRAITS!A:C , 3, FALSE),
IFERROR(SEARCH("Soul Shackle 2", L56),) &gt; 0 ,VLOOKUP("Soul Shackle 2", vote4TRAITS!A:C , 3, FALSE),
IFERROR(SEARCH("Soul Shackle 3", L56),) &gt; 0,VLOOKUP("Soul Shackle 3", vote4TRAITS!A:C , 3, FALSE),
0=0,0)
)</f>
        <v>0</v>
      </c>
      <c r="N56" s="311" t="s">
        <v>1524</v>
      </c>
      <c r="O56" s="317">
        <f>IF(ISBLANK(N56),,IFERROR(
IF(IFERROR(SEARCH("SS:",N56),0) &gt; 0, 
VLOOKUP(SUBSTITUTE(N56,"SS: ",""),vote4SURGE!$A:$C , 3, FALSE) - 2,
VLOOKUP(SUBSTITUTE(N56,"S: ",""),vote4SURGE!$A:$C , 3, FALSE)
)
,
IF(IFERROR(SEARCH("SS:",N56),0) &gt; 0, 
VLOOKUP(C56,vote4SURGE!$A:$C , 3, FALSE) - 2,
VLOOKUP(C56,vote4SURGE!$A:$C , 3, FALSE)
)
))</f>
        <v>4.5</v>
      </c>
      <c r="P56" s="105" t="s">
        <v>1608</v>
      </c>
      <c r="Q56" s="317">
        <f>IF(ISBLANK(P56),,IFERROR(
IF(IFERROR(SEARCH("SS:",P56),0) &gt; 0, 
VLOOKUP(SUBSTITUTE(P56,"SS: ",""),vote4SURGE!$A:$C , 3, FALSE) - 2,
VLOOKUP(SUBSTITUTE(P56,"S: ",""),vote4SURGE!$A:$C , 3, FALSE)
)
,
IF(IFERROR(SEARCH("SS:",P56),0) &gt; 0, 
VLOOKUP(C56,vote4SURGE!$A:$C , 3, FALSE) - 2,
VLOOKUP(C56,vote4SURGE!$A:$C , 3, FALSE)
)
))</f>
        <v>2.333333333</v>
      </c>
      <c r="R56" s="318"/>
      <c r="S56" s="319" t="str">
        <f>IF(ISBLANK(R56),,IFERROR(
IF(IFERROR(SEARCH("SS:",R56),0) &gt; 0, 
VLOOKUP(SUBSTITUTE(R56,"SS: ",""),vote4SURGE!$A:$C , 3, FALSE) - 2,
VLOOKUP(SUBSTITUTE(R56,"S: ",""),vote4SURGE!$A:$C , 3, FALSE)
)
,
IF(IFERROR(SEARCH("SS:",R56),0) &gt; 0, 
VLOOKUP(C56,vote4SURGE!$A:$C , 3, FALSE) - 2,
VLOOKUP(C56,vote4SURGE!$A:$C , 3, FALSE)
)
))</f>
        <v/>
      </c>
      <c r="T56" s="320">
        <f t="shared" si="2"/>
        <v>3</v>
      </c>
      <c r="U56" s="320">
        <f>IFERROR(__xludf.DUMMYFUNCTION("ROUND(
IF(ISBLANK(G56),,
SWITCH(
LEN(G56) - LEN(SUBSTITUTE(G56,"","","""")),
0 , VLOOKUP(G56, Variables!$A:$C, 3, FALSE),
1 , VLOOKUP(index(split(G56 ,"", "", FALSE),1,1), Variables!$A:$C , 3, FALSE) + VLOOKUP(index(split(G56 ,"", "", FALSE),1,2), Variabl"&amp;"es!$A:$C , 3, FALSE),
2 , VLOOKUP(index(split(G56 ,"", "", FALSE),1,1), Variables!$A:$C , 3, FALSE) + VLOOKUP(index(split(G56 ,"", "", FALSE),1,2), Variables!$A:$C , 3, FALSE) + VLOOKUP(index(split(G56 ,"", "", FALSE),1,3), Variables!$A:$C , 3, FALSE),
3 "&amp;", VLOOKUP(index(split(G56 ,"", "", FALSE),1,1), Variables!$A:$C , 3, FALSE) + VLOOKUP(index(split(G56 ,"", "", FALSE),1,2), Variables!$A:$C , 3, FALSE) + VLOOKUP(index(split(G56 ,"", "", FALSE),1,3), Variables!$A:$C , 3, FALSE) + VLOOKUP(index(split(G56 ,"&amp;""", "", FALSE),1,4), Variables!$A:$C , 3, FALSE),
)
)
)"),1.0)</f>
        <v>1</v>
      </c>
      <c r="V56" s="317">
        <f t="shared" si="3"/>
        <v>5.277777778</v>
      </c>
      <c r="W56" s="321">
        <f t="shared" si="4"/>
        <v>11.11111111</v>
      </c>
      <c r="X56" s="322"/>
      <c r="Y56" s="322"/>
      <c r="Z56" s="322"/>
      <c r="AA56" s="322"/>
      <c r="AB56" s="322"/>
      <c r="AC56" s="322"/>
      <c r="AD56" s="322"/>
      <c r="AE56" s="322"/>
    </row>
    <row r="57" hidden="1">
      <c r="A57" s="310">
        <v>1.0</v>
      </c>
      <c r="B57" s="93" t="str">
        <f t="shared" si="1"/>
        <v/>
      </c>
      <c r="C57" s="310" t="s">
        <v>912</v>
      </c>
      <c r="D57" s="323">
        <v>0.0</v>
      </c>
      <c r="E57" s="310" t="s">
        <v>1527</v>
      </c>
      <c r="F57" s="310" t="s">
        <v>1567</v>
      </c>
      <c r="G57" s="313" t="s">
        <v>1548</v>
      </c>
      <c r="H57" s="312">
        <f>IFERROR(__xludf.DUMMYFUNCTION(" IF(ISBLANK(G57),,
SWITCH(
LEN(G57) - LEN(SUBSTITUTE(G57,"","","""")),
0 , VLOOKUP(G57, Variables!$A:$B, 2, FALSE),
1 , VLOOKUP(index(split(G57 ,"", "", FALSE),1,1), Variables!$A:$B , 2, FALSE) + VLOOKUP(index(split(G57 ,"", "", FALSE),1,2), Variables!$A:"&amp;"$B , 2, FALSE),
2 , VLOOKUP(index(split(G57 ,"", "", FALSE),1,1), Variables!$A:$B , 2, FALSE) + VLOOKUP(index(split(G57 ,"", "", FALSE),1,2), Variables!$A:$B , 2, FALSE) + VLOOKUP(index(split(G57 ,"", "", FALSE),1,3), Variables!$A:$B , 2, FALSE),
3 , VLOO"&amp;"KUP(index(split(G57 ,"", "", FALSE),1,1), Variables!$A:$B , 2, FALSE) + VLOOKUP(index(split(G57 ,"", "", FALSE),1,2), Variables!$A:$B , 2, FALSE) + VLOOKUP(index(split(G57 ,"", "", FALSE),1,3), Variables!$A:$B , 2, FALSE) + VLOOKUP(index(split(G57 ,"", """&amp;", FALSE),1,4), Variables!$A:$B , 2, FALSE),
)
)"),2.3333333333333335)</f>
        <v>2.333333333</v>
      </c>
      <c r="I57" s="310" t="s">
        <v>1557</v>
      </c>
      <c r="J57" s="313" t="s">
        <v>913</v>
      </c>
      <c r="K57" s="314">
        <f>IFERROR(VLOOKUP(C57,vote4ITEMS!$A:$C, 3, FALSE),)</f>
        <v>4.666666667</v>
      </c>
      <c r="L57" s="313"/>
      <c r="M57" s="314">
        <f>SUM(
IF(IFERROR(SEARCH("Aura 1",L57),0) &gt; 0 , VLOOKUP("Aura 1", vote4TRAITS!A:C , 3, FALSE), ),
IF(IFERROR(SEARCH("Backswing",L57),0) &gt; 0 , VLOOKUP("Backswing", vote4TRAITS!A:C , 3, FALSE), ),
IF(IFERROR(SEARCH("Blast",L57),0) &gt; 0 , VLOOKUP("Blast", vote4TRAITS!A:C , 3, FALSE), ),
IF(IFERROR(SEARCH("Combustible",L57),0) &gt; 0 , VLOOKUP("Combustible", vote4TRAITS!A:C , 3, FALSE), ),
IF(IFERROR(SEARCH("Command",L57),0) &gt; 0 , VLOOKUP("Command", vote4TRAITS!A:C , 3, FALSE), ),
IF(IFERROR(SEARCH("Cowardly",L57),0) &gt; 0 , VLOOKUP("Cowardly", vote4TRAITS!A:C , 3, FALSE), ),
IF(IFERROR(SEARCH("Death Wish",L57),0) &gt; 0 , VLOOKUP("Death Wish", vote4TRAITS!A:C , 3, FALSE), ),
IF(IFERROR(SEARCH("Entomb",L57),0) &gt; 0 , VLOOKUP("Entomb", vote4TRAITS!A:C , 3, FALSE), ),
IF(IFERROR(SEARCH("Ethereal Hold",L57),0) &gt; 0 , VLOOKUP("Ethereal Hold", vote4TRAITS!A:C , 3, FALSE), ),
IF(IFERROR(SEARCH("Extend",L57),0) &gt; 0 , VLOOKUP("Extend", vote4TRAITS!A:C , 3, FALSE), ),
IF(IFERROR(SEARCH("Filthy Murk",L57),0) &gt; 0 , VLOOKUP("Filthy Murk", vote4TRAITS!A:C , 3, FALSE), ),
IF(IFERROR(SEARCH("Flame Fiend",L57),0) &gt; 0 , VLOOKUP("Flame Fiend", vote4TRAITS!A:C , 3, FALSE), ),
IF(IFERROR(SEARCH("Fleshmonger",L57),0) &gt; 0 , VLOOKUP("Fleshmonger", vote4TRAITS!A:C , 3, FALSE), ),
IF(IFERROR(SEARCH("Fly",L57),0) &gt; 0 , VLOOKUP("Fly", vote4TRAITS!A:C , 3, FALSE), ),
IF(IFERROR(SEARCH("Freezing",L57),0) &gt; 0 , VLOOKUP("Freezing", vote4TRAITS!A:C , 3, FALSE), ),
IF(IFERROR(SEARCH("Lithesome",L57),0) &gt; 0 , VLOOKUP("Lithesome", vote4TRAITS!A:C , 3, FALSE), ),
IF(IFERROR(SEARCH("Harrowing",L57),0) &gt; 0 , VLOOKUP("Harrowing", vote4TRAITS!A:C , 3, FALSE), ),
IF(IFERROR(SEARCH("Hideous Laughter",L57),0) &gt; 0 , VLOOKUP("Hideous Laughter", vote4TRAITS!A:C , 3, FALSE), ),
IF(IFERROR(SEARCH("Hive Defense",L57),0) &gt; 0 , VLOOKUP("Hive Defense", vote4TRAITS!A:C , 3, FALSE), ),
IF(IFERROR(SEARCH("Horrifying",L57),0) &gt; 0 , VLOOKUP("Horrifying", vote4TRAITS!A:C , 3, FALSE), ),
IF(IFERROR(SEARCH("Ironskin",L57),0) &gt; 0 , VLOOKUP("Ironskin", vote4TRAITS!A:C , 3, FALSE), ),
IF(IFERROR(SEARCH("Unmovable",L57),0) &gt; 0 , VLOOKUP("Unmovable", vote4TRAITS!A:C , 3, FALSE), ),
IF(IFERROR(SEARCH("Lifethirst 1",L57),0) &gt; 0 , VLOOKUP("Lifethirst 1", vote4TRAITS!A:C , 3, FALSE), ),
IF(IFERROR(SEARCH("Lifethirst 2",L57),0) &gt; 0 , VLOOKUP("Lifethirst 2", vote4TRAITS!A:C , 3, FALSE), ),
IF(IFERROR(SEARCH("Morph",L57),0) &gt; 0 , VLOOKUP("Morph", vote4TRAITS!A:C , 3, FALSE), ),
IF(IFERROR(SEARCH("Night Stalker",L57),0) &gt; 0 , VLOOKUP("Night Stalker", vote4TRAITS!A:C , 3, FALSE), ),
IF(IFERROR(SEARCH("Overflowing",L57),0) &gt; 0 , VLOOKUP("Overflowing", vote4TRAITS!A:C , 3, FALSE), ),
IF(IFERROR(SEARCH("Pestilence",L57),0) &gt; 0 , VLOOKUP("Pestilence", vote4TRAITS!A:C , 3, FALSE), ),
IF(IFERROR(SEARCH("Phalanx",L57),0) &gt; 0 , VLOOKUP("Phalanx", vote4TRAITS!A:C , 3, FALSE), ),
IF(IFERROR(SEARCH("Plagued",L57),0) &gt; 0 , VLOOKUP("Plagued", vote4TRAITS!A:C , 3, FALSE), ),
IF(IFERROR(SEARCH("Prey on the Weak",L57),0) &gt; 0 , VLOOKUP("Prey on the Weak", vote4TRAITS!A:C , 3, FALSE), ),
IF(IFERROR(SEARCH("Protect",L57),0) &gt; 0 , VLOOKUP("Protect", vote4TRAITS!A:C , 3, FALSE), ),
IF(IFERROR(SEARCH("Puncture",L57),0) &gt; 0 , VLOOKUP("Puncture", vote4TRAITS!A:C , 3, FALSE), ),
IF(IFERROR(SEARCH("Putrid Boils",L57),0) &gt; 0 , VLOOKUP("Putrid Boils", vote4TRAITS!A:C , 3, FALSE), ),
IF(IFERROR(SEARCH("Ravage",L57),0) &gt; 0 , VLOOKUP("Ravage", vote4TRAITS!A:C , 3, FALSE), ),
IF(IFERROR(SEARCH("Ravenous",L57),0) &gt; 0 , VLOOKUP("Ravenous", vote4TRAITS!A:C , 3, FALSE), ),
IF(IFERROR(SEARCH("Reach",L57),0) &gt; 0 , VLOOKUP("Reach", vote4TRAITS!A:C , 3, FALSE), ),
IF(IFERROR(SEARCH("Reanimation",L57),0) &gt; 0 , VLOOKUP("Reanimation", vote4TRAITS!A:C , 3, FALSE), ),
IF(IFERROR(SEARCH("Reaper",L57),0) &gt; 0 , VLOOKUP("Reaper", vote4TRAITS!A:C , 3, FALSE), ),
IF(IFERROR(SEARCH("Riposte",L57),0) &gt; 0 , VLOOKUP("Riposte", vote4TRAITS!A:C , 3, FALSE)),
IF(IFERROR(SEARCH("Scamper",L57),0) &gt; 0 , VLOOKUP("Scamper", vote4TRAITS!A:C , 3, FALSE), ),
IF(IFERROR(SEARCH("Small Beginnings",L57),0) &gt; 0 , VLOOKUP("Small Beginnings", vote4TRAITS!A:C , 3, FALSE), ),
IF(IFERROR(SEARCH("Spawner",L57),0) &gt; 0 , VLOOKUP("Spawner", vote4TRAITS!A:C , 3,FALSE), ),
IF(IFERROR(SEARCH("Shadowr",L57),0) &gt; 0 , VLOOKUP("Shadow", vote4TRAITS!A:C , 3,FALSE), ),
IF(IFERROR(SEARCH("Shadow Step",L57),0) &gt; 0 , VLOOKUP("Shadow Step", vote4TRAITS!A:C , 3,FALSE), ),
IF(IFERROR(SEARCH("Shambling",L57),0) &gt; 0 , VLOOKUP("Shambling", vote4TRAITS!A:C , 3,FALSE), ),
IF(IFERROR(SEARCH("Stealthy",L57),0) &gt; 0 , VLOOKUP("Stealthy", vote4TRAITS!A:C , 3, FALSE), ),
IF(IFERROR(SEARCH("Web",L57),0) &gt; 0 , VLOOKUP("Web", vote4TRAITS!A:C , 3, FALSE), ),
IF(IFERROR(SEARCH("+1 Willpower",L57),0) &gt; 0 , VLOOKUP("+1 Willpower", vote4TRAITS!A:C , 3, FALSE), ),
IF(IFERROR(SEARCH("+1 Might",L57),0) &gt; 0 , VLOOKUP("+1 Might", vote4TRAITS!A:C , 3, FALSE), ),
IF(IFERROR(SEARCH("+1 Knowledge",L57),0) &gt; 0 , VLOOKUP("+1 Knowledge", vote4TRAITS!A:C , 3, FALSE), ),
IF(IFERROR(SEARCH("+1 Awareness",L57),0) &gt; 0 , VLOOKUP("+1 Awareness", vote4TRAITS!A:C , 3, FALSE), ),
IF(IFERROR(SEARCH("-1 Willpower",L57),0) &gt; 0 , VLOOKUP("-1 Willpower", vote4TRAITS!A:C , 3, FALSE), ),
IF(IFERROR(SEARCH("+1 Health",L57),0) &gt; 0 , VLOOKUP("+1 Health", vote4TRAITS!A:C , 3, FALSE), ),
IF(IFERROR(SEARCH("+2 Health",L57),0) &gt; 0 , VLOOKUP("+2 Health", vote4TRAITS!A:C , 3, FALSE), ),
IF(IFERROR(SEARCH("+1 Stamina",L57),0) &gt; 0 , VLOOKUP("+1 Stamina", vote4TRAITS!A:C , 3, FALSE), ),
IF(IFERROR(SEARCH("+2 Stamina",L57),0) &gt; 0 , VLOOKUP("+2 Stamina", vote4TRAITS!A:C , 3, FALSE), ),
IFS(
IFERROR(SEARCH("+1 Range", L57),) &gt; 0 ,VLOOKUP("+1 Range", vote4TRAITS!A:C , 3, FALSE),
IFERROR(SEARCH("+2 Range", L57),) &gt; 0 ,VLOOKUP("+2 Range", vote4TRAITS!A:C , 3, FALSE),
IFERROR(SEARCH("+3 Range", L57),) &gt; 0,VLOOKUP("+3 Range", vote4TRAITS!A:C , 3, FALSE),
0=0,0)
,
IFS(
IFERROR(SEARCH("Sorcery 1", L57),) &gt; 0 ,VLOOKUP("Sorcery 1", vote4TRAITS!A:C , 3, FALSE),
IFERROR(SEARCH("Sorcery 2", L57),) &gt; 0 ,VLOOKUP("Sorcery 2", vote4TRAITS!A:C , 3, FALSE),
IFERROR(SEARCH("Sorcery 3", L57),) &gt; 0,VLOOKUP("Sorcery 3", vote4TRAITS!A:C , 3, FALSE),
0=0,0)
,
IFS(
IFERROR(SEARCH("Pierce 1", L57),) &gt; 0 ,VLOOKUP("Pierce 1", vote4TRAITS!A:C , 3, FALSE),
IFERROR(SEARCH("Pierce 2", L57),) &gt; 0 ,VLOOKUP("Pierce 2", vote4TRAITS!A:C , 3, FALSE),
IFERROR(SEARCH("Pierce 3", L57),) &gt; 0,VLOOKUP("Pierce 3", vote4TRAITS!A:C , 3, FALSE),
IFERROR(SEARCH("Pierce 4", L57),) &gt; 0 ,VLOOKUP("Pierce 4", vote4TRAITS!A:C , 3, FALSE),
0=0,0)
,
IFS(
IFERROR(SEARCH("+1 Health", L57),) &gt; 0 ,VLOOKUP("+1 Health", vote4TRAITS!A:C , 3, FALSE),
IFERROR(SEARCH("+2 Health", L57),) &gt; 0 ,VLOOKUP("+2 Health", vote4TRAITS!A:C , 3, FALSE),
IFERROR(SEARCH("+3 Health", L57),) &gt; 0 ,VLOOKUP("+3 Health", vote4TRAITS!A:C , 3, FALSE),
IFERROR(SEARCH("+4 Health", L57),) &gt; 0 ,VLOOKUP("+4 Health", vote4TRAITS!A:C , 3, FALSE),
0=0,0)
,
IFS(
IFERROR(SEARCH("Soul Shackle 1", L57),) &gt; 0 ,VLOOKUP("Soul Shackle 1", vote4TRAITS!A:C , 3, FALSE),
IFERROR(SEARCH("Soul Shackle 2", L57),) &gt; 0 ,VLOOKUP("Soul Shackle 2", vote4TRAITS!A:C , 3, FALSE),
IFERROR(SEARCH("Soul Shackle 3", L57),) &gt; 0,VLOOKUP("Soul Shackle 3", vote4TRAITS!A:C , 3, FALSE),
0=0,0)
)</f>
        <v>0</v>
      </c>
      <c r="N57" s="311" t="s">
        <v>1579</v>
      </c>
      <c r="O57" s="317">
        <f>IF(ISBLANK(N57),,IFERROR(
IF(IFERROR(SEARCH("SS:",N57),0) &gt; 0, 
VLOOKUP(SUBSTITUTE(N57,"SS: ",""),vote4SURGE!$A:$C , 3, FALSE) - 2,
VLOOKUP(SUBSTITUTE(N57,"S: ",""),vote4SURGE!$A:$C , 3, FALSE)
)
,
IF(IFERROR(SEARCH("SS:",N57),0) &gt; 0, 
VLOOKUP(C57,vote4SURGE!$A:$C , 3, FALSE) - 2,
VLOOKUP(C57,vote4SURGE!$A:$C , 3, FALSE)
)
))</f>
        <v>2.5</v>
      </c>
      <c r="P57" s="318"/>
      <c r="Q57" s="317" t="str">
        <f>IF(ISBLANK(P57),,IFERROR(
IF(IFERROR(SEARCH("SS:",P57),0) &gt; 0, 
VLOOKUP(SUBSTITUTE(P57,"SS: ",""),vote4SURGE!$A:$C , 3, FALSE) - 2,
VLOOKUP(SUBSTITUTE(P57,"S: ",""),vote4SURGE!$A:$C , 3, FALSE)
)
,
IF(IFERROR(SEARCH("SS:",P57),0) &gt; 0, 
VLOOKUP(C57,vote4SURGE!$A:$C , 3, FALSE) - 2,
VLOOKUP(C57,vote4SURGE!$A:$C , 3, FALSE)
)
))</f>
        <v/>
      </c>
      <c r="R57" s="318"/>
      <c r="S57" s="319" t="str">
        <f>IF(ISBLANK(R57),,IFERROR(
IF(IFERROR(SEARCH("SS:",R57),0) &gt; 0, 
VLOOKUP(SUBSTITUTE(R57,"SS: ",""),vote4SURGE!$A:$C , 3, FALSE) - 2,
VLOOKUP(SUBSTITUTE(R57,"S: ",""),vote4SURGE!$A:$C , 3, FALSE)
)
,
IF(IFERROR(SEARCH("SS:",R57),0) &gt; 0, 
VLOOKUP(C57,vote4SURGE!$A:$C , 3, FALSE) - 2,
VLOOKUP(C57,vote4SURGE!$A:$C , 3, FALSE)
)
))</f>
        <v/>
      </c>
      <c r="T57" s="320">
        <f t="shared" si="2"/>
        <v>1</v>
      </c>
      <c r="U57" s="320">
        <f>IFERROR(__xludf.DUMMYFUNCTION("ROUND(
IF(ISBLANK(G57),,
SWITCH(
LEN(G57) - LEN(SUBSTITUTE(G57,"","","""")),
0 , VLOOKUP(G57, Variables!$A:$C, 3, FALSE),
1 , VLOOKUP(index(split(G57 ,"", "", FALSE),1,1), Variables!$A:$C , 3, FALSE) + VLOOKUP(index(split(G57 ,"", "", FALSE),1,2), Variabl"&amp;"es!$A:$C , 3, FALSE),
2 , VLOOKUP(index(split(G57 ,"", "", FALSE),1,1), Variables!$A:$C , 3, FALSE) + VLOOKUP(index(split(G57 ,"", "", FALSE),1,2), Variables!$A:$C , 3, FALSE) + VLOOKUP(index(split(G57 ,"", "", FALSE),1,3), Variables!$A:$C , 3, FALSE),
3 "&amp;", VLOOKUP(index(split(G57 ,"", "", FALSE),1,1), Variables!$A:$C , 3, FALSE) + VLOOKUP(index(split(G57 ,"", "", FALSE),1,2), Variables!$A:$C , 3, FALSE) + VLOOKUP(index(split(G57 ,"", "", FALSE),1,3), Variables!$A:$C , 3, FALSE) + VLOOKUP(index(split(G57 ,"&amp;""", "", FALSE),1,4), Variables!$A:$C , 3, FALSE),
)
)
)"),1.0)</f>
        <v>1</v>
      </c>
      <c r="V57" s="317">
        <f t="shared" si="3"/>
        <v>2.5</v>
      </c>
      <c r="W57" s="321">
        <f t="shared" si="4"/>
        <v>9.5</v>
      </c>
      <c r="X57" s="322"/>
      <c r="Y57" s="322"/>
      <c r="Z57" s="322"/>
      <c r="AA57" s="322"/>
      <c r="AB57" s="322"/>
      <c r="AC57" s="322"/>
      <c r="AD57" s="322"/>
      <c r="AE57" s="322"/>
    </row>
    <row r="58" hidden="1">
      <c r="A58" s="310">
        <v>1.0</v>
      </c>
      <c r="B58" s="93">
        <f t="shared" si="1"/>
        <v>3</v>
      </c>
      <c r="C58" s="310" t="s">
        <v>715</v>
      </c>
      <c r="D58" s="310">
        <v>125.0</v>
      </c>
      <c r="E58" s="310" t="s">
        <v>1520</v>
      </c>
      <c r="F58" s="310" t="s">
        <v>1531</v>
      </c>
      <c r="G58" s="313" t="s">
        <v>1548</v>
      </c>
      <c r="H58" s="312">
        <f>IFERROR(__xludf.DUMMYFUNCTION(" IF(ISBLANK(G58),,
SWITCH(
LEN(G58) - LEN(SUBSTITUTE(G58,"","","""")),
0 , VLOOKUP(G58, Variables!$A:$B, 2, FALSE),
1 , VLOOKUP(index(split(G58 ,"", "", FALSE),1,1), Variables!$A:$B , 2, FALSE) + VLOOKUP(index(split(G58 ,"", "", FALSE),1,2), Variables!$A:"&amp;"$B , 2, FALSE),
2 , VLOOKUP(index(split(G58 ,"", "", FALSE),1,1), Variables!$A:$B , 2, FALSE) + VLOOKUP(index(split(G58 ,"", "", FALSE),1,2), Variables!$A:$B , 2, FALSE) + VLOOKUP(index(split(G58 ,"", "", FALSE),1,3), Variables!$A:$B , 2, FALSE),
3 , VLOO"&amp;"KUP(index(split(G58 ,"", "", FALSE),1,1), Variables!$A:$B , 2, FALSE) + VLOOKUP(index(split(G58 ,"", "", FALSE),1,2), Variables!$A:$B , 2, FALSE) + VLOOKUP(index(split(G58 ,"", "", FALSE),1,3), Variables!$A:$B , 2, FALSE) + VLOOKUP(index(split(G58 ,"", """&amp;", FALSE),1,4), Variables!$A:$B , 2, FALSE),
)
)"),2.3333333333333335)</f>
        <v>2.333333333</v>
      </c>
      <c r="I58" s="310" t="s">
        <v>1554</v>
      </c>
      <c r="J58" s="313" t="s">
        <v>716</v>
      </c>
      <c r="K58" s="314">
        <f>IFERROR(VLOOKUP(C58,vote4ITEMS!$A:$C, 3, FALSE),)</f>
        <v>3.5</v>
      </c>
      <c r="L58" s="313"/>
      <c r="M58" s="314">
        <f>SUM(
IF(IFERROR(SEARCH("Aura 1",L58),0) &gt; 0 , VLOOKUP("Aura 1", vote4TRAITS!A:C , 3, FALSE), ),
IF(IFERROR(SEARCH("Backswing",L58),0) &gt; 0 , VLOOKUP("Backswing", vote4TRAITS!A:C , 3, FALSE), ),
IF(IFERROR(SEARCH("Blast",L58),0) &gt; 0 , VLOOKUP("Blast", vote4TRAITS!A:C , 3, FALSE), ),
IF(IFERROR(SEARCH("Combustible",L58),0) &gt; 0 , VLOOKUP("Combustible", vote4TRAITS!A:C , 3, FALSE), ),
IF(IFERROR(SEARCH("Command",L58),0) &gt; 0 , VLOOKUP("Command", vote4TRAITS!A:C , 3, FALSE), ),
IF(IFERROR(SEARCH("Cowardly",L58),0) &gt; 0 , VLOOKUP("Cowardly", vote4TRAITS!A:C , 3, FALSE), ),
IF(IFERROR(SEARCH("Death Wish",L58),0) &gt; 0 , VLOOKUP("Death Wish", vote4TRAITS!A:C , 3, FALSE), ),
IF(IFERROR(SEARCH("Entomb",L58),0) &gt; 0 , VLOOKUP("Entomb", vote4TRAITS!A:C , 3, FALSE), ),
IF(IFERROR(SEARCH("Ethereal Hold",L58),0) &gt; 0 , VLOOKUP("Ethereal Hold", vote4TRAITS!A:C , 3, FALSE), ),
IF(IFERROR(SEARCH("Extend",L58),0) &gt; 0 , VLOOKUP("Extend", vote4TRAITS!A:C , 3, FALSE), ),
IF(IFERROR(SEARCH("Filthy Murk",L58),0) &gt; 0 , VLOOKUP("Filthy Murk", vote4TRAITS!A:C , 3, FALSE), ),
IF(IFERROR(SEARCH("Flame Fiend",L58),0) &gt; 0 , VLOOKUP("Flame Fiend", vote4TRAITS!A:C , 3, FALSE), ),
IF(IFERROR(SEARCH("Fleshmonger",L58),0) &gt; 0 , VLOOKUP("Fleshmonger", vote4TRAITS!A:C , 3, FALSE), ),
IF(IFERROR(SEARCH("Fly",L58),0) &gt; 0 , VLOOKUP("Fly", vote4TRAITS!A:C , 3, FALSE), ),
IF(IFERROR(SEARCH("Freezing",L58),0) &gt; 0 , VLOOKUP("Freezing", vote4TRAITS!A:C , 3, FALSE), ),
IF(IFERROR(SEARCH("Lithesome",L58),0) &gt; 0 , VLOOKUP("Lithesome", vote4TRAITS!A:C , 3, FALSE), ),
IF(IFERROR(SEARCH("Harrowing",L58),0) &gt; 0 , VLOOKUP("Harrowing", vote4TRAITS!A:C , 3, FALSE), ),
IF(IFERROR(SEARCH("Hideous Laughter",L58),0) &gt; 0 , VLOOKUP("Hideous Laughter", vote4TRAITS!A:C , 3, FALSE), ),
IF(IFERROR(SEARCH("Hive Defense",L58),0) &gt; 0 , VLOOKUP("Hive Defense", vote4TRAITS!A:C , 3, FALSE), ),
IF(IFERROR(SEARCH("Horrifying",L58),0) &gt; 0 , VLOOKUP("Horrifying", vote4TRAITS!A:C , 3, FALSE), ),
IF(IFERROR(SEARCH("Ironskin",L58),0) &gt; 0 , VLOOKUP("Ironskin", vote4TRAITS!A:C , 3, FALSE), ),
IF(IFERROR(SEARCH("Unmovable",L58),0) &gt; 0 , VLOOKUP("Unmovable", vote4TRAITS!A:C , 3, FALSE), ),
IF(IFERROR(SEARCH("Lifethirst 1",L58),0) &gt; 0 , VLOOKUP("Lifethirst 1", vote4TRAITS!A:C , 3, FALSE), ),
IF(IFERROR(SEARCH("Lifethirst 2",L58),0) &gt; 0 , VLOOKUP("Lifethirst 2", vote4TRAITS!A:C , 3, FALSE), ),
IF(IFERROR(SEARCH("Morph",L58),0) &gt; 0 , VLOOKUP("Morph", vote4TRAITS!A:C , 3, FALSE), ),
IF(IFERROR(SEARCH("Night Stalker",L58),0) &gt; 0 , VLOOKUP("Night Stalker", vote4TRAITS!A:C , 3, FALSE), ),
IF(IFERROR(SEARCH("Overflowing",L58),0) &gt; 0 , VLOOKUP("Overflowing", vote4TRAITS!A:C , 3, FALSE), ),
IF(IFERROR(SEARCH("Pestilence",L58),0) &gt; 0 , VLOOKUP("Pestilence", vote4TRAITS!A:C , 3, FALSE), ),
IF(IFERROR(SEARCH("Phalanx",L58),0) &gt; 0 , VLOOKUP("Phalanx", vote4TRAITS!A:C , 3, FALSE), ),
IF(IFERROR(SEARCH("Plagued",L58),0) &gt; 0 , VLOOKUP("Plagued", vote4TRAITS!A:C , 3, FALSE), ),
IF(IFERROR(SEARCH("Prey on the Weak",L58),0) &gt; 0 , VLOOKUP("Prey on the Weak", vote4TRAITS!A:C , 3, FALSE), ),
IF(IFERROR(SEARCH("Protect",L58),0) &gt; 0 , VLOOKUP("Protect", vote4TRAITS!A:C , 3, FALSE), ),
IF(IFERROR(SEARCH("Puncture",L58),0) &gt; 0 , VLOOKUP("Puncture", vote4TRAITS!A:C , 3, FALSE), ),
IF(IFERROR(SEARCH("Putrid Boils",L58),0) &gt; 0 , VLOOKUP("Putrid Boils", vote4TRAITS!A:C , 3, FALSE), ),
IF(IFERROR(SEARCH("Ravage",L58),0) &gt; 0 , VLOOKUP("Ravage", vote4TRAITS!A:C , 3, FALSE), ),
IF(IFERROR(SEARCH("Ravenous",L58),0) &gt; 0 , VLOOKUP("Ravenous", vote4TRAITS!A:C , 3, FALSE), ),
IF(IFERROR(SEARCH("Reach",L58),0) &gt; 0 , VLOOKUP("Reach", vote4TRAITS!A:C , 3, FALSE), ),
IF(IFERROR(SEARCH("Reanimation",L58),0) &gt; 0 , VLOOKUP("Reanimation", vote4TRAITS!A:C , 3, FALSE), ),
IF(IFERROR(SEARCH("Reaper",L58),0) &gt; 0 , VLOOKUP("Reaper", vote4TRAITS!A:C , 3, FALSE), ),
IF(IFERROR(SEARCH("Riposte",L58),0) &gt; 0 , VLOOKUP("Riposte", vote4TRAITS!A:C , 3, FALSE)),
IF(IFERROR(SEARCH("Scamper",L58),0) &gt; 0 , VLOOKUP("Scamper", vote4TRAITS!A:C , 3, FALSE), ),
IF(IFERROR(SEARCH("Small Beginnings",L58),0) &gt; 0 , VLOOKUP("Small Beginnings", vote4TRAITS!A:C , 3, FALSE), ),
IF(IFERROR(SEARCH("Spawner",L58),0) &gt; 0 , VLOOKUP("Spawner", vote4TRAITS!A:C , 3,FALSE), ),
IF(IFERROR(SEARCH("Shadowr",L58),0) &gt; 0 , VLOOKUP("Shadow", vote4TRAITS!A:C , 3,FALSE), ),
IF(IFERROR(SEARCH("Shadow Step",L58),0) &gt; 0 , VLOOKUP("Shadow Step", vote4TRAITS!A:C , 3,FALSE), ),
IF(IFERROR(SEARCH("Shambling",L58),0) &gt; 0 , VLOOKUP("Shambling", vote4TRAITS!A:C , 3,FALSE), ),
IF(IFERROR(SEARCH("Stealthy",L58),0) &gt; 0 , VLOOKUP("Stealthy", vote4TRAITS!A:C , 3, FALSE), ),
IF(IFERROR(SEARCH("Web",L58),0) &gt; 0 , VLOOKUP("Web", vote4TRAITS!A:C , 3, FALSE), ),
IF(IFERROR(SEARCH("+1 Willpower",L58),0) &gt; 0 , VLOOKUP("+1 Willpower", vote4TRAITS!A:C , 3, FALSE), ),
IF(IFERROR(SEARCH("+1 Might",L58),0) &gt; 0 , VLOOKUP("+1 Might", vote4TRAITS!A:C , 3, FALSE), ),
IF(IFERROR(SEARCH("+1 Knowledge",L58),0) &gt; 0 , VLOOKUP("+1 Knowledge", vote4TRAITS!A:C , 3, FALSE), ),
IF(IFERROR(SEARCH("+1 Awareness",L58),0) &gt; 0 , VLOOKUP("+1 Awareness", vote4TRAITS!A:C , 3, FALSE), ),
IF(IFERROR(SEARCH("-1 Willpower",L58),0) &gt; 0 , VLOOKUP("-1 Willpower", vote4TRAITS!A:C , 3, FALSE), ),
IF(IFERROR(SEARCH("+1 Health",L58),0) &gt; 0 , VLOOKUP("+1 Health", vote4TRAITS!A:C , 3, FALSE), ),
IF(IFERROR(SEARCH("+2 Health",L58),0) &gt; 0 , VLOOKUP("+2 Health", vote4TRAITS!A:C , 3, FALSE), ),
IF(IFERROR(SEARCH("+1 Stamina",L58),0) &gt; 0 , VLOOKUP("+1 Stamina", vote4TRAITS!A:C , 3, FALSE), ),
IF(IFERROR(SEARCH("+2 Stamina",L58),0) &gt; 0 , VLOOKUP("+2 Stamina", vote4TRAITS!A:C , 3, FALSE), ),
IFS(
IFERROR(SEARCH("+1 Range", L58),) &gt; 0 ,VLOOKUP("+1 Range", vote4TRAITS!A:C , 3, FALSE),
IFERROR(SEARCH("+2 Range", L58),) &gt; 0 ,VLOOKUP("+2 Range", vote4TRAITS!A:C , 3, FALSE),
IFERROR(SEARCH("+3 Range", L58),) &gt; 0,VLOOKUP("+3 Range", vote4TRAITS!A:C , 3, FALSE),
0=0,0)
,
IFS(
IFERROR(SEARCH("Sorcery 1", L58),) &gt; 0 ,VLOOKUP("Sorcery 1", vote4TRAITS!A:C , 3, FALSE),
IFERROR(SEARCH("Sorcery 2", L58),) &gt; 0 ,VLOOKUP("Sorcery 2", vote4TRAITS!A:C , 3, FALSE),
IFERROR(SEARCH("Sorcery 3", L58),) &gt; 0,VLOOKUP("Sorcery 3", vote4TRAITS!A:C , 3, FALSE),
0=0,0)
,
IFS(
IFERROR(SEARCH("Pierce 1", L58),) &gt; 0 ,VLOOKUP("Pierce 1", vote4TRAITS!A:C , 3, FALSE),
IFERROR(SEARCH("Pierce 2", L58),) &gt; 0 ,VLOOKUP("Pierce 2", vote4TRAITS!A:C , 3, FALSE),
IFERROR(SEARCH("Pierce 3", L58),) &gt; 0,VLOOKUP("Pierce 3", vote4TRAITS!A:C , 3, FALSE),
IFERROR(SEARCH("Pierce 4", L58),) &gt; 0 ,VLOOKUP("Pierce 4", vote4TRAITS!A:C , 3, FALSE),
0=0,0)
,
IFS(
IFERROR(SEARCH("+1 Health", L58),) &gt; 0 ,VLOOKUP("+1 Health", vote4TRAITS!A:C , 3, FALSE),
IFERROR(SEARCH("+2 Health", L58),) &gt; 0 ,VLOOKUP("+2 Health", vote4TRAITS!A:C , 3, FALSE),
IFERROR(SEARCH("+3 Health", L58),) &gt; 0 ,VLOOKUP("+3 Health", vote4TRAITS!A:C , 3, FALSE),
IFERROR(SEARCH("+4 Health", L58),) &gt; 0 ,VLOOKUP("+4 Health", vote4TRAITS!A:C , 3, FALSE),
0=0,0)
,
IFS(
IFERROR(SEARCH("Soul Shackle 1", L58),) &gt; 0 ,VLOOKUP("Soul Shackle 1", vote4TRAITS!A:C , 3, FALSE),
IFERROR(SEARCH("Soul Shackle 2", L58),) &gt; 0 ,VLOOKUP("Soul Shackle 2", vote4TRAITS!A:C , 3, FALSE),
IFERROR(SEARCH("Soul Shackle 3", L58),) &gt; 0,VLOOKUP("Soul Shackle 3", vote4TRAITS!A:C , 3, FALSE),
0=0,0)
)</f>
        <v>0</v>
      </c>
      <c r="N58" s="311" t="s">
        <v>1605</v>
      </c>
      <c r="O58" s="317">
        <f>IF(ISBLANK(N58),,IFERROR(
IF(IFERROR(SEARCH("SS:",N58),0) &gt; 0, 
VLOOKUP(SUBSTITUTE(N58,"SS: ",""),vote4SURGE!$A:$C , 3, FALSE) - 2,
VLOOKUP(SUBSTITUTE(N58,"S: ",""),vote4SURGE!$A:$C , 3, FALSE)
)
,
IF(IFERROR(SEARCH("SS:",N58),0) &gt; 0, 
VLOOKUP(C58,vote4SURGE!$A:$C , 3, FALSE) - 2,
VLOOKUP(C58,vote4SURGE!$A:$C , 3, FALSE)
)
))</f>
        <v>4</v>
      </c>
      <c r="P58" s="105" t="s">
        <v>1566</v>
      </c>
      <c r="Q58" s="317">
        <f>IF(ISBLANK(P58),,IFERROR(
IF(IFERROR(SEARCH("SS:",P58),0) &gt; 0, 
VLOOKUP(SUBSTITUTE(P58,"SS: ",""),vote4SURGE!$A:$C , 3, FALSE) - 2,
VLOOKUP(SUBSTITUTE(P58,"S: ",""),vote4SURGE!$A:$C , 3, FALSE)
)
,
IF(IFERROR(SEARCH("SS:",P58),0) &gt; 0, 
VLOOKUP(C58,vote4SURGE!$A:$C , 3, FALSE) - 2,
VLOOKUP(C58,vote4SURGE!$A:$C , 3, FALSE)
)
))</f>
        <v>3</v>
      </c>
      <c r="R58" s="318"/>
      <c r="S58" s="319" t="str">
        <f>IF(ISBLANK(R58),,IFERROR(
IF(IFERROR(SEARCH("SS:",R58),0) &gt; 0, 
VLOOKUP(SUBSTITUTE(R58,"SS: ",""),vote4SURGE!$A:$C , 3, FALSE) - 2,
VLOOKUP(SUBSTITUTE(R58,"S: ",""),vote4SURGE!$A:$C , 3, FALSE)
)
,
IF(IFERROR(SEARCH("SS:",R58),0) &gt; 0, 
VLOOKUP(C58,vote4SURGE!$A:$C , 3, FALSE) - 2,
VLOOKUP(C58,vote4SURGE!$A:$C , 3, FALSE)
)
))</f>
        <v/>
      </c>
      <c r="T58" s="320">
        <f t="shared" si="2"/>
        <v>3</v>
      </c>
      <c r="U58" s="320">
        <f>IFERROR(__xludf.DUMMYFUNCTION("ROUND(
IF(ISBLANK(G58),,
SWITCH(
LEN(G58) - LEN(SUBSTITUTE(G58,"","","""")),
0 , VLOOKUP(G58, Variables!$A:$C, 3, FALSE),
1 , VLOOKUP(index(split(G58 ,"", "", FALSE),1,1), Variables!$A:$C , 3, FALSE) + VLOOKUP(index(split(G58 ,"", "", FALSE),1,2), Variabl"&amp;"es!$A:$C , 3, FALSE),
2 , VLOOKUP(index(split(G58 ,"", "", FALSE),1,1), Variables!$A:$C , 3, FALSE) + VLOOKUP(index(split(G58 ,"", "", FALSE),1,2), Variables!$A:$C , 3, FALSE) + VLOOKUP(index(split(G58 ,"", "", FALSE),1,3), Variables!$A:$C , 3, FALSE),
3 "&amp;", VLOOKUP(index(split(G58 ,"", "", FALSE),1,1), Variables!$A:$C , 3, FALSE) + VLOOKUP(index(split(G58 ,"", "", FALSE),1,2), Variables!$A:$C , 3, FALSE) + VLOOKUP(index(split(G58 ,"", "", FALSE),1,3), Variables!$A:$C , 3, FALSE) + VLOOKUP(index(split(G58 ,"&amp;""", "", FALSE),1,4), Variables!$A:$C , 3, FALSE),
)
)
)"),1.0)</f>
        <v>1</v>
      </c>
      <c r="V58" s="317">
        <f t="shared" si="3"/>
        <v>5</v>
      </c>
      <c r="W58" s="321">
        <f t="shared" si="4"/>
        <v>10.83333333</v>
      </c>
      <c r="X58" s="322"/>
      <c r="Y58" s="322"/>
      <c r="Z58" s="322"/>
      <c r="AA58" s="322"/>
      <c r="AB58" s="322"/>
      <c r="AC58" s="322"/>
      <c r="AD58" s="322"/>
      <c r="AE58" s="322"/>
    </row>
    <row r="59" hidden="1">
      <c r="A59" s="310">
        <v>1.0</v>
      </c>
      <c r="B59" s="93">
        <f t="shared" si="1"/>
        <v>3</v>
      </c>
      <c r="C59" s="310" t="s">
        <v>892</v>
      </c>
      <c r="D59" s="310">
        <v>100.0</v>
      </c>
      <c r="E59" s="310" t="s">
        <v>1527</v>
      </c>
      <c r="F59" s="310" t="s">
        <v>1521</v>
      </c>
      <c r="G59" s="313" t="s">
        <v>1525</v>
      </c>
      <c r="H59" s="312">
        <f>IFERROR(__xludf.DUMMYFUNCTION(" IF(ISBLANK(G59),,
SWITCH(
LEN(G59) - LEN(SUBSTITUTE(G59,"","","""")),
0 , VLOOKUP(G59, Variables!$A:$B, 2, FALSE),
1 , VLOOKUP(index(split(G59 ,"", "", FALSE),1,1), Variables!$A:$B , 2, FALSE) + VLOOKUP(index(split(G59 ,"", "", FALSE),1,2), Variables!$A:"&amp;"$B , 2, FALSE),
2 , VLOOKUP(index(split(G59 ,"", "", FALSE),1,1), Variables!$A:$B , 2, FALSE) + VLOOKUP(index(split(G59 ,"", "", FALSE),1,2), Variables!$A:$B , 2, FALSE) + VLOOKUP(index(split(G59 ,"", "", FALSE),1,3), Variables!$A:$B , 2, FALSE),
3 , VLOO"&amp;"KUP(index(split(G59 ,"", "", FALSE),1,1), Variables!$A:$B , 2, FALSE) + VLOOKUP(index(split(G59 ,"", "", FALSE),1,2), Variables!$A:$B , 2, FALSE) + VLOOKUP(index(split(G59 ,"", "", FALSE),1,3), Variables!$A:$B , 2, FALSE) + VLOOKUP(index(split(G59 ,"", """&amp;", FALSE),1,4), Variables!$A:$B , 2, FALSE),
)
)"),3.333333333333333)</f>
        <v>3.333333333</v>
      </c>
      <c r="I59" s="310" t="s">
        <v>1557</v>
      </c>
      <c r="J59" s="313" t="s">
        <v>893</v>
      </c>
      <c r="K59" s="314">
        <f>IFERROR(VLOOKUP(C59,vote4ITEMS!$A:$C, 3, FALSE),)</f>
        <v>3.666666667</v>
      </c>
      <c r="L59" s="313"/>
      <c r="M59" s="314">
        <f>SUM(
IF(IFERROR(SEARCH("Aura 1",L59),0) &gt; 0 , VLOOKUP("Aura 1", vote4TRAITS!A:C , 3, FALSE), ),
IF(IFERROR(SEARCH("Backswing",L59),0) &gt; 0 , VLOOKUP("Backswing", vote4TRAITS!A:C , 3, FALSE), ),
IF(IFERROR(SEARCH("Blast",L59),0) &gt; 0 , VLOOKUP("Blast", vote4TRAITS!A:C , 3, FALSE), ),
IF(IFERROR(SEARCH("Combustible",L59),0) &gt; 0 , VLOOKUP("Combustible", vote4TRAITS!A:C , 3, FALSE), ),
IF(IFERROR(SEARCH("Command",L59),0) &gt; 0 , VLOOKUP("Command", vote4TRAITS!A:C , 3, FALSE), ),
IF(IFERROR(SEARCH("Cowardly",L59),0) &gt; 0 , VLOOKUP("Cowardly", vote4TRAITS!A:C , 3, FALSE), ),
IF(IFERROR(SEARCH("Death Wish",L59),0) &gt; 0 , VLOOKUP("Death Wish", vote4TRAITS!A:C , 3, FALSE), ),
IF(IFERROR(SEARCH("Entomb",L59),0) &gt; 0 , VLOOKUP("Entomb", vote4TRAITS!A:C , 3, FALSE), ),
IF(IFERROR(SEARCH("Ethereal Hold",L59),0) &gt; 0 , VLOOKUP("Ethereal Hold", vote4TRAITS!A:C , 3, FALSE), ),
IF(IFERROR(SEARCH("Extend",L59),0) &gt; 0 , VLOOKUP("Extend", vote4TRAITS!A:C , 3, FALSE), ),
IF(IFERROR(SEARCH("Filthy Murk",L59),0) &gt; 0 , VLOOKUP("Filthy Murk", vote4TRAITS!A:C , 3, FALSE), ),
IF(IFERROR(SEARCH("Flame Fiend",L59),0) &gt; 0 , VLOOKUP("Flame Fiend", vote4TRAITS!A:C , 3, FALSE), ),
IF(IFERROR(SEARCH("Fleshmonger",L59),0) &gt; 0 , VLOOKUP("Fleshmonger", vote4TRAITS!A:C , 3, FALSE), ),
IF(IFERROR(SEARCH("Fly",L59),0) &gt; 0 , VLOOKUP("Fly", vote4TRAITS!A:C , 3, FALSE), ),
IF(IFERROR(SEARCH("Freezing",L59),0) &gt; 0 , VLOOKUP("Freezing", vote4TRAITS!A:C , 3, FALSE), ),
IF(IFERROR(SEARCH("Lithesome",L59),0) &gt; 0 , VLOOKUP("Lithesome", vote4TRAITS!A:C , 3, FALSE), ),
IF(IFERROR(SEARCH("Harrowing",L59),0) &gt; 0 , VLOOKUP("Harrowing", vote4TRAITS!A:C , 3, FALSE), ),
IF(IFERROR(SEARCH("Hideous Laughter",L59),0) &gt; 0 , VLOOKUP("Hideous Laughter", vote4TRAITS!A:C , 3, FALSE), ),
IF(IFERROR(SEARCH("Hive Defense",L59),0) &gt; 0 , VLOOKUP("Hive Defense", vote4TRAITS!A:C , 3, FALSE), ),
IF(IFERROR(SEARCH("Horrifying",L59),0) &gt; 0 , VLOOKUP("Horrifying", vote4TRAITS!A:C , 3, FALSE), ),
IF(IFERROR(SEARCH("Ironskin",L59),0) &gt; 0 , VLOOKUP("Ironskin", vote4TRAITS!A:C , 3, FALSE), ),
IF(IFERROR(SEARCH("Unmovable",L59),0) &gt; 0 , VLOOKUP("Unmovable", vote4TRAITS!A:C , 3, FALSE), ),
IF(IFERROR(SEARCH("Lifethirst 1",L59),0) &gt; 0 , VLOOKUP("Lifethirst 1", vote4TRAITS!A:C , 3, FALSE), ),
IF(IFERROR(SEARCH("Lifethirst 2",L59),0) &gt; 0 , VLOOKUP("Lifethirst 2", vote4TRAITS!A:C , 3, FALSE), ),
IF(IFERROR(SEARCH("Morph",L59),0) &gt; 0 , VLOOKUP("Morph", vote4TRAITS!A:C , 3, FALSE), ),
IF(IFERROR(SEARCH("Night Stalker",L59),0) &gt; 0 , VLOOKUP("Night Stalker", vote4TRAITS!A:C , 3, FALSE), ),
IF(IFERROR(SEARCH("Overflowing",L59),0) &gt; 0 , VLOOKUP("Overflowing", vote4TRAITS!A:C , 3, FALSE), ),
IF(IFERROR(SEARCH("Pestilence",L59),0) &gt; 0 , VLOOKUP("Pestilence", vote4TRAITS!A:C , 3, FALSE), ),
IF(IFERROR(SEARCH("Phalanx",L59),0) &gt; 0 , VLOOKUP("Phalanx", vote4TRAITS!A:C , 3, FALSE), ),
IF(IFERROR(SEARCH("Plagued",L59),0) &gt; 0 , VLOOKUP("Plagued", vote4TRAITS!A:C , 3, FALSE), ),
IF(IFERROR(SEARCH("Prey on the Weak",L59),0) &gt; 0 , VLOOKUP("Prey on the Weak", vote4TRAITS!A:C , 3, FALSE), ),
IF(IFERROR(SEARCH("Protect",L59),0) &gt; 0 , VLOOKUP("Protect", vote4TRAITS!A:C , 3, FALSE), ),
IF(IFERROR(SEARCH("Puncture",L59),0) &gt; 0 , VLOOKUP("Puncture", vote4TRAITS!A:C , 3, FALSE), ),
IF(IFERROR(SEARCH("Putrid Boils",L59),0) &gt; 0 , VLOOKUP("Putrid Boils", vote4TRAITS!A:C , 3, FALSE), ),
IF(IFERROR(SEARCH("Ravage",L59),0) &gt; 0 , VLOOKUP("Ravage", vote4TRAITS!A:C , 3, FALSE), ),
IF(IFERROR(SEARCH("Ravenous",L59),0) &gt; 0 , VLOOKUP("Ravenous", vote4TRAITS!A:C , 3, FALSE), ),
IF(IFERROR(SEARCH("Reach",L59),0) &gt; 0 , VLOOKUP("Reach", vote4TRAITS!A:C , 3, FALSE), ),
IF(IFERROR(SEARCH("Reanimation",L59),0) &gt; 0 , VLOOKUP("Reanimation", vote4TRAITS!A:C , 3, FALSE), ),
IF(IFERROR(SEARCH("Reaper",L59),0) &gt; 0 , VLOOKUP("Reaper", vote4TRAITS!A:C , 3, FALSE), ),
IF(IFERROR(SEARCH("Riposte",L59),0) &gt; 0 , VLOOKUP("Riposte", vote4TRAITS!A:C , 3, FALSE)),
IF(IFERROR(SEARCH("Scamper",L59),0) &gt; 0 , VLOOKUP("Scamper", vote4TRAITS!A:C , 3, FALSE), ),
IF(IFERROR(SEARCH("Small Beginnings",L59),0) &gt; 0 , VLOOKUP("Small Beginnings", vote4TRAITS!A:C , 3, FALSE), ),
IF(IFERROR(SEARCH("Spawner",L59),0) &gt; 0 , VLOOKUP("Spawner", vote4TRAITS!A:C , 3,FALSE), ),
IF(IFERROR(SEARCH("Shadowr",L59),0) &gt; 0 , VLOOKUP("Shadow", vote4TRAITS!A:C , 3,FALSE), ),
IF(IFERROR(SEARCH("Shadow Step",L59),0) &gt; 0 , VLOOKUP("Shadow Step", vote4TRAITS!A:C , 3,FALSE), ),
IF(IFERROR(SEARCH("Shambling",L59),0) &gt; 0 , VLOOKUP("Shambling", vote4TRAITS!A:C , 3,FALSE), ),
IF(IFERROR(SEARCH("Stealthy",L59),0) &gt; 0 , VLOOKUP("Stealthy", vote4TRAITS!A:C , 3, FALSE), ),
IF(IFERROR(SEARCH("Web",L59),0) &gt; 0 , VLOOKUP("Web", vote4TRAITS!A:C , 3, FALSE), ),
IF(IFERROR(SEARCH("+1 Willpower",L59),0) &gt; 0 , VLOOKUP("+1 Willpower", vote4TRAITS!A:C , 3, FALSE), ),
IF(IFERROR(SEARCH("+1 Might",L59),0) &gt; 0 , VLOOKUP("+1 Might", vote4TRAITS!A:C , 3, FALSE), ),
IF(IFERROR(SEARCH("+1 Knowledge",L59),0) &gt; 0 , VLOOKUP("+1 Knowledge", vote4TRAITS!A:C , 3, FALSE), ),
IF(IFERROR(SEARCH("+1 Awareness",L59),0) &gt; 0 , VLOOKUP("+1 Awareness", vote4TRAITS!A:C , 3, FALSE), ),
IF(IFERROR(SEARCH("-1 Willpower",L59),0) &gt; 0 , VLOOKUP("-1 Willpower", vote4TRAITS!A:C , 3, FALSE), ),
IF(IFERROR(SEARCH("+1 Health",L59),0) &gt; 0 , VLOOKUP("+1 Health", vote4TRAITS!A:C , 3, FALSE), ),
IF(IFERROR(SEARCH("+2 Health",L59),0) &gt; 0 , VLOOKUP("+2 Health", vote4TRAITS!A:C , 3, FALSE), ),
IF(IFERROR(SEARCH("+1 Stamina",L59),0) &gt; 0 , VLOOKUP("+1 Stamina", vote4TRAITS!A:C , 3, FALSE), ),
IF(IFERROR(SEARCH("+2 Stamina",L59),0) &gt; 0 , VLOOKUP("+2 Stamina", vote4TRAITS!A:C , 3, FALSE), ),
IFS(
IFERROR(SEARCH("+1 Range", L59),) &gt; 0 ,VLOOKUP("+1 Range", vote4TRAITS!A:C , 3, FALSE),
IFERROR(SEARCH("+2 Range", L59),) &gt; 0 ,VLOOKUP("+2 Range", vote4TRAITS!A:C , 3, FALSE),
IFERROR(SEARCH("+3 Range", L59),) &gt; 0,VLOOKUP("+3 Range", vote4TRAITS!A:C , 3, FALSE),
0=0,0)
,
IFS(
IFERROR(SEARCH("Sorcery 1", L59),) &gt; 0 ,VLOOKUP("Sorcery 1", vote4TRAITS!A:C , 3, FALSE),
IFERROR(SEARCH("Sorcery 2", L59),) &gt; 0 ,VLOOKUP("Sorcery 2", vote4TRAITS!A:C , 3, FALSE),
IFERROR(SEARCH("Sorcery 3", L59),) &gt; 0,VLOOKUP("Sorcery 3", vote4TRAITS!A:C , 3, FALSE),
0=0,0)
,
IFS(
IFERROR(SEARCH("Pierce 1", L59),) &gt; 0 ,VLOOKUP("Pierce 1", vote4TRAITS!A:C , 3, FALSE),
IFERROR(SEARCH("Pierce 2", L59),) &gt; 0 ,VLOOKUP("Pierce 2", vote4TRAITS!A:C , 3, FALSE),
IFERROR(SEARCH("Pierce 3", L59),) &gt; 0,VLOOKUP("Pierce 3", vote4TRAITS!A:C , 3, FALSE),
IFERROR(SEARCH("Pierce 4", L59),) &gt; 0 ,VLOOKUP("Pierce 4", vote4TRAITS!A:C , 3, FALSE),
0=0,0)
,
IFS(
IFERROR(SEARCH("+1 Health", L59),) &gt; 0 ,VLOOKUP("+1 Health", vote4TRAITS!A:C , 3, FALSE),
IFERROR(SEARCH("+2 Health", L59),) &gt; 0 ,VLOOKUP("+2 Health", vote4TRAITS!A:C , 3, FALSE),
IFERROR(SEARCH("+3 Health", L59),) &gt; 0 ,VLOOKUP("+3 Health", vote4TRAITS!A:C , 3, FALSE),
IFERROR(SEARCH("+4 Health", L59),) &gt; 0 ,VLOOKUP("+4 Health", vote4TRAITS!A:C , 3, FALSE),
0=0,0)
,
IFS(
IFERROR(SEARCH("Soul Shackle 1", L59),) &gt; 0 ,VLOOKUP("Soul Shackle 1", vote4TRAITS!A:C , 3, FALSE),
IFERROR(SEARCH("Soul Shackle 2", L59),) &gt; 0 ,VLOOKUP("Soul Shackle 2", vote4TRAITS!A:C , 3, FALSE),
IFERROR(SEARCH("Soul Shackle 3", L59),) &gt; 0,VLOOKUP("Soul Shackle 3", vote4TRAITS!A:C , 3, FALSE),
0=0,0)
)</f>
        <v>0</v>
      </c>
      <c r="N59" s="311" t="s">
        <v>1562</v>
      </c>
      <c r="O59" s="317">
        <f>IF(ISBLANK(N59),,IFERROR(
IF(IFERROR(SEARCH("SS:",N59),0) &gt; 0, 
VLOOKUP(SUBSTITUTE(N59,"SS: ",""),vote4SURGE!$A:$C , 3, FALSE) - 2,
VLOOKUP(SUBSTITUTE(N59,"S: ",""),vote4SURGE!$A:$C , 3, FALSE)
)
,
IF(IFERROR(SEARCH("SS:",N59),0) &gt; 0, 
VLOOKUP(C59,vote4SURGE!$A:$C , 3, FALSE) - 2,
VLOOKUP(C59,vote4SURGE!$A:$C , 3, FALSE)
)
))</f>
        <v>3.5</v>
      </c>
      <c r="P59" s="318"/>
      <c r="Q59" s="317" t="str">
        <f>IF(ISBLANK(P59),,IFERROR(
IF(IFERROR(SEARCH("SS:",P59),0) &gt; 0, 
VLOOKUP(SUBSTITUTE(P59,"SS: ",""),vote4SURGE!$A:$C , 3, FALSE) - 2,
VLOOKUP(SUBSTITUTE(P59,"S: ",""),vote4SURGE!$A:$C , 3, FALSE)
)
,
IF(IFERROR(SEARCH("SS:",P59),0) &gt; 0, 
VLOOKUP(C59,vote4SURGE!$A:$C , 3, FALSE) - 2,
VLOOKUP(C59,vote4SURGE!$A:$C , 3, FALSE)
)
))</f>
        <v/>
      </c>
      <c r="R59" s="318"/>
      <c r="S59" s="319" t="str">
        <f>IF(ISBLANK(R59),,IFERROR(
IF(IFERROR(SEARCH("SS:",R59),0) &gt; 0, 
VLOOKUP(SUBSTITUTE(R59,"SS: ",""),vote4SURGE!$A:$C , 3, FALSE) - 2,
VLOOKUP(SUBSTITUTE(R59,"S: ",""),vote4SURGE!$A:$C , 3, FALSE)
)
,
IF(IFERROR(SEARCH("SS:",R59),0) &gt; 0, 
VLOOKUP(C59,vote4SURGE!$A:$C , 3, FALSE) - 2,
VLOOKUP(C59,vote4SURGE!$A:$C , 3, FALSE)
)
))</f>
        <v/>
      </c>
      <c r="T59" s="320">
        <f t="shared" si="2"/>
        <v>1</v>
      </c>
      <c r="U59" s="320">
        <f>IFERROR(__xludf.DUMMYFUNCTION("ROUND(
IF(ISBLANK(G59),,
SWITCH(
LEN(G59) - LEN(SUBSTITUTE(G59,"","","""")),
0 , VLOOKUP(G59, Variables!$A:$C, 3, FALSE),
1 , VLOOKUP(index(split(G59 ,"", "", FALSE),1,1), Variables!$A:$C , 3, FALSE) + VLOOKUP(index(split(G59 ,"", "", FALSE),1,2), Variabl"&amp;"es!$A:$C , 3, FALSE),
2 , VLOOKUP(index(split(G59 ,"", "", FALSE),1,1), Variables!$A:$C , 3, FALSE) + VLOOKUP(index(split(G59 ,"", "", FALSE),1,2), Variables!$A:$C , 3, FALSE) + VLOOKUP(index(split(G59 ,"", "", FALSE),1,3), Variables!$A:$C , 3, FALSE),
3 "&amp;", VLOOKUP(index(split(G59 ,"", "", FALSE),1,1), Variables!$A:$C , 3, FALSE) + VLOOKUP(index(split(G59 ,"", "", FALSE),1,2), Variables!$A:$C , 3, FALSE) + VLOOKUP(index(split(G59 ,"", "", FALSE),1,3), Variables!$A:$C , 3, FALSE) + VLOOKUP(index(split(G59 ,"&amp;""", "", FALSE),1,4), Variables!$A:$C , 3, FALSE),
)
)
)"),1.0)</f>
        <v>1</v>
      </c>
      <c r="V59" s="317">
        <f t="shared" si="3"/>
        <v>3.5</v>
      </c>
      <c r="W59" s="321">
        <f t="shared" si="4"/>
        <v>10.5</v>
      </c>
      <c r="X59" s="118"/>
      <c r="Y59" s="118"/>
      <c r="Z59" s="118"/>
      <c r="AA59" s="118"/>
      <c r="AB59" s="118"/>
      <c r="AC59" s="118"/>
      <c r="AD59" s="118"/>
      <c r="AE59" s="118"/>
    </row>
    <row r="60" hidden="1">
      <c r="A60" s="310">
        <v>2.0</v>
      </c>
      <c r="B60" s="93">
        <f t="shared" si="1"/>
        <v>7</v>
      </c>
      <c r="C60" s="310" t="s">
        <v>1609</v>
      </c>
      <c r="D60" s="310">
        <v>225.0</v>
      </c>
      <c r="E60" s="310" t="s">
        <v>1520</v>
      </c>
      <c r="F60" s="310" t="s">
        <v>1531</v>
      </c>
      <c r="G60" s="313" t="s">
        <v>1537</v>
      </c>
      <c r="H60" s="312">
        <f>IFERROR(__xludf.DUMMYFUNCTION(" IF(ISBLANK(G60),,
SWITCH(
LEN(G60) - LEN(SUBSTITUTE(G60,"","","""")),
0 , VLOOKUP(G60, Variables!$A:$B, 2, FALSE),
1 , VLOOKUP(index(split(G60 ,"", "", FALSE),1,1), Variables!$A:$B , 2, FALSE) + VLOOKUP(index(split(G60 ,"", "", FALSE),1,2), Variables!$A:"&amp;"$B , 2, FALSE),
2 , VLOOKUP(index(split(G60 ,"", "", FALSE),1,1), Variables!$A:$B , 2, FALSE) + VLOOKUP(index(split(G60 ,"", "", FALSE),1,2), Variables!$A:$B , 2, FALSE) + VLOOKUP(index(split(G60 ,"", "", FALSE),1,3), Variables!$A:$B , 2, FALSE),
3 , VLOO"&amp;"KUP(index(split(G60 ,"", "", FALSE),1,1), Variables!$A:$B , 2, FALSE) + VLOOKUP(index(split(G60 ,"", "", FALSE),1,2), Variables!$A:$B , 2, FALSE) + VLOOKUP(index(split(G60 ,"", "", FALSE),1,3), Variables!$A:$B , 2, FALSE) + VLOOKUP(index(split(G60 ,"", """&amp;", FALSE),1,4), Variables!$A:$B , 2, FALSE),
)
)"),4.5)</f>
        <v>4.5</v>
      </c>
      <c r="I60" s="310" t="s">
        <v>1554</v>
      </c>
      <c r="J60" s="313"/>
      <c r="K60" s="314" t="str">
        <f>IFERROR(VLOOKUP(C60,vote4ITEMS!$A:$C, 3, FALSE),)</f>
        <v/>
      </c>
      <c r="L60" s="329" t="s">
        <v>958</v>
      </c>
      <c r="M60" s="314">
        <f>SUM(
IF(IFERROR(SEARCH("Aura 1",L60),0) &gt; 0 , VLOOKUP("Aura 1", vote4TRAITS!A:C , 3, FALSE), ),
IF(IFERROR(SEARCH("Backswing",L60),0) &gt; 0 , VLOOKUP("Backswing", vote4TRAITS!A:C , 3, FALSE), ),
IF(IFERROR(SEARCH("Blast",L60),0) &gt; 0 , VLOOKUP("Blast", vote4TRAITS!A:C , 3, FALSE), ),
IF(IFERROR(SEARCH("Combustible",L60),0) &gt; 0 , VLOOKUP("Combustible", vote4TRAITS!A:C , 3, FALSE), ),
IF(IFERROR(SEARCH("Command",L60),0) &gt; 0 , VLOOKUP("Command", vote4TRAITS!A:C , 3, FALSE), ),
IF(IFERROR(SEARCH("Cowardly",L60),0) &gt; 0 , VLOOKUP("Cowardly", vote4TRAITS!A:C , 3, FALSE), ),
IF(IFERROR(SEARCH("Death Wish",L60),0) &gt; 0 , VLOOKUP("Death Wish", vote4TRAITS!A:C , 3, FALSE), ),
IF(IFERROR(SEARCH("Entomb",L60),0) &gt; 0 , VLOOKUP("Entomb", vote4TRAITS!A:C , 3, FALSE), ),
IF(IFERROR(SEARCH("Ethereal Hold",L60),0) &gt; 0 , VLOOKUP("Ethereal Hold", vote4TRAITS!A:C , 3, FALSE), ),
IF(IFERROR(SEARCH("Extend",L60),0) &gt; 0 , VLOOKUP("Extend", vote4TRAITS!A:C , 3, FALSE), ),
IF(IFERROR(SEARCH("Filthy Murk",L60),0) &gt; 0 , VLOOKUP("Filthy Murk", vote4TRAITS!A:C , 3, FALSE), ),
IF(IFERROR(SEARCH("Flame Fiend",L60),0) &gt; 0 , VLOOKUP("Flame Fiend", vote4TRAITS!A:C , 3, FALSE), ),
IF(IFERROR(SEARCH("Fleshmonger",L60),0) &gt; 0 , VLOOKUP("Fleshmonger", vote4TRAITS!A:C , 3, FALSE), ),
IF(IFERROR(SEARCH("Fly",L60),0) &gt; 0 , VLOOKUP("Fly", vote4TRAITS!A:C , 3, FALSE), ),
IF(IFERROR(SEARCH("Freezing",L60),0) &gt; 0 , VLOOKUP("Freezing", vote4TRAITS!A:C , 3, FALSE), ),
IF(IFERROR(SEARCH("Lithesome",L60),0) &gt; 0 , VLOOKUP("Lithesome", vote4TRAITS!A:C , 3, FALSE), ),
IF(IFERROR(SEARCH("Harrowing",L60),0) &gt; 0 , VLOOKUP("Harrowing", vote4TRAITS!A:C , 3, FALSE), ),
IF(IFERROR(SEARCH("Hideous Laughter",L60),0) &gt; 0 , VLOOKUP("Hideous Laughter", vote4TRAITS!A:C , 3, FALSE), ),
IF(IFERROR(SEARCH("Hive Defense",L60),0) &gt; 0 , VLOOKUP("Hive Defense", vote4TRAITS!A:C , 3, FALSE), ),
IF(IFERROR(SEARCH("Horrifying",L60),0) &gt; 0 , VLOOKUP("Horrifying", vote4TRAITS!A:C , 3, FALSE), ),
IF(IFERROR(SEARCH("Ironskin",L60),0) &gt; 0 , VLOOKUP("Ironskin", vote4TRAITS!A:C , 3, FALSE), ),
IF(IFERROR(SEARCH("Unmovable",L60),0) &gt; 0 , VLOOKUP("Unmovable", vote4TRAITS!A:C , 3, FALSE), ),
IF(IFERROR(SEARCH("Lifethirst 1",L60),0) &gt; 0 , VLOOKUP("Lifethirst 1", vote4TRAITS!A:C , 3, FALSE), ),
IF(IFERROR(SEARCH("Lifethirst 2",L60),0) &gt; 0 , VLOOKUP("Lifethirst 2", vote4TRAITS!A:C , 3, FALSE), ),
IF(IFERROR(SEARCH("Morph",L60),0) &gt; 0 , VLOOKUP("Morph", vote4TRAITS!A:C , 3, FALSE), ),
IF(IFERROR(SEARCH("Night Stalker",L60),0) &gt; 0 , VLOOKUP("Night Stalker", vote4TRAITS!A:C , 3, FALSE), ),
IF(IFERROR(SEARCH("Overflowing",L60),0) &gt; 0 , VLOOKUP("Overflowing", vote4TRAITS!A:C , 3, FALSE), ),
IF(IFERROR(SEARCH("Pestilence",L60),0) &gt; 0 , VLOOKUP("Pestilence", vote4TRAITS!A:C , 3, FALSE), ),
IF(IFERROR(SEARCH("Phalanx",L60),0) &gt; 0 , VLOOKUP("Phalanx", vote4TRAITS!A:C , 3, FALSE), ),
IF(IFERROR(SEARCH("Plagued",L60),0) &gt; 0 , VLOOKUP("Plagued", vote4TRAITS!A:C , 3, FALSE), ),
IF(IFERROR(SEARCH("Prey on the Weak",L60),0) &gt; 0 , VLOOKUP("Prey on the Weak", vote4TRAITS!A:C , 3, FALSE), ),
IF(IFERROR(SEARCH("Protect",L60),0) &gt; 0 , VLOOKUP("Protect", vote4TRAITS!A:C , 3, FALSE), ),
IF(IFERROR(SEARCH("Puncture",L60),0) &gt; 0 , VLOOKUP("Puncture", vote4TRAITS!A:C , 3, FALSE), ),
IF(IFERROR(SEARCH("Putrid Boils",L60),0) &gt; 0 , VLOOKUP("Putrid Boils", vote4TRAITS!A:C , 3, FALSE), ),
IF(IFERROR(SEARCH("Ravage",L60),0) &gt; 0 , VLOOKUP("Ravage", vote4TRAITS!A:C , 3, FALSE), ),
IF(IFERROR(SEARCH("Ravenous",L60),0) &gt; 0 , VLOOKUP("Ravenous", vote4TRAITS!A:C , 3, FALSE), ),
IF(IFERROR(SEARCH("Reach",L60),0) &gt; 0 , VLOOKUP("Reach", vote4TRAITS!A:C , 3, FALSE), ),
IF(IFERROR(SEARCH("Reanimation",L60),0) &gt; 0 , VLOOKUP("Reanimation", vote4TRAITS!A:C , 3, FALSE), ),
IF(IFERROR(SEARCH("Reaper",L60),0) &gt; 0 , VLOOKUP("Reaper", vote4TRAITS!A:C , 3, FALSE), ),
IF(IFERROR(SEARCH("Riposte",L60),0) &gt; 0 , VLOOKUP("Riposte", vote4TRAITS!A:C , 3, FALSE)),
IF(IFERROR(SEARCH("Scamper",L60),0) &gt; 0 , VLOOKUP("Scamper", vote4TRAITS!A:C , 3, FALSE), ),
IF(IFERROR(SEARCH("Small Beginnings",L60),0) &gt; 0 , VLOOKUP("Small Beginnings", vote4TRAITS!A:C , 3, FALSE), ),
IF(IFERROR(SEARCH("Spawner",L60),0) &gt; 0 , VLOOKUP("Spawner", vote4TRAITS!A:C , 3,FALSE), ),
IF(IFERROR(SEARCH("Shadowr",L60),0) &gt; 0 , VLOOKUP("Shadow", vote4TRAITS!A:C , 3,FALSE), ),
IF(IFERROR(SEARCH("Shadow Step",L60),0) &gt; 0 , VLOOKUP("Shadow Step", vote4TRAITS!A:C , 3,FALSE), ),
IF(IFERROR(SEARCH("Shambling",L60),0) &gt; 0 , VLOOKUP("Shambling", vote4TRAITS!A:C , 3,FALSE), ),
IF(IFERROR(SEARCH("Stealthy",L60),0) &gt; 0 , VLOOKUP("Stealthy", vote4TRAITS!A:C , 3, FALSE), ),
IF(IFERROR(SEARCH("Web",L60),0) &gt; 0 , VLOOKUP("Web", vote4TRAITS!A:C , 3, FALSE), ),
IF(IFERROR(SEARCH("+1 Willpower",L60),0) &gt; 0 , VLOOKUP("+1 Willpower", vote4TRAITS!A:C , 3, FALSE), ),
IF(IFERROR(SEARCH("+1 Might",L60),0) &gt; 0 , VLOOKUP("+1 Might", vote4TRAITS!A:C , 3, FALSE), ),
IF(IFERROR(SEARCH("+1 Knowledge",L60),0) &gt; 0 , VLOOKUP("+1 Knowledge", vote4TRAITS!A:C , 3, FALSE), ),
IF(IFERROR(SEARCH("+1 Awareness",L60),0) &gt; 0 , VLOOKUP("+1 Awareness", vote4TRAITS!A:C , 3, FALSE), ),
IF(IFERROR(SEARCH("-1 Willpower",L60),0) &gt; 0 , VLOOKUP("-1 Willpower", vote4TRAITS!A:C , 3, FALSE), ),
IF(IFERROR(SEARCH("+1 Health",L60),0) &gt; 0 , VLOOKUP("+1 Health", vote4TRAITS!A:C , 3, FALSE), ),
IF(IFERROR(SEARCH("+2 Health",L60),0) &gt; 0 , VLOOKUP("+2 Health", vote4TRAITS!A:C , 3, FALSE), ),
IF(IFERROR(SEARCH("+1 Stamina",L60),0) &gt; 0 , VLOOKUP("+1 Stamina", vote4TRAITS!A:C , 3, FALSE), ),
IF(IFERROR(SEARCH("+2 Stamina",L60),0) &gt; 0 , VLOOKUP("+2 Stamina", vote4TRAITS!A:C , 3, FALSE), ),
IFS(
IFERROR(SEARCH("+1 Range", L60),) &gt; 0 ,VLOOKUP("+1 Range", vote4TRAITS!A:C , 3, FALSE),
IFERROR(SEARCH("+2 Range", L60),) &gt; 0 ,VLOOKUP("+2 Range", vote4TRAITS!A:C , 3, FALSE),
IFERROR(SEARCH("+3 Range", L60),) &gt; 0,VLOOKUP("+3 Range", vote4TRAITS!A:C , 3, FALSE),
0=0,0)
,
IFS(
IFERROR(SEARCH("Sorcery 1", L60),) &gt; 0 ,VLOOKUP("Sorcery 1", vote4TRAITS!A:C , 3, FALSE),
IFERROR(SEARCH("Sorcery 2", L60),) &gt; 0 ,VLOOKUP("Sorcery 2", vote4TRAITS!A:C , 3, FALSE),
IFERROR(SEARCH("Sorcery 3", L60),) &gt; 0,VLOOKUP("Sorcery 3", vote4TRAITS!A:C , 3, FALSE),
0=0,0)
,
IFS(
IFERROR(SEARCH("Pierce 1", L60),) &gt; 0 ,VLOOKUP("Pierce 1", vote4TRAITS!A:C , 3, FALSE),
IFERROR(SEARCH("Pierce 2", L60),) &gt; 0 ,VLOOKUP("Pierce 2", vote4TRAITS!A:C , 3, FALSE),
IFERROR(SEARCH("Pierce 3", L60),) &gt; 0,VLOOKUP("Pierce 3", vote4TRAITS!A:C , 3, FALSE),
IFERROR(SEARCH("Pierce 4", L60),) &gt; 0 ,VLOOKUP("Pierce 4", vote4TRAITS!A:C , 3, FALSE),
0=0,0)
,
IFS(
IFERROR(SEARCH("+1 Health", L60),) &gt; 0 ,VLOOKUP("+1 Health", vote4TRAITS!A:C , 3, FALSE),
IFERROR(SEARCH("+2 Health", L60),) &gt; 0 ,VLOOKUP("+2 Health", vote4TRAITS!A:C , 3, FALSE),
IFERROR(SEARCH("+3 Health", L60),) &gt; 0 ,VLOOKUP("+3 Health", vote4TRAITS!A:C , 3, FALSE),
IFERROR(SEARCH("+4 Health", L60),) &gt; 0 ,VLOOKUP("+4 Health", vote4TRAITS!A:C , 3, FALSE),
0=0,0)
,
IFS(
IFERROR(SEARCH("Soul Shackle 1", L60),) &gt; 0 ,VLOOKUP("Soul Shackle 1", vote4TRAITS!A:C , 3, FALSE),
IFERROR(SEARCH("Soul Shackle 2", L60),) &gt; 0 ,VLOOKUP("Soul Shackle 2", vote4TRAITS!A:C , 3, FALSE),
IFERROR(SEARCH("Soul Shackle 3", L60),) &gt; 0,VLOOKUP("Soul Shackle 3", vote4TRAITS!A:C , 3, FALSE),
0=0,0)
)</f>
        <v>1</v>
      </c>
      <c r="N60" s="311" t="s">
        <v>1560</v>
      </c>
      <c r="O60" s="317">
        <f>IF(ISBLANK(N60),,IFERROR(
IF(IFERROR(SEARCH("SS:",N60),0) &gt; 0, 
VLOOKUP(SUBSTITUTE(N60,"SS: ",""),vote4SURGE!$A:$C , 3, FALSE) - 2,
VLOOKUP(SUBSTITUTE(N60,"S: ",""),vote4SURGE!$A:$C , 3, FALSE)
)
,
IF(IFERROR(SEARCH("SS:",N60),0) &gt; 0, 
VLOOKUP(C60,vote4SURGE!$A:$C , 3, FALSE) - 2,
VLOOKUP(C60,vote4SURGE!$A:$C , 3, FALSE)
)
))</f>
        <v>4.25</v>
      </c>
      <c r="P60" s="105" t="s">
        <v>1566</v>
      </c>
      <c r="Q60" s="317">
        <f>IF(ISBLANK(P60),,IFERROR(
IF(IFERROR(SEARCH("SS:",P60),0) &gt; 0, 
VLOOKUP(SUBSTITUTE(P60,"SS: ",""),vote4SURGE!$A:$C , 3, FALSE) - 2,
VLOOKUP(SUBSTITUTE(P60,"S: ",""),vote4SURGE!$A:$C , 3, FALSE)
)
,
IF(IFERROR(SEARCH("SS:",P60),0) &gt; 0, 
VLOOKUP(C60,vote4SURGE!$A:$C , 3, FALSE) - 2,
VLOOKUP(C60,vote4SURGE!$A:$C , 3, FALSE)
)
))</f>
        <v>3</v>
      </c>
      <c r="R60" s="318"/>
      <c r="S60" s="319" t="str">
        <f>IF(ISBLANK(R60),,IFERROR(
IF(IFERROR(SEARCH("SS:",R60),0) &gt; 0, 
VLOOKUP(SUBSTITUTE(R60,"SS: ",""),vote4SURGE!$A:$C , 3, FALSE) - 2,
VLOOKUP(SUBSTITUTE(R60,"S: ",""),vote4SURGE!$A:$C , 3, FALSE)
)
,
IF(IFERROR(SEARCH("SS:",R60),0) &gt; 0, 
VLOOKUP(C60,vote4SURGE!$A:$C , 3, FALSE) - 2,
VLOOKUP(C60,vote4SURGE!$A:$C , 3, FALSE)
)
))</f>
        <v/>
      </c>
      <c r="T60" s="320">
        <f t="shared" si="2"/>
        <v>3</v>
      </c>
      <c r="U60" s="320">
        <f>IFERROR(__xludf.DUMMYFUNCTION("ROUND(
IF(ISBLANK(G60),,
SWITCH(
LEN(G60) - LEN(SUBSTITUTE(G60,"","","""")),
0 , VLOOKUP(G60, Variables!$A:$C, 3, FALSE),
1 , VLOOKUP(index(split(G60 ,"", "", FALSE),1,1), Variables!$A:$C , 3, FALSE) + VLOOKUP(index(split(G60 ,"", "", FALSE),1,2), Variabl"&amp;"es!$A:$C , 3, FALSE),
2 , VLOOKUP(index(split(G60 ,"", "", FALSE),1,1), Variables!$A:$C , 3, FALSE) + VLOOKUP(index(split(G60 ,"", "", FALSE),1,2), Variables!$A:$C , 3, FALSE) + VLOOKUP(index(split(G60 ,"", "", FALSE),1,3), Variables!$A:$C , 3, FALSE),
3 "&amp;", VLOOKUP(index(split(G60 ,"", "", FALSE),1,1), Variables!$A:$C , 3, FALSE) + VLOOKUP(index(split(G60 ,"", "", FALSE),1,2), Variables!$A:$C , 3, FALSE) + VLOOKUP(index(split(G60 ,"", "", FALSE),1,3), Variables!$A:$C , 3, FALSE) + VLOOKUP(index(split(G60 ,"&amp;""", "", FALSE),1,4), Variables!$A:$C , 3, FALSE),
)
)
)"),1.0)</f>
        <v>1</v>
      </c>
      <c r="V60" s="317">
        <f t="shared" si="3"/>
        <v>5.25</v>
      </c>
      <c r="W60" s="321">
        <f t="shared" si="4"/>
        <v>10.75</v>
      </c>
      <c r="X60" s="118"/>
      <c r="Y60" s="118"/>
      <c r="Z60" s="118"/>
      <c r="AA60" s="118"/>
      <c r="AB60" s="118"/>
      <c r="AC60" s="118"/>
      <c r="AD60" s="118"/>
      <c r="AE60" s="118"/>
    </row>
    <row r="61" hidden="1">
      <c r="A61" s="310" t="s">
        <v>1556</v>
      </c>
      <c r="B61" s="93" t="str">
        <f t="shared" si="1"/>
        <v/>
      </c>
      <c r="C61" s="310" t="s">
        <v>884</v>
      </c>
      <c r="D61" s="323">
        <v>0.0</v>
      </c>
      <c r="E61" s="310" t="s">
        <v>1520</v>
      </c>
      <c r="F61" s="310" t="s">
        <v>1521</v>
      </c>
      <c r="G61" s="313" t="s">
        <v>1528</v>
      </c>
      <c r="H61" s="312">
        <f>IFERROR(__xludf.DUMMYFUNCTION(" IF(ISBLANK(G61),,
SWITCH(
LEN(G61) - LEN(SUBSTITUTE(G61,"","","""")),
0 , VLOOKUP(G61, Variables!$A:$B, 2, FALSE),
1 , VLOOKUP(index(split(G61 ,"", "", FALSE),1,1), Variables!$A:$B , 2, FALSE) + VLOOKUP(index(split(G61 ,"", "", FALSE),1,2), Variables!$A:"&amp;"$B , 2, FALSE),
2 , VLOOKUP(index(split(G61 ,"", "", FALSE),1,1), Variables!$A:$B , 2, FALSE) + VLOOKUP(index(split(G61 ,"", "", FALSE),1,2), Variables!$A:$B , 2, FALSE) + VLOOKUP(index(split(G61 ,"", "", FALSE),1,3), Variables!$A:$B , 2, FALSE),
3 , VLOO"&amp;"KUP(index(split(G61 ,"", "", FALSE),1,1), Variables!$A:$B , 2, FALSE) + VLOOKUP(index(split(G61 ,"", "", FALSE),1,2), Variables!$A:$B , 2, FALSE) + VLOOKUP(index(split(G61 ,"", "", FALSE),1,3), Variables!$A:$B , 2, FALSE) + VLOOKUP(index(split(G61 ,"", """&amp;", FALSE),1,4), Variables!$A:$B , 2, FALSE),
)
)"),5.5)</f>
        <v>5.5</v>
      </c>
      <c r="I61" s="310" t="s">
        <v>1538</v>
      </c>
      <c r="J61" s="313" t="s">
        <v>885</v>
      </c>
      <c r="K61" s="314">
        <f>IFERROR(VLOOKUP(C61,vote4ITEMS!$A:$C, 3, FALSE),)</f>
        <v>4.666666667</v>
      </c>
      <c r="L61" s="324"/>
      <c r="M61" s="314">
        <f>SUM(
IF(IFERROR(SEARCH("Aura 1",L61),0) &gt; 0 , VLOOKUP("Aura 1", vote4TRAITS!A:C , 3, FALSE), ),
IF(IFERROR(SEARCH("Backswing",L61),0) &gt; 0 , VLOOKUP("Backswing", vote4TRAITS!A:C , 3, FALSE), ),
IF(IFERROR(SEARCH("Blast",L61),0) &gt; 0 , VLOOKUP("Blast", vote4TRAITS!A:C , 3, FALSE), ),
IF(IFERROR(SEARCH("Combustible",L61),0) &gt; 0 , VLOOKUP("Combustible", vote4TRAITS!A:C , 3, FALSE), ),
IF(IFERROR(SEARCH("Command",L61),0) &gt; 0 , VLOOKUP("Command", vote4TRAITS!A:C , 3, FALSE), ),
IF(IFERROR(SEARCH("Cowardly",L61),0) &gt; 0 , VLOOKUP("Cowardly", vote4TRAITS!A:C , 3, FALSE), ),
IF(IFERROR(SEARCH("Death Wish",L61),0) &gt; 0 , VLOOKUP("Death Wish", vote4TRAITS!A:C , 3, FALSE), ),
IF(IFERROR(SEARCH("Entomb",L61),0) &gt; 0 , VLOOKUP("Entomb", vote4TRAITS!A:C , 3, FALSE), ),
IF(IFERROR(SEARCH("Ethereal Hold",L61),0) &gt; 0 , VLOOKUP("Ethereal Hold", vote4TRAITS!A:C , 3, FALSE), ),
IF(IFERROR(SEARCH("Extend",L61),0) &gt; 0 , VLOOKUP("Extend", vote4TRAITS!A:C , 3, FALSE), ),
IF(IFERROR(SEARCH("Filthy Murk",L61),0) &gt; 0 , VLOOKUP("Filthy Murk", vote4TRAITS!A:C , 3, FALSE), ),
IF(IFERROR(SEARCH("Flame Fiend",L61),0) &gt; 0 , VLOOKUP("Flame Fiend", vote4TRAITS!A:C , 3, FALSE), ),
IF(IFERROR(SEARCH("Fleshmonger",L61),0) &gt; 0 , VLOOKUP("Fleshmonger", vote4TRAITS!A:C , 3, FALSE), ),
IF(IFERROR(SEARCH("Fly",L61),0) &gt; 0 , VLOOKUP("Fly", vote4TRAITS!A:C , 3, FALSE), ),
IF(IFERROR(SEARCH("Freezing",L61),0) &gt; 0 , VLOOKUP("Freezing", vote4TRAITS!A:C , 3, FALSE), ),
IF(IFERROR(SEARCH("Lithesome",L61),0) &gt; 0 , VLOOKUP("Lithesome", vote4TRAITS!A:C , 3, FALSE), ),
IF(IFERROR(SEARCH("Harrowing",L61),0) &gt; 0 , VLOOKUP("Harrowing", vote4TRAITS!A:C , 3, FALSE), ),
IF(IFERROR(SEARCH("Hideous Laughter",L61),0) &gt; 0 , VLOOKUP("Hideous Laughter", vote4TRAITS!A:C , 3, FALSE), ),
IF(IFERROR(SEARCH("Hive Defense",L61),0) &gt; 0 , VLOOKUP("Hive Defense", vote4TRAITS!A:C , 3, FALSE), ),
IF(IFERROR(SEARCH("Horrifying",L61),0) &gt; 0 , VLOOKUP("Horrifying", vote4TRAITS!A:C , 3, FALSE), ),
IF(IFERROR(SEARCH("Ironskin",L61),0) &gt; 0 , VLOOKUP("Ironskin", vote4TRAITS!A:C , 3, FALSE), ),
IF(IFERROR(SEARCH("Unmovable",L61),0) &gt; 0 , VLOOKUP("Unmovable", vote4TRAITS!A:C , 3, FALSE), ),
IF(IFERROR(SEARCH("Lifethirst 1",L61),0) &gt; 0 , VLOOKUP("Lifethirst 1", vote4TRAITS!A:C , 3, FALSE), ),
IF(IFERROR(SEARCH("Lifethirst 2",L61),0) &gt; 0 , VLOOKUP("Lifethirst 2", vote4TRAITS!A:C , 3, FALSE), ),
IF(IFERROR(SEARCH("Morph",L61),0) &gt; 0 , VLOOKUP("Morph", vote4TRAITS!A:C , 3, FALSE), ),
IF(IFERROR(SEARCH("Night Stalker",L61),0) &gt; 0 , VLOOKUP("Night Stalker", vote4TRAITS!A:C , 3, FALSE), ),
IF(IFERROR(SEARCH("Overflowing",L61),0) &gt; 0 , VLOOKUP("Overflowing", vote4TRAITS!A:C , 3, FALSE), ),
IF(IFERROR(SEARCH("Pestilence",L61),0) &gt; 0 , VLOOKUP("Pestilence", vote4TRAITS!A:C , 3, FALSE), ),
IF(IFERROR(SEARCH("Phalanx",L61),0) &gt; 0 , VLOOKUP("Phalanx", vote4TRAITS!A:C , 3, FALSE), ),
IF(IFERROR(SEARCH("Plagued",L61),0) &gt; 0 , VLOOKUP("Plagued", vote4TRAITS!A:C , 3, FALSE), ),
IF(IFERROR(SEARCH("Prey on the Weak",L61),0) &gt; 0 , VLOOKUP("Prey on the Weak", vote4TRAITS!A:C , 3, FALSE), ),
IF(IFERROR(SEARCH("Protect",L61),0) &gt; 0 , VLOOKUP("Protect", vote4TRAITS!A:C , 3, FALSE), ),
IF(IFERROR(SEARCH("Puncture",L61),0) &gt; 0 , VLOOKUP("Puncture", vote4TRAITS!A:C , 3, FALSE), ),
IF(IFERROR(SEARCH("Putrid Boils",L61),0) &gt; 0 , VLOOKUP("Putrid Boils", vote4TRAITS!A:C , 3, FALSE), ),
IF(IFERROR(SEARCH("Ravage",L61),0) &gt; 0 , VLOOKUP("Ravage", vote4TRAITS!A:C , 3, FALSE), ),
IF(IFERROR(SEARCH("Ravenous",L61),0) &gt; 0 , VLOOKUP("Ravenous", vote4TRAITS!A:C , 3, FALSE), ),
IF(IFERROR(SEARCH("Reach",L61),0) &gt; 0 , VLOOKUP("Reach", vote4TRAITS!A:C , 3, FALSE), ),
IF(IFERROR(SEARCH("Reanimation",L61),0) &gt; 0 , VLOOKUP("Reanimation", vote4TRAITS!A:C , 3, FALSE), ),
IF(IFERROR(SEARCH("Reaper",L61),0) &gt; 0 , VLOOKUP("Reaper", vote4TRAITS!A:C , 3, FALSE), ),
IF(IFERROR(SEARCH("Riposte",L61),0) &gt; 0 , VLOOKUP("Riposte", vote4TRAITS!A:C , 3, FALSE)),
IF(IFERROR(SEARCH("Scamper",L61),0) &gt; 0 , VLOOKUP("Scamper", vote4TRAITS!A:C , 3, FALSE), ),
IF(IFERROR(SEARCH("Small Beginnings",L61),0) &gt; 0 , VLOOKUP("Small Beginnings", vote4TRAITS!A:C , 3, FALSE), ),
IF(IFERROR(SEARCH("Spawner",L61),0) &gt; 0 , VLOOKUP("Spawner", vote4TRAITS!A:C , 3,FALSE), ),
IF(IFERROR(SEARCH("Shadowr",L61),0) &gt; 0 , VLOOKUP("Shadow", vote4TRAITS!A:C , 3,FALSE), ),
IF(IFERROR(SEARCH("Shadow Step",L61),0) &gt; 0 , VLOOKUP("Shadow Step", vote4TRAITS!A:C , 3,FALSE), ),
IF(IFERROR(SEARCH("Shambling",L61),0) &gt; 0 , VLOOKUP("Shambling", vote4TRAITS!A:C , 3,FALSE), ),
IF(IFERROR(SEARCH("Stealthy",L61),0) &gt; 0 , VLOOKUP("Stealthy", vote4TRAITS!A:C , 3, FALSE), ),
IF(IFERROR(SEARCH("Web",L61),0) &gt; 0 , VLOOKUP("Web", vote4TRAITS!A:C , 3, FALSE), ),
IF(IFERROR(SEARCH("+1 Willpower",L61),0) &gt; 0 , VLOOKUP("+1 Willpower", vote4TRAITS!A:C , 3, FALSE), ),
IF(IFERROR(SEARCH("+1 Might",L61),0) &gt; 0 , VLOOKUP("+1 Might", vote4TRAITS!A:C , 3, FALSE), ),
IF(IFERROR(SEARCH("+1 Knowledge",L61),0) &gt; 0 , VLOOKUP("+1 Knowledge", vote4TRAITS!A:C , 3, FALSE), ),
IF(IFERROR(SEARCH("+1 Awareness",L61),0) &gt; 0 , VLOOKUP("+1 Awareness", vote4TRAITS!A:C , 3, FALSE), ),
IF(IFERROR(SEARCH("-1 Willpower",L61),0) &gt; 0 , VLOOKUP("-1 Willpower", vote4TRAITS!A:C , 3, FALSE), ),
IF(IFERROR(SEARCH("+1 Health",L61),0) &gt; 0 , VLOOKUP("+1 Health", vote4TRAITS!A:C , 3, FALSE), ),
IF(IFERROR(SEARCH("+2 Health",L61),0) &gt; 0 , VLOOKUP("+2 Health", vote4TRAITS!A:C , 3, FALSE), ),
IF(IFERROR(SEARCH("+1 Stamina",L61),0) &gt; 0 , VLOOKUP("+1 Stamina", vote4TRAITS!A:C , 3, FALSE), ),
IF(IFERROR(SEARCH("+2 Stamina",L61),0) &gt; 0 , VLOOKUP("+2 Stamina", vote4TRAITS!A:C , 3, FALSE), ),
IFS(
IFERROR(SEARCH("+1 Range", L61),) &gt; 0 ,VLOOKUP("+1 Range", vote4TRAITS!A:C , 3, FALSE),
IFERROR(SEARCH("+2 Range", L61),) &gt; 0 ,VLOOKUP("+2 Range", vote4TRAITS!A:C , 3, FALSE),
IFERROR(SEARCH("+3 Range", L61),) &gt; 0,VLOOKUP("+3 Range", vote4TRAITS!A:C , 3, FALSE),
0=0,0)
,
IFS(
IFERROR(SEARCH("Sorcery 1", L61),) &gt; 0 ,VLOOKUP("Sorcery 1", vote4TRAITS!A:C , 3, FALSE),
IFERROR(SEARCH("Sorcery 2", L61),) &gt; 0 ,VLOOKUP("Sorcery 2", vote4TRAITS!A:C , 3, FALSE),
IFERROR(SEARCH("Sorcery 3", L61),) &gt; 0,VLOOKUP("Sorcery 3", vote4TRAITS!A:C , 3, FALSE),
0=0,0)
,
IFS(
IFERROR(SEARCH("Pierce 1", L61),) &gt; 0 ,VLOOKUP("Pierce 1", vote4TRAITS!A:C , 3, FALSE),
IFERROR(SEARCH("Pierce 2", L61),) &gt; 0 ,VLOOKUP("Pierce 2", vote4TRAITS!A:C , 3, FALSE),
IFERROR(SEARCH("Pierce 3", L61),) &gt; 0,VLOOKUP("Pierce 3", vote4TRAITS!A:C , 3, FALSE),
IFERROR(SEARCH("Pierce 4", L61),) &gt; 0 ,VLOOKUP("Pierce 4", vote4TRAITS!A:C , 3, FALSE),
0=0,0)
,
IFS(
IFERROR(SEARCH("+1 Health", L61),) &gt; 0 ,VLOOKUP("+1 Health", vote4TRAITS!A:C , 3, FALSE),
IFERROR(SEARCH("+2 Health", L61),) &gt; 0 ,VLOOKUP("+2 Health", vote4TRAITS!A:C , 3, FALSE),
IFERROR(SEARCH("+3 Health", L61),) &gt; 0 ,VLOOKUP("+3 Health", vote4TRAITS!A:C , 3, FALSE),
IFERROR(SEARCH("+4 Health", L61),) &gt; 0 ,VLOOKUP("+4 Health", vote4TRAITS!A:C , 3, FALSE),
0=0,0)
,
IFS(
IFERROR(SEARCH("Soul Shackle 1", L61),) &gt; 0 ,VLOOKUP("Soul Shackle 1", vote4TRAITS!A:C , 3, FALSE),
IFERROR(SEARCH("Soul Shackle 2", L61),) &gt; 0 ,VLOOKUP("Soul Shackle 2", vote4TRAITS!A:C , 3, FALSE),
IFERROR(SEARCH("Soul Shackle 3", L61),) &gt; 0,VLOOKUP("Soul Shackle 3", vote4TRAITS!A:C , 3, FALSE),
0=0,0)
)</f>
        <v>0</v>
      </c>
      <c r="N61" s="330"/>
      <c r="O61" s="317" t="str">
        <f>IF(ISBLANK(N61),,IFERROR(
IF(IFERROR(SEARCH("SS:",N61),0) &gt; 0, 
VLOOKUP(SUBSTITUTE(N61,"SS: ",""),vote4SURGE!$A:$C , 3, FALSE) - 2,
VLOOKUP(SUBSTITUTE(N61,"S: ",""),vote4SURGE!$A:$C , 3, FALSE)
)
,
IF(IFERROR(SEARCH("SS:",N61),0) &gt; 0, 
VLOOKUP(C61,vote4SURGE!$A:$C , 3, FALSE) - 2,
VLOOKUP(C61,vote4SURGE!$A:$C , 3, FALSE)
)
))</f>
        <v/>
      </c>
      <c r="P61" s="318"/>
      <c r="Q61" s="317" t="str">
        <f>IF(ISBLANK(P61),,IFERROR(
IF(IFERROR(SEARCH("SS:",P61),0) &gt; 0, 
VLOOKUP(SUBSTITUTE(P61,"SS: ",""),vote4SURGE!$A:$C , 3, FALSE) - 2,
VLOOKUP(SUBSTITUTE(P61,"S: ",""),vote4SURGE!$A:$C , 3, FALSE)
)
,
IF(IFERROR(SEARCH("SS:",P61),0) &gt; 0, 
VLOOKUP(C61,vote4SURGE!$A:$C , 3, FALSE) - 2,
VLOOKUP(C61,vote4SURGE!$A:$C , 3, FALSE)
)
))</f>
        <v/>
      </c>
      <c r="R61" s="318"/>
      <c r="S61" s="319" t="str">
        <f>IF(ISBLANK(R61),,IFERROR(
IF(IFERROR(SEARCH("SS:",R61),0) &gt; 0, 
VLOOKUP(SUBSTITUTE(R61,"SS: ",""),vote4SURGE!$A:$C , 3, FALSE) - 2,
VLOOKUP(SUBSTITUTE(R61,"S: ",""),vote4SURGE!$A:$C , 3, FALSE)
)
,
IF(IFERROR(SEARCH("SS:",R61),0) &gt; 0, 
VLOOKUP(C61,vote4SURGE!$A:$C , 3, FALSE) - 2,
VLOOKUP(C61,vote4SURGE!$A:$C , 3, FALSE)
)
))</f>
        <v/>
      </c>
      <c r="T61" s="320">
        <f t="shared" si="2"/>
        <v>0</v>
      </c>
      <c r="U61" s="320">
        <f>IFERROR(__xludf.DUMMYFUNCTION("ROUND(
IF(ISBLANK(G61),,
SWITCH(
LEN(G61) - LEN(SUBSTITUTE(G61,"","","""")),
0 , VLOOKUP(G61, Variables!$A:$C, 3, FALSE),
1 , VLOOKUP(index(split(G61 ,"", "", FALSE),1,1), Variables!$A:$C , 3, FALSE) + VLOOKUP(index(split(G61 ,"", "", FALSE),1,2), Variabl"&amp;"es!$A:$C , 3, FALSE),
2 , VLOOKUP(index(split(G61 ,"", "", FALSE),1,1), Variables!$A:$C , 3, FALSE) + VLOOKUP(index(split(G61 ,"", "", FALSE),1,2), Variables!$A:$C , 3, FALSE) + VLOOKUP(index(split(G61 ,"", "", FALSE),1,3), Variables!$A:$C , 3, FALSE),
3 "&amp;", VLOOKUP(index(split(G61 ,"", "", FALSE),1,1), Variables!$A:$C , 3, FALSE) + VLOOKUP(index(split(G61 ,"", "", FALSE),1,2), Variables!$A:$C , 3, FALSE) + VLOOKUP(index(split(G61 ,"", "", FALSE),1,3), Variables!$A:$C , 3, FALSE) + VLOOKUP(index(split(G61 ,"&amp;""", "", FALSE),1,4), Variables!$A:$C , 3, FALSE),
)
)
)"),1.0)</f>
        <v>1</v>
      </c>
      <c r="V61" s="317">
        <f t="shared" si="3"/>
        <v>0</v>
      </c>
      <c r="W61" s="321">
        <f t="shared" si="4"/>
        <v>10.16666667</v>
      </c>
      <c r="X61" s="118"/>
      <c r="Y61" s="118"/>
      <c r="Z61" s="118"/>
      <c r="AA61" s="118"/>
      <c r="AB61" s="118"/>
      <c r="AC61" s="118"/>
      <c r="AD61" s="118"/>
      <c r="AE61" s="118"/>
    </row>
    <row r="62" hidden="1">
      <c r="A62" s="310">
        <v>2.0</v>
      </c>
      <c r="B62" s="93">
        <f t="shared" si="1"/>
        <v>7</v>
      </c>
      <c r="C62" s="310" t="s">
        <v>1610</v>
      </c>
      <c r="D62" s="310">
        <v>250.0</v>
      </c>
      <c r="E62" s="310" t="s">
        <v>1520</v>
      </c>
      <c r="F62" s="310" t="s">
        <v>1531</v>
      </c>
      <c r="G62" s="313" t="s">
        <v>1522</v>
      </c>
      <c r="H62" s="312">
        <f>IFERROR(__xludf.DUMMYFUNCTION(" IF(ISBLANK(G62),,
SWITCH(
LEN(G62) - LEN(SUBSTITUTE(G62,"","","""")),
0 , VLOOKUP(G62, Variables!$A:$B, 2, FALSE),
1 , VLOOKUP(index(split(G62 ,"", "", FALSE),1,1), Variables!$A:$B , 2, FALSE) + VLOOKUP(index(split(G62 ,"", "", FALSE),1,2), Variables!$A:"&amp;"$B , 2, FALSE),
2 , VLOOKUP(index(split(G62 ,"", "", FALSE),1,1), Variables!$A:$B , 2, FALSE) + VLOOKUP(index(split(G62 ,"", "", FALSE),1,2), Variables!$A:$B , 2, FALSE) + VLOOKUP(index(split(G62 ,"", "", FALSE),1,3), Variables!$A:$B , 2, FALSE),
3 , VLOO"&amp;"KUP(index(split(G62 ,"", "", FALSE),1,1), Variables!$A:$B , 2, FALSE) + VLOOKUP(index(split(G62 ,"", "", FALSE),1,2), Variables!$A:$B , 2, FALSE) + VLOOKUP(index(split(G62 ,"", "", FALSE),1,3), Variables!$A:$B , 2, FALSE) + VLOOKUP(index(split(G62 ,"", """&amp;", FALSE),1,4), Variables!$A:$B , 2, FALSE),
)
)"),3.9999999999999996)</f>
        <v>4</v>
      </c>
      <c r="I62" s="310" t="s">
        <v>1533</v>
      </c>
      <c r="J62" s="313"/>
      <c r="K62" s="314" t="str">
        <f>IFERROR(VLOOKUP(C62,vote4ITEMS!$A:$C, 3, FALSE),)</f>
        <v/>
      </c>
      <c r="L62" s="313"/>
      <c r="M62" s="314">
        <f>SUM(
IF(IFERROR(SEARCH("Aura 1",L62),0) &gt; 0 , VLOOKUP("Aura 1", vote4TRAITS!A:C , 3, FALSE), ),
IF(IFERROR(SEARCH("Backswing",L62),0) &gt; 0 , VLOOKUP("Backswing", vote4TRAITS!A:C , 3, FALSE), ),
IF(IFERROR(SEARCH("Blast",L62),0) &gt; 0 , VLOOKUP("Blast", vote4TRAITS!A:C , 3, FALSE), ),
IF(IFERROR(SEARCH("Combustible",L62),0) &gt; 0 , VLOOKUP("Combustible", vote4TRAITS!A:C , 3, FALSE), ),
IF(IFERROR(SEARCH("Command",L62),0) &gt; 0 , VLOOKUP("Command", vote4TRAITS!A:C , 3, FALSE), ),
IF(IFERROR(SEARCH("Cowardly",L62),0) &gt; 0 , VLOOKUP("Cowardly", vote4TRAITS!A:C , 3, FALSE), ),
IF(IFERROR(SEARCH("Death Wish",L62),0) &gt; 0 , VLOOKUP("Death Wish", vote4TRAITS!A:C , 3, FALSE), ),
IF(IFERROR(SEARCH("Entomb",L62),0) &gt; 0 , VLOOKUP("Entomb", vote4TRAITS!A:C , 3, FALSE), ),
IF(IFERROR(SEARCH("Ethereal Hold",L62),0) &gt; 0 , VLOOKUP("Ethereal Hold", vote4TRAITS!A:C , 3, FALSE), ),
IF(IFERROR(SEARCH("Extend",L62),0) &gt; 0 , VLOOKUP("Extend", vote4TRAITS!A:C , 3, FALSE), ),
IF(IFERROR(SEARCH("Filthy Murk",L62),0) &gt; 0 , VLOOKUP("Filthy Murk", vote4TRAITS!A:C , 3, FALSE), ),
IF(IFERROR(SEARCH("Flame Fiend",L62),0) &gt; 0 , VLOOKUP("Flame Fiend", vote4TRAITS!A:C , 3, FALSE), ),
IF(IFERROR(SEARCH("Fleshmonger",L62),0) &gt; 0 , VLOOKUP("Fleshmonger", vote4TRAITS!A:C , 3, FALSE), ),
IF(IFERROR(SEARCH("Fly",L62),0) &gt; 0 , VLOOKUP("Fly", vote4TRAITS!A:C , 3, FALSE), ),
IF(IFERROR(SEARCH("Freezing",L62),0) &gt; 0 , VLOOKUP("Freezing", vote4TRAITS!A:C , 3, FALSE), ),
IF(IFERROR(SEARCH("Lithesome",L62),0) &gt; 0 , VLOOKUP("Lithesome", vote4TRAITS!A:C , 3, FALSE), ),
IF(IFERROR(SEARCH("Harrowing",L62),0) &gt; 0 , VLOOKUP("Harrowing", vote4TRAITS!A:C , 3, FALSE), ),
IF(IFERROR(SEARCH("Hideous Laughter",L62),0) &gt; 0 , VLOOKUP("Hideous Laughter", vote4TRAITS!A:C , 3, FALSE), ),
IF(IFERROR(SEARCH("Hive Defense",L62),0) &gt; 0 , VLOOKUP("Hive Defense", vote4TRAITS!A:C , 3, FALSE), ),
IF(IFERROR(SEARCH("Horrifying",L62),0) &gt; 0 , VLOOKUP("Horrifying", vote4TRAITS!A:C , 3, FALSE), ),
IF(IFERROR(SEARCH("Ironskin",L62),0) &gt; 0 , VLOOKUP("Ironskin", vote4TRAITS!A:C , 3, FALSE), ),
IF(IFERROR(SEARCH("Unmovable",L62),0) &gt; 0 , VLOOKUP("Unmovable", vote4TRAITS!A:C , 3, FALSE), ),
IF(IFERROR(SEARCH("Lifethirst 1",L62),0) &gt; 0 , VLOOKUP("Lifethirst 1", vote4TRAITS!A:C , 3, FALSE), ),
IF(IFERROR(SEARCH("Lifethirst 2",L62),0) &gt; 0 , VLOOKUP("Lifethirst 2", vote4TRAITS!A:C , 3, FALSE), ),
IF(IFERROR(SEARCH("Morph",L62),0) &gt; 0 , VLOOKUP("Morph", vote4TRAITS!A:C , 3, FALSE), ),
IF(IFERROR(SEARCH("Night Stalker",L62),0) &gt; 0 , VLOOKUP("Night Stalker", vote4TRAITS!A:C , 3, FALSE), ),
IF(IFERROR(SEARCH("Overflowing",L62),0) &gt; 0 , VLOOKUP("Overflowing", vote4TRAITS!A:C , 3, FALSE), ),
IF(IFERROR(SEARCH("Pestilence",L62),0) &gt; 0 , VLOOKUP("Pestilence", vote4TRAITS!A:C , 3, FALSE), ),
IF(IFERROR(SEARCH("Phalanx",L62),0) &gt; 0 , VLOOKUP("Phalanx", vote4TRAITS!A:C , 3, FALSE), ),
IF(IFERROR(SEARCH("Plagued",L62),0) &gt; 0 , VLOOKUP("Plagued", vote4TRAITS!A:C , 3, FALSE), ),
IF(IFERROR(SEARCH("Prey on the Weak",L62),0) &gt; 0 , VLOOKUP("Prey on the Weak", vote4TRAITS!A:C , 3, FALSE), ),
IF(IFERROR(SEARCH("Protect",L62),0) &gt; 0 , VLOOKUP("Protect", vote4TRAITS!A:C , 3, FALSE), ),
IF(IFERROR(SEARCH("Puncture",L62),0) &gt; 0 , VLOOKUP("Puncture", vote4TRAITS!A:C , 3, FALSE), ),
IF(IFERROR(SEARCH("Putrid Boils",L62),0) &gt; 0 , VLOOKUP("Putrid Boils", vote4TRAITS!A:C , 3, FALSE), ),
IF(IFERROR(SEARCH("Ravage",L62),0) &gt; 0 , VLOOKUP("Ravage", vote4TRAITS!A:C , 3, FALSE), ),
IF(IFERROR(SEARCH("Ravenous",L62),0) &gt; 0 , VLOOKUP("Ravenous", vote4TRAITS!A:C , 3, FALSE), ),
IF(IFERROR(SEARCH("Reach",L62),0) &gt; 0 , VLOOKUP("Reach", vote4TRAITS!A:C , 3, FALSE), ),
IF(IFERROR(SEARCH("Reanimation",L62),0) &gt; 0 , VLOOKUP("Reanimation", vote4TRAITS!A:C , 3, FALSE), ),
IF(IFERROR(SEARCH("Reaper",L62),0) &gt; 0 , VLOOKUP("Reaper", vote4TRAITS!A:C , 3, FALSE), ),
IF(IFERROR(SEARCH("Riposte",L62),0) &gt; 0 , VLOOKUP("Riposte", vote4TRAITS!A:C , 3, FALSE)),
IF(IFERROR(SEARCH("Scamper",L62),0) &gt; 0 , VLOOKUP("Scamper", vote4TRAITS!A:C , 3, FALSE), ),
IF(IFERROR(SEARCH("Small Beginnings",L62),0) &gt; 0 , VLOOKUP("Small Beginnings", vote4TRAITS!A:C , 3, FALSE), ),
IF(IFERROR(SEARCH("Spawner",L62),0) &gt; 0 , VLOOKUP("Spawner", vote4TRAITS!A:C , 3,FALSE), ),
IF(IFERROR(SEARCH("Shadowr",L62),0) &gt; 0 , VLOOKUP("Shadow", vote4TRAITS!A:C , 3,FALSE), ),
IF(IFERROR(SEARCH("Shadow Step",L62),0) &gt; 0 , VLOOKUP("Shadow Step", vote4TRAITS!A:C , 3,FALSE), ),
IF(IFERROR(SEARCH("Shambling",L62),0) &gt; 0 , VLOOKUP("Shambling", vote4TRAITS!A:C , 3,FALSE), ),
IF(IFERROR(SEARCH("Stealthy",L62),0) &gt; 0 , VLOOKUP("Stealthy", vote4TRAITS!A:C , 3, FALSE), ),
IF(IFERROR(SEARCH("Web",L62),0) &gt; 0 , VLOOKUP("Web", vote4TRAITS!A:C , 3, FALSE), ),
IF(IFERROR(SEARCH("+1 Willpower",L62),0) &gt; 0 , VLOOKUP("+1 Willpower", vote4TRAITS!A:C , 3, FALSE), ),
IF(IFERROR(SEARCH("+1 Might",L62),0) &gt; 0 , VLOOKUP("+1 Might", vote4TRAITS!A:C , 3, FALSE), ),
IF(IFERROR(SEARCH("+1 Knowledge",L62),0) &gt; 0 , VLOOKUP("+1 Knowledge", vote4TRAITS!A:C , 3, FALSE), ),
IF(IFERROR(SEARCH("+1 Awareness",L62),0) &gt; 0 , VLOOKUP("+1 Awareness", vote4TRAITS!A:C , 3, FALSE), ),
IF(IFERROR(SEARCH("-1 Willpower",L62),0) &gt; 0 , VLOOKUP("-1 Willpower", vote4TRAITS!A:C , 3, FALSE), ),
IF(IFERROR(SEARCH("+1 Health",L62),0) &gt; 0 , VLOOKUP("+1 Health", vote4TRAITS!A:C , 3, FALSE), ),
IF(IFERROR(SEARCH("+2 Health",L62),0) &gt; 0 , VLOOKUP("+2 Health", vote4TRAITS!A:C , 3, FALSE), ),
IF(IFERROR(SEARCH("+1 Stamina",L62),0) &gt; 0 , VLOOKUP("+1 Stamina", vote4TRAITS!A:C , 3, FALSE), ),
IF(IFERROR(SEARCH("+2 Stamina",L62),0) &gt; 0 , VLOOKUP("+2 Stamina", vote4TRAITS!A:C , 3, FALSE), ),
IFS(
IFERROR(SEARCH("+1 Range", L62),) &gt; 0 ,VLOOKUP("+1 Range", vote4TRAITS!A:C , 3, FALSE),
IFERROR(SEARCH("+2 Range", L62),) &gt; 0 ,VLOOKUP("+2 Range", vote4TRAITS!A:C , 3, FALSE),
IFERROR(SEARCH("+3 Range", L62),) &gt; 0,VLOOKUP("+3 Range", vote4TRAITS!A:C , 3, FALSE),
0=0,0)
,
IFS(
IFERROR(SEARCH("Sorcery 1", L62),) &gt; 0 ,VLOOKUP("Sorcery 1", vote4TRAITS!A:C , 3, FALSE),
IFERROR(SEARCH("Sorcery 2", L62),) &gt; 0 ,VLOOKUP("Sorcery 2", vote4TRAITS!A:C , 3, FALSE),
IFERROR(SEARCH("Sorcery 3", L62),) &gt; 0,VLOOKUP("Sorcery 3", vote4TRAITS!A:C , 3, FALSE),
0=0,0)
,
IFS(
IFERROR(SEARCH("Pierce 1", L62),) &gt; 0 ,VLOOKUP("Pierce 1", vote4TRAITS!A:C , 3, FALSE),
IFERROR(SEARCH("Pierce 2", L62),) &gt; 0 ,VLOOKUP("Pierce 2", vote4TRAITS!A:C , 3, FALSE),
IFERROR(SEARCH("Pierce 3", L62),) &gt; 0,VLOOKUP("Pierce 3", vote4TRAITS!A:C , 3, FALSE),
IFERROR(SEARCH("Pierce 4", L62),) &gt; 0 ,VLOOKUP("Pierce 4", vote4TRAITS!A:C , 3, FALSE),
0=0,0)
,
IFS(
IFERROR(SEARCH("+1 Health", L62),) &gt; 0 ,VLOOKUP("+1 Health", vote4TRAITS!A:C , 3, FALSE),
IFERROR(SEARCH("+2 Health", L62),) &gt; 0 ,VLOOKUP("+2 Health", vote4TRAITS!A:C , 3, FALSE),
IFERROR(SEARCH("+3 Health", L62),) &gt; 0 ,VLOOKUP("+3 Health", vote4TRAITS!A:C , 3, FALSE),
IFERROR(SEARCH("+4 Health", L62),) &gt; 0 ,VLOOKUP("+4 Health", vote4TRAITS!A:C , 3, FALSE),
0=0,0)
,
IFS(
IFERROR(SEARCH("Soul Shackle 1", L62),) &gt; 0 ,VLOOKUP("Soul Shackle 1", vote4TRAITS!A:C , 3, FALSE),
IFERROR(SEARCH("Soul Shackle 2", L62),) &gt; 0 ,VLOOKUP("Soul Shackle 2", vote4TRAITS!A:C , 3, FALSE),
IFERROR(SEARCH("Soul Shackle 3", L62),) &gt; 0,VLOOKUP("Soul Shackle 3", vote4TRAITS!A:C , 3, FALSE),
0=0,0)
)</f>
        <v>0</v>
      </c>
      <c r="N62" s="311" t="s">
        <v>1611</v>
      </c>
      <c r="O62" s="317">
        <f>IF(ISBLANK(N62),,IFERROR(
IF(IFERROR(SEARCH("SS:",N62),0) &gt; 0, 
VLOOKUP(SUBSTITUTE(N62,"SS: ",""),vote4SURGE!$A:$C , 3, FALSE) - 2,
VLOOKUP(SUBSTITUTE(N62,"S: ",""),vote4SURGE!$A:$C , 3, FALSE)
)
,
IF(IFERROR(SEARCH("SS:",N62),0) &gt; 0, 
VLOOKUP(C62,vote4SURGE!$A:$C , 3, FALSE) - 2,
VLOOKUP(C62,vote4SURGE!$A:$C , 3, FALSE)
)
))</f>
        <v>4.25</v>
      </c>
      <c r="P62" s="105" t="s">
        <v>1581</v>
      </c>
      <c r="Q62" s="317">
        <f>IF(ISBLANK(P62),,IFERROR(
IF(IFERROR(SEARCH("SS:",P62),0) &gt; 0, 
VLOOKUP(SUBSTITUTE(P62,"SS: ",""),vote4SURGE!$A:$C , 3, FALSE) - 2,
VLOOKUP(SUBSTITUTE(P62,"S: ",""),vote4SURGE!$A:$C , 3, FALSE)
)
,
IF(IFERROR(SEARCH("SS:",P62),0) &gt; 0, 
VLOOKUP(C62,vote4SURGE!$A:$C , 3, FALSE) - 2,
VLOOKUP(C62,vote4SURGE!$A:$C , 3, FALSE)
)
))</f>
        <v>3.75</v>
      </c>
      <c r="R62" s="105" t="s">
        <v>1545</v>
      </c>
      <c r="S62" s="319">
        <f>IF(ISBLANK(R62),,IFERROR(
IF(IFERROR(SEARCH("SS:",R62),0) &gt; 0, 
VLOOKUP(SUBSTITUTE(R62,"SS: ",""),vote4SURGE!$A:$C , 3, FALSE) - 2,
VLOOKUP(SUBSTITUTE(R62,"S: ",""),vote4SURGE!$A:$C , 3, FALSE)
)
,
IF(IFERROR(SEARCH("SS:",R62),0) &gt; 0, 
VLOOKUP(C62,vote4SURGE!$A:$C , 3, FALSE) - 2,
VLOOKUP(C62,vote4SURGE!$A:$C , 3, FALSE)
)
))</f>
        <v>4</v>
      </c>
      <c r="T62" s="320">
        <f t="shared" si="2"/>
        <v>4</v>
      </c>
      <c r="U62" s="320">
        <f>IFERROR(__xludf.DUMMYFUNCTION("ROUND(
IF(ISBLANK(G62),,
SWITCH(
LEN(G62) - LEN(SUBSTITUTE(G62,"","","""")),
0 , VLOOKUP(G62, Variables!$A:$C, 3, FALSE),
1 , VLOOKUP(index(split(G62 ,"", "", FALSE),1,1), Variables!$A:$C , 3, FALSE) + VLOOKUP(index(split(G62 ,"", "", FALSE),1,2), Variabl"&amp;"es!$A:$C , 3, FALSE),
2 , VLOOKUP(index(split(G62 ,"", "", FALSE),1,1), Variables!$A:$C , 3, FALSE) + VLOOKUP(index(split(G62 ,"", "", FALSE),1,2), Variables!$A:$C , 3, FALSE) + VLOOKUP(index(split(G62 ,"", "", FALSE),1,3), Variables!$A:$C , 3, FALSE),
3 "&amp;", VLOOKUP(index(split(G62 ,"", "", FALSE),1,1), Variables!$A:$C , 3, FALSE) + VLOOKUP(index(split(G62 ,"", "", FALSE),1,2), Variables!$A:$C , 3, FALSE) + VLOOKUP(index(split(G62 ,"", "", FALSE),1,3), Variables!$A:$C , 3, FALSE) + VLOOKUP(index(split(G62 ,"&amp;""", "", FALSE),1,4), Variables!$A:$C , 3, FALSE),
)
)
)"),1.0)</f>
        <v>1</v>
      </c>
      <c r="V62" s="317">
        <f t="shared" si="3"/>
        <v>6.1875</v>
      </c>
      <c r="W62" s="321">
        <f t="shared" si="4"/>
        <v>10.1875</v>
      </c>
      <c r="X62" s="118"/>
      <c r="Y62" s="118"/>
      <c r="Z62" s="118"/>
      <c r="AA62" s="118"/>
      <c r="AB62" s="118"/>
      <c r="AC62" s="118"/>
      <c r="AD62" s="118"/>
      <c r="AE62" s="118"/>
    </row>
    <row r="63" hidden="1">
      <c r="A63" s="310">
        <v>2.0</v>
      </c>
      <c r="B63" s="93">
        <f t="shared" si="1"/>
        <v>7</v>
      </c>
      <c r="C63" s="310" t="s">
        <v>1612</v>
      </c>
      <c r="D63" s="310">
        <v>150.0</v>
      </c>
      <c r="E63" s="310" t="s">
        <v>1520</v>
      </c>
      <c r="F63" s="310" t="s">
        <v>1531</v>
      </c>
      <c r="G63" s="313" t="s">
        <v>1546</v>
      </c>
      <c r="H63" s="312">
        <f>IFERROR(__xludf.DUMMYFUNCTION(" IF(ISBLANK(G63),,
SWITCH(
LEN(G63) - LEN(SUBSTITUTE(G63,"","","""")),
0 , VLOOKUP(G63, Variables!$A:$B, 2, FALSE),
1 , VLOOKUP(index(split(G63 ,"", "", FALSE),1,1), Variables!$A:$B , 2, FALSE) + VLOOKUP(index(split(G63 ,"", "", FALSE),1,2), Variables!$A:"&amp;"$B , 2, FALSE),
2 , VLOOKUP(index(split(G63 ,"", "", FALSE),1,1), Variables!$A:$B , 2, FALSE) + VLOOKUP(index(split(G63 ,"", "", FALSE),1,2), Variables!$A:$B , 2, FALSE) + VLOOKUP(index(split(G63 ,"", "", FALSE),1,3), Variables!$A:$B , 2, FALSE),
3 , VLOO"&amp;"KUP(index(split(G63 ,"", "", FALSE),1,1), Variables!$A:$B , 2, FALSE) + VLOOKUP(index(split(G63 ,"", "", FALSE),1,2), Variables!$A:$B , 2, FALSE) + VLOOKUP(index(split(G63 ,"", "", FALSE),1,3), Variables!$A:$B , 2, FALSE) + VLOOKUP(index(split(G63 ,"", """&amp;", FALSE),1,4), Variables!$A:$B , 2, FALSE),
)
)"),3.5)</f>
        <v>3.5</v>
      </c>
      <c r="I63" s="310" t="s">
        <v>1533</v>
      </c>
      <c r="J63" s="313"/>
      <c r="K63" s="314" t="str">
        <f>IFERROR(VLOOKUP(C63,vote4ITEMS!$A:$C, 3, FALSE),)</f>
        <v/>
      </c>
      <c r="L63" s="313"/>
      <c r="M63" s="314">
        <f>SUM(
IF(IFERROR(SEARCH("Aura 1",L63),0) &gt; 0 , VLOOKUP("Aura 1", vote4TRAITS!A:C , 3, FALSE), ),
IF(IFERROR(SEARCH("Backswing",L63),0) &gt; 0 , VLOOKUP("Backswing", vote4TRAITS!A:C , 3, FALSE), ),
IF(IFERROR(SEARCH("Blast",L63),0) &gt; 0 , VLOOKUP("Blast", vote4TRAITS!A:C , 3, FALSE), ),
IF(IFERROR(SEARCH("Combustible",L63),0) &gt; 0 , VLOOKUP("Combustible", vote4TRAITS!A:C , 3, FALSE), ),
IF(IFERROR(SEARCH("Command",L63),0) &gt; 0 , VLOOKUP("Command", vote4TRAITS!A:C , 3, FALSE), ),
IF(IFERROR(SEARCH("Cowardly",L63),0) &gt; 0 , VLOOKUP("Cowardly", vote4TRAITS!A:C , 3, FALSE), ),
IF(IFERROR(SEARCH("Death Wish",L63),0) &gt; 0 , VLOOKUP("Death Wish", vote4TRAITS!A:C , 3, FALSE), ),
IF(IFERROR(SEARCH("Entomb",L63),0) &gt; 0 , VLOOKUP("Entomb", vote4TRAITS!A:C , 3, FALSE), ),
IF(IFERROR(SEARCH("Ethereal Hold",L63),0) &gt; 0 , VLOOKUP("Ethereal Hold", vote4TRAITS!A:C , 3, FALSE), ),
IF(IFERROR(SEARCH("Extend",L63),0) &gt; 0 , VLOOKUP("Extend", vote4TRAITS!A:C , 3, FALSE), ),
IF(IFERROR(SEARCH("Filthy Murk",L63),0) &gt; 0 , VLOOKUP("Filthy Murk", vote4TRAITS!A:C , 3, FALSE), ),
IF(IFERROR(SEARCH("Flame Fiend",L63),0) &gt; 0 , VLOOKUP("Flame Fiend", vote4TRAITS!A:C , 3, FALSE), ),
IF(IFERROR(SEARCH("Fleshmonger",L63),0) &gt; 0 , VLOOKUP("Fleshmonger", vote4TRAITS!A:C , 3, FALSE), ),
IF(IFERROR(SEARCH("Fly",L63),0) &gt; 0 , VLOOKUP("Fly", vote4TRAITS!A:C , 3, FALSE), ),
IF(IFERROR(SEARCH("Freezing",L63),0) &gt; 0 , VLOOKUP("Freezing", vote4TRAITS!A:C , 3, FALSE), ),
IF(IFERROR(SEARCH("Lithesome",L63),0) &gt; 0 , VLOOKUP("Lithesome", vote4TRAITS!A:C , 3, FALSE), ),
IF(IFERROR(SEARCH("Harrowing",L63),0) &gt; 0 , VLOOKUP("Harrowing", vote4TRAITS!A:C , 3, FALSE), ),
IF(IFERROR(SEARCH("Hideous Laughter",L63),0) &gt; 0 , VLOOKUP("Hideous Laughter", vote4TRAITS!A:C , 3, FALSE), ),
IF(IFERROR(SEARCH("Hive Defense",L63),0) &gt; 0 , VLOOKUP("Hive Defense", vote4TRAITS!A:C , 3, FALSE), ),
IF(IFERROR(SEARCH("Horrifying",L63),0) &gt; 0 , VLOOKUP("Horrifying", vote4TRAITS!A:C , 3, FALSE), ),
IF(IFERROR(SEARCH("Ironskin",L63),0) &gt; 0 , VLOOKUP("Ironskin", vote4TRAITS!A:C , 3, FALSE), ),
IF(IFERROR(SEARCH("Unmovable",L63),0) &gt; 0 , VLOOKUP("Unmovable", vote4TRAITS!A:C , 3, FALSE), ),
IF(IFERROR(SEARCH("Lifethirst 1",L63),0) &gt; 0 , VLOOKUP("Lifethirst 1", vote4TRAITS!A:C , 3, FALSE), ),
IF(IFERROR(SEARCH("Lifethirst 2",L63),0) &gt; 0 , VLOOKUP("Lifethirst 2", vote4TRAITS!A:C , 3, FALSE), ),
IF(IFERROR(SEARCH("Morph",L63),0) &gt; 0 , VLOOKUP("Morph", vote4TRAITS!A:C , 3, FALSE), ),
IF(IFERROR(SEARCH("Night Stalker",L63),0) &gt; 0 , VLOOKUP("Night Stalker", vote4TRAITS!A:C , 3, FALSE), ),
IF(IFERROR(SEARCH("Overflowing",L63),0) &gt; 0 , VLOOKUP("Overflowing", vote4TRAITS!A:C , 3, FALSE), ),
IF(IFERROR(SEARCH("Pestilence",L63),0) &gt; 0 , VLOOKUP("Pestilence", vote4TRAITS!A:C , 3, FALSE), ),
IF(IFERROR(SEARCH("Phalanx",L63),0) &gt; 0 , VLOOKUP("Phalanx", vote4TRAITS!A:C , 3, FALSE), ),
IF(IFERROR(SEARCH("Plagued",L63),0) &gt; 0 , VLOOKUP("Plagued", vote4TRAITS!A:C , 3, FALSE), ),
IF(IFERROR(SEARCH("Prey on the Weak",L63),0) &gt; 0 , VLOOKUP("Prey on the Weak", vote4TRAITS!A:C , 3, FALSE), ),
IF(IFERROR(SEARCH("Protect",L63),0) &gt; 0 , VLOOKUP("Protect", vote4TRAITS!A:C , 3, FALSE), ),
IF(IFERROR(SEARCH("Puncture",L63),0) &gt; 0 , VLOOKUP("Puncture", vote4TRAITS!A:C , 3, FALSE), ),
IF(IFERROR(SEARCH("Putrid Boils",L63),0) &gt; 0 , VLOOKUP("Putrid Boils", vote4TRAITS!A:C , 3, FALSE), ),
IF(IFERROR(SEARCH("Ravage",L63),0) &gt; 0 , VLOOKUP("Ravage", vote4TRAITS!A:C , 3, FALSE), ),
IF(IFERROR(SEARCH("Ravenous",L63),0) &gt; 0 , VLOOKUP("Ravenous", vote4TRAITS!A:C , 3, FALSE), ),
IF(IFERROR(SEARCH("Reach",L63),0) &gt; 0 , VLOOKUP("Reach", vote4TRAITS!A:C , 3, FALSE), ),
IF(IFERROR(SEARCH("Reanimation",L63),0) &gt; 0 , VLOOKUP("Reanimation", vote4TRAITS!A:C , 3, FALSE), ),
IF(IFERROR(SEARCH("Reaper",L63),0) &gt; 0 , VLOOKUP("Reaper", vote4TRAITS!A:C , 3, FALSE), ),
IF(IFERROR(SEARCH("Riposte",L63),0) &gt; 0 , VLOOKUP("Riposte", vote4TRAITS!A:C , 3, FALSE)),
IF(IFERROR(SEARCH("Scamper",L63),0) &gt; 0 , VLOOKUP("Scamper", vote4TRAITS!A:C , 3, FALSE), ),
IF(IFERROR(SEARCH("Small Beginnings",L63),0) &gt; 0 , VLOOKUP("Small Beginnings", vote4TRAITS!A:C , 3, FALSE), ),
IF(IFERROR(SEARCH("Spawner",L63),0) &gt; 0 , VLOOKUP("Spawner", vote4TRAITS!A:C , 3,FALSE), ),
IF(IFERROR(SEARCH("Shadowr",L63),0) &gt; 0 , VLOOKUP("Shadow", vote4TRAITS!A:C , 3,FALSE), ),
IF(IFERROR(SEARCH("Shadow Step",L63),0) &gt; 0 , VLOOKUP("Shadow Step", vote4TRAITS!A:C , 3,FALSE), ),
IF(IFERROR(SEARCH("Shambling",L63),0) &gt; 0 , VLOOKUP("Shambling", vote4TRAITS!A:C , 3,FALSE), ),
IF(IFERROR(SEARCH("Stealthy",L63),0) &gt; 0 , VLOOKUP("Stealthy", vote4TRAITS!A:C , 3, FALSE), ),
IF(IFERROR(SEARCH("Web",L63),0) &gt; 0 , VLOOKUP("Web", vote4TRAITS!A:C , 3, FALSE), ),
IF(IFERROR(SEARCH("+1 Willpower",L63),0) &gt; 0 , VLOOKUP("+1 Willpower", vote4TRAITS!A:C , 3, FALSE), ),
IF(IFERROR(SEARCH("+1 Might",L63),0) &gt; 0 , VLOOKUP("+1 Might", vote4TRAITS!A:C , 3, FALSE), ),
IF(IFERROR(SEARCH("+1 Knowledge",L63),0) &gt; 0 , VLOOKUP("+1 Knowledge", vote4TRAITS!A:C , 3, FALSE), ),
IF(IFERROR(SEARCH("+1 Awareness",L63),0) &gt; 0 , VLOOKUP("+1 Awareness", vote4TRAITS!A:C , 3, FALSE), ),
IF(IFERROR(SEARCH("-1 Willpower",L63),0) &gt; 0 , VLOOKUP("-1 Willpower", vote4TRAITS!A:C , 3, FALSE), ),
IF(IFERROR(SEARCH("+1 Health",L63),0) &gt; 0 , VLOOKUP("+1 Health", vote4TRAITS!A:C , 3, FALSE), ),
IF(IFERROR(SEARCH("+2 Health",L63),0) &gt; 0 , VLOOKUP("+2 Health", vote4TRAITS!A:C , 3, FALSE), ),
IF(IFERROR(SEARCH("+1 Stamina",L63),0) &gt; 0 , VLOOKUP("+1 Stamina", vote4TRAITS!A:C , 3, FALSE), ),
IF(IFERROR(SEARCH("+2 Stamina",L63),0) &gt; 0 , VLOOKUP("+2 Stamina", vote4TRAITS!A:C , 3, FALSE), ),
IFS(
IFERROR(SEARCH("+1 Range", L63),) &gt; 0 ,VLOOKUP("+1 Range", vote4TRAITS!A:C , 3, FALSE),
IFERROR(SEARCH("+2 Range", L63),) &gt; 0 ,VLOOKUP("+2 Range", vote4TRAITS!A:C , 3, FALSE),
IFERROR(SEARCH("+3 Range", L63),) &gt; 0,VLOOKUP("+3 Range", vote4TRAITS!A:C , 3, FALSE),
0=0,0)
,
IFS(
IFERROR(SEARCH("Sorcery 1", L63),) &gt; 0 ,VLOOKUP("Sorcery 1", vote4TRAITS!A:C , 3, FALSE),
IFERROR(SEARCH("Sorcery 2", L63),) &gt; 0 ,VLOOKUP("Sorcery 2", vote4TRAITS!A:C , 3, FALSE),
IFERROR(SEARCH("Sorcery 3", L63),) &gt; 0,VLOOKUP("Sorcery 3", vote4TRAITS!A:C , 3, FALSE),
0=0,0)
,
IFS(
IFERROR(SEARCH("Pierce 1", L63),) &gt; 0 ,VLOOKUP("Pierce 1", vote4TRAITS!A:C , 3, FALSE),
IFERROR(SEARCH("Pierce 2", L63),) &gt; 0 ,VLOOKUP("Pierce 2", vote4TRAITS!A:C , 3, FALSE),
IFERROR(SEARCH("Pierce 3", L63),) &gt; 0,VLOOKUP("Pierce 3", vote4TRAITS!A:C , 3, FALSE),
IFERROR(SEARCH("Pierce 4", L63),) &gt; 0 ,VLOOKUP("Pierce 4", vote4TRAITS!A:C , 3, FALSE),
0=0,0)
,
IFS(
IFERROR(SEARCH("+1 Health", L63),) &gt; 0 ,VLOOKUP("+1 Health", vote4TRAITS!A:C , 3, FALSE),
IFERROR(SEARCH("+2 Health", L63),) &gt; 0 ,VLOOKUP("+2 Health", vote4TRAITS!A:C , 3, FALSE),
IFERROR(SEARCH("+3 Health", L63),) &gt; 0 ,VLOOKUP("+3 Health", vote4TRAITS!A:C , 3, FALSE),
IFERROR(SEARCH("+4 Health", L63),) &gt; 0 ,VLOOKUP("+4 Health", vote4TRAITS!A:C , 3, FALSE),
0=0,0)
,
IFS(
IFERROR(SEARCH("Soul Shackle 1", L63),) &gt; 0 ,VLOOKUP("Soul Shackle 1", vote4TRAITS!A:C , 3, FALSE),
IFERROR(SEARCH("Soul Shackle 2", L63),) &gt; 0 ,VLOOKUP("Soul Shackle 2", vote4TRAITS!A:C , 3, FALSE),
IFERROR(SEARCH("Soul Shackle 3", L63),) &gt; 0,VLOOKUP("Soul Shackle 3", vote4TRAITS!A:C , 3, FALSE),
0=0,0)
)</f>
        <v>0</v>
      </c>
      <c r="N63" s="311" t="s">
        <v>1613</v>
      </c>
      <c r="O63" s="317">
        <f>IF(ISBLANK(N63),,IFERROR(
IF(IFERROR(SEARCH("SS:",N63),0) &gt; 0, 
VLOOKUP(SUBSTITUTE(N63,"SS: ",""),vote4SURGE!$A:$C , 3, FALSE) - 2,
VLOOKUP(SUBSTITUTE(N63,"S: ",""),vote4SURGE!$A:$C , 3, FALSE)
)
,
IF(IFERROR(SEARCH("SS:",N63),0) &gt; 0, 
VLOOKUP(C63,vote4SURGE!$A:$C , 3, FALSE) - 2,
VLOOKUP(C63,vote4SURGE!$A:$C , 3, FALSE)
)
))</f>
        <v>4.5</v>
      </c>
      <c r="P63" s="315" t="s">
        <v>1534</v>
      </c>
      <c r="Q63" s="317">
        <f>IF(ISBLANK(P63),,IFERROR(
IF(IFERROR(SEARCH("SS:",P63),0) &gt; 0, 
VLOOKUP(SUBSTITUTE(P63,"SS: ",""),vote4SURGE!$A:$C , 3, FALSE) - 2,
VLOOKUP(SUBSTITUTE(P63,"S: ",""),vote4SURGE!$A:$C , 3, FALSE)
)
,
IF(IFERROR(SEARCH("SS:",P63),0) &gt; 0, 
VLOOKUP(C63,vote4SURGE!$A:$C , 3, FALSE) - 2,
VLOOKUP(C63,vote4SURGE!$A:$C , 3, FALSE)
)
))</f>
        <v>4.25</v>
      </c>
      <c r="R63" s="318"/>
      <c r="S63" s="319" t="str">
        <f>IF(ISBLANK(R63),,IFERROR(
IF(IFERROR(SEARCH("SS:",R63),0) &gt; 0, 
VLOOKUP(SUBSTITUTE(R63,"SS: ",""),vote4SURGE!$A:$C , 3, FALSE) - 2,
VLOOKUP(SUBSTITUTE(R63,"S: ",""),vote4SURGE!$A:$C , 3, FALSE)
)
,
IF(IFERROR(SEARCH("SS:",R63),0) &gt; 0, 
VLOOKUP(C63,vote4SURGE!$A:$C , 3, FALSE) - 2,
VLOOKUP(C63,vote4SURGE!$A:$C , 3, FALSE)
)
))</f>
        <v/>
      </c>
      <c r="T63" s="320">
        <f t="shared" si="2"/>
        <v>2</v>
      </c>
      <c r="U63" s="320">
        <f>IFERROR(__xludf.DUMMYFUNCTION("ROUND(
IF(ISBLANK(G63),,
SWITCH(
LEN(G63) - LEN(SUBSTITUTE(G63,"","","""")),
0 , VLOOKUP(G63, Variables!$A:$C, 3, FALSE),
1 , VLOOKUP(index(split(G63 ,"", "", FALSE),1,1), Variables!$A:$C , 3, FALSE) + VLOOKUP(index(split(G63 ,"", "", FALSE),1,2), Variabl"&amp;"es!$A:$C , 3, FALSE),
2 , VLOOKUP(index(split(G63 ,"", "", FALSE),1,1), Variables!$A:$C , 3, FALSE) + VLOOKUP(index(split(G63 ,"", "", FALSE),1,2), Variables!$A:$C , 3, FALSE) + VLOOKUP(index(split(G63 ,"", "", FALSE),1,3), Variables!$A:$C , 3, FALSE),
3 "&amp;", VLOOKUP(index(split(G63 ,"", "", FALSE),1,1), Variables!$A:$C , 3, FALSE) + VLOOKUP(index(split(G63 ,"", "", FALSE),1,2), Variables!$A:$C , 3, FALSE) + VLOOKUP(index(split(G63 ,"", "", FALSE),1,3), Variables!$A:$C , 3, FALSE) + VLOOKUP(index(split(G63 ,"&amp;""", "", FALSE),1,4), Variables!$A:$C , 3, FALSE),
)
)
)"),1.0)</f>
        <v>1</v>
      </c>
      <c r="V63" s="317">
        <f t="shared" si="3"/>
        <v>6.625</v>
      </c>
      <c r="W63" s="321">
        <f t="shared" si="4"/>
        <v>10.125</v>
      </c>
      <c r="X63" s="118"/>
      <c r="Y63" s="118"/>
      <c r="Z63" s="118"/>
      <c r="AA63" s="118"/>
      <c r="AB63" s="118"/>
      <c r="AC63" s="118"/>
      <c r="AD63" s="118"/>
      <c r="AE63" s="118"/>
    </row>
    <row r="64">
      <c r="A64" s="310">
        <v>1.0</v>
      </c>
      <c r="B64" s="93">
        <f t="shared" si="1"/>
        <v>3</v>
      </c>
      <c r="C64" s="310" t="s">
        <v>792</v>
      </c>
      <c r="D64" s="310">
        <v>175.0</v>
      </c>
      <c r="E64" s="310" t="s">
        <v>1520</v>
      </c>
      <c r="F64" s="310" t="s">
        <v>1531</v>
      </c>
      <c r="G64" s="313" t="s">
        <v>1525</v>
      </c>
      <c r="H64" s="312">
        <f>IFERROR(__xludf.DUMMYFUNCTION(" IF(ISBLANK(G64),,
SWITCH(
LEN(G64) - LEN(SUBSTITUTE(G64,"","","""")),
0 , VLOOKUP(G64, Variables!$A:$B, 2, FALSE),
1 , VLOOKUP(index(split(G64 ,"", "", FALSE),1,1), Variables!$A:$B , 2, FALSE) + VLOOKUP(index(split(G64 ,"", "", FALSE),1,2), Variables!$A:"&amp;"$B , 2, FALSE),
2 , VLOOKUP(index(split(G64 ,"", "", FALSE),1,1), Variables!$A:$B , 2, FALSE) + VLOOKUP(index(split(G64 ,"", "", FALSE),1,2), Variables!$A:$B , 2, FALSE) + VLOOKUP(index(split(G64 ,"", "", FALSE),1,3), Variables!$A:$B , 2, FALSE),
3 , VLOO"&amp;"KUP(index(split(G64 ,"", "", FALSE),1,1), Variables!$A:$B , 2, FALSE) + VLOOKUP(index(split(G64 ,"", "", FALSE),1,2), Variables!$A:$B , 2, FALSE) + VLOOKUP(index(split(G64 ,"", "", FALSE),1,3), Variables!$A:$B , 2, FALSE) + VLOOKUP(index(split(G64 ,"", """&amp;", FALSE),1,4), Variables!$A:$B , 2, FALSE),
)
)"),3.333333333333333)</f>
        <v>3.333333333</v>
      </c>
      <c r="I64" s="310" t="s">
        <v>1533</v>
      </c>
      <c r="J64" s="313" t="s">
        <v>793</v>
      </c>
      <c r="K64" s="314">
        <f>IFERROR(VLOOKUP(C64,vote4ITEMS!$A:$C, 3, FALSE),)</f>
        <v>1.5</v>
      </c>
      <c r="L64" s="313"/>
      <c r="M64" s="314">
        <f>SUM(
IF(IFERROR(SEARCH("Aura 1",L64),0) &gt; 0 , VLOOKUP("Aura 1", vote4TRAITS!A:C , 3, FALSE), ),
IF(IFERROR(SEARCH("Backswing",L64),0) &gt; 0 , VLOOKUP("Backswing", vote4TRAITS!A:C , 3, FALSE), ),
IF(IFERROR(SEARCH("Blast",L64),0) &gt; 0 , VLOOKUP("Blast", vote4TRAITS!A:C , 3, FALSE), ),
IF(IFERROR(SEARCH("Combustible",L64),0) &gt; 0 , VLOOKUP("Combustible", vote4TRAITS!A:C , 3, FALSE), ),
IF(IFERROR(SEARCH("Command",L64),0) &gt; 0 , VLOOKUP("Command", vote4TRAITS!A:C , 3, FALSE), ),
IF(IFERROR(SEARCH("Cowardly",L64),0) &gt; 0 , VLOOKUP("Cowardly", vote4TRAITS!A:C , 3, FALSE), ),
IF(IFERROR(SEARCH("Death Wish",L64),0) &gt; 0 , VLOOKUP("Death Wish", vote4TRAITS!A:C , 3, FALSE), ),
IF(IFERROR(SEARCH("Entomb",L64),0) &gt; 0 , VLOOKUP("Entomb", vote4TRAITS!A:C , 3, FALSE), ),
IF(IFERROR(SEARCH("Ethereal Hold",L64),0) &gt; 0 , VLOOKUP("Ethereal Hold", vote4TRAITS!A:C , 3, FALSE), ),
IF(IFERROR(SEARCH("Extend",L64),0) &gt; 0 , VLOOKUP("Extend", vote4TRAITS!A:C , 3, FALSE), ),
IF(IFERROR(SEARCH("Filthy Murk",L64),0) &gt; 0 , VLOOKUP("Filthy Murk", vote4TRAITS!A:C , 3, FALSE), ),
IF(IFERROR(SEARCH("Flame Fiend",L64),0) &gt; 0 , VLOOKUP("Flame Fiend", vote4TRAITS!A:C , 3, FALSE), ),
IF(IFERROR(SEARCH("Fleshmonger",L64),0) &gt; 0 , VLOOKUP("Fleshmonger", vote4TRAITS!A:C , 3, FALSE), ),
IF(IFERROR(SEARCH("Fly",L64),0) &gt; 0 , VLOOKUP("Fly", vote4TRAITS!A:C , 3, FALSE), ),
IF(IFERROR(SEARCH("Freezing",L64),0) &gt; 0 , VLOOKUP("Freezing", vote4TRAITS!A:C , 3, FALSE), ),
IF(IFERROR(SEARCH("Lithesome",L64),0) &gt; 0 , VLOOKUP("Lithesome", vote4TRAITS!A:C , 3, FALSE), ),
IF(IFERROR(SEARCH("Harrowing",L64),0) &gt; 0 , VLOOKUP("Harrowing", vote4TRAITS!A:C , 3, FALSE), ),
IF(IFERROR(SEARCH("Hideous Laughter",L64),0) &gt; 0 , VLOOKUP("Hideous Laughter", vote4TRAITS!A:C , 3, FALSE), ),
IF(IFERROR(SEARCH("Hive Defense",L64),0) &gt; 0 , VLOOKUP("Hive Defense", vote4TRAITS!A:C , 3, FALSE), ),
IF(IFERROR(SEARCH("Horrifying",L64),0) &gt; 0 , VLOOKUP("Horrifying", vote4TRAITS!A:C , 3, FALSE), ),
IF(IFERROR(SEARCH("Ironskin",L64),0) &gt; 0 , VLOOKUP("Ironskin", vote4TRAITS!A:C , 3, FALSE), ),
IF(IFERROR(SEARCH("Unmovable",L64),0) &gt; 0 , VLOOKUP("Unmovable", vote4TRAITS!A:C , 3, FALSE), ),
IF(IFERROR(SEARCH("Lifethirst 1",L64),0) &gt; 0 , VLOOKUP("Lifethirst 1", vote4TRAITS!A:C , 3, FALSE), ),
IF(IFERROR(SEARCH("Lifethirst 2",L64),0) &gt; 0 , VLOOKUP("Lifethirst 2", vote4TRAITS!A:C , 3, FALSE), ),
IF(IFERROR(SEARCH("Morph",L64),0) &gt; 0 , VLOOKUP("Morph", vote4TRAITS!A:C , 3, FALSE), ),
IF(IFERROR(SEARCH("Night Stalker",L64),0) &gt; 0 , VLOOKUP("Night Stalker", vote4TRAITS!A:C , 3, FALSE), ),
IF(IFERROR(SEARCH("Overflowing",L64),0) &gt; 0 , VLOOKUP("Overflowing", vote4TRAITS!A:C , 3, FALSE), ),
IF(IFERROR(SEARCH("Pestilence",L64),0) &gt; 0 , VLOOKUP("Pestilence", vote4TRAITS!A:C , 3, FALSE), ),
IF(IFERROR(SEARCH("Phalanx",L64),0) &gt; 0 , VLOOKUP("Phalanx", vote4TRAITS!A:C , 3, FALSE), ),
IF(IFERROR(SEARCH("Plagued",L64),0) &gt; 0 , VLOOKUP("Plagued", vote4TRAITS!A:C , 3, FALSE), ),
IF(IFERROR(SEARCH("Prey on the Weak",L64),0) &gt; 0 , VLOOKUP("Prey on the Weak", vote4TRAITS!A:C , 3, FALSE), ),
IF(IFERROR(SEARCH("Protect",L64),0) &gt; 0 , VLOOKUP("Protect", vote4TRAITS!A:C , 3, FALSE), ),
IF(IFERROR(SEARCH("Puncture",L64),0) &gt; 0 , VLOOKUP("Puncture", vote4TRAITS!A:C , 3, FALSE), ),
IF(IFERROR(SEARCH("Putrid Boils",L64),0) &gt; 0 , VLOOKUP("Putrid Boils", vote4TRAITS!A:C , 3, FALSE), ),
IF(IFERROR(SEARCH("Ravage",L64),0) &gt; 0 , VLOOKUP("Ravage", vote4TRAITS!A:C , 3, FALSE), ),
IF(IFERROR(SEARCH("Ravenous",L64),0) &gt; 0 , VLOOKUP("Ravenous", vote4TRAITS!A:C , 3, FALSE), ),
IF(IFERROR(SEARCH("Reach",L64),0) &gt; 0 , VLOOKUP("Reach", vote4TRAITS!A:C , 3, FALSE), ),
IF(IFERROR(SEARCH("Reanimation",L64),0) &gt; 0 , VLOOKUP("Reanimation", vote4TRAITS!A:C , 3, FALSE), ),
IF(IFERROR(SEARCH("Reaper",L64),0) &gt; 0 , VLOOKUP("Reaper", vote4TRAITS!A:C , 3, FALSE), ),
IF(IFERROR(SEARCH("Riposte",L64),0) &gt; 0 , VLOOKUP("Riposte", vote4TRAITS!A:C , 3, FALSE)),
IF(IFERROR(SEARCH("Scamper",L64),0) &gt; 0 , VLOOKUP("Scamper", vote4TRAITS!A:C , 3, FALSE), ),
IF(IFERROR(SEARCH("Small Beginnings",L64),0) &gt; 0 , VLOOKUP("Small Beginnings", vote4TRAITS!A:C , 3, FALSE), ),
IF(IFERROR(SEARCH("Spawner",L64),0) &gt; 0 , VLOOKUP("Spawner", vote4TRAITS!A:C , 3,FALSE), ),
IF(IFERROR(SEARCH("Shadowr",L64),0) &gt; 0 , VLOOKUP("Shadow", vote4TRAITS!A:C , 3,FALSE), ),
IF(IFERROR(SEARCH("Shadow Step",L64),0) &gt; 0 , VLOOKUP("Shadow Step", vote4TRAITS!A:C , 3,FALSE), ),
IF(IFERROR(SEARCH("Shambling",L64),0) &gt; 0 , VLOOKUP("Shambling", vote4TRAITS!A:C , 3,FALSE), ),
IF(IFERROR(SEARCH("Stealthy",L64),0) &gt; 0 , VLOOKUP("Stealthy", vote4TRAITS!A:C , 3, FALSE), ),
IF(IFERROR(SEARCH("Web",L64),0) &gt; 0 , VLOOKUP("Web", vote4TRAITS!A:C , 3, FALSE), ),
IF(IFERROR(SEARCH("+1 Willpower",L64),0) &gt; 0 , VLOOKUP("+1 Willpower", vote4TRAITS!A:C , 3, FALSE), ),
IF(IFERROR(SEARCH("+1 Might",L64),0) &gt; 0 , VLOOKUP("+1 Might", vote4TRAITS!A:C , 3, FALSE), ),
IF(IFERROR(SEARCH("+1 Knowledge",L64),0) &gt; 0 , VLOOKUP("+1 Knowledge", vote4TRAITS!A:C , 3, FALSE), ),
IF(IFERROR(SEARCH("+1 Awareness",L64),0) &gt; 0 , VLOOKUP("+1 Awareness", vote4TRAITS!A:C , 3, FALSE), ),
IF(IFERROR(SEARCH("-1 Willpower",L64),0) &gt; 0 , VLOOKUP("-1 Willpower", vote4TRAITS!A:C , 3, FALSE), ),
IF(IFERROR(SEARCH("+1 Health",L64),0) &gt; 0 , VLOOKUP("+1 Health", vote4TRAITS!A:C , 3, FALSE), ),
IF(IFERROR(SEARCH("+2 Health",L64),0) &gt; 0 , VLOOKUP("+2 Health", vote4TRAITS!A:C , 3, FALSE), ),
IF(IFERROR(SEARCH("+1 Stamina",L64),0) &gt; 0 , VLOOKUP("+1 Stamina", vote4TRAITS!A:C , 3, FALSE), ),
IF(IFERROR(SEARCH("+2 Stamina",L64),0) &gt; 0 , VLOOKUP("+2 Stamina", vote4TRAITS!A:C , 3, FALSE), ),
IFS(
IFERROR(SEARCH("+1 Range", L64),) &gt; 0 ,VLOOKUP("+1 Range", vote4TRAITS!A:C , 3, FALSE),
IFERROR(SEARCH("+2 Range", L64),) &gt; 0 ,VLOOKUP("+2 Range", vote4TRAITS!A:C , 3, FALSE),
IFERROR(SEARCH("+3 Range", L64),) &gt; 0,VLOOKUP("+3 Range", vote4TRAITS!A:C , 3, FALSE),
0=0,0)
,
IFS(
IFERROR(SEARCH("Sorcery 1", L64),) &gt; 0 ,VLOOKUP("Sorcery 1", vote4TRAITS!A:C , 3, FALSE),
IFERROR(SEARCH("Sorcery 2", L64),) &gt; 0 ,VLOOKUP("Sorcery 2", vote4TRAITS!A:C , 3, FALSE),
IFERROR(SEARCH("Sorcery 3", L64),) &gt; 0,VLOOKUP("Sorcery 3", vote4TRAITS!A:C , 3, FALSE),
0=0,0)
,
IFS(
IFERROR(SEARCH("Pierce 1", L64),) &gt; 0 ,VLOOKUP("Pierce 1", vote4TRAITS!A:C , 3, FALSE),
IFERROR(SEARCH("Pierce 2", L64),) &gt; 0 ,VLOOKUP("Pierce 2", vote4TRAITS!A:C , 3, FALSE),
IFERROR(SEARCH("Pierce 3", L64),) &gt; 0,VLOOKUP("Pierce 3", vote4TRAITS!A:C , 3, FALSE),
IFERROR(SEARCH("Pierce 4", L64),) &gt; 0 ,VLOOKUP("Pierce 4", vote4TRAITS!A:C , 3, FALSE),
0=0,0)
,
IFS(
IFERROR(SEARCH("+1 Health", L64),) &gt; 0 ,VLOOKUP("+1 Health", vote4TRAITS!A:C , 3, FALSE),
IFERROR(SEARCH("+2 Health", L64),) &gt; 0 ,VLOOKUP("+2 Health", vote4TRAITS!A:C , 3, FALSE),
IFERROR(SEARCH("+3 Health", L64),) &gt; 0 ,VLOOKUP("+3 Health", vote4TRAITS!A:C , 3, FALSE),
IFERROR(SEARCH("+4 Health", L64),) &gt; 0 ,VLOOKUP("+4 Health", vote4TRAITS!A:C , 3, FALSE),
0=0,0)
,
IFS(
IFERROR(SEARCH("Soul Shackle 1", L64),) &gt; 0 ,VLOOKUP("Soul Shackle 1", vote4TRAITS!A:C , 3, FALSE),
IFERROR(SEARCH("Soul Shackle 2", L64),) &gt; 0 ,VLOOKUP("Soul Shackle 2", vote4TRAITS!A:C , 3, FALSE),
IFERROR(SEARCH("Soul Shackle 3", L64),) &gt; 0,VLOOKUP("Soul Shackle 3", vote4TRAITS!A:C , 3, FALSE),
0=0,0)
)</f>
        <v>0</v>
      </c>
      <c r="N64" s="311" t="s">
        <v>1581</v>
      </c>
      <c r="O64" s="317">
        <f>IF(ISBLANK(N64),,IFERROR(
IF(IFERROR(SEARCH("SS:",N64),0) &gt; 0, 
VLOOKUP(SUBSTITUTE(N64,"SS: ",""),vote4SURGE!$A:$C , 3, FALSE) - 2,
VLOOKUP(SUBSTITUTE(N64,"S: ",""),vote4SURGE!$A:$C , 3, FALSE)
)
,
IF(IFERROR(SEARCH("SS:",N64),0) &gt; 0, 
VLOOKUP(C64,vote4SURGE!$A:$C , 3, FALSE) - 2,
VLOOKUP(C64,vote4SURGE!$A:$C , 3, FALSE)
)
))</f>
        <v>3.75</v>
      </c>
      <c r="P64" s="315" t="s">
        <v>1562</v>
      </c>
      <c r="Q64" s="317">
        <f>IF(ISBLANK(P64),,IFERROR(
IF(IFERROR(SEARCH("SS:",P64),0) &gt; 0, 
VLOOKUP(SUBSTITUTE(P64,"SS: ",""),vote4SURGE!$A:$C , 3, FALSE) - 2,
VLOOKUP(SUBSTITUTE(P64,"S: ",""),vote4SURGE!$A:$C , 3, FALSE)
)
,
IF(IFERROR(SEARCH("SS:",P64),0) &gt; 0, 
VLOOKUP(C64,vote4SURGE!$A:$C , 3, FALSE) - 2,
VLOOKUP(C64,vote4SURGE!$A:$C , 3, FALSE)
)
))</f>
        <v>3.5</v>
      </c>
      <c r="R64" s="318"/>
      <c r="S64" s="319" t="str">
        <f>IF(ISBLANK(R64),,IFERROR(
IF(IFERROR(SEARCH("SS:",R64),0) &gt; 0, 
VLOOKUP(SUBSTITUTE(R64,"SS: ",""),vote4SURGE!$A:$C , 3, FALSE) - 2,
VLOOKUP(SUBSTITUTE(R64,"S: ",""),vote4SURGE!$A:$C , 3, FALSE)
)
,
IF(IFERROR(SEARCH("SS:",R64),0) &gt; 0, 
VLOOKUP(C64,vote4SURGE!$A:$C , 3, FALSE) - 2,
VLOOKUP(C64,vote4SURGE!$A:$C , 3, FALSE)
)
))</f>
        <v/>
      </c>
      <c r="T64" s="320">
        <f t="shared" si="2"/>
        <v>2</v>
      </c>
      <c r="U64" s="320">
        <f>IFERROR(__xludf.DUMMYFUNCTION("ROUND(
IF(ISBLANK(G64),,
SWITCH(
LEN(G64) - LEN(SUBSTITUTE(G64,"","","""")),
0 , VLOOKUP(G64, Variables!$A:$C, 3, FALSE),
1 , VLOOKUP(index(split(G64 ,"", "", FALSE),1,1), Variables!$A:$C , 3, FALSE) + VLOOKUP(index(split(G64 ,"", "", FALSE),1,2), Variabl"&amp;"es!$A:$C , 3, FALSE),
2 , VLOOKUP(index(split(G64 ,"", "", FALSE),1,1), Variables!$A:$C , 3, FALSE) + VLOOKUP(index(split(G64 ,"", "", FALSE),1,2), Variables!$A:$C , 3, FALSE) + VLOOKUP(index(split(G64 ,"", "", FALSE),1,3), Variables!$A:$C , 3, FALSE),
3 "&amp;", VLOOKUP(index(split(G64 ,"", "", FALSE),1,1), Variables!$A:$C , 3, FALSE) + VLOOKUP(index(split(G64 ,"", "", FALSE),1,2), Variables!$A:$C , 3, FALSE) + VLOOKUP(index(split(G64 ,"", "", FALSE),1,3), Variables!$A:$C , 3, FALSE) + VLOOKUP(index(split(G64 ,"&amp;""", "", FALSE),1,4), Variables!$A:$C , 3, FALSE),
)
)
)"),1.0)</f>
        <v>1</v>
      </c>
      <c r="V64" s="317">
        <f t="shared" si="3"/>
        <v>5.5</v>
      </c>
      <c r="W64" s="321">
        <f t="shared" si="4"/>
        <v>10.33333333</v>
      </c>
      <c r="X64" s="118"/>
      <c r="Y64" s="118"/>
      <c r="Z64" s="118"/>
      <c r="AA64" s="118"/>
      <c r="AB64" s="118"/>
      <c r="AC64" s="118"/>
      <c r="AD64" s="118"/>
      <c r="AE64" s="118"/>
    </row>
    <row r="65" hidden="1">
      <c r="A65" s="310">
        <v>1.0</v>
      </c>
      <c r="B65" s="93">
        <f t="shared" si="1"/>
        <v>3</v>
      </c>
      <c r="C65" s="310" t="s">
        <v>878</v>
      </c>
      <c r="D65" s="310">
        <v>100.0</v>
      </c>
      <c r="E65" s="310" t="s">
        <v>1520</v>
      </c>
      <c r="F65" s="310" t="s">
        <v>1521</v>
      </c>
      <c r="G65" s="313" t="s">
        <v>1548</v>
      </c>
      <c r="H65" s="312">
        <f>IFERROR(__xludf.DUMMYFUNCTION(" IF(ISBLANK(G65),,
SWITCH(
LEN(G65) - LEN(SUBSTITUTE(G65,"","","""")),
0 , VLOOKUP(G65, Variables!$A:$B, 2, FALSE),
1 , VLOOKUP(index(split(G65 ,"", "", FALSE),1,1), Variables!$A:$B , 2, FALSE) + VLOOKUP(index(split(G65 ,"", "", FALSE),1,2), Variables!$A:"&amp;"$B , 2, FALSE),
2 , VLOOKUP(index(split(G65 ,"", "", FALSE),1,1), Variables!$A:$B , 2, FALSE) + VLOOKUP(index(split(G65 ,"", "", FALSE),1,2), Variables!$A:$B , 2, FALSE) + VLOOKUP(index(split(G65 ,"", "", FALSE),1,3), Variables!$A:$B , 2, FALSE),
3 , VLOO"&amp;"KUP(index(split(G65 ,"", "", FALSE),1,1), Variables!$A:$B , 2, FALSE) + VLOOKUP(index(split(G65 ,"", "", FALSE),1,2), Variables!$A:$B , 2, FALSE) + VLOOKUP(index(split(G65 ,"", "", FALSE),1,3), Variables!$A:$B , 2, FALSE) + VLOOKUP(index(split(G65 ,"", """&amp;", FALSE),1,4), Variables!$A:$B , 2, FALSE),
)
)"),2.3333333333333335)</f>
        <v>2.333333333</v>
      </c>
      <c r="I65" s="310" t="s">
        <v>1557</v>
      </c>
      <c r="J65" s="313" t="s">
        <v>879</v>
      </c>
      <c r="K65" s="314">
        <f>IFERROR(VLOOKUP(C65,vote4ITEMS!$A:$C, 3, FALSE),)</f>
        <v>-1</v>
      </c>
      <c r="L65" s="313"/>
      <c r="M65" s="314">
        <f>SUM(
IF(IFERROR(SEARCH("Aura 1",L65),0) &gt; 0 , VLOOKUP("Aura 1", vote4TRAITS!A:C , 3, FALSE), ),
IF(IFERROR(SEARCH("Backswing",L65),0) &gt; 0 , VLOOKUP("Backswing", vote4TRAITS!A:C , 3, FALSE), ),
IF(IFERROR(SEARCH("Blast",L65),0) &gt; 0 , VLOOKUP("Blast", vote4TRAITS!A:C , 3, FALSE), ),
IF(IFERROR(SEARCH("Combustible",L65),0) &gt; 0 , VLOOKUP("Combustible", vote4TRAITS!A:C , 3, FALSE), ),
IF(IFERROR(SEARCH("Command",L65),0) &gt; 0 , VLOOKUP("Command", vote4TRAITS!A:C , 3, FALSE), ),
IF(IFERROR(SEARCH("Cowardly",L65),0) &gt; 0 , VLOOKUP("Cowardly", vote4TRAITS!A:C , 3, FALSE), ),
IF(IFERROR(SEARCH("Death Wish",L65),0) &gt; 0 , VLOOKUP("Death Wish", vote4TRAITS!A:C , 3, FALSE), ),
IF(IFERROR(SEARCH("Entomb",L65),0) &gt; 0 , VLOOKUP("Entomb", vote4TRAITS!A:C , 3, FALSE), ),
IF(IFERROR(SEARCH("Ethereal Hold",L65),0) &gt; 0 , VLOOKUP("Ethereal Hold", vote4TRAITS!A:C , 3, FALSE), ),
IF(IFERROR(SEARCH("Extend",L65),0) &gt; 0 , VLOOKUP("Extend", vote4TRAITS!A:C , 3, FALSE), ),
IF(IFERROR(SEARCH("Filthy Murk",L65),0) &gt; 0 , VLOOKUP("Filthy Murk", vote4TRAITS!A:C , 3, FALSE), ),
IF(IFERROR(SEARCH("Flame Fiend",L65),0) &gt; 0 , VLOOKUP("Flame Fiend", vote4TRAITS!A:C , 3, FALSE), ),
IF(IFERROR(SEARCH("Fleshmonger",L65),0) &gt; 0 , VLOOKUP("Fleshmonger", vote4TRAITS!A:C , 3, FALSE), ),
IF(IFERROR(SEARCH("Fly",L65),0) &gt; 0 , VLOOKUP("Fly", vote4TRAITS!A:C , 3, FALSE), ),
IF(IFERROR(SEARCH("Freezing",L65),0) &gt; 0 , VLOOKUP("Freezing", vote4TRAITS!A:C , 3, FALSE), ),
IF(IFERROR(SEARCH("Lithesome",L65),0) &gt; 0 , VLOOKUP("Lithesome", vote4TRAITS!A:C , 3, FALSE), ),
IF(IFERROR(SEARCH("Harrowing",L65),0) &gt; 0 , VLOOKUP("Harrowing", vote4TRAITS!A:C , 3, FALSE), ),
IF(IFERROR(SEARCH("Hideous Laughter",L65),0) &gt; 0 , VLOOKUP("Hideous Laughter", vote4TRAITS!A:C , 3, FALSE), ),
IF(IFERROR(SEARCH("Hive Defense",L65),0) &gt; 0 , VLOOKUP("Hive Defense", vote4TRAITS!A:C , 3, FALSE), ),
IF(IFERROR(SEARCH("Horrifying",L65),0) &gt; 0 , VLOOKUP("Horrifying", vote4TRAITS!A:C , 3, FALSE), ),
IF(IFERROR(SEARCH("Ironskin",L65),0) &gt; 0 , VLOOKUP("Ironskin", vote4TRAITS!A:C , 3, FALSE), ),
IF(IFERROR(SEARCH("Unmovable",L65),0) &gt; 0 , VLOOKUP("Unmovable", vote4TRAITS!A:C , 3, FALSE), ),
IF(IFERROR(SEARCH("Lifethirst 1",L65),0) &gt; 0 , VLOOKUP("Lifethirst 1", vote4TRAITS!A:C , 3, FALSE), ),
IF(IFERROR(SEARCH("Lifethirst 2",L65),0) &gt; 0 , VLOOKUP("Lifethirst 2", vote4TRAITS!A:C , 3, FALSE), ),
IF(IFERROR(SEARCH("Morph",L65),0) &gt; 0 , VLOOKUP("Morph", vote4TRAITS!A:C , 3, FALSE), ),
IF(IFERROR(SEARCH("Night Stalker",L65),0) &gt; 0 , VLOOKUP("Night Stalker", vote4TRAITS!A:C , 3, FALSE), ),
IF(IFERROR(SEARCH("Overflowing",L65),0) &gt; 0 , VLOOKUP("Overflowing", vote4TRAITS!A:C , 3, FALSE), ),
IF(IFERROR(SEARCH("Pestilence",L65),0) &gt; 0 , VLOOKUP("Pestilence", vote4TRAITS!A:C , 3, FALSE), ),
IF(IFERROR(SEARCH("Phalanx",L65),0) &gt; 0 , VLOOKUP("Phalanx", vote4TRAITS!A:C , 3, FALSE), ),
IF(IFERROR(SEARCH("Plagued",L65),0) &gt; 0 , VLOOKUP("Plagued", vote4TRAITS!A:C , 3, FALSE), ),
IF(IFERROR(SEARCH("Prey on the Weak",L65),0) &gt; 0 , VLOOKUP("Prey on the Weak", vote4TRAITS!A:C , 3, FALSE), ),
IF(IFERROR(SEARCH("Protect",L65),0) &gt; 0 , VLOOKUP("Protect", vote4TRAITS!A:C , 3, FALSE), ),
IF(IFERROR(SEARCH("Puncture",L65),0) &gt; 0 , VLOOKUP("Puncture", vote4TRAITS!A:C , 3, FALSE), ),
IF(IFERROR(SEARCH("Putrid Boils",L65),0) &gt; 0 , VLOOKUP("Putrid Boils", vote4TRAITS!A:C , 3, FALSE), ),
IF(IFERROR(SEARCH("Ravage",L65),0) &gt; 0 , VLOOKUP("Ravage", vote4TRAITS!A:C , 3, FALSE), ),
IF(IFERROR(SEARCH("Ravenous",L65),0) &gt; 0 , VLOOKUP("Ravenous", vote4TRAITS!A:C , 3, FALSE), ),
IF(IFERROR(SEARCH("Reach",L65),0) &gt; 0 , VLOOKUP("Reach", vote4TRAITS!A:C , 3, FALSE), ),
IF(IFERROR(SEARCH("Reanimation",L65),0) &gt; 0 , VLOOKUP("Reanimation", vote4TRAITS!A:C , 3, FALSE), ),
IF(IFERROR(SEARCH("Reaper",L65),0) &gt; 0 , VLOOKUP("Reaper", vote4TRAITS!A:C , 3, FALSE), ),
IF(IFERROR(SEARCH("Riposte",L65),0) &gt; 0 , VLOOKUP("Riposte", vote4TRAITS!A:C , 3, FALSE)),
IF(IFERROR(SEARCH("Scamper",L65),0) &gt; 0 , VLOOKUP("Scamper", vote4TRAITS!A:C , 3, FALSE), ),
IF(IFERROR(SEARCH("Small Beginnings",L65),0) &gt; 0 , VLOOKUP("Small Beginnings", vote4TRAITS!A:C , 3, FALSE), ),
IF(IFERROR(SEARCH("Spawner",L65),0) &gt; 0 , VLOOKUP("Spawner", vote4TRAITS!A:C , 3,FALSE), ),
IF(IFERROR(SEARCH("Shadowr",L65),0) &gt; 0 , VLOOKUP("Shadow", vote4TRAITS!A:C , 3,FALSE), ),
IF(IFERROR(SEARCH("Shadow Step",L65),0) &gt; 0 , VLOOKUP("Shadow Step", vote4TRAITS!A:C , 3,FALSE), ),
IF(IFERROR(SEARCH("Shambling",L65),0) &gt; 0 , VLOOKUP("Shambling", vote4TRAITS!A:C , 3,FALSE), ),
IF(IFERROR(SEARCH("Stealthy",L65),0) &gt; 0 , VLOOKUP("Stealthy", vote4TRAITS!A:C , 3, FALSE), ),
IF(IFERROR(SEARCH("Web",L65),0) &gt; 0 , VLOOKUP("Web", vote4TRAITS!A:C , 3, FALSE), ),
IF(IFERROR(SEARCH("+1 Willpower",L65),0) &gt; 0 , VLOOKUP("+1 Willpower", vote4TRAITS!A:C , 3, FALSE), ),
IF(IFERROR(SEARCH("+1 Might",L65),0) &gt; 0 , VLOOKUP("+1 Might", vote4TRAITS!A:C , 3, FALSE), ),
IF(IFERROR(SEARCH("+1 Knowledge",L65),0) &gt; 0 , VLOOKUP("+1 Knowledge", vote4TRAITS!A:C , 3, FALSE), ),
IF(IFERROR(SEARCH("+1 Awareness",L65),0) &gt; 0 , VLOOKUP("+1 Awareness", vote4TRAITS!A:C , 3, FALSE), ),
IF(IFERROR(SEARCH("-1 Willpower",L65),0) &gt; 0 , VLOOKUP("-1 Willpower", vote4TRAITS!A:C , 3, FALSE), ),
IF(IFERROR(SEARCH("+1 Health",L65),0) &gt; 0 , VLOOKUP("+1 Health", vote4TRAITS!A:C , 3, FALSE), ),
IF(IFERROR(SEARCH("+2 Health",L65),0) &gt; 0 , VLOOKUP("+2 Health", vote4TRAITS!A:C , 3, FALSE), ),
IF(IFERROR(SEARCH("+1 Stamina",L65),0) &gt; 0 , VLOOKUP("+1 Stamina", vote4TRAITS!A:C , 3, FALSE), ),
IF(IFERROR(SEARCH("+2 Stamina",L65),0) &gt; 0 , VLOOKUP("+2 Stamina", vote4TRAITS!A:C , 3, FALSE), ),
IFS(
IFERROR(SEARCH("+1 Range", L65),) &gt; 0 ,VLOOKUP("+1 Range", vote4TRAITS!A:C , 3, FALSE),
IFERROR(SEARCH("+2 Range", L65),) &gt; 0 ,VLOOKUP("+2 Range", vote4TRAITS!A:C , 3, FALSE),
IFERROR(SEARCH("+3 Range", L65),) &gt; 0,VLOOKUP("+3 Range", vote4TRAITS!A:C , 3, FALSE),
0=0,0)
,
IFS(
IFERROR(SEARCH("Sorcery 1", L65),) &gt; 0 ,VLOOKUP("Sorcery 1", vote4TRAITS!A:C , 3, FALSE),
IFERROR(SEARCH("Sorcery 2", L65),) &gt; 0 ,VLOOKUP("Sorcery 2", vote4TRAITS!A:C , 3, FALSE),
IFERROR(SEARCH("Sorcery 3", L65),) &gt; 0,VLOOKUP("Sorcery 3", vote4TRAITS!A:C , 3, FALSE),
0=0,0)
,
IFS(
IFERROR(SEARCH("Pierce 1", L65),) &gt; 0 ,VLOOKUP("Pierce 1", vote4TRAITS!A:C , 3, FALSE),
IFERROR(SEARCH("Pierce 2", L65),) &gt; 0 ,VLOOKUP("Pierce 2", vote4TRAITS!A:C , 3, FALSE),
IFERROR(SEARCH("Pierce 3", L65),) &gt; 0,VLOOKUP("Pierce 3", vote4TRAITS!A:C , 3, FALSE),
IFERROR(SEARCH("Pierce 4", L65),) &gt; 0 ,VLOOKUP("Pierce 4", vote4TRAITS!A:C , 3, FALSE),
0=0,0)
,
IFS(
IFERROR(SEARCH("+1 Health", L65),) &gt; 0 ,VLOOKUP("+1 Health", vote4TRAITS!A:C , 3, FALSE),
IFERROR(SEARCH("+2 Health", L65),) &gt; 0 ,VLOOKUP("+2 Health", vote4TRAITS!A:C , 3, FALSE),
IFERROR(SEARCH("+3 Health", L65),) &gt; 0 ,VLOOKUP("+3 Health", vote4TRAITS!A:C , 3, FALSE),
IFERROR(SEARCH("+4 Health", L65),) &gt; 0 ,VLOOKUP("+4 Health", vote4TRAITS!A:C , 3, FALSE),
0=0,0)
,
IFS(
IFERROR(SEARCH("Soul Shackle 1", L65),) &gt; 0 ,VLOOKUP("Soul Shackle 1", vote4TRAITS!A:C , 3, FALSE),
IFERROR(SEARCH("Soul Shackle 2", L65),) &gt; 0 ,VLOOKUP("Soul Shackle 2", vote4TRAITS!A:C , 3, FALSE),
IFERROR(SEARCH("Soul Shackle 3", L65),) &gt; 0,VLOOKUP("Soul Shackle 3", vote4TRAITS!A:C , 3, FALSE),
0=0,0)
)</f>
        <v>0</v>
      </c>
      <c r="N65" s="311" t="s">
        <v>1534</v>
      </c>
      <c r="O65" s="317">
        <f>IF(ISBLANK(N65),,IFERROR(
IF(IFERROR(SEARCH("SS:",N65),0) &gt; 0, 
VLOOKUP(SUBSTITUTE(N65,"SS: ",""),vote4SURGE!$A:$C , 3, FALSE) - 2,
VLOOKUP(SUBSTITUTE(N65,"S: ",""),vote4SURGE!$A:$C , 3, FALSE)
)
,
IF(IFERROR(SEARCH("SS:",N65),0) &gt; 0, 
VLOOKUP(C65,vote4SURGE!$A:$C , 3, FALSE) - 2,
VLOOKUP(C65,vote4SURGE!$A:$C , 3, FALSE)
)
))</f>
        <v>4.25</v>
      </c>
      <c r="P65" s="315" t="s">
        <v>1614</v>
      </c>
      <c r="Q65" s="317">
        <f>IF(ISBLANK(P65),,IFERROR(
IF(IFERROR(SEARCH("SS:",P65),0) &gt; 0, 
VLOOKUP(SUBSTITUTE(P65,"SS: ",""),vote4SURGE!$A:$C , 3, FALSE) - 2,
VLOOKUP(SUBSTITUTE(P65,"S: ",""),vote4SURGE!$A:$C , 3, FALSE)
)
,
IF(IFERROR(SEARCH("SS:",P65),0) &gt; 0, 
VLOOKUP(C65,vote4SURGE!$A:$C , 3, FALSE) - 2,
VLOOKUP(C65,vote4SURGE!$A:$C , 3, FALSE)
)
))</f>
        <v>6</v>
      </c>
      <c r="R65" s="315" t="s">
        <v>1600</v>
      </c>
      <c r="S65" s="319">
        <f>IF(ISBLANK(R65),,IFERROR(
IF(IFERROR(SEARCH("SS:",R65),0) &gt; 0, 
VLOOKUP(SUBSTITUTE(R65,"SS: ",""),vote4SURGE!$A:$C , 3, FALSE) - 2,
VLOOKUP(SUBSTITUTE(R65,"S: ",""),vote4SURGE!$A:$C , 3, FALSE)
)
,
IF(IFERROR(SEARCH("SS:",R65),0) &gt; 0, 
VLOOKUP(C65,vote4SURGE!$A:$C , 3, FALSE) - 2,
VLOOKUP(C65,vote4SURGE!$A:$C , 3, FALSE)
)
))</f>
        <v>4</v>
      </c>
      <c r="T65" s="320">
        <f t="shared" si="2"/>
        <v>3</v>
      </c>
      <c r="U65" s="320">
        <f>IFERROR(__xludf.DUMMYFUNCTION("ROUND(
IF(ISBLANK(G65),,
SWITCH(
LEN(G65) - LEN(SUBSTITUTE(G65,"","","""")),
0 , VLOOKUP(G65, Variables!$A:$C, 3, FALSE),
1 , VLOOKUP(index(split(G65 ,"", "", FALSE),1,1), Variables!$A:$C , 3, FALSE) + VLOOKUP(index(split(G65 ,"", "", FALSE),1,2), Variabl"&amp;"es!$A:$C , 3, FALSE),
2 , VLOOKUP(index(split(G65 ,"", "", FALSE),1,1), Variables!$A:$C , 3, FALSE) + VLOOKUP(index(split(G65 ,"", "", FALSE),1,2), Variables!$A:$C , 3, FALSE) + VLOOKUP(index(split(G65 ,"", "", FALSE),1,3), Variables!$A:$C , 3, FALSE),
3 "&amp;", VLOOKUP(index(split(G65 ,"", "", FALSE),1,1), Variables!$A:$C , 3, FALSE) + VLOOKUP(index(split(G65 ,"", "", FALSE),1,2), Variables!$A:$C , 3, FALSE) + VLOOKUP(index(split(G65 ,"", "", FALSE),1,3), Variables!$A:$C , 3, FALSE) + VLOOKUP(index(split(G65 ,"&amp;""", "", FALSE),1,4), Variables!$A:$C , 3, FALSE),
)
)
)"),1.0)</f>
        <v>1</v>
      </c>
      <c r="V65" s="317">
        <f t="shared" si="3"/>
        <v>8.75</v>
      </c>
      <c r="W65" s="321">
        <f t="shared" si="4"/>
        <v>10.08333333</v>
      </c>
      <c r="X65" s="118"/>
      <c r="Y65" s="118"/>
      <c r="Z65" s="118"/>
      <c r="AA65" s="118"/>
      <c r="AB65" s="118"/>
      <c r="AC65" s="118"/>
      <c r="AD65" s="118"/>
      <c r="AE65" s="118"/>
    </row>
    <row r="66" hidden="1">
      <c r="A66" s="310">
        <v>1.0</v>
      </c>
      <c r="B66" s="93" t="str">
        <f t="shared" si="1"/>
        <v/>
      </c>
      <c r="C66" s="310" t="s">
        <v>1615</v>
      </c>
      <c r="D66" s="323">
        <v>0.0</v>
      </c>
      <c r="E66" s="310" t="s">
        <v>1527</v>
      </c>
      <c r="F66" s="310" t="s">
        <v>1567</v>
      </c>
      <c r="G66" s="313" t="s">
        <v>1525</v>
      </c>
      <c r="H66" s="312">
        <f>IFERROR(__xludf.DUMMYFUNCTION(" IF(ISBLANK(G66),,
SWITCH(
LEN(G66) - LEN(SUBSTITUTE(G66,"","","""")),
0 , VLOOKUP(G66, Variables!$A:$B, 2, FALSE),
1 , VLOOKUP(index(split(G66 ,"", "", FALSE),1,1), Variables!$A:$B , 2, FALSE) + VLOOKUP(index(split(G66 ,"", "", FALSE),1,2), Variables!$A:"&amp;"$B , 2, FALSE),
2 , VLOOKUP(index(split(G66 ,"", "", FALSE),1,1), Variables!$A:$B , 2, FALSE) + VLOOKUP(index(split(G66 ,"", "", FALSE),1,2), Variables!$A:$B , 2, FALSE) + VLOOKUP(index(split(G66 ,"", "", FALSE),1,3), Variables!$A:$B , 2, FALSE),
3 , VLOO"&amp;"KUP(index(split(G66 ,"", "", FALSE),1,1), Variables!$A:$B , 2, FALSE) + VLOOKUP(index(split(G66 ,"", "", FALSE),1,2), Variables!$A:$B , 2, FALSE) + VLOOKUP(index(split(G66 ,"", "", FALSE),1,3), Variables!$A:$B , 2, FALSE) + VLOOKUP(index(split(G66 ,"", """&amp;", FALSE),1,4), Variables!$A:$B , 2, FALSE),
)
)"),3.333333333333333)</f>
        <v>3.333333333</v>
      </c>
      <c r="I66" s="310" t="s">
        <v>1616</v>
      </c>
      <c r="J66" s="313"/>
      <c r="K66" s="314" t="str">
        <f>IFERROR(VLOOKUP(C66,vote4ITEMS!$A:$C, 3, FALSE),)</f>
        <v/>
      </c>
      <c r="L66" s="313"/>
      <c r="M66" s="314">
        <f>SUM(
IF(IFERROR(SEARCH("Aura 1",L66),0) &gt; 0 , VLOOKUP("Aura 1", vote4TRAITS!A:C , 3, FALSE), ),
IF(IFERROR(SEARCH("Backswing",L66),0) &gt; 0 , VLOOKUP("Backswing", vote4TRAITS!A:C , 3, FALSE), ),
IF(IFERROR(SEARCH("Blast",L66),0) &gt; 0 , VLOOKUP("Blast", vote4TRAITS!A:C , 3, FALSE), ),
IF(IFERROR(SEARCH("Combustible",L66),0) &gt; 0 , VLOOKUP("Combustible", vote4TRAITS!A:C , 3, FALSE), ),
IF(IFERROR(SEARCH("Command",L66),0) &gt; 0 , VLOOKUP("Command", vote4TRAITS!A:C , 3, FALSE), ),
IF(IFERROR(SEARCH("Cowardly",L66),0) &gt; 0 , VLOOKUP("Cowardly", vote4TRAITS!A:C , 3, FALSE), ),
IF(IFERROR(SEARCH("Death Wish",L66),0) &gt; 0 , VLOOKUP("Death Wish", vote4TRAITS!A:C , 3, FALSE), ),
IF(IFERROR(SEARCH("Entomb",L66),0) &gt; 0 , VLOOKUP("Entomb", vote4TRAITS!A:C , 3, FALSE), ),
IF(IFERROR(SEARCH("Ethereal Hold",L66),0) &gt; 0 , VLOOKUP("Ethereal Hold", vote4TRAITS!A:C , 3, FALSE), ),
IF(IFERROR(SEARCH("Extend",L66),0) &gt; 0 , VLOOKUP("Extend", vote4TRAITS!A:C , 3, FALSE), ),
IF(IFERROR(SEARCH("Filthy Murk",L66),0) &gt; 0 , VLOOKUP("Filthy Murk", vote4TRAITS!A:C , 3, FALSE), ),
IF(IFERROR(SEARCH("Flame Fiend",L66),0) &gt; 0 , VLOOKUP("Flame Fiend", vote4TRAITS!A:C , 3, FALSE), ),
IF(IFERROR(SEARCH("Fleshmonger",L66),0) &gt; 0 , VLOOKUP("Fleshmonger", vote4TRAITS!A:C , 3, FALSE), ),
IF(IFERROR(SEARCH("Fly",L66),0) &gt; 0 , VLOOKUP("Fly", vote4TRAITS!A:C , 3, FALSE), ),
IF(IFERROR(SEARCH("Freezing",L66),0) &gt; 0 , VLOOKUP("Freezing", vote4TRAITS!A:C , 3, FALSE), ),
IF(IFERROR(SEARCH("Lithesome",L66),0) &gt; 0 , VLOOKUP("Lithesome", vote4TRAITS!A:C , 3, FALSE), ),
IF(IFERROR(SEARCH("Harrowing",L66),0) &gt; 0 , VLOOKUP("Harrowing", vote4TRAITS!A:C , 3, FALSE), ),
IF(IFERROR(SEARCH("Hideous Laughter",L66),0) &gt; 0 , VLOOKUP("Hideous Laughter", vote4TRAITS!A:C , 3, FALSE), ),
IF(IFERROR(SEARCH("Hive Defense",L66),0) &gt; 0 , VLOOKUP("Hive Defense", vote4TRAITS!A:C , 3, FALSE), ),
IF(IFERROR(SEARCH("Horrifying",L66),0) &gt; 0 , VLOOKUP("Horrifying", vote4TRAITS!A:C , 3, FALSE), ),
IF(IFERROR(SEARCH("Ironskin",L66),0) &gt; 0 , VLOOKUP("Ironskin", vote4TRAITS!A:C , 3, FALSE), ),
IF(IFERROR(SEARCH("Unmovable",L66),0) &gt; 0 , VLOOKUP("Unmovable", vote4TRAITS!A:C , 3, FALSE), ),
IF(IFERROR(SEARCH("Lifethirst 1",L66),0) &gt; 0 , VLOOKUP("Lifethirst 1", vote4TRAITS!A:C , 3, FALSE), ),
IF(IFERROR(SEARCH("Lifethirst 2",L66),0) &gt; 0 , VLOOKUP("Lifethirst 2", vote4TRAITS!A:C , 3, FALSE), ),
IF(IFERROR(SEARCH("Morph",L66),0) &gt; 0 , VLOOKUP("Morph", vote4TRAITS!A:C , 3, FALSE), ),
IF(IFERROR(SEARCH("Night Stalker",L66),0) &gt; 0 , VLOOKUP("Night Stalker", vote4TRAITS!A:C , 3, FALSE), ),
IF(IFERROR(SEARCH("Overflowing",L66),0) &gt; 0 , VLOOKUP("Overflowing", vote4TRAITS!A:C , 3, FALSE), ),
IF(IFERROR(SEARCH("Pestilence",L66),0) &gt; 0 , VLOOKUP("Pestilence", vote4TRAITS!A:C , 3, FALSE), ),
IF(IFERROR(SEARCH("Phalanx",L66),0) &gt; 0 , VLOOKUP("Phalanx", vote4TRAITS!A:C , 3, FALSE), ),
IF(IFERROR(SEARCH("Plagued",L66),0) &gt; 0 , VLOOKUP("Plagued", vote4TRAITS!A:C , 3, FALSE), ),
IF(IFERROR(SEARCH("Prey on the Weak",L66),0) &gt; 0 , VLOOKUP("Prey on the Weak", vote4TRAITS!A:C , 3, FALSE), ),
IF(IFERROR(SEARCH("Protect",L66),0) &gt; 0 , VLOOKUP("Protect", vote4TRAITS!A:C , 3, FALSE), ),
IF(IFERROR(SEARCH("Puncture",L66),0) &gt; 0 , VLOOKUP("Puncture", vote4TRAITS!A:C , 3, FALSE), ),
IF(IFERROR(SEARCH("Putrid Boils",L66),0) &gt; 0 , VLOOKUP("Putrid Boils", vote4TRAITS!A:C , 3, FALSE), ),
IF(IFERROR(SEARCH("Ravage",L66),0) &gt; 0 , VLOOKUP("Ravage", vote4TRAITS!A:C , 3, FALSE), ),
IF(IFERROR(SEARCH("Ravenous",L66),0) &gt; 0 , VLOOKUP("Ravenous", vote4TRAITS!A:C , 3, FALSE), ),
IF(IFERROR(SEARCH("Reach",L66),0) &gt; 0 , VLOOKUP("Reach", vote4TRAITS!A:C , 3, FALSE), ),
IF(IFERROR(SEARCH("Reanimation",L66),0) &gt; 0 , VLOOKUP("Reanimation", vote4TRAITS!A:C , 3, FALSE), ),
IF(IFERROR(SEARCH("Reaper",L66),0) &gt; 0 , VLOOKUP("Reaper", vote4TRAITS!A:C , 3, FALSE), ),
IF(IFERROR(SEARCH("Riposte",L66),0) &gt; 0 , VLOOKUP("Riposte", vote4TRAITS!A:C , 3, FALSE)),
IF(IFERROR(SEARCH("Scamper",L66),0) &gt; 0 , VLOOKUP("Scamper", vote4TRAITS!A:C , 3, FALSE), ),
IF(IFERROR(SEARCH("Small Beginnings",L66),0) &gt; 0 , VLOOKUP("Small Beginnings", vote4TRAITS!A:C , 3, FALSE), ),
IF(IFERROR(SEARCH("Spawner",L66),0) &gt; 0 , VLOOKUP("Spawner", vote4TRAITS!A:C , 3,FALSE), ),
IF(IFERROR(SEARCH("Shadowr",L66),0) &gt; 0 , VLOOKUP("Shadow", vote4TRAITS!A:C , 3,FALSE), ),
IF(IFERROR(SEARCH("Shadow Step",L66),0) &gt; 0 , VLOOKUP("Shadow Step", vote4TRAITS!A:C , 3,FALSE), ),
IF(IFERROR(SEARCH("Shambling",L66),0) &gt; 0 , VLOOKUP("Shambling", vote4TRAITS!A:C , 3,FALSE), ),
IF(IFERROR(SEARCH("Stealthy",L66),0) &gt; 0 , VLOOKUP("Stealthy", vote4TRAITS!A:C , 3, FALSE), ),
IF(IFERROR(SEARCH("Web",L66),0) &gt; 0 , VLOOKUP("Web", vote4TRAITS!A:C , 3, FALSE), ),
IF(IFERROR(SEARCH("+1 Willpower",L66),0) &gt; 0 , VLOOKUP("+1 Willpower", vote4TRAITS!A:C , 3, FALSE), ),
IF(IFERROR(SEARCH("+1 Might",L66),0) &gt; 0 , VLOOKUP("+1 Might", vote4TRAITS!A:C , 3, FALSE), ),
IF(IFERROR(SEARCH("+1 Knowledge",L66),0) &gt; 0 , VLOOKUP("+1 Knowledge", vote4TRAITS!A:C , 3, FALSE), ),
IF(IFERROR(SEARCH("+1 Awareness",L66),0) &gt; 0 , VLOOKUP("+1 Awareness", vote4TRAITS!A:C , 3, FALSE), ),
IF(IFERROR(SEARCH("-1 Willpower",L66),0) &gt; 0 , VLOOKUP("-1 Willpower", vote4TRAITS!A:C , 3, FALSE), ),
IF(IFERROR(SEARCH("+1 Health",L66),0) &gt; 0 , VLOOKUP("+1 Health", vote4TRAITS!A:C , 3, FALSE), ),
IF(IFERROR(SEARCH("+2 Health",L66),0) &gt; 0 , VLOOKUP("+2 Health", vote4TRAITS!A:C , 3, FALSE), ),
IF(IFERROR(SEARCH("+1 Stamina",L66),0) &gt; 0 , VLOOKUP("+1 Stamina", vote4TRAITS!A:C , 3, FALSE), ),
IF(IFERROR(SEARCH("+2 Stamina",L66),0) &gt; 0 , VLOOKUP("+2 Stamina", vote4TRAITS!A:C , 3, FALSE), ),
IFS(
IFERROR(SEARCH("+1 Range", L66),) &gt; 0 ,VLOOKUP("+1 Range", vote4TRAITS!A:C , 3, FALSE),
IFERROR(SEARCH("+2 Range", L66),) &gt; 0 ,VLOOKUP("+2 Range", vote4TRAITS!A:C , 3, FALSE),
IFERROR(SEARCH("+3 Range", L66),) &gt; 0,VLOOKUP("+3 Range", vote4TRAITS!A:C , 3, FALSE),
0=0,0)
,
IFS(
IFERROR(SEARCH("Sorcery 1", L66),) &gt; 0 ,VLOOKUP("Sorcery 1", vote4TRAITS!A:C , 3, FALSE),
IFERROR(SEARCH("Sorcery 2", L66),) &gt; 0 ,VLOOKUP("Sorcery 2", vote4TRAITS!A:C , 3, FALSE),
IFERROR(SEARCH("Sorcery 3", L66),) &gt; 0,VLOOKUP("Sorcery 3", vote4TRAITS!A:C , 3, FALSE),
0=0,0)
,
IFS(
IFERROR(SEARCH("Pierce 1", L66),) &gt; 0 ,VLOOKUP("Pierce 1", vote4TRAITS!A:C , 3, FALSE),
IFERROR(SEARCH("Pierce 2", L66),) &gt; 0 ,VLOOKUP("Pierce 2", vote4TRAITS!A:C , 3, FALSE),
IFERROR(SEARCH("Pierce 3", L66),) &gt; 0,VLOOKUP("Pierce 3", vote4TRAITS!A:C , 3, FALSE),
IFERROR(SEARCH("Pierce 4", L66),) &gt; 0 ,VLOOKUP("Pierce 4", vote4TRAITS!A:C , 3, FALSE),
0=0,0)
,
IFS(
IFERROR(SEARCH("+1 Health", L66),) &gt; 0 ,VLOOKUP("+1 Health", vote4TRAITS!A:C , 3, FALSE),
IFERROR(SEARCH("+2 Health", L66),) &gt; 0 ,VLOOKUP("+2 Health", vote4TRAITS!A:C , 3, FALSE),
IFERROR(SEARCH("+3 Health", L66),) &gt; 0 ,VLOOKUP("+3 Health", vote4TRAITS!A:C , 3, FALSE),
IFERROR(SEARCH("+4 Health", L66),) &gt; 0 ,VLOOKUP("+4 Health", vote4TRAITS!A:C , 3, FALSE),
0=0,0)
,
IFS(
IFERROR(SEARCH("Soul Shackle 1", L66),) &gt; 0 ,VLOOKUP("Soul Shackle 1", vote4TRAITS!A:C , 3, FALSE),
IFERROR(SEARCH("Soul Shackle 2", L66),) &gt; 0 ,VLOOKUP("Soul Shackle 2", vote4TRAITS!A:C , 3, FALSE),
IFERROR(SEARCH("Soul Shackle 3", L66),) &gt; 0,VLOOKUP("Soul Shackle 3", vote4TRAITS!A:C , 3, FALSE),
0=0,0)
)</f>
        <v>0</v>
      </c>
      <c r="N66" s="311" t="s">
        <v>1579</v>
      </c>
      <c r="O66" s="317">
        <f>IF(ISBLANK(N66),,IFERROR(
IF(IFERROR(SEARCH("SS:",N66),0) &gt; 0, 
VLOOKUP(SUBSTITUTE(N66,"SS: ",""),vote4SURGE!$A:$C , 3, FALSE) - 2,
VLOOKUP(SUBSTITUTE(N66,"S: ",""),vote4SURGE!$A:$C , 3, FALSE)
)
,
IF(IFERROR(SEARCH("SS:",N66),0) &gt; 0, 
VLOOKUP(C66,vote4SURGE!$A:$C , 3, FALSE) - 2,
VLOOKUP(C66,vote4SURGE!$A:$C , 3, FALSE)
)
))</f>
        <v>2.5</v>
      </c>
      <c r="P66" s="315" t="s">
        <v>1535</v>
      </c>
      <c r="Q66" s="317">
        <f>IF(ISBLANK(P66),,IFERROR(
IF(IFERROR(SEARCH("SS:",P66),0) &gt; 0, 
VLOOKUP(SUBSTITUTE(P66,"SS: ",""),vote4SURGE!$A:$C , 3, FALSE) - 2,
VLOOKUP(SUBSTITUTE(P66,"S: ",""),vote4SURGE!$A:$C , 3, FALSE)
)
,
IF(IFERROR(SEARCH("SS:",P66),0) &gt; 0, 
VLOOKUP(C66,vote4SURGE!$A:$C , 3, FALSE) - 2,
VLOOKUP(C66,vote4SURGE!$A:$C , 3, FALSE)
)
))</f>
        <v>4.25</v>
      </c>
      <c r="R66" s="318"/>
      <c r="S66" s="319" t="str">
        <f>IF(ISBLANK(R66),,IFERROR(
IF(IFERROR(SEARCH("SS:",R66),0) &gt; 0, 
VLOOKUP(SUBSTITUTE(R66,"SS: ",""),vote4SURGE!$A:$C , 3, FALSE) - 2,
VLOOKUP(SUBSTITUTE(R66,"S: ",""),vote4SURGE!$A:$C , 3, FALSE)
)
,
IF(IFERROR(SEARCH("SS:",R66),0) &gt; 0, 
VLOOKUP(C66,vote4SURGE!$A:$C , 3, FALSE) - 2,
VLOOKUP(C66,vote4SURGE!$A:$C , 3, FALSE)
)
))</f>
        <v/>
      </c>
      <c r="T66" s="320">
        <f t="shared" si="2"/>
        <v>2</v>
      </c>
      <c r="U66" s="320">
        <f>IFERROR(__xludf.DUMMYFUNCTION("ROUND(
IF(ISBLANK(G66),,
SWITCH(
LEN(G66) - LEN(SUBSTITUTE(G66,"","","""")),
0 , VLOOKUP(G66, Variables!$A:$C, 3, FALSE),
1 , VLOOKUP(index(split(G66 ,"", "", FALSE),1,1), Variables!$A:$C , 3, FALSE) + VLOOKUP(index(split(G66 ,"", "", FALSE),1,2), Variabl"&amp;"es!$A:$C , 3, FALSE),
2 , VLOOKUP(index(split(G66 ,"", "", FALSE),1,1), Variables!$A:$C , 3, FALSE) + VLOOKUP(index(split(G66 ,"", "", FALSE),1,2), Variables!$A:$C , 3, FALSE) + VLOOKUP(index(split(G66 ,"", "", FALSE),1,3), Variables!$A:$C , 3, FALSE),
3 "&amp;", VLOOKUP(index(split(G66 ,"", "", FALSE),1,1), Variables!$A:$C , 3, FALSE) + VLOOKUP(index(split(G66 ,"", "", FALSE),1,2), Variables!$A:$C , 3, FALSE) + VLOOKUP(index(split(G66 ,"", "", FALSE),1,3), Variables!$A:$C , 3, FALSE) + VLOOKUP(index(split(G66 ,"&amp;""", "", FALSE),1,4), Variables!$A:$C , 3, FALSE),
)
)
)"),1.0)</f>
        <v>1</v>
      </c>
      <c r="V66" s="317">
        <f t="shared" si="3"/>
        <v>5.5</v>
      </c>
      <c r="W66" s="321">
        <f t="shared" si="4"/>
        <v>8.833333333</v>
      </c>
      <c r="X66" s="118"/>
      <c r="Y66" s="118"/>
      <c r="Z66" s="118"/>
      <c r="AA66" s="118"/>
      <c r="AB66" s="118"/>
      <c r="AC66" s="118"/>
      <c r="AD66" s="118"/>
      <c r="AE66" s="118"/>
    </row>
    <row r="67" hidden="1">
      <c r="A67" s="310">
        <v>1.0</v>
      </c>
      <c r="B67" s="93">
        <f t="shared" si="1"/>
        <v>3</v>
      </c>
      <c r="C67" s="310" t="s">
        <v>1617</v>
      </c>
      <c r="D67" s="310">
        <v>150.0</v>
      </c>
      <c r="E67" s="310" t="s">
        <v>1520</v>
      </c>
      <c r="F67" s="310" t="s">
        <v>1521</v>
      </c>
      <c r="G67" s="313" t="s">
        <v>1618</v>
      </c>
      <c r="H67" s="312">
        <f>IFERROR(__xludf.DUMMYFUNCTION(" IF(ISBLANK(G67),,
SWITCH(
LEN(G67) - LEN(SUBSTITUTE(G67,"","","""")),
0 , VLOOKUP(G67, Variables!$A:$B, 2, FALSE),
1 , VLOOKUP(index(split(G67 ,"", "", FALSE),1,1), Variables!$A:$B , 2, FALSE) + VLOOKUP(index(split(G67 ,"", "", FALSE),1,2), Variables!$A:"&amp;"$B , 2, FALSE),
2 , VLOOKUP(index(split(G67 ,"", "", FALSE),1,1), Variables!$A:$B , 2, FALSE) + VLOOKUP(index(split(G67 ,"", "", FALSE),1,2), Variables!$A:$B , 2, FALSE) + VLOOKUP(index(split(G67 ,"", "", FALSE),1,3), Variables!$A:$B , 2, FALSE),
3 , VLOO"&amp;"KUP(index(split(G67 ,"", "", FALSE),1,1), Variables!$A:$B , 2, FALSE) + VLOOKUP(index(split(G67 ,"", "", FALSE),1,2), Variables!$A:$B , 2, FALSE) + VLOOKUP(index(split(G67 ,"", "", FALSE),1,3), Variables!$A:$B , 2, FALSE) + VLOOKUP(index(split(G67 ,"", """&amp;", FALSE),1,4), Variables!$A:$B , 2, FALSE),
)
)"),2.5)</f>
        <v>2.5</v>
      </c>
      <c r="I67" s="310" t="s">
        <v>1529</v>
      </c>
      <c r="J67" s="313"/>
      <c r="K67" s="314" t="str">
        <f>IFERROR(VLOOKUP(C67,vote4ITEMS!$A:$C, 3, FALSE),)</f>
        <v/>
      </c>
      <c r="L67" s="313"/>
      <c r="M67" s="314">
        <f>SUM(
IF(IFERROR(SEARCH("Aura 1",L67),0) &gt; 0 , VLOOKUP("Aura 1", vote4TRAITS!A:C , 3, FALSE), ),
IF(IFERROR(SEARCH("Backswing",L67),0) &gt; 0 , VLOOKUP("Backswing", vote4TRAITS!A:C , 3, FALSE), ),
IF(IFERROR(SEARCH("Blast",L67),0) &gt; 0 , VLOOKUP("Blast", vote4TRAITS!A:C , 3, FALSE), ),
IF(IFERROR(SEARCH("Combustible",L67),0) &gt; 0 , VLOOKUP("Combustible", vote4TRAITS!A:C , 3, FALSE), ),
IF(IFERROR(SEARCH("Command",L67),0) &gt; 0 , VLOOKUP("Command", vote4TRAITS!A:C , 3, FALSE), ),
IF(IFERROR(SEARCH("Cowardly",L67),0) &gt; 0 , VLOOKUP("Cowardly", vote4TRAITS!A:C , 3, FALSE), ),
IF(IFERROR(SEARCH("Death Wish",L67),0) &gt; 0 , VLOOKUP("Death Wish", vote4TRAITS!A:C , 3, FALSE), ),
IF(IFERROR(SEARCH("Entomb",L67),0) &gt; 0 , VLOOKUP("Entomb", vote4TRAITS!A:C , 3, FALSE), ),
IF(IFERROR(SEARCH("Ethereal Hold",L67),0) &gt; 0 , VLOOKUP("Ethereal Hold", vote4TRAITS!A:C , 3, FALSE), ),
IF(IFERROR(SEARCH("Extend",L67),0) &gt; 0 , VLOOKUP("Extend", vote4TRAITS!A:C , 3, FALSE), ),
IF(IFERROR(SEARCH("Filthy Murk",L67),0) &gt; 0 , VLOOKUP("Filthy Murk", vote4TRAITS!A:C , 3, FALSE), ),
IF(IFERROR(SEARCH("Flame Fiend",L67),0) &gt; 0 , VLOOKUP("Flame Fiend", vote4TRAITS!A:C , 3, FALSE), ),
IF(IFERROR(SEARCH("Fleshmonger",L67),0) &gt; 0 , VLOOKUP("Fleshmonger", vote4TRAITS!A:C , 3, FALSE), ),
IF(IFERROR(SEARCH("Fly",L67),0) &gt; 0 , VLOOKUP("Fly", vote4TRAITS!A:C , 3, FALSE), ),
IF(IFERROR(SEARCH("Freezing",L67),0) &gt; 0 , VLOOKUP("Freezing", vote4TRAITS!A:C , 3, FALSE), ),
IF(IFERROR(SEARCH("Lithesome",L67),0) &gt; 0 , VLOOKUP("Lithesome", vote4TRAITS!A:C , 3, FALSE), ),
IF(IFERROR(SEARCH("Harrowing",L67),0) &gt; 0 , VLOOKUP("Harrowing", vote4TRAITS!A:C , 3, FALSE), ),
IF(IFERROR(SEARCH("Hideous Laughter",L67),0) &gt; 0 , VLOOKUP("Hideous Laughter", vote4TRAITS!A:C , 3, FALSE), ),
IF(IFERROR(SEARCH("Hive Defense",L67),0) &gt; 0 , VLOOKUP("Hive Defense", vote4TRAITS!A:C , 3, FALSE), ),
IF(IFERROR(SEARCH("Horrifying",L67),0) &gt; 0 , VLOOKUP("Horrifying", vote4TRAITS!A:C , 3, FALSE), ),
IF(IFERROR(SEARCH("Ironskin",L67),0) &gt; 0 , VLOOKUP("Ironskin", vote4TRAITS!A:C , 3, FALSE), ),
IF(IFERROR(SEARCH("Unmovable",L67),0) &gt; 0 , VLOOKUP("Unmovable", vote4TRAITS!A:C , 3, FALSE), ),
IF(IFERROR(SEARCH("Lifethirst 1",L67),0) &gt; 0 , VLOOKUP("Lifethirst 1", vote4TRAITS!A:C , 3, FALSE), ),
IF(IFERROR(SEARCH("Lifethirst 2",L67),0) &gt; 0 , VLOOKUP("Lifethirst 2", vote4TRAITS!A:C , 3, FALSE), ),
IF(IFERROR(SEARCH("Morph",L67),0) &gt; 0 , VLOOKUP("Morph", vote4TRAITS!A:C , 3, FALSE), ),
IF(IFERROR(SEARCH("Night Stalker",L67),0) &gt; 0 , VLOOKUP("Night Stalker", vote4TRAITS!A:C , 3, FALSE), ),
IF(IFERROR(SEARCH("Overflowing",L67),0) &gt; 0 , VLOOKUP("Overflowing", vote4TRAITS!A:C , 3, FALSE), ),
IF(IFERROR(SEARCH("Pestilence",L67),0) &gt; 0 , VLOOKUP("Pestilence", vote4TRAITS!A:C , 3, FALSE), ),
IF(IFERROR(SEARCH("Phalanx",L67),0) &gt; 0 , VLOOKUP("Phalanx", vote4TRAITS!A:C , 3, FALSE), ),
IF(IFERROR(SEARCH("Plagued",L67),0) &gt; 0 , VLOOKUP("Plagued", vote4TRAITS!A:C , 3, FALSE), ),
IF(IFERROR(SEARCH("Prey on the Weak",L67),0) &gt; 0 , VLOOKUP("Prey on the Weak", vote4TRAITS!A:C , 3, FALSE), ),
IF(IFERROR(SEARCH("Protect",L67),0) &gt; 0 , VLOOKUP("Protect", vote4TRAITS!A:C , 3, FALSE), ),
IF(IFERROR(SEARCH("Puncture",L67),0) &gt; 0 , VLOOKUP("Puncture", vote4TRAITS!A:C , 3, FALSE), ),
IF(IFERROR(SEARCH("Putrid Boils",L67),0) &gt; 0 , VLOOKUP("Putrid Boils", vote4TRAITS!A:C , 3, FALSE), ),
IF(IFERROR(SEARCH("Ravage",L67),0) &gt; 0 , VLOOKUP("Ravage", vote4TRAITS!A:C , 3, FALSE), ),
IF(IFERROR(SEARCH("Ravenous",L67),0) &gt; 0 , VLOOKUP("Ravenous", vote4TRAITS!A:C , 3, FALSE), ),
IF(IFERROR(SEARCH("Reach",L67),0) &gt; 0 , VLOOKUP("Reach", vote4TRAITS!A:C , 3, FALSE), ),
IF(IFERROR(SEARCH("Reanimation",L67),0) &gt; 0 , VLOOKUP("Reanimation", vote4TRAITS!A:C , 3, FALSE), ),
IF(IFERROR(SEARCH("Reaper",L67),0) &gt; 0 , VLOOKUP("Reaper", vote4TRAITS!A:C , 3, FALSE), ),
IF(IFERROR(SEARCH("Riposte",L67),0) &gt; 0 , VLOOKUP("Riposte", vote4TRAITS!A:C , 3, FALSE)),
IF(IFERROR(SEARCH("Scamper",L67),0) &gt; 0 , VLOOKUP("Scamper", vote4TRAITS!A:C , 3, FALSE), ),
IF(IFERROR(SEARCH("Small Beginnings",L67),0) &gt; 0 , VLOOKUP("Small Beginnings", vote4TRAITS!A:C , 3, FALSE), ),
IF(IFERROR(SEARCH("Spawner",L67),0) &gt; 0 , VLOOKUP("Spawner", vote4TRAITS!A:C , 3,FALSE), ),
IF(IFERROR(SEARCH("Shadowr",L67),0) &gt; 0 , VLOOKUP("Shadow", vote4TRAITS!A:C , 3,FALSE), ),
IF(IFERROR(SEARCH("Shadow Step",L67),0) &gt; 0 , VLOOKUP("Shadow Step", vote4TRAITS!A:C , 3,FALSE), ),
IF(IFERROR(SEARCH("Shambling",L67),0) &gt; 0 , VLOOKUP("Shambling", vote4TRAITS!A:C , 3,FALSE), ),
IF(IFERROR(SEARCH("Stealthy",L67),0) &gt; 0 , VLOOKUP("Stealthy", vote4TRAITS!A:C , 3, FALSE), ),
IF(IFERROR(SEARCH("Web",L67),0) &gt; 0 , VLOOKUP("Web", vote4TRAITS!A:C , 3, FALSE), ),
IF(IFERROR(SEARCH("+1 Willpower",L67),0) &gt; 0 , VLOOKUP("+1 Willpower", vote4TRAITS!A:C , 3, FALSE), ),
IF(IFERROR(SEARCH("+1 Might",L67),0) &gt; 0 , VLOOKUP("+1 Might", vote4TRAITS!A:C , 3, FALSE), ),
IF(IFERROR(SEARCH("+1 Knowledge",L67),0) &gt; 0 , VLOOKUP("+1 Knowledge", vote4TRAITS!A:C , 3, FALSE), ),
IF(IFERROR(SEARCH("+1 Awareness",L67),0) &gt; 0 , VLOOKUP("+1 Awareness", vote4TRAITS!A:C , 3, FALSE), ),
IF(IFERROR(SEARCH("-1 Willpower",L67),0) &gt; 0 , VLOOKUP("-1 Willpower", vote4TRAITS!A:C , 3, FALSE), ),
IF(IFERROR(SEARCH("+1 Health",L67),0) &gt; 0 , VLOOKUP("+1 Health", vote4TRAITS!A:C , 3, FALSE), ),
IF(IFERROR(SEARCH("+2 Health",L67),0) &gt; 0 , VLOOKUP("+2 Health", vote4TRAITS!A:C , 3, FALSE), ),
IF(IFERROR(SEARCH("+1 Stamina",L67),0) &gt; 0 , VLOOKUP("+1 Stamina", vote4TRAITS!A:C , 3, FALSE), ),
IF(IFERROR(SEARCH("+2 Stamina",L67),0) &gt; 0 , VLOOKUP("+2 Stamina", vote4TRAITS!A:C , 3, FALSE), ),
IFS(
IFERROR(SEARCH("+1 Range", L67),) &gt; 0 ,VLOOKUP("+1 Range", vote4TRAITS!A:C , 3, FALSE),
IFERROR(SEARCH("+2 Range", L67),) &gt; 0 ,VLOOKUP("+2 Range", vote4TRAITS!A:C , 3, FALSE),
IFERROR(SEARCH("+3 Range", L67),) &gt; 0,VLOOKUP("+3 Range", vote4TRAITS!A:C , 3, FALSE),
0=0,0)
,
IFS(
IFERROR(SEARCH("Sorcery 1", L67),) &gt; 0 ,VLOOKUP("Sorcery 1", vote4TRAITS!A:C , 3, FALSE),
IFERROR(SEARCH("Sorcery 2", L67),) &gt; 0 ,VLOOKUP("Sorcery 2", vote4TRAITS!A:C , 3, FALSE),
IFERROR(SEARCH("Sorcery 3", L67),) &gt; 0,VLOOKUP("Sorcery 3", vote4TRAITS!A:C , 3, FALSE),
0=0,0)
,
IFS(
IFERROR(SEARCH("Pierce 1", L67),) &gt; 0 ,VLOOKUP("Pierce 1", vote4TRAITS!A:C , 3, FALSE),
IFERROR(SEARCH("Pierce 2", L67),) &gt; 0 ,VLOOKUP("Pierce 2", vote4TRAITS!A:C , 3, FALSE),
IFERROR(SEARCH("Pierce 3", L67),) &gt; 0,VLOOKUP("Pierce 3", vote4TRAITS!A:C , 3, FALSE),
IFERROR(SEARCH("Pierce 4", L67),) &gt; 0 ,VLOOKUP("Pierce 4", vote4TRAITS!A:C , 3, FALSE),
0=0,0)
,
IFS(
IFERROR(SEARCH("+1 Health", L67),) &gt; 0 ,VLOOKUP("+1 Health", vote4TRAITS!A:C , 3, FALSE),
IFERROR(SEARCH("+2 Health", L67),) &gt; 0 ,VLOOKUP("+2 Health", vote4TRAITS!A:C , 3, FALSE),
IFERROR(SEARCH("+3 Health", L67),) &gt; 0 ,VLOOKUP("+3 Health", vote4TRAITS!A:C , 3, FALSE),
IFERROR(SEARCH("+4 Health", L67),) &gt; 0 ,VLOOKUP("+4 Health", vote4TRAITS!A:C , 3, FALSE),
0=0,0)
,
IFS(
IFERROR(SEARCH("Soul Shackle 1", L67),) &gt; 0 ,VLOOKUP("Soul Shackle 1", vote4TRAITS!A:C , 3, FALSE),
IFERROR(SEARCH("Soul Shackle 2", L67),) &gt; 0 ,VLOOKUP("Soul Shackle 2", vote4TRAITS!A:C , 3, FALSE),
IFERROR(SEARCH("Soul Shackle 3", L67),) &gt; 0,VLOOKUP("Soul Shackle 3", vote4TRAITS!A:C , 3, FALSE),
0=0,0)
)</f>
        <v>0</v>
      </c>
      <c r="N67" s="311" t="s">
        <v>1534</v>
      </c>
      <c r="O67" s="317">
        <f>IF(ISBLANK(N67),,IFERROR(
IF(IFERROR(SEARCH("SS:",N67),0) &gt; 0, 
VLOOKUP(SUBSTITUTE(N67,"SS: ",""),vote4SURGE!$A:$C , 3, FALSE) - 2,
VLOOKUP(SUBSTITUTE(N67,"S: ",""),vote4SURGE!$A:$C , 3, FALSE)
)
,
IF(IFERROR(SEARCH("SS:",N67),0) &gt; 0, 
VLOOKUP(C67,vote4SURGE!$A:$C , 3, FALSE) - 2,
VLOOKUP(C67,vote4SURGE!$A:$C , 3, FALSE)
)
))</f>
        <v>4.25</v>
      </c>
      <c r="P67" s="315" t="s">
        <v>1560</v>
      </c>
      <c r="Q67" s="317">
        <f>IF(ISBLANK(P67),,IFERROR(
IF(IFERROR(SEARCH("SS:",P67),0) &gt; 0, 
VLOOKUP(SUBSTITUTE(P67,"SS: ",""),vote4SURGE!$A:$C , 3, FALSE) - 2,
VLOOKUP(SUBSTITUTE(P67,"S: ",""),vote4SURGE!$A:$C , 3, FALSE)
)
,
IF(IFERROR(SEARCH("SS:",P67),0) &gt; 0, 
VLOOKUP(C67,vote4SURGE!$A:$C , 3, FALSE) - 2,
VLOOKUP(C67,vote4SURGE!$A:$C , 3, FALSE)
)
))</f>
        <v>4.25</v>
      </c>
      <c r="R67" s="105" t="s">
        <v>1586</v>
      </c>
      <c r="S67" s="319">
        <f>IF(ISBLANK(R67),,IFERROR(
IF(IFERROR(SEARCH("SS:",R67),0) &gt; 0, 
VLOOKUP(SUBSTITUTE(R67,"SS: ",""),vote4SURGE!$A:$C , 3, FALSE) - 2,
VLOOKUP(SUBSTITUTE(R67,"S: ",""),vote4SURGE!$A:$C , 3, FALSE)
)
,
IF(IFERROR(SEARCH("SS:",R67),0) &gt; 0, 
VLOOKUP(C67,vote4SURGE!$A:$C , 3, FALSE) - 2,
VLOOKUP(C67,vote4SURGE!$A:$C , 3, FALSE)
)
))</f>
        <v>2.25</v>
      </c>
      <c r="T67" s="320">
        <f t="shared" si="2"/>
        <v>4</v>
      </c>
      <c r="U67" s="320">
        <f>IFERROR(__xludf.DUMMYFUNCTION("ROUND(
IF(ISBLANK(G67),,
SWITCH(
LEN(G67) - LEN(SUBSTITUTE(G67,"","","""")),
0 , VLOOKUP(G67, Variables!$A:$C, 3, FALSE),
1 , VLOOKUP(index(split(G67 ,"", "", FALSE),1,1), Variables!$A:$C , 3, FALSE) + VLOOKUP(index(split(G67 ,"", "", FALSE),1,2), Variabl"&amp;"es!$A:$C , 3, FALSE),
2 , VLOOKUP(index(split(G67 ,"", "", FALSE),1,1), Variables!$A:$C , 3, FALSE) + VLOOKUP(index(split(G67 ,"", "", FALSE),1,2), Variables!$A:$C , 3, FALSE) + VLOOKUP(index(split(G67 ,"", "", FALSE),1,3), Variables!$A:$C , 3, FALSE),
3 "&amp;", VLOOKUP(index(split(G67 ,"", "", FALSE),1,1), Variables!$A:$C , 3, FALSE) + VLOOKUP(index(split(G67 ,"", "", FALSE),1,2), Variables!$A:$C , 3, FALSE) + VLOOKUP(index(split(G67 ,"", "", FALSE),1,3), Variables!$A:$C , 3, FALSE) + VLOOKUP(index(split(G67 ,"&amp;""", "", FALSE),1,4), Variables!$A:$C , 3, FALSE),
)
)
)"),2.0)</f>
        <v>2</v>
      </c>
      <c r="V67" s="317">
        <f t="shared" si="3"/>
        <v>7.5</v>
      </c>
      <c r="W67" s="321">
        <f t="shared" si="4"/>
        <v>10</v>
      </c>
      <c r="X67" s="118"/>
      <c r="Y67" s="118"/>
      <c r="Z67" s="118"/>
      <c r="AA67" s="118"/>
      <c r="AB67" s="118"/>
      <c r="AC67" s="118"/>
      <c r="AD67" s="118"/>
      <c r="AE67" s="118"/>
    </row>
    <row r="68" hidden="1">
      <c r="A68" s="310">
        <v>1.0</v>
      </c>
      <c r="B68" s="93">
        <f t="shared" si="1"/>
        <v>3</v>
      </c>
      <c r="C68" s="310" t="s">
        <v>824</v>
      </c>
      <c r="D68" s="310">
        <v>100.0</v>
      </c>
      <c r="E68" s="310" t="s">
        <v>1527</v>
      </c>
      <c r="F68" s="310" t="s">
        <v>1521</v>
      </c>
      <c r="G68" s="313" t="s">
        <v>1525</v>
      </c>
      <c r="H68" s="312">
        <f>IFERROR(__xludf.DUMMYFUNCTION(" IF(ISBLANK(G68),,
SWITCH(
LEN(G68) - LEN(SUBSTITUTE(G68,"","","""")),
0 , VLOOKUP(G68, Variables!$A:$B, 2, FALSE),
1 , VLOOKUP(index(split(G68 ,"", "", FALSE),1,1), Variables!$A:$B , 2, FALSE) + VLOOKUP(index(split(G68 ,"", "", FALSE),1,2), Variables!$A:"&amp;"$B , 2, FALSE),
2 , VLOOKUP(index(split(G68 ,"", "", FALSE),1,1), Variables!$A:$B , 2, FALSE) + VLOOKUP(index(split(G68 ,"", "", FALSE),1,2), Variables!$A:$B , 2, FALSE) + VLOOKUP(index(split(G68 ,"", "", FALSE),1,3), Variables!$A:$B , 2, FALSE),
3 , VLOO"&amp;"KUP(index(split(G68 ,"", "", FALSE),1,1), Variables!$A:$B , 2, FALSE) + VLOOKUP(index(split(G68 ,"", "", FALSE),1,2), Variables!$A:$B , 2, FALSE) + VLOOKUP(index(split(G68 ,"", "", FALSE),1,3), Variables!$A:$B , 2, FALSE) + VLOOKUP(index(split(G68 ,"", """&amp;", FALSE),1,4), Variables!$A:$B , 2, FALSE),
)
)"),3.333333333333333)</f>
        <v>3.333333333</v>
      </c>
      <c r="I68" s="310" t="s">
        <v>1557</v>
      </c>
      <c r="J68" s="313" t="s">
        <v>825</v>
      </c>
      <c r="K68" s="314">
        <f>IFERROR(VLOOKUP(C68,vote4ITEMS!$A:$C, 3, FALSE),)</f>
        <v>2</v>
      </c>
      <c r="L68" s="313"/>
      <c r="M68" s="314">
        <f>SUM(
IF(IFERROR(SEARCH("Aura 1",L68),0) &gt; 0 , VLOOKUP("Aura 1", vote4TRAITS!A:C , 3, FALSE), ),
IF(IFERROR(SEARCH("Backswing",L68),0) &gt; 0 , VLOOKUP("Backswing", vote4TRAITS!A:C , 3, FALSE), ),
IF(IFERROR(SEARCH("Blast",L68),0) &gt; 0 , VLOOKUP("Blast", vote4TRAITS!A:C , 3, FALSE), ),
IF(IFERROR(SEARCH("Combustible",L68),0) &gt; 0 , VLOOKUP("Combustible", vote4TRAITS!A:C , 3, FALSE), ),
IF(IFERROR(SEARCH("Command",L68),0) &gt; 0 , VLOOKUP("Command", vote4TRAITS!A:C , 3, FALSE), ),
IF(IFERROR(SEARCH("Cowardly",L68),0) &gt; 0 , VLOOKUP("Cowardly", vote4TRAITS!A:C , 3, FALSE), ),
IF(IFERROR(SEARCH("Death Wish",L68),0) &gt; 0 , VLOOKUP("Death Wish", vote4TRAITS!A:C , 3, FALSE), ),
IF(IFERROR(SEARCH("Entomb",L68),0) &gt; 0 , VLOOKUP("Entomb", vote4TRAITS!A:C , 3, FALSE), ),
IF(IFERROR(SEARCH("Ethereal Hold",L68),0) &gt; 0 , VLOOKUP("Ethereal Hold", vote4TRAITS!A:C , 3, FALSE), ),
IF(IFERROR(SEARCH("Extend",L68),0) &gt; 0 , VLOOKUP("Extend", vote4TRAITS!A:C , 3, FALSE), ),
IF(IFERROR(SEARCH("Filthy Murk",L68),0) &gt; 0 , VLOOKUP("Filthy Murk", vote4TRAITS!A:C , 3, FALSE), ),
IF(IFERROR(SEARCH("Flame Fiend",L68),0) &gt; 0 , VLOOKUP("Flame Fiend", vote4TRAITS!A:C , 3, FALSE), ),
IF(IFERROR(SEARCH("Fleshmonger",L68),0) &gt; 0 , VLOOKUP("Fleshmonger", vote4TRAITS!A:C , 3, FALSE), ),
IF(IFERROR(SEARCH("Fly",L68),0) &gt; 0 , VLOOKUP("Fly", vote4TRAITS!A:C , 3, FALSE), ),
IF(IFERROR(SEARCH("Freezing",L68),0) &gt; 0 , VLOOKUP("Freezing", vote4TRAITS!A:C , 3, FALSE), ),
IF(IFERROR(SEARCH("Lithesome",L68),0) &gt; 0 , VLOOKUP("Lithesome", vote4TRAITS!A:C , 3, FALSE), ),
IF(IFERROR(SEARCH("Harrowing",L68),0) &gt; 0 , VLOOKUP("Harrowing", vote4TRAITS!A:C , 3, FALSE), ),
IF(IFERROR(SEARCH("Hideous Laughter",L68),0) &gt; 0 , VLOOKUP("Hideous Laughter", vote4TRAITS!A:C , 3, FALSE), ),
IF(IFERROR(SEARCH("Hive Defense",L68),0) &gt; 0 , VLOOKUP("Hive Defense", vote4TRAITS!A:C , 3, FALSE), ),
IF(IFERROR(SEARCH("Horrifying",L68),0) &gt; 0 , VLOOKUP("Horrifying", vote4TRAITS!A:C , 3, FALSE), ),
IF(IFERROR(SEARCH("Ironskin",L68),0) &gt; 0 , VLOOKUP("Ironskin", vote4TRAITS!A:C , 3, FALSE), ),
IF(IFERROR(SEARCH("Unmovable",L68),0) &gt; 0 , VLOOKUP("Unmovable", vote4TRAITS!A:C , 3, FALSE), ),
IF(IFERROR(SEARCH("Lifethirst 1",L68),0) &gt; 0 , VLOOKUP("Lifethirst 1", vote4TRAITS!A:C , 3, FALSE), ),
IF(IFERROR(SEARCH("Lifethirst 2",L68),0) &gt; 0 , VLOOKUP("Lifethirst 2", vote4TRAITS!A:C , 3, FALSE), ),
IF(IFERROR(SEARCH("Morph",L68),0) &gt; 0 , VLOOKUP("Morph", vote4TRAITS!A:C , 3, FALSE), ),
IF(IFERROR(SEARCH("Night Stalker",L68),0) &gt; 0 , VLOOKUP("Night Stalker", vote4TRAITS!A:C , 3, FALSE), ),
IF(IFERROR(SEARCH("Overflowing",L68),0) &gt; 0 , VLOOKUP("Overflowing", vote4TRAITS!A:C , 3, FALSE), ),
IF(IFERROR(SEARCH("Pestilence",L68),0) &gt; 0 , VLOOKUP("Pestilence", vote4TRAITS!A:C , 3, FALSE), ),
IF(IFERROR(SEARCH("Phalanx",L68),0) &gt; 0 , VLOOKUP("Phalanx", vote4TRAITS!A:C , 3, FALSE), ),
IF(IFERROR(SEARCH("Plagued",L68),0) &gt; 0 , VLOOKUP("Plagued", vote4TRAITS!A:C , 3, FALSE), ),
IF(IFERROR(SEARCH("Prey on the Weak",L68),0) &gt; 0 , VLOOKUP("Prey on the Weak", vote4TRAITS!A:C , 3, FALSE), ),
IF(IFERROR(SEARCH("Protect",L68),0) &gt; 0 , VLOOKUP("Protect", vote4TRAITS!A:C , 3, FALSE), ),
IF(IFERROR(SEARCH("Puncture",L68),0) &gt; 0 , VLOOKUP("Puncture", vote4TRAITS!A:C , 3, FALSE), ),
IF(IFERROR(SEARCH("Putrid Boils",L68),0) &gt; 0 , VLOOKUP("Putrid Boils", vote4TRAITS!A:C , 3, FALSE), ),
IF(IFERROR(SEARCH("Ravage",L68),0) &gt; 0 , VLOOKUP("Ravage", vote4TRAITS!A:C , 3, FALSE), ),
IF(IFERROR(SEARCH("Ravenous",L68),0) &gt; 0 , VLOOKUP("Ravenous", vote4TRAITS!A:C , 3, FALSE), ),
IF(IFERROR(SEARCH("Reach",L68),0) &gt; 0 , VLOOKUP("Reach", vote4TRAITS!A:C , 3, FALSE), ),
IF(IFERROR(SEARCH("Reanimation",L68),0) &gt; 0 , VLOOKUP("Reanimation", vote4TRAITS!A:C , 3, FALSE), ),
IF(IFERROR(SEARCH("Reaper",L68),0) &gt; 0 , VLOOKUP("Reaper", vote4TRAITS!A:C , 3, FALSE), ),
IF(IFERROR(SEARCH("Riposte",L68),0) &gt; 0 , VLOOKUP("Riposte", vote4TRAITS!A:C , 3, FALSE)),
IF(IFERROR(SEARCH("Scamper",L68),0) &gt; 0 , VLOOKUP("Scamper", vote4TRAITS!A:C , 3, FALSE), ),
IF(IFERROR(SEARCH("Small Beginnings",L68),0) &gt; 0 , VLOOKUP("Small Beginnings", vote4TRAITS!A:C , 3, FALSE), ),
IF(IFERROR(SEARCH("Spawner",L68),0) &gt; 0 , VLOOKUP("Spawner", vote4TRAITS!A:C , 3,FALSE), ),
IF(IFERROR(SEARCH("Shadowr",L68),0) &gt; 0 , VLOOKUP("Shadow", vote4TRAITS!A:C , 3,FALSE), ),
IF(IFERROR(SEARCH("Shadow Step",L68),0) &gt; 0 , VLOOKUP("Shadow Step", vote4TRAITS!A:C , 3,FALSE), ),
IF(IFERROR(SEARCH("Shambling",L68),0) &gt; 0 , VLOOKUP("Shambling", vote4TRAITS!A:C , 3,FALSE), ),
IF(IFERROR(SEARCH("Stealthy",L68),0) &gt; 0 , VLOOKUP("Stealthy", vote4TRAITS!A:C , 3, FALSE), ),
IF(IFERROR(SEARCH("Web",L68),0) &gt; 0 , VLOOKUP("Web", vote4TRAITS!A:C , 3, FALSE), ),
IF(IFERROR(SEARCH("+1 Willpower",L68),0) &gt; 0 , VLOOKUP("+1 Willpower", vote4TRAITS!A:C , 3, FALSE), ),
IF(IFERROR(SEARCH("+1 Might",L68),0) &gt; 0 , VLOOKUP("+1 Might", vote4TRAITS!A:C , 3, FALSE), ),
IF(IFERROR(SEARCH("+1 Knowledge",L68),0) &gt; 0 , VLOOKUP("+1 Knowledge", vote4TRAITS!A:C , 3, FALSE), ),
IF(IFERROR(SEARCH("+1 Awareness",L68),0) &gt; 0 , VLOOKUP("+1 Awareness", vote4TRAITS!A:C , 3, FALSE), ),
IF(IFERROR(SEARCH("-1 Willpower",L68),0) &gt; 0 , VLOOKUP("-1 Willpower", vote4TRAITS!A:C , 3, FALSE), ),
IF(IFERROR(SEARCH("+1 Health",L68),0) &gt; 0 , VLOOKUP("+1 Health", vote4TRAITS!A:C , 3, FALSE), ),
IF(IFERROR(SEARCH("+2 Health",L68),0) &gt; 0 , VLOOKUP("+2 Health", vote4TRAITS!A:C , 3, FALSE), ),
IF(IFERROR(SEARCH("+1 Stamina",L68),0) &gt; 0 , VLOOKUP("+1 Stamina", vote4TRAITS!A:C , 3, FALSE), ),
IF(IFERROR(SEARCH("+2 Stamina",L68),0) &gt; 0 , VLOOKUP("+2 Stamina", vote4TRAITS!A:C , 3, FALSE), ),
IFS(
IFERROR(SEARCH("+1 Range", L68),) &gt; 0 ,VLOOKUP("+1 Range", vote4TRAITS!A:C , 3, FALSE),
IFERROR(SEARCH("+2 Range", L68),) &gt; 0 ,VLOOKUP("+2 Range", vote4TRAITS!A:C , 3, FALSE),
IFERROR(SEARCH("+3 Range", L68),) &gt; 0,VLOOKUP("+3 Range", vote4TRAITS!A:C , 3, FALSE),
0=0,0)
,
IFS(
IFERROR(SEARCH("Sorcery 1", L68),) &gt; 0 ,VLOOKUP("Sorcery 1", vote4TRAITS!A:C , 3, FALSE),
IFERROR(SEARCH("Sorcery 2", L68),) &gt; 0 ,VLOOKUP("Sorcery 2", vote4TRAITS!A:C , 3, FALSE),
IFERROR(SEARCH("Sorcery 3", L68),) &gt; 0,VLOOKUP("Sorcery 3", vote4TRAITS!A:C , 3, FALSE),
0=0,0)
,
IFS(
IFERROR(SEARCH("Pierce 1", L68),) &gt; 0 ,VLOOKUP("Pierce 1", vote4TRAITS!A:C , 3, FALSE),
IFERROR(SEARCH("Pierce 2", L68),) &gt; 0 ,VLOOKUP("Pierce 2", vote4TRAITS!A:C , 3, FALSE),
IFERROR(SEARCH("Pierce 3", L68),) &gt; 0,VLOOKUP("Pierce 3", vote4TRAITS!A:C , 3, FALSE),
IFERROR(SEARCH("Pierce 4", L68),) &gt; 0 ,VLOOKUP("Pierce 4", vote4TRAITS!A:C , 3, FALSE),
0=0,0)
,
IFS(
IFERROR(SEARCH("+1 Health", L68),) &gt; 0 ,VLOOKUP("+1 Health", vote4TRAITS!A:C , 3, FALSE),
IFERROR(SEARCH("+2 Health", L68),) &gt; 0 ,VLOOKUP("+2 Health", vote4TRAITS!A:C , 3, FALSE),
IFERROR(SEARCH("+3 Health", L68),) &gt; 0 ,VLOOKUP("+3 Health", vote4TRAITS!A:C , 3, FALSE),
IFERROR(SEARCH("+4 Health", L68),) &gt; 0 ,VLOOKUP("+4 Health", vote4TRAITS!A:C , 3, FALSE),
0=0,0)
,
IFS(
IFERROR(SEARCH("Soul Shackle 1", L68),) &gt; 0 ,VLOOKUP("Soul Shackle 1", vote4TRAITS!A:C , 3, FALSE),
IFERROR(SEARCH("Soul Shackle 2", L68),) &gt; 0 ,VLOOKUP("Soul Shackle 2", vote4TRAITS!A:C , 3, FALSE),
IFERROR(SEARCH("Soul Shackle 3", L68),) &gt; 0,VLOOKUP("Soul Shackle 3", vote4TRAITS!A:C , 3, FALSE),
0=0,0)
)</f>
        <v>0</v>
      </c>
      <c r="N68" s="311" t="s">
        <v>1534</v>
      </c>
      <c r="O68" s="317">
        <f>IF(ISBLANK(N68),,IFERROR(
IF(IFERROR(SEARCH("SS:",N68),0) &gt; 0, 
VLOOKUP(SUBSTITUTE(N68,"SS: ",""),vote4SURGE!$A:$C , 3, FALSE) - 2,
VLOOKUP(SUBSTITUTE(N68,"S: ",""),vote4SURGE!$A:$C , 3, FALSE)
)
,
IF(IFERROR(SEARCH("SS:",N68),0) &gt; 0, 
VLOOKUP(C68,vote4SURGE!$A:$C , 3, FALSE) - 2,
VLOOKUP(C68,vote4SURGE!$A:$C , 3, FALSE)
)
))</f>
        <v>4.25</v>
      </c>
      <c r="P68" s="318"/>
      <c r="Q68" s="317" t="str">
        <f>IF(ISBLANK(P68),,IFERROR(
IF(IFERROR(SEARCH("SS:",P68),0) &gt; 0, 
VLOOKUP(SUBSTITUTE(P68,"SS: ",""),vote4SURGE!$A:$C , 3, FALSE) - 2,
VLOOKUP(SUBSTITUTE(P68,"S: ",""),vote4SURGE!$A:$C , 3, FALSE)
)
,
IF(IFERROR(SEARCH("SS:",P68),0) &gt; 0, 
VLOOKUP(C68,vote4SURGE!$A:$C , 3, FALSE) - 2,
VLOOKUP(C68,vote4SURGE!$A:$C , 3, FALSE)
)
))</f>
        <v/>
      </c>
      <c r="R68" s="318"/>
      <c r="S68" s="319" t="str">
        <f>IF(ISBLANK(R68),,IFERROR(
IF(IFERROR(SEARCH("SS:",R68),0) &gt; 0, 
VLOOKUP(SUBSTITUTE(R68,"SS: ",""),vote4SURGE!$A:$C , 3, FALSE) - 2,
VLOOKUP(SUBSTITUTE(R68,"S: ",""),vote4SURGE!$A:$C , 3, FALSE)
)
,
IF(IFERROR(SEARCH("SS:",R68),0) &gt; 0, 
VLOOKUP(C68,vote4SURGE!$A:$C , 3, FALSE) - 2,
VLOOKUP(C68,vote4SURGE!$A:$C , 3, FALSE)
)
))</f>
        <v/>
      </c>
      <c r="T68" s="320">
        <f t="shared" si="2"/>
        <v>1</v>
      </c>
      <c r="U68" s="320">
        <f>IFERROR(__xludf.DUMMYFUNCTION("ROUND(
IF(ISBLANK(G68),,
SWITCH(
LEN(G68) - LEN(SUBSTITUTE(G68,"","","""")),
0 , VLOOKUP(G68, Variables!$A:$C, 3, FALSE),
1 , VLOOKUP(index(split(G68 ,"", "", FALSE),1,1), Variables!$A:$C , 3, FALSE) + VLOOKUP(index(split(G68 ,"", "", FALSE),1,2), Variabl"&amp;"es!$A:$C , 3, FALSE),
2 , VLOOKUP(index(split(G68 ,"", "", FALSE),1,1), Variables!$A:$C , 3, FALSE) + VLOOKUP(index(split(G68 ,"", "", FALSE),1,2), Variables!$A:$C , 3, FALSE) + VLOOKUP(index(split(G68 ,"", "", FALSE),1,3), Variables!$A:$C , 3, FALSE),
3 "&amp;", VLOOKUP(index(split(G68 ,"", "", FALSE),1,1), Variables!$A:$C , 3, FALSE) + VLOOKUP(index(split(G68 ,"", "", FALSE),1,2), Variables!$A:$C , 3, FALSE) + VLOOKUP(index(split(G68 ,"", "", FALSE),1,3), Variables!$A:$C , 3, FALSE) + VLOOKUP(index(split(G68 ,"&amp;""", "", FALSE),1,4), Variables!$A:$C , 3, FALSE),
)
)
)"),1.0)</f>
        <v>1</v>
      </c>
      <c r="V68" s="317">
        <f t="shared" si="3"/>
        <v>4.25</v>
      </c>
      <c r="W68" s="321">
        <f t="shared" si="4"/>
        <v>9.583333333</v>
      </c>
      <c r="X68" s="118"/>
      <c r="Y68" s="118"/>
      <c r="Z68" s="118"/>
      <c r="AA68" s="118"/>
      <c r="AB68" s="118"/>
      <c r="AC68" s="118"/>
      <c r="AD68" s="118"/>
      <c r="AE68" s="118"/>
    </row>
    <row r="69" hidden="1">
      <c r="A69" s="310">
        <v>1.0</v>
      </c>
      <c r="B69" s="93" t="str">
        <f t="shared" si="1"/>
        <v/>
      </c>
      <c r="C69" s="310" t="s">
        <v>1619</v>
      </c>
      <c r="D69" s="323">
        <v>0.0</v>
      </c>
      <c r="E69" s="310" t="s">
        <v>1520</v>
      </c>
      <c r="F69" s="310" t="s">
        <v>1567</v>
      </c>
      <c r="G69" s="313" t="s">
        <v>1592</v>
      </c>
      <c r="H69" s="312">
        <f>IFERROR(__xludf.DUMMYFUNCTION(" IF(ISBLANK(G69),,
SWITCH(
LEN(G69) - LEN(SUBSTITUTE(G69,"","","""")),
0 , VLOOKUP(G69, Variables!$A:$B, 2, FALSE),
1 , VLOOKUP(index(split(G69 ,"", "", FALSE),1,1), Variables!$A:$B , 2, FALSE) + VLOOKUP(index(split(G69 ,"", "", FALSE),1,2), Variables!$A:"&amp;"$B , 2, FALSE),
2 , VLOOKUP(index(split(G69 ,"", "", FALSE),1,1), Variables!$A:$B , 2, FALSE) + VLOOKUP(index(split(G69 ,"", "", FALSE),1,2), Variables!$A:$B , 2, FALSE) + VLOOKUP(index(split(G69 ,"", "", FALSE),1,3), Variables!$A:$B , 2, FALSE),
3 , VLOO"&amp;"KUP(index(split(G69 ,"", "", FALSE),1,1), Variables!$A:$B , 2, FALSE) + VLOOKUP(index(split(G69 ,"", "", FALSE),1,2), Variables!$A:$B , 2, FALSE) + VLOOKUP(index(split(G69 ,"", "", FALSE),1,3), Variables!$A:$B , 2, FALSE) + VLOOKUP(index(split(G69 ,"", """&amp;", FALSE),1,4), Variables!$A:$B , 2, FALSE),
)
)"),1.8333333333333335)</f>
        <v>1.833333333</v>
      </c>
      <c r="I69" s="310" t="s">
        <v>1570</v>
      </c>
      <c r="J69" s="313"/>
      <c r="K69" s="314" t="str">
        <f>IFERROR(VLOOKUP(C69,vote4ITEMS!$A:$C, 3, FALSE),)</f>
        <v/>
      </c>
      <c r="L69" s="313"/>
      <c r="M69" s="314">
        <f>SUM(
IF(IFERROR(SEARCH("Aura 1",L69),0) &gt; 0 , VLOOKUP("Aura 1", vote4TRAITS!A:C , 3, FALSE), ),
IF(IFERROR(SEARCH("Backswing",L69),0) &gt; 0 , VLOOKUP("Backswing", vote4TRAITS!A:C , 3, FALSE), ),
IF(IFERROR(SEARCH("Blast",L69),0) &gt; 0 , VLOOKUP("Blast", vote4TRAITS!A:C , 3, FALSE), ),
IF(IFERROR(SEARCH("Combustible",L69),0) &gt; 0 , VLOOKUP("Combustible", vote4TRAITS!A:C , 3, FALSE), ),
IF(IFERROR(SEARCH("Command",L69),0) &gt; 0 , VLOOKUP("Command", vote4TRAITS!A:C , 3, FALSE), ),
IF(IFERROR(SEARCH("Cowardly",L69),0) &gt; 0 , VLOOKUP("Cowardly", vote4TRAITS!A:C , 3, FALSE), ),
IF(IFERROR(SEARCH("Death Wish",L69),0) &gt; 0 , VLOOKUP("Death Wish", vote4TRAITS!A:C , 3, FALSE), ),
IF(IFERROR(SEARCH("Entomb",L69),0) &gt; 0 , VLOOKUP("Entomb", vote4TRAITS!A:C , 3, FALSE), ),
IF(IFERROR(SEARCH("Ethereal Hold",L69),0) &gt; 0 , VLOOKUP("Ethereal Hold", vote4TRAITS!A:C , 3, FALSE), ),
IF(IFERROR(SEARCH("Extend",L69),0) &gt; 0 , VLOOKUP("Extend", vote4TRAITS!A:C , 3, FALSE), ),
IF(IFERROR(SEARCH("Filthy Murk",L69),0) &gt; 0 , VLOOKUP("Filthy Murk", vote4TRAITS!A:C , 3, FALSE), ),
IF(IFERROR(SEARCH("Flame Fiend",L69),0) &gt; 0 , VLOOKUP("Flame Fiend", vote4TRAITS!A:C , 3, FALSE), ),
IF(IFERROR(SEARCH("Fleshmonger",L69),0) &gt; 0 , VLOOKUP("Fleshmonger", vote4TRAITS!A:C , 3, FALSE), ),
IF(IFERROR(SEARCH("Fly",L69),0) &gt; 0 , VLOOKUP("Fly", vote4TRAITS!A:C , 3, FALSE), ),
IF(IFERROR(SEARCH("Freezing",L69),0) &gt; 0 , VLOOKUP("Freezing", vote4TRAITS!A:C , 3, FALSE), ),
IF(IFERROR(SEARCH("Lithesome",L69),0) &gt; 0 , VLOOKUP("Lithesome", vote4TRAITS!A:C , 3, FALSE), ),
IF(IFERROR(SEARCH("Harrowing",L69),0) &gt; 0 , VLOOKUP("Harrowing", vote4TRAITS!A:C , 3, FALSE), ),
IF(IFERROR(SEARCH("Hideous Laughter",L69),0) &gt; 0 , VLOOKUP("Hideous Laughter", vote4TRAITS!A:C , 3, FALSE), ),
IF(IFERROR(SEARCH("Hive Defense",L69),0) &gt; 0 , VLOOKUP("Hive Defense", vote4TRAITS!A:C , 3, FALSE), ),
IF(IFERROR(SEARCH("Horrifying",L69),0) &gt; 0 , VLOOKUP("Horrifying", vote4TRAITS!A:C , 3, FALSE), ),
IF(IFERROR(SEARCH("Ironskin",L69),0) &gt; 0 , VLOOKUP("Ironskin", vote4TRAITS!A:C , 3, FALSE), ),
IF(IFERROR(SEARCH("Unmovable",L69),0) &gt; 0 , VLOOKUP("Unmovable", vote4TRAITS!A:C , 3, FALSE), ),
IF(IFERROR(SEARCH("Lifethirst 1",L69),0) &gt; 0 , VLOOKUP("Lifethirst 1", vote4TRAITS!A:C , 3, FALSE), ),
IF(IFERROR(SEARCH("Lifethirst 2",L69),0) &gt; 0 , VLOOKUP("Lifethirst 2", vote4TRAITS!A:C , 3, FALSE), ),
IF(IFERROR(SEARCH("Morph",L69),0) &gt; 0 , VLOOKUP("Morph", vote4TRAITS!A:C , 3, FALSE), ),
IF(IFERROR(SEARCH("Night Stalker",L69),0) &gt; 0 , VLOOKUP("Night Stalker", vote4TRAITS!A:C , 3, FALSE), ),
IF(IFERROR(SEARCH("Overflowing",L69),0) &gt; 0 , VLOOKUP("Overflowing", vote4TRAITS!A:C , 3, FALSE), ),
IF(IFERROR(SEARCH("Pestilence",L69),0) &gt; 0 , VLOOKUP("Pestilence", vote4TRAITS!A:C , 3, FALSE), ),
IF(IFERROR(SEARCH("Phalanx",L69),0) &gt; 0 , VLOOKUP("Phalanx", vote4TRAITS!A:C , 3, FALSE), ),
IF(IFERROR(SEARCH("Plagued",L69),0) &gt; 0 , VLOOKUP("Plagued", vote4TRAITS!A:C , 3, FALSE), ),
IF(IFERROR(SEARCH("Prey on the Weak",L69),0) &gt; 0 , VLOOKUP("Prey on the Weak", vote4TRAITS!A:C , 3, FALSE), ),
IF(IFERROR(SEARCH("Protect",L69),0) &gt; 0 , VLOOKUP("Protect", vote4TRAITS!A:C , 3, FALSE), ),
IF(IFERROR(SEARCH("Puncture",L69),0) &gt; 0 , VLOOKUP("Puncture", vote4TRAITS!A:C , 3, FALSE), ),
IF(IFERROR(SEARCH("Putrid Boils",L69),0) &gt; 0 , VLOOKUP("Putrid Boils", vote4TRAITS!A:C , 3, FALSE), ),
IF(IFERROR(SEARCH("Ravage",L69),0) &gt; 0 , VLOOKUP("Ravage", vote4TRAITS!A:C , 3, FALSE), ),
IF(IFERROR(SEARCH("Ravenous",L69),0) &gt; 0 , VLOOKUP("Ravenous", vote4TRAITS!A:C , 3, FALSE), ),
IF(IFERROR(SEARCH("Reach",L69),0) &gt; 0 , VLOOKUP("Reach", vote4TRAITS!A:C , 3, FALSE), ),
IF(IFERROR(SEARCH("Reanimation",L69),0) &gt; 0 , VLOOKUP("Reanimation", vote4TRAITS!A:C , 3, FALSE), ),
IF(IFERROR(SEARCH("Reaper",L69),0) &gt; 0 , VLOOKUP("Reaper", vote4TRAITS!A:C , 3, FALSE), ),
IF(IFERROR(SEARCH("Riposte",L69),0) &gt; 0 , VLOOKUP("Riposte", vote4TRAITS!A:C , 3, FALSE)),
IF(IFERROR(SEARCH("Scamper",L69),0) &gt; 0 , VLOOKUP("Scamper", vote4TRAITS!A:C , 3, FALSE), ),
IF(IFERROR(SEARCH("Small Beginnings",L69),0) &gt; 0 , VLOOKUP("Small Beginnings", vote4TRAITS!A:C , 3, FALSE), ),
IF(IFERROR(SEARCH("Spawner",L69),0) &gt; 0 , VLOOKUP("Spawner", vote4TRAITS!A:C , 3,FALSE), ),
IF(IFERROR(SEARCH("Shadowr",L69),0) &gt; 0 , VLOOKUP("Shadow", vote4TRAITS!A:C , 3,FALSE), ),
IF(IFERROR(SEARCH("Shadow Step",L69),0) &gt; 0 , VLOOKUP("Shadow Step", vote4TRAITS!A:C , 3,FALSE), ),
IF(IFERROR(SEARCH("Shambling",L69),0) &gt; 0 , VLOOKUP("Shambling", vote4TRAITS!A:C , 3,FALSE), ),
IF(IFERROR(SEARCH("Stealthy",L69),0) &gt; 0 , VLOOKUP("Stealthy", vote4TRAITS!A:C , 3, FALSE), ),
IF(IFERROR(SEARCH("Web",L69),0) &gt; 0 , VLOOKUP("Web", vote4TRAITS!A:C , 3, FALSE), ),
IF(IFERROR(SEARCH("+1 Willpower",L69),0) &gt; 0 , VLOOKUP("+1 Willpower", vote4TRAITS!A:C , 3, FALSE), ),
IF(IFERROR(SEARCH("+1 Might",L69),0) &gt; 0 , VLOOKUP("+1 Might", vote4TRAITS!A:C , 3, FALSE), ),
IF(IFERROR(SEARCH("+1 Knowledge",L69),0) &gt; 0 , VLOOKUP("+1 Knowledge", vote4TRAITS!A:C , 3, FALSE), ),
IF(IFERROR(SEARCH("+1 Awareness",L69),0) &gt; 0 , VLOOKUP("+1 Awareness", vote4TRAITS!A:C , 3, FALSE), ),
IF(IFERROR(SEARCH("-1 Willpower",L69),0) &gt; 0 , VLOOKUP("-1 Willpower", vote4TRAITS!A:C , 3, FALSE), ),
IF(IFERROR(SEARCH("+1 Health",L69),0) &gt; 0 , VLOOKUP("+1 Health", vote4TRAITS!A:C , 3, FALSE), ),
IF(IFERROR(SEARCH("+2 Health",L69),0) &gt; 0 , VLOOKUP("+2 Health", vote4TRAITS!A:C , 3, FALSE), ),
IF(IFERROR(SEARCH("+1 Stamina",L69),0) &gt; 0 , VLOOKUP("+1 Stamina", vote4TRAITS!A:C , 3, FALSE), ),
IF(IFERROR(SEARCH("+2 Stamina",L69),0) &gt; 0 , VLOOKUP("+2 Stamina", vote4TRAITS!A:C , 3, FALSE), ),
IFS(
IFERROR(SEARCH("+1 Range", L69),) &gt; 0 ,VLOOKUP("+1 Range", vote4TRAITS!A:C , 3, FALSE),
IFERROR(SEARCH("+2 Range", L69),) &gt; 0 ,VLOOKUP("+2 Range", vote4TRAITS!A:C , 3, FALSE),
IFERROR(SEARCH("+3 Range", L69),) &gt; 0,VLOOKUP("+3 Range", vote4TRAITS!A:C , 3, FALSE),
0=0,0)
,
IFS(
IFERROR(SEARCH("Sorcery 1", L69),) &gt; 0 ,VLOOKUP("Sorcery 1", vote4TRAITS!A:C , 3, FALSE),
IFERROR(SEARCH("Sorcery 2", L69),) &gt; 0 ,VLOOKUP("Sorcery 2", vote4TRAITS!A:C , 3, FALSE),
IFERROR(SEARCH("Sorcery 3", L69),) &gt; 0,VLOOKUP("Sorcery 3", vote4TRAITS!A:C , 3, FALSE),
0=0,0)
,
IFS(
IFERROR(SEARCH("Pierce 1", L69),) &gt; 0 ,VLOOKUP("Pierce 1", vote4TRAITS!A:C , 3, FALSE),
IFERROR(SEARCH("Pierce 2", L69),) &gt; 0 ,VLOOKUP("Pierce 2", vote4TRAITS!A:C , 3, FALSE),
IFERROR(SEARCH("Pierce 3", L69),) &gt; 0,VLOOKUP("Pierce 3", vote4TRAITS!A:C , 3, FALSE),
IFERROR(SEARCH("Pierce 4", L69),) &gt; 0 ,VLOOKUP("Pierce 4", vote4TRAITS!A:C , 3, FALSE),
0=0,0)
,
IFS(
IFERROR(SEARCH("+1 Health", L69),) &gt; 0 ,VLOOKUP("+1 Health", vote4TRAITS!A:C , 3, FALSE),
IFERROR(SEARCH("+2 Health", L69),) &gt; 0 ,VLOOKUP("+2 Health", vote4TRAITS!A:C , 3, FALSE),
IFERROR(SEARCH("+3 Health", L69),) &gt; 0 ,VLOOKUP("+3 Health", vote4TRAITS!A:C , 3, FALSE),
IFERROR(SEARCH("+4 Health", L69),) &gt; 0 ,VLOOKUP("+4 Health", vote4TRAITS!A:C , 3, FALSE),
0=0,0)
,
IFS(
IFERROR(SEARCH("Soul Shackle 1", L69),) &gt; 0 ,VLOOKUP("Soul Shackle 1", vote4TRAITS!A:C , 3, FALSE),
IFERROR(SEARCH("Soul Shackle 2", L69),) &gt; 0 ,VLOOKUP("Soul Shackle 2", vote4TRAITS!A:C , 3, FALSE),
IFERROR(SEARCH("Soul Shackle 3", L69),) &gt; 0,VLOOKUP("Soul Shackle 3", vote4TRAITS!A:C , 3, FALSE),
0=0,0)
)</f>
        <v>0</v>
      </c>
      <c r="N69" s="311" t="s">
        <v>1562</v>
      </c>
      <c r="O69" s="317">
        <f>IF(ISBLANK(N69),,IFERROR(
IF(IFERROR(SEARCH("SS:",N69),0) &gt; 0, 
VLOOKUP(SUBSTITUTE(N69,"SS: ",""),vote4SURGE!$A:$C , 3, FALSE) - 2,
VLOOKUP(SUBSTITUTE(N69,"S: ",""),vote4SURGE!$A:$C , 3, FALSE)
)
,
IF(IFERROR(SEARCH("SS:",N69),0) &gt; 0, 
VLOOKUP(C69,vote4SURGE!$A:$C , 3, FALSE) - 2,
VLOOKUP(C69,vote4SURGE!$A:$C , 3, FALSE)
)
))</f>
        <v>3.5</v>
      </c>
      <c r="P69" s="315" t="s">
        <v>1562</v>
      </c>
      <c r="Q69" s="317">
        <f>IF(ISBLANK(P69),,IFERROR(
IF(IFERROR(SEARCH("SS:",P69),0) &gt; 0, 
VLOOKUP(SUBSTITUTE(P69,"SS: ",""),vote4SURGE!$A:$C , 3, FALSE) - 2,
VLOOKUP(SUBSTITUTE(P69,"S: ",""),vote4SURGE!$A:$C , 3, FALSE)
)
,
IF(IFERROR(SEARCH("SS:",P69),0) &gt; 0, 
VLOOKUP(C69,vote4SURGE!$A:$C , 3, FALSE) - 2,
VLOOKUP(C69,vote4SURGE!$A:$C , 3, FALSE)
)
))</f>
        <v>3.5</v>
      </c>
      <c r="R69" s="315" t="s">
        <v>1560</v>
      </c>
      <c r="S69" s="319">
        <f>IF(ISBLANK(R69),,IFERROR(
IF(IFERROR(SEARCH("SS:",R69),0) &gt; 0, 
VLOOKUP(SUBSTITUTE(R69,"SS: ",""),vote4SURGE!$A:$C , 3, FALSE) - 2,
VLOOKUP(SUBSTITUTE(R69,"S: ",""),vote4SURGE!$A:$C , 3, FALSE)
)
,
IF(IFERROR(SEARCH("SS:",R69),0) &gt; 0, 
VLOOKUP(C69,vote4SURGE!$A:$C , 3, FALSE) - 2,
VLOOKUP(C69,vote4SURGE!$A:$C , 3, FALSE)
)
))</f>
        <v>4.25</v>
      </c>
      <c r="T69" s="320">
        <f t="shared" si="2"/>
        <v>3</v>
      </c>
      <c r="U69" s="320">
        <f>IFERROR(__xludf.DUMMYFUNCTION("ROUND(
IF(ISBLANK(G69),,
SWITCH(
LEN(G69) - LEN(SUBSTITUTE(G69,"","","""")),
0 , VLOOKUP(G69, Variables!$A:$C, 3, FALSE),
1 , VLOOKUP(index(split(G69 ,"", "", FALSE),1,1), Variables!$A:$C , 3, FALSE) + VLOOKUP(index(split(G69 ,"", "", FALSE),1,2), Variabl"&amp;"es!$A:$C , 3, FALSE),
2 , VLOOKUP(index(split(G69 ,"", "", FALSE),1,1), Variables!$A:$C , 3, FALSE) + VLOOKUP(index(split(G69 ,"", "", FALSE),1,2), Variables!$A:$C , 3, FALSE) + VLOOKUP(index(split(G69 ,"", "", FALSE),1,3), Variables!$A:$C , 3, FALSE),
3 "&amp;", VLOOKUP(index(split(G69 ,"", "", FALSE),1,1), Variables!$A:$C , 3, FALSE) + VLOOKUP(index(split(G69 ,"", "", FALSE),1,2), Variables!$A:$C , 3, FALSE) + VLOOKUP(index(split(G69 ,"", "", FALSE),1,3), Variables!$A:$C , 3, FALSE) + VLOOKUP(index(split(G69 ,"&amp;""", "", FALSE),1,4), Variables!$A:$C , 3, FALSE),
)
)
)"),1.0)</f>
        <v>1</v>
      </c>
      <c r="V69" s="317">
        <f t="shared" si="3"/>
        <v>6.583333333</v>
      </c>
      <c r="W69" s="321">
        <f t="shared" si="4"/>
        <v>8.416666667</v>
      </c>
      <c r="X69" s="118"/>
      <c r="Y69" s="118"/>
      <c r="Z69" s="118"/>
      <c r="AA69" s="118"/>
      <c r="AB69" s="118"/>
      <c r="AC69" s="118"/>
      <c r="AD69" s="118"/>
      <c r="AE69" s="118"/>
    </row>
    <row r="70" hidden="1">
      <c r="A70" s="310">
        <v>1.0</v>
      </c>
      <c r="B70" s="93">
        <f t="shared" si="1"/>
        <v>3</v>
      </c>
      <c r="C70" s="310" t="s">
        <v>683</v>
      </c>
      <c r="D70" s="310">
        <v>125.0</v>
      </c>
      <c r="E70" s="310" t="s">
        <v>1620</v>
      </c>
      <c r="F70" s="310"/>
      <c r="G70" s="313" t="s">
        <v>1621</v>
      </c>
      <c r="H70" s="312">
        <f>IFERROR(__xludf.DUMMYFUNCTION(" IF(ISBLANK(G70),,
SWITCH(
LEN(G70) - LEN(SUBSTITUTE(G70,"","","""")),
0 , VLOOKUP(G70, Variables!$A:$B, 2, FALSE),
1 , VLOOKUP(index(split(G70 ,"", "", FALSE),1,1), Variables!$A:$B , 2, FALSE) + VLOOKUP(index(split(G70 ,"", "", FALSE),1,2), Variables!$A:"&amp;"$B , 2, FALSE),
2 , VLOOKUP(index(split(G70 ,"", "", FALSE),1,1), Variables!$A:$B , 2, FALSE) + VLOOKUP(index(split(G70 ,"", "", FALSE),1,2), Variables!$A:$B , 2, FALSE) + VLOOKUP(index(split(G70 ,"", "", FALSE),1,3), Variables!$A:$B , 2, FALSE),
3 , VLOO"&amp;"KUP(index(split(G70 ,"", "", FALSE),1,1), Variables!$A:$B , 2, FALSE) + VLOOKUP(index(split(G70 ,"", "", FALSE),1,2), Variables!$A:$B , 2, FALSE) + VLOOKUP(index(split(G70 ,"", "", FALSE),1,3), Variables!$A:$B , 2, FALSE) + VLOOKUP(index(split(G70 ,"", """&amp;", FALSE),1,4), Variables!$A:$B , 2, FALSE),
)
)"),0.6666666666666666)</f>
        <v>0.6666666667</v>
      </c>
      <c r="I70" s="310" t="s">
        <v>1622</v>
      </c>
      <c r="J70" s="313" t="s">
        <v>684</v>
      </c>
      <c r="K70" s="314">
        <f>IFERROR(VLOOKUP(C70,vote4ITEMS!$A:$C, 3, FALSE),)</f>
        <v>6.666666667</v>
      </c>
      <c r="L70" s="311" t="s">
        <v>1623</v>
      </c>
      <c r="M70" s="314">
        <f>SUM(
IF(IFERROR(SEARCH("Aura 1",L70),0) &gt; 0 , VLOOKUP("Aura 1", vote4TRAITS!A:C , 3, FALSE), ),
IF(IFERROR(SEARCH("Backswing",L70),0) &gt; 0 , VLOOKUP("Backswing", vote4TRAITS!A:C , 3, FALSE), ),
IF(IFERROR(SEARCH("Blast",L70),0) &gt; 0 , VLOOKUP("Blast", vote4TRAITS!A:C , 3, FALSE), ),
IF(IFERROR(SEARCH("Combustible",L70),0) &gt; 0 , VLOOKUP("Combustible", vote4TRAITS!A:C , 3, FALSE), ),
IF(IFERROR(SEARCH("Command",L70),0) &gt; 0 , VLOOKUP("Command", vote4TRAITS!A:C , 3, FALSE), ),
IF(IFERROR(SEARCH("Cowardly",L70),0) &gt; 0 , VLOOKUP("Cowardly", vote4TRAITS!A:C , 3, FALSE), ),
IF(IFERROR(SEARCH("Death Wish",L70),0) &gt; 0 , VLOOKUP("Death Wish", vote4TRAITS!A:C , 3, FALSE), ),
IF(IFERROR(SEARCH("Entomb",L70),0) &gt; 0 , VLOOKUP("Entomb", vote4TRAITS!A:C , 3, FALSE), ),
IF(IFERROR(SEARCH("Ethereal Hold",L70),0) &gt; 0 , VLOOKUP("Ethereal Hold", vote4TRAITS!A:C , 3, FALSE), ),
IF(IFERROR(SEARCH("Extend",L70),0) &gt; 0 , VLOOKUP("Extend", vote4TRAITS!A:C , 3, FALSE), ),
IF(IFERROR(SEARCH("Filthy Murk",L70),0) &gt; 0 , VLOOKUP("Filthy Murk", vote4TRAITS!A:C , 3, FALSE), ),
IF(IFERROR(SEARCH("Flame Fiend",L70),0) &gt; 0 , VLOOKUP("Flame Fiend", vote4TRAITS!A:C , 3, FALSE), ),
IF(IFERROR(SEARCH("Fleshmonger",L70),0) &gt; 0 , VLOOKUP("Fleshmonger", vote4TRAITS!A:C , 3, FALSE), ),
IF(IFERROR(SEARCH("Fly",L70),0) &gt; 0 , VLOOKUP("Fly", vote4TRAITS!A:C , 3, FALSE), ),
IF(IFERROR(SEARCH("Freezing",L70),0) &gt; 0 , VLOOKUP("Freezing", vote4TRAITS!A:C , 3, FALSE), ),
IF(IFERROR(SEARCH("Lithesome",L70),0) &gt; 0 , VLOOKUP("Lithesome", vote4TRAITS!A:C , 3, FALSE), ),
IF(IFERROR(SEARCH("Harrowing",L70),0) &gt; 0 , VLOOKUP("Harrowing", vote4TRAITS!A:C , 3, FALSE), ),
IF(IFERROR(SEARCH("Hideous Laughter",L70),0) &gt; 0 , VLOOKUP("Hideous Laughter", vote4TRAITS!A:C , 3, FALSE), ),
IF(IFERROR(SEARCH("Hive Defense",L70),0) &gt; 0 , VLOOKUP("Hive Defense", vote4TRAITS!A:C , 3, FALSE), ),
IF(IFERROR(SEARCH("Horrifying",L70),0) &gt; 0 , VLOOKUP("Horrifying", vote4TRAITS!A:C , 3, FALSE), ),
IF(IFERROR(SEARCH("Ironskin",L70),0) &gt; 0 , VLOOKUP("Ironskin", vote4TRAITS!A:C , 3, FALSE), ),
IF(IFERROR(SEARCH("Unmovable",L70),0) &gt; 0 , VLOOKUP("Unmovable", vote4TRAITS!A:C , 3, FALSE), ),
IF(IFERROR(SEARCH("Lifethirst 1",L70),0) &gt; 0 , VLOOKUP("Lifethirst 1", vote4TRAITS!A:C , 3, FALSE), ),
IF(IFERROR(SEARCH("Lifethirst 2",L70),0) &gt; 0 , VLOOKUP("Lifethirst 2", vote4TRAITS!A:C , 3, FALSE), ),
IF(IFERROR(SEARCH("Morph",L70),0) &gt; 0 , VLOOKUP("Morph", vote4TRAITS!A:C , 3, FALSE), ),
IF(IFERROR(SEARCH("Night Stalker",L70),0) &gt; 0 , VLOOKUP("Night Stalker", vote4TRAITS!A:C , 3, FALSE), ),
IF(IFERROR(SEARCH("Overflowing",L70),0) &gt; 0 , VLOOKUP("Overflowing", vote4TRAITS!A:C , 3, FALSE), ),
IF(IFERROR(SEARCH("Pestilence",L70),0) &gt; 0 , VLOOKUP("Pestilence", vote4TRAITS!A:C , 3, FALSE), ),
IF(IFERROR(SEARCH("Phalanx",L70),0) &gt; 0 , VLOOKUP("Phalanx", vote4TRAITS!A:C , 3, FALSE), ),
IF(IFERROR(SEARCH("Plagued",L70),0) &gt; 0 , VLOOKUP("Plagued", vote4TRAITS!A:C , 3, FALSE), ),
IF(IFERROR(SEARCH("Prey on the Weak",L70),0) &gt; 0 , VLOOKUP("Prey on the Weak", vote4TRAITS!A:C , 3, FALSE), ),
IF(IFERROR(SEARCH("Protect",L70),0) &gt; 0 , VLOOKUP("Protect", vote4TRAITS!A:C , 3, FALSE), ),
IF(IFERROR(SEARCH("Puncture",L70),0) &gt; 0 , VLOOKUP("Puncture", vote4TRAITS!A:C , 3, FALSE), ),
IF(IFERROR(SEARCH("Putrid Boils",L70),0) &gt; 0 , VLOOKUP("Putrid Boils", vote4TRAITS!A:C , 3, FALSE), ),
IF(IFERROR(SEARCH("Ravage",L70),0) &gt; 0 , VLOOKUP("Ravage", vote4TRAITS!A:C , 3, FALSE), ),
IF(IFERROR(SEARCH("Ravenous",L70),0) &gt; 0 , VLOOKUP("Ravenous", vote4TRAITS!A:C , 3, FALSE), ),
IF(IFERROR(SEARCH("Reach",L70),0) &gt; 0 , VLOOKUP("Reach", vote4TRAITS!A:C , 3, FALSE), ),
IF(IFERROR(SEARCH("Reanimation",L70),0) &gt; 0 , VLOOKUP("Reanimation", vote4TRAITS!A:C , 3, FALSE), ),
IF(IFERROR(SEARCH("Reaper",L70),0) &gt; 0 , VLOOKUP("Reaper", vote4TRAITS!A:C , 3, FALSE), ),
IF(IFERROR(SEARCH("Riposte",L70),0) &gt; 0 , VLOOKUP("Riposte", vote4TRAITS!A:C , 3, FALSE)),
IF(IFERROR(SEARCH("Scamper",L70),0) &gt; 0 , VLOOKUP("Scamper", vote4TRAITS!A:C , 3, FALSE), ),
IF(IFERROR(SEARCH("Small Beginnings",L70),0) &gt; 0 , VLOOKUP("Small Beginnings", vote4TRAITS!A:C , 3, FALSE), ),
IF(IFERROR(SEARCH("Spawner",L70),0) &gt; 0 , VLOOKUP("Spawner", vote4TRAITS!A:C , 3,FALSE), ),
IF(IFERROR(SEARCH("Shadowr",L70),0) &gt; 0 , VLOOKUP("Shadow", vote4TRAITS!A:C , 3,FALSE), ),
IF(IFERROR(SEARCH("Shadow Step",L70),0) &gt; 0 , VLOOKUP("Shadow Step", vote4TRAITS!A:C , 3,FALSE), ),
IF(IFERROR(SEARCH("Shambling",L70),0) &gt; 0 , VLOOKUP("Shambling", vote4TRAITS!A:C , 3,FALSE), ),
IF(IFERROR(SEARCH("Stealthy",L70),0) &gt; 0 , VLOOKUP("Stealthy", vote4TRAITS!A:C , 3, FALSE), ),
IF(IFERROR(SEARCH("Web",L70),0) &gt; 0 , VLOOKUP("Web", vote4TRAITS!A:C , 3, FALSE), ),
IF(IFERROR(SEARCH("+1 Willpower",L70),0) &gt; 0 , VLOOKUP("+1 Willpower", vote4TRAITS!A:C , 3, FALSE), ),
IF(IFERROR(SEARCH("+1 Might",L70),0) &gt; 0 , VLOOKUP("+1 Might", vote4TRAITS!A:C , 3, FALSE), ),
IF(IFERROR(SEARCH("+1 Knowledge",L70),0) &gt; 0 , VLOOKUP("+1 Knowledge", vote4TRAITS!A:C , 3, FALSE), ),
IF(IFERROR(SEARCH("+1 Awareness",L70),0) &gt; 0 , VLOOKUP("+1 Awareness", vote4TRAITS!A:C , 3, FALSE), ),
IF(IFERROR(SEARCH("-1 Willpower",L70),0) &gt; 0 , VLOOKUP("-1 Willpower", vote4TRAITS!A:C , 3, FALSE), ),
IF(IFERROR(SEARCH("+1 Health",L70),0) &gt; 0 , VLOOKUP("+1 Health", vote4TRAITS!A:C , 3, FALSE), ),
IF(IFERROR(SEARCH("+2 Health",L70),0) &gt; 0 , VLOOKUP("+2 Health", vote4TRAITS!A:C , 3, FALSE), ),
IF(IFERROR(SEARCH("+1 Stamina",L70),0) &gt; 0 , VLOOKUP("+1 Stamina", vote4TRAITS!A:C , 3, FALSE), ),
IF(IFERROR(SEARCH("+2 Stamina",L70),0) &gt; 0 , VLOOKUP("+2 Stamina", vote4TRAITS!A:C , 3, FALSE), ),
IFS(
IFERROR(SEARCH("+1 Range", L70),) &gt; 0 ,VLOOKUP("+1 Range", vote4TRAITS!A:C , 3, FALSE),
IFERROR(SEARCH("+2 Range", L70),) &gt; 0 ,VLOOKUP("+2 Range", vote4TRAITS!A:C , 3, FALSE),
IFERROR(SEARCH("+3 Range", L70),) &gt; 0,VLOOKUP("+3 Range", vote4TRAITS!A:C , 3, FALSE),
0=0,0)
,
IFS(
IFERROR(SEARCH("Sorcery 1", L70),) &gt; 0 ,VLOOKUP("Sorcery 1", vote4TRAITS!A:C , 3, FALSE),
IFERROR(SEARCH("Sorcery 2", L70),) &gt; 0 ,VLOOKUP("Sorcery 2", vote4TRAITS!A:C , 3, FALSE),
IFERROR(SEARCH("Sorcery 3", L70),) &gt; 0,VLOOKUP("Sorcery 3", vote4TRAITS!A:C , 3, FALSE),
0=0,0)
,
IFS(
IFERROR(SEARCH("Pierce 1", L70),) &gt; 0 ,VLOOKUP("Pierce 1", vote4TRAITS!A:C , 3, FALSE),
IFERROR(SEARCH("Pierce 2", L70),) &gt; 0 ,VLOOKUP("Pierce 2", vote4TRAITS!A:C , 3, FALSE),
IFERROR(SEARCH("Pierce 3", L70),) &gt; 0,VLOOKUP("Pierce 3", vote4TRAITS!A:C , 3, FALSE),
IFERROR(SEARCH("Pierce 4", L70),) &gt; 0 ,VLOOKUP("Pierce 4", vote4TRAITS!A:C , 3, FALSE),
0=0,0)
,
IFS(
IFERROR(SEARCH("+1 Health", L70),) &gt; 0 ,VLOOKUP("+1 Health", vote4TRAITS!A:C , 3, FALSE),
IFERROR(SEARCH("+2 Health", L70),) &gt; 0 ,VLOOKUP("+2 Health", vote4TRAITS!A:C , 3, FALSE),
IFERROR(SEARCH("+3 Health", L70),) &gt; 0 ,VLOOKUP("+3 Health", vote4TRAITS!A:C , 3, FALSE),
IFERROR(SEARCH("+4 Health", L70),) &gt; 0 ,VLOOKUP("+4 Health", vote4TRAITS!A:C , 3, FALSE),
0=0,0)
,
IFS(
IFERROR(SEARCH("Soul Shackle 1", L70),) &gt; 0 ,VLOOKUP("Soul Shackle 1", vote4TRAITS!A:C , 3, FALSE),
IFERROR(SEARCH("Soul Shackle 2", L70),) &gt; 0 ,VLOOKUP("Soul Shackle 2", vote4TRAITS!A:C , 3, FALSE),
IFERROR(SEARCH("Soul Shackle 3", L70),) &gt; 0,VLOOKUP("Soul Shackle 3", vote4TRAITS!A:C , 3, FALSE),
0=0,0)
)</f>
        <v>2</v>
      </c>
      <c r="N70" s="313"/>
      <c r="O70" s="317" t="str">
        <f>IF(ISBLANK(N70),,IFERROR(
IF(IFERROR(SEARCH("SS:",N70),0) &gt; 0, 
VLOOKUP(SUBSTITUTE(N70,"SS: ",""),vote4SURGE!$A:$C , 3, FALSE) - 2,
VLOOKUP(SUBSTITUTE(N70,"S: ",""),vote4SURGE!$A:$C , 3, FALSE)
)
,
IF(IFERROR(SEARCH("SS:",N70),0) &gt; 0, 
VLOOKUP(C70,vote4SURGE!$A:$C , 3, FALSE) - 2,
VLOOKUP(C70,vote4SURGE!$A:$C , 3, FALSE)
)
))</f>
        <v/>
      </c>
      <c r="P70" s="318"/>
      <c r="Q70" s="317" t="str">
        <f>IF(ISBLANK(P70),,IFERROR(
IF(IFERROR(SEARCH("SS:",P70),0) &gt; 0, 
VLOOKUP(SUBSTITUTE(P70,"SS: ",""),vote4SURGE!$A:$C , 3, FALSE) - 2,
VLOOKUP(SUBSTITUTE(P70,"S: ",""),vote4SURGE!$A:$C , 3, FALSE)
)
,
IF(IFERROR(SEARCH("SS:",P70),0) &gt; 0, 
VLOOKUP(C70,vote4SURGE!$A:$C , 3, FALSE) - 2,
VLOOKUP(C70,vote4SURGE!$A:$C , 3, FALSE)
)
))</f>
        <v/>
      </c>
      <c r="R70" s="318"/>
      <c r="S70" s="319" t="str">
        <f>IF(ISBLANK(R70),,IFERROR(
IF(IFERROR(SEARCH("SS:",R70),0) &gt; 0, 
VLOOKUP(SUBSTITUTE(R70,"SS: ",""),vote4SURGE!$A:$C , 3, FALSE) - 2,
VLOOKUP(SUBSTITUTE(R70,"S: ",""),vote4SURGE!$A:$C , 3, FALSE)
)
,
IF(IFERROR(SEARCH("SS:",R70),0) &gt; 0, 
VLOOKUP(C70,vote4SURGE!$A:$C , 3, FALSE) - 2,
VLOOKUP(C70,vote4SURGE!$A:$C , 3, FALSE)
)
))</f>
        <v/>
      </c>
      <c r="T70" s="320">
        <f t="shared" si="2"/>
        <v>0</v>
      </c>
      <c r="U70" s="320">
        <f>IFERROR(__xludf.DUMMYFUNCTION("ROUND(
IF(ISBLANK(G70),,
SWITCH(
LEN(G70) - LEN(SUBSTITUTE(G70,"","","""")),
0 , VLOOKUP(G70, Variables!$A:$C, 3, FALSE),
1 , VLOOKUP(index(split(G70 ,"", "", FALSE),1,1), Variables!$A:$C , 3, FALSE) + VLOOKUP(index(split(G70 ,"", "", FALSE),1,2), Variabl"&amp;"es!$A:$C , 3, FALSE),
2 , VLOOKUP(index(split(G70 ,"", "", FALSE),1,1), Variables!$A:$C , 3, FALSE) + VLOOKUP(index(split(G70 ,"", "", FALSE),1,2), Variables!$A:$C , 3, FALSE) + VLOOKUP(index(split(G70 ,"", "", FALSE),1,3), Variables!$A:$C , 3, FALSE),
3 "&amp;", VLOOKUP(index(split(G70 ,"", "", FALSE),1,1), Variables!$A:$C , 3, FALSE) + VLOOKUP(index(split(G70 ,"", "", FALSE),1,2), Variables!$A:$C , 3, FALSE) + VLOOKUP(index(split(G70 ,"", "", FALSE),1,3), Variables!$A:$C , 3, FALSE) + VLOOKUP(index(split(G70 ,"&amp;""", "", FALSE),1,4), Variables!$A:$C , 3, FALSE),
)
)
)"),0.0)</f>
        <v>0</v>
      </c>
      <c r="V70" s="317">
        <f t="shared" si="3"/>
        <v>0</v>
      </c>
      <c r="W70" s="321">
        <f t="shared" si="4"/>
        <v>9.333333333</v>
      </c>
      <c r="X70" s="118"/>
      <c r="Y70" s="118"/>
      <c r="Z70" s="118"/>
      <c r="AA70" s="118"/>
      <c r="AB70" s="118"/>
      <c r="AC70" s="118"/>
      <c r="AD70" s="118"/>
      <c r="AE70" s="118"/>
    </row>
    <row r="71" hidden="1">
      <c r="A71" s="310">
        <v>2.0</v>
      </c>
      <c r="B71" s="93">
        <f t="shared" si="1"/>
        <v>6</v>
      </c>
      <c r="C71" s="310" t="s">
        <v>711</v>
      </c>
      <c r="D71" s="310">
        <v>200.0</v>
      </c>
      <c r="E71" s="310" t="s">
        <v>1527</v>
      </c>
      <c r="F71" s="310" t="s">
        <v>1531</v>
      </c>
      <c r="G71" s="313" t="s">
        <v>1585</v>
      </c>
      <c r="H71" s="312">
        <f>IFERROR(__xludf.DUMMYFUNCTION(" IF(ISBLANK(G71),,
SWITCH(
LEN(G71) - LEN(SUBSTITUTE(G71,"","","""")),
0 , VLOOKUP(G71, Variables!$A:$B, 2, FALSE),
1 , VLOOKUP(index(split(G71 ,"", "", FALSE),1,1), Variables!$A:$B , 2, FALSE) + VLOOKUP(index(split(G71 ,"", "", FALSE),1,2), Variables!$A:"&amp;"$B , 2, FALSE),
2 , VLOOKUP(index(split(G71 ,"", "", FALSE),1,1), Variables!$A:$B , 2, FALSE) + VLOOKUP(index(split(G71 ,"", "", FALSE),1,2), Variables!$A:$B , 2, FALSE) + VLOOKUP(index(split(G71 ,"", "", FALSE),1,3), Variables!$A:$B , 2, FALSE),
3 , VLOO"&amp;"KUP(index(split(G71 ,"", "", FALSE),1,1), Variables!$A:$B , 2, FALSE) + VLOOKUP(index(split(G71 ,"", "", FALSE),1,2), Variables!$A:$B , 2, FALSE) + VLOOKUP(index(split(G71 ,"", "", FALSE),1,3), Variables!$A:$B , 2, FALSE) + VLOOKUP(index(split(G71 ,"", """&amp;", FALSE),1,4), Variables!$A:$B , 2, FALSE),
)
)"),4.166666666666667)</f>
        <v>4.166666667</v>
      </c>
      <c r="I71" s="310" t="s">
        <v>1561</v>
      </c>
      <c r="J71" s="313" t="s">
        <v>712</v>
      </c>
      <c r="K71" s="314">
        <f>IFERROR(VLOOKUP(C71,vote4ITEMS!$A:$C, 3, FALSE),)</f>
        <v>0</v>
      </c>
      <c r="L71" s="313"/>
      <c r="M71" s="314">
        <f>SUM(
IF(IFERROR(SEARCH("Aura 1",L71),0) &gt; 0 , VLOOKUP("Aura 1", vote4TRAITS!A:C , 3, FALSE), ),
IF(IFERROR(SEARCH("Backswing",L71),0) &gt; 0 , VLOOKUP("Backswing", vote4TRAITS!A:C , 3, FALSE), ),
IF(IFERROR(SEARCH("Blast",L71),0) &gt; 0 , VLOOKUP("Blast", vote4TRAITS!A:C , 3, FALSE), ),
IF(IFERROR(SEARCH("Combustible",L71),0) &gt; 0 , VLOOKUP("Combustible", vote4TRAITS!A:C , 3, FALSE), ),
IF(IFERROR(SEARCH("Command",L71),0) &gt; 0 , VLOOKUP("Command", vote4TRAITS!A:C , 3, FALSE), ),
IF(IFERROR(SEARCH("Cowardly",L71),0) &gt; 0 , VLOOKUP("Cowardly", vote4TRAITS!A:C , 3, FALSE), ),
IF(IFERROR(SEARCH("Death Wish",L71),0) &gt; 0 , VLOOKUP("Death Wish", vote4TRAITS!A:C , 3, FALSE), ),
IF(IFERROR(SEARCH("Entomb",L71),0) &gt; 0 , VLOOKUP("Entomb", vote4TRAITS!A:C , 3, FALSE), ),
IF(IFERROR(SEARCH("Ethereal Hold",L71),0) &gt; 0 , VLOOKUP("Ethereal Hold", vote4TRAITS!A:C , 3, FALSE), ),
IF(IFERROR(SEARCH("Extend",L71),0) &gt; 0 , VLOOKUP("Extend", vote4TRAITS!A:C , 3, FALSE), ),
IF(IFERROR(SEARCH("Filthy Murk",L71),0) &gt; 0 , VLOOKUP("Filthy Murk", vote4TRAITS!A:C , 3, FALSE), ),
IF(IFERROR(SEARCH("Flame Fiend",L71),0) &gt; 0 , VLOOKUP("Flame Fiend", vote4TRAITS!A:C , 3, FALSE), ),
IF(IFERROR(SEARCH("Fleshmonger",L71),0) &gt; 0 , VLOOKUP("Fleshmonger", vote4TRAITS!A:C , 3, FALSE), ),
IF(IFERROR(SEARCH("Fly",L71),0) &gt; 0 , VLOOKUP("Fly", vote4TRAITS!A:C , 3, FALSE), ),
IF(IFERROR(SEARCH("Freezing",L71),0) &gt; 0 , VLOOKUP("Freezing", vote4TRAITS!A:C , 3, FALSE), ),
IF(IFERROR(SEARCH("Lithesome",L71),0) &gt; 0 , VLOOKUP("Lithesome", vote4TRAITS!A:C , 3, FALSE), ),
IF(IFERROR(SEARCH("Harrowing",L71),0) &gt; 0 , VLOOKUP("Harrowing", vote4TRAITS!A:C , 3, FALSE), ),
IF(IFERROR(SEARCH("Hideous Laughter",L71),0) &gt; 0 , VLOOKUP("Hideous Laughter", vote4TRAITS!A:C , 3, FALSE), ),
IF(IFERROR(SEARCH("Hive Defense",L71),0) &gt; 0 , VLOOKUP("Hive Defense", vote4TRAITS!A:C , 3, FALSE), ),
IF(IFERROR(SEARCH("Horrifying",L71),0) &gt; 0 , VLOOKUP("Horrifying", vote4TRAITS!A:C , 3, FALSE), ),
IF(IFERROR(SEARCH("Ironskin",L71),0) &gt; 0 , VLOOKUP("Ironskin", vote4TRAITS!A:C , 3, FALSE), ),
IF(IFERROR(SEARCH("Unmovable",L71),0) &gt; 0 , VLOOKUP("Unmovable", vote4TRAITS!A:C , 3, FALSE), ),
IF(IFERROR(SEARCH("Lifethirst 1",L71),0) &gt; 0 , VLOOKUP("Lifethirst 1", vote4TRAITS!A:C , 3, FALSE), ),
IF(IFERROR(SEARCH("Lifethirst 2",L71),0) &gt; 0 , VLOOKUP("Lifethirst 2", vote4TRAITS!A:C , 3, FALSE), ),
IF(IFERROR(SEARCH("Morph",L71),0) &gt; 0 , VLOOKUP("Morph", vote4TRAITS!A:C , 3, FALSE), ),
IF(IFERROR(SEARCH("Night Stalker",L71),0) &gt; 0 , VLOOKUP("Night Stalker", vote4TRAITS!A:C , 3, FALSE), ),
IF(IFERROR(SEARCH("Overflowing",L71),0) &gt; 0 , VLOOKUP("Overflowing", vote4TRAITS!A:C , 3, FALSE), ),
IF(IFERROR(SEARCH("Pestilence",L71),0) &gt; 0 , VLOOKUP("Pestilence", vote4TRAITS!A:C , 3, FALSE), ),
IF(IFERROR(SEARCH("Phalanx",L71),0) &gt; 0 , VLOOKUP("Phalanx", vote4TRAITS!A:C , 3, FALSE), ),
IF(IFERROR(SEARCH("Plagued",L71),0) &gt; 0 , VLOOKUP("Plagued", vote4TRAITS!A:C , 3, FALSE), ),
IF(IFERROR(SEARCH("Prey on the Weak",L71),0) &gt; 0 , VLOOKUP("Prey on the Weak", vote4TRAITS!A:C , 3, FALSE), ),
IF(IFERROR(SEARCH("Protect",L71),0) &gt; 0 , VLOOKUP("Protect", vote4TRAITS!A:C , 3, FALSE), ),
IF(IFERROR(SEARCH("Puncture",L71),0) &gt; 0 , VLOOKUP("Puncture", vote4TRAITS!A:C , 3, FALSE), ),
IF(IFERROR(SEARCH("Putrid Boils",L71),0) &gt; 0 , VLOOKUP("Putrid Boils", vote4TRAITS!A:C , 3, FALSE), ),
IF(IFERROR(SEARCH("Ravage",L71),0) &gt; 0 , VLOOKUP("Ravage", vote4TRAITS!A:C , 3, FALSE), ),
IF(IFERROR(SEARCH("Ravenous",L71),0) &gt; 0 , VLOOKUP("Ravenous", vote4TRAITS!A:C , 3, FALSE), ),
IF(IFERROR(SEARCH("Reach",L71),0) &gt; 0 , VLOOKUP("Reach", vote4TRAITS!A:C , 3, FALSE), ),
IF(IFERROR(SEARCH("Reanimation",L71),0) &gt; 0 , VLOOKUP("Reanimation", vote4TRAITS!A:C , 3, FALSE), ),
IF(IFERROR(SEARCH("Reaper",L71),0) &gt; 0 , VLOOKUP("Reaper", vote4TRAITS!A:C , 3, FALSE), ),
IF(IFERROR(SEARCH("Riposte",L71),0) &gt; 0 , VLOOKUP("Riposte", vote4TRAITS!A:C , 3, FALSE)),
IF(IFERROR(SEARCH("Scamper",L71),0) &gt; 0 , VLOOKUP("Scamper", vote4TRAITS!A:C , 3, FALSE), ),
IF(IFERROR(SEARCH("Small Beginnings",L71),0) &gt; 0 , VLOOKUP("Small Beginnings", vote4TRAITS!A:C , 3, FALSE), ),
IF(IFERROR(SEARCH("Spawner",L71),0) &gt; 0 , VLOOKUP("Spawner", vote4TRAITS!A:C , 3,FALSE), ),
IF(IFERROR(SEARCH("Shadowr",L71),0) &gt; 0 , VLOOKUP("Shadow", vote4TRAITS!A:C , 3,FALSE), ),
IF(IFERROR(SEARCH("Shadow Step",L71),0) &gt; 0 , VLOOKUP("Shadow Step", vote4TRAITS!A:C , 3,FALSE), ),
IF(IFERROR(SEARCH("Shambling",L71),0) &gt; 0 , VLOOKUP("Shambling", vote4TRAITS!A:C , 3,FALSE), ),
IF(IFERROR(SEARCH("Stealthy",L71),0) &gt; 0 , VLOOKUP("Stealthy", vote4TRAITS!A:C , 3, FALSE), ),
IF(IFERROR(SEARCH("Web",L71),0) &gt; 0 , VLOOKUP("Web", vote4TRAITS!A:C , 3, FALSE), ),
IF(IFERROR(SEARCH("+1 Willpower",L71),0) &gt; 0 , VLOOKUP("+1 Willpower", vote4TRAITS!A:C , 3, FALSE), ),
IF(IFERROR(SEARCH("+1 Might",L71),0) &gt; 0 , VLOOKUP("+1 Might", vote4TRAITS!A:C , 3, FALSE), ),
IF(IFERROR(SEARCH("+1 Knowledge",L71),0) &gt; 0 , VLOOKUP("+1 Knowledge", vote4TRAITS!A:C , 3, FALSE), ),
IF(IFERROR(SEARCH("+1 Awareness",L71),0) &gt; 0 , VLOOKUP("+1 Awareness", vote4TRAITS!A:C , 3, FALSE), ),
IF(IFERROR(SEARCH("-1 Willpower",L71),0) &gt; 0 , VLOOKUP("-1 Willpower", vote4TRAITS!A:C , 3, FALSE), ),
IF(IFERROR(SEARCH("+1 Health",L71),0) &gt; 0 , VLOOKUP("+1 Health", vote4TRAITS!A:C , 3, FALSE), ),
IF(IFERROR(SEARCH("+2 Health",L71),0) &gt; 0 , VLOOKUP("+2 Health", vote4TRAITS!A:C , 3, FALSE), ),
IF(IFERROR(SEARCH("+1 Stamina",L71),0) &gt; 0 , VLOOKUP("+1 Stamina", vote4TRAITS!A:C , 3, FALSE), ),
IF(IFERROR(SEARCH("+2 Stamina",L71),0) &gt; 0 , VLOOKUP("+2 Stamina", vote4TRAITS!A:C , 3, FALSE), ),
IFS(
IFERROR(SEARCH("+1 Range", L71),) &gt; 0 ,VLOOKUP("+1 Range", vote4TRAITS!A:C , 3, FALSE),
IFERROR(SEARCH("+2 Range", L71),) &gt; 0 ,VLOOKUP("+2 Range", vote4TRAITS!A:C , 3, FALSE),
IFERROR(SEARCH("+3 Range", L71),) &gt; 0,VLOOKUP("+3 Range", vote4TRAITS!A:C , 3, FALSE),
0=0,0)
,
IFS(
IFERROR(SEARCH("Sorcery 1", L71),) &gt; 0 ,VLOOKUP("Sorcery 1", vote4TRAITS!A:C , 3, FALSE),
IFERROR(SEARCH("Sorcery 2", L71),) &gt; 0 ,VLOOKUP("Sorcery 2", vote4TRAITS!A:C , 3, FALSE),
IFERROR(SEARCH("Sorcery 3", L71),) &gt; 0,VLOOKUP("Sorcery 3", vote4TRAITS!A:C , 3, FALSE),
0=0,0)
,
IFS(
IFERROR(SEARCH("Pierce 1", L71),) &gt; 0 ,VLOOKUP("Pierce 1", vote4TRAITS!A:C , 3, FALSE),
IFERROR(SEARCH("Pierce 2", L71),) &gt; 0 ,VLOOKUP("Pierce 2", vote4TRAITS!A:C , 3, FALSE),
IFERROR(SEARCH("Pierce 3", L71),) &gt; 0,VLOOKUP("Pierce 3", vote4TRAITS!A:C , 3, FALSE),
IFERROR(SEARCH("Pierce 4", L71),) &gt; 0 ,VLOOKUP("Pierce 4", vote4TRAITS!A:C , 3, FALSE),
0=0,0)
,
IFS(
IFERROR(SEARCH("+1 Health", L71),) &gt; 0 ,VLOOKUP("+1 Health", vote4TRAITS!A:C , 3, FALSE),
IFERROR(SEARCH("+2 Health", L71),) &gt; 0 ,VLOOKUP("+2 Health", vote4TRAITS!A:C , 3, FALSE),
IFERROR(SEARCH("+3 Health", L71),) &gt; 0 ,VLOOKUP("+3 Health", vote4TRAITS!A:C , 3, FALSE),
IFERROR(SEARCH("+4 Health", L71),) &gt; 0 ,VLOOKUP("+4 Health", vote4TRAITS!A:C , 3, FALSE),
0=0,0)
,
IFS(
IFERROR(SEARCH("Soul Shackle 1", L71),) &gt; 0 ,VLOOKUP("Soul Shackle 1", vote4TRAITS!A:C , 3, FALSE),
IFERROR(SEARCH("Soul Shackle 2", L71),) &gt; 0 ,VLOOKUP("Soul Shackle 2", vote4TRAITS!A:C , 3, FALSE),
IFERROR(SEARCH("Soul Shackle 3", L71),) &gt; 0,VLOOKUP("Soul Shackle 3", vote4TRAITS!A:C , 3, FALSE),
0=0,0)
)</f>
        <v>0</v>
      </c>
      <c r="N71" s="311" t="s">
        <v>1605</v>
      </c>
      <c r="O71" s="317">
        <f>IF(ISBLANK(N71),,IFERROR(
IF(IFERROR(SEARCH("SS:",N71),0) &gt; 0, 
VLOOKUP(SUBSTITUTE(N71,"SS: ",""),vote4SURGE!$A:$C , 3, FALSE) - 2,
VLOOKUP(SUBSTITUTE(N71,"S: ",""),vote4SURGE!$A:$C , 3, FALSE)
)
,
IF(IFERROR(SEARCH("SS:",N71),0) &gt; 0, 
VLOOKUP(C71,vote4SURGE!$A:$C , 3, FALSE) - 2,
VLOOKUP(C71,vote4SURGE!$A:$C , 3, FALSE)
)
))</f>
        <v>4</v>
      </c>
      <c r="P71" s="105" t="s">
        <v>1624</v>
      </c>
      <c r="Q71" s="317">
        <f>IF(ISBLANK(P71),,IFERROR(
IF(IFERROR(SEARCH("SS:",P71),0) &gt; 0, 
VLOOKUP(SUBSTITUTE(P71,"SS: ",""),vote4SURGE!$A:$C , 3, FALSE) - 2,
VLOOKUP(SUBSTITUTE(P71,"S: ",""),vote4SURGE!$A:$C , 3, FALSE)
)
,
IF(IFERROR(SEARCH("SS:",P71),0) &gt; 0, 
VLOOKUP(C71,vote4SURGE!$A:$C , 3, FALSE) - 2,
VLOOKUP(C71,vote4SURGE!$A:$C , 3, FALSE)
)
))</f>
        <v>1.75</v>
      </c>
      <c r="R71" s="318"/>
      <c r="S71" s="319" t="str">
        <f>IF(ISBLANK(R71),,IFERROR(
IF(IFERROR(SEARCH("SS:",R71),0) &gt; 0, 
VLOOKUP(SUBSTITUTE(R71,"SS: ",""),vote4SURGE!$A:$C , 3, FALSE) - 2,
VLOOKUP(SUBSTITUTE(R71,"S: ",""),vote4SURGE!$A:$C , 3, FALSE)
)
,
IF(IFERROR(SEARCH("SS:",R71),0) &gt; 0, 
VLOOKUP(C71,vote4SURGE!$A:$C , 3, FALSE) - 2,
VLOOKUP(C71,vote4SURGE!$A:$C , 3, FALSE)
)
))</f>
        <v/>
      </c>
      <c r="T71" s="320">
        <f t="shared" si="2"/>
        <v>3</v>
      </c>
      <c r="U71" s="320">
        <f>IFERROR(__xludf.DUMMYFUNCTION("ROUND(
IF(ISBLANK(G71),,
SWITCH(
LEN(G71) - LEN(SUBSTITUTE(G71,"","","""")),
0 , VLOOKUP(G71, Variables!$A:$C, 3, FALSE),
1 , VLOOKUP(index(split(G71 ,"", "", FALSE),1,1), Variables!$A:$C , 3, FALSE) + VLOOKUP(index(split(G71 ,"", "", FALSE),1,2), Variabl"&amp;"es!$A:$C , 3, FALSE),
2 , VLOOKUP(index(split(G71 ,"", "", FALSE),1,1), Variables!$A:$C , 3, FALSE) + VLOOKUP(index(split(G71 ,"", "", FALSE),1,2), Variables!$A:$C , 3, FALSE) + VLOOKUP(index(split(G71 ,"", "", FALSE),1,3), Variables!$A:$C , 3, FALSE),
3 "&amp;", VLOOKUP(index(split(G71 ,"", "", FALSE),1,1), Variables!$A:$C , 3, FALSE) + VLOOKUP(index(split(G71 ,"", "", FALSE),1,2), Variables!$A:$C , 3, FALSE) + VLOOKUP(index(split(G71 ,"", "", FALSE),1,3), Variables!$A:$C , 3, FALSE) + VLOOKUP(index(split(G71 ,"&amp;""", "", FALSE),1,4), Variables!$A:$C , 3, FALSE),
)
)
)"),2.0)</f>
        <v>2</v>
      </c>
      <c r="V71" s="317">
        <f t="shared" si="3"/>
        <v>5.166666667</v>
      </c>
      <c r="W71" s="321">
        <f t="shared" si="4"/>
        <v>9.333333333</v>
      </c>
      <c r="X71" s="118"/>
      <c r="Y71" s="118"/>
      <c r="Z71" s="118"/>
      <c r="AA71" s="118"/>
      <c r="AB71" s="118"/>
      <c r="AC71" s="118"/>
      <c r="AD71" s="118"/>
      <c r="AE71" s="118"/>
    </row>
    <row r="72" hidden="1">
      <c r="A72" s="310">
        <v>1.0</v>
      </c>
      <c r="B72" s="93">
        <f t="shared" si="1"/>
        <v>3</v>
      </c>
      <c r="C72" s="310" t="s">
        <v>1625</v>
      </c>
      <c r="D72" s="310">
        <v>125.0</v>
      </c>
      <c r="E72" s="310" t="s">
        <v>1520</v>
      </c>
      <c r="F72" s="310" t="s">
        <v>1531</v>
      </c>
      <c r="G72" s="313" t="s">
        <v>1548</v>
      </c>
      <c r="H72" s="312">
        <f>IFERROR(__xludf.DUMMYFUNCTION(" IF(ISBLANK(G72),,
SWITCH(
LEN(G72) - LEN(SUBSTITUTE(G72,"","","""")),
0 , VLOOKUP(G72, Variables!$A:$B, 2, FALSE),
1 , VLOOKUP(index(split(G72 ,"", "", FALSE),1,1), Variables!$A:$B , 2, FALSE) + VLOOKUP(index(split(G72 ,"", "", FALSE),1,2), Variables!$A:"&amp;"$B , 2, FALSE),
2 , VLOOKUP(index(split(G72 ,"", "", FALSE),1,1), Variables!$A:$B , 2, FALSE) + VLOOKUP(index(split(G72 ,"", "", FALSE),1,2), Variables!$A:$B , 2, FALSE) + VLOOKUP(index(split(G72 ,"", "", FALSE),1,3), Variables!$A:$B , 2, FALSE),
3 , VLOO"&amp;"KUP(index(split(G72 ,"", "", FALSE),1,1), Variables!$A:$B , 2, FALSE) + VLOOKUP(index(split(G72 ,"", "", FALSE),1,2), Variables!$A:$B , 2, FALSE) + VLOOKUP(index(split(G72 ,"", "", FALSE),1,3), Variables!$A:$B , 2, FALSE) + VLOOKUP(index(split(G72 ,"", """&amp;", FALSE),1,4), Variables!$A:$B , 2, FALSE),
)
)"),2.3333333333333335)</f>
        <v>2.333333333</v>
      </c>
      <c r="I72" s="310" t="s">
        <v>1547</v>
      </c>
      <c r="J72" s="313"/>
      <c r="K72" s="314" t="str">
        <f>IFERROR(VLOOKUP(C72,vote4ITEMS!$A:$C, 3, FALSE),)</f>
        <v/>
      </c>
      <c r="L72" s="331" t="s">
        <v>962</v>
      </c>
      <c r="M72" s="314">
        <f>SUM(
IF(IFERROR(SEARCH("Aura 1",L72),0) &gt; 0 , VLOOKUP("Aura 1", vote4TRAITS!A:C , 3, FALSE), ),
IF(IFERROR(SEARCH("Backswing",L72),0) &gt; 0 , VLOOKUP("Backswing", vote4TRAITS!A:C , 3, FALSE), ),
IF(IFERROR(SEARCH("Blast",L72),0) &gt; 0 , VLOOKUP("Blast", vote4TRAITS!A:C , 3, FALSE), ),
IF(IFERROR(SEARCH("Combustible",L72),0) &gt; 0 , VLOOKUP("Combustible", vote4TRAITS!A:C , 3, FALSE), ),
IF(IFERROR(SEARCH("Command",L72),0) &gt; 0 , VLOOKUP("Command", vote4TRAITS!A:C , 3, FALSE), ),
IF(IFERROR(SEARCH("Cowardly",L72),0) &gt; 0 , VLOOKUP("Cowardly", vote4TRAITS!A:C , 3, FALSE), ),
IF(IFERROR(SEARCH("Death Wish",L72),0) &gt; 0 , VLOOKUP("Death Wish", vote4TRAITS!A:C , 3, FALSE), ),
IF(IFERROR(SEARCH("Entomb",L72),0) &gt; 0 , VLOOKUP("Entomb", vote4TRAITS!A:C , 3, FALSE), ),
IF(IFERROR(SEARCH("Ethereal Hold",L72),0) &gt; 0 , VLOOKUP("Ethereal Hold", vote4TRAITS!A:C , 3, FALSE), ),
IF(IFERROR(SEARCH("Extend",L72),0) &gt; 0 , VLOOKUP("Extend", vote4TRAITS!A:C , 3, FALSE), ),
IF(IFERROR(SEARCH("Filthy Murk",L72),0) &gt; 0 , VLOOKUP("Filthy Murk", vote4TRAITS!A:C , 3, FALSE), ),
IF(IFERROR(SEARCH("Flame Fiend",L72),0) &gt; 0 , VLOOKUP("Flame Fiend", vote4TRAITS!A:C , 3, FALSE), ),
IF(IFERROR(SEARCH("Fleshmonger",L72),0) &gt; 0 , VLOOKUP("Fleshmonger", vote4TRAITS!A:C , 3, FALSE), ),
IF(IFERROR(SEARCH("Fly",L72),0) &gt; 0 , VLOOKUP("Fly", vote4TRAITS!A:C , 3, FALSE), ),
IF(IFERROR(SEARCH("Freezing",L72),0) &gt; 0 , VLOOKUP("Freezing", vote4TRAITS!A:C , 3, FALSE), ),
IF(IFERROR(SEARCH("Lithesome",L72),0) &gt; 0 , VLOOKUP("Lithesome", vote4TRAITS!A:C , 3, FALSE), ),
IF(IFERROR(SEARCH("Harrowing",L72),0) &gt; 0 , VLOOKUP("Harrowing", vote4TRAITS!A:C , 3, FALSE), ),
IF(IFERROR(SEARCH("Hideous Laughter",L72),0) &gt; 0 , VLOOKUP("Hideous Laughter", vote4TRAITS!A:C , 3, FALSE), ),
IF(IFERROR(SEARCH("Hive Defense",L72),0) &gt; 0 , VLOOKUP("Hive Defense", vote4TRAITS!A:C , 3, FALSE), ),
IF(IFERROR(SEARCH("Horrifying",L72),0) &gt; 0 , VLOOKUP("Horrifying", vote4TRAITS!A:C , 3, FALSE), ),
IF(IFERROR(SEARCH("Ironskin",L72),0) &gt; 0 , VLOOKUP("Ironskin", vote4TRAITS!A:C , 3, FALSE), ),
IF(IFERROR(SEARCH("Unmovable",L72),0) &gt; 0 , VLOOKUP("Unmovable", vote4TRAITS!A:C , 3, FALSE), ),
IF(IFERROR(SEARCH("Lifethirst 1",L72),0) &gt; 0 , VLOOKUP("Lifethirst 1", vote4TRAITS!A:C , 3, FALSE), ),
IF(IFERROR(SEARCH("Lifethirst 2",L72),0) &gt; 0 , VLOOKUP("Lifethirst 2", vote4TRAITS!A:C , 3, FALSE), ),
IF(IFERROR(SEARCH("Morph",L72),0) &gt; 0 , VLOOKUP("Morph", vote4TRAITS!A:C , 3, FALSE), ),
IF(IFERROR(SEARCH("Night Stalker",L72),0) &gt; 0 , VLOOKUP("Night Stalker", vote4TRAITS!A:C , 3, FALSE), ),
IF(IFERROR(SEARCH("Overflowing",L72),0) &gt; 0 , VLOOKUP("Overflowing", vote4TRAITS!A:C , 3, FALSE), ),
IF(IFERROR(SEARCH("Pestilence",L72),0) &gt; 0 , VLOOKUP("Pestilence", vote4TRAITS!A:C , 3, FALSE), ),
IF(IFERROR(SEARCH("Phalanx",L72),0) &gt; 0 , VLOOKUP("Phalanx", vote4TRAITS!A:C , 3, FALSE), ),
IF(IFERROR(SEARCH("Plagued",L72),0) &gt; 0 , VLOOKUP("Plagued", vote4TRAITS!A:C , 3, FALSE), ),
IF(IFERROR(SEARCH("Prey on the Weak",L72),0) &gt; 0 , VLOOKUP("Prey on the Weak", vote4TRAITS!A:C , 3, FALSE), ),
IF(IFERROR(SEARCH("Protect",L72),0) &gt; 0 , VLOOKUP("Protect", vote4TRAITS!A:C , 3, FALSE), ),
IF(IFERROR(SEARCH("Puncture",L72),0) &gt; 0 , VLOOKUP("Puncture", vote4TRAITS!A:C , 3, FALSE), ),
IF(IFERROR(SEARCH("Putrid Boils",L72),0) &gt; 0 , VLOOKUP("Putrid Boils", vote4TRAITS!A:C , 3, FALSE), ),
IF(IFERROR(SEARCH("Ravage",L72),0) &gt; 0 , VLOOKUP("Ravage", vote4TRAITS!A:C , 3, FALSE), ),
IF(IFERROR(SEARCH("Ravenous",L72),0) &gt; 0 , VLOOKUP("Ravenous", vote4TRAITS!A:C , 3, FALSE), ),
IF(IFERROR(SEARCH("Reach",L72),0) &gt; 0 , VLOOKUP("Reach", vote4TRAITS!A:C , 3, FALSE), ),
IF(IFERROR(SEARCH("Reanimation",L72),0) &gt; 0 , VLOOKUP("Reanimation", vote4TRAITS!A:C , 3, FALSE), ),
IF(IFERROR(SEARCH("Reaper",L72),0) &gt; 0 , VLOOKUP("Reaper", vote4TRAITS!A:C , 3, FALSE), ),
IF(IFERROR(SEARCH("Riposte",L72),0) &gt; 0 , VLOOKUP("Riposte", vote4TRAITS!A:C , 3, FALSE)),
IF(IFERROR(SEARCH("Scamper",L72),0) &gt; 0 , VLOOKUP("Scamper", vote4TRAITS!A:C , 3, FALSE), ),
IF(IFERROR(SEARCH("Small Beginnings",L72),0) &gt; 0 , VLOOKUP("Small Beginnings", vote4TRAITS!A:C , 3, FALSE), ),
IF(IFERROR(SEARCH("Spawner",L72),0) &gt; 0 , VLOOKUP("Spawner", vote4TRAITS!A:C , 3,FALSE), ),
IF(IFERROR(SEARCH("Shadowr",L72),0) &gt; 0 , VLOOKUP("Shadow", vote4TRAITS!A:C , 3,FALSE), ),
IF(IFERROR(SEARCH("Shadow Step",L72),0) &gt; 0 , VLOOKUP("Shadow Step", vote4TRAITS!A:C , 3,FALSE), ),
IF(IFERROR(SEARCH("Shambling",L72),0) &gt; 0 , VLOOKUP("Shambling", vote4TRAITS!A:C , 3,FALSE), ),
IF(IFERROR(SEARCH("Stealthy",L72),0) &gt; 0 , VLOOKUP("Stealthy", vote4TRAITS!A:C , 3, FALSE), ),
IF(IFERROR(SEARCH("Web",L72),0) &gt; 0 , VLOOKUP("Web", vote4TRAITS!A:C , 3, FALSE), ),
IF(IFERROR(SEARCH("+1 Willpower",L72),0) &gt; 0 , VLOOKUP("+1 Willpower", vote4TRAITS!A:C , 3, FALSE), ),
IF(IFERROR(SEARCH("+1 Might",L72),0) &gt; 0 , VLOOKUP("+1 Might", vote4TRAITS!A:C , 3, FALSE), ),
IF(IFERROR(SEARCH("+1 Knowledge",L72),0) &gt; 0 , VLOOKUP("+1 Knowledge", vote4TRAITS!A:C , 3, FALSE), ),
IF(IFERROR(SEARCH("+1 Awareness",L72),0) &gt; 0 , VLOOKUP("+1 Awareness", vote4TRAITS!A:C , 3, FALSE), ),
IF(IFERROR(SEARCH("-1 Willpower",L72),0) &gt; 0 , VLOOKUP("-1 Willpower", vote4TRAITS!A:C , 3, FALSE), ),
IF(IFERROR(SEARCH("+1 Health",L72),0) &gt; 0 , VLOOKUP("+1 Health", vote4TRAITS!A:C , 3, FALSE), ),
IF(IFERROR(SEARCH("+2 Health",L72),0) &gt; 0 , VLOOKUP("+2 Health", vote4TRAITS!A:C , 3, FALSE), ),
IF(IFERROR(SEARCH("+1 Stamina",L72),0) &gt; 0 , VLOOKUP("+1 Stamina", vote4TRAITS!A:C , 3, FALSE), ),
IF(IFERROR(SEARCH("+2 Stamina",L72),0) &gt; 0 , VLOOKUP("+2 Stamina", vote4TRAITS!A:C , 3, FALSE), ),
IFS(
IFERROR(SEARCH("+1 Range", L72),) &gt; 0 ,VLOOKUP("+1 Range", vote4TRAITS!A:C , 3, FALSE),
IFERROR(SEARCH("+2 Range", L72),) &gt; 0 ,VLOOKUP("+2 Range", vote4TRAITS!A:C , 3, FALSE),
IFERROR(SEARCH("+3 Range", L72),) &gt; 0,VLOOKUP("+3 Range", vote4TRAITS!A:C , 3, FALSE),
0=0,0)
,
IFS(
IFERROR(SEARCH("Sorcery 1", L72),) &gt; 0 ,VLOOKUP("Sorcery 1", vote4TRAITS!A:C , 3, FALSE),
IFERROR(SEARCH("Sorcery 2", L72),) &gt; 0 ,VLOOKUP("Sorcery 2", vote4TRAITS!A:C , 3, FALSE),
IFERROR(SEARCH("Sorcery 3", L72),) &gt; 0,VLOOKUP("Sorcery 3", vote4TRAITS!A:C , 3, FALSE),
0=0,0)
,
IFS(
IFERROR(SEARCH("Pierce 1", L72),) &gt; 0 ,VLOOKUP("Pierce 1", vote4TRAITS!A:C , 3, FALSE),
IFERROR(SEARCH("Pierce 2", L72),) &gt; 0 ,VLOOKUP("Pierce 2", vote4TRAITS!A:C , 3, FALSE),
IFERROR(SEARCH("Pierce 3", L72),) &gt; 0,VLOOKUP("Pierce 3", vote4TRAITS!A:C , 3, FALSE),
IFERROR(SEARCH("Pierce 4", L72),) &gt; 0 ,VLOOKUP("Pierce 4", vote4TRAITS!A:C , 3, FALSE),
0=0,0)
,
IFS(
IFERROR(SEARCH("+1 Health", L72),) &gt; 0 ,VLOOKUP("+1 Health", vote4TRAITS!A:C , 3, FALSE),
IFERROR(SEARCH("+2 Health", L72),) &gt; 0 ,VLOOKUP("+2 Health", vote4TRAITS!A:C , 3, FALSE),
IFERROR(SEARCH("+3 Health", L72),) &gt; 0 ,VLOOKUP("+3 Health", vote4TRAITS!A:C , 3, FALSE),
IFERROR(SEARCH("+4 Health", L72),) &gt; 0 ,VLOOKUP("+4 Health", vote4TRAITS!A:C , 3, FALSE),
0=0,0)
,
IFS(
IFERROR(SEARCH("Soul Shackle 1", L72),) &gt; 0 ,VLOOKUP("Soul Shackle 1", vote4TRAITS!A:C , 3, FALSE),
IFERROR(SEARCH("Soul Shackle 2", L72),) &gt; 0 ,VLOOKUP("Soul Shackle 2", vote4TRAITS!A:C , 3, FALSE),
IFERROR(SEARCH("Soul Shackle 3", L72),) &gt; 0,VLOOKUP("Soul Shackle 3", vote4TRAITS!A:C , 3, FALSE),
0=0,0)
)</f>
        <v>1.333333333</v>
      </c>
      <c r="N72" s="311" t="s">
        <v>1562</v>
      </c>
      <c r="O72" s="317">
        <f>IF(ISBLANK(N72),,IFERROR(
IF(IFERROR(SEARCH("SS:",N72),0) &gt; 0, 
VLOOKUP(SUBSTITUTE(N72,"SS: ",""),vote4SURGE!$A:$C , 3, FALSE) - 2,
VLOOKUP(SUBSTITUTE(N72,"S: ",""),vote4SURGE!$A:$C , 3, FALSE)
)
,
IF(IFERROR(SEARCH("SS:",N72),0) &gt; 0, 
VLOOKUP(C72,vote4SURGE!$A:$C , 3, FALSE) - 2,
VLOOKUP(C72,vote4SURGE!$A:$C , 3, FALSE)
)
))</f>
        <v>3.5</v>
      </c>
      <c r="P72" s="315" t="s">
        <v>1600</v>
      </c>
      <c r="Q72" s="317">
        <f>IF(ISBLANK(P72),,IFERROR(
IF(IFERROR(SEARCH("SS:",P72),0) &gt; 0, 
VLOOKUP(SUBSTITUTE(P72,"SS: ",""),vote4SURGE!$A:$C , 3, FALSE) - 2,
VLOOKUP(SUBSTITUTE(P72,"S: ",""),vote4SURGE!$A:$C , 3, FALSE)
)
,
IF(IFERROR(SEARCH("SS:",P72),0) &gt; 0, 
VLOOKUP(C72,vote4SURGE!$A:$C , 3, FALSE) - 2,
VLOOKUP(C72,vote4SURGE!$A:$C , 3, FALSE)
)
))</f>
        <v>4</v>
      </c>
      <c r="R72" s="318"/>
      <c r="S72" s="319" t="str">
        <f>IF(ISBLANK(R72),,IFERROR(
IF(IFERROR(SEARCH("SS:",R72),0) &gt; 0, 
VLOOKUP(SUBSTITUTE(R72,"SS: ",""),vote4SURGE!$A:$C , 3, FALSE) - 2,
VLOOKUP(SUBSTITUTE(R72,"S: ",""),vote4SURGE!$A:$C , 3, FALSE)
)
,
IF(IFERROR(SEARCH("SS:",R72),0) &gt; 0, 
VLOOKUP(C72,vote4SURGE!$A:$C , 3, FALSE) - 2,
VLOOKUP(C72,vote4SURGE!$A:$C , 3, FALSE)
)
))</f>
        <v/>
      </c>
      <c r="T72" s="320">
        <f t="shared" si="2"/>
        <v>2</v>
      </c>
      <c r="U72" s="320">
        <f>IFERROR(__xludf.DUMMYFUNCTION("ROUND(
IF(ISBLANK(G72),,
SWITCH(
LEN(G72) - LEN(SUBSTITUTE(G72,"","","""")),
0 , VLOOKUP(G72, Variables!$A:$C, 3, FALSE),
1 , VLOOKUP(index(split(G72 ,"", "", FALSE),1,1), Variables!$A:$C , 3, FALSE) + VLOOKUP(index(split(G72 ,"", "", FALSE),1,2), Variabl"&amp;"es!$A:$C , 3, FALSE),
2 , VLOOKUP(index(split(G72 ,"", "", FALSE),1,1), Variables!$A:$C , 3, FALSE) + VLOOKUP(index(split(G72 ,"", "", FALSE),1,2), Variables!$A:$C , 3, FALSE) + VLOOKUP(index(split(G72 ,"", "", FALSE),1,3), Variables!$A:$C , 3, FALSE),
3 "&amp;", VLOOKUP(index(split(G72 ,"", "", FALSE),1,1), Variables!$A:$C , 3, FALSE) + VLOOKUP(index(split(G72 ,"", "", FALSE),1,2), Variables!$A:$C , 3, FALSE) + VLOOKUP(index(split(G72 ,"", "", FALSE),1,3), Variables!$A:$C , 3, FALSE) + VLOOKUP(index(split(G72 ,"&amp;""", "", FALSE),1,4), Variables!$A:$C , 3, FALSE),
)
)
)"),1.0)</f>
        <v>1</v>
      </c>
      <c r="V72" s="317">
        <f t="shared" si="3"/>
        <v>5.75</v>
      </c>
      <c r="W72" s="321">
        <f t="shared" si="4"/>
        <v>9.416666667</v>
      </c>
      <c r="X72" s="118"/>
      <c r="Y72" s="118"/>
      <c r="Z72" s="118"/>
      <c r="AA72" s="118"/>
      <c r="AB72" s="118"/>
      <c r="AC72" s="118"/>
      <c r="AD72" s="118"/>
      <c r="AE72" s="118"/>
    </row>
    <row r="73" hidden="1">
      <c r="A73" s="310">
        <v>1.0</v>
      </c>
      <c r="B73" s="93" t="str">
        <f t="shared" si="1"/>
        <v/>
      </c>
      <c r="C73" s="310" t="s">
        <v>1626</v>
      </c>
      <c r="D73" s="323">
        <v>0.0</v>
      </c>
      <c r="E73" s="310" t="s">
        <v>1527</v>
      </c>
      <c r="F73" s="310" t="s">
        <v>1567</v>
      </c>
      <c r="G73" s="313" t="s">
        <v>1592</v>
      </c>
      <c r="H73" s="312">
        <f>IFERROR(__xludf.DUMMYFUNCTION(" IF(ISBLANK(G73),,
SWITCH(
LEN(G73) - LEN(SUBSTITUTE(G73,"","","""")),
0 , VLOOKUP(G73, Variables!$A:$B, 2, FALSE),
1 , VLOOKUP(index(split(G73 ,"", "", FALSE),1,1), Variables!$A:$B , 2, FALSE) + VLOOKUP(index(split(G73 ,"", "", FALSE),1,2), Variables!$A:"&amp;"$B , 2, FALSE),
2 , VLOOKUP(index(split(G73 ,"", "", FALSE),1,1), Variables!$A:$B , 2, FALSE) + VLOOKUP(index(split(G73 ,"", "", FALSE),1,2), Variables!$A:$B , 2, FALSE) + VLOOKUP(index(split(G73 ,"", "", FALSE),1,3), Variables!$A:$B , 2, FALSE),
3 , VLOO"&amp;"KUP(index(split(G73 ,"", "", FALSE),1,1), Variables!$A:$B , 2, FALSE) + VLOOKUP(index(split(G73 ,"", "", FALSE),1,2), Variables!$A:$B , 2, FALSE) + VLOOKUP(index(split(G73 ,"", "", FALSE),1,3), Variables!$A:$B , 2, FALSE) + VLOOKUP(index(split(G73 ,"", """&amp;", FALSE),1,4), Variables!$A:$B , 2, FALSE),
)
)"),1.8333333333333335)</f>
        <v>1.833333333</v>
      </c>
      <c r="I73" s="310" t="s">
        <v>1561</v>
      </c>
      <c r="J73" s="313"/>
      <c r="K73" s="314" t="str">
        <f>IFERROR(VLOOKUP(C73,vote4ITEMS!$A:$C, 3, FALSE),)</f>
        <v/>
      </c>
      <c r="L73" s="313"/>
      <c r="M73" s="314">
        <f>SUM(
IF(IFERROR(SEARCH("Aura 1",L73),0) &gt; 0 , VLOOKUP("Aura 1", vote4TRAITS!A:C , 3, FALSE), ),
IF(IFERROR(SEARCH("Backswing",L73),0) &gt; 0 , VLOOKUP("Backswing", vote4TRAITS!A:C , 3, FALSE), ),
IF(IFERROR(SEARCH("Blast",L73),0) &gt; 0 , VLOOKUP("Blast", vote4TRAITS!A:C , 3, FALSE), ),
IF(IFERROR(SEARCH("Combustible",L73),0) &gt; 0 , VLOOKUP("Combustible", vote4TRAITS!A:C , 3, FALSE), ),
IF(IFERROR(SEARCH("Command",L73),0) &gt; 0 , VLOOKUP("Command", vote4TRAITS!A:C , 3, FALSE), ),
IF(IFERROR(SEARCH("Cowardly",L73),0) &gt; 0 , VLOOKUP("Cowardly", vote4TRAITS!A:C , 3, FALSE), ),
IF(IFERROR(SEARCH("Death Wish",L73),0) &gt; 0 , VLOOKUP("Death Wish", vote4TRAITS!A:C , 3, FALSE), ),
IF(IFERROR(SEARCH("Entomb",L73),0) &gt; 0 , VLOOKUP("Entomb", vote4TRAITS!A:C , 3, FALSE), ),
IF(IFERROR(SEARCH("Ethereal Hold",L73),0) &gt; 0 , VLOOKUP("Ethereal Hold", vote4TRAITS!A:C , 3, FALSE), ),
IF(IFERROR(SEARCH("Extend",L73),0) &gt; 0 , VLOOKUP("Extend", vote4TRAITS!A:C , 3, FALSE), ),
IF(IFERROR(SEARCH("Filthy Murk",L73),0) &gt; 0 , VLOOKUP("Filthy Murk", vote4TRAITS!A:C , 3, FALSE), ),
IF(IFERROR(SEARCH("Flame Fiend",L73),0) &gt; 0 , VLOOKUP("Flame Fiend", vote4TRAITS!A:C , 3, FALSE), ),
IF(IFERROR(SEARCH("Fleshmonger",L73),0) &gt; 0 , VLOOKUP("Fleshmonger", vote4TRAITS!A:C , 3, FALSE), ),
IF(IFERROR(SEARCH("Fly",L73),0) &gt; 0 , VLOOKUP("Fly", vote4TRAITS!A:C , 3, FALSE), ),
IF(IFERROR(SEARCH("Freezing",L73),0) &gt; 0 , VLOOKUP("Freezing", vote4TRAITS!A:C , 3, FALSE), ),
IF(IFERROR(SEARCH("Lithesome",L73),0) &gt; 0 , VLOOKUP("Lithesome", vote4TRAITS!A:C , 3, FALSE), ),
IF(IFERROR(SEARCH("Harrowing",L73),0) &gt; 0 , VLOOKUP("Harrowing", vote4TRAITS!A:C , 3, FALSE), ),
IF(IFERROR(SEARCH("Hideous Laughter",L73),0) &gt; 0 , VLOOKUP("Hideous Laughter", vote4TRAITS!A:C , 3, FALSE), ),
IF(IFERROR(SEARCH("Hive Defense",L73),0) &gt; 0 , VLOOKUP("Hive Defense", vote4TRAITS!A:C , 3, FALSE), ),
IF(IFERROR(SEARCH("Horrifying",L73),0) &gt; 0 , VLOOKUP("Horrifying", vote4TRAITS!A:C , 3, FALSE), ),
IF(IFERROR(SEARCH("Ironskin",L73),0) &gt; 0 , VLOOKUP("Ironskin", vote4TRAITS!A:C , 3, FALSE), ),
IF(IFERROR(SEARCH("Unmovable",L73),0) &gt; 0 , VLOOKUP("Unmovable", vote4TRAITS!A:C , 3, FALSE), ),
IF(IFERROR(SEARCH("Lifethirst 1",L73),0) &gt; 0 , VLOOKUP("Lifethirst 1", vote4TRAITS!A:C , 3, FALSE), ),
IF(IFERROR(SEARCH("Lifethirst 2",L73),0) &gt; 0 , VLOOKUP("Lifethirst 2", vote4TRAITS!A:C , 3, FALSE), ),
IF(IFERROR(SEARCH("Morph",L73),0) &gt; 0 , VLOOKUP("Morph", vote4TRAITS!A:C , 3, FALSE), ),
IF(IFERROR(SEARCH("Night Stalker",L73),0) &gt; 0 , VLOOKUP("Night Stalker", vote4TRAITS!A:C , 3, FALSE), ),
IF(IFERROR(SEARCH("Overflowing",L73),0) &gt; 0 , VLOOKUP("Overflowing", vote4TRAITS!A:C , 3, FALSE), ),
IF(IFERROR(SEARCH("Pestilence",L73),0) &gt; 0 , VLOOKUP("Pestilence", vote4TRAITS!A:C , 3, FALSE), ),
IF(IFERROR(SEARCH("Phalanx",L73),0) &gt; 0 , VLOOKUP("Phalanx", vote4TRAITS!A:C , 3, FALSE), ),
IF(IFERROR(SEARCH("Plagued",L73),0) &gt; 0 , VLOOKUP("Plagued", vote4TRAITS!A:C , 3, FALSE), ),
IF(IFERROR(SEARCH("Prey on the Weak",L73),0) &gt; 0 , VLOOKUP("Prey on the Weak", vote4TRAITS!A:C , 3, FALSE), ),
IF(IFERROR(SEARCH("Protect",L73),0) &gt; 0 , VLOOKUP("Protect", vote4TRAITS!A:C , 3, FALSE), ),
IF(IFERROR(SEARCH("Puncture",L73),0) &gt; 0 , VLOOKUP("Puncture", vote4TRAITS!A:C , 3, FALSE), ),
IF(IFERROR(SEARCH("Putrid Boils",L73),0) &gt; 0 , VLOOKUP("Putrid Boils", vote4TRAITS!A:C , 3, FALSE), ),
IF(IFERROR(SEARCH("Ravage",L73),0) &gt; 0 , VLOOKUP("Ravage", vote4TRAITS!A:C , 3, FALSE), ),
IF(IFERROR(SEARCH("Ravenous",L73),0) &gt; 0 , VLOOKUP("Ravenous", vote4TRAITS!A:C , 3, FALSE), ),
IF(IFERROR(SEARCH("Reach",L73),0) &gt; 0 , VLOOKUP("Reach", vote4TRAITS!A:C , 3, FALSE), ),
IF(IFERROR(SEARCH("Reanimation",L73),0) &gt; 0 , VLOOKUP("Reanimation", vote4TRAITS!A:C , 3, FALSE), ),
IF(IFERROR(SEARCH("Reaper",L73),0) &gt; 0 , VLOOKUP("Reaper", vote4TRAITS!A:C , 3, FALSE), ),
IF(IFERROR(SEARCH("Riposte",L73),0) &gt; 0 , VLOOKUP("Riposte", vote4TRAITS!A:C , 3, FALSE)),
IF(IFERROR(SEARCH("Scamper",L73),0) &gt; 0 , VLOOKUP("Scamper", vote4TRAITS!A:C , 3, FALSE), ),
IF(IFERROR(SEARCH("Small Beginnings",L73),0) &gt; 0 , VLOOKUP("Small Beginnings", vote4TRAITS!A:C , 3, FALSE), ),
IF(IFERROR(SEARCH("Spawner",L73),0) &gt; 0 , VLOOKUP("Spawner", vote4TRAITS!A:C , 3,FALSE), ),
IF(IFERROR(SEARCH("Shadowr",L73),0) &gt; 0 , VLOOKUP("Shadow", vote4TRAITS!A:C , 3,FALSE), ),
IF(IFERROR(SEARCH("Shadow Step",L73),0) &gt; 0 , VLOOKUP("Shadow Step", vote4TRAITS!A:C , 3,FALSE), ),
IF(IFERROR(SEARCH("Shambling",L73),0) &gt; 0 , VLOOKUP("Shambling", vote4TRAITS!A:C , 3,FALSE), ),
IF(IFERROR(SEARCH("Stealthy",L73),0) &gt; 0 , VLOOKUP("Stealthy", vote4TRAITS!A:C , 3, FALSE), ),
IF(IFERROR(SEARCH("Web",L73),0) &gt; 0 , VLOOKUP("Web", vote4TRAITS!A:C , 3, FALSE), ),
IF(IFERROR(SEARCH("+1 Willpower",L73),0) &gt; 0 , VLOOKUP("+1 Willpower", vote4TRAITS!A:C , 3, FALSE), ),
IF(IFERROR(SEARCH("+1 Might",L73),0) &gt; 0 , VLOOKUP("+1 Might", vote4TRAITS!A:C , 3, FALSE), ),
IF(IFERROR(SEARCH("+1 Knowledge",L73),0) &gt; 0 , VLOOKUP("+1 Knowledge", vote4TRAITS!A:C , 3, FALSE), ),
IF(IFERROR(SEARCH("+1 Awareness",L73),0) &gt; 0 , VLOOKUP("+1 Awareness", vote4TRAITS!A:C , 3, FALSE), ),
IF(IFERROR(SEARCH("-1 Willpower",L73),0) &gt; 0 , VLOOKUP("-1 Willpower", vote4TRAITS!A:C , 3, FALSE), ),
IF(IFERROR(SEARCH("+1 Health",L73),0) &gt; 0 , VLOOKUP("+1 Health", vote4TRAITS!A:C , 3, FALSE), ),
IF(IFERROR(SEARCH("+2 Health",L73),0) &gt; 0 , VLOOKUP("+2 Health", vote4TRAITS!A:C , 3, FALSE), ),
IF(IFERROR(SEARCH("+1 Stamina",L73),0) &gt; 0 , VLOOKUP("+1 Stamina", vote4TRAITS!A:C , 3, FALSE), ),
IF(IFERROR(SEARCH("+2 Stamina",L73),0) &gt; 0 , VLOOKUP("+2 Stamina", vote4TRAITS!A:C , 3, FALSE), ),
IFS(
IFERROR(SEARCH("+1 Range", L73),) &gt; 0 ,VLOOKUP("+1 Range", vote4TRAITS!A:C , 3, FALSE),
IFERROR(SEARCH("+2 Range", L73),) &gt; 0 ,VLOOKUP("+2 Range", vote4TRAITS!A:C , 3, FALSE),
IFERROR(SEARCH("+3 Range", L73),) &gt; 0,VLOOKUP("+3 Range", vote4TRAITS!A:C , 3, FALSE),
0=0,0)
,
IFS(
IFERROR(SEARCH("Sorcery 1", L73),) &gt; 0 ,VLOOKUP("Sorcery 1", vote4TRAITS!A:C , 3, FALSE),
IFERROR(SEARCH("Sorcery 2", L73),) &gt; 0 ,VLOOKUP("Sorcery 2", vote4TRAITS!A:C , 3, FALSE),
IFERROR(SEARCH("Sorcery 3", L73),) &gt; 0,VLOOKUP("Sorcery 3", vote4TRAITS!A:C , 3, FALSE),
0=0,0)
,
IFS(
IFERROR(SEARCH("Pierce 1", L73),) &gt; 0 ,VLOOKUP("Pierce 1", vote4TRAITS!A:C , 3, FALSE),
IFERROR(SEARCH("Pierce 2", L73),) &gt; 0 ,VLOOKUP("Pierce 2", vote4TRAITS!A:C , 3, FALSE),
IFERROR(SEARCH("Pierce 3", L73),) &gt; 0,VLOOKUP("Pierce 3", vote4TRAITS!A:C , 3, FALSE),
IFERROR(SEARCH("Pierce 4", L73),) &gt; 0 ,VLOOKUP("Pierce 4", vote4TRAITS!A:C , 3, FALSE),
0=0,0)
,
IFS(
IFERROR(SEARCH("+1 Health", L73),) &gt; 0 ,VLOOKUP("+1 Health", vote4TRAITS!A:C , 3, FALSE),
IFERROR(SEARCH("+2 Health", L73),) &gt; 0 ,VLOOKUP("+2 Health", vote4TRAITS!A:C , 3, FALSE),
IFERROR(SEARCH("+3 Health", L73),) &gt; 0 ,VLOOKUP("+3 Health", vote4TRAITS!A:C , 3, FALSE),
IFERROR(SEARCH("+4 Health", L73),) &gt; 0 ,VLOOKUP("+4 Health", vote4TRAITS!A:C , 3, FALSE),
0=0,0)
,
IFS(
IFERROR(SEARCH("Soul Shackle 1", L73),) &gt; 0 ,VLOOKUP("Soul Shackle 1", vote4TRAITS!A:C , 3, FALSE),
IFERROR(SEARCH("Soul Shackle 2", L73),) &gt; 0 ,VLOOKUP("Soul Shackle 2", vote4TRAITS!A:C , 3, FALSE),
IFERROR(SEARCH("Soul Shackle 3", L73),) &gt; 0,VLOOKUP("Soul Shackle 3", vote4TRAITS!A:C , 3, FALSE),
0=0,0)
)</f>
        <v>0</v>
      </c>
      <c r="N73" s="311" t="s">
        <v>1613</v>
      </c>
      <c r="O73" s="317">
        <f>IF(ISBLANK(N73),,IFERROR(
IF(IFERROR(SEARCH("SS:",N73),0) &gt; 0, 
VLOOKUP(SUBSTITUTE(N73,"SS: ",""),vote4SURGE!$A:$C , 3, FALSE) - 2,
VLOOKUP(SUBSTITUTE(N73,"S: ",""),vote4SURGE!$A:$C , 3, FALSE)
)
,
IF(IFERROR(SEARCH("SS:",N73),0) &gt; 0, 
VLOOKUP(C73,vote4SURGE!$A:$C , 3, FALSE) - 2,
VLOOKUP(C73,vote4SURGE!$A:$C , 3, FALSE)
)
))</f>
        <v>4.5</v>
      </c>
      <c r="P73" s="315" t="s">
        <v>1562</v>
      </c>
      <c r="Q73" s="317">
        <f>IF(ISBLANK(P73),,IFERROR(
IF(IFERROR(SEARCH("SS:",P73),0) &gt; 0, 
VLOOKUP(SUBSTITUTE(P73,"SS: ",""),vote4SURGE!$A:$C , 3, FALSE) - 2,
VLOOKUP(SUBSTITUTE(P73,"S: ",""),vote4SURGE!$A:$C , 3, FALSE)
)
,
IF(IFERROR(SEARCH("SS:",P73),0) &gt; 0, 
VLOOKUP(C73,vote4SURGE!$A:$C , 3, FALSE) - 2,
VLOOKUP(C73,vote4SURGE!$A:$C , 3, FALSE)
)
))</f>
        <v>3.5</v>
      </c>
      <c r="R73" s="318"/>
      <c r="S73" s="319" t="str">
        <f>IF(ISBLANK(R73),,IFERROR(
IF(IFERROR(SEARCH("SS:",R73),0) &gt; 0, 
VLOOKUP(SUBSTITUTE(R73,"SS: ",""),vote4SURGE!$A:$C , 3, FALSE) - 2,
VLOOKUP(SUBSTITUTE(R73,"S: ",""),vote4SURGE!$A:$C , 3, FALSE)
)
,
IF(IFERROR(SEARCH("SS:",R73),0) &gt; 0, 
VLOOKUP(C73,vote4SURGE!$A:$C , 3, FALSE) - 2,
VLOOKUP(C73,vote4SURGE!$A:$C , 3, FALSE)
)
))</f>
        <v/>
      </c>
      <c r="T73" s="320">
        <f t="shared" si="2"/>
        <v>2</v>
      </c>
      <c r="U73" s="320">
        <f>IFERROR(__xludf.DUMMYFUNCTION("ROUND(
IF(ISBLANK(G73),,
SWITCH(
LEN(G73) - LEN(SUBSTITUTE(G73,"","","""")),
0 , VLOOKUP(G73, Variables!$A:$C, 3, FALSE),
1 , VLOOKUP(index(split(G73 ,"", "", FALSE),1,1), Variables!$A:$C , 3, FALSE) + VLOOKUP(index(split(G73 ,"", "", FALSE),1,2), Variabl"&amp;"es!$A:$C , 3, FALSE),
2 , VLOOKUP(index(split(G73 ,"", "", FALSE),1,1), Variables!$A:$C , 3, FALSE) + VLOOKUP(index(split(G73 ,"", "", FALSE),1,2), Variables!$A:$C , 3, FALSE) + VLOOKUP(index(split(G73 ,"", "", FALSE),1,3), Variables!$A:$C , 3, FALSE),
3 "&amp;", VLOOKUP(index(split(G73 ,"", "", FALSE),1,1), Variables!$A:$C , 3, FALSE) + VLOOKUP(index(split(G73 ,"", "", FALSE),1,2), Variables!$A:$C , 3, FALSE) + VLOOKUP(index(split(G73 ,"", "", FALSE),1,3), Variables!$A:$C , 3, FALSE) + VLOOKUP(index(split(G73 ,"&amp;""", "", FALSE),1,4), Variables!$A:$C , 3, FALSE),
)
)
)"),1.0)</f>
        <v>1</v>
      </c>
      <c r="V73" s="317">
        <f t="shared" si="3"/>
        <v>6.25</v>
      </c>
      <c r="W73" s="321">
        <f t="shared" si="4"/>
        <v>8.083333333</v>
      </c>
      <c r="X73" s="118"/>
      <c r="Y73" s="118"/>
      <c r="Z73" s="118"/>
      <c r="AA73" s="118"/>
      <c r="AB73" s="118"/>
      <c r="AC73" s="118"/>
      <c r="AD73" s="118"/>
      <c r="AE73" s="118"/>
    </row>
    <row r="74" hidden="1">
      <c r="A74" s="310">
        <v>1.0</v>
      </c>
      <c r="B74" s="93" t="str">
        <f t="shared" si="1"/>
        <v/>
      </c>
      <c r="C74" s="310" t="s">
        <v>1627</v>
      </c>
      <c r="D74" s="323">
        <v>0.0</v>
      </c>
      <c r="E74" s="310" t="s">
        <v>1520</v>
      </c>
      <c r="F74" s="310" t="s">
        <v>1567</v>
      </c>
      <c r="G74" s="313" t="s">
        <v>1525</v>
      </c>
      <c r="H74" s="312">
        <f>IFERROR(__xludf.DUMMYFUNCTION(" IF(ISBLANK(G74),,
SWITCH(
LEN(G74) - LEN(SUBSTITUTE(G74,"","","""")),
0 , VLOOKUP(G74, Variables!$A:$B, 2, FALSE),
1 , VLOOKUP(index(split(G74 ,"", "", FALSE),1,1), Variables!$A:$B , 2, FALSE) + VLOOKUP(index(split(G74 ,"", "", FALSE),1,2), Variables!$A:"&amp;"$B , 2, FALSE),
2 , VLOOKUP(index(split(G74 ,"", "", FALSE),1,1), Variables!$A:$B , 2, FALSE) + VLOOKUP(index(split(G74 ,"", "", FALSE),1,2), Variables!$A:$B , 2, FALSE) + VLOOKUP(index(split(G74 ,"", "", FALSE),1,3), Variables!$A:$B , 2, FALSE),
3 , VLOO"&amp;"KUP(index(split(G74 ,"", "", FALSE),1,1), Variables!$A:$B , 2, FALSE) + VLOOKUP(index(split(G74 ,"", "", FALSE),1,2), Variables!$A:$B , 2, FALSE) + VLOOKUP(index(split(G74 ,"", "", FALSE),1,3), Variables!$A:$B , 2, FALSE) + VLOOKUP(index(split(G74 ,"", """&amp;", FALSE),1,4), Variables!$A:$B , 2, FALSE),
)
)"),3.333333333333333)</f>
        <v>3.333333333</v>
      </c>
      <c r="I74" s="310" t="s">
        <v>1541</v>
      </c>
      <c r="J74" s="313"/>
      <c r="K74" s="314" t="str">
        <f>IFERROR(VLOOKUP(C74,vote4ITEMS!$A:$C, 3, FALSE),)</f>
        <v/>
      </c>
      <c r="L74" s="313"/>
      <c r="M74" s="314">
        <f>SUM(
IF(IFERROR(SEARCH("Aura 1",L74),0) &gt; 0 , VLOOKUP("Aura 1", vote4TRAITS!A:C , 3, FALSE), ),
IF(IFERROR(SEARCH("Backswing",L74),0) &gt; 0 , VLOOKUP("Backswing", vote4TRAITS!A:C , 3, FALSE), ),
IF(IFERROR(SEARCH("Blast",L74),0) &gt; 0 , VLOOKUP("Blast", vote4TRAITS!A:C , 3, FALSE), ),
IF(IFERROR(SEARCH("Combustible",L74),0) &gt; 0 , VLOOKUP("Combustible", vote4TRAITS!A:C , 3, FALSE), ),
IF(IFERROR(SEARCH("Command",L74),0) &gt; 0 , VLOOKUP("Command", vote4TRAITS!A:C , 3, FALSE), ),
IF(IFERROR(SEARCH("Cowardly",L74),0) &gt; 0 , VLOOKUP("Cowardly", vote4TRAITS!A:C , 3, FALSE), ),
IF(IFERROR(SEARCH("Death Wish",L74),0) &gt; 0 , VLOOKUP("Death Wish", vote4TRAITS!A:C , 3, FALSE), ),
IF(IFERROR(SEARCH("Entomb",L74),0) &gt; 0 , VLOOKUP("Entomb", vote4TRAITS!A:C , 3, FALSE), ),
IF(IFERROR(SEARCH("Ethereal Hold",L74),0) &gt; 0 , VLOOKUP("Ethereal Hold", vote4TRAITS!A:C , 3, FALSE), ),
IF(IFERROR(SEARCH("Extend",L74),0) &gt; 0 , VLOOKUP("Extend", vote4TRAITS!A:C , 3, FALSE), ),
IF(IFERROR(SEARCH("Filthy Murk",L74),0) &gt; 0 , VLOOKUP("Filthy Murk", vote4TRAITS!A:C , 3, FALSE), ),
IF(IFERROR(SEARCH("Flame Fiend",L74),0) &gt; 0 , VLOOKUP("Flame Fiend", vote4TRAITS!A:C , 3, FALSE), ),
IF(IFERROR(SEARCH("Fleshmonger",L74),0) &gt; 0 , VLOOKUP("Fleshmonger", vote4TRAITS!A:C , 3, FALSE), ),
IF(IFERROR(SEARCH("Fly",L74),0) &gt; 0 , VLOOKUP("Fly", vote4TRAITS!A:C , 3, FALSE), ),
IF(IFERROR(SEARCH("Freezing",L74),0) &gt; 0 , VLOOKUP("Freezing", vote4TRAITS!A:C , 3, FALSE), ),
IF(IFERROR(SEARCH("Lithesome",L74),0) &gt; 0 , VLOOKUP("Lithesome", vote4TRAITS!A:C , 3, FALSE), ),
IF(IFERROR(SEARCH("Harrowing",L74),0) &gt; 0 , VLOOKUP("Harrowing", vote4TRAITS!A:C , 3, FALSE), ),
IF(IFERROR(SEARCH("Hideous Laughter",L74),0) &gt; 0 , VLOOKUP("Hideous Laughter", vote4TRAITS!A:C , 3, FALSE), ),
IF(IFERROR(SEARCH("Hive Defense",L74),0) &gt; 0 , VLOOKUP("Hive Defense", vote4TRAITS!A:C , 3, FALSE), ),
IF(IFERROR(SEARCH("Horrifying",L74),0) &gt; 0 , VLOOKUP("Horrifying", vote4TRAITS!A:C , 3, FALSE), ),
IF(IFERROR(SEARCH("Ironskin",L74),0) &gt; 0 , VLOOKUP("Ironskin", vote4TRAITS!A:C , 3, FALSE), ),
IF(IFERROR(SEARCH("Unmovable",L74),0) &gt; 0 , VLOOKUP("Unmovable", vote4TRAITS!A:C , 3, FALSE), ),
IF(IFERROR(SEARCH("Lifethirst 1",L74),0) &gt; 0 , VLOOKUP("Lifethirst 1", vote4TRAITS!A:C , 3, FALSE), ),
IF(IFERROR(SEARCH("Lifethirst 2",L74),0) &gt; 0 , VLOOKUP("Lifethirst 2", vote4TRAITS!A:C , 3, FALSE), ),
IF(IFERROR(SEARCH("Morph",L74),0) &gt; 0 , VLOOKUP("Morph", vote4TRAITS!A:C , 3, FALSE), ),
IF(IFERROR(SEARCH("Night Stalker",L74),0) &gt; 0 , VLOOKUP("Night Stalker", vote4TRAITS!A:C , 3, FALSE), ),
IF(IFERROR(SEARCH("Overflowing",L74),0) &gt; 0 , VLOOKUP("Overflowing", vote4TRAITS!A:C , 3, FALSE), ),
IF(IFERROR(SEARCH("Pestilence",L74),0) &gt; 0 , VLOOKUP("Pestilence", vote4TRAITS!A:C , 3, FALSE), ),
IF(IFERROR(SEARCH("Phalanx",L74),0) &gt; 0 , VLOOKUP("Phalanx", vote4TRAITS!A:C , 3, FALSE), ),
IF(IFERROR(SEARCH("Plagued",L74),0) &gt; 0 , VLOOKUP("Plagued", vote4TRAITS!A:C , 3, FALSE), ),
IF(IFERROR(SEARCH("Prey on the Weak",L74),0) &gt; 0 , VLOOKUP("Prey on the Weak", vote4TRAITS!A:C , 3, FALSE), ),
IF(IFERROR(SEARCH("Protect",L74),0) &gt; 0 , VLOOKUP("Protect", vote4TRAITS!A:C , 3, FALSE), ),
IF(IFERROR(SEARCH("Puncture",L74),0) &gt; 0 , VLOOKUP("Puncture", vote4TRAITS!A:C , 3, FALSE), ),
IF(IFERROR(SEARCH("Putrid Boils",L74),0) &gt; 0 , VLOOKUP("Putrid Boils", vote4TRAITS!A:C , 3, FALSE), ),
IF(IFERROR(SEARCH("Ravage",L74),0) &gt; 0 , VLOOKUP("Ravage", vote4TRAITS!A:C , 3, FALSE), ),
IF(IFERROR(SEARCH("Ravenous",L74),0) &gt; 0 , VLOOKUP("Ravenous", vote4TRAITS!A:C , 3, FALSE), ),
IF(IFERROR(SEARCH("Reach",L74),0) &gt; 0 , VLOOKUP("Reach", vote4TRAITS!A:C , 3, FALSE), ),
IF(IFERROR(SEARCH("Reanimation",L74),0) &gt; 0 , VLOOKUP("Reanimation", vote4TRAITS!A:C , 3, FALSE), ),
IF(IFERROR(SEARCH("Reaper",L74),0) &gt; 0 , VLOOKUP("Reaper", vote4TRAITS!A:C , 3, FALSE), ),
IF(IFERROR(SEARCH("Riposte",L74),0) &gt; 0 , VLOOKUP("Riposte", vote4TRAITS!A:C , 3, FALSE)),
IF(IFERROR(SEARCH("Scamper",L74),0) &gt; 0 , VLOOKUP("Scamper", vote4TRAITS!A:C , 3, FALSE), ),
IF(IFERROR(SEARCH("Small Beginnings",L74),0) &gt; 0 , VLOOKUP("Small Beginnings", vote4TRAITS!A:C , 3, FALSE), ),
IF(IFERROR(SEARCH("Spawner",L74),0) &gt; 0 , VLOOKUP("Spawner", vote4TRAITS!A:C , 3,FALSE), ),
IF(IFERROR(SEARCH("Shadowr",L74),0) &gt; 0 , VLOOKUP("Shadow", vote4TRAITS!A:C , 3,FALSE), ),
IF(IFERROR(SEARCH("Shadow Step",L74),0) &gt; 0 , VLOOKUP("Shadow Step", vote4TRAITS!A:C , 3,FALSE), ),
IF(IFERROR(SEARCH("Shambling",L74),0) &gt; 0 , VLOOKUP("Shambling", vote4TRAITS!A:C , 3,FALSE), ),
IF(IFERROR(SEARCH("Stealthy",L74),0) &gt; 0 , VLOOKUP("Stealthy", vote4TRAITS!A:C , 3, FALSE), ),
IF(IFERROR(SEARCH("Web",L74),0) &gt; 0 , VLOOKUP("Web", vote4TRAITS!A:C , 3, FALSE), ),
IF(IFERROR(SEARCH("+1 Willpower",L74),0) &gt; 0 , VLOOKUP("+1 Willpower", vote4TRAITS!A:C , 3, FALSE), ),
IF(IFERROR(SEARCH("+1 Might",L74),0) &gt; 0 , VLOOKUP("+1 Might", vote4TRAITS!A:C , 3, FALSE), ),
IF(IFERROR(SEARCH("+1 Knowledge",L74),0) &gt; 0 , VLOOKUP("+1 Knowledge", vote4TRAITS!A:C , 3, FALSE), ),
IF(IFERROR(SEARCH("+1 Awareness",L74),0) &gt; 0 , VLOOKUP("+1 Awareness", vote4TRAITS!A:C , 3, FALSE), ),
IF(IFERROR(SEARCH("-1 Willpower",L74),0) &gt; 0 , VLOOKUP("-1 Willpower", vote4TRAITS!A:C , 3, FALSE), ),
IF(IFERROR(SEARCH("+1 Health",L74),0) &gt; 0 , VLOOKUP("+1 Health", vote4TRAITS!A:C , 3, FALSE), ),
IF(IFERROR(SEARCH("+2 Health",L74),0) &gt; 0 , VLOOKUP("+2 Health", vote4TRAITS!A:C , 3, FALSE), ),
IF(IFERROR(SEARCH("+1 Stamina",L74),0) &gt; 0 , VLOOKUP("+1 Stamina", vote4TRAITS!A:C , 3, FALSE), ),
IF(IFERROR(SEARCH("+2 Stamina",L74),0) &gt; 0 , VLOOKUP("+2 Stamina", vote4TRAITS!A:C , 3, FALSE), ),
IFS(
IFERROR(SEARCH("+1 Range", L74),) &gt; 0 ,VLOOKUP("+1 Range", vote4TRAITS!A:C , 3, FALSE),
IFERROR(SEARCH("+2 Range", L74),) &gt; 0 ,VLOOKUP("+2 Range", vote4TRAITS!A:C , 3, FALSE),
IFERROR(SEARCH("+3 Range", L74),) &gt; 0,VLOOKUP("+3 Range", vote4TRAITS!A:C , 3, FALSE),
0=0,0)
,
IFS(
IFERROR(SEARCH("Sorcery 1", L74),) &gt; 0 ,VLOOKUP("Sorcery 1", vote4TRAITS!A:C , 3, FALSE),
IFERROR(SEARCH("Sorcery 2", L74),) &gt; 0 ,VLOOKUP("Sorcery 2", vote4TRAITS!A:C , 3, FALSE),
IFERROR(SEARCH("Sorcery 3", L74),) &gt; 0,VLOOKUP("Sorcery 3", vote4TRAITS!A:C , 3, FALSE),
0=0,0)
,
IFS(
IFERROR(SEARCH("Pierce 1", L74),) &gt; 0 ,VLOOKUP("Pierce 1", vote4TRAITS!A:C , 3, FALSE),
IFERROR(SEARCH("Pierce 2", L74),) &gt; 0 ,VLOOKUP("Pierce 2", vote4TRAITS!A:C , 3, FALSE),
IFERROR(SEARCH("Pierce 3", L74),) &gt; 0,VLOOKUP("Pierce 3", vote4TRAITS!A:C , 3, FALSE),
IFERROR(SEARCH("Pierce 4", L74),) &gt; 0 ,VLOOKUP("Pierce 4", vote4TRAITS!A:C , 3, FALSE),
0=0,0)
,
IFS(
IFERROR(SEARCH("+1 Health", L74),) &gt; 0 ,VLOOKUP("+1 Health", vote4TRAITS!A:C , 3, FALSE),
IFERROR(SEARCH("+2 Health", L74),) &gt; 0 ,VLOOKUP("+2 Health", vote4TRAITS!A:C , 3, FALSE),
IFERROR(SEARCH("+3 Health", L74),) &gt; 0 ,VLOOKUP("+3 Health", vote4TRAITS!A:C , 3, FALSE),
IFERROR(SEARCH("+4 Health", L74),) &gt; 0 ,VLOOKUP("+4 Health", vote4TRAITS!A:C , 3, FALSE),
0=0,0)
,
IFS(
IFERROR(SEARCH("Soul Shackle 1", L74),) &gt; 0 ,VLOOKUP("Soul Shackle 1", vote4TRAITS!A:C , 3, FALSE),
IFERROR(SEARCH("Soul Shackle 2", L74),) &gt; 0 ,VLOOKUP("Soul Shackle 2", vote4TRAITS!A:C , 3, FALSE),
IFERROR(SEARCH("Soul Shackle 3", L74),) &gt; 0,VLOOKUP("Soul Shackle 3", vote4TRAITS!A:C , 3, FALSE),
0=0,0)
)</f>
        <v>0</v>
      </c>
      <c r="N74" s="311" t="s">
        <v>1564</v>
      </c>
      <c r="O74" s="317">
        <f>IF(ISBLANK(N74),,IFERROR(
IF(IFERROR(SEARCH("SS:",N74),0) &gt; 0, 
VLOOKUP(SUBSTITUTE(N74,"SS: ",""),vote4SURGE!$A:$C , 3, FALSE) - 2,
VLOOKUP(SUBSTITUTE(N74,"S: ",""),vote4SURGE!$A:$C , 3, FALSE)
)
,
IF(IFERROR(SEARCH("SS:",N74),0) &gt; 0, 
VLOOKUP(C74,vote4SURGE!$A:$C , 3, FALSE) - 2,
VLOOKUP(C74,vote4SURGE!$A:$C , 3, FALSE)
)
))</f>
        <v>3.5</v>
      </c>
      <c r="P74" s="315" t="s">
        <v>1579</v>
      </c>
      <c r="Q74" s="317">
        <f>IF(ISBLANK(P74),,IFERROR(
IF(IFERROR(SEARCH("SS:",P74),0) &gt; 0, 
VLOOKUP(SUBSTITUTE(P74,"SS: ",""),vote4SURGE!$A:$C , 3, FALSE) - 2,
VLOOKUP(SUBSTITUTE(P74,"S: ",""),vote4SURGE!$A:$C , 3, FALSE)
)
,
IF(IFERROR(SEARCH("SS:",P74),0) &gt; 0, 
VLOOKUP(C74,vote4SURGE!$A:$C , 3, FALSE) - 2,
VLOOKUP(C74,vote4SURGE!$A:$C , 3, FALSE)
)
))</f>
        <v>2.5</v>
      </c>
      <c r="R74" s="318"/>
      <c r="S74" s="319" t="str">
        <f>IF(ISBLANK(R74),,IFERROR(
IF(IFERROR(SEARCH("SS:",R74),0) &gt; 0, 
VLOOKUP(SUBSTITUTE(R74,"SS: ",""),vote4SURGE!$A:$C , 3, FALSE) - 2,
VLOOKUP(SUBSTITUTE(R74,"S: ",""),vote4SURGE!$A:$C , 3, FALSE)
)
,
IF(IFERROR(SEARCH("SS:",R74),0) &gt; 0, 
VLOOKUP(C74,vote4SURGE!$A:$C , 3, FALSE) - 2,
VLOOKUP(C74,vote4SURGE!$A:$C , 3, FALSE)
)
))</f>
        <v/>
      </c>
      <c r="T74" s="320">
        <f t="shared" si="2"/>
        <v>2</v>
      </c>
      <c r="U74" s="320">
        <f>IFERROR(__xludf.DUMMYFUNCTION("ROUND(
IF(ISBLANK(G74),,
SWITCH(
LEN(G74) - LEN(SUBSTITUTE(G74,"","","""")),
0 , VLOOKUP(G74, Variables!$A:$C, 3, FALSE),
1 , VLOOKUP(index(split(G74 ,"", "", FALSE),1,1), Variables!$A:$C , 3, FALSE) + VLOOKUP(index(split(G74 ,"", "", FALSE),1,2), Variabl"&amp;"es!$A:$C , 3, FALSE),
2 , VLOOKUP(index(split(G74 ,"", "", FALSE),1,1), Variables!$A:$C , 3, FALSE) + VLOOKUP(index(split(G74 ,"", "", FALSE),1,2), Variables!$A:$C , 3, FALSE) + VLOOKUP(index(split(G74 ,"", "", FALSE),1,3), Variables!$A:$C , 3, FALSE),
3 "&amp;", VLOOKUP(index(split(G74 ,"", "", FALSE),1,1), Variables!$A:$C , 3, FALSE) + VLOOKUP(index(split(G74 ,"", "", FALSE),1,2), Variables!$A:$C , 3, FALSE) + VLOOKUP(index(split(G74 ,"", "", FALSE),1,3), Variables!$A:$C , 3, FALSE) + VLOOKUP(index(split(G74 ,"&amp;""", "", FALSE),1,4), Variables!$A:$C , 3, FALSE),
)
)
)"),1.0)</f>
        <v>1</v>
      </c>
      <c r="V74" s="317">
        <f t="shared" si="3"/>
        <v>4.75</v>
      </c>
      <c r="W74" s="321">
        <f t="shared" si="4"/>
        <v>8.083333333</v>
      </c>
      <c r="X74" s="118"/>
      <c r="Y74" s="118"/>
      <c r="Z74" s="118"/>
      <c r="AA74" s="118"/>
      <c r="AB74" s="118"/>
      <c r="AC74" s="118"/>
      <c r="AD74" s="118"/>
      <c r="AE74" s="118"/>
    </row>
    <row r="75" hidden="1">
      <c r="A75" s="310">
        <v>1.0</v>
      </c>
      <c r="B75" s="93" t="str">
        <f t="shared" si="1"/>
        <v/>
      </c>
      <c r="C75" s="310" t="s">
        <v>767</v>
      </c>
      <c r="D75" s="323">
        <v>0.0</v>
      </c>
      <c r="E75" s="310" t="s">
        <v>1527</v>
      </c>
      <c r="F75" s="310" t="s">
        <v>1521</v>
      </c>
      <c r="G75" s="313" t="s">
        <v>1548</v>
      </c>
      <c r="H75" s="312">
        <f>IFERROR(__xludf.DUMMYFUNCTION(" IF(ISBLANK(G75),,
SWITCH(
LEN(G75) - LEN(SUBSTITUTE(G75,"","","""")),
0 , VLOOKUP(G75, Variables!$A:$B, 2, FALSE),
1 , VLOOKUP(index(split(G75 ,"", "", FALSE),1,1), Variables!$A:$B , 2, FALSE) + VLOOKUP(index(split(G75 ,"", "", FALSE),1,2), Variables!$A:"&amp;"$B , 2, FALSE),
2 , VLOOKUP(index(split(G75 ,"", "", FALSE),1,1), Variables!$A:$B , 2, FALSE) + VLOOKUP(index(split(G75 ,"", "", FALSE),1,2), Variables!$A:$B , 2, FALSE) + VLOOKUP(index(split(G75 ,"", "", FALSE),1,3), Variables!$A:$B , 2, FALSE),
3 , VLOO"&amp;"KUP(index(split(G75 ,"", "", FALSE),1,1), Variables!$A:$B , 2, FALSE) + VLOOKUP(index(split(G75 ,"", "", FALSE),1,2), Variables!$A:$B , 2, FALSE) + VLOOKUP(index(split(G75 ,"", "", FALSE),1,3), Variables!$A:$B , 2, FALSE) + VLOOKUP(index(split(G75 ,"", """&amp;", FALSE),1,4), Variables!$A:$B , 2, FALSE),
)
)"),2.3333333333333335)</f>
        <v>2.333333333</v>
      </c>
      <c r="I75" s="310" t="s">
        <v>1628</v>
      </c>
      <c r="J75" s="313" t="s">
        <v>768</v>
      </c>
      <c r="K75" s="314">
        <f>IFERROR(VLOOKUP(C75,vote4ITEMS!$A:$C, 3, FALSE),)</f>
        <v>2.666666667</v>
      </c>
      <c r="L75" s="313"/>
      <c r="M75" s="314">
        <f>SUM(
IF(IFERROR(SEARCH("Aura 1",L75),0) &gt; 0 , VLOOKUP("Aura 1", vote4TRAITS!A:C , 3, FALSE), ),
IF(IFERROR(SEARCH("Backswing",L75),0) &gt; 0 , VLOOKUP("Backswing", vote4TRAITS!A:C , 3, FALSE), ),
IF(IFERROR(SEARCH("Blast",L75),0) &gt; 0 , VLOOKUP("Blast", vote4TRAITS!A:C , 3, FALSE), ),
IF(IFERROR(SEARCH("Combustible",L75),0) &gt; 0 , VLOOKUP("Combustible", vote4TRAITS!A:C , 3, FALSE), ),
IF(IFERROR(SEARCH("Command",L75),0) &gt; 0 , VLOOKUP("Command", vote4TRAITS!A:C , 3, FALSE), ),
IF(IFERROR(SEARCH("Cowardly",L75),0) &gt; 0 , VLOOKUP("Cowardly", vote4TRAITS!A:C , 3, FALSE), ),
IF(IFERROR(SEARCH("Death Wish",L75),0) &gt; 0 , VLOOKUP("Death Wish", vote4TRAITS!A:C , 3, FALSE), ),
IF(IFERROR(SEARCH("Entomb",L75),0) &gt; 0 , VLOOKUP("Entomb", vote4TRAITS!A:C , 3, FALSE), ),
IF(IFERROR(SEARCH("Ethereal Hold",L75),0) &gt; 0 , VLOOKUP("Ethereal Hold", vote4TRAITS!A:C , 3, FALSE), ),
IF(IFERROR(SEARCH("Extend",L75),0) &gt; 0 , VLOOKUP("Extend", vote4TRAITS!A:C , 3, FALSE), ),
IF(IFERROR(SEARCH("Filthy Murk",L75),0) &gt; 0 , VLOOKUP("Filthy Murk", vote4TRAITS!A:C , 3, FALSE), ),
IF(IFERROR(SEARCH("Flame Fiend",L75),0) &gt; 0 , VLOOKUP("Flame Fiend", vote4TRAITS!A:C , 3, FALSE), ),
IF(IFERROR(SEARCH("Fleshmonger",L75),0) &gt; 0 , VLOOKUP("Fleshmonger", vote4TRAITS!A:C , 3, FALSE), ),
IF(IFERROR(SEARCH("Fly",L75),0) &gt; 0 , VLOOKUP("Fly", vote4TRAITS!A:C , 3, FALSE), ),
IF(IFERROR(SEARCH("Freezing",L75),0) &gt; 0 , VLOOKUP("Freezing", vote4TRAITS!A:C , 3, FALSE), ),
IF(IFERROR(SEARCH("Lithesome",L75),0) &gt; 0 , VLOOKUP("Lithesome", vote4TRAITS!A:C , 3, FALSE), ),
IF(IFERROR(SEARCH("Harrowing",L75),0) &gt; 0 , VLOOKUP("Harrowing", vote4TRAITS!A:C , 3, FALSE), ),
IF(IFERROR(SEARCH("Hideous Laughter",L75),0) &gt; 0 , VLOOKUP("Hideous Laughter", vote4TRAITS!A:C , 3, FALSE), ),
IF(IFERROR(SEARCH("Hive Defense",L75),0) &gt; 0 , VLOOKUP("Hive Defense", vote4TRAITS!A:C , 3, FALSE), ),
IF(IFERROR(SEARCH("Horrifying",L75),0) &gt; 0 , VLOOKUP("Horrifying", vote4TRAITS!A:C , 3, FALSE), ),
IF(IFERROR(SEARCH("Ironskin",L75),0) &gt; 0 , VLOOKUP("Ironskin", vote4TRAITS!A:C , 3, FALSE), ),
IF(IFERROR(SEARCH("Unmovable",L75),0) &gt; 0 , VLOOKUP("Unmovable", vote4TRAITS!A:C , 3, FALSE), ),
IF(IFERROR(SEARCH("Lifethirst 1",L75),0) &gt; 0 , VLOOKUP("Lifethirst 1", vote4TRAITS!A:C , 3, FALSE), ),
IF(IFERROR(SEARCH("Lifethirst 2",L75),0) &gt; 0 , VLOOKUP("Lifethirst 2", vote4TRAITS!A:C , 3, FALSE), ),
IF(IFERROR(SEARCH("Morph",L75),0) &gt; 0 , VLOOKUP("Morph", vote4TRAITS!A:C , 3, FALSE), ),
IF(IFERROR(SEARCH("Night Stalker",L75),0) &gt; 0 , VLOOKUP("Night Stalker", vote4TRAITS!A:C , 3, FALSE), ),
IF(IFERROR(SEARCH("Overflowing",L75),0) &gt; 0 , VLOOKUP("Overflowing", vote4TRAITS!A:C , 3, FALSE), ),
IF(IFERROR(SEARCH("Pestilence",L75),0) &gt; 0 , VLOOKUP("Pestilence", vote4TRAITS!A:C , 3, FALSE), ),
IF(IFERROR(SEARCH("Phalanx",L75),0) &gt; 0 , VLOOKUP("Phalanx", vote4TRAITS!A:C , 3, FALSE), ),
IF(IFERROR(SEARCH("Plagued",L75),0) &gt; 0 , VLOOKUP("Plagued", vote4TRAITS!A:C , 3, FALSE), ),
IF(IFERROR(SEARCH("Prey on the Weak",L75),0) &gt; 0 , VLOOKUP("Prey on the Weak", vote4TRAITS!A:C , 3, FALSE), ),
IF(IFERROR(SEARCH("Protect",L75),0) &gt; 0 , VLOOKUP("Protect", vote4TRAITS!A:C , 3, FALSE), ),
IF(IFERROR(SEARCH("Puncture",L75),0) &gt; 0 , VLOOKUP("Puncture", vote4TRAITS!A:C , 3, FALSE), ),
IF(IFERROR(SEARCH("Putrid Boils",L75),0) &gt; 0 , VLOOKUP("Putrid Boils", vote4TRAITS!A:C , 3, FALSE), ),
IF(IFERROR(SEARCH("Ravage",L75),0) &gt; 0 , VLOOKUP("Ravage", vote4TRAITS!A:C , 3, FALSE), ),
IF(IFERROR(SEARCH("Ravenous",L75),0) &gt; 0 , VLOOKUP("Ravenous", vote4TRAITS!A:C , 3, FALSE), ),
IF(IFERROR(SEARCH("Reach",L75),0) &gt; 0 , VLOOKUP("Reach", vote4TRAITS!A:C , 3, FALSE), ),
IF(IFERROR(SEARCH("Reanimation",L75),0) &gt; 0 , VLOOKUP("Reanimation", vote4TRAITS!A:C , 3, FALSE), ),
IF(IFERROR(SEARCH("Reaper",L75),0) &gt; 0 , VLOOKUP("Reaper", vote4TRAITS!A:C , 3, FALSE), ),
IF(IFERROR(SEARCH("Riposte",L75),0) &gt; 0 , VLOOKUP("Riposte", vote4TRAITS!A:C , 3, FALSE)),
IF(IFERROR(SEARCH("Scamper",L75),0) &gt; 0 , VLOOKUP("Scamper", vote4TRAITS!A:C , 3, FALSE), ),
IF(IFERROR(SEARCH("Small Beginnings",L75),0) &gt; 0 , VLOOKUP("Small Beginnings", vote4TRAITS!A:C , 3, FALSE), ),
IF(IFERROR(SEARCH("Spawner",L75),0) &gt; 0 , VLOOKUP("Spawner", vote4TRAITS!A:C , 3,FALSE), ),
IF(IFERROR(SEARCH("Shadowr",L75),0) &gt; 0 , VLOOKUP("Shadow", vote4TRAITS!A:C , 3,FALSE), ),
IF(IFERROR(SEARCH("Shadow Step",L75),0) &gt; 0 , VLOOKUP("Shadow Step", vote4TRAITS!A:C , 3,FALSE), ),
IF(IFERROR(SEARCH("Shambling",L75),0) &gt; 0 , VLOOKUP("Shambling", vote4TRAITS!A:C , 3,FALSE), ),
IF(IFERROR(SEARCH("Stealthy",L75),0) &gt; 0 , VLOOKUP("Stealthy", vote4TRAITS!A:C , 3, FALSE), ),
IF(IFERROR(SEARCH("Web",L75),0) &gt; 0 , VLOOKUP("Web", vote4TRAITS!A:C , 3, FALSE), ),
IF(IFERROR(SEARCH("+1 Willpower",L75),0) &gt; 0 , VLOOKUP("+1 Willpower", vote4TRAITS!A:C , 3, FALSE), ),
IF(IFERROR(SEARCH("+1 Might",L75),0) &gt; 0 , VLOOKUP("+1 Might", vote4TRAITS!A:C , 3, FALSE), ),
IF(IFERROR(SEARCH("+1 Knowledge",L75),0) &gt; 0 , VLOOKUP("+1 Knowledge", vote4TRAITS!A:C , 3, FALSE), ),
IF(IFERROR(SEARCH("+1 Awareness",L75),0) &gt; 0 , VLOOKUP("+1 Awareness", vote4TRAITS!A:C , 3, FALSE), ),
IF(IFERROR(SEARCH("-1 Willpower",L75),0) &gt; 0 , VLOOKUP("-1 Willpower", vote4TRAITS!A:C , 3, FALSE), ),
IF(IFERROR(SEARCH("+1 Health",L75),0) &gt; 0 , VLOOKUP("+1 Health", vote4TRAITS!A:C , 3, FALSE), ),
IF(IFERROR(SEARCH("+2 Health",L75),0) &gt; 0 , VLOOKUP("+2 Health", vote4TRAITS!A:C , 3, FALSE), ),
IF(IFERROR(SEARCH("+1 Stamina",L75),0) &gt; 0 , VLOOKUP("+1 Stamina", vote4TRAITS!A:C , 3, FALSE), ),
IF(IFERROR(SEARCH("+2 Stamina",L75),0) &gt; 0 , VLOOKUP("+2 Stamina", vote4TRAITS!A:C , 3, FALSE), ),
IFS(
IFERROR(SEARCH("+1 Range", L75),) &gt; 0 ,VLOOKUP("+1 Range", vote4TRAITS!A:C , 3, FALSE),
IFERROR(SEARCH("+2 Range", L75),) &gt; 0 ,VLOOKUP("+2 Range", vote4TRAITS!A:C , 3, FALSE),
IFERROR(SEARCH("+3 Range", L75),) &gt; 0,VLOOKUP("+3 Range", vote4TRAITS!A:C , 3, FALSE),
0=0,0)
,
IFS(
IFERROR(SEARCH("Sorcery 1", L75),) &gt; 0 ,VLOOKUP("Sorcery 1", vote4TRAITS!A:C , 3, FALSE),
IFERROR(SEARCH("Sorcery 2", L75),) &gt; 0 ,VLOOKUP("Sorcery 2", vote4TRAITS!A:C , 3, FALSE),
IFERROR(SEARCH("Sorcery 3", L75),) &gt; 0,VLOOKUP("Sorcery 3", vote4TRAITS!A:C , 3, FALSE),
0=0,0)
,
IFS(
IFERROR(SEARCH("Pierce 1", L75),) &gt; 0 ,VLOOKUP("Pierce 1", vote4TRAITS!A:C , 3, FALSE),
IFERROR(SEARCH("Pierce 2", L75),) &gt; 0 ,VLOOKUP("Pierce 2", vote4TRAITS!A:C , 3, FALSE),
IFERROR(SEARCH("Pierce 3", L75),) &gt; 0,VLOOKUP("Pierce 3", vote4TRAITS!A:C , 3, FALSE),
IFERROR(SEARCH("Pierce 4", L75),) &gt; 0 ,VLOOKUP("Pierce 4", vote4TRAITS!A:C , 3, FALSE),
0=0,0)
,
IFS(
IFERROR(SEARCH("+1 Health", L75),) &gt; 0 ,VLOOKUP("+1 Health", vote4TRAITS!A:C , 3, FALSE),
IFERROR(SEARCH("+2 Health", L75),) &gt; 0 ,VLOOKUP("+2 Health", vote4TRAITS!A:C , 3, FALSE),
IFERROR(SEARCH("+3 Health", L75),) &gt; 0 ,VLOOKUP("+3 Health", vote4TRAITS!A:C , 3, FALSE),
IFERROR(SEARCH("+4 Health", L75),) &gt; 0 ,VLOOKUP("+4 Health", vote4TRAITS!A:C , 3, FALSE),
0=0,0)
,
IFS(
IFERROR(SEARCH("Soul Shackle 1", L75),) &gt; 0 ,VLOOKUP("Soul Shackle 1", vote4TRAITS!A:C , 3, FALSE),
IFERROR(SEARCH("Soul Shackle 2", L75),) &gt; 0 ,VLOOKUP("Soul Shackle 2", vote4TRAITS!A:C , 3, FALSE),
IFERROR(SEARCH("Soul Shackle 3", L75),) &gt; 0,VLOOKUP("Soul Shackle 3", vote4TRAITS!A:C , 3, FALSE),
0=0,0)
)</f>
        <v>0</v>
      </c>
      <c r="N75" s="311" t="s">
        <v>1564</v>
      </c>
      <c r="O75" s="317">
        <f>IF(ISBLANK(N75),,IFERROR(
IF(IFERROR(SEARCH("SS:",N75),0) &gt; 0, 
VLOOKUP(SUBSTITUTE(N75,"SS: ",""),vote4SURGE!$A:$C , 3, FALSE) - 2,
VLOOKUP(SUBSTITUTE(N75,"S: ",""),vote4SURGE!$A:$C , 3, FALSE)
)
,
IF(IFERROR(SEARCH("SS:",N75),0) &gt; 0, 
VLOOKUP(C75,vote4SURGE!$A:$C , 3, FALSE) - 2,
VLOOKUP(C75,vote4SURGE!$A:$C , 3, FALSE)
)
))</f>
        <v>3.5</v>
      </c>
      <c r="P75" s="318"/>
      <c r="Q75" s="317" t="str">
        <f>IF(ISBLANK(P75),,IFERROR(
IF(IFERROR(SEARCH("SS:",P75),0) &gt; 0, 
VLOOKUP(SUBSTITUTE(P75,"SS: ",""),vote4SURGE!$A:$C , 3, FALSE) - 2,
VLOOKUP(SUBSTITUTE(P75,"S: ",""),vote4SURGE!$A:$C , 3, FALSE)
)
,
IF(IFERROR(SEARCH("SS:",P75),0) &gt; 0, 
VLOOKUP(C75,vote4SURGE!$A:$C , 3, FALSE) - 2,
VLOOKUP(C75,vote4SURGE!$A:$C , 3, FALSE)
)
))</f>
        <v/>
      </c>
      <c r="R75" s="318"/>
      <c r="S75" s="319" t="str">
        <f>IF(ISBLANK(R75),,IFERROR(
IF(IFERROR(SEARCH("SS:",R75),0) &gt; 0, 
VLOOKUP(SUBSTITUTE(R75,"SS: ",""),vote4SURGE!$A:$C , 3, FALSE) - 2,
VLOOKUP(SUBSTITUTE(R75,"S: ",""),vote4SURGE!$A:$C , 3, FALSE)
)
,
IF(IFERROR(SEARCH("SS:",R75),0) &gt; 0, 
VLOOKUP(C75,vote4SURGE!$A:$C , 3, FALSE) - 2,
VLOOKUP(C75,vote4SURGE!$A:$C , 3, FALSE)
)
))</f>
        <v/>
      </c>
      <c r="T75" s="320">
        <f t="shared" si="2"/>
        <v>1</v>
      </c>
      <c r="U75" s="320">
        <f>IFERROR(__xludf.DUMMYFUNCTION("ROUND(
IF(ISBLANK(G75),,
SWITCH(
LEN(G75) - LEN(SUBSTITUTE(G75,"","","""")),
0 , VLOOKUP(G75, Variables!$A:$C, 3, FALSE),
1 , VLOOKUP(index(split(G75 ,"", "", FALSE),1,1), Variables!$A:$C , 3, FALSE) + VLOOKUP(index(split(G75 ,"", "", FALSE),1,2), Variabl"&amp;"es!$A:$C , 3, FALSE),
2 , VLOOKUP(index(split(G75 ,"", "", FALSE),1,1), Variables!$A:$C , 3, FALSE) + VLOOKUP(index(split(G75 ,"", "", FALSE),1,2), Variables!$A:$C , 3, FALSE) + VLOOKUP(index(split(G75 ,"", "", FALSE),1,3), Variables!$A:$C , 3, FALSE),
3 "&amp;", VLOOKUP(index(split(G75 ,"", "", FALSE),1,1), Variables!$A:$C , 3, FALSE) + VLOOKUP(index(split(G75 ,"", "", FALSE),1,2), Variables!$A:$C , 3, FALSE) + VLOOKUP(index(split(G75 ,"", "", FALSE),1,3), Variables!$A:$C , 3, FALSE) + VLOOKUP(index(split(G75 ,"&amp;""", "", FALSE),1,4), Variables!$A:$C , 3, FALSE),
)
)
)"),1.0)</f>
        <v>1</v>
      </c>
      <c r="V75" s="317">
        <f t="shared" si="3"/>
        <v>3.5</v>
      </c>
      <c r="W75" s="321">
        <f t="shared" si="4"/>
        <v>8.5</v>
      </c>
      <c r="X75" s="118"/>
      <c r="Y75" s="118"/>
      <c r="Z75" s="118"/>
      <c r="AA75" s="118"/>
      <c r="AB75" s="118"/>
      <c r="AC75" s="118"/>
      <c r="AD75" s="118"/>
      <c r="AE75" s="118"/>
    </row>
    <row r="76" hidden="1">
      <c r="A76" s="310">
        <v>1.0</v>
      </c>
      <c r="B76" s="93">
        <f t="shared" si="1"/>
        <v>2</v>
      </c>
      <c r="C76" s="310" t="s">
        <v>765</v>
      </c>
      <c r="D76" s="310">
        <v>150.0</v>
      </c>
      <c r="E76" s="310" t="s">
        <v>1629</v>
      </c>
      <c r="F76" s="310" t="s">
        <v>1531</v>
      </c>
      <c r="G76" s="313" t="s">
        <v>1548</v>
      </c>
      <c r="H76" s="312">
        <f>IFERROR(__xludf.DUMMYFUNCTION(" IF(ISBLANK(G76),,
SWITCH(
LEN(G76) - LEN(SUBSTITUTE(G76,"","","""")),
0 , VLOOKUP(G76, Variables!$A:$B, 2, FALSE),
1 , VLOOKUP(index(split(G76 ,"", "", FALSE),1,1), Variables!$A:$B , 2, FALSE) + VLOOKUP(index(split(G76 ,"", "", FALSE),1,2), Variables!$A:"&amp;"$B , 2, FALSE),
2 , VLOOKUP(index(split(G76 ,"", "", FALSE),1,1), Variables!$A:$B , 2, FALSE) + VLOOKUP(index(split(G76 ,"", "", FALSE),1,2), Variables!$A:$B , 2, FALSE) + VLOOKUP(index(split(G76 ,"", "", FALSE),1,3), Variables!$A:$B , 2, FALSE),
3 , VLOO"&amp;"KUP(index(split(G76 ,"", "", FALSE),1,1), Variables!$A:$B , 2, FALSE) + VLOOKUP(index(split(G76 ,"", "", FALSE),1,2), Variables!$A:$B , 2, FALSE) + VLOOKUP(index(split(G76 ,"", "", FALSE),1,3), Variables!$A:$B , 2, FALSE) + VLOOKUP(index(split(G76 ,"", """&amp;", FALSE),1,4), Variables!$A:$B , 2, FALSE),
)
)"),2.3333333333333335)</f>
        <v>2.333333333</v>
      </c>
      <c r="I76" s="310" t="s">
        <v>1541</v>
      </c>
      <c r="J76" s="313" t="s">
        <v>766</v>
      </c>
      <c r="K76" s="314">
        <f>IFERROR(VLOOKUP(C76,vote4ITEMS!$A:$C, 3, FALSE),)</f>
        <v>0.3333333333</v>
      </c>
      <c r="L76" s="313"/>
      <c r="M76" s="314">
        <f>SUM(
IF(IFERROR(SEARCH("Aura 1",L76),0) &gt; 0 , VLOOKUP("Aura 1", vote4TRAITS!A:C , 3, FALSE), ),
IF(IFERROR(SEARCH("Backswing",L76),0) &gt; 0 , VLOOKUP("Backswing", vote4TRAITS!A:C , 3, FALSE), ),
IF(IFERROR(SEARCH("Blast",L76),0) &gt; 0 , VLOOKUP("Blast", vote4TRAITS!A:C , 3, FALSE), ),
IF(IFERROR(SEARCH("Combustible",L76),0) &gt; 0 , VLOOKUP("Combustible", vote4TRAITS!A:C , 3, FALSE), ),
IF(IFERROR(SEARCH("Command",L76),0) &gt; 0 , VLOOKUP("Command", vote4TRAITS!A:C , 3, FALSE), ),
IF(IFERROR(SEARCH("Cowardly",L76),0) &gt; 0 , VLOOKUP("Cowardly", vote4TRAITS!A:C , 3, FALSE), ),
IF(IFERROR(SEARCH("Death Wish",L76),0) &gt; 0 , VLOOKUP("Death Wish", vote4TRAITS!A:C , 3, FALSE), ),
IF(IFERROR(SEARCH("Entomb",L76),0) &gt; 0 , VLOOKUP("Entomb", vote4TRAITS!A:C , 3, FALSE), ),
IF(IFERROR(SEARCH("Ethereal Hold",L76),0) &gt; 0 , VLOOKUP("Ethereal Hold", vote4TRAITS!A:C , 3, FALSE), ),
IF(IFERROR(SEARCH("Extend",L76),0) &gt; 0 , VLOOKUP("Extend", vote4TRAITS!A:C , 3, FALSE), ),
IF(IFERROR(SEARCH("Filthy Murk",L76),0) &gt; 0 , VLOOKUP("Filthy Murk", vote4TRAITS!A:C , 3, FALSE), ),
IF(IFERROR(SEARCH("Flame Fiend",L76),0) &gt; 0 , VLOOKUP("Flame Fiend", vote4TRAITS!A:C , 3, FALSE), ),
IF(IFERROR(SEARCH("Fleshmonger",L76),0) &gt; 0 , VLOOKUP("Fleshmonger", vote4TRAITS!A:C , 3, FALSE), ),
IF(IFERROR(SEARCH("Fly",L76),0) &gt; 0 , VLOOKUP("Fly", vote4TRAITS!A:C , 3, FALSE), ),
IF(IFERROR(SEARCH("Freezing",L76),0) &gt; 0 , VLOOKUP("Freezing", vote4TRAITS!A:C , 3, FALSE), ),
IF(IFERROR(SEARCH("Lithesome",L76),0) &gt; 0 , VLOOKUP("Lithesome", vote4TRAITS!A:C , 3, FALSE), ),
IF(IFERROR(SEARCH("Harrowing",L76),0) &gt; 0 , VLOOKUP("Harrowing", vote4TRAITS!A:C , 3, FALSE), ),
IF(IFERROR(SEARCH("Hideous Laughter",L76),0) &gt; 0 , VLOOKUP("Hideous Laughter", vote4TRAITS!A:C , 3, FALSE), ),
IF(IFERROR(SEARCH("Hive Defense",L76),0) &gt; 0 , VLOOKUP("Hive Defense", vote4TRAITS!A:C , 3, FALSE), ),
IF(IFERROR(SEARCH("Horrifying",L76),0) &gt; 0 , VLOOKUP("Horrifying", vote4TRAITS!A:C , 3, FALSE), ),
IF(IFERROR(SEARCH("Ironskin",L76),0) &gt; 0 , VLOOKUP("Ironskin", vote4TRAITS!A:C , 3, FALSE), ),
IF(IFERROR(SEARCH("Unmovable",L76),0) &gt; 0 , VLOOKUP("Unmovable", vote4TRAITS!A:C , 3, FALSE), ),
IF(IFERROR(SEARCH("Lifethirst 1",L76),0) &gt; 0 , VLOOKUP("Lifethirst 1", vote4TRAITS!A:C , 3, FALSE), ),
IF(IFERROR(SEARCH("Lifethirst 2",L76),0) &gt; 0 , VLOOKUP("Lifethirst 2", vote4TRAITS!A:C , 3, FALSE), ),
IF(IFERROR(SEARCH("Morph",L76),0) &gt; 0 , VLOOKUP("Morph", vote4TRAITS!A:C , 3, FALSE), ),
IF(IFERROR(SEARCH("Night Stalker",L76),0) &gt; 0 , VLOOKUP("Night Stalker", vote4TRAITS!A:C , 3, FALSE), ),
IF(IFERROR(SEARCH("Overflowing",L76),0) &gt; 0 , VLOOKUP("Overflowing", vote4TRAITS!A:C , 3, FALSE), ),
IF(IFERROR(SEARCH("Pestilence",L76),0) &gt; 0 , VLOOKUP("Pestilence", vote4TRAITS!A:C , 3, FALSE), ),
IF(IFERROR(SEARCH("Phalanx",L76),0) &gt; 0 , VLOOKUP("Phalanx", vote4TRAITS!A:C , 3, FALSE), ),
IF(IFERROR(SEARCH("Plagued",L76),0) &gt; 0 , VLOOKUP("Plagued", vote4TRAITS!A:C , 3, FALSE), ),
IF(IFERROR(SEARCH("Prey on the Weak",L76),0) &gt; 0 , VLOOKUP("Prey on the Weak", vote4TRAITS!A:C , 3, FALSE), ),
IF(IFERROR(SEARCH("Protect",L76),0) &gt; 0 , VLOOKUP("Protect", vote4TRAITS!A:C , 3, FALSE), ),
IF(IFERROR(SEARCH("Puncture",L76),0) &gt; 0 , VLOOKUP("Puncture", vote4TRAITS!A:C , 3, FALSE), ),
IF(IFERROR(SEARCH("Putrid Boils",L76),0) &gt; 0 , VLOOKUP("Putrid Boils", vote4TRAITS!A:C , 3, FALSE), ),
IF(IFERROR(SEARCH("Ravage",L76),0) &gt; 0 , VLOOKUP("Ravage", vote4TRAITS!A:C , 3, FALSE), ),
IF(IFERROR(SEARCH("Ravenous",L76),0) &gt; 0 , VLOOKUP("Ravenous", vote4TRAITS!A:C , 3, FALSE), ),
IF(IFERROR(SEARCH("Reach",L76),0) &gt; 0 , VLOOKUP("Reach", vote4TRAITS!A:C , 3, FALSE), ),
IF(IFERROR(SEARCH("Reanimation",L76),0) &gt; 0 , VLOOKUP("Reanimation", vote4TRAITS!A:C , 3, FALSE), ),
IF(IFERROR(SEARCH("Reaper",L76),0) &gt; 0 , VLOOKUP("Reaper", vote4TRAITS!A:C , 3, FALSE), ),
IF(IFERROR(SEARCH("Riposte",L76),0) &gt; 0 , VLOOKUP("Riposte", vote4TRAITS!A:C , 3, FALSE)),
IF(IFERROR(SEARCH("Scamper",L76),0) &gt; 0 , VLOOKUP("Scamper", vote4TRAITS!A:C , 3, FALSE), ),
IF(IFERROR(SEARCH("Small Beginnings",L76),0) &gt; 0 , VLOOKUP("Small Beginnings", vote4TRAITS!A:C , 3, FALSE), ),
IF(IFERROR(SEARCH("Spawner",L76),0) &gt; 0 , VLOOKUP("Spawner", vote4TRAITS!A:C , 3,FALSE), ),
IF(IFERROR(SEARCH("Shadowr",L76),0) &gt; 0 , VLOOKUP("Shadow", vote4TRAITS!A:C , 3,FALSE), ),
IF(IFERROR(SEARCH("Shadow Step",L76),0) &gt; 0 , VLOOKUP("Shadow Step", vote4TRAITS!A:C , 3,FALSE), ),
IF(IFERROR(SEARCH("Shambling",L76),0) &gt; 0 , VLOOKUP("Shambling", vote4TRAITS!A:C , 3,FALSE), ),
IF(IFERROR(SEARCH("Stealthy",L76),0) &gt; 0 , VLOOKUP("Stealthy", vote4TRAITS!A:C , 3, FALSE), ),
IF(IFERROR(SEARCH("Web",L76),0) &gt; 0 , VLOOKUP("Web", vote4TRAITS!A:C , 3, FALSE), ),
IF(IFERROR(SEARCH("+1 Willpower",L76),0) &gt; 0 , VLOOKUP("+1 Willpower", vote4TRAITS!A:C , 3, FALSE), ),
IF(IFERROR(SEARCH("+1 Might",L76),0) &gt; 0 , VLOOKUP("+1 Might", vote4TRAITS!A:C , 3, FALSE), ),
IF(IFERROR(SEARCH("+1 Knowledge",L76),0) &gt; 0 , VLOOKUP("+1 Knowledge", vote4TRAITS!A:C , 3, FALSE), ),
IF(IFERROR(SEARCH("+1 Awareness",L76),0) &gt; 0 , VLOOKUP("+1 Awareness", vote4TRAITS!A:C , 3, FALSE), ),
IF(IFERROR(SEARCH("-1 Willpower",L76),0) &gt; 0 , VLOOKUP("-1 Willpower", vote4TRAITS!A:C , 3, FALSE), ),
IF(IFERROR(SEARCH("+1 Health",L76),0) &gt; 0 , VLOOKUP("+1 Health", vote4TRAITS!A:C , 3, FALSE), ),
IF(IFERROR(SEARCH("+2 Health",L76),0) &gt; 0 , VLOOKUP("+2 Health", vote4TRAITS!A:C , 3, FALSE), ),
IF(IFERROR(SEARCH("+1 Stamina",L76),0) &gt; 0 , VLOOKUP("+1 Stamina", vote4TRAITS!A:C , 3, FALSE), ),
IF(IFERROR(SEARCH("+2 Stamina",L76),0) &gt; 0 , VLOOKUP("+2 Stamina", vote4TRAITS!A:C , 3, FALSE), ),
IFS(
IFERROR(SEARCH("+1 Range", L76),) &gt; 0 ,VLOOKUP("+1 Range", vote4TRAITS!A:C , 3, FALSE),
IFERROR(SEARCH("+2 Range", L76),) &gt; 0 ,VLOOKUP("+2 Range", vote4TRAITS!A:C , 3, FALSE),
IFERROR(SEARCH("+3 Range", L76),) &gt; 0,VLOOKUP("+3 Range", vote4TRAITS!A:C , 3, FALSE),
0=0,0)
,
IFS(
IFERROR(SEARCH("Sorcery 1", L76),) &gt; 0 ,VLOOKUP("Sorcery 1", vote4TRAITS!A:C , 3, FALSE),
IFERROR(SEARCH("Sorcery 2", L76),) &gt; 0 ,VLOOKUP("Sorcery 2", vote4TRAITS!A:C , 3, FALSE),
IFERROR(SEARCH("Sorcery 3", L76),) &gt; 0,VLOOKUP("Sorcery 3", vote4TRAITS!A:C , 3, FALSE),
0=0,0)
,
IFS(
IFERROR(SEARCH("Pierce 1", L76),) &gt; 0 ,VLOOKUP("Pierce 1", vote4TRAITS!A:C , 3, FALSE),
IFERROR(SEARCH("Pierce 2", L76),) &gt; 0 ,VLOOKUP("Pierce 2", vote4TRAITS!A:C , 3, FALSE),
IFERROR(SEARCH("Pierce 3", L76),) &gt; 0,VLOOKUP("Pierce 3", vote4TRAITS!A:C , 3, FALSE),
IFERROR(SEARCH("Pierce 4", L76),) &gt; 0 ,VLOOKUP("Pierce 4", vote4TRAITS!A:C , 3, FALSE),
0=0,0)
,
IFS(
IFERROR(SEARCH("+1 Health", L76),) &gt; 0 ,VLOOKUP("+1 Health", vote4TRAITS!A:C , 3, FALSE),
IFERROR(SEARCH("+2 Health", L76),) &gt; 0 ,VLOOKUP("+2 Health", vote4TRAITS!A:C , 3, FALSE),
IFERROR(SEARCH("+3 Health", L76),) &gt; 0 ,VLOOKUP("+3 Health", vote4TRAITS!A:C , 3, FALSE),
IFERROR(SEARCH("+4 Health", L76),) &gt; 0 ,VLOOKUP("+4 Health", vote4TRAITS!A:C , 3, FALSE),
0=0,0)
,
IFS(
IFERROR(SEARCH("Soul Shackle 1", L76),) &gt; 0 ,VLOOKUP("Soul Shackle 1", vote4TRAITS!A:C , 3, FALSE),
IFERROR(SEARCH("Soul Shackle 2", L76),) &gt; 0 ,VLOOKUP("Soul Shackle 2", vote4TRAITS!A:C , 3, FALSE),
IFERROR(SEARCH("Soul Shackle 3", L76),) &gt; 0,VLOOKUP("Soul Shackle 3", vote4TRAITS!A:C , 3, FALSE),
0=0,0)
)</f>
        <v>0</v>
      </c>
      <c r="N76" s="311" t="s">
        <v>1564</v>
      </c>
      <c r="O76" s="317">
        <f>IF(ISBLANK(N76),,IFERROR(
IF(IFERROR(SEARCH("SS:",N76),0) &gt; 0, 
VLOOKUP(SUBSTITUTE(N76,"SS: ",""),vote4SURGE!$A:$C , 3, FALSE) - 2,
VLOOKUP(SUBSTITUTE(N76,"S: ",""),vote4SURGE!$A:$C , 3, FALSE)
)
,
IF(IFERROR(SEARCH("SS:",N76),0) &gt; 0, 
VLOOKUP(C76,vote4SURGE!$A:$C , 3, FALSE) - 2,
VLOOKUP(C76,vote4SURGE!$A:$C , 3, FALSE)
)
))</f>
        <v>3.5</v>
      </c>
      <c r="P76" s="318"/>
      <c r="Q76" s="317" t="str">
        <f>IF(ISBLANK(P76),,IFERROR(
IF(IFERROR(SEARCH("SS:",P76),0) &gt; 0, 
VLOOKUP(SUBSTITUTE(P76,"SS: ",""),vote4SURGE!$A:$C , 3, FALSE) - 2,
VLOOKUP(SUBSTITUTE(P76,"S: ",""),vote4SURGE!$A:$C , 3, FALSE)
)
,
IF(IFERROR(SEARCH("SS:",P76),0) &gt; 0, 
VLOOKUP(C76,vote4SURGE!$A:$C , 3, FALSE) - 2,
VLOOKUP(C76,vote4SURGE!$A:$C , 3, FALSE)
)
))</f>
        <v/>
      </c>
      <c r="R76" s="318"/>
      <c r="S76" s="319" t="str">
        <f>IF(ISBLANK(R76),,IFERROR(
IF(IFERROR(SEARCH("SS:",R76),0) &gt; 0, 
VLOOKUP(SUBSTITUTE(R76,"SS: ",""),vote4SURGE!$A:$C , 3, FALSE) - 2,
VLOOKUP(SUBSTITUTE(R76,"S: ",""),vote4SURGE!$A:$C , 3, FALSE)
)
,
IF(IFERROR(SEARCH("SS:",R76),0) &gt; 0, 
VLOOKUP(C76,vote4SURGE!$A:$C , 3, FALSE) - 2,
VLOOKUP(C76,vote4SURGE!$A:$C , 3, FALSE)
)
))</f>
        <v/>
      </c>
      <c r="T76" s="320">
        <f t="shared" si="2"/>
        <v>1</v>
      </c>
      <c r="U76" s="320">
        <f>IFERROR(__xludf.DUMMYFUNCTION("ROUND(
IF(ISBLANK(G76),,
SWITCH(
LEN(G76) - LEN(SUBSTITUTE(G76,"","","""")),
0 , VLOOKUP(G76, Variables!$A:$C, 3, FALSE),
1 , VLOOKUP(index(split(G76 ,"", "", FALSE),1,1), Variables!$A:$C , 3, FALSE) + VLOOKUP(index(split(G76 ,"", "", FALSE),1,2), Variabl"&amp;"es!$A:$C , 3, FALSE),
2 , VLOOKUP(index(split(G76 ,"", "", FALSE),1,1), Variables!$A:$C , 3, FALSE) + VLOOKUP(index(split(G76 ,"", "", FALSE),1,2), Variables!$A:$C , 3, FALSE) + VLOOKUP(index(split(G76 ,"", "", FALSE),1,3), Variables!$A:$C , 3, FALSE),
3 "&amp;", VLOOKUP(index(split(G76 ,"", "", FALSE),1,1), Variables!$A:$C , 3, FALSE) + VLOOKUP(index(split(G76 ,"", "", FALSE),1,2), Variables!$A:$C , 3, FALSE) + VLOOKUP(index(split(G76 ,"", "", FALSE),1,3), Variables!$A:$C , 3, FALSE) + VLOOKUP(index(split(G76 ,"&amp;""", "", FALSE),1,4), Variables!$A:$C , 3, FALSE),
)
)
)"),1.0)</f>
        <v>1</v>
      </c>
      <c r="V76" s="317">
        <f t="shared" si="3"/>
        <v>3.5</v>
      </c>
      <c r="W76" s="321">
        <f t="shared" si="4"/>
        <v>6.166666667</v>
      </c>
      <c r="X76" s="118"/>
      <c r="Y76" s="118"/>
      <c r="Z76" s="118"/>
      <c r="AA76" s="118"/>
      <c r="AB76" s="118"/>
      <c r="AC76" s="118"/>
      <c r="AD76" s="118"/>
      <c r="AE76" s="118"/>
    </row>
    <row r="77" hidden="1">
      <c r="A77" s="310">
        <v>1.0</v>
      </c>
      <c r="B77" s="93">
        <f t="shared" si="1"/>
        <v>2</v>
      </c>
      <c r="C77" s="310" t="s">
        <v>1630</v>
      </c>
      <c r="D77" s="310">
        <v>75.0</v>
      </c>
      <c r="E77" s="310" t="s">
        <v>1527</v>
      </c>
      <c r="F77" s="310" t="s">
        <v>1521</v>
      </c>
      <c r="G77" s="313" t="s">
        <v>1548</v>
      </c>
      <c r="H77" s="312">
        <f>IFERROR(__xludf.DUMMYFUNCTION(" IF(ISBLANK(G77),,
SWITCH(
LEN(G77) - LEN(SUBSTITUTE(G77,"","","""")),
0 , VLOOKUP(G77, Variables!$A:$B, 2, FALSE),
1 , VLOOKUP(index(split(G77 ,"", "", FALSE),1,1), Variables!$A:$B , 2, FALSE) + VLOOKUP(index(split(G77 ,"", "", FALSE),1,2), Variables!$A:"&amp;"$B , 2, FALSE),
2 , VLOOKUP(index(split(G77 ,"", "", FALSE),1,1), Variables!$A:$B , 2, FALSE) + VLOOKUP(index(split(G77 ,"", "", FALSE),1,2), Variables!$A:$B , 2, FALSE) + VLOOKUP(index(split(G77 ,"", "", FALSE),1,3), Variables!$A:$B , 2, FALSE),
3 , VLOO"&amp;"KUP(index(split(G77 ,"", "", FALSE),1,1), Variables!$A:$B , 2, FALSE) + VLOOKUP(index(split(G77 ,"", "", FALSE),1,2), Variables!$A:$B , 2, FALSE) + VLOOKUP(index(split(G77 ,"", "", FALSE),1,3), Variables!$A:$B , 2, FALSE) + VLOOKUP(index(split(G77 ,"", """&amp;", FALSE),1,4), Variables!$A:$B , 2, FALSE),
)
)"),2.3333333333333335)</f>
        <v>2.333333333</v>
      </c>
      <c r="I77" s="310" t="s">
        <v>1529</v>
      </c>
      <c r="J77" s="313"/>
      <c r="K77" s="314" t="str">
        <f>IFERROR(VLOOKUP(C77,vote4ITEMS!$A:$C, 3, FALSE),)</f>
        <v/>
      </c>
      <c r="L77" s="313"/>
      <c r="M77" s="314">
        <f>SUM(
IF(IFERROR(SEARCH("Aura 1",L77),0) &gt; 0 , VLOOKUP("Aura 1", vote4TRAITS!A:C , 3, FALSE), ),
IF(IFERROR(SEARCH("Backswing",L77),0) &gt; 0 , VLOOKUP("Backswing", vote4TRAITS!A:C , 3, FALSE), ),
IF(IFERROR(SEARCH("Blast",L77),0) &gt; 0 , VLOOKUP("Blast", vote4TRAITS!A:C , 3, FALSE), ),
IF(IFERROR(SEARCH("Combustible",L77),0) &gt; 0 , VLOOKUP("Combustible", vote4TRAITS!A:C , 3, FALSE), ),
IF(IFERROR(SEARCH("Command",L77),0) &gt; 0 , VLOOKUP("Command", vote4TRAITS!A:C , 3, FALSE), ),
IF(IFERROR(SEARCH("Cowardly",L77),0) &gt; 0 , VLOOKUP("Cowardly", vote4TRAITS!A:C , 3, FALSE), ),
IF(IFERROR(SEARCH("Death Wish",L77),0) &gt; 0 , VLOOKUP("Death Wish", vote4TRAITS!A:C , 3, FALSE), ),
IF(IFERROR(SEARCH("Entomb",L77),0) &gt; 0 , VLOOKUP("Entomb", vote4TRAITS!A:C , 3, FALSE), ),
IF(IFERROR(SEARCH("Ethereal Hold",L77),0) &gt; 0 , VLOOKUP("Ethereal Hold", vote4TRAITS!A:C , 3, FALSE), ),
IF(IFERROR(SEARCH("Extend",L77),0) &gt; 0 , VLOOKUP("Extend", vote4TRAITS!A:C , 3, FALSE), ),
IF(IFERROR(SEARCH("Filthy Murk",L77),0) &gt; 0 , VLOOKUP("Filthy Murk", vote4TRAITS!A:C , 3, FALSE), ),
IF(IFERROR(SEARCH("Flame Fiend",L77),0) &gt; 0 , VLOOKUP("Flame Fiend", vote4TRAITS!A:C , 3, FALSE), ),
IF(IFERROR(SEARCH("Fleshmonger",L77),0) &gt; 0 , VLOOKUP("Fleshmonger", vote4TRAITS!A:C , 3, FALSE), ),
IF(IFERROR(SEARCH("Fly",L77),0) &gt; 0 , VLOOKUP("Fly", vote4TRAITS!A:C , 3, FALSE), ),
IF(IFERROR(SEARCH("Freezing",L77),0) &gt; 0 , VLOOKUP("Freezing", vote4TRAITS!A:C , 3, FALSE), ),
IF(IFERROR(SEARCH("Lithesome",L77),0) &gt; 0 , VLOOKUP("Lithesome", vote4TRAITS!A:C , 3, FALSE), ),
IF(IFERROR(SEARCH("Harrowing",L77),0) &gt; 0 , VLOOKUP("Harrowing", vote4TRAITS!A:C , 3, FALSE), ),
IF(IFERROR(SEARCH("Hideous Laughter",L77),0) &gt; 0 , VLOOKUP("Hideous Laughter", vote4TRAITS!A:C , 3, FALSE), ),
IF(IFERROR(SEARCH("Hive Defense",L77),0) &gt; 0 , VLOOKUP("Hive Defense", vote4TRAITS!A:C , 3, FALSE), ),
IF(IFERROR(SEARCH("Horrifying",L77),0) &gt; 0 , VLOOKUP("Horrifying", vote4TRAITS!A:C , 3, FALSE), ),
IF(IFERROR(SEARCH("Ironskin",L77),0) &gt; 0 , VLOOKUP("Ironskin", vote4TRAITS!A:C , 3, FALSE), ),
IF(IFERROR(SEARCH("Unmovable",L77),0) &gt; 0 , VLOOKUP("Unmovable", vote4TRAITS!A:C , 3, FALSE), ),
IF(IFERROR(SEARCH("Lifethirst 1",L77),0) &gt; 0 , VLOOKUP("Lifethirst 1", vote4TRAITS!A:C , 3, FALSE), ),
IF(IFERROR(SEARCH("Lifethirst 2",L77),0) &gt; 0 , VLOOKUP("Lifethirst 2", vote4TRAITS!A:C , 3, FALSE), ),
IF(IFERROR(SEARCH("Morph",L77),0) &gt; 0 , VLOOKUP("Morph", vote4TRAITS!A:C , 3, FALSE), ),
IF(IFERROR(SEARCH("Night Stalker",L77),0) &gt; 0 , VLOOKUP("Night Stalker", vote4TRAITS!A:C , 3, FALSE), ),
IF(IFERROR(SEARCH("Overflowing",L77),0) &gt; 0 , VLOOKUP("Overflowing", vote4TRAITS!A:C , 3, FALSE), ),
IF(IFERROR(SEARCH("Pestilence",L77),0) &gt; 0 , VLOOKUP("Pestilence", vote4TRAITS!A:C , 3, FALSE), ),
IF(IFERROR(SEARCH("Phalanx",L77),0) &gt; 0 , VLOOKUP("Phalanx", vote4TRAITS!A:C , 3, FALSE), ),
IF(IFERROR(SEARCH("Plagued",L77),0) &gt; 0 , VLOOKUP("Plagued", vote4TRAITS!A:C , 3, FALSE), ),
IF(IFERROR(SEARCH("Prey on the Weak",L77),0) &gt; 0 , VLOOKUP("Prey on the Weak", vote4TRAITS!A:C , 3, FALSE), ),
IF(IFERROR(SEARCH("Protect",L77),0) &gt; 0 , VLOOKUP("Protect", vote4TRAITS!A:C , 3, FALSE), ),
IF(IFERROR(SEARCH("Puncture",L77),0) &gt; 0 , VLOOKUP("Puncture", vote4TRAITS!A:C , 3, FALSE), ),
IF(IFERROR(SEARCH("Putrid Boils",L77),0) &gt; 0 , VLOOKUP("Putrid Boils", vote4TRAITS!A:C , 3, FALSE), ),
IF(IFERROR(SEARCH("Ravage",L77),0) &gt; 0 , VLOOKUP("Ravage", vote4TRAITS!A:C , 3, FALSE), ),
IF(IFERROR(SEARCH("Ravenous",L77),0) &gt; 0 , VLOOKUP("Ravenous", vote4TRAITS!A:C , 3, FALSE), ),
IF(IFERROR(SEARCH("Reach",L77),0) &gt; 0 , VLOOKUP("Reach", vote4TRAITS!A:C , 3, FALSE), ),
IF(IFERROR(SEARCH("Reanimation",L77),0) &gt; 0 , VLOOKUP("Reanimation", vote4TRAITS!A:C , 3, FALSE), ),
IF(IFERROR(SEARCH("Reaper",L77),0) &gt; 0 , VLOOKUP("Reaper", vote4TRAITS!A:C , 3, FALSE), ),
IF(IFERROR(SEARCH("Riposte",L77),0) &gt; 0 , VLOOKUP("Riposte", vote4TRAITS!A:C , 3, FALSE)),
IF(IFERROR(SEARCH("Scamper",L77),0) &gt; 0 , VLOOKUP("Scamper", vote4TRAITS!A:C , 3, FALSE), ),
IF(IFERROR(SEARCH("Small Beginnings",L77),0) &gt; 0 , VLOOKUP("Small Beginnings", vote4TRAITS!A:C , 3, FALSE), ),
IF(IFERROR(SEARCH("Spawner",L77),0) &gt; 0 , VLOOKUP("Spawner", vote4TRAITS!A:C , 3,FALSE), ),
IF(IFERROR(SEARCH("Shadowr",L77),0) &gt; 0 , VLOOKUP("Shadow", vote4TRAITS!A:C , 3,FALSE), ),
IF(IFERROR(SEARCH("Shadow Step",L77),0) &gt; 0 , VLOOKUP("Shadow Step", vote4TRAITS!A:C , 3,FALSE), ),
IF(IFERROR(SEARCH("Shambling",L77),0) &gt; 0 , VLOOKUP("Shambling", vote4TRAITS!A:C , 3,FALSE), ),
IF(IFERROR(SEARCH("Stealthy",L77),0) &gt; 0 , VLOOKUP("Stealthy", vote4TRAITS!A:C , 3, FALSE), ),
IF(IFERROR(SEARCH("Web",L77),0) &gt; 0 , VLOOKUP("Web", vote4TRAITS!A:C , 3, FALSE), ),
IF(IFERROR(SEARCH("+1 Willpower",L77),0) &gt; 0 , VLOOKUP("+1 Willpower", vote4TRAITS!A:C , 3, FALSE), ),
IF(IFERROR(SEARCH("+1 Might",L77),0) &gt; 0 , VLOOKUP("+1 Might", vote4TRAITS!A:C , 3, FALSE), ),
IF(IFERROR(SEARCH("+1 Knowledge",L77),0) &gt; 0 , VLOOKUP("+1 Knowledge", vote4TRAITS!A:C , 3, FALSE), ),
IF(IFERROR(SEARCH("+1 Awareness",L77),0) &gt; 0 , VLOOKUP("+1 Awareness", vote4TRAITS!A:C , 3, FALSE), ),
IF(IFERROR(SEARCH("-1 Willpower",L77),0) &gt; 0 , VLOOKUP("-1 Willpower", vote4TRAITS!A:C , 3, FALSE), ),
IF(IFERROR(SEARCH("+1 Health",L77),0) &gt; 0 , VLOOKUP("+1 Health", vote4TRAITS!A:C , 3, FALSE), ),
IF(IFERROR(SEARCH("+2 Health",L77),0) &gt; 0 , VLOOKUP("+2 Health", vote4TRAITS!A:C , 3, FALSE), ),
IF(IFERROR(SEARCH("+1 Stamina",L77),0) &gt; 0 , VLOOKUP("+1 Stamina", vote4TRAITS!A:C , 3, FALSE), ),
IF(IFERROR(SEARCH("+2 Stamina",L77),0) &gt; 0 , VLOOKUP("+2 Stamina", vote4TRAITS!A:C , 3, FALSE), ),
IFS(
IFERROR(SEARCH("+1 Range", L77),) &gt; 0 ,VLOOKUP("+1 Range", vote4TRAITS!A:C , 3, FALSE),
IFERROR(SEARCH("+2 Range", L77),) &gt; 0 ,VLOOKUP("+2 Range", vote4TRAITS!A:C , 3, FALSE),
IFERROR(SEARCH("+3 Range", L77),) &gt; 0,VLOOKUP("+3 Range", vote4TRAITS!A:C , 3, FALSE),
0=0,0)
,
IFS(
IFERROR(SEARCH("Sorcery 1", L77),) &gt; 0 ,VLOOKUP("Sorcery 1", vote4TRAITS!A:C , 3, FALSE),
IFERROR(SEARCH("Sorcery 2", L77),) &gt; 0 ,VLOOKUP("Sorcery 2", vote4TRAITS!A:C , 3, FALSE),
IFERROR(SEARCH("Sorcery 3", L77),) &gt; 0,VLOOKUP("Sorcery 3", vote4TRAITS!A:C , 3, FALSE),
0=0,0)
,
IFS(
IFERROR(SEARCH("Pierce 1", L77),) &gt; 0 ,VLOOKUP("Pierce 1", vote4TRAITS!A:C , 3, FALSE),
IFERROR(SEARCH("Pierce 2", L77),) &gt; 0 ,VLOOKUP("Pierce 2", vote4TRAITS!A:C , 3, FALSE),
IFERROR(SEARCH("Pierce 3", L77),) &gt; 0,VLOOKUP("Pierce 3", vote4TRAITS!A:C , 3, FALSE),
IFERROR(SEARCH("Pierce 4", L77),) &gt; 0 ,VLOOKUP("Pierce 4", vote4TRAITS!A:C , 3, FALSE),
0=0,0)
,
IFS(
IFERROR(SEARCH("+1 Health", L77),) &gt; 0 ,VLOOKUP("+1 Health", vote4TRAITS!A:C , 3, FALSE),
IFERROR(SEARCH("+2 Health", L77),) &gt; 0 ,VLOOKUP("+2 Health", vote4TRAITS!A:C , 3, FALSE),
IFERROR(SEARCH("+3 Health", L77),) &gt; 0 ,VLOOKUP("+3 Health", vote4TRAITS!A:C , 3, FALSE),
IFERROR(SEARCH("+4 Health", L77),) &gt; 0 ,VLOOKUP("+4 Health", vote4TRAITS!A:C , 3, FALSE),
0=0,0)
,
IFS(
IFERROR(SEARCH("Soul Shackle 1", L77),) &gt; 0 ,VLOOKUP("Soul Shackle 1", vote4TRAITS!A:C , 3, FALSE),
IFERROR(SEARCH("Soul Shackle 2", L77),) &gt; 0 ,VLOOKUP("Soul Shackle 2", vote4TRAITS!A:C , 3, FALSE),
IFERROR(SEARCH("Soul Shackle 3", L77),) &gt; 0,VLOOKUP("Soul Shackle 3", vote4TRAITS!A:C , 3, FALSE),
0=0,0)
)</f>
        <v>0</v>
      </c>
      <c r="N77" s="311" t="s">
        <v>1534</v>
      </c>
      <c r="O77" s="317">
        <f>IF(ISBLANK(N77),,IFERROR(
IF(IFERROR(SEARCH("SS:",N77),0) &gt; 0, 
VLOOKUP(SUBSTITUTE(N77,"SS: ",""),vote4SURGE!$A:$C , 3, FALSE) - 2,
VLOOKUP(SUBSTITUTE(N77,"S: ",""),vote4SURGE!$A:$C , 3, FALSE)
)
,
IF(IFERROR(SEARCH("SS:",N77),0) &gt; 0, 
VLOOKUP(C77,vote4SURGE!$A:$C , 3, FALSE) - 2,
VLOOKUP(C77,vote4SURGE!$A:$C , 3, FALSE)
)
))</f>
        <v>4.25</v>
      </c>
      <c r="P77" s="315" t="s">
        <v>1560</v>
      </c>
      <c r="Q77" s="317">
        <f>IF(ISBLANK(P77),,IFERROR(
IF(IFERROR(SEARCH("SS:",P77),0) &gt; 0, 
VLOOKUP(SUBSTITUTE(P77,"SS: ",""),vote4SURGE!$A:$C , 3, FALSE) - 2,
VLOOKUP(SUBSTITUTE(P77,"S: ",""),vote4SURGE!$A:$C , 3, FALSE)
)
,
IF(IFERROR(SEARCH("SS:",P77),0) &gt; 0, 
VLOOKUP(C77,vote4SURGE!$A:$C , 3, FALSE) - 2,
VLOOKUP(C77,vote4SURGE!$A:$C , 3, FALSE)
)
))</f>
        <v>4.25</v>
      </c>
      <c r="R77" s="318"/>
      <c r="S77" s="319" t="str">
        <f>IF(ISBLANK(R77),,IFERROR(
IF(IFERROR(SEARCH("SS:",R77),0) &gt; 0, 
VLOOKUP(SUBSTITUTE(R77,"SS: ",""),vote4SURGE!$A:$C , 3, FALSE) - 2,
VLOOKUP(SUBSTITUTE(R77,"S: ",""),vote4SURGE!$A:$C , 3, FALSE)
)
,
IF(IFERROR(SEARCH("SS:",R77),0) &gt; 0, 
VLOOKUP(C77,vote4SURGE!$A:$C , 3, FALSE) - 2,
VLOOKUP(C77,vote4SURGE!$A:$C , 3, FALSE)
)
))</f>
        <v/>
      </c>
      <c r="T77" s="320">
        <f t="shared" si="2"/>
        <v>2</v>
      </c>
      <c r="U77" s="320">
        <f>IFERROR(__xludf.DUMMYFUNCTION("ROUND(
IF(ISBLANK(G77),,
SWITCH(
LEN(G77) - LEN(SUBSTITUTE(G77,"","","""")),
0 , VLOOKUP(G77, Variables!$A:$C, 3, FALSE),
1 , VLOOKUP(index(split(G77 ,"", "", FALSE),1,1), Variables!$A:$C , 3, FALSE) + VLOOKUP(index(split(G77 ,"", "", FALSE),1,2), Variabl"&amp;"es!$A:$C , 3, FALSE),
2 , VLOOKUP(index(split(G77 ,"", "", FALSE),1,1), Variables!$A:$C , 3, FALSE) + VLOOKUP(index(split(G77 ,"", "", FALSE),1,2), Variables!$A:$C , 3, FALSE) + VLOOKUP(index(split(G77 ,"", "", FALSE),1,3), Variables!$A:$C , 3, FALSE),
3 "&amp;", VLOOKUP(index(split(G77 ,"", "", FALSE),1,1), Variables!$A:$C , 3, FALSE) + VLOOKUP(index(split(G77 ,"", "", FALSE),1,2), Variables!$A:$C , 3, FALSE) + VLOOKUP(index(split(G77 ,"", "", FALSE),1,3), Variables!$A:$C , 3, FALSE) + VLOOKUP(index(split(G77 ,"&amp;""", "", FALSE),1,4), Variables!$A:$C , 3, FALSE),
)
)
)"),1.0)</f>
        <v>1</v>
      </c>
      <c r="V77" s="317">
        <f t="shared" si="3"/>
        <v>6.375</v>
      </c>
      <c r="W77" s="321">
        <f t="shared" si="4"/>
        <v>8.708333333</v>
      </c>
      <c r="X77" s="118"/>
      <c r="Y77" s="118"/>
      <c r="Z77" s="118"/>
      <c r="AA77" s="118"/>
      <c r="AB77" s="118"/>
      <c r="AC77" s="118"/>
      <c r="AD77" s="118"/>
      <c r="AE77" s="118"/>
    </row>
    <row r="78" hidden="1">
      <c r="A78" s="310">
        <v>1.0</v>
      </c>
      <c r="B78" s="93">
        <f t="shared" si="1"/>
        <v>2</v>
      </c>
      <c r="C78" s="310" t="s">
        <v>1631</v>
      </c>
      <c r="D78" s="310">
        <v>125.0</v>
      </c>
      <c r="E78" s="310" t="s">
        <v>1520</v>
      </c>
      <c r="F78" s="310" t="s">
        <v>1531</v>
      </c>
      <c r="G78" s="313" t="s">
        <v>1548</v>
      </c>
      <c r="H78" s="312">
        <f>IFERROR(__xludf.DUMMYFUNCTION(" IF(ISBLANK(G78),,
SWITCH(
LEN(G78) - LEN(SUBSTITUTE(G78,"","","""")),
0 , VLOOKUP(G78, Variables!$A:$B, 2, FALSE),
1 , VLOOKUP(index(split(G78 ,"", "", FALSE),1,1), Variables!$A:$B , 2, FALSE) + VLOOKUP(index(split(G78 ,"", "", FALSE),1,2), Variables!$A:"&amp;"$B , 2, FALSE),
2 , VLOOKUP(index(split(G78 ,"", "", FALSE),1,1), Variables!$A:$B , 2, FALSE) + VLOOKUP(index(split(G78 ,"", "", FALSE),1,2), Variables!$A:$B , 2, FALSE) + VLOOKUP(index(split(G78 ,"", "", FALSE),1,3), Variables!$A:$B , 2, FALSE),
3 , VLOO"&amp;"KUP(index(split(G78 ,"", "", FALSE),1,1), Variables!$A:$B , 2, FALSE) + VLOOKUP(index(split(G78 ,"", "", FALSE),1,2), Variables!$A:$B , 2, FALSE) + VLOOKUP(index(split(G78 ,"", "", FALSE),1,3), Variables!$A:$B , 2, FALSE) + VLOOKUP(index(split(G78 ,"", """&amp;", FALSE),1,4), Variables!$A:$B , 2, FALSE),
)
)"),2.3333333333333335)</f>
        <v>2.333333333</v>
      </c>
      <c r="I78" s="310" t="s">
        <v>1533</v>
      </c>
      <c r="J78" s="313"/>
      <c r="K78" s="314" t="str">
        <f>IFERROR(VLOOKUP(C78,vote4ITEMS!$A:$C, 3, FALSE),)</f>
        <v/>
      </c>
      <c r="L78" s="313"/>
      <c r="M78" s="314">
        <f>SUM(
IF(IFERROR(SEARCH("Aura 1",L78),0) &gt; 0 , VLOOKUP("Aura 1", vote4TRAITS!A:C , 3, FALSE), ),
IF(IFERROR(SEARCH("Backswing",L78),0) &gt; 0 , VLOOKUP("Backswing", vote4TRAITS!A:C , 3, FALSE), ),
IF(IFERROR(SEARCH("Blast",L78),0) &gt; 0 , VLOOKUP("Blast", vote4TRAITS!A:C , 3, FALSE), ),
IF(IFERROR(SEARCH("Combustible",L78),0) &gt; 0 , VLOOKUP("Combustible", vote4TRAITS!A:C , 3, FALSE), ),
IF(IFERROR(SEARCH("Command",L78),0) &gt; 0 , VLOOKUP("Command", vote4TRAITS!A:C , 3, FALSE), ),
IF(IFERROR(SEARCH("Cowardly",L78),0) &gt; 0 , VLOOKUP("Cowardly", vote4TRAITS!A:C , 3, FALSE), ),
IF(IFERROR(SEARCH("Death Wish",L78),0) &gt; 0 , VLOOKUP("Death Wish", vote4TRAITS!A:C , 3, FALSE), ),
IF(IFERROR(SEARCH("Entomb",L78),0) &gt; 0 , VLOOKUP("Entomb", vote4TRAITS!A:C , 3, FALSE), ),
IF(IFERROR(SEARCH("Ethereal Hold",L78),0) &gt; 0 , VLOOKUP("Ethereal Hold", vote4TRAITS!A:C , 3, FALSE), ),
IF(IFERROR(SEARCH("Extend",L78),0) &gt; 0 , VLOOKUP("Extend", vote4TRAITS!A:C , 3, FALSE), ),
IF(IFERROR(SEARCH("Filthy Murk",L78),0) &gt; 0 , VLOOKUP("Filthy Murk", vote4TRAITS!A:C , 3, FALSE), ),
IF(IFERROR(SEARCH("Flame Fiend",L78),0) &gt; 0 , VLOOKUP("Flame Fiend", vote4TRAITS!A:C , 3, FALSE), ),
IF(IFERROR(SEARCH("Fleshmonger",L78),0) &gt; 0 , VLOOKUP("Fleshmonger", vote4TRAITS!A:C , 3, FALSE), ),
IF(IFERROR(SEARCH("Fly",L78),0) &gt; 0 , VLOOKUP("Fly", vote4TRAITS!A:C , 3, FALSE), ),
IF(IFERROR(SEARCH("Freezing",L78),0) &gt; 0 , VLOOKUP("Freezing", vote4TRAITS!A:C , 3, FALSE), ),
IF(IFERROR(SEARCH("Lithesome",L78),0) &gt; 0 , VLOOKUP("Lithesome", vote4TRAITS!A:C , 3, FALSE), ),
IF(IFERROR(SEARCH("Harrowing",L78),0) &gt; 0 , VLOOKUP("Harrowing", vote4TRAITS!A:C , 3, FALSE), ),
IF(IFERROR(SEARCH("Hideous Laughter",L78),0) &gt; 0 , VLOOKUP("Hideous Laughter", vote4TRAITS!A:C , 3, FALSE), ),
IF(IFERROR(SEARCH("Hive Defense",L78),0) &gt; 0 , VLOOKUP("Hive Defense", vote4TRAITS!A:C , 3, FALSE), ),
IF(IFERROR(SEARCH("Horrifying",L78),0) &gt; 0 , VLOOKUP("Horrifying", vote4TRAITS!A:C , 3, FALSE), ),
IF(IFERROR(SEARCH("Ironskin",L78),0) &gt; 0 , VLOOKUP("Ironskin", vote4TRAITS!A:C , 3, FALSE), ),
IF(IFERROR(SEARCH("Unmovable",L78),0) &gt; 0 , VLOOKUP("Unmovable", vote4TRAITS!A:C , 3, FALSE), ),
IF(IFERROR(SEARCH("Lifethirst 1",L78),0) &gt; 0 , VLOOKUP("Lifethirst 1", vote4TRAITS!A:C , 3, FALSE), ),
IF(IFERROR(SEARCH("Lifethirst 2",L78),0) &gt; 0 , VLOOKUP("Lifethirst 2", vote4TRAITS!A:C , 3, FALSE), ),
IF(IFERROR(SEARCH("Morph",L78),0) &gt; 0 , VLOOKUP("Morph", vote4TRAITS!A:C , 3, FALSE), ),
IF(IFERROR(SEARCH("Night Stalker",L78),0) &gt; 0 , VLOOKUP("Night Stalker", vote4TRAITS!A:C , 3, FALSE), ),
IF(IFERROR(SEARCH("Overflowing",L78),0) &gt; 0 , VLOOKUP("Overflowing", vote4TRAITS!A:C , 3, FALSE), ),
IF(IFERROR(SEARCH("Pestilence",L78),0) &gt; 0 , VLOOKUP("Pestilence", vote4TRAITS!A:C , 3, FALSE), ),
IF(IFERROR(SEARCH("Phalanx",L78),0) &gt; 0 , VLOOKUP("Phalanx", vote4TRAITS!A:C , 3, FALSE), ),
IF(IFERROR(SEARCH("Plagued",L78),0) &gt; 0 , VLOOKUP("Plagued", vote4TRAITS!A:C , 3, FALSE), ),
IF(IFERROR(SEARCH("Prey on the Weak",L78),0) &gt; 0 , VLOOKUP("Prey on the Weak", vote4TRAITS!A:C , 3, FALSE), ),
IF(IFERROR(SEARCH("Protect",L78),0) &gt; 0 , VLOOKUP("Protect", vote4TRAITS!A:C , 3, FALSE), ),
IF(IFERROR(SEARCH("Puncture",L78),0) &gt; 0 , VLOOKUP("Puncture", vote4TRAITS!A:C , 3, FALSE), ),
IF(IFERROR(SEARCH("Putrid Boils",L78),0) &gt; 0 , VLOOKUP("Putrid Boils", vote4TRAITS!A:C , 3, FALSE), ),
IF(IFERROR(SEARCH("Ravage",L78),0) &gt; 0 , VLOOKUP("Ravage", vote4TRAITS!A:C , 3, FALSE), ),
IF(IFERROR(SEARCH("Ravenous",L78),0) &gt; 0 , VLOOKUP("Ravenous", vote4TRAITS!A:C , 3, FALSE), ),
IF(IFERROR(SEARCH("Reach",L78),0) &gt; 0 , VLOOKUP("Reach", vote4TRAITS!A:C , 3, FALSE), ),
IF(IFERROR(SEARCH("Reanimation",L78),0) &gt; 0 , VLOOKUP("Reanimation", vote4TRAITS!A:C , 3, FALSE), ),
IF(IFERROR(SEARCH("Reaper",L78),0) &gt; 0 , VLOOKUP("Reaper", vote4TRAITS!A:C , 3, FALSE), ),
IF(IFERROR(SEARCH("Riposte",L78),0) &gt; 0 , VLOOKUP("Riposte", vote4TRAITS!A:C , 3, FALSE)),
IF(IFERROR(SEARCH("Scamper",L78),0) &gt; 0 , VLOOKUP("Scamper", vote4TRAITS!A:C , 3, FALSE), ),
IF(IFERROR(SEARCH("Small Beginnings",L78),0) &gt; 0 , VLOOKUP("Small Beginnings", vote4TRAITS!A:C , 3, FALSE), ),
IF(IFERROR(SEARCH("Spawner",L78),0) &gt; 0 , VLOOKUP("Spawner", vote4TRAITS!A:C , 3,FALSE), ),
IF(IFERROR(SEARCH("Shadowr",L78),0) &gt; 0 , VLOOKUP("Shadow", vote4TRAITS!A:C , 3,FALSE), ),
IF(IFERROR(SEARCH("Shadow Step",L78),0) &gt; 0 , VLOOKUP("Shadow Step", vote4TRAITS!A:C , 3,FALSE), ),
IF(IFERROR(SEARCH("Shambling",L78),0) &gt; 0 , VLOOKUP("Shambling", vote4TRAITS!A:C , 3,FALSE), ),
IF(IFERROR(SEARCH("Stealthy",L78),0) &gt; 0 , VLOOKUP("Stealthy", vote4TRAITS!A:C , 3, FALSE), ),
IF(IFERROR(SEARCH("Web",L78),0) &gt; 0 , VLOOKUP("Web", vote4TRAITS!A:C , 3, FALSE), ),
IF(IFERROR(SEARCH("+1 Willpower",L78),0) &gt; 0 , VLOOKUP("+1 Willpower", vote4TRAITS!A:C , 3, FALSE), ),
IF(IFERROR(SEARCH("+1 Might",L78),0) &gt; 0 , VLOOKUP("+1 Might", vote4TRAITS!A:C , 3, FALSE), ),
IF(IFERROR(SEARCH("+1 Knowledge",L78),0) &gt; 0 , VLOOKUP("+1 Knowledge", vote4TRAITS!A:C , 3, FALSE), ),
IF(IFERROR(SEARCH("+1 Awareness",L78),0) &gt; 0 , VLOOKUP("+1 Awareness", vote4TRAITS!A:C , 3, FALSE), ),
IF(IFERROR(SEARCH("-1 Willpower",L78),0) &gt; 0 , VLOOKUP("-1 Willpower", vote4TRAITS!A:C , 3, FALSE), ),
IF(IFERROR(SEARCH("+1 Health",L78),0) &gt; 0 , VLOOKUP("+1 Health", vote4TRAITS!A:C , 3, FALSE), ),
IF(IFERROR(SEARCH("+2 Health",L78),0) &gt; 0 , VLOOKUP("+2 Health", vote4TRAITS!A:C , 3, FALSE), ),
IF(IFERROR(SEARCH("+1 Stamina",L78),0) &gt; 0 , VLOOKUP("+1 Stamina", vote4TRAITS!A:C , 3, FALSE), ),
IF(IFERROR(SEARCH("+2 Stamina",L78),0) &gt; 0 , VLOOKUP("+2 Stamina", vote4TRAITS!A:C , 3, FALSE), ),
IFS(
IFERROR(SEARCH("+1 Range", L78),) &gt; 0 ,VLOOKUP("+1 Range", vote4TRAITS!A:C , 3, FALSE),
IFERROR(SEARCH("+2 Range", L78),) &gt; 0 ,VLOOKUP("+2 Range", vote4TRAITS!A:C , 3, FALSE),
IFERROR(SEARCH("+3 Range", L78),) &gt; 0,VLOOKUP("+3 Range", vote4TRAITS!A:C , 3, FALSE),
0=0,0)
,
IFS(
IFERROR(SEARCH("Sorcery 1", L78),) &gt; 0 ,VLOOKUP("Sorcery 1", vote4TRAITS!A:C , 3, FALSE),
IFERROR(SEARCH("Sorcery 2", L78),) &gt; 0 ,VLOOKUP("Sorcery 2", vote4TRAITS!A:C , 3, FALSE),
IFERROR(SEARCH("Sorcery 3", L78),) &gt; 0,VLOOKUP("Sorcery 3", vote4TRAITS!A:C , 3, FALSE),
0=0,0)
,
IFS(
IFERROR(SEARCH("Pierce 1", L78),) &gt; 0 ,VLOOKUP("Pierce 1", vote4TRAITS!A:C , 3, FALSE),
IFERROR(SEARCH("Pierce 2", L78),) &gt; 0 ,VLOOKUP("Pierce 2", vote4TRAITS!A:C , 3, FALSE),
IFERROR(SEARCH("Pierce 3", L78),) &gt; 0,VLOOKUP("Pierce 3", vote4TRAITS!A:C , 3, FALSE),
IFERROR(SEARCH("Pierce 4", L78),) &gt; 0 ,VLOOKUP("Pierce 4", vote4TRAITS!A:C , 3, FALSE),
0=0,0)
,
IFS(
IFERROR(SEARCH("+1 Health", L78),) &gt; 0 ,VLOOKUP("+1 Health", vote4TRAITS!A:C , 3, FALSE),
IFERROR(SEARCH("+2 Health", L78),) &gt; 0 ,VLOOKUP("+2 Health", vote4TRAITS!A:C , 3, FALSE),
IFERROR(SEARCH("+3 Health", L78),) &gt; 0 ,VLOOKUP("+3 Health", vote4TRAITS!A:C , 3, FALSE),
IFERROR(SEARCH("+4 Health", L78),) &gt; 0 ,VLOOKUP("+4 Health", vote4TRAITS!A:C , 3, FALSE),
0=0,0)
,
IFS(
IFERROR(SEARCH("Soul Shackle 1", L78),) &gt; 0 ,VLOOKUP("Soul Shackle 1", vote4TRAITS!A:C , 3, FALSE),
IFERROR(SEARCH("Soul Shackle 2", L78),) &gt; 0 ,VLOOKUP("Soul Shackle 2", vote4TRAITS!A:C , 3, FALSE),
IFERROR(SEARCH("Soul Shackle 3", L78),) &gt; 0,VLOOKUP("Soul Shackle 3", vote4TRAITS!A:C , 3, FALSE),
0=0,0)
)</f>
        <v>0</v>
      </c>
      <c r="N78" s="311" t="s">
        <v>1560</v>
      </c>
      <c r="O78" s="317">
        <f>IF(ISBLANK(N78),,IFERROR(
IF(IFERROR(SEARCH("SS:",N78),0) &gt; 0, 
VLOOKUP(SUBSTITUTE(N78,"SS: ",""),vote4SURGE!$A:$C , 3, FALSE) - 2,
VLOOKUP(SUBSTITUTE(N78,"S: ",""),vote4SURGE!$A:$C , 3, FALSE)
)
,
IF(IFERROR(SEARCH("SS:",N78),0) &gt; 0, 
VLOOKUP(C78,vote4SURGE!$A:$C , 3, FALSE) - 2,
VLOOKUP(C78,vote4SURGE!$A:$C , 3, FALSE)
)
))</f>
        <v>4.25</v>
      </c>
      <c r="P78" s="315" t="s">
        <v>1534</v>
      </c>
      <c r="Q78" s="317">
        <f>IF(ISBLANK(P78),,IFERROR(
IF(IFERROR(SEARCH("SS:",P78),0) &gt; 0, 
VLOOKUP(SUBSTITUTE(P78,"SS: ",""),vote4SURGE!$A:$C , 3, FALSE) - 2,
VLOOKUP(SUBSTITUTE(P78,"S: ",""),vote4SURGE!$A:$C , 3, FALSE)
)
,
IF(IFERROR(SEARCH("SS:",P78),0) &gt; 0, 
VLOOKUP(C78,vote4SURGE!$A:$C , 3, FALSE) - 2,
VLOOKUP(C78,vote4SURGE!$A:$C , 3, FALSE)
)
))</f>
        <v>4.25</v>
      </c>
      <c r="R78" s="318"/>
      <c r="S78" s="319" t="str">
        <f>IF(ISBLANK(R78),,IFERROR(
IF(IFERROR(SEARCH("SS:",R78),0) &gt; 0, 
VLOOKUP(SUBSTITUTE(R78,"SS: ",""),vote4SURGE!$A:$C , 3, FALSE) - 2,
VLOOKUP(SUBSTITUTE(R78,"S: ",""),vote4SURGE!$A:$C , 3, FALSE)
)
,
IF(IFERROR(SEARCH("SS:",R78),0) &gt; 0, 
VLOOKUP(C78,vote4SURGE!$A:$C , 3, FALSE) - 2,
VLOOKUP(C78,vote4SURGE!$A:$C , 3, FALSE)
)
))</f>
        <v/>
      </c>
      <c r="T78" s="320">
        <f t="shared" si="2"/>
        <v>2</v>
      </c>
      <c r="U78" s="320">
        <f>IFERROR(__xludf.DUMMYFUNCTION("ROUND(
IF(ISBLANK(G78),,
SWITCH(
LEN(G78) - LEN(SUBSTITUTE(G78,"","","""")),
0 , VLOOKUP(G78, Variables!$A:$C, 3, FALSE),
1 , VLOOKUP(index(split(G78 ,"", "", FALSE),1,1), Variables!$A:$C , 3, FALSE) + VLOOKUP(index(split(G78 ,"", "", FALSE),1,2), Variabl"&amp;"es!$A:$C , 3, FALSE),
2 , VLOOKUP(index(split(G78 ,"", "", FALSE),1,1), Variables!$A:$C , 3, FALSE) + VLOOKUP(index(split(G78 ,"", "", FALSE),1,2), Variables!$A:$C , 3, FALSE) + VLOOKUP(index(split(G78 ,"", "", FALSE),1,3), Variables!$A:$C , 3, FALSE),
3 "&amp;", VLOOKUP(index(split(G78 ,"", "", FALSE),1,1), Variables!$A:$C , 3, FALSE) + VLOOKUP(index(split(G78 ,"", "", FALSE),1,2), Variables!$A:$C , 3, FALSE) + VLOOKUP(index(split(G78 ,"", "", FALSE),1,3), Variables!$A:$C , 3, FALSE) + VLOOKUP(index(split(G78 ,"&amp;""", "", FALSE),1,4), Variables!$A:$C , 3, FALSE),
)
)
)"),1.0)</f>
        <v>1</v>
      </c>
      <c r="V78" s="317">
        <f t="shared" si="3"/>
        <v>6.375</v>
      </c>
      <c r="W78" s="321">
        <f t="shared" si="4"/>
        <v>8.708333333</v>
      </c>
      <c r="X78" s="118"/>
      <c r="Y78" s="118"/>
      <c r="Z78" s="118"/>
      <c r="AA78" s="118"/>
      <c r="AB78" s="118"/>
      <c r="AC78" s="118"/>
      <c r="AD78" s="118"/>
      <c r="AE78" s="118"/>
    </row>
    <row r="79" hidden="1">
      <c r="A79" s="310">
        <v>1.0</v>
      </c>
      <c r="B79" s="93">
        <f t="shared" si="1"/>
        <v>2</v>
      </c>
      <c r="C79" s="310" t="s">
        <v>1632</v>
      </c>
      <c r="D79" s="310">
        <v>75.0</v>
      </c>
      <c r="E79" s="310" t="s">
        <v>1520</v>
      </c>
      <c r="F79" s="310" t="s">
        <v>1531</v>
      </c>
      <c r="G79" s="313" t="s">
        <v>1548</v>
      </c>
      <c r="H79" s="312">
        <f>IFERROR(__xludf.DUMMYFUNCTION(" IF(ISBLANK(G79),,
SWITCH(
LEN(G79) - LEN(SUBSTITUTE(G79,"","","""")),
0 , VLOOKUP(G79, Variables!$A:$B, 2, FALSE),
1 , VLOOKUP(index(split(G79 ,"", "", FALSE),1,1), Variables!$A:$B , 2, FALSE) + VLOOKUP(index(split(G79 ,"", "", FALSE),1,2), Variables!$A:"&amp;"$B , 2, FALSE),
2 , VLOOKUP(index(split(G79 ,"", "", FALSE),1,1), Variables!$A:$B , 2, FALSE) + VLOOKUP(index(split(G79 ,"", "", FALSE),1,2), Variables!$A:$B , 2, FALSE) + VLOOKUP(index(split(G79 ,"", "", FALSE),1,3), Variables!$A:$B , 2, FALSE),
3 , VLOO"&amp;"KUP(index(split(G79 ,"", "", FALSE),1,1), Variables!$A:$B , 2, FALSE) + VLOOKUP(index(split(G79 ,"", "", FALSE),1,2), Variables!$A:$B , 2, FALSE) + VLOOKUP(index(split(G79 ,"", "", FALSE),1,3), Variables!$A:$B , 2, FALSE) + VLOOKUP(index(split(G79 ,"", """&amp;", FALSE),1,4), Variables!$A:$B , 2, FALSE),
)
)"),2.3333333333333335)</f>
        <v>2.333333333</v>
      </c>
      <c r="I79" s="310" t="s">
        <v>1554</v>
      </c>
      <c r="J79" s="313"/>
      <c r="K79" s="314" t="str">
        <f>IFERROR(VLOOKUP(C79,vote4ITEMS!$A:$C, 3, FALSE),)</f>
        <v/>
      </c>
      <c r="L79" s="313"/>
      <c r="M79" s="314">
        <f>SUM(
IF(IFERROR(SEARCH("Aura 1",L79),0) &gt; 0 , VLOOKUP("Aura 1", vote4TRAITS!A:C , 3, FALSE), ),
IF(IFERROR(SEARCH("Backswing",L79),0) &gt; 0 , VLOOKUP("Backswing", vote4TRAITS!A:C , 3, FALSE), ),
IF(IFERROR(SEARCH("Blast",L79),0) &gt; 0 , VLOOKUP("Blast", vote4TRAITS!A:C , 3, FALSE), ),
IF(IFERROR(SEARCH("Combustible",L79),0) &gt; 0 , VLOOKUP("Combustible", vote4TRAITS!A:C , 3, FALSE), ),
IF(IFERROR(SEARCH("Command",L79),0) &gt; 0 , VLOOKUP("Command", vote4TRAITS!A:C , 3, FALSE), ),
IF(IFERROR(SEARCH("Cowardly",L79),0) &gt; 0 , VLOOKUP("Cowardly", vote4TRAITS!A:C , 3, FALSE), ),
IF(IFERROR(SEARCH("Death Wish",L79),0) &gt; 0 , VLOOKUP("Death Wish", vote4TRAITS!A:C , 3, FALSE), ),
IF(IFERROR(SEARCH("Entomb",L79),0) &gt; 0 , VLOOKUP("Entomb", vote4TRAITS!A:C , 3, FALSE), ),
IF(IFERROR(SEARCH("Ethereal Hold",L79),0) &gt; 0 , VLOOKUP("Ethereal Hold", vote4TRAITS!A:C , 3, FALSE), ),
IF(IFERROR(SEARCH("Extend",L79),0) &gt; 0 , VLOOKUP("Extend", vote4TRAITS!A:C , 3, FALSE), ),
IF(IFERROR(SEARCH("Filthy Murk",L79),0) &gt; 0 , VLOOKUP("Filthy Murk", vote4TRAITS!A:C , 3, FALSE), ),
IF(IFERROR(SEARCH("Flame Fiend",L79),0) &gt; 0 , VLOOKUP("Flame Fiend", vote4TRAITS!A:C , 3, FALSE), ),
IF(IFERROR(SEARCH("Fleshmonger",L79),0) &gt; 0 , VLOOKUP("Fleshmonger", vote4TRAITS!A:C , 3, FALSE), ),
IF(IFERROR(SEARCH("Fly",L79),0) &gt; 0 , VLOOKUP("Fly", vote4TRAITS!A:C , 3, FALSE), ),
IF(IFERROR(SEARCH("Freezing",L79),0) &gt; 0 , VLOOKUP("Freezing", vote4TRAITS!A:C , 3, FALSE), ),
IF(IFERROR(SEARCH("Lithesome",L79),0) &gt; 0 , VLOOKUP("Lithesome", vote4TRAITS!A:C , 3, FALSE), ),
IF(IFERROR(SEARCH("Harrowing",L79),0) &gt; 0 , VLOOKUP("Harrowing", vote4TRAITS!A:C , 3, FALSE), ),
IF(IFERROR(SEARCH("Hideous Laughter",L79),0) &gt; 0 , VLOOKUP("Hideous Laughter", vote4TRAITS!A:C , 3, FALSE), ),
IF(IFERROR(SEARCH("Hive Defense",L79),0) &gt; 0 , VLOOKUP("Hive Defense", vote4TRAITS!A:C , 3, FALSE), ),
IF(IFERROR(SEARCH("Horrifying",L79),0) &gt; 0 , VLOOKUP("Horrifying", vote4TRAITS!A:C , 3, FALSE), ),
IF(IFERROR(SEARCH("Ironskin",L79),0) &gt; 0 , VLOOKUP("Ironskin", vote4TRAITS!A:C , 3, FALSE), ),
IF(IFERROR(SEARCH("Unmovable",L79),0) &gt; 0 , VLOOKUP("Unmovable", vote4TRAITS!A:C , 3, FALSE), ),
IF(IFERROR(SEARCH("Lifethirst 1",L79),0) &gt; 0 , VLOOKUP("Lifethirst 1", vote4TRAITS!A:C , 3, FALSE), ),
IF(IFERROR(SEARCH("Lifethirst 2",L79),0) &gt; 0 , VLOOKUP("Lifethirst 2", vote4TRAITS!A:C , 3, FALSE), ),
IF(IFERROR(SEARCH("Morph",L79),0) &gt; 0 , VLOOKUP("Morph", vote4TRAITS!A:C , 3, FALSE), ),
IF(IFERROR(SEARCH("Night Stalker",L79),0) &gt; 0 , VLOOKUP("Night Stalker", vote4TRAITS!A:C , 3, FALSE), ),
IF(IFERROR(SEARCH("Overflowing",L79),0) &gt; 0 , VLOOKUP("Overflowing", vote4TRAITS!A:C , 3, FALSE), ),
IF(IFERROR(SEARCH("Pestilence",L79),0) &gt; 0 , VLOOKUP("Pestilence", vote4TRAITS!A:C , 3, FALSE), ),
IF(IFERROR(SEARCH("Phalanx",L79),0) &gt; 0 , VLOOKUP("Phalanx", vote4TRAITS!A:C , 3, FALSE), ),
IF(IFERROR(SEARCH("Plagued",L79),0) &gt; 0 , VLOOKUP("Plagued", vote4TRAITS!A:C , 3, FALSE), ),
IF(IFERROR(SEARCH("Prey on the Weak",L79),0) &gt; 0 , VLOOKUP("Prey on the Weak", vote4TRAITS!A:C , 3, FALSE), ),
IF(IFERROR(SEARCH("Protect",L79),0) &gt; 0 , VLOOKUP("Protect", vote4TRAITS!A:C , 3, FALSE), ),
IF(IFERROR(SEARCH("Puncture",L79),0) &gt; 0 , VLOOKUP("Puncture", vote4TRAITS!A:C , 3, FALSE), ),
IF(IFERROR(SEARCH("Putrid Boils",L79),0) &gt; 0 , VLOOKUP("Putrid Boils", vote4TRAITS!A:C , 3, FALSE), ),
IF(IFERROR(SEARCH("Ravage",L79),0) &gt; 0 , VLOOKUP("Ravage", vote4TRAITS!A:C , 3, FALSE), ),
IF(IFERROR(SEARCH("Ravenous",L79),0) &gt; 0 , VLOOKUP("Ravenous", vote4TRAITS!A:C , 3, FALSE), ),
IF(IFERROR(SEARCH("Reach",L79),0) &gt; 0 , VLOOKUP("Reach", vote4TRAITS!A:C , 3, FALSE), ),
IF(IFERROR(SEARCH("Reanimation",L79),0) &gt; 0 , VLOOKUP("Reanimation", vote4TRAITS!A:C , 3, FALSE), ),
IF(IFERROR(SEARCH("Reaper",L79),0) &gt; 0 , VLOOKUP("Reaper", vote4TRAITS!A:C , 3, FALSE), ),
IF(IFERROR(SEARCH("Riposte",L79),0) &gt; 0 , VLOOKUP("Riposte", vote4TRAITS!A:C , 3, FALSE)),
IF(IFERROR(SEARCH("Scamper",L79),0) &gt; 0 , VLOOKUP("Scamper", vote4TRAITS!A:C , 3, FALSE), ),
IF(IFERROR(SEARCH("Small Beginnings",L79),0) &gt; 0 , VLOOKUP("Small Beginnings", vote4TRAITS!A:C , 3, FALSE), ),
IF(IFERROR(SEARCH("Spawner",L79),0) &gt; 0 , VLOOKUP("Spawner", vote4TRAITS!A:C , 3,FALSE), ),
IF(IFERROR(SEARCH("Shadowr",L79),0) &gt; 0 , VLOOKUP("Shadow", vote4TRAITS!A:C , 3,FALSE), ),
IF(IFERROR(SEARCH("Shadow Step",L79),0) &gt; 0 , VLOOKUP("Shadow Step", vote4TRAITS!A:C , 3,FALSE), ),
IF(IFERROR(SEARCH("Shambling",L79),0) &gt; 0 , VLOOKUP("Shambling", vote4TRAITS!A:C , 3,FALSE), ),
IF(IFERROR(SEARCH("Stealthy",L79),0) &gt; 0 , VLOOKUP("Stealthy", vote4TRAITS!A:C , 3, FALSE), ),
IF(IFERROR(SEARCH("Web",L79),0) &gt; 0 , VLOOKUP("Web", vote4TRAITS!A:C , 3, FALSE), ),
IF(IFERROR(SEARCH("+1 Willpower",L79),0) &gt; 0 , VLOOKUP("+1 Willpower", vote4TRAITS!A:C , 3, FALSE), ),
IF(IFERROR(SEARCH("+1 Might",L79),0) &gt; 0 , VLOOKUP("+1 Might", vote4TRAITS!A:C , 3, FALSE), ),
IF(IFERROR(SEARCH("+1 Knowledge",L79),0) &gt; 0 , VLOOKUP("+1 Knowledge", vote4TRAITS!A:C , 3, FALSE), ),
IF(IFERROR(SEARCH("+1 Awareness",L79),0) &gt; 0 , VLOOKUP("+1 Awareness", vote4TRAITS!A:C , 3, FALSE), ),
IF(IFERROR(SEARCH("-1 Willpower",L79),0) &gt; 0 , VLOOKUP("-1 Willpower", vote4TRAITS!A:C , 3, FALSE), ),
IF(IFERROR(SEARCH("+1 Health",L79),0) &gt; 0 , VLOOKUP("+1 Health", vote4TRAITS!A:C , 3, FALSE), ),
IF(IFERROR(SEARCH("+2 Health",L79),0) &gt; 0 , VLOOKUP("+2 Health", vote4TRAITS!A:C , 3, FALSE), ),
IF(IFERROR(SEARCH("+1 Stamina",L79),0) &gt; 0 , VLOOKUP("+1 Stamina", vote4TRAITS!A:C , 3, FALSE), ),
IF(IFERROR(SEARCH("+2 Stamina",L79),0) &gt; 0 , VLOOKUP("+2 Stamina", vote4TRAITS!A:C , 3, FALSE), ),
IFS(
IFERROR(SEARCH("+1 Range", L79),) &gt; 0 ,VLOOKUP("+1 Range", vote4TRAITS!A:C , 3, FALSE),
IFERROR(SEARCH("+2 Range", L79),) &gt; 0 ,VLOOKUP("+2 Range", vote4TRAITS!A:C , 3, FALSE),
IFERROR(SEARCH("+3 Range", L79),) &gt; 0,VLOOKUP("+3 Range", vote4TRAITS!A:C , 3, FALSE),
0=0,0)
,
IFS(
IFERROR(SEARCH("Sorcery 1", L79),) &gt; 0 ,VLOOKUP("Sorcery 1", vote4TRAITS!A:C , 3, FALSE),
IFERROR(SEARCH("Sorcery 2", L79),) &gt; 0 ,VLOOKUP("Sorcery 2", vote4TRAITS!A:C , 3, FALSE),
IFERROR(SEARCH("Sorcery 3", L79),) &gt; 0,VLOOKUP("Sorcery 3", vote4TRAITS!A:C , 3, FALSE),
0=0,0)
,
IFS(
IFERROR(SEARCH("Pierce 1", L79),) &gt; 0 ,VLOOKUP("Pierce 1", vote4TRAITS!A:C , 3, FALSE),
IFERROR(SEARCH("Pierce 2", L79),) &gt; 0 ,VLOOKUP("Pierce 2", vote4TRAITS!A:C , 3, FALSE),
IFERROR(SEARCH("Pierce 3", L79),) &gt; 0,VLOOKUP("Pierce 3", vote4TRAITS!A:C , 3, FALSE),
IFERROR(SEARCH("Pierce 4", L79),) &gt; 0 ,VLOOKUP("Pierce 4", vote4TRAITS!A:C , 3, FALSE),
0=0,0)
,
IFS(
IFERROR(SEARCH("+1 Health", L79),) &gt; 0 ,VLOOKUP("+1 Health", vote4TRAITS!A:C , 3, FALSE),
IFERROR(SEARCH("+2 Health", L79),) &gt; 0 ,VLOOKUP("+2 Health", vote4TRAITS!A:C , 3, FALSE),
IFERROR(SEARCH("+3 Health", L79),) &gt; 0 ,VLOOKUP("+3 Health", vote4TRAITS!A:C , 3, FALSE),
IFERROR(SEARCH("+4 Health", L79),) &gt; 0 ,VLOOKUP("+4 Health", vote4TRAITS!A:C , 3, FALSE),
0=0,0)
,
IFS(
IFERROR(SEARCH("Soul Shackle 1", L79),) &gt; 0 ,VLOOKUP("Soul Shackle 1", vote4TRAITS!A:C , 3, FALSE),
IFERROR(SEARCH("Soul Shackle 2", L79),) &gt; 0 ,VLOOKUP("Soul Shackle 2", vote4TRAITS!A:C , 3, FALSE),
IFERROR(SEARCH("Soul Shackle 3", L79),) &gt; 0,VLOOKUP("Soul Shackle 3", vote4TRAITS!A:C , 3, FALSE),
0=0,0)
)</f>
        <v>0</v>
      </c>
      <c r="N79" s="311" t="s">
        <v>1534</v>
      </c>
      <c r="O79" s="317">
        <f>IF(ISBLANK(N79),,IFERROR(
IF(IFERROR(SEARCH("SS:",N79),0) &gt; 0, 
VLOOKUP(SUBSTITUTE(N79,"SS: ",""),vote4SURGE!$A:$C , 3, FALSE) - 2,
VLOOKUP(SUBSTITUTE(N79,"S: ",""),vote4SURGE!$A:$C , 3, FALSE)
)
,
IF(IFERROR(SEARCH("SS:",N79),0) &gt; 0, 
VLOOKUP(C79,vote4SURGE!$A:$C , 3, FALSE) - 2,
VLOOKUP(C79,vote4SURGE!$A:$C , 3, FALSE)
)
))</f>
        <v>4.25</v>
      </c>
      <c r="P79" s="315" t="s">
        <v>1633</v>
      </c>
      <c r="Q79" s="317">
        <f>IF(ISBLANK(P79),,IFERROR(
IF(IFERROR(SEARCH("SS:",P79),0) &gt; 0, 
VLOOKUP(SUBSTITUTE(P79,"SS: ",""),vote4SURGE!$A:$C , 3, FALSE) - 2,
VLOOKUP(SUBSTITUTE(P79,"S: ",""),vote4SURGE!$A:$C , 3, FALSE)
)
,
IF(IFERROR(SEARCH("SS:",P79),0) &gt; 0, 
VLOOKUP(C79,vote4SURGE!$A:$C , 3, FALSE) - 2,
VLOOKUP(C79,vote4SURGE!$A:$C , 3, FALSE)
)
))</f>
        <v>4</v>
      </c>
      <c r="R79" s="318"/>
      <c r="S79" s="319" t="str">
        <f>IF(ISBLANK(R79),,IFERROR(
IF(IFERROR(SEARCH("SS:",R79),0) &gt; 0, 
VLOOKUP(SUBSTITUTE(R79,"SS: ",""),vote4SURGE!$A:$C , 3, FALSE) - 2,
VLOOKUP(SUBSTITUTE(R79,"S: ",""),vote4SURGE!$A:$C , 3, FALSE)
)
,
IF(IFERROR(SEARCH("SS:",R79),0) &gt; 0, 
VLOOKUP(C79,vote4SURGE!$A:$C , 3, FALSE) - 2,
VLOOKUP(C79,vote4SURGE!$A:$C , 3, FALSE)
)
))</f>
        <v/>
      </c>
      <c r="T79" s="320">
        <f t="shared" si="2"/>
        <v>2</v>
      </c>
      <c r="U79" s="320">
        <f>IFERROR(__xludf.DUMMYFUNCTION("ROUND(
IF(ISBLANK(G79),,
SWITCH(
LEN(G79) - LEN(SUBSTITUTE(G79,"","","""")),
0 , VLOOKUP(G79, Variables!$A:$C, 3, FALSE),
1 , VLOOKUP(index(split(G79 ,"", "", FALSE),1,1), Variables!$A:$C , 3, FALSE) + VLOOKUP(index(split(G79 ,"", "", FALSE),1,2), Variabl"&amp;"es!$A:$C , 3, FALSE),
2 , VLOOKUP(index(split(G79 ,"", "", FALSE),1,1), Variables!$A:$C , 3, FALSE) + VLOOKUP(index(split(G79 ,"", "", FALSE),1,2), Variables!$A:$C , 3, FALSE) + VLOOKUP(index(split(G79 ,"", "", FALSE),1,3), Variables!$A:$C , 3, FALSE),
3 "&amp;", VLOOKUP(index(split(G79 ,"", "", FALSE),1,1), Variables!$A:$C , 3, FALSE) + VLOOKUP(index(split(G79 ,"", "", FALSE),1,2), Variables!$A:$C , 3, FALSE) + VLOOKUP(index(split(G79 ,"", "", FALSE),1,3), Variables!$A:$C , 3, FALSE) + VLOOKUP(index(split(G79 ,"&amp;""", "", FALSE),1,4), Variables!$A:$C , 3, FALSE),
)
)
)"),1.0)</f>
        <v>1</v>
      </c>
      <c r="V79" s="317">
        <f t="shared" si="3"/>
        <v>6.25</v>
      </c>
      <c r="W79" s="321">
        <f t="shared" si="4"/>
        <v>8.583333333</v>
      </c>
      <c r="X79" s="118"/>
      <c r="Y79" s="118"/>
      <c r="Z79" s="118"/>
      <c r="AA79" s="118"/>
      <c r="AB79" s="118"/>
      <c r="AC79" s="118"/>
      <c r="AD79" s="118"/>
      <c r="AE79" s="118"/>
    </row>
    <row r="80" hidden="1">
      <c r="A80" s="310">
        <v>1.0</v>
      </c>
      <c r="B80" s="93" t="str">
        <f t="shared" si="1"/>
        <v/>
      </c>
      <c r="C80" s="310" t="s">
        <v>1634</v>
      </c>
      <c r="D80" s="323">
        <v>0.0</v>
      </c>
      <c r="E80" s="310" t="s">
        <v>1520</v>
      </c>
      <c r="F80" s="310" t="s">
        <v>1521</v>
      </c>
      <c r="G80" s="313" t="s">
        <v>1525</v>
      </c>
      <c r="H80" s="312">
        <f>IFERROR(__xludf.DUMMYFUNCTION(" IF(ISBLANK(G80),,
SWITCH(
LEN(G80) - LEN(SUBSTITUTE(G80,"","","""")),
0 , VLOOKUP(G80, Variables!$A:$B, 2, FALSE),
1 , VLOOKUP(index(split(G80 ,"", "", FALSE),1,1), Variables!$A:$B , 2, FALSE) + VLOOKUP(index(split(G80 ,"", "", FALSE),1,2), Variables!$A:"&amp;"$B , 2, FALSE),
2 , VLOOKUP(index(split(G80 ,"", "", FALSE),1,1), Variables!$A:$B , 2, FALSE) + VLOOKUP(index(split(G80 ,"", "", FALSE),1,2), Variables!$A:$B , 2, FALSE) + VLOOKUP(index(split(G80 ,"", "", FALSE),1,3), Variables!$A:$B , 2, FALSE),
3 , VLOO"&amp;"KUP(index(split(G80 ,"", "", FALSE),1,1), Variables!$A:$B , 2, FALSE) + VLOOKUP(index(split(G80 ,"", "", FALSE),1,2), Variables!$A:$B , 2, FALSE) + VLOOKUP(index(split(G80 ,"", "", FALSE),1,3), Variables!$A:$B , 2, FALSE) + VLOOKUP(index(split(G80 ,"", """&amp;", FALSE),1,4), Variables!$A:$B , 2, FALSE),
)
)"),3.333333333333333)</f>
        <v>3.333333333</v>
      </c>
      <c r="I80" s="310" t="s">
        <v>1526</v>
      </c>
      <c r="J80" s="313"/>
      <c r="K80" s="314" t="str">
        <f>IFERROR(VLOOKUP(C80,vote4ITEMS!$A:$C, 3, FALSE),)</f>
        <v/>
      </c>
      <c r="L80" s="313"/>
      <c r="M80" s="314">
        <f>SUM(
IF(IFERROR(SEARCH("Aura 1",L80),0) &gt; 0 , VLOOKUP("Aura 1", vote4TRAITS!A:C , 3, FALSE), ),
IF(IFERROR(SEARCH("Backswing",L80),0) &gt; 0 , VLOOKUP("Backswing", vote4TRAITS!A:C , 3, FALSE), ),
IF(IFERROR(SEARCH("Blast",L80),0) &gt; 0 , VLOOKUP("Blast", vote4TRAITS!A:C , 3, FALSE), ),
IF(IFERROR(SEARCH("Combustible",L80),0) &gt; 0 , VLOOKUP("Combustible", vote4TRAITS!A:C , 3, FALSE), ),
IF(IFERROR(SEARCH("Command",L80),0) &gt; 0 , VLOOKUP("Command", vote4TRAITS!A:C , 3, FALSE), ),
IF(IFERROR(SEARCH("Cowardly",L80),0) &gt; 0 , VLOOKUP("Cowardly", vote4TRAITS!A:C , 3, FALSE), ),
IF(IFERROR(SEARCH("Death Wish",L80),0) &gt; 0 , VLOOKUP("Death Wish", vote4TRAITS!A:C , 3, FALSE), ),
IF(IFERROR(SEARCH("Entomb",L80),0) &gt; 0 , VLOOKUP("Entomb", vote4TRAITS!A:C , 3, FALSE), ),
IF(IFERROR(SEARCH("Ethereal Hold",L80),0) &gt; 0 , VLOOKUP("Ethereal Hold", vote4TRAITS!A:C , 3, FALSE), ),
IF(IFERROR(SEARCH("Extend",L80),0) &gt; 0 , VLOOKUP("Extend", vote4TRAITS!A:C , 3, FALSE), ),
IF(IFERROR(SEARCH("Filthy Murk",L80),0) &gt; 0 , VLOOKUP("Filthy Murk", vote4TRAITS!A:C , 3, FALSE), ),
IF(IFERROR(SEARCH("Flame Fiend",L80),0) &gt; 0 , VLOOKUP("Flame Fiend", vote4TRAITS!A:C , 3, FALSE), ),
IF(IFERROR(SEARCH("Fleshmonger",L80),0) &gt; 0 , VLOOKUP("Fleshmonger", vote4TRAITS!A:C , 3, FALSE), ),
IF(IFERROR(SEARCH("Fly",L80),0) &gt; 0 , VLOOKUP("Fly", vote4TRAITS!A:C , 3, FALSE), ),
IF(IFERROR(SEARCH("Freezing",L80),0) &gt; 0 , VLOOKUP("Freezing", vote4TRAITS!A:C , 3, FALSE), ),
IF(IFERROR(SEARCH("Lithesome",L80),0) &gt; 0 , VLOOKUP("Lithesome", vote4TRAITS!A:C , 3, FALSE), ),
IF(IFERROR(SEARCH("Harrowing",L80),0) &gt; 0 , VLOOKUP("Harrowing", vote4TRAITS!A:C , 3, FALSE), ),
IF(IFERROR(SEARCH("Hideous Laughter",L80),0) &gt; 0 , VLOOKUP("Hideous Laughter", vote4TRAITS!A:C , 3, FALSE), ),
IF(IFERROR(SEARCH("Hive Defense",L80),0) &gt; 0 , VLOOKUP("Hive Defense", vote4TRAITS!A:C , 3, FALSE), ),
IF(IFERROR(SEARCH("Horrifying",L80),0) &gt; 0 , VLOOKUP("Horrifying", vote4TRAITS!A:C , 3, FALSE), ),
IF(IFERROR(SEARCH("Ironskin",L80),0) &gt; 0 , VLOOKUP("Ironskin", vote4TRAITS!A:C , 3, FALSE), ),
IF(IFERROR(SEARCH("Unmovable",L80),0) &gt; 0 , VLOOKUP("Unmovable", vote4TRAITS!A:C , 3, FALSE), ),
IF(IFERROR(SEARCH("Lifethirst 1",L80),0) &gt; 0 , VLOOKUP("Lifethirst 1", vote4TRAITS!A:C , 3, FALSE), ),
IF(IFERROR(SEARCH("Lifethirst 2",L80),0) &gt; 0 , VLOOKUP("Lifethirst 2", vote4TRAITS!A:C , 3, FALSE), ),
IF(IFERROR(SEARCH("Morph",L80),0) &gt; 0 , VLOOKUP("Morph", vote4TRAITS!A:C , 3, FALSE), ),
IF(IFERROR(SEARCH("Night Stalker",L80),0) &gt; 0 , VLOOKUP("Night Stalker", vote4TRAITS!A:C , 3, FALSE), ),
IF(IFERROR(SEARCH("Overflowing",L80),0) &gt; 0 , VLOOKUP("Overflowing", vote4TRAITS!A:C , 3, FALSE), ),
IF(IFERROR(SEARCH("Pestilence",L80),0) &gt; 0 , VLOOKUP("Pestilence", vote4TRAITS!A:C , 3, FALSE), ),
IF(IFERROR(SEARCH("Phalanx",L80),0) &gt; 0 , VLOOKUP("Phalanx", vote4TRAITS!A:C , 3, FALSE), ),
IF(IFERROR(SEARCH("Plagued",L80),0) &gt; 0 , VLOOKUP("Plagued", vote4TRAITS!A:C , 3, FALSE), ),
IF(IFERROR(SEARCH("Prey on the Weak",L80),0) &gt; 0 , VLOOKUP("Prey on the Weak", vote4TRAITS!A:C , 3, FALSE), ),
IF(IFERROR(SEARCH("Protect",L80),0) &gt; 0 , VLOOKUP("Protect", vote4TRAITS!A:C , 3, FALSE), ),
IF(IFERROR(SEARCH("Puncture",L80),0) &gt; 0 , VLOOKUP("Puncture", vote4TRAITS!A:C , 3, FALSE), ),
IF(IFERROR(SEARCH("Putrid Boils",L80),0) &gt; 0 , VLOOKUP("Putrid Boils", vote4TRAITS!A:C , 3, FALSE), ),
IF(IFERROR(SEARCH("Ravage",L80),0) &gt; 0 , VLOOKUP("Ravage", vote4TRAITS!A:C , 3, FALSE), ),
IF(IFERROR(SEARCH("Ravenous",L80),0) &gt; 0 , VLOOKUP("Ravenous", vote4TRAITS!A:C , 3, FALSE), ),
IF(IFERROR(SEARCH("Reach",L80),0) &gt; 0 , VLOOKUP("Reach", vote4TRAITS!A:C , 3, FALSE), ),
IF(IFERROR(SEARCH("Reanimation",L80),0) &gt; 0 , VLOOKUP("Reanimation", vote4TRAITS!A:C , 3, FALSE), ),
IF(IFERROR(SEARCH("Reaper",L80),0) &gt; 0 , VLOOKUP("Reaper", vote4TRAITS!A:C , 3, FALSE), ),
IF(IFERROR(SEARCH("Riposte",L80),0) &gt; 0 , VLOOKUP("Riposte", vote4TRAITS!A:C , 3, FALSE)),
IF(IFERROR(SEARCH("Scamper",L80),0) &gt; 0 , VLOOKUP("Scamper", vote4TRAITS!A:C , 3, FALSE), ),
IF(IFERROR(SEARCH("Small Beginnings",L80),0) &gt; 0 , VLOOKUP("Small Beginnings", vote4TRAITS!A:C , 3, FALSE), ),
IF(IFERROR(SEARCH("Spawner",L80),0) &gt; 0 , VLOOKUP("Spawner", vote4TRAITS!A:C , 3,FALSE), ),
IF(IFERROR(SEARCH("Shadowr",L80),0) &gt; 0 , VLOOKUP("Shadow", vote4TRAITS!A:C , 3,FALSE), ),
IF(IFERROR(SEARCH("Shadow Step",L80),0) &gt; 0 , VLOOKUP("Shadow Step", vote4TRAITS!A:C , 3,FALSE), ),
IF(IFERROR(SEARCH("Shambling",L80),0) &gt; 0 , VLOOKUP("Shambling", vote4TRAITS!A:C , 3,FALSE), ),
IF(IFERROR(SEARCH("Stealthy",L80),0) &gt; 0 , VLOOKUP("Stealthy", vote4TRAITS!A:C , 3, FALSE), ),
IF(IFERROR(SEARCH("Web",L80),0) &gt; 0 , VLOOKUP("Web", vote4TRAITS!A:C , 3, FALSE), ),
IF(IFERROR(SEARCH("+1 Willpower",L80),0) &gt; 0 , VLOOKUP("+1 Willpower", vote4TRAITS!A:C , 3, FALSE), ),
IF(IFERROR(SEARCH("+1 Might",L80),0) &gt; 0 , VLOOKUP("+1 Might", vote4TRAITS!A:C , 3, FALSE), ),
IF(IFERROR(SEARCH("+1 Knowledge",L80),0) &gt; 0 , VLOOKUP("+1 Knowledge", vote4TRAITS!A:C , 3, FALSE), ),
IF(IFERROR(SEARCH("+1 Awareness",L80),0) &gt; 0 , VLOOKUP("+1 Awareness", vote4TRAITS!A:C , 3, FALSE), ),
IF(IFERROR(SEARCH("-1 Willpower",L80),0) &gt; 0 , VLOOKUP("-1 Willpower", vote4TRAITS!A:C , 3, FALSE), ),
IF(IFERROR(SEARCH("+1 Health",L80),0) &gt; 0 , VLOOKUP("+1 Health", vote4TRAITS!A:C , 3, FALSE), ),
IF(IFERROR(SEARCH("+2 Health",L80),0) &gt; 0 , VLOOKUP("+2 Health", vote4TRAITS!A:C , 3, FALSE), ),
IF(IFERROR(SEARCH("+1 Stamina",L80),0) &gt; 0 , VLOOKUP("+1 Stamina", vote4TRAITS!A:C , 3, FALSE), ),
IF(IFERROR(SEARCH("+2 Stamina",L80),0) &gt; 0 , VLOOKUP("+2 Stamina", vote4TRAITS!A:C , 3, FALSE), ),
IFS(
IFERROR(SEARCH("+1 Range", L80),) &gt; 0 ,VLOOKUP("+1 Range", vote4TRAITS!A:C , 3, FALSE),
IFERROR(SEARCH("+2 Range", L80),) &gt; 0 ,VLOOKUP("+2 Range", vote4TRAITS!A:C , 3, FALSE),
IFERROR(SEARCH("+3 Range", L80),) &gt; 0,VLOOKUP("+3 Range", vote4TRAITS!A:C , 3, FALSE),
0=0,0)
,
IFS(
IFERROR(SEARCH("Sorcery 1", L80),) &gt; 0 ,VLOOKUP("Sorcery 1", vote4TRAITS!A:C , 3, FALSE),
IFERROR(SEARCH("Sorcery 2", L80),) &gt; 0 ,VLOOKUP("Sorcery 2", vote4TRAITS!A:C , 3, FALSE),
IFERROR(SEARCH("Sorcery 3", L80),) &gt; 0,VLOOKUP("Sorcery 3", vote4TRAITS!A:C , 3, FALSE),
0=0,0)
,
IFS(
IFERROR(SEARCH("Pierce 1", L80),) &gt; 0 ,VLOOKUP("Pierce 1", vote4TRAITS!A:C , 3, FALSE),
IFERROR(SEARCH("Pierce 2", L80),) &gt; 0 ,VLOOKUP("Pierce 2", vote4TRAITS!A:C , 3, FALSE),
IFERROR(SEARCH("Pierce 3", L80),) &gt; 0,VLOOKUP("Pierce 3", vote4TRAITS!A:C , 3, FALSE),
IFERROR(SEARCH("Pierce 4", L80),) &gt; 0 ,VLOOKUP("Pierce 4", vote4TRAITS!A:C , 3, FALSE),
0=0,0)
,
IFS(
IFERROR(SEARCH("+1 Health", L80),) &gt; 0 ,VLOOKUP("+1 Health", vote4TRAITS!A:C , 3, FALSE),
IFERROR(SEARCH("+2 Health", L80),) &gt; 0 ,VLOOKUP("+2 Health", vote4TRAITS!A:C , 3, FALSE),
IFERROR(SEARCH("+3 Health", L80),) &gt; 0 ,VLOOKUP("+3 Health", vote4TRAITS!A:C , 3, FALSE),
IFERROR(SEARCH("+4 Health", L80),) &gt; 0 ,VLOOKUP("+4 Health", vote4TRAITS!A:C , 3, FALSE),
0=0,0)
,
IFS(
IFERROR(SEARCH("Soul Shackle 1", L80),) &gt; 0 ,VLOOKUP("Soul Shackle 1", vote4TRAITS!A:C , 3, FALSE),
IFERROR(SEARCH("Soul Shackle 2", L80),) &gt; 0 ,VLOOKUP("Soul Shackle 2", vote4TRAITS!A:C , 3, FALSE),
IFERROR(SEARCH("Soul Shackle 3", L80),) &gt; 0,VLOOKUP("Soul Shackle 3", vote4TRAITS!A:C , 3, FALSE),
0=0,0)
)</f>
        <v>0</v>
      </c>
      <c r="N80" s="311" t="s">
        <v>1562</v>
      </c>
      <c r="O80" s="317">
        <f>IF(ISBLANK(N80),,IFERROR(
IF(IFERROR(SEARCH("SS:",N80),0) &gt; 0, 
VLOOKUP(SUBSTITUTE(N80,"SS: ",""),vote4SURGE!$A:$C , 3, FALSE) - 2,
VLOOKUP(SUBSTITUTE(N80,"S: ",""),vote4SURGE!$A:$C , 3, FALSE)
)
,
IF(IFERROR(SEARCH("SS:",N80),0) &gt; 0, 
VLOOKUP(C80,vote4SURGE!$A:$C , 3, FALSE) - 2,
VLOOKUP(C80,vote4SURGE!$A:$C , 3, FALSE)
)
))</f>
        <v>3.5</v>
      </c>
      <c r="P80" s="315" t="s">
        <v>1562</v>
      </c>
      <c r="Q80" s="317">
        <f>IF(ISBLANK(P80),,IFERROR(
IF(IFERROR(SEARCH("SS:",P80),0) &gt; 0, 
VLOOKUP(SUBSTITUTE(P80,"SS: ",""),vote4SURGE!$A:$C , 3, FALSE) - 2,
VLOOKUP(SUBSTITUTE(P80,"S: ",""),vote4SURGE!$A:$C , 3, FALSE)
)
,
IF(IFERROR(SEARCH("SS:",P80),0) &gt; 0, 
VLOOKUP(C80,vote4SURGE!$A:$C , 3, FALSE) - 2,
VLOOKUP(C80,vote4SURGE!$A:$C , 3, FALSE)
)
))</f>
        <v>3.5</v>
      </c>
      <c r="R80" s="318"/>
      <c r="S80" s="319" t="str">
        <f>IF(ISBLANK(R80),,IFERROR(
IF(IFERROR(SEARCH("SS:",R80),0) &gt; 0, 
VLOOKUP(SUBSTITUTE(R80,"SS: ",""),vote4SURGE!$A:$C , 3, FALSE) - 2,
VLOOKUP(SUBSTITUTE(R80,"S: ",""),vote4SURGE!$A:$C , 3, FALSE)
)
,
IF(IFERROR(SEARCH("SS:",R80),0) &gt; 0, 
VLOOKUP(C80,vote4SURGE!$A:$C , 3, FALSE) - 2,
VLOOKUP(C80,vote4SURGE!$A:$C , 3, FALSE)
)
))</f>
        <v/>
      </c>
      <c r="T80" s="320">
        <f t="shared" si="2"/>
        <v>2</v>
      </c>
      <c r="U80" s="320">
        <f>IFERROR(__xludf.DUMMYFUNCTION("ROUND(
IF(ISBLANK(G80),,
SWITCH(
LEN(G80) - LEN(SUBSTITUTE(G80,"","","""")),
0 , VLOOKUP(G80, Variables!$A:$C, 3, FALSE),
1 , VLOOKUP(index(split(G80 ,"", "", FALSE),1,1), Variables!$A:$C , 3, FALSE) + VLOOKUP(index(split(G80 ,"", "", FALSE),1,2), Variabl"&amp;"es!$A:$C , 3, FALSE),
2 , VLOOKUP(index(split(G80 ,"", "", FALSE),1,1), Variables!$A:$C , 3, FALSE) + VLOOKUP(index(split(G80 ,"", "", FALSE),1,2), Variables!$A:$C , 3, FALSE) + VLOOKUP(index(split(G80 ,"", "", FALSE),1,3), Variables!$A:$C , 3, FALSE),
3 "&amp;", VLOOKUP(index(split(G80 ,"", "", FALSE),1,1), Variables!$A:$C , 3, FALSE) + VLOOKUP(index(split(G80 ,"", "", FALSE),1,2), Variables!$A:$C , 3, FALSE) + VLOOKUP(index(split(G80 ,"", "", FALSE),1,3), Variables!$A:$C , 3, FALSE) + VLOOKUP(index(split(G80 ,"&amp;""", "", FALSE),1,4), Variables!$A:$C , 3, FALSE),
)
)
)"),1.0)</f>
        <v>1</v>
      </c>
      <c r="V80" s="317">
        <f t="shared" si="3"/>
        <v>5.25</v>
      </c>
      <c r="W80" s="321">
        <f t="shared" si="4"/>
        <v>8.583333333</v>
      </c>
      <c r="X80" s="118"/>
      <c r="Y80" s="118"/>
      <c r="Z80" s="118"/>
      <c r="AA80" s="118"/>
      <c r="AB80" s="118"/>
      <c r="AC80" s="118"/>
      <c r="AD80" s="118"/>
      <c r="AE80" s="118"/>
    </row>
    <row r="81" hidden="1">
      <c r="A81" s="310">
        <v>2.0</v>
      </c>
      <c r="B81" s="93">
        <f t="shared" si="1"/>
        <v>6</v>
      </c>
      <c r="C81" s="310" t="s">
        <v>759</v>
      </c>
      <c r="D81" s="310">
        <v>75.0</v>
      </c>
      <c r="E81" s="310" t="s">
        <v>1629</v>
      </c>
      <c r="F81" s="310"/>
      <c r="G81" s="313"/>
      <c r="H81" s="312" t="str">
        <f>IFERROR(__xludf.DUMMYFUNCTION(" IF(ISBLANK(G81),,
SWITCH(
LEN(G81) - LEN(SUBSTITUTE(G81,"","","""")),
0 , VLOOKUP(G81, Variables!$A:$B, 2, FALSE),
1 , VLOOKUP(index(split(G81 ,"", "", FALSE),1,1), Variables!$A:$B , 2, FALSE) + VLOOKUP(index(split(G81 ,"", "", FALSE),1,2), Variables!$A:"&amp;"$B , 2, FALSE),
2 , VLOOKUP(index(split(G81 ,"", "", FALSE),1,1), Variables!$A:$B , 2, FALSE) + VLOOKUP(index(split(G81 ,"", "", FALSE),1,2), Variables!$A:$B , 2, FALSE) + VLOOKUP(index(split(G81 ,"", "", FALSE),1,3), Variables!$A:$B , 2, FALSE),
3 , VLOO"&amp;"KUP(index(split(G81 ,"", "", FALSE),1,1), Variables!$A:$B , 2, FALSE) + VLOOKUP(index(split(G81 ,"", "", FALSE),1,2), Variables!$A:$B , 2, FALSE) + VLOOKUP(index(split(G81 ,"", "", FALSE),1,3), Variables!$A:$B , 2, FALSE) + VLOOKUP(index(split(G81 ,"", """&amp;", FALSE),1,4), Variables!$A:$B , 2, FALSE),
)
)"),"")</f>
        <v/>
      </c>
      <c r="I81" s="310" t="s">
        <v>1635</v>
      </c>
      <c r="J81" s="313" t="s">
        <v>760</v>
      </c>
      <c r="K81" s="314">
        <f>IFERROR(VLOOKUP(C81,vote4ITEMS!$A:$C, 3, FALSE),)</f>
        <v>7.666666667</v>
      </c>
      <c r="L81" s="313"/>
      <c r="M81" s="314">
        <f>SUM(
IF(IFERROR(SEARCH("Aura 1",L81),0) &gt; 0 , VLOOKUP("Aura 1", vote4TRAITS!A:C , 3, FALSE), ),
IF(IFERROR(SEARCH("Backswing",L81),0) &gt; 0 , VLOOKUP("Backswing", vote4TRAITS!A:C , 3, FALSE), ),
IF(IFERROR(SEARCH("Blast",L81),0) &gt; 0 , VLOOKUP("Blast", vote4TRAITS!A:C , 3, FALSE), ),
IF(IFERROR(SEARCH("Combustible",L81),0) &gt; 0 , VLOOKUP("Combustible", vote4TRAITS!A:C , 3, FALSE), ),
IF(IFERROR(SEARCH("Command",L81),0) &gt; 0 , VLOOKUP("Command", vote4TRAITS!A:C , 3, FALSE), ),
IF(IFERROR(SEARCH("Cowardly",L81),0) &gt; 0 , VLOOKUP("Cowardly", vote4TRAITS!A:C , 3, FALSE), ),
IF(IFERROR(SEARCH("Death Wish",L81),0) &gt; 0 , VLOOKUP("Death Wish", vote4TRAITS!A:C , 3, FALSE), ),
IF(IFERROR(SEARCH("Entomb",L81),0) &gt; 0 , VLOOKUP("Entomb", vote4TRAITS!A:C , 3, FALSE), ),
IF(IFERROR(SEARCH("Ethereal Hold",L81),0) &gt; 0 , VLOOKUP("Ethereal Hold", vote4TRAITS!A:C , 3, FALSE), ),
IF(IFERROR(SEARCH("Extend",L81),0) &gt; 0 , VLOOKUP("Extend", vote4TRAITS!A:C , 3, FALSE), ),
IF(IFERROR(SEARCH("Filthy Murk",L81),0) &gt; 0 , VLOOKUP("Filthy Murk", vote4TRAITS!A:C , 3, FALSE), ),
IF(IFERROR(SEARCH("Flame Fiend",L81),0) &gt; 0 , VLOOKUP("Flame Fiend", vote4TRAITS!A:C , 3, FALSE), ),
IF(IFERROR(SEARCH("Fleshmonger",L81),0) &gt; 0 , VLOOKUP("Fleshmonger", vote4TRAITS!A:C , 3, FALSE), ),
IF(IFERROR(SEARCH("Fly",L81),0) &gt; 0 , VLOOKUP("Fly", vote4TRAITS!A:C , 3, FALSE), ),
IF(IFERROR(SEARCH("Freezing",L81),0) &gt; 0 , VLOOKUP("Freezing", vote4TRAITS!A:C , 3, FALSE), ),
IF(IFERROR(SEARCH("Lithesome",L81),0) &gt; 0 , VLOOKUP("Lithesome", vote4TRAITS!A:C , 3, FALSE), ),
IF(IFERROR(SEARCH("Harrowing",L81),0) &gt; 0 , VLOOKUP("Harrowing", vote4TRAITS!A:C , 3, FALSE), ),
IF(IFERROR(SEARCH("Hideous Laughter",L81),0) &gt; 0 , VLOOKUP("Hideous Laughter", vote4TRAITS!A:C , 3, FALSE), ),
IF(IFERROR(SEARCH("Hive Defense",L81),0) &gt; 0 , VLOOKUP("Hive Defense", vote4TRAITS!A:C , 3, FALSE), ),
IF(IFERROR(SEARCH("Horrifying",L81),0) &gt; 0 , VLOOKUP("Horrifying", vote4TRAITS!A:C , 3, FALSE), ),
IF(IFERROR(SEARCH("Ironskin",L81),0) &gt; 0 , VLOOKUP("Ironskin", vote4TRAITS!A:C , 3, FALSE), ),
IF(IFERROR(SEARCH("Unmovable",L81),0) &gt; 0 , VLOOKUP("Unmovable", vote4TRAITS!A:C , 3, FALSE), ),
IF(IFERROR(SEARCH("Lifethirst 1",L81),0) &gt; 0 , VLOOKUP("Lifethirst 1", vote4TRAITS!A:C , 3, FALSE), ),
IF(IFERROR(SEARCH("Lifethirst 2",L81),0) &gt; 0 , VLOOKUP("Lifethirst 2", vote4TRAITS!A:C , 3, FALSE), ),
IF(IFERROR(SEARCH("Morph",L81),0) &gt; 0 , VLOOKUP("Morph", vote4TRAITS!A:C , 3, FALSE), ),
IF(IFERROR(SEARCH("Night Stalker",L81),0) &gt; 0 , VLOOKUP("Night Stalker", vote4TRAITS!A:C , 3, FALSE), ),
IF(IFERROR(SEARCH("Overflowing",L81),0) &gt; 0 , VLOOKUP("Overflowing", vote4TRAITS!A:C , 3, FALSE), ),
IF(IFERROR(SEARCH("Pestilence",L81),0) &gt; 0 , VLOOKUP("Pestilence", vote4TRAITS!A:C , 3, FALSE), ),
IF(IFERROR(SEARCH("Phalanx",L81),0) &gt; 0 , VLOOKUP("Phalanx", vote4TRAITS!A:C , 3, FALSE), ),
IF(IFERROR(SEARCH("Plagued",L81),0) &gt; 0 , VLOOKUP("Plagued", vote4TRAITS!A:C , 3, FALSE), ),
IF(IFERROR(SEARCH("Prey on the Weak",L81),0) &gt; 0 , VLOOKUP("Prey on the Weak", vote4TRAITS!A:C , 3, FALSE), ),
IF(IFERROR(SEARCH("Protect",L81),0) &gt; 0 , VLOOKUP("Protect", vote4TRAITS!A:C , 3, FALSE), ),
IF(IFERROR(SEARCH("Puncture",L81),0) &gt; 0 , VLOOKUP("Puncture", vote4TRAITS!A:C , 3, FALSE), ),
IF(IFERROR(SEARCH("Putrid Boils",L81),0) &gt; 0 , VLOOKUP("Putrid Boils", vote4TRAITS!A:C , 3, FALSE), ),
IF(IFERROR(SEARCH("Ravage",L81),0) &gt; 0 , VLOOKUP("Ravage", vote4TRAITS!A:C , 3, FALSE), ),
IF(IFERROR(SEARCH("Ravenous",L81),0) &gt; 0 , VLOOKUP("Ravenous", vote4TRAITS!A:C , 3, FALSE), ),
IF(IFERROR(SEARCH("Reach",L81),0) &gt; 0 , VLOOKUP("Reach", vote4TRAITS!A:C , 3, FALSE), ),
IF(IFERROR(SEARCH("Reanimation",L81),0) &gt; 0 , VLOOKUP("Reanimation", vote4TRAITS!A:C , 3, FALSE), ),
IF(IFERROR(SEARCH("Reaper",L81),0) &gt; 0 , VLOOKUP("Reaper", vote4TRAITS!A:C , 3, FALSE), ),
IF(IFERROR(SEARCH("Riposte",L81),0) &gt; 0 , VLOOKUP("Riposte", vote4TRAITS!A:C , 3, FALSE)),
IF(IFERROR(SEARCH("Scamper",L81),0) &gt; 0 , VLOOKUP("Scamper", vote4TRAITS!A:C , 3, FALSE), ),
IF(IFERROR(SEARCH("Small Beginnings",L81),0) &gt; 0 , VLOOKUP("Small Beginnings", vote4TRAITS!A:C , 3, FALSE), ),
IF(IFERROR(SEARCH("Spawner",L81),0) &gt; 0 , VLOOKUP("Spawner", vote4TRAITS!A:C , 3,FALSE), ),
IF(IFERROR(SEARCH("Shadowr",L81),0) &gt; 0 , VLOOKUP("Shadow", vote4TRAITS!A:C , 3,FALSE), ),
IF(IFERROR(SEARCH("Shadow Step",L81),0) &gt; 0 , VLOOKUP("Shadow Step", vote4TRAITS!A:C , 3,FALSE), ),
IF(IFERROR(SEARCH("Shambling",L81),0) &gt; 0 , VLOOKUP("Shambling", vote4TRAITS!A:C , 3,FALSE), ),
IF(IFERROR(SEARCH("Stealthy",L81),0) &gt; 0 , VLOOKUP("Stealthy", vote4TRAITS!A:C , 3, FALSE), ),
IF(IFERROR(SEARCH("Web",L81),0) &gt; 0 , VLOOKUP("Web", vote4TRAITS!A:C , 3, FALSE), ),
IF(IFERROR(SEARCH("+1 Willpower",L81),0) &gt; 0 , VLOOKUP("+1 Willpower", vote4TRAITS!A:C , 3, FALSE), ),
IF(IFERROR(SEARCH("+1 Might",L81),0) &gt; 0 , VLOOKUP("+1 Might", vote4TRAITS!A:C , 3, FALSE), ),
IF(IFERROR(SEARCH("+1 Knowledge",L81),0) &gt; 0 , VLOOKUP("+1 Knowledge", vote4TRAITS!A:C , 3, FALSE), ),
IF(IFERROR(SEARCH("+1 Awareness",L81),0) &gt; 0 , VLOOKUP("+1 Awareness", vote4TRAITS!A:C , 3, FALSE), ),
IF(IFERROR(SEARCH("-1 Willpower",L81),0) &gt; 0 , VLOOKUP("-1 Willpower", vote4TRAITS!A:C , 3, FALSE), ),
IF(IFERROR(SEARCH("+1 Health",L81),0) &gt; 0 , VLOOKUP("+1 Health", vote4TRAITS!A:C , 3, FALSE), ),
IF(IFERROR(SEARCH("+2 Health",L81),0) &gt; 0 , VLOOKUP("+2 Health", vote4TRAITS!A:C , 3, FALSE), ),
IF(IFERROR(SEARCH("+1 Stamina",L81),0) &gt; 0 , VLOOKUP("+1 Stamina", vote4TRAITS!A:C , 3, FALSE), ),
IF(IFERROR(SEARCH("+2 Stamina",L81),0) &gt; 0 , VLOOKUP("+2 Stamina", vote4TRAITS!A:C , 3, FALSE), ),
IFS(
IFERROR(SEARCH("+1 Range", L81),) &gt; 0 ,VLOOKUP("+1 Range", vote4TRAITS!A:C , 3, FALSE),
IFERROR(SEARCH("+2 Range", L81),) &gt; 0 ,VLOOKUP("+2 Range", vote4TRAITS!A:C , 3, FALSE),
IFERROR(SEARCH("+3 Range", L81),) &gt; 0,VLOOKUP("+3 Range", vote4TRAITS!A:C , 3, FALSE),
0=0,0)
,
IFS(
IFERROR(SEARCH("Sorcery 1", L81),) &gt; 0 ,VLOOKUP("Sorcery 1", vote4TRAITS!A:C , 3, FALSE),
IFERROR(SEARCH("Sorcery 2", L81),) &gt; 0 ,VLOOKUP("Sorcery 2", vote4TRAITS!A:C , 3, FALSE),
IFERROR(SEARCH("Sorcery 3", L81),) &gt; 0,VLOOKUP("Sorcery 3", vote4TRAITS!A:C , 3, FALSE),
0=0,0)
,
IFS(
IFERROR(SEARCH("Pierce 1", L81),) &gt; 0 ,VLOOKUP("Pierce 1", vote4TRAITS!A:C , 3, FALSE),
IFERROR(SEARCH("Pierce 2", L81),) &gt; 0 ,VLOOKUP("Pierce 2", vote4TRAITS!A:C , 3, FALSE),
IFERROR(SEARCH("Pierce 3", L81),) &gt; 0,VLOOKUP("Pierce 3", vote4TRAITS!A:C , 3, FALSE),
IFERROR(SEARCH("Pierce 4", L81),) &gt; 0 ,VLOOKUP("Pierce 4", vote4TRAITS!A:C , 3, FALSE),
0=0,0)
,
IFS(
IFERROR(SEARCH("+1 Health", L81),) &gt; 0 ,VLOOKUP("+1 Health", vote4TRAITS!A:C , 3, FALSE),
IFERROR(SEARCH("+2 Health", L81),) &gt; 0 ,VLOOKUP("+2 Health", vote4TRAITS!A:C , 3, FALSE),
IFERROR(SEARCH("+3 Health", L81),) &gt; 0 ,VLOOKUP("+3 Health", vote4TRAITS!A:C , 3, FALSE),
IFERROR(SEARCH("+4 Health", L81),) &gt; 0 ,VLOOKUP("+4 Health", vote4TRAITS!A:C , 3, FALSE),
0=0,0)
,
IFS(
IFERROR(SEARCH("Soul Shackle 1", L81),) &gt; 0 ,VLOOKUP("Soul Shackle 1", vote4TRAITS!A:C , 3, FALSE),
IFERROR(SEARCH("Soul Shackle 2", L81),) &gt; 0 ,VLOOKUP("Soul Shackle 2", vote4TRAITS!A:C , 3, FALSE),
IFERROR(SEARCH("Soul Shackle 3", L81),) &gt; 0,VLOOKUP("Soul Shackle 3", vote4TRAITS!A:C , 3, FALSE),
0=0,0)
)</f>
        <v>0</v>
      </c>
      <c r="N81" s="313"/>
      <c r="O81" s="317" t="str">
        <f>IF(ISBLANK(N81),,IFERROR(
IF(IFERROR(SEARCH("SS:",N81),0) &gt; 0, 
VLOOKUP(SUBSTITUTE(N81,"SS: ",""),vote4SURGE!$A:$C , 3, FALSE) - 2,
VLOOKUP(SUBSTITUTE(N81,"S: ",""),vote4SURGE!$A:$C , 3, FALSE)
)
,
IF(IFERROR(SEARCH("SS:",N81),0) &gt; 0, 
VLOOKUP(C81,vote4SURGE!$A:$C , 3, FALSE) - 2,
VLOOKUP(C81,vote4SURGE!$A:$C , 3, FALSE)
)
))</f>
        <v/>
      </c>
      <c r="P81" s="318"/>
      <c r="Q81" s="317" t="str">
        <f>IF(ISBLANK(P81),,IFERROR(
IF(IFERROR(SEARCH("SS:",P81),0) &gt; 0, 
VLOOKUP(SUBSTITUTE(P81,"SS: ",""),vote4SURGE!$A:$C , 3, FALSE) - 2,
VLOOKUP(SUBSTITUTE(P81,"S: ",""),vote4SURGE!$A:$C , 3, FALSE)
)
,
IF(IFERROR(SEARCH("SS:",P81),0) &gt; 0, 
VLOOKUP(C81,vote4SURGE!$A:$C , 3, FALSE) - 2,
VLOOKUP(C81,vote4SURGE!$A:$C , 3, FALSE)
)
))</f>
        <v/>
      </c>
      <c r="R81" s="318"/>
      <c r="S81" s="319" t="str">
        <f>IF(ISBLANK(R81),,IFERROR(
IF(IFERROR(SEARCH("SS:",R81),0) &gt; 0, 
VLOOKUP(SUBSTITUTE(R81,"SS: ",""),vote4SURGE!$A:$C , 3, FALSE) - 2,
VLOOKUP(SUBSTITUTE(R81,"S: ",""),vote4SURGE!$A:$C , 3, FALSE)
)
,
IF(IFERROR(SEARCH("SS:",R81),0) &gt; 0, 
VLOOKUP(C81,vote4SURGE!$A:$C , 3, FALSE) - 2,
VLOOKUP(C81,vote4SURGE!$A:$C , 3, FALSE)
)
))</f>
        <v/>
      </c>
      <c r="T81" s="320">
        <f t="shared" si="2"/>
        <v>0</v>
      </c>
      <c r="U81" s="320">
        <f>IFERROR(__xludf.DUMMYFUNCTION("ROUND(
IF(ISBLANK(G81),,
SWITCH(
LEN(G81) - LEN(SUBSTITUTE(G81,"","","""")),
0 , VLOOKUP(G81, Variables!$A:$C, 3, FALSE),
1 , VLOOKUP(index(split(G81 ,"", "", FALSE),1,1), Variables!$A:$C , 3, FALSE) + VLOOKUP(index(split(G81 ,"", "", FALSE),1,2), Variabl"&amp;"es!$A:$C , 3, FALSE),
2 , VLOOKUP(index(split(G81 ,"", "", FALSE),1,1), Variables!$A:$C , 3, FALSE) + VLOOKUP(index(split(G81 ,"", "", FALSE),1,2), Variables!$A:$C , 3, FALSE) + VLOOKUP(index(split(G81 ,"", "", FALSE),1,3), Variables!$A:$C , 3, FALSE),
3 "&amp;", VLOOKUP(index(split(G81 ,"", "", FALSE),1,1), Variables!$A:$C , 3, FALSE) + VLOOKUP(index(split(G81 ,"", "", FALSE),1,2), Variables!$A:$C , 3, FALSE) + VLOOKUP(index(split(G81 ,"", "", FALSE),1,3), Variables!$A:$C , 3, FALSE) + VLOOKUP(index(split(G81 ,"&amp;""", "", FALSE),1,4), Variables!$A:$C , 3, FALSE),
)
)
)"),0.0)</f>
        <v>0</v>
      </c>
      <c r="V81" s="317">
        <f t="shared" si="3"/>
        <v>0</v>
      </c>
      <c r="W81" s="321">
        <f t="shared" si="4"/>
        <v>7.666666667</v>
      </c>
      <c r="X81" s="118"/>
      <c r="Y81" s="118"/>
      <c r="Z81" s="118"/>
      <c r="AA81" s="118"/>
      <c r="AB81" s="118"/>
      <c r="AC81" s="118"/>
      <c r="AD81" s="118"/>
      <c r="AE81" s="118"/>
    </row>
    <row r="82" hidden="1">
      <c r="A82" s="310">
        <v>1.0</v>
      </c>
      <c r="B82" s="93" t="str">
        <f t="shared" si="1"/>
        <v/>
      </c>
      <c r="C82" s="310" t="s">
        <v>1262</v>
      </c>
      <c r="D82" s="323">
        <v>0.0</v>
      </c>
      <c r="E82" s="310" t="s">
        <v>1520</v>
      </c>
      <c r="F82" s="310" t="s">
        <v>1567</v>
      </c>
      <c r="G82" s="313" t="s">
        <v>1548</v>
      </c>
      <c r="H82" s="312">
        <f>IFERROR(__xludf.DUMMYFUNCTION(" IF(ISBLANK(G82),,
SWITCH(
LEN(G82) - LEN(SUBSTITUTE(G82,"","","""")),
0 , VLOOKUP(G82, Variables!$A:$B, 2, FALSE),
1 , VLOOKUP(index(split(G82 ,"", "", FALSE),1,1), Variables!$A:$B , 2, FALSE) + VLOOKUP(index(split(G82 ,"", "", FALSE),1,2), Variables!$A:"&amp;"$B , 2, FALSE),
2 , VLOOKUP(index(split(G82 ,"", "", FALSE),1,1), Variables!$A:$B , 2, FALSE) + VLOOKUP(index(split(G82 ,"", "", FALSE),1,2), Variables!$A:$B , 2, FALSE) + VLOOKUP(index(split(G82 ,"", "", FALSE),1,3), Variables!$A:$B , 2, FALSE),
3 , VLOO"&amp;"KUP(index(split(G82 ,"", "", FALSE),1,1), Variables!$A:$B , 2, FALSE) + VLOOKUP(index(split(G82 ,"", "", FALSE),1,2), Variables!$A:$B , 2, FALSE) + VLOOKUP(index(split(G82 ,"", "", FALSE),1,3), Variables!$A:$B , 2, FALSE) + VLOOKUP(index(split(G82 ,"", """&amp;", FALSE),1,4), Variables!$A:$B , 2, FALSE),
)
)"),2.3333333333333335)</f>
        <v>2.333333333</v>
      </c>
      <c r="I82" s="310" t="s">
        <v>1570</v>
      </c>
      <c r="J82" s="313"/>
      <c r="K82" s="314" t="str">
        <f>IFERROR(VLOOKUP(C82,vote4ITEMS!$A:$C, 3, FALSE),)</f>
        <v/>
      </c>
      <c r="L82" s="313"/>
      <c r="M82" s="314">
        <f>SUM(
IF(IFERROR(SEARCH("Aura 1",L82),0) &gt; 0 , VLOOKUP("Aura 1", vote4TRAITS!A:C , 3, FALSE), ),
IF(IFERROR(SEARCH("Backswing",L82),0) &gt; 0 , VLOOKUP("Backswing", vote4TRAITS!A:C , 3, FALSE), ),
IF(IFERROR(SEARCH("Blast",L82),0) &gt; 0 , VLOOKUP("Blast", vote4TRAITS!A:C , 3, FALSE), ),
IF(IFERROR(SEARCH("Combustible",L82),0) &gt; 0 , VLOOKUP("Combustible", vote4TRAITS!A:C , 3, FALSE), ),
IF(IFERROR(SEARCH("Command",L82),0) &gt; 0 , VLOOKUP("Command", vote4TRAITS!A:C , 3, FALSE), ),
IF(IFERROR(SEARCH("Cowardly",L82),0) &gt; 0 , VLOOKUP("Cowardly", vote4TRAITS!A:C , 3, FALSE), ),
IF(IFERROR(SEARCH("Death Wish",L82),0) &gt; 0 , VLOOKUP("Death Wish", vote4TRAITS!A:C , 3, FALSE), ),
IF(IFERROR(SEARCH("Entomb",L82),0) &gt; 0 , VLOOKUP("Entomb", vote4TRAITS!A:C , 3, FALSE), ),
IF(IFERROR(SEARCH("Ethereal Hold",L82),0) &gt; 0 , VLOOKUP("Ethereal Hold", vote4TRAITS!A:C , 3, FALSE), ),
IF(IFERROR(SEARCH("Extend",L82),0) &gt; 0 , VLOOKUP("Extend", vote4TRAITS!A:C , 3, FALSE), ),
IF(IFERROR(SEARCH("Filthy Murk",L82),0) &gt; 0 , VLOOKUP("Filthy Murk", vote4TRAITS!A:C , 3, FALSE), ),
IF(IFERROR(SEARCH("Flame Fiend",L82),0) &gt; 0 , VLOOKUP("Flame Fiend", vote4TRAITS!A:C , 3, FALSE), ),
IF(IFERROR(SEARCH("Fleshmonger",L82),0) &gt; 0 , VLOOKUP("Fleshmonger", vote4TRAITS!A:C , 3, FALSE), ),
IF(IFERROR(SEARCH("Fly",L82),0) &gt; 0 , VLOOKUP("Fly", vote4TRAITS!A:C , 3, FALSE), ),
IF(IFERROR(SEARCH("Freezing",L82),0) &gt; 0 , VLOOKUP("Freezing", vote4TRAITS!A:C , 3, FALSE), ),
IF(IFERROR(SEARCH("Lithesome",L82),0) &gt; 0 , VLOOKUP("Lithesome", vote4TRAITS!A:C , 3, FALSE), ),
IF(IFERROR(SEARCH("Harrowing",L82),0) &gt; 0 , VLOOKUP("Harrowing", vote4TRAITS!A:C , 3, FALSE), ),
IF(IFERROR(SEARCH("Hideous Laughter",L82),0) &gt; 0 , VLOOKUP("Hideous Laughter", vote4TRAITS!A:C , 3, FALSE), ),
IF(IFERROR(SEARCH("Hive Defense",L82),0) &gt; 0 , VLOOKUP("Hive Defense", vote4TRAITS!A:C , 3, FALSE), ),
IF(IFERROR(SEARCH("Horrifying",L82),0) &gt; 0 , VLOOKUP("Horrifying", vote4TRAITS!A:C , 3, FALSE), ),
IF(IFERROR(SEARCH("Ironskin",L82),0) &gt; 0 , VLOOKUP("Ironskin", vote4TRAITS!A:C , 3, FALSE), ),
IF(IFERROR(SEARCH("Unmovable",L82),0) &gt; 0 , VLOOKUP("Unmovable", vote4TRAITS!A:C , 3, FALSE), ),
IF(IFERROR(SEARCH("Lifethirst 1",L82),0) &gt; 0 , VLOOKUP("Lifethirst 1", vote4TRAITS!A:C , 3, FALSE), ),
IF(IFERROR(SEARCH("Lifethirst 2",L82),0) &gt; 0 , VLOOKUP("Lifethirst 2", vote4TRAITS!A:C , 3, FALSE), ),
IF(IFERROR(SEARCH("Morph",L82),0) &gt; 0 , VLOOKUP("Morph", vote4TRAITS!A:C , 3, FALSE), ),
IF(IFERROR(SEARCH("Night Stalker",L82),0) &gt; 0 , VLOOKUP("Night Stalker", vote4TRAITS!A:C , 3, FALSE), ),
IF(IFERROR(SEARCH("Overflowing",L82),0) &gt; 0 , VLOOKUP("Overflowing", vote4TRAITS!A:C , 3, FALSE), ),
IF(IFERROR(SEARCH("Pestilence",L82),0) &gt; 0 , VLOOKUP("Pestilence", vote4TRAITS!A:C , 3, FALSE), ),
IF(IFERROR(SEARCH("Phalanx",L82),0) &gt; 0 , VLOOKUP("Phalanx", vote4TRAITS!A:C , 3, FALSE), ),
IF(IFERROR(SEARCH("Plagued",L82),0) &gt; 0 , VLOOKUP("Plagued", vote4TRAITS!A:C , 3, FALSE), ),
IF(IFERROR(SEARCH("Prey on the Weak",L82),0) &gt; 0 , VLOOKUP("Prey on the Weak", vote4TRAITS!A:C , 3, FALSE), ),
IF(IFERROR(SEARCH("Protect",L82),0) &gt; 0 , VLOOKUP("Protect", vote4TRAITS!A:C , 3, FALSE), ),
IF(IFERROR(SEARCH("Puncture",L82),0) &gt; 0 , VLOOKUP("Puncture", vote4TRAITS!A:C , 3, FALSE), ),
IF(IFERROR(SEARCH("Putrid Boils",L82),0) &gt; 0 , VLOOKUP("Putrid Boils", vote4TRAITS!A:C , 3, FALSE), ),
IF(IFERROR(SEARCH("Ravage",L82),0) &gt; 0 , VLOOKUP("Ravage", vote4TRAITS!A:C , 3, FALSE), ),
IF(IFERROR(SEARCH("Ravenous",L82),0) &gt; 0 , VLOOKUP("Ravenous", vote4TRAITS!A:C , 3, FALSE), ),
IF(IFERROR(SEARCH("Reach",L82),0) &gt; 0 , VLOOKUP("Reach", vote4TRAITS!A:C , 3, FALSE), ),
IF(IFERROR(SEARCH("Reanimation",L82),0) &gt; 0 , VLOOKUP("Reanimation", vote4TRAITS!A:C , 3, FALSE), ),
IF(IFERROR(SEARCH("Reaper",L82),0) &gt; 0 , VLOOKUP("Reaper", vote4TRAITS!A:C , 3, FALSE), ),
IF(IFERROR(SEARCH("Riposte",L82),0) &gt; 0 , VLOOKUP("Riposte", vote4TRAITS!A:C , 3, FALSE)),
IF(IFERROR(SEARCH("Scamper",L82),0) &gt; 0 , VLOOKUP("Scamper", vote4TRAITS!A:C , 3, FALSE), ),
IF(IFERROR(SEARCH("Small Beginnings",L82),0) &gt; 0 , VLOOKUP("Small Beginnings", vote4TRAITS!A:C , 3, FALSE), ),
IF(IFERROR(SEARCH("Spawner",L82),0) &gt; 0 , VLOOKUP("Spawner", vote4TRAITS!A:C , 3,FALSE), ),
IF(IFERROR(SEARCH("Shadowr",L82),0) &gt; 0 , VLOOKUP("Shadow", vote4TRAITS!A:C , 3,FALSE), ),
IF(IFERROR(SEARCH("Shadow Step",L82),0) &gt; 0 , VLOOKUP("Shadow Step", vote4TRAITS!A:C , 3,FALSE), ),
IF(IFERROR(SEARCH("Shambling",L82),0) &gt; 0 , VLOOKUP("Shambling", vote4TRAITS!A:C , 3,FALSE), ),
IF(IFERROR(SEARCH("Stealthy",L82),0) &gt; 0 , VLOOKUP("Stealthy", vote4TRAITS!A:C , 3, FALSE), ),
IF(IFERROR(SEARCH("Web",L82),0) &gt; 0 , VLOOKUP("Web", vote4TRAITS!A:C , 3, FALSE), ),
IF(IFERROR(SEARCH("+1 Willpower",L82),0) &gt; 0 , VLOOKUP("+1 Willpower", vote4TRAITS!A:C , 3, FALSE), ),
IF(IFERROR(SEARCH("+1 Might",L82),0) &gt; 0 , VLOOKUP("+1 Might", vote4TRAITS!A:C , 3, FALSE), ),
IF(IFERROR(SEARCH("+1 Knowledge",L82),0) &gt; 0 , VLOOKUP("+1 Knowledge", vote4TRAITS!A:C , 3, FALSE), ),
IF(IFERROR(SEARCH("+1 Awareness",L82),0) &gt; 0 , VLOOKUP("+1 Awareness", vote4TRAITS!A:C , 3, FALSE), ),
IF(IFERROR(SEARCH("-1 Willpower",L82),0) &gt; 0 , VLOOKUP("-1 Willpower", vote4TRAITS!A:C , 3, FALSE), ),
IF(IFERROR(SEARCH("+1 Health",L82),0) &gt; 0 , VLOOKUP("+1 Health", vote4TRAITS!A:C , 3, FALSE), ),
IF(IFERROR(SEARCH("+2 Health",L82),0) &gt; 0 , VLOOKUP("+2 Health", vote4TRAITS!A:C , 3, FALSE), ),
IF(IFERROR(SEARCH("+1 Stamina",L82),0) &gt; 0 , VLOOKUP("+1 Stamina", vote4TRAITS!A:C , 3, FALSE), ),
IF(IFERROR(SEARCH("+2 Stamina",L82),0) &gt; 0 , VLOOKUP("+2 Stamina", vote4TRAITS!A:C , 3, FALSE), ),
IFS(
IFERROR(SEARCH("+1 Range", L82),) &gt; 0 ,VLOOKUP("+1 Range", vote4TRAITS!A:C , 3, FALSE),
IFERROR(SEARCH("+2 Range", L82),) &gt; 0 ,VLOOKUP("+2 Range", vote4TRAITS!A:C , 3, FALSE),
IFERROR(SEARCH("+3 Range", L82),) &gt; 0,VLOOKUP("+3 Range", vote4TRAITS!A:C , 3, FALSE),
0=0,0)
,
IFS(
IFERROR(SEARCH("Sorcery 1", L82),) &gt; 0 ,VLOOKUP("Sorcery 1", vote4TRAITS!A:C , 3, FALSE),
IFERROR(SEARCH("Sorcery 2", L82),) &gt; 0 ,VLOOKUP("Sorcery 2", vote4TRAITS!A:C , 3, FALSE),
IFERROR(SEARCH("Sorcery 3", L82),) &gt; 0,VLOOKUP("Sorcery 3", vote4TRAITS!A:C , 3, FALSE),
0=0,0)
,
IFS(
IFERROR(SEARCH("Pierce 1", L82),) &gt; 0 ,VLOOKUP("Pierce 1", vote4TRAITS!A:C , 3, FALSE),
IFERROR(SEARCH("Pierce 2", L82),) &gt; 0 ,VLOOKUP("Pierce 2", vote4TRAITS!A:C , 3, FALSE),
IFERROR(SEARCH("Pierce 3", L82),) &gt; 0,VLOOKUP("Pierce 3", vote4TRAITS!A:C , 3, FALSE),
IFERROR(SEARCH("Pierce 4", L82),) &gt; 0 ,VLOOKUP("Pierce 4", vote4TRAITS!A:C , 3, FALSE),
0=0,0)
,
IFS(
IFERROR(SEARCH("+1 Health", L82),) &gt; 0 ,VLOOKUP("+1 Health", vote4TRAITS!A:C , 3, FALSE),
IFERROR(SEARCH("+2 Health", L82),) &gt; 0 ,VLOOKUP("+2 Health", vote4TRAITS!A:C , 3, FALSE),
IFERROR(SEARCH("+3 Health", L82),) &gt; 0 ,VLOOKUP("+3 Health", vote4TRAITS!A:C , 3, FALSE),
IFERROR(SEARCH("+4 Health", L82),) &gt; 0 ,VLOOKUP("+4 Health", vote4TRAITS!A:C , 3, FALSE),
0=0,0)
,
IFS(
IFERROR(SEARCH("Soul Shackle 1", L82),) &gt; 0 ,VLOOKUP("Soul Shackle 1", vote4TRAITS!A:C , 3, FALSE),
IFERROR(SEARCH("Soul Shackle 2", L82),) &gt; 0 ,VLOOKUP("Soul Shackle 2", vote4TRAITS!A:C , 3, FALSE),
IFERROR(SEARCH("Soul Shackle 3", L82),) &gt; 0,VLOOKUP("Soul Shackle 3", vote4TRAITS!A:C , 3, FALSE),
0=0,0)
)</f>
        <v>0</v>
      </c>
      <c r="N82" s="311" t="s">
        <v>1562</v>
      </c>
      <c r="O82" s="317">
        <f>IF(ISBLANK(N82),,IFERROR(
IF(IFERROR(SEARCH("SS:",N82),0) &gt; 0, 
VLOOKUP(SUBSTITUTE(N82,"SS: ",""),vote4SURGE!$A:$C , 3, FALSE) - 2,
VLOOKUP(SUBSTITUTE(N82,"S: ",""),vote4SURGE!$A:$C , 3, FALSE)
)
,
IF(IFERROR(SEARCH("SS:",N82),0) &gt; 0, 
VLOOKUP(C82,vote4SURGE!$A:$C , 3, FALSE) - 2,
VLOOKUP(C82,vote4SURGE!$A:$C , 3, FALSE)
)
))</f>
        <v>3.5</v>
      </c>
      <c r="P82" s="315" t="s">
        <v>1636</v>
      </c>
      <c r="Q82" s="317">
        <f>IF(ISBLANK(P82),,IFERROR(
IF(IFERROR(SEARCH("SS:",P82),0) &gt; 0, 
VLOOKUP(SUBSTITUTE(P82,"SS: ",""),vote4SURGE!$A:$C , 3, FALSE) - 2,
VLOOKUP(SUBSTITUTE(P82,"S: ",""),vote4SURGE!$A:$C , 3, FALSE)
)
,
IF(IFERROR(SEARCH("SS:",P82),0) &gt; 0, 
VLOOKUP(C82,vote4SURGE!$A:$C , 3, FALSE) - 2,
VLOOKUP(C82,vote4SURGE!$A:$C , 3, FALSE)
)
))</f>
        <v>3.25</v>
      </c>
      <c r="R82" s="318"/>
      <c r="S82" s="319" t="str">
        <f>IF(ISBLANK(R82),,IFERROR(
IF(IFERROR(SEARCH("SS:",R82),0) &gt; 0, 
VLOOKUP(SUBSTITUTE(R82,"SS: ",""),vote4SURGE!$A:$C , 3, FALSE) - 2,
VLOOKUP(SUBSTITUTE(R82,"S: ",""),vote4SURGE!$A:$C , 3, FALSE)
)
,
IF(IFERROR(SEARCH("SS:",R82),0) &gt; 0, 
VLOOKUP(C82,vote4SURGE!$A:$C , 3, FALSE) - 2,
VLOOKUP(C82,vote4SURGE!$A:$C , 3, FALSE)
)
))</f>
        <v/>
      </c>
      <c r="T82" s="320">
        <f t="shared" si="2"/>
        <v>2</v>
      </c>
      <c r="U82" s="320">
        <f>IFERROR(__xludf.DUMMYFUNCTION("ROUND(
IF(ISBLANK(G82),,
SWITCH(
LEN(G82) - LEN(SUBSTITUTE(G82,"","","""")),
0 , VLOOKUP(G82, Variables!$A:$C, 3, FALSE),
1 , VLOOKUP(index(split(G82 ,"", "", FALSE),1,1), Variables!$A:$C , 3, FALSE) + VLOOKUP(index(split(G82 ,"", "", FALSE),1,2), Variabl"&amp;"es!$A:$C , 3, FALSE),
2 , VLOOKUP(index(split(G82 ,"", "", FALSE),1,1), Variables!$A:$C , 3, FALSE) + VLOOKUP(index(split(G82 ,"", "", FALSE),1,2), Variables!$A:$C , 3, FALSE) + VLOOKUP(index(split(G82 ,"", "", FALSE),1,3), Variables!$A:$C , 3, FALSE),
3 "&amp;", VLOOKUP(index(split(G82 ,"", "", FALSE),1,1), Variables!$A:$C , 3, FALSE) + VLOOKUP(index(split(G82 ,"", "", FALSE),1,2), Variables!$A:$C , 3, FALSE) + VLOOKUP(index(split(G82 ,"", "", FALSE),1,3), Variables!$A:$C , 3, FALSE) + VLOOKUP(index(split(G82 ,"&amp;""", "", FALSE),1,4), Variables!$A:$C , 3, FALSE),
)
)
)"),1.0)</f>
        <v>1</v>
      </c>
      <c r="V82" s="317">
        <f t="shared" si="3"/>
        <v>5.125</v>
      </c>
      <c r="W82" s="321">
        <f t="shared" si="4"/>
        <v>7.458333333</v>
      </c>
      <c r="X82" s="118"/>
      <c r="Y82" s="118"/>
      <c r="Z82" s="118"/>
      <c r="AA82" s="118"/>
      <c r="AB82" s="118"/>
      <c r="AC82" s="118"/>
      <c r="AD82" s="118"/>
      <c r="AE82" s="118"/>
    </row>
    <row r="83" hidden="1">
      <c r="A83" s="310">
        <v>1.0</v>
      </c>
      <c r="B83" s="93" t="str">
        <f t="shared" si="1"/>
        <v/>
      </c>
      <c r="C83" s="310" t="s">
        <v>1637</v>
      </c>
      <c r="D83" s="323">
        <v>0.0</v>
      </c>
      <c r="E83" s="310" t="s">
        <v>1520</v>
      </c>
      <c r="F83" s="310" t="s">
        <v>1567</v>
      </c>
      <c r="G83" s="313" t="s">
        <v>1548</v>
      </c>
      <c r="H83" s="312">
        <f>IFERROR(__xludf.DUMMYFUNCTION(" IF(ISBLANK(G83),,
SWITCH(
LEN(G83) - LEN(SUBSTITUTE(G83,"","","""")),
0 , VLOOKUP(G83, Variables!$A:$B, 2, FALSE),
1 , VLOOKUP(index(split(G83 ,"", "", FALSE),1,1), Variables!$A:$B , 2, FALSE) + VLOOKUP(index(split(G83 ,"", "", FALSE),1,2), Variables!$A:"&amp;"$B , 2, FALSE),
2 , VLOOKUP(index(split(G83 ,"", "", FALSE),1,1), Variables!$A:$B , 2, FALSE) + VLOOKUP(index(split(G83 ,"", "", FALSE),1,2), Variables!$A:$B , 2, FALSE) + VLOOKUP(index(split(G83 ,"", "", FALSE),1,3), Variables!$A:$B , 2, FALSE),
3 , VLOO"&amp;"KUP(index(split(G83 ,"", "", FALSE),1,1), Variables!$A:$B , 2, FALSE) + VLOOKUP(index(split(G83 ,"", "", FALSE),1,2), Variables!$A:$B , 2, FALSE) + VLOOKUP(index(split(G83 ,"", "", FALSE),1,3), Variables!$A:$B , 2, FALSE) + VLOOKUP(index(split(G83 ,"", """&amp;", FALSE),1,4), Variables!$A:$B , 2, FALSE),
)
)"),2.3333333333333335)</f>
        <v>2.333333333</v>
      </c>
      <c r="I83" s="310" t="s">
        <v>1554</v>
      </c>
      <c r="J83" s="313"/>
      <c r="K83" s="314" t="str">
        <f>IFERROR(VLOOKUP(C83,vote4ITEMS!$A:$C, 3, FALSE),)</f>
        <v/>
      </c>
      <c r="L83" s="313"/>
      <c r="M83" s="314">
        <f>SUM(
IF(IFERROR(SEARCH("Aura 1",L83),0) &gt; 0 , VLOOKUP("Aura 1", vote4TRAITS!A:C , 3, FALSE), ),
IF(IFERROR(SEARCH("Backswing",L83),0) &gt; 0 , VLOOKUP("Backswing", vote4TRAITS!A:C , 3, FALSE), ),
IF(IFERROR(SEARCH("Blast",L83),0) &gt; 0 , VLOOKUP("Blast", vote4TRAITS!A:C , 3, FALSE), ),
IF(IFERROR(SEARCH("Combustible",L83),0) &gt; 0 , VLOOKUP("Combustible", vote4TRAITS!A:C , 3, FALSE), ),
IF(IFERROR(SEARCH("Command",L83),0) &gt; 0 , VLOOKUP("Command", vote4TRAITS!A:C , 3, FALSE), ),
IF(IFERROR(SEARCH("Cowardly",L83),0) &gt; 0 , VLOOKUP("Cowardly", vote4TRAITS!A:C , 3, FALSE), ),
IF(IFERROR(SEARCH("Death Wish",L83),0) &gt; 0 , VLOOKUP("Death Wish", vote4TRAITS!A:C , 3, FALSE), ),
IF(IFERROR(SEARCH("Entomb",L83),0) &gt; 0 , VLOOKUP("Entomb", vote4TRAITS!A:C , 3, FALSE), ),
IF(IFERROR(SEARCH("Ethereal Hold",L83),0) &gt; 0 , VLOOKUP("Ethereal Hold", vote4TRAITS!A:C , 3, FALSE), ),
IF(IFERROR(SEARCH("Extend",L83),0) &gt; 0 , VLOOKUP("Extend", vote4TRAITS!A:C , 3, FALSE), ),
IF(IFERROR(SEARCH("Filthy Murk",L83),0) &gt; 0 , VLOOKUP("Filthy Murk", vote4TRAITS!A:C , 3, FALSE), ),
IF(IFERROR(SEARCH("Flame Fiend",L83),0) &gt; 0 , VLOOKUP("Flame Fiend", vote4TRAITS!A:C , 3, FALSE), ),
IF(IFERROR(SEARCH("Fleshmonger",L83),0) &gt; 0 , VLOOKUP("Fleshmonger", vote4TRAITS!A:C , 3, FALSE), ),
IF(IFERROR(SEARCH("Fly",L83),0) &gt; 0 , VLOOKUP("Fly", vote4TRAITS!A:C , 3, FALSE), ),
IF(IFERROR(SEARCH("Freezing",L83),0) &gt; 0 , VLOOKUP("Freezing", vote4TRAITS!A:C , 3, FALSE), ),
IF(IFERROR(SEARCH("Lithesome",L83),0) &gt; 0 , VLOOKUP("Lithesome", vote4TRAITS!A:C , 3, FALSE), ),
IF(IFERROR(SEARCH("Harrowing",L83),0) &gt; 0 , VLOOKUP("Harrowing", vote4TRAITS!A:C , 3, FALSE), ),
IF(IFERROR(SEARCH("Hideous Laughter",L83),0) &gt; 0 , VLOOKUP("Hideous Laughter", vote4TRAITS!A:C , 3, FALSE), ),
IF(IFERROR(SEARCH("Hive Defense",L83),0) &gt; 0 , VLOOKUP("Hive Defense", vote4TRAITS!A:C , 3, FALSE), ),
IF(IFERROR(SEARCH("Horrifying",L83),0) &gt; 0 , VLOOKUP("Horrifying", vote4TRAITS!A:C , 3, FALSE), ),
IF(IFERROR(SEARCH("Ironskin",L83),0) &gt; 0 , VLOOKUP("Ironskin", vote4TRAITS!A:C , 3, FALSE), ),
IF(IFERROR(SEARCH("Unmovable",L83),0) &gt; 0 , VLOOKUP("Unmovable", vote4TRAITS!A:C , 3, FALSE), ),
IF(IFERROR(SEARCH("Lifethirst 1",L83),0) &gt; 0 , VLOOKUP("Lifethirst 1", vote4TRAITS!A:C , 3, FALSE), ),
IF(IFERROR(SEARCH("Lifethirst 2",L83),0) &gt; 0 , VLOOKUP("Lifethirst 2", vote4TRAITS!A:C , 3, FALSE), ),
IF(IFERROR(SEARCH("Morph",L83),0) &gt; 0 , VLOOKUP("Morph", vote4TRAITS!A:C , 3, FALSE), ),
IF(IFERROR(SEARCH("Night Stalker",L83),0) &gt; 0 , VLOOKUP("Night Stalker", vote4TRAITS!A:C , 3, FALSE), ),
IF(IFERROR(SEARCH("Overflowing",L83),0) &gt; 0 , VLOOKUP("Overflowing", vote4TRAITS!A:C , 3, FALSE), ),
IF(IFERROR(SEARCH("Pestilence",L83),0) &gt; 0 , VLOOKUP("Pestilence", vote4TRAITS!A:C , 3, FALSE), ),
IF(IFERROR(SEARCH("Phalanx",L83),0) &gt; 0 , VLOOKUP("Phalanx", vote4TRAITS!A:C , 3, FALSE), ),
IF(IFERROR(SEARCH("Plagued",L83),0) &gt; 0 , VLOOKUP("Plagued", vote4TRAITS!A:C , 3, FALSE), ),
IF(IFERROR(SEARCH("Prey on the Weak",L83),0) &gt; 0 , VLOOKUP("Prey on the Weak", vote4TRAITS!A:C , 3, FALSE), ),
IF(IFERROR(SEARCH("Protect",L83),0) &gt; 0 , VLOOKUP("Protect", vote4TRAITS!A:C , 3, FALSE), ),
IF(IFERROR(SEARCH("Puncture",L83),0) &gt; 0 , VLOOKUP("Puncture", vote4TRAITS!A:C , 3, FALSE), ),
IF(IFERROR(SEARCH("Putrid Boils",L83),0) &gt; 0 , VLOOKUP("Putrid Boils", vote4TRAITS!A:C , 3, FALSE), ),
IF(IFERROR(SEARCH("Ravage",L83),0) &gt; 0 , VLOOKUP("Ravage", vote4TRAITS!A:C , 3, FALSE), ),
IF(IFERROR(SEARCH("Ravenous",L83),0) &gt; 0 , VLOOKUP("Ravenous", vote4TRAITS!A:C , 3, FALSE), ),
IF(IFERROR(SEARCH("Reach",L83),0) &gt; 0 , VLOOKUP("Reach", vote4TRAITS!A:C , 3, FALSE), ),
IF(IFERROR(SEARCH("Reanimation",L83),0) &gt; 0 , VLOOKUP("Reanimation", vote4TRAITS!A:C , 3, FALSE), ),
IF(IFERROR(SEARCH("Reaper",L83),0) &gt; 0 , VLOOKUP("Reaper", vote4TRAITS!A:C , 3, FALSE), ),
IF(IFERROR(SEARCH("Riposte",L83),0) &gt; 0 , VLOOKUP("Riposte", vote4TRAITS!A:C , 3, FALSE)),
IF(IFERROR(SEARCH("Scamper",L83),0) &gt; 0 , VLOOKUP("Scamper", vote4TRAITS!A:C , 3, FALSE), ),
IF(IFERROR(SEARCH("Small Beginnings",L83),0) &gt; 0 , VLOOKUP("Small Beginnings", vote4TRAITS!A:C , 3, FALSE), ),
IF(IFERROR(SEARCH("Spawner",L83),0) &gt; 0 , VLOOKUP("Spawner", vote4TRAITS!A:C , 3,FALSE), ),
IF(IFERROR(SEARCH("Shadowr",L83),0) &gt; 0 , VLOOKUP("Shadow", vote4TRAITS!A:C , 3,FALSE), ),
IF(IFERROR(SEARCH("Shadow Step",L83),0) &gt; 0 , VLOOKUP("Shadow Step", vote4TRAITS!A:C , 3,FALSE), ),
IF(IFERROR(SEARCH("Shambling",L83),0) &gt; 0 , VLOOKUP("Shambling", vote4TRAITS!A:C , 3,FALSE), ),
IF(IFERROR(SEARCH("Stealthy",L83),0) &gt; 0 , VLOOKUP("Stealthy", vote4TRAITS!A:C , 3, FALSE), ),
IF(IFERROR(SEARCH("Web",L83),0) &gt; 0 , VLOOKUP("Web", vote4TRAITS!A:C , 3, FALSE), ),
IF(IFERROR(SEARCH("+1 Willpower",L83),0) &gt; 0 , VLOOKUP("+1 Willpower", vote4TRAITS!A:C , 3, FALSE), ),
IF(IFERROR(SEARCH("+1 Might",L83),0) &gt; 0 , VLOOKUP("+1 Might", vote4TRAITS!A:C , 3, FALSE), ),
IF(IFERROR(SEARCH("+1 Knowledge",L83),0) &gt; 0 , VLOOKUP("+1 Knowledge", vote4TRAITS!A:C , 3, FALSE), ),
IF(IFERROR(SEARCH("+1 Awareness",L83),0) &gt; 0 , VLOOKUP("+1 Awareness", vote4TRAITS!A:C , 3, FALSE), ),
IF(IFERROR(SEARCH("-1 Willpower",L83),0) &gt; 0 , VLOOKUP("-1 Willpower", vote4TRAITS!A:C , 3, FALSE), ),
IF(IFERROR(SEARCH("+1 Health",L83),0) &gt; 0 , VLOOKUP("+1 Health", vote4TRAITS!A:C , 3, FALSE), ),
IF(IFERROR(SEARCH("+2 Health",L83),0) &gt; 0 , VLOOKUP("+2 Health", vote4TRAITS!A:C , 3, FALSE), ),
IF(IFERROR(SEARCH("+1 Stamina",L83),0) &gt; 0 , VLOOKUP("+1 Stamina", vote4TRAITS!A:C , 3, FALSE), ),
IF(IFERROR(SEARCH("+2 Stamina",L83),0) &gt; 0 , VLOOKUP("+2 Stamina", vote4TRAITS!A:C , 3, FALSE), ),
IFS(
IFERROR(SEARCH("+1 Range", L83),) &gt; 0 ,VLOOKUP("+1 Range", vote4TRAITS!A:C , 3, FALSE),
IFERROR(SEARCH("+2 Range", L83),) &gt; 0 ,VLOOKUP("+2 Range", vote4TRAITS!A:C , 3, FALSE),
IFERROR(SEARCH("+3 Range", L83),) &gt; 0,VLOOKUP("+3 Range", vote4TRAITS!A:C , 3, FALSE),
0=0,0)
,
IFS(
IFERROR(SEARCH("Sorcery 1", L83),) &gt; 0 ,VLOOKUP("Sorcery 1", vote4TRAITS!A:C , 3, FALSE),
IFERROR(SEARCH("Sorcery 2", L83),) &gt; 0 ,VLOOKUP("Sorcery 2", vote4TRAITS!A:C , 3, FALSE),
IFERROR(SEARCH("Sorcery 3", L83),) &gt; 0,VLOOKUP("Sorcery 3", vote4TRAITS!A:C , 3, FALSE),
0=0,0)
,
IFS(
IFERROR(SEARCH("Pierce 1", L83),) &gt; 0 ,VLOOKUP("Pierce 1", vote4TRAITS!A:C , 3, FALSE),
IFERROR(SEARCH("Pierce 2", L83),) &gt; 0 ,VLOOKUP("Pierce 2", vote4TRAITS!A:C , 3, FALSE),
IFERROR(SEARCH("Pierce 3", L83),) &gt; 0,VLOOKUP("Pierce 3", vote4TRAITS!A:C , 3, FALSE),
IFERROR(SEARCH("Pierce 4", L83),) &gt; 0 ,VLOOKUP("Pierce 4", vote4TRAITS!A:C , 3, FALSE),
0=0,0)
,
IFS(
IFERROR(SEARCH("+1 Health", L83),) &gt; 0 ,VLOOKUP("+1 Health", vote4TRAITS!A:C , 3, FALSE),
IFERROR(SEARCH("+2 Health", L83),) &gt; 0 ,VLOOKUP("+2 Health", vote4TRAITS!A:C , 3, FALSE),
IFERROR(SEARCH("+3 Health", L83),) &gt; 0 ,VLOOKUP("+3 Health", vote4TRAITS!A:C , 3, FALSE),
IFERROR(SEARCH("+4 Health", L83),) &gt; 0 ,VLOOKUP("+4 Health", vote4TRAITS!A:C , 3, FALSE),
0=0,0)
,
IFS(
IFERROR(SEARCH("Soul Shackle 1", L83),) &gt; 0 ,VLOOKUP("Soul Shackle 1", vote4TRAITS!A:C , 3, FALSE),
IFERROR(SEARCH("Soul Shackle 2", L83),) &gt; 0 ,VLOOKUP("Soul Shackle 2", vote4TRAITS!A:C , 3, FALSE),
IFERROR(SEARCH("Soul Shackle 3", L83),) &gt; 0,VLOOKUP("Soul Shackle 3", vote4TRAITS!A:C , 3, FALSE),
0=0,0)
)</f>
        <v>0</v>
      </c>
      <c r="N83" s="311" t="s">
        <v>1555</v>
      </c>
      <c r="O83" s="317">
        <f>IF(ISBLANK(N83),,IFERROR(
IF(IFERROR(SEARCH("SS:",N83),0) &gt; 0, 
VLOOKUP(SUBSTITUTE(N83,"SS: ",""),vote4SURGE!$A:$C , 3, FALSE) - 2,
VLOOKUP(SUBSTITUTE(N83,"S: ",""),vote4SURGE!$A:$C , 3, FALSE)
)
,
IF(IFERROR(SEARCH("SS:",N83),0) &gt; 0, 
VLOOKUP(C83,vote4SURGE!$A:$C , 3, FALSE) - 2,
VLOOKUP(C83,vote4SURGE!$A:$C , 3, FALSE)
)
))</f>
        <v>3.25</v>
      </c>
      <c r="P83" s="315" t="s">
        <v>1562</v>
      </c>
      <c r="Q83" s="317">
        <f>IF(ISBLANK(P83),,IFERROR(
IF(IFERROR(SEARCH("SS:",P83),0) &gt; 0, 
VLOOKUP(SUBSTITUTE(P83,"SS: ",""),vote4SURGE!$A:$C , 3, FALSE) - 2,
VLOOKUP(SUBSTITUTE(P83,"S: ",""),vote4SURGE!$A:$C , 3, FALSE)
)
,
IF(IFERROR(SEARCH("SS:",P83),0) &gt; 0, 
VLOOKUP(C83,vote4SURGE!$A:$C , 3, FALSE) - 2,
VLOOKUP(C83,vote4SURGE!$A:$C , 3, FALSE)
)
))</f>
        <v>3.5</v>
      </c>
      <c r="R83" s="318"/>
      <c r="S83" s="319" t="str">
        <f>IF(ISBLANK(R83),,IFERROR(
IF(IFERROR(SEARCH("SS:",R83),0) &gt; 0, 
VLOOKUP(SUBSTITUTE(R83,"SS: ",""),vote4SURGE!$A:$C , 3, FALSE) - 2,
VLOOKUP(SUBSTITUTE(R83,"S: ",""),vote4SURGE!$A:$C , 3, FALSE)
)
,
IF(IFERROR(SEARCH("SS:",R83),0) &gt; 0, 
VLOOKUP(C83,vote4SURGE!$A:$C , 3, FALSE) - 2,
VLOOKUP(C83,vote4SURGE!$A:$C , 3, FALSE)
)
))</f>
        <v/>
      </c>
      <c r="T83" s="320">
        <f t="shared" si="2"/>
        <v>2</v>
      </c>
      <c r="U83" s="320">
        <f>IFERROR(__xludf.DUMMYFUNCTION("ROUND(
IF(ISBLANK(G83),,
SWITCH(
LEN(G83) - LEN(SUBSTITUTE(G83,"","","""")),
0 , VLOOKUP(G83, Variables!$A:$C, 3, FALSE),
1 , VLOOKUP(index(split(G83 ,"", "", FALSE),1,1), Variables!$A:$C , 3, FALSE) + VLOOKUP(index(split(G83 ,"", "", FALSE),1,2), Variabl"&amp;"es!$A:$C , 3, FALSE),
2 , VLOOKUP(index(split(G83 ,"", "", FALSE),1,1), Variables!$A:$C , 3, FALSE) + VLOOKUP(index(split(G83 ,"", "", FALSE),1,2), Variables!$A:$C , 3, FALSE) + VLOOKUP(index(split(G83 ,"", "", FALSE),1,3), Variables!$A:$C , 3, FALSE),
3 "&amp;", VLOOKUP(index(split(G83 ,"", "", FALSE),1,1), Variables!$A:$C , 3, FALSE) + VLOOKUP(index(split(G83 ,"", "", FALSE),1,2), Variables!$A:$C , 3, FALSE) + VLOOKUP(index(split(G83 ,"", "", FALSE),1,3), Variables!$A:$C , 3, FALSE) + VLOOKUP(index(split(G83 ,"&amp;""", "", FALSE),1,4), Variables!$A:$C , 3, FALSE),
)
)
)"),1.0)</f>
        <v>1</v>
      </c>
      <c r="V83" s="317">
        <f t="shared" si="3"/>
        <v>5.125</v>
      </c>
      <c r="W83" s="321">
        <f t="shared" si="4"/>
        <v>7.458333333</v>
      </c>
      <c r="X83" s="118"/>
      <c r="Y83" s="118"/>
      <c r="Z83" s="118"/>
      <c r="AA83" s="118"/>
      <c r="AB83" s="118"/>
      <c r="AC83" s="118"/>
      <c r="AD83" s="118"/>
      <c r="AE83" s="118"/>
    </row>
    <row r="84" hidden="1">
      <c r="A84" s="310">
        <v>1.0</v>
      </c>
      <c r="B84" s="93">
        <f t="shared" si="1"/>
        <v>2</v>
      </c>
      <c r="C84" s="310" t="s">
        <v>1638</v>
      </c>
      <c r="D84" s="310">
        <v>75.0</v>
      </c>
      <c r="E84" s="310" t="s">
        <v>1527</v>
      </c>
      <c r="F84" s="310" t="s">
        <v>1531</v>
      </c>
      <c r="G84" s="313" t="s">
        <v>1548</v>
      </c>
      <c r="H84" s="312">
        <f>IFERROR(__xludf.DUMMYFUNCTION(" IF(ISBLANK(G84),,
SWITCH(
LEN(G84) - LEN(SUBSTITUTE(G84,"","","""")),
0 , VLOOKUP(G84, Variables!$A:$B, 2, FALSE),
1 , VLOOKUP(index(split(G84 ,"", "", FALSE),1,1), Variables!$A:$B , 2, FALSE) + VLOOKUP(index(split(G84 ,"", "", FALSE),1,2), Variables!$A:"&amp;"$B , 2, FALSE),
2 , VLOOKUP(index(split(G84 ,"", "", FALSE),1,1), Variables!$A:$B , 2, FALSE) + VLOOKUP(index(split(G84 ,"", "", FALSE),1,2), Variables!$A:$B , 2, FALSE) + VLOOKUP(index(split(G84 ,"", "", FALSE),1,3), Variables!$A:$B , 2, FALSE),
3 , VLOO"&amp;"KUP(index(split(G84 ,"", "", FALSE),1,1), Variables!$A:$B , 2, FALSE) + VLOOKUP(index(split(G84 ,"", "", FALSE),1,2), Variables!$A:$B , 2, FALSE) + VLOOKUP(index(split(G84 ,"", "", FALSE),1,3), Variables!$A:$B , 2, FALSE) + VLOOKUP(index(split(G84 ,"", """&amp;", FALSE),1,4), Variables!$A:$B , 2, FALSE),
)
)"),2.3333333333333335)</f>
        <v>2.333333333</v>
      </c>
      <c r="I84" s="310" t="s">
        <v>1561</v>
      </c>
      <c r="J84" s="313"/>
      <c r="K84" s="314" t="str">
        <f>IFERROR(VLOOKUP(C84,vote4ITEMS!$A:$C, 3, FALSE),)</f>
        <v/>
      </c>
      <c r="L84" s="313"/>
      <c r="M84" s="314">
        <f>SUM(
IF(IFERROR(SEARCH("Aura 1",L84),0) &gt; 0 , VLOOKUP("Aura 1", vote4TRAITS!A:C , 3, FALSE), ),
IF(IFERROR(SEARCH("Backswing",L84),0) &gt; 0 , VLOOKUP("Backswing", vote4TRAITS!A:C , 3, FALSE), ),
IF(IFERROR(SEARCH("Blast",L84),0) &gt; 0 , VLOOKUP("Blast", vote4TRAITS!A:C , 3, FALSE), ),
IF(IFERROR(SEARCH("Combustible",L84),0) &gt; 0 , VLOOKUP("Combustible", vote4TRAITS!A:C , 3, FALSE), ),
IF(IFERROR(SEARCH("Command",L84),0) &gt; 0 , VLOOKUP("Command", vote4TRAITS!A:C , 3, FALSE), ),
IF(IFERROR(SEARCH("Cowardly",L84),0) &gt; 0 , VLOOKUP("Cowardly", vote4TRAITS!A:C , 3, FALSE), ),
IF(IFERROR(SEARCH("Death Wish",L84),0) &gt; 0 , VLOOKUP("Death Wish", vote4TRAITS!A:C , 3, FALSE), ),
IF(IFERROR(SEARCH("Entomb",L84),0) &gt; 0 , VLOOKUP("Entomb", vote4TRAITS!A:C , 3, FALSE), ),
IF(IFERROR(SEARCH("Ethereal Hold",L84),0) &gt; 0 , VLOOKUP("Ethereal Hold", vote4TRAITS!A:C , 3, FALSE), ),
IF(IFERROR(SEARCH("Extend",L84),0) &gt; 0 , VLOOKUP("Extend", vote4TRAITS!A:C , 3, FALSE), ),
IF(IFERROR(SEARCH("Filthy Murk",L84),0) &gt; 0 , VLOOKUP("Filthy Murk", vote4TRAITS!A:C , 3, FALSE), ),
IF(IFERROR(SEARCH("Flame Fiend",L84),0) &gt; 0 , VLOOKUP("Flame Fiend", vote4TRAITS!A:C , 3, FALSE), ),
IF(IFERROR(SEARCH("Fleshmonger",L84),0) &gt; 0 , VLOOKUP("Fleshmonger", vote4TRAITS!A:C , 3, FALSE), ),
IF(IFERROR(SEARCH("Fly",L84),0) &gt; 0 , VLOOKUP("Fly", vote4TRAITS!A:C , 3, FALSE), ),
IF(IFERROR(SEARCH("Freezing",L84),0) &gt; 0 , VLOOKUP("Freezing", vote4TRAITS!A:C , 3, FALSE), ),
IF(IFERROR(SEARCH("Lithesome",L84),0) &gt; 0 , VLOOKUP("Lithesome", vote4TRAITS!A:C , 3, FALSE), ),
IF(IFERROR(SEARCH("Harrowing",L84),0) &gt; 0 , VLOOKUP("Harrowing", vote4TRAITS!A:C , 3, FALSE), ),
IF(IFERROR(SEARCH("Hideous Laughter",L84),0) &gt; 0 , VLOOKUP("Hideous Laughter", vote4TRAITS!A:C , 3, FALSE), ),
IF(IFERROR(SEARCH("Hive Defense",L84),0) &gt; 0 , VLOOKUP("Hive Defense", vote4TRAITS!A:C , 3, FALSE), ),
IF(IFERROR(SEARCH("Horrifying",L84),0) &gt; 0 , VLOOKUP("Horrifying", vote4TRAITS!A:C , 3, FALSE), ),
IF(IFERROR(SEARCH("Ironskin",L84),0) &gt; 0 , VLOOKUP("Ironskin", vote4TRAITS!A:C , 3, FALSE), ),
IF(IFERROR(SEARCH("Unmovable",L84),0) &gt; 0 , VLOOKUP("Unmovable", vote4TRAITS!A:C , 3, FALSE), ),
IF(IFERROR(SEARCH("Lifethirst 1",L84),0) &gt; 0 , VLOOKUP("Lifethirst 1", vote4TRAITS!A:C , 3, FALSE), ),
IF(IFERROR(SEARCH("Lifethirst 2",L84),0) &gt; 0 , VLOOKUP("Lifethirst 2", vote4TRAITS!A:C , 3, FALSE), ),
IF(IFERROR(SEARCH("Morph",L84),0) &gt; 0 , VLOOKUP("Morph", vote4TRAITS!A:C , 3, FALSE), ),
IF(IFERROR(SEARCH("Night Stalker",L84),0) &gt; 0 , VLOOKUP("Night Stalker", vote4TRAITS!A:C , 3, FALSE), ),
IF(IFERROR(SEARCH("Overflowing",L84),0) &gt; 0 , VLOOKUP("Overflowing", vote4TRAITS!A:C , 3, FALSE), ),
IF(IFERROR(SEARCH("Pestilence",L84),0) &gt; 0 , VLOOKUP("Pestilence", vote4TRAITS!A:C , 3, FALSE), ),
IF(IFERROR(SEARCH("Phalanx",L84),0) &gt; 0 , VLOOKUP("Phalanx", vote4TRAITS!A:C , 3, FALSE), ),
IF(IFERROR(SEARCH("Plagued",L84),0) &gt; 0 , VLOOKUP("Plagued", vote4TRAITS!A:C , 3, FALSE), ),
IF(IFERROR(SEARCH("Prey on the Weak",L84),0) &gt; 0 , VLOOKUP("Prey on the Weak", vote4TRAITS!A:C , 3, FALSE), ),
IF(IFERROR(SEARCH("Protect",L84),0) &gt; 0 , VLOOKUP("Protect", vote4TRAITS!A:C , 3, FALSE), ),
IF(IFERROR(SEARCH("Puncture",L84),0) &gt; 0 , VLOOKUP("Puncture", vote4TRAITS!A:C , 3, FALSE), ),
IF(IFERROR(SEARCH("Putrid Boils",L84),0) &gt; 0 , VLOOKUP("Putrid Boils", vote4TRAITS!A:C , 3, FALSE), ),
IF(IFERROR(SEARCH("Ravage",L84),0) &gt; 0 , VLOOKUP("Ravage", vote4TRAITS!A:C , 3, FALSE), ),
IF(IFERROR(SEARCH("Ravenous",L84),0) &gt; 0 , VLOOKUP("Ravenous", vote4TRAITS!A:C , 3, FALSE), ),
IF(IFERROR(SEARCH("Reach",L84),0) &gt; 0 , VLOOKUP("Reach", vote4TRAITS!A:C , 3, FALSE), ),
IF(IFERROR(SEARCH("Reanimation",L84),0) &gt; 0 , VLOOKUP("Reanimation", vote4TRAITS!A:C , 3, FALSE), ),
IF(IFERROR(SEARCH("Reaper",L84),0) &gt; 0 , VLOOKUP("Reaper", vote4TRAITS!A:C , 3, FALSE), ),
IF(IFERROR(SEARCH("Riposte",L84),0) &gt; 0 , VLOOKUP("Riposte", vote4TRAITS!A:C , 3, FALSE)),
IF(IFERROR(SEARCH("Scamper",L84),0) &gt; 0 , VLOOKUP("Scamper", vote4TRAITS!A:C , 3, FALSE), ),
IF(IFERROR(SEARCH("Small Beginnings",L84),0) &gt; 0 , VLOOKUP("Small Beginnings", vote4TRAITS!A:C , 3, FALSE), ),
IF(IFERROR(SEARCH("Spawner",L84),0) &gt; 0 , VLOOKUP("Spawner", vote4TRAITS!A:C , 3,FALSE), ),
IF(IFERROR(SEARCH("Shadowr",L84),0) &gt; 0 , VLOOKUP("Shadow", vote4TRAITS!A:C , 3,FALSE), ),
IF(IFERROR(SEARCH("Shadow Step",L84),0) &gt; 0 , VLOOKUP("Shadow Step", vote4TRAITS!A:C , 3,FALSE), ),
IF(IFERROR(SEARCH("Shambling",L84),0) &gt; 0 , VLOOKUP("Shambling", vote4TRAITS!A:C , 3,FALSE), ),
IF(IFERROR(SEARCH("Stealthy",L84),0) &gt; 0 , VLOOKUP("Stealthy", vote4TRAITS!A:C , 3, FALSE), ),
IF(IFERROR(SEARCH("Web",L84),0) &gt; 0 , VLOOKUP("Web", vote4TRAITS!A:C , 3, FALSE), ),
IF(IFERROR(SEARCH("+1 Willpower",L84),0) &gt; 0 , VLOOKUP("+1 Willpower", vote4TRAITS!A:C , 3, FALSE), ),
IF(IFERROR(SEARCH("+1 Might",L84),0) &gt; 0 , VLOOKUP("+1 Might", vote4TRAITS!A:C , 3, FALSE), ),
IF(IFERROR(SEARCH("+1 Knowledge",L84),0) &gt; 0 , VLOOKUP("+1 Knowledge", vote4TRAITS!A:C , 3, FALSE), ),
IF(IFERROR(SEARCH("+1 Awareness",L84),0) &gt; 0 , VLOOKUP("+1 Awareness", vote4TRAITS!A:C , 3, FALSE), ),
IF(IFERROR(SEARCH("-1 Willpower",L84),0) &gt; 0 , VLOOKUP("-1 Willpower", vote4TRAITS!A:C , 3, FALSE), ),
IF(IFERROR(SEARCH("+1 Health",L84),0) &gt; 0 , VLOOKUP("+1 Health", vote4TRAITS!A:C , 3, FALSE), ),
IF(IFERROR(SEARCH("+2 Health",L84),0) &gt; 0 , VLOOKUP("+2 Health", vote4TRAITS!A:C , 3, FALSE), ),
IF(IFERROR(SEARCH("+1 Stamina",L84),0) &gt; 0 , VLOOKUP("+1 Stamina", vote4TRAITS!A:C , 3, FALSE), ),
IF(IFERROR(SEARCH("+2 Stamina",L84),0) &gt; 0 , VLOOKUP("+2 Stamina", vote4TRAITS!A:C , 3, FALSE), ),
IFS(
IFERROR(SEARCH("+1 Range", L84),) &gt; 0 ,VLOOKUP("+1 Range", vote4TRAITS!A:C , 3, FALSE),
IFERROR(SEARCH("+2 Range", L84),) &gt; 0 ,VLOOKUP("+2 Range", vote4TRAITS!A:C , 3, FALSE),
IFERROR(SEARCH("+3 Range", L84),) &gt; 0,VLOOKUP("+3 Range", vote4TRAITS!A:C , 3, FALSE),
0=0,0)
,
IFS(
IFERROR(SEARCH("Sorcery 1", L84),) &gt; 0 ,VLOOKUP("Sorcery 1", vote4TRAITS!A:C , 3, FALSE),
IFERROR(SEARCH("Sorcery 2", L84),) &gt; 0 ,VLOOKUP("Sorcery 2", vote4TRAITS!A:C , 3, FALSE),
IFERROR(SEARCH("Sorcery 3", L84),) &gt; 0,VLOOKUP("Sorcery 3", vote4TRAITS!A:C , 3, FALSE),
0=0,0)
,
IFS(
IFERROR(SEARCH("Pierce 1", L84),) &gt; 0 ,VLOOKUP("Pierce 1", vote4TRAITS!A:C , 3, FALSE),
IFERROR(SEARCH("Pierce 2", L84),) &gt; 0 ,VLOOKUP("Pierce 2", vote4TRAITS!A:C , 3, FALSE),
IFERROR(SEARCH("Pierce 3", L84),) &gt; 0,VLOOKUP("Pierce 3", vote4TRAITS!A:C , 3, FALSE),
IFERROR(SEARCH("Pierce 4", L84),) &gt; 0 ,VLOOKUP("Pierce 4", vote4TRAITS!A:C , 3, FALSE),
0=0,0)
,
IFS(
IFERROR(SEARCH("+1 Health", L84),) &gt; 0 ,VLOOKUP("+1 Health", vote4TRAITS!A:C , 3, FALSE),
IFERROR(SEARCH("+2 Health", L84),) &gt; 0 ,VLOOKUP("+2 Health", vote4TRAITS!A:C , 3, FALSE),
IFERROR(SEARCH("+3 Health", L84),) &gt; 0 ,VLOOKUP("+3 Health", vote4TRAITS!A:C , 3, FALSE),
IFERROR(SEARCH("+4 Health", L84),) &gt; 0 ,VLOOKUP("+4 Health", vote4TRAITS!A:C , 3, FALSE),
0=0,0)
,
IFS(
IFERROR(SEARCH("Soul Shackle 1", L84),) &gt; 0 ,VLOOKUP("Soul Shackle 1", vote4TRAITS!A:C , 3, FALSE),
IFERROR(SEARCH("Soul Shackle 2", L84),) &gt; 0 ,VLOOKUP("Soul Shackle 2", vote4TRAITS!A:C , 3, FALSE),
IFERROR(SEARCH("Soul Shackle 3", L84),) &gt; 0,VLOOKUP("Soul Shackle 3", vote4TRAITS!A:C , 3, FALSE),
0=0,0)
)</f>
        <v>0</v>
      </c>
      <c r="N84" s="311" t="s">
        <v>1581</v>
      </c>
      <c r="O84" s="317">
        <f>IF(ISBLANK(N84),,IFERROR(
IF(IFERROR(SEARCH("SS:",N84),0) &gt; 0, 
VLOOKUP(SUBSTITUTE(N84,"SS: ",""),vote4SURGE!$A:$C , 3, FALSE) - 2,
VLOOKUP(SUBSTITUTE(N84,"S: ",""),vote4SURGE!$A:$C , 3, FALSE)
)
,
IF(IFERROR(SEARCH("SS:",N84),0) &gt; 0, 
VLOOKUP(C84,vote4SURGE!$A:$C , 3, FALSE) - 2,
VLOOKUP(C84,vote4SURGE!$A:$C , 3, FALSE)
)
))</f>
        <v>3.75</v>
      </c>
      <c r="P84" s="315" t="s">
        <v>1560</v>
      </c>
      <c r="Q84" s="317">
        <f>IF(ISBLANK(P84),,IFERROR(
IF(IFERROR(SEARCH("SS:",P84),0) &gt; 0, 
VLOOKUP(SUBSTITUTE(P84,"SS: ",""),vote4SURGE!$A:$C , 3, FALSE) - 2,
VLOOKUP(SUBSTITUTE(P84,"S: ",""),vote4SURGE!$A:$C , 3, FALSE)
)
,
IF(IFERROR(SEARCH("SS:",P84),0) &gt; 0, 
VLOOKUP(C84,vote4SURGE!$A:$C , 3, FALSE) - 2,
VLOOKUP(C84,vote4SURGE!$A:$C , 3, FALSE)
)
))</f>
        <v>4.25</v>
      </c>
      <c r="R84" s="318"/>
      <c r="S84" s="319" t="str">
        <f>IF(ISBLANK(R84),,IFERROR(
IF(IFERROR(SEARCH("SS:",R84),0) &gt; 0, 
VLOOKUP(SUBSTITUTE(R84,"SS: ",""),vote4SURGE!$A:$C , 3, FALSE) - 2,
VLOOKUP(SUBSTITUTE(R84,"S: ",""),vote4SURGE!$A:$C , 3, FALSE)
)
,
IF(IFERROR(SEARCH("SS:",R84),0) &gt; 0, 
VLOOKUP(C84,vote4SURGE!$A:$C , 3, FALSE) - 2,
VLOOKUP(C84,vote4SURGE!$A:$C , 3, FALSE)
)
))</f>
        <v/>
      </c>
      <c r="T84" s="320">
        <f t="shared" si="2"/>
        <v>2</v>
      </c>
      <c r="U84" s="320">
        <f>IFERROR(__xludf.DUMMYFUNCTION("ROUND(
IF(ISBLANK(G84),,
SWITCH(
LEN(G84) - LEN(SUBSTITUTE(G84,"","","""")),
0 , VLOOKUP(G84, Variables!$A:$C, 3, FALSE),
1 , VLOOKUP(index(split(G84 ,"", "", FALSE),1,1), Variables!$A:$C , 3, FALSE) + VLOOKUP(index(split(G84 ,"", "", FALSE),1,2), Variabl"&amp;"es!$A:$C , 3, FALSE),
2 , VLOOKUP(index(split(G84 ,"", "", FALSE),1,1), Variables!$A:$C , 3, FALSE) + VLOOKUP(index(split(G84 ,"", "", FALSE),1,2), Variables!$A:$C , 3, FALSE) + VLOOKUP(index(split(G84 ,"", "", FALSE),1,3), Variables!$A:$C , 3, FALSE),
3 "&amp;", VLOOKUP(index(split(G84 ,"", "", FALSE),1,1), Variables!$A:$C , 3, FALSE) + VLOOKUP(index(split(G84 ,"", "", FALSE),1,2), Variables!$A:$C , 3, FALSE) + VLOOKUP(index(split(G84 ,"", "", FALSE),1,3), Variables!$A:$C , 3, FALSE) + VLOOKUP(index(split(G84 ,"&amp;""", "", FALSE),1,4), Variables!$A:$C , 3, FALSE),
)
)
)"),1.0)</f>
        <v>1</v>
      </c>
      <c r="V84" s="317">
        <f t="shared" si="3"/>
        <v>6.125</v>
      </c>
      <c r="W84" s="321">
        <f t="shared" si="4"/>
        <v>8.458333333</v>
      </c>
      <c r="X84" s="118"/>
      <c r="Y84" s="118"/>
      <c r="Z84" s="118"/>
      <c r="AA84" s="118"/>
      <c r="AB84" s="118"/>
      <c r="AC84" s="118"/>
      <c r="AD84" s="118"/>
      <c r="AE84" s="118"/>
    </row>
    <row r="85" hidden="1">
      <c r="A85" s="310">
        <v>1.0</v>
      </c>
      <c r="B85" s="93">
        <f t="shared" si="1"/>
        <v>2</v>
      </c>
      <c r="C85" s="310" t="s">
        <v>703</v>
      </c>
      <c r="D85" s="310">
        <v>75.0</v>
      </c>
      <c r="E85" s="310" t="s">
        <v>1527</v>
      </c>
      <c r="F85" s="310" t="s">
        <v>1521</v>
      </c>
      <c r="G85" s="313" t="s">
        <v>1592</v>
      </c>
      <c r="H85" s="312">
        <f>IFERROR(__xludf.DUMMYFUNCTION(" IF(ISBLANK(G85),,
SWITCH(
LEN(G85) - LEN(SUBSTITUTE(G85,"","","""")),
0 , VLOOKUP(G85, Variables!$A:$B, 2, FALSE),
1 , VLOOKUP(index(split(G85 ,"", "", FALSE),1,1), Variables!$A:$B , 2, FALSE) + VLOOKUP(index(split(G85 ,"", "", FALSE),1,2), Variables!$A:"&amp;"$B , 2, FALSE),
2 , VLOOKUP(index(split(G85 ,"", "", FALSE),1,1), Variables!$A:$B , 2, FALSE) + VLOOKUP(index(split(G85 ,"", "", FALSE),1,2), Variables!$A:$B , 2, FALSE) + VLOOKUP(index(split(G85 ,"", "", FALSE),1,3), Variables!$A:$B , 2, FALSE),
3 , VLOO"&amp;"KUP(index(split(G85 ,"", "", FALSE),1,1), Variables!$A:$B , 2, FALSE) + VLOOKUP(index(split(G85 ,"", "", FALSE),1,2), Variables!$A:$B , 2, FALSE) + VLOOKUP(index(split(G85 ,"", "", FALSE),1,3), Variables!$A:$B , 2, FALSE) + VLOOKUP(index(split(G85 ,"", """&amp;", FALSE),1,4), Variables!$A:$B , 2, FALSE),
)
)"),1.8333333333333335)</f>
        <v>1.833333333</v>
      </c>
      <c r="I85" s="310" t="s">
        <v>1557</v>
      </c>
      <c r="J85" s="313" t="s">
        <v>704</v>
      </c>
      <c r="K85" s="314">
        <f>IFERROR(VLOOKUP(C85,vote4ITEMS!$A:$C, 3, FALSE),)</f>
        <v>6.5</v>
      </c>
      <c r="L85" s="313"/>
      <c r="M85" s="314">
        <f>SUM(
IF(IFERROR(SEARCH("Aura 1",L85),0) &gt; 0 , VLOOKUP("Aura 1", vote4TRAITS!A:C , 3, FALSE), ),
IF(IFERROR(SEARCH("Backswing",L85),0) &gt; 0 , VLOOKUP("Backswing", vote4TRAITS!A:C , 3, FALSE), ),
IF(IFERROR(SEARCH("Blast",L85),0) &gt; 0 , VLOOKUP("Blast", vote4TRAITS!A:C , 3, FALSE), ),
IF(IFERROR(SEARCH("Combustible",L85),0) &gt; 0 , VLOOKUP("Combustible", vote4TRAITS!A:C , 3, FALSE), ),
IF(IFERROR(SEARCH("Command",L85),0) &gt; 0 , VLOOKUP("Command", vote4TRAITS!A:C , 3, FALSE), ),
IF(IFERROR(SEARCH("Cowardly",L85),0) &gt; 0 , VLOOKUP("Cowardly", vote4TRAITS!A:C , 3, FALSE), ),
IF(IFERROR(SEARCH("Death Wish",L85),0) &gt; 0 , VLOOKUP("Death Wish", vote4TRAITS!A:C , 3, FALSE), ),
IF(IFERROR(SEARCH("Entomb",L85),0) &gt; 0 , VLOOKUP("Entomb", vote4TRAITS!A:C , 3, FALSE), ),
IF(IFERROR(SEARCH("Ethereal Hold",L85),0) &gt; 0 , VLOOKUP("Ethereal Hold", vote4TRAITS!A:C , 3, FALSE), ),
IF(IFERROR(SEARCH("Extend",L85),0) &gt; 0 , VLOOKUP("Extend", vote4TRAITS!A:C , 3, FALSE), ),
IF(IFERROR(SEARCH("Filthy Murk",L85),0) &gt; 0 , VLOOKUP("Filthy Murk", vote4TRAITS!A:C , 3, FALSE), ),
IF(IFERROR(SEARCH("Flame Fiend",L85),0) &gt; 0 , VLOOKUP("Flame Fiend", vote4TRAITS!A:C , 3, FALSE), ),
IF(IFERROR(SEARCH("Fleshmonger",L85),0) &gt; 0 , VLOOKUP("Fleshmonger", vote4TRAITS!A:C , 3, FALSE), ),
IF(IFERROR(SEARCH("Fly",L85),0) &gt; 0 , VLOOKUP("Fly", vote4TRAITS!A:C , 3, FALSE), ),
IF(IFERROR(SEARCH("Freezing",L85),0) &gt; 0 , VLOOKUP("Freezing", vote4TRAITS!A:C , 3, FALSE), ),
IF(IFERROR(SEARCH("Lithesome",L85),0) &gt; 0 , VLOOKUP("Lithesome", vote4TRAITS!A:C , 3, FALSE), ),
IF(IFERROR(SEARCH("Harrowing",L85),0) &gt; 0 , VLOOKUP("Harrowing", vote4TRAITS!A:C , 3, FALSE), ),
IF(IFERROR(SEARCH("Hideous Laughter",L85),0) &gt; 0 , VLOOKUP("Hideous Laughter", vote4TRAITS!A:C , 3, FALSE), ),
IF(IFERROR(SEARCH("Hive Defense",L85),0) &gt; 0 , VLOOKUP("Hive Defense", vote4TRAITS!A:C , 3, FALSE), ),
IF(IFERROR(SEARCH("Horrifying",L85),0) &gt; 0 , VLOOKUP("Horrifying", vote4TRAITS!A:C , 3, FALSE), ),
IF(IFERROR(SEARCH("Ironskin",L85),0) &gt; 0 , VLOOKUP("Ironskin", vote4TRAITS!A:C , 3, FALSE), ),
IF(IFERROR(SEARCH("Unmovable",L85),0) &gt; 0 , VLOOKUP("Unmovable", vote4TRAITS!A:C , 3, FALSE), ),
IF(IFERROR(SEARCH("Lifethirst 1",L85),0) &gt; 0 , VLOOKUP("Lifethirst 1", vote4TRAITS!A:C , 3, FALSE), ),
IF(IFERROR(SEARCH("Lifethirst 2",L85),0) &gt; 0 , VLOOKUP("Lifethirst 2", vote4TRAITS!A:C , 3, FALSE), ),
IF(IFERROR(SEARCH("Morph",L85),0) &gt; 0 , VLOOKUP("Morph", vote4TRAITS!A:C , 3, FALSE), ),
IF(IFERROR(SEARCH("Night Stalker",L85),0) &gt; 0 , VLOOKUP("Night Stalker", vote4TRAITS!A:C , 3, FALSE), ),
IF(IFERROR(SEARCH("Overflowing",L85),0) &gt; 0 , VLOOKUP("Overflowing", vote4TRAITS!A:C , 3, FALSE), ),
IF(IFERROR(SEARCH("Pestilence",L85),0) &gt; 0 , VLOOKUP("Pestilence", vote4TRAITS!A:C , 3, FALSE), ),
IF(IFERROR(SEARCH("Phalanx",L85),0) &gt; 0 , VLOOKUP("Phalanx", vote4TRAITS!A:C , 3, FALSE), ),
IF(IFERROR(SEARCH("Plagued",L85),0) &gt; 0 , VLOOKUP("Plagued", vote4TRAITS!A:C , 3, FALSE), ),
IF(IFERROR(SEARCH("Prey on the Weak",L85),0) &gt; 0 , VLOOKUP("Prey on the Weak", vote4TRAITS!A:C , 3, FALSE), ),
IF(IFERROR(SEARCH("Protect",L85),0) &gt; 0 , VLOOKUP("Protect", vote4TRAITS!A:C , 3, FALSE), ),
IF(IFERROR(SEARCH("Puncture",L85),0) &gt; 0 , VLOOKUP("Puncture", vote4TRAITS!A:C , 3, FALSE), ),
IF(IFERROR(SEARCH("Putrid Boils",L85),0) &gt; 0 , VLOOKUP("Putrid Boils", vote4TRAITS!A:C , 3, FALSE), ),
IF(IFERROR(SEARCH("Ravage",L85),0) &gt; 0 , VLOOKUP("Ravage", vote4TRAITS!A:C , 3, FALSE), ),
IF(IFERROR(SEARCH("Ravenous",L85),0) &gt; 0 , VLOOKUP("Ravenous", vote4TRAITS!A:C , 3, FALSE), ),
IF(IFERROR(SEARCH("Reach",L85),0) &gt; 0 , VLOOKUP("Reach", vote4TRAITS!A:C , 3, FALSE), ),
IF(IFERROR(SEARCH("Reanimation",L85),0) &gt; 0 , VLOOKUP("Reanimation", vote4TRAITS!A:C , 3, FALSE), ),
IF(IFERROR(SEARCH("Reaper",L85),0) &gt; 0 , VLOOKUP("Reaper", vote4TRAITS!A:C , 3, FALSE), ),
IF(IFERROR(SEARCH("Riposte",L85),0) &gt; 0 , VLOOKUP("Riposte", vote4TRAITS!A:C , 3, FALSE)),
IF(IFERROR(SEARCH("Scamper",L85),0) &gt; 0 , VLOOKUP("Scamper", vote4TRAITS!A:C , 3, FALSE), ),
IF(IFERROR(SEARCH("Small Beginnings",L85),0) &gt; 0 , VLOOKUP("Small Beginnings", vote4TRAITS!A:C , 3, FALSE), ),
IF(IFERROR(SEARCH("Spawner",L85),0) &gt; 0 , VLOOKUP("Spawner", vote4TRAITS!A:C , 3,FALSE), ),
IF(IFERROR(SEARCH("Shadowr",L85),0) &gt; 0 , VLOOKUP("Shadow", vote4TRAITS!A:C , 3,FALSE), ),
IF(IFERROR(SEARCH("Shadow Step",L85),0) &gt; 0 , VLOOKUP("Shadow Step", vote4TRAITS!A:C , 3,FALSE), ),
IF(IFERROR(SEARCH("Shambling",L85),0) &gt; 0 , VLOOKUP("Shambling", vote4TRAITS!A:C , 3,FALSE), ),
IF(IFERROR(SEARCH("Stealthy",L85),0) &gt; 0 , VLOOKUP("Stealthy", vote4TRAITS!A:C , 3, FALSE), ),
IF(IFERROR(SEARCH("Web",L85),0) &gt; 0 , VLOOKUP("Web", vote4TRAITS!A:C , 3, FALSE), ),
IF(IFERROR(SEARCH("+1 Willpower",L85),0) &gt; 0 , VLOOKUP("+1 Willpower", vote4TRAITS!A:C , 3, FALSE), ),
IF(IFERROR(SEARCH("+1 Might",L85),0) &gt; 0 , VLOOKUP("+1 Might", vote4TRAITS!A:C , 3, FALSE), ),
IF(IFERROR(SEARCH("+1 Knowledge",L85),0) &gt; 0 , VLOOKUP("+1 Knowledge", vote4TRAITS!A:C , 3, FALSE), ),
IF(IFERROR(SEARCH("+1 Awareness",L85),0) &gt; 0 , VLOOKUP("+1 Awareness", vote4TRAITS!A:C , 3, FALSE), ),
IF(IFERROR(SEARCH("-1 Willpower",L85),0) &gt; 0 , VLOOKUP("-1 Willpower", vote4TRAITS!A:C , 3, FALSE), ),
IF(IFERROR(SEARCH("+1 Health",L85),0) &gt; 0 , VLOOKUP("+1 Health", vote4TRAITS!A:C , 3, FALSE), ),
IF(IFERROR(SEARCH("+2 Health",L85),0) &gt; 0 , VLOOKUP("+2 Health", vote4TRAITS!A:C , 3, FALSE), ),
IF(IFERROR(SEARCH("+1 Stamina",L85),0) &gt; 0 , VLOOKUP("+1 Stamina", vote4TRAITS!A:C , 3, FALSE), ),
IF(IFERROR(SEARCH("+2 Stamina",L85),0) &gt; 0 , VLOOKUP("+2 Stamina", vote4TRAITS!A:C , 3, FALSE), ),
IFS(
IFERROR(SEARCH("+1 Range", L85),) &gt; 0 ,VLOOKUP("+1 Range", vote4TRAITS!A:C , 3, FALSE),
IFERROR(SEARCH("+2 Range", L85),) &gt; 0 ,VLOOKUP("+2 Range", vote4TRAITS!A:C , 3, FALSE),
IFERROR(SEARCH("+3 Range", L85),) &gt; 0,VLOOKUP("+3 Range", vote4TRAITS!A:C , 3, FALSE),
0=0,0)
,
IFS(
IFERROR(SEARCH("Sorcery 1", L85),) &gt; 0 ,VLOOKUP("Sorcery 1", vote4TRAITS!A:C , 3, FALSE),
IFERROR(SEARCH("Sorcery 2", L85),) &gt; 0 ,VLOOKUP("Sorcery 2", vote4TRAITS!A:C , 3, FALSE),
IFERROR(SEARCH("Sorcery 3", L85),) &gt; 0,VLOOKUP("Sorcery 3", vote4TRAITS!A:C , 3, FALSE),
0=0,0)
,
IFS(
IFERROR(SEARCH("Pierce 1", L85),) &gt; 0 ,VLOOKUP("Pierce 1", vote4TRAITS!A:C , 3, FALSE),
IFERROR(SEARCH("Pierce 2", L85),) &gt; 0 ,VLOOKUP("Pierce 2", vote4TRAITS!A:C , 3, FALSE),
IFERROR(SEARCH("Pierce 3", L85),) &gt; 0,VLOOKUP("Pierce 3", vote4TRAITS!A:C , 3, FALSE),
IFERROR(SEARCH("Pierce 4", L85),) &gt; 0 ,VLOOKUP("Pierce 4", vote4TRAITS!A:C , 3, FALSE),
0=0,0)
,
IFS(
IFERROR(SEARCH("+1 Health", L85),) &gt; 0 ,VLOOKUP("+1 Health", vote4TRAITS!A:C , 3, FALSE),
IFERROR(SEARCH("+2 Health", L85),) &gt; 0 ,VLOOKUP("+2 Health", vote4TRAITS!A:C , 3, FALSE),
IFERROR(SEARCH("+3 Health", L85),) &gt; 0 ,VLOOKUP("+3 Health", vote4TRAITS!A:C , 3, FALSE),
IFERROR(SEARCH("+4 Health", L85),) &gt; 0 ,VLOOKUP("+4 Health", vote4TRAITS!A:C , 3, FALSE),
0=0,0)
,
IFS(
IFERROR(SEARCH("Soul Shackle 1", L85),) &gt; 0 ,VLOOKUP("Soul Shackle 1", vote4TRAITS!A:C , 3, FALSE),
IFERROR(SEARCH("Soul Shackle 2", L85),) &gt; 0 ,VLOOKUP("Soul Shackle 2", vote4TRAITS!A:C , 3, FALSE),
IFERROR(SEARCH("Soul Shackle 3", L85),) &gt; 0,VLOOKUP("Soul Shackle 3", vote4TRAITS!A:C , 3, FALSE),
0=0,0)
)</f>
        <v>0</v>
      </c>
      <c r="N85" s="313"/>
      <c r="O85" s="317" t="str">
        <f>IF(ISBLANK(N85),,IFERROR(
IF(IFERROR(SEARCH("SS:",N85),0) &gt; 0, 
VLOOKUP(SUBSTITUTE(N85,"SS: ",""),vote4SURGE!$A:$C , 3, FALSE) - 2,
VLOOKUP(SUBSTITUTE(N85,"S: ",""),vote4SURGE!$A:$C , 3, FALSE)
)
,
IF(IFERROR(SEARCH("SS:",N85),0) &gt; 0, 
VLOOKUP(C85,vote4SURGE!$A:$C , 3, FALSE) - 2,
VLOOKUP(C85,vote4SURGE!$A:$C , 3, FALSE)
)
))</f>
        <v/>
      </c>
      <c r="P85" s="318"/>
      <c r="Q85" s="317" t="str">
        <f>IF(ISBLANK(P85),,IFERROR(
IF(IFERROR(SEARCH("SS:",P85),0) &gt; 0, 
VLOOKUP(SUBSTITUTE(P85,"SS: ",""),vote4SURGE!$A:$C , 3, FALSE) - 2,
VLOOKUP(SUBSTITUTE(P85,"S: ",""),vote4SURGE!$A:$C , 3, FALSE)
)
,
IF(IFERROR(SEARCH("SS:",P85),0) &gt; 0, 
VLOOKUP(C85,vote4SURGE!$A:$C , 3, FALSE) - 2,
VLOOKUP(C85,vote4SURGE!$A:$C , 3, FALSE)
)
))</f>
        <v/>
      </c>
      <c r="R85" s="318"/>
      <c r="S85" s="319" t="str">
        <f>IF(ISBLANK(R85),,IFERROR(
IF(IFERROR(SEARCH("SS:",R85),0) &gt; 0, 
VLOOKUP(SUBSTITUTE(R85,"SS: ",""),vote4SURGE!$A:$C , 3, FALSE) - 2,
VLOOKUP(SUBSTITUTE(R85,"S: ",""),vote4SURGE!$A:$C , 3, FALSE)
)
,
IF(IFERROR(SEARCH("SS:",R85),0) &gt; 0, 
VLOOKUP(C85,vote4SURGE!$A:$C , 3, FALSE) - 2,
VLOOKUP(C85,vote4SURGE!$A:$C , 3, FALSE)
)
))</f>
        <v/>
      </c>
      <c r="T85" s="320">
        <f t="shared" si="2"/>
        <v>0</v>
      </c>
      <c r="U85" s="320">
        <f>IFERROR(__xludf.DUMMYFUNCTION("ROUND(
IF(ISBLANK(G85),,
SWITCH(
LEN(G85) - LEN(SUBSTITUTE(G85,"","","""")),
0 , VLOOKUP(G85, Variables!$A:$C, 3, FALSE),
1 , VLOOKUP(index(split(G85 ,"", "", FALSE),1,1), Variables!$A:$C , 3, FALSE) + VLOOKUP(index(split(G85 ,"", "", FALSE),1,2), Variabl"&amp;"es!$A:$C , 3, FALSE),
2 , VLOOKUP(index(split(G85 ,"", "", FALSE),1,1), Variables!$A:$C , 3, FALSE) + VLOOKUP(index(split(G85 ,"", "", FALSE),1,2), Variables!$A:$C , 3, FALSE) + VLOOKUP(index(split(G85 ,"", "", FALSE),1,3), Variables!$A:$C , 3, FALSE),
3 "&amp;", VLOOKUP(index(split(G85 ,"", "", FALSE),1,1), Variables!$A:$C , 3, FALSE) + VLOOKUP(index(split(G85 ,"", "", FALSE),1,2), Variables!$A:$C , 3, FALSE) + VLOOKUP(index(split(G85 ,"", "", FALSE),1,3), Variables!$A:$C , 3, FALSE) + VLOOKUP(index(split(G85 ,"&amp;""", "", FALSE),1,4), Variables!$A:$C , 3, FALSE),
)
)
)"),1.0)</f>
        <v>1</v>
      </c>
      <c r="V85" s="317">
        <f t="shared" si="3"/>
        <v>0</v>
      </c>
      <c r="W85" s="321">
        <f t="shared" si="4"/>
        <v>8.333333333</v>
      </c>
      <c r="X85" s="118"/>
      <c r="Y85" s="118"/>
      <c r="Z85" s="118"/>
      <c r="AA85" s="118"/>
      <c r="AB85" s="118"/>
      <c r="AC85" s="118"/>
      <c r="AD85" s="118"/>
      <c r="AE85" s="118"/>
    </row>
    <row r="86" hidden="1">
      <c r="A86" s="310">
        <v>1.0</v>
      </c>
      <c r="B86" s="93">
        <f t="shared" si="1"/>
        <v>2</v>
      </c>
      <c r="C86" s="310" t="s">
        <v>1639</v>
      </c>
      <c r="D86" s="310">
        <v>100.0</v>
      </c>
      <c r="E86" s="310" t="s">
        <v>1527</v>
      </c>
      <c r="F86" s="310" t="s">
        <v>1521</v>
      </c>
      <c r="G86" s="313" t="s">
        <v>1592</v>
      </c>
      <c r="H86" s="312">
        <f>IFERROR(__xludf.DUMMYFUNCTION(" IF(ISBLANK(G86),,
SWITCH(
LEN(G86) - LEN(SUBSTITUTE(G86,"","","""")),
0 , VLOOKUP(G86, Variables!$A:$B, 2, FALSE),
1 , VLOOKUP(index(split(G86 ,"", "", FALSE),1,1), Variables!$A:$B , 2, FALSE) + VLOOKUP(index(split(G86 ,"", "", FALSE),1,2), Variables!$A:"&amp;"$B , 2, FALSE),
2 , VLOOKUP(index(split(G86 ,"", "", FALSE),1,1), Variables!$A:$B , 2, FALSE) + VLOOKUP(index(split(G86 ,"", "", FALSE),1,2), Variables!$A:$B , 2, FALSE) + VLOOKUP(index(split(G86 ,"", "", FALSE),1,3), Variables!$A:$B , 2, FALSE),
3 , VLOO"&amp;"KUP(index(split(G86 ,"", "", FALSE),1,1), Variables!$A:$B , 2, FALSE) + VLOOKUP(index(split(G86 ,"", "", FALSE),1,2), Variables!$A:$B , 2, FALSE) + VLOOKUP(index(split(G86 ,"", "", FALSE),1,3), Variables!$A:$B , 2, FALSE) + VLOOKUP(index(split(G86 ,"", """&amp;", FALSE),1,4), Variables!$A:$B , 2, FALSE),
)
)"),1.8333333333333335)</f>
        <v>1.833333333</v>
      </c>
      <c r="I86" s="310" t="s">
        <v>1529</v>
      </c>
      <c r="J86" s="313"/>
      <c r="K86" s="314" t="str">
        <f>IFERROR(VLOOKUP(C86,vote4ITEMS!$A:$C, 3, FALSE),)</f>
        <v/>
      </c>
      <c r="L86" s="313"/>
      <c r="M86" s="314">
        <f>SUM(
IF(IFERROR(SEARCH("Aura 1",L86),0) &gt; 0 , VLOOKUP("Aura 1", vote4TRAITS!A:C , 3, FALSE), ),
IF(IFERROR(SEARCH("Backswing",L86),0) &gt; 0 , VLOOKUP("Backswing", vote4TRAITS!A:C , 3, FALSE), ),
IF(IFERROR(SEARCH("Blast",L86),0) &gt; 0 , VLOOKUP("Blast", vote4TRAITS!A:C , 3, FALSE), ),
IF(IFERROR(SEARCH("Combustible",L86),0) &gt; 0 , VLOOKUP("Combustible", vote4TRAITS!A:C , 3, FALSE), ),
IF(IFERROR(SEARCH("Command",L86),0) &gt; 0 , VLOOKUP("Command", vote4TRAITS!A:C , 3, FALSE), ),
IF(IFERROR(SEARCH("Cowardly",L86),0) &gt; 0 , VLOOKUP("Cowardly", vote4TRAITS!A:C , 3, FALSE), ),
IF(IFERROR(SEARCH("Death Wish",L86),0) &gt; 0 , VLOOKUP("Death Wish", vote4TRAITS!A:C , 3, FALSE), ),
IF(IFERROR(SEARCH("Entomb",L86),0) &gt; 0 , VLOOKUP("Entomb", vote4TRAITS!A:C , 3, FALSE), ),
IF(IFERROR(SEARCH("Ethereal Hold",L86),0) &gt; 0 , VLOOKUP("Ethereal Hold", vote4TRAITS!A:C , 3, FALSE), ),
IF(IFERROR(SEARCH("Extend",L86),0) &gt; 0 , VLOOKUP("Extend", vote4TRAITS!A:C , 3, FALSE), ),
IF(IFERROR(SEARCH("Filthy Murk",L86),0) &gt; 0 , VLOOKUP("Filthy Murk", vote4TRAITS!A:C , 3, FALSE), ),
IF(IFERROR(SEARCH("Flame Fiend",L86),0) &gt; 0 , VLOOKUP("Flame Fiend", vote4TRAITS!A:C , 3, FALSE), ),
IF(IFERROR(SEARCH("Fleshmonger",L86),0) &gt; 0 , VLOOKUP("Fleshmonger", vote4TRAITS!A:C , 3, FALSE), ),
IF(IFERROR(SEARCH("Fly",L86),0) &gt; 0 , VLOOKUP("Fly", vote4TRAITS!A:C , 3, FALSE), ),
IF(IFERROR(SEARCH("Freezing",L86),0) &gt; 0 , VLOOKUP("Freezing", vote4TRAITS!A:C , 3, FALSE), ),
IF(IFERROR(SEARCH("Lithesome",L86),0) &gt; 0 , VLOOKUP("Lithesome", vote4TRAITS!A:C , 3, FALSE), ),
IF(IFERROR(SEARCH("Harrowing",L86),0) &gt; 0 , VLOOKUP("Harrowing", vote4TRAITS!A:C , 3, FALSE), ),
IF(IFERROR(SEARCH("Hideous Laughter",L86),0) &gt; 0 , VLOOKUP("Hideous Laughter", vote4TRAITS!A:C , 3, FALSE), ),
IF(IFERROR(SEARCH("Hive Defense",L86),0) &gt; 0 , VLOOKUP("Hive Defense", vote4TRAITS!A:C , 3, FALSE), ),
IF(IFERROR(SEARCH("Horrifying",L86),0) &gt; 0 , VLOOKUP("Horrifying", vote4TRAITS!A:C , 3, FALSE), ),
IF(IFERROR(SEARCH("Ironskin",L86),0) &gt; 0 , VLOOKUP("Ironskin", vote4TRAITS!A:C , 3, FALSE), ),
IF(IFERROR(SEARCH("Unmovable",L86),0) &gt; 0 , VLOOKUP("Unmovable", vote4TRAITS!A:C , 3, FALSE), ),
IF(IFERROR(SEARCH("Lifethirst 1",L86),0) &gt; 0 , VLOOKUP("Lifethirst 1", vote4TRAITS!A:C , 3, FALSE), ),
IF(IFERROR(SEARCH("Lifethirst 2",L86),0) &gt; 0 , VLOOKUP("Lifethirst 2", vote4TRAITS!A:C , 3, FALSE), ),
IF(IFERROR(SEARCH("Morph",L86),0) &gt; 0 , VLOOKUP("Morph", vote4TRAITS!A:C , 3, FALSE), ),
IF(IFERROR(SEARCH("Night Stalker",L86),0) &gt; 0 , VLOOKUP("Night Stalker", vote4TRAITS!A:C , 3, FALSE), ),
IF(IFERROR(SEARCH("Overflowing",L86),0) &gt; 0 , VLOOKUP("Overflowing", vote4TRAITS!A:C , 3, FALSE), ),
IF(IFERROR(SEARCH("Pestilence",L86),0) &gt; 0 , VLOOKUP("Pestilence", vote4TRAITS!A:C , 3, FALSE), ),
IF(IFERROR(SEARCH("Phalanx",L86),0) &gt; 0 , VLOOKUP("Phalanx", vote4TRAITS!A:C , 3, FALSE), ),
IF(IFERROR(SEARCH("Plagued",L86),0) &gt; 0 , VLOOKUP("Plagued", vote4TRAITS!A:C , 3, FALSE), ),
IF(IFERROR(SEARCH("Prey on the Weak",L86),0) &gt; 0 , VLOOKUP("Prey on the Weak", vote4TRAITS!A:C , 3, FALSE), ),
IF(IFERROR(SEARCH("Protect",L86),0) &gt; 0 , VLOOKUP("Protect", vote4TRAITS!A:C , 3, FALSE), ),
IF(IFERROR(SEARCH("Puncture",L86),0) &gt; 0 , VLOOKUP("Puncture", vote4TRAITS!A:C , 3, FALSE), ),
IF(IFERROR(SEARCH("Putrid Boils",L86),0) &gt; 0 , VLOOKUP("Putrid Boils", vote4TRAITS!A:C , 3, FALSE), ),
IF(IFERROR(SEARCH("Ravage",L86),0) &gt; 0 , VLOOKUP("Ravage", vote4TRAITS!A:C , 3, FALSE), ),
IF(IFERROR(SEARCH("Ravenous",L86),0) &gt; 0 , VLOOKUP("Ravenous", vote4TRAITS!A:C , 3, FALSE), ),
IF(IFERROR(SEARCH("Reach",L86),0) &gt; 0 , VLOOKUP("Reach", vote4TRAITS!A:C , 3, FALSE), ),
IF(IFERROR(SEARCH("Reanimation",L86),0) &gt; 0 , VLOOKUP("Reanimation", vote4TRAITS!A:C , 3, FALSE), ),
IF(IFERROR(SEARCH("Reaper",L86),0) &gt; 0 , VLOOKUP("Reaper", vote4TRAITS!A:C , 3, FALSE), ),
IF(IFERROR(SEARCH("Riposte",L86),0) &gt; 0 , VLOOKUP("Riposte", vote4TRAITS!A:C , 3, FALSE)),
IF(IFERROR(SEARCH("Scamper",L86),0) &gt; 0 , VLOOKUP("Scamper", vote4TRAITS!A:C , 3, FALSE), ),
IF(IFERROR(SEARCH("Small Beginnings",L86),0) &gt; 0 , VLOOKUP("Small Beginnings", vote4TRAITS!A:C , 3, FALSE), ),
IF(IFERROR(SEARCH("Spawner",L86),0) &gt; 0 , VLOOKUP("Spawner", vote4TRAITS!A:C , 3,FALSE), ),
IF(IFERROR(SEARCH("Shadowr",L86),0) &gt; 0 , VLOOKUP("Shadow", vote4TRAITS!A:C , 3,FALSE), ),
IF(IFERROR(SEARCH("Shadow Step",L86),0) &gt; 0 , VLOOKUP("Shadow Step", vote4TRAITS!A:C , 3,FALSE), ),
IF(IFERROR(SEARCH("Shambling",L86),0) &gt; 0 , VLOOKUP("Shambling", vote4TRAITS!A:C , 3,FALSE), ),
IF(IFERROR(SEARCH("Stealthy",L86),0) &gt; 0 , VLOOKUP("Stealthy", vote4TRAITS!A:C , 3, FALSE), ),
IF(IFERROR(SEARCH("Web",L86),0) &gt; 0 , VLOOKUP("Web", vote4TRAITS!A:C , 3, FALSE), ),
IF(IFERROR(SEARCH("+1 Willpower",L86),0) &gt; 0 , VLOOKUP("+1 Willpower", vote4TRAITS!A:C , 3, FALSE), ),
IF(IFERROR(SEARCH("+1 Might",L86),0) &gt; 0 , VLOOKUP("+1 Might", vote4TRAITS!A:C , 3, FALSE), ),
IF(IFERROR(SEARCH("+1 Knowledge",L86),0) &gt; 0 , VLOOKUP("+1 Knowledge", vote4TRAITS!A:C , 3, FALSE), ),
IF(IFERROR(SEARCH("+1 Awareness",L86),0) &gt; 0 , VLOOKUP("+1 Awareness", vote4TRAITS!A:C , 3, FALSE), ),
IF(IFERROR(SEARCH("-1 Willpower",L86),0) &gt; 0 , VLOOKUP("-1 Willpower", vote4TRAITS!A:C , 3, FALSE), ),
IF(IFERROR(SEARCH("+1 Health",L86),0) &gt; 0 , VLOOKUP("+1 Health", vote4TRAITS!A:C , 3, FALSE), ),
IF(IFERROR(SEARCH("+2 Health",L86),0) &gt; 0 , VLOOKUP("+2 Health", vote4TRAITS!A:C , 3, FALSE), ),
IF(IFERROR(SEARCH("+1 Stamina",L86),0) &gt; 0 , VLOOKUP("+1 Stamina", vote4TRAITS!A:C , 3, FALSE), ),
IF(IFERROR(SEARCH("+2 Stamina",L86),0) &gt; 0 , VLOOKUP("+2 Stamina", vote4TRAITS!A:C , 3, FALSE), ),
IFS(
IFERROR(SEARCH("+1 Range", L86),) &gt; 0 ,VLOOKUP("+1 Range", vote4TRAITS!A:C , 3, FALSE),
IFERROR(SEARCH("+2 Range", L86),) &gt; 0 ,VLOOKUP("+2 Range", vote4TRAITS!A:C , 3, FALSE),
IFERROR(SEARCH("+3 Range", L86),) &gt; 0,VLOOKUP("+3 Range", vote4TRAITS!A:C , 3, FALSE),
0=0,0)
,
IFS(
IFERROR(SEARCH("Sorcery 1", L86),) &gt; 0 ,VLOOKUP("Sorcery 1", vote4TRAITS!A:C , 3, FALSE),
IFERROR(SEARCH("Sorcery 2", L86),) &gt; 0 ,VLOOKUP("Sorcery 2", vote4TRAITS!A:C , 3, FALSE),
IFERROR(SEARCH("Sorcery 3", L86),) &gt; 0,VLOOKUP("Sorcery 3", vote4TRAITS!A:C , 3, FALSE),
0=0,0)
,
IFS(
IFERROR(SEARCH("Pierce 1", L86),) &gt; 0 ,VLOOKUP("Pierce 1", vote4TRAITS!A:C , 3, FALSE),
IFERROR(SEARCH("Pierce 2", L86),) &gt; 0 ,VLOOKUP("Pierce 2", vote4TRAITS!A:C , 3, FALSE),
IFERROR(SEARCH("Pierce 3", L86),) &gt; 0,VLOOKUP("Pierce 3", vote4TRAITS!A:C , 3, FALSE),
IFERROR(SEARCH("Pierce 4", L86),) &gt; 0 ,VLOOKUP("Pierce 4", vote4TRAITS!A:C , 3, FALSE),
0=0,0)
,
IFS(
IFERROR(SEARCH("+1 Health", L86),) &gt; 0 ,VLOOKUP("+1 Health", vote4TRAITS!A:C , 3, FALSE),
IFERROR(SEARCH("+2 Health", L86),) &gt; 0 ,VLOOKUP("+2 Health", vote4TRAITS!A:C , 3, FALSE),
IFERROR(SEARCH("+3 Health", L86),) &gt; 0 ,VLOOKUP("+3 Health", vote4TRAITS!A:C , 3, FALSE),
IFERROR(SEARCH("+4 Health", L86),) &gt; 0 ,VLOOKUP("+4 Health", vote4TRAITS!A:C , 3, FALSE),
0=0,0)
,
IFS(
IFERROR(SEARCH("Soul Shackle 1", L86),) &gt; 0 ,VLOOKUP("Soul Shackle 1", vote4TRAITS!A:C , 3, FALSE),
IFERROR(SEARCH("Soul Shackle 2", L86),) &gt; 0 ,VLOOKUP("Soul Shackle 2", vote4TRAITS!A:C , 3, FALSE),
IFERROR(SEARCH("Soul Shackle 3", L86),) &gt; 0,VLOOKUP("Soul Shackle 3", vote4TRAITS!A:C , 3, FALSE),
0=0,0)
)</f>
        <v>0</v>
      </c>
      <c r="N86" s="311" t="s">
        <v>1534</v>
      </c>
      <c r="O86" s="317">
        <f>IF(ISBLANK(N86),,IFERROR(
IF(IFERROR(SEARCH("SS:",N86),0) &gt; 0, 
VLOOKUP(SUBSTITUTE(N86,"SS: ",""),vote4SURGE!$A:$C , 3, FALSE) - 2,
VLOOKUP(SUBSTITUTE(N86,"S: ",""),vote4SURGE!$A:$C , 3, FALSE)
)
,
IF(IFERROR(SEARCH("SS:",N86),0) &gt; 0, 
VLOOKUP(C86,vote4SURGE!$A:$C , 3, FALSE) - 2,
VLOOKUP(C86,vote4SURGE!$A:$C , 3, FALSE)
)
))</f>
        <v>4.25</v>
      </c>
      <c r="P86" s="315" t="s">
        <v>1534</v>
      </c>
      <c r="Q86" s="317">
        <f>IF(ISBLANK(P86),,IFERROR(
IF(IFERROR(SEARCH("SS:",P86),0) &gt; 0, 
VLOOKUP(SUBSTITUTE(P86,"SS: ",""),vote4SURGE!$A:$C , 3, FALSE) - 2,
VLOOKUP(SUBSTITUTE(P86,"S: ",""),vote4SURGE!$A:$C , 3, FALSE)
)
,
IF(IFERROR(SEARCH("SS:",P86),0) &gt; 0, 
VLOOKUP(C86,vote4SURGE!$A:$C , 3, FALSE) - 2,
VLOOKUP(C86,vote4SURGE!$A:$C , 3, FALSE)
)
))</f>
        <v>4.25</v>
      </c>
      <c r="R86" s="318"/>
      <c r="S86" s="319" t="str">
        <f>IF(ISBLANK(R86),,IFERROR(
IF(IFERROR(SEARCH("SS:",R86),0) &gt; 0, 
VLOOKUP(SUBSTITUTE(R86,"SS: ",""),vote4SURGE!$A:$C , 3, FALSE) - 2,
VLOOKUP(SUBSTITUTE(R86,"S: ",""),vote4SURGE!$A:$C , 3, FALSE)
)
,
IF(IFERROR(SEARCH("SS:",R86),0) &gt; 0, 
VLOOKUP(C86,vote4SURGE!$A:$C , 3, FALSE) - 2,
VLOOKUP(C86,vote4SURGE!$A:$C , 3, FALSE)
)
))</f>
        <v/>
      </c>
      <c r="T86" s="320">
        <f t="shared" si="2"/>
        <v>2</v>
      </c>
      <c r="U86" s="320">
        <f>IFERROR(__xludf.DUMMYFUNCTION("ROUND(
IF(ISBLANK(G86),,
SWITCH(
LEN(G86) - LEN(SUBSTITUTE(G86,"","","""")),
0 , VLOOKUP(G86, Variables!$A:$C, 3, FALSE),
1 , VLOOKUP(index(split(G86 ,"", "", FALSE),1,1), Variables!$A:$C , 3, FALSE) + VLOOKUP(index(split(G86 ,"", "", FALSE),1,2), Variabl"&amp;"es!$A:$C , 3, FALSE),
2 , VLOOKUP(index(split(G86 ,"", "", FALSE),1,1), Variables!$A:$C , 3, FALSE) + VLOOKUP(index(split(G86 ,"", "", FALSE),1,2), Variables!$A:$C , 3, FALSE) + VLOOKUP(index(split(G86 ,"", "", FALSE),1,3), Variables!$A:$C , 3, FALSE),
3 "&amp;", VLOOKUP(index(split(G86 ,"", "", FALSE),1,1), Variables!$A:$C , 3, FALSE) + VLOOKUP(index(split(G86 ,"", "", FALSE),1,2), Variables!$A:$C , 3, FALSE) + VLOOKUP(index(split(G86 ,"", "", FALSE),1,3), Variables!$A:$C , 3, FALSE) + VLOOKUP(index(split(G86 ,"&amp;""", "", FALSE),1,4), Variables!$A:$C , 3, FALSE),
)
)
)"),1.0)</f>
        <v>1</v>
      </c>
      <c r="V86" s="317">
        <f t="shared" si="3"/>
        <v>6.375</v>
      </c>
      <c r="W86" s="321">
        <f t="shared" si="4"/>
        <v>8.208333333</v>
      </c>
      <c r="X86" s="118"/>
      <c r="Y86" s="118"/>
      <c r="Z86" s="118"/>
      <c r="AA86" s="118"/>
      <c r="AB86" s="118"/>
      <c r="AC86" s="118"/>
      <c r="AD86" s="118"/>
      <c r="AE86" s="118"/>
    </row>
    <row r="87" hidden="1">
      <c r="A87" s="310">
        <v>1.0</v>
      </c>
      <c r="B87" s="93">
        <f t="shared" si="1"/>
        <v>2</v>
      </c>
      <c r="C87" s="310" t="s">
        <v>814</v>
      </c>
      <c r="D87" s="310">
        <v>150.0</v>
      </c>
      <c r="E87" s="310" t="s">
        <v>1620</v>
      </c>
      <c r="F87" s="310"/>
      <c r="G87" s="313" t="s">
        <v>1621</v>
      </c>
      <c r="H87" s="312">
        <f>IFERROR(__xludf.DUMMYFUNCTION(" IF(ISBLANK(G87),,
SWITCH(
LEN(G87) - LEN(SUBSTITUTE(G87,"","","""")),
0 , VLOOKUP(G87, Variables!$A:$B, 2, FALSE),
1 , VLOOKUP(index(split(G87 ,"", "", FALSE),1,1), Variables!$A:$B , 2, FALSE) + VLOOKUP(index(split(G87 ,"", "", FALSE),1,2), Variables!$A:"&amp;"$B , 2, FALSE),
2 , VLOOKUP(index(split(G87 ,"", "", FALSE),1,1), Variables!$A:$B , 2, FALSE) + VLOOKUP(index(split(G87 ,"", "", FALSE),1,2), Variables!$A:$B , 2, FALSE) + VLOOKUP(index(split(G87 ,"", "", FALSE),1,3), Variables!$A:$B , 2, FALSE),
3 , VLOO"&amp;"KUP(index(split(G87 ,"", "", FALSE),1,1), Variables!$A:$B , 2, FALSE) + VLOOKUP(index(split(G87 ,"", "", FALSE),1,2), Variables!$A:$B , 2, FALSE) + VLOOKUP(index(split(G87 ,"", "", FALSE),1,3), Variables!$A:$B , 2, FALSE) + VLOOKUP(index(split(G87 ,"", """&amp;", FALSE),1,4), Variables!$A:$B , 2, FALSE),
)
)"),0.6666666666666666)</f>
        <v>0.6666666667</v>
      </c>
      <c r="I87" s="310" t="s">
        <v>1622</v>
      </c>
      <c r="J87" s="313" t="s">
        <v>815</v>
      </c>
      <c r="K87" s="314">
        <f>IFERROR(VLOOKUP(C87,vote4ITEMS!$A:$C, 3, FALSE),)</f>
        <v>5.5</v>
      </c>
      <c r="L87" s="311" t="s">
        <v>1623</v>
      </c>
      <c r="M87" s="314">
        <f>SUM(
IF(IFERROR(SEARCH("Aura 1",L87),0) &gt; 0 , VLOOKUP("Aura 1", vote4TRAITS!A:C , 3, FALSE), ),
IF(IFERROR(SEARCH("Backswing",L87),0) &gt; 0 , VLOOKUP("Backswing", vote4TRAITS!A:C , 3, FALSE), ),
IF(IFERROR(SEARCH("Blast",L87),0) &gt; 0 , VLOOKUP("Blast", vote4TRAITS!A:C , 3, FALSE), ),
IF(IFERROR(SEARCH("Combustible",L87),0) &gt; 0 , VLOOKUP("Combustible", vote4TRAITS!A:C , 3, FALSE), ),
IF(IFERROR(SEARCH("Command",L87),0) &gt; 0 , VLOOKUP("Command", vote4TRAITS!A:C , 3, FALSE), ),
IF(IFERROR(SEARCH("Cowardly",L87),0) &gt; 0 , VLOOKUP("Cowardly", vote4TRAITS!A:C , 3, FALSE), ),
IF(IFERROR(SEARCH("Death Wish",L87),0) &gt; 0 , VLOOKUP("Death Wish", vote4TRAITS!A:C , 3, FALSE), ),
IF(IFERROR(SEARCH("Entomb",L87),0) &gt; 0 , VLOOKUP("Entomb", vote4TRAITS!A:C , 3, FALSE), ),
IF(IFERROR(SEARCH("Ethereal Hold",L87),0) &gt; 0 , VLOOKUP("Ethereal Hold", vote4TRAITS!A:C , 3, FALSE), ),
IF(IFERROR(SEARCH("Extend",L87),0) &gt; 0 , VLOOKUP("Extend", vote4TRAITS!A:C , 3, FALSE), ),
IF(IFERROR(SEARCH("Filthy Murk",L87),0) &gt; 0 , VLOOKUP("Filthy Murk", vote4TRAITS!A:C , 3, FALSE), ),
IF(IFERROR(SEARCH("Flame Fiend",L87),0) &gt; 0 , VLOOKUP("Flame Fiend", vote4TRAITS!A:C , 3, FALSE), ),
IF(IFERROR(SEARCH("Fleshmonger",L87),0) &gt; 0 , VLOOKUP("Fleshmonger", vote4TRAITS!A:C , 3, FALSE), ),
IF(IFERROR(SEARCH("Fly",L87),0) &gt; 0 , VLOOKUP("Fly", vote4TRAITS!A:C , 3, FALSE), ),
IF(IFERROR(SEARCH("Freezing",L87),0) &gt; 0 , VLOOKUP("Freezing", vote4TRAITS!A:C , 3, FALSE), ),
IF(IFERROR(SEARCH("Lithesome",L87),0) &gt; 0 , VLOOKUP("Lithesome", vote4TRAITS!A:C , 3, FALSE), ),
IF(IFERROR(SEARCH("Harrowing",L87),0) &gt; 0 , VLOOKUP("Harrowing", vote4TRAITS!A:C , 3, FALSE), ),
IF(IFERROR(SEARCH("Hideous Laughter",L87),0) &gt; 0 , VLOOKUP("Hideous Laughter", vote4TRAITS!A:C , 3, FALSE), ),
IF(IFERROR(SEARCH("Hive Defense",L87),0) &gt; 0 , VLOOKUP("Hive Defense", vote4TRAITS!A:C , 3, FALSE), ),
IF(IFERROR(SEARCH("Horrifying",L87),0) &gt; 0 , VLOOKUP("Horrifying", vote4TRAITS!A:C , 3, FALSE), ),
IF(IFERROR(SEARCH("Ironskin",L87),0) &gt; 0 , VLOOKUP("Ironskin", vote4TRAITS!A:C , 3, FALSE), ),
IF(IFERROR(SEARCH("Unmovable",L87),0) &gt; 0 , VLOOKUP("Unmovable", vote4TRAITS!A:C , 3, FALSE), ),
IF(IFERROR(SEARCH("Lifethirst 1",L87),0) &gt; 0 , VLOOKUP("Lifethirst 1", vote4TRAITS!A:C , 3, FALSE), ),
IF(IFERROR(SEARCH("Lifethirst 2",L87),0) &gt; 0 , VLOOKUP("Lifethirst 2", vote4TRAITS!A:C , 3, FALSE), ),
IF(IFERROR(SEARCH("Morph",L87),0) &gt; 0 , VLOOKUP("Morph", vote4TRAITS!A:C , 3, FALSE), ),
IF(IFERROR(SEARCH("Night Stalker",L87),0) &gt; 0 , VLOOKUP("Night Stalker", vote4TRAITS!A:C , 3, FALSE), ),
IF(IFERROR(SEARCH("Overflowing",L87),0) &gt; 0 , VLOOKUP("Overflowing", vote4TRAITS!A:C , 3, FALSE), ),
IF(IFERROR(SEARCH("Pestilence",L87),0) &gt; 0 , VLOOKUP("Pestilence", vote4TRAITS!A:C , 3, FALSE), ),
IF(IFERROR(SEARCH("Phalanx",L87),0) &gt; 0 , VLOOKUP("Phalanx", vote4TRAITS!A:C , 3, FALSE), ),
IF(IFERROR(SEARCH("Plagued",L87),0) &gt; 0 , VLOOKUP("Plagued", vote4TRAITS!A:C , 3, FALSE), ),
IF(IFERROR(SEARCH("Prey on the Weak",L87),0) &gt; 0 , VLOOKUP("Prey on the Weak", vote4TRAITS!A:C , 3, FALSE), ),
IF(IFERROR(SEARCH("Protect",L87),0) &gt; 0 , VLOOKUP("Protect", vote4TRAITS!A:C , 3, FALSE), ),
IF(IFERROR(SEARCH("Puncture",L87),0) &gt; 0 , VLOOKUP("Puncture", vote4TRAITS!A:C , 3, FALSE), ),
IF(IFERROR(SEARCH("Putrid Boils",L87),0) &gt; 0 , VLOOKUP("Putrid Boils", vote4TRAITS!A:C , 3, FALSE), ),
IF(IFERROR(SEARCH("Ravage",L87),0) &gt; 0 , VLOOKUP("Ravage", vote4TRAITS!A:C , 3, FALSE), ),
IF(IFERROR(SEARCH("Ravenous",L87),0) &gt; 0 , VLOOKUP("Ravenous", vote4TRAITS!A:C , 3, FALSE), ),
IF(IFERROR(SEARCH("Reach",L87),0) &gt; 0 , VLOOKUP("Reach", vote4TRAITS!A:C , 3, FALSE), ),
IF(IFERROR(SEARCH("Reanimation",L87),0) &gt; 0 , VLOOKUP("Reanimation", vote4TRAITS!A:C , 3, FALSE), ),
IF(IFERROR(SEARCH("Reaper",L87),0) &gt; 0 , VLOOKUP("Reaper", vote4TRAITS!A:C , 3, FALSE), ),
IF(IFERROR(SEARCH("Riposte",L87),0) &gt; 0 , VLOOKUP("Riposte", vote4TRAITS!A:C , 3, FALSE)),
IF(IFERROR(SEARCH("Scamper",L87),0) &gt; 0 , VLOOKUP("Scamper", vote4TRAITS!A:C , 3, FALSE), ),
IF(IFERROR(SEARCH("Small Beginnings",L87),0) &gt; 0 , VLOOKUP("Small Beginnings", vote4TRAITS!A:C , 3, FALSE), ),
IF(IFERROR(SEARCH("Spawner",L87),0) &gt; 0 , VLOOKUP("Spawner", vote4TRAITS!A:C , 3,FALSE), ),
IF(IFERROR(SEARCH("Shadowr",L87),0) &gt; 0 , VLOOKUP("Shadow", vote4TRAITS!A:C , 3,FALSE), ),
IF(IFERROR(SEARCH("Shadow Step",L87),0) &gt; 0 , VLOOKUP("Shadow Step", vote4TRAITS!A:C , 3,FALSE), ),
IF(IFERROR(SEARCH("Shambling",L87),0) &gt; 0 , VLOOKUP("Shambling", vote4TRAITS!A:C , 3,FALSE), ),
IF(IFERROR(SEARCH("Stealthy",L87),0) &gt; 0 , VLOOKUP("Stealthy", vote4TRAITS!A:C , 3, FALSE), ),
IF(IFERROR(SEARCH("Web",L87),0) &gt; 0 , VLOOKUP("Web", vote4TRAITS!A:C , 3, FALSE), ),
IF(IFERROR(SEARCH("+1 Willpower",L87),0) &gt; 0 , VLOOKUP("+1 Willpower", vote4TRAITS!A:C , 3, FALSE), ),
IF(IFERROR(SEARCH("+1 Might",L87),0) &gt; 0 , VLOOKUP("+1 Might", vote4TRAITS!A:C , 3, FALSE), ),
IF(IFERROR(SEARCH("+1 Knowledge",L87),0) &gt; 0 , VLOOKUP("+1 Knowledge", vote4TRAITS!A:C , 3, FALSE), ),
IF(IFERROR(SEARCH("+1 Awareness",L87),0) &gt; 0 , VLOOKUP("+1 Awareness", vote4TRAITS!A:C , 3, FALSE), ),
IF(IFERROR(SEARCH("-1 Willpower",L87),0) &gt; 0 , VLOOKUP("-1 Willpower", vote4TRAITS!A:C , 3, FALSE), ),
IF(IFERROR(SEARCH("+1 Health",L87),0) &gt; 0 , VLOOKUP("+1 Health", vote4TRAITS!A:C , 3, FALSE), ),
IF(IFERROR(SEARCH("+2 Health",L87),0) &gt; 0 , VLOOKUP("+2 Health", vote4TRAITS!A:C , 3, FALSE), ),
IF(IFERROR(SEARCH("+1 Stamina",L87),0) &gt; 0 , VLOOKUP("+1 Stamina", vote4TRAITS!A:C , 3, FALSE), ),
IF(IFERROR(SEARCH("+2 Stamina",L87),0) &gt; 0 , VLOOKUP("+2 Stamina", vote4TRAITS!A:C , 3, FALSE), ),
IFS(
IFERROR(SEARCH("+1 Range", L87),) &gt; 0 ,VLOOKUP("+1 Range", vote4TRAITS!A:C , 3, FALSE),
IFERROR(SEARCH("+2 Range", L87),) &gt; 0 ,VLOOKUP("+2 Range", vote4TRAITS!A:C , 3, FALSE),
IFERROR(SEARCH("+3 Range", L87),) &gt; 0,VLOOKUP("+3 Range", vote4TRAITS!A:C , 3, FALSE),
0=0,0)
,
IFS(
IFERROR(SEARCH("Sorcery 1", L87),) &gt; 0 ,VLOOKUP("Sorcery 1", vote4TRAITS!A:C , 3, FALSE),
IFERROR(SEARCH("Sorcery 2", L87),) &gt; 0 ,VLOOKUP("Sorcery 2", vote4TRAITS!A:C , 3, FALSE),
IFERROR(SEARCH("Sorcery 3", L87),) &gt; 0,VLOOKUP("Sorcery 3", vote4TRAITS!A:C , 3, FALSE),
0=0,0)
,
IFS(
IFERROR(SEARCH("Pierce 1", L87),) &gt; 0 ,VLOOKUP("Pierce 1", vote4TRAITS!A:C , 3, FALSE),
IFERROR(SEARCH("Pierce 2", L87),) &gt; 0 ,VLOOKUP("Pierce 2", vote4TRAITS!A:C , 3, FALSE),
IFERROR(SEARCH("Pierce 3", L87),) &gt; 0,VLOOKUP("Pierce 3", vote4TRAITS!A:C , 3, FALSE),
IFERROR(SEARCH("Pierce 4", L87),) &gt; 0 ,VLOOKUP("Pierce 4", vote4TRAITS!A:C , 3, FALSE),
0=0,0)
,
IFS(
IFERROR(SEARCH("+1 Health", L87),) &gt; 0 ,VLOOKUP("+1 Health", vote4TRAITS!A:C , 3, FALSE),
IFERROR(SEARCH("+2 Health", L87),) &gt; 0 ,VLOOKUP("+2 Health", vote4TRAITS!A:C , 3, FALSE),
IFERROR(SEARCH("+3 Health", L87),) &gt; 0 ,VLOOKUP("+3 Health", vote4TRAITS!A:C , 3, FALSE),
IFERROR(SEARCH("+4 Health", L87),) &gt; 0 ,VLOOKUP("+4 Health", vote4TRAITS!A:C , 3, FALSE),
0=0,0)
,
IFS(
IFERROR(SEARCH("Soul Shackle 1", L87),) &gt; 0 ,VLOOKUP("Soul Shackle 1", vote4TRAITS!A:C , 3, FALSE),
IFERROR(SEARCH("Soul Shackle 2", L87),) &gt; 0 ,VLOOKUP("Soul Shackle 2", vote4TRAITS!A:C , 3, FALSE),
IFERROR(SEARCH("Soul Shackle 3", L87),) &gt; 0,VLOOKUP("Soul Shackle 3", vote4TRAITS!A:C , 3, FALSE),
0=0,0)
)</f>
        <v>2</v>
      </c>
      <c r="N87" s="313"/>
      <c r="O87" s="317" t="str">
        <f>IF(ISBLANK(N87),,IFERROR(
IF(IFERROR(SEARCH("SS:",N87),0) &gt; 0, 
VLOOKUP(SUBSTITUTE(N87,"SS: ",""),vote4SURGE!$A:$C , 3, FALSE) - 2,
VLOOKUP(SUBSTITUTE(N87,"S: ",""),vote4SURGE!$A:$C , 3, FALSE)
)
,
IF(IFERROR(SEARCH("SS:",N87),0) &gt; 0, 
VLOOKUP(C87,vote4SURGE!$A:$C , 3, FALSE) - 2,
VLOOKUP(C87,vote4SURGE!$A:$C , 3, FALSE)
)
))</f>
        <v/>
      </c>
      <c r="P87" s="318"/>
      <c r="Q87" s="317" t="str">
        <f>IF(ISBLANK(P87),,IFERROR(
IF(IFERROR(SEARCH("SS:",P87),0) &gt; 0, 
VLOOKUP(SUBSTITUTE(P87,"SS: ",""),vote4SURGE!$A:$C , 3, FALSE) - 2,
VLOOKUP(SUBSTITUTE(P87,"S: ",""),vote4SURGE!$A:$C , 3, FALSE)
)
,
IF(IFERROR(SEARCH("SS:",P87),0) &gt; 0, 
VLOOKUP(C87,vote4SURGE!$A:$C , 3, FALSE) - 2,
VLOOKUP(C87,vote4SURGE!$A:$C , 3, FALSE)
)
))</f>
        <v/>
      </c>
      <c r="R87" s="318"/>
      <c r="S87" s="319" t="str">
        <f>IF(ISBLANK(R87),,IFERROR(
IF(IFERROR(SEARCH("SS:",R87),0) &gt; 0, 
VLOOKUP(SUBSTITUTE(R87,"SS: ",""),vote4SURGE!$A:$C , 3, FALSE) - 2,
VLOOKUP(SUBSTITUTE(R87,"S: ",""),vote4SURGE!$A:$C , 3, FALSE)
)
,
IF(IFERROR(SEARCH("SS:",R87),0) &gt; 0, 
VLOOKUP(C87,vote4SURGE!$A:$C , 3, FALSE) - 2,
VLOOKUP(C87,vote4SURGE!$A:$C , 3, FALSE)
)
))</f>
        <v/>
      </c>
      <c r="T87" s="320">
        <f t="shared" si="2"/>
        <v>0</v>
      </c>
      <c r="U87" s="320">
        <f>IFERROR(__xludf.DUMMYFUNCTION("ROUND(
IF(ISBLANK(G87),,
SWITCH(
LEN(G87) - LEN(SUBSTITUTE(G87,"","","""")),
0 , VLOOKUP(G87, Variables!$A:$C, 3, FALSE),
1 , VLOOKUP(index(split(G87 ,"", "", FALSE),1,1), Variables!$A:$C , 3, FALSE) + VLOOKUP(index(split(G87 ,"", "", FALSE),1,2), Variabl"&amp;"es!$A:$C , 3, FALSE),
2 , VLOOKUP(index(split(G87 ,"", "", FALSE),1,1), Variables!$A:$C , 3, FALSE) + VLOOKUP(index(split(G87 ,"", "", FALSE),1,2), Variables!$A:$C , 3, FALSE) + VLOOKUP(index(split(G87 ,"", "", FALSE),1,3), Variables!$A:$C , 3, FALSE),
3 "&amp;", VLOOKUP(index(split(G87 ,"", "", FALSE),1,1), Variables!$A:$C , 3, FALSE) + VLOOKUP(index(split(G87 ,"", "", FALSE),1,2), Variables!$A:$C , 3, FALSE) + VLOOKUP(index(split(G87 ,"", "", FALSE),1,3), Variables!$A:$C , 3, FALSE) + VLOOKUP(index(split(G87 ,"&amp;""", "", FALSE),1,4), Variables!$A:$C , 3, FALSE),
)
)
)"),0.0)</f>
        <v>0</v>
      </c>
      <c r="V87" s="317">
        <f t="shared" si="3"/>
        <v>0</v>
      </c>
      <c r="W87" s="321">
        <f t="shared" si="4"/>
        <v>8.166666667</v>
      </c>
      <c r="X87" s="118"/>
      <c r="Y87" s="118"/>
      <c r="Z87" s="118"/>
      <c r="AA87" s="118"/>
      <c r="AB87" s="118"/>
      <c r="AC87" s="118"/>
      <c r="AD87" s="118"/>
      <c r="AE87" s="118"/>
    </row>
    <row r="88" hidden="1">
      <c r="A88" s="310">
        <v>2.0</v>
      </c>
      <c r="B88" s="93">
        <f t="shared" si="1"/>
        <v>6</v>
      </c>
      <c r="C88" s="310" t="s">
        <v>693</v>
      </c>
      <c r="D88" s="310">
        <v>150.0</v>
      </c>
      <c r="E88" s="310" t="s">
        <v>1629</v>
      </c>
      <c r="F88" s="310"/>
      <c r="G88" s="313"/>
      <c r="H88" s="312" t="str">
        <f>IFERROR(__xludf.DUMMYFUNCTION(" IF(ISBLANK(G88),,
SWITCH(
LEN(G88) - LEN(SUBSTITUTE(G88,"","","""")),
0 , VLOOKUP(G88, Variables!$A:$B, 2, FALSE),
1 , VLOOKUP(index(split(G88 ,"", "", FALSE),1,1), Variables!$A:$B , 2, FALSE) + VLOOKUP(index(split(G88 ,"", "", FALSE),1,2), Variables!$A:"&amp;"$B , 2, FALSE),
2 , VLOOKUP(index(split(G88 ,"", "", FALSE),1,1), Variables!$A:$B , 2, FALSE) + VLOOKUP(index(split(G88 ,"", "", FALSE),1,2), Variables!$A:$B , 2, FALSE) + VLOOKUP(index(split(G88 ,"", "", FALSE),1,3), Variables!$A:$B , 2, FALSE),
3 , VLOO"&amp;"KUP(index(split(G88 ,"", "", FALSE),1,1), Variables!$A:$B , 2, FALSE) + VLOOKUP(index(split(G88 ,"", "", FALSE),1,2), Variables!$A:$B , 2, FALSE) + VLOOKUP(index(split(G88 ,"", "", FALSE),1,3), Variables!$A:$B , 2, FALSE) + VLOOKUP(index(split(G88 ,"", """&amp;", FALSE),1,4), Variables!$A:$B , 2, FALSE),
)
)"),"")</f>
        <v/>
      </c>
      <c r="I88" s="310" t="s">
        <v>1635</v>
      </c>
      <c r="J88" s="313" t="s">
        <v>694</v>
      </c>
      <c r="K88" s="314">
        <f>IFERROR(VLOOKUP(C88,vote4ITEMS!$A:$C, 3, FALSE),)</f>
        <v>4</v>
      </c>
      <c r="L88" s="311" t="s">
        <v>1640</v>
      </c>
      <c r="M88" s="314">
        <f>SUM(
IF(IFERROR(SEARCH("Aura 1",L88),0) &gt; 0 , VLOOKUP("Aura 1", vote4TRAITS!A:C , 3, FALSE), ),
IF(IFERROR(SEARCH("Backswing",L88),0) &gt; 0 , VLOOKUP("Backswing", vote4TRAITS!A:C , 3, FALSE), ),
IF(IFERROR(SEARCH("Blast",L88),0) &gt; 0 , VLOOKUP("Blast", vote4TRAITS!A:C , 3, FALSE), ),
IF(IFERROR(SEARCH("Combustible",L88),0) &gt; 0 , VLOOKUP("Combustible", vote4TRAITS!A:C , 3, FALSE), ),
IF(IFERROR(SEARCH("Command",L88),0) &gt; 0 , VLOOKUP("Command", vote4TRAITS!A:C , 3, FALSE), ),
IF(IFERROR(SEARCH("Cowardly",L88),0) &gt; 0 , VLOOKUP("Cowardly", vote4TRAITS!A:C , 3, FALSE), ),
IF(IFERROR(SEARCH("Death Wish",L88),0) &gt; 0 , VLOOKUP("Death Wish", vote4TRAITS!A:C , 3, FALSE), ),
IF(IFERROR(SEARCH("Entomb",L88),0) &gt; 0 , VLOOKUP("Entomb", vote4TRAITS!A:C , 3, FALSE), ),
IF(IFERROR(SEARCH("Ethereal Hold",L88),0) &gt; 0 , VLOOKUP("Ethereal Hold", vote4TRAITS!A:C , 3, FALSE), ),
IF(IFERROR(SEARCH("Extend",L88),0) &gt; 0 , VLOOKUP("Extend", vote4TRAITS!A:C , 3, FALSE), ),
IF(IFERROR(SEARCH("Filthy Murk",L88),0) &gt; 0 , VLOOKUP("Filthy Murk", vote4TRAITS!A:C , 3, FALSE), ),
IF(IFERROR(SEARCH("Flame Fiend",L88),0) &gt; 0 , VLOOKUP("Flame Fiend", vote4TRAITS!A:C , 3, FALSE), ),
IF(IFERROR(SEARCH("Fleshmonger",L88),0) &gt; 0 , VLOOKUP("Fleshmonger", vote4TRAITS!A:C , 3, FALSE), ),
IF(IFERROR(SEARCH("Fly",L88),0) &gt; 0 , VLOOKUP("Fly", vote4TRAITS!A:C , 3, FALSE), ),
IF(IFERROR(SEARCH("Freezing",L88),0) &gt; 0 , VLOOKUP("Freezing", vote4TRAITS!A:C , 3, FALSE), ),
IF(IFERROR(SEARCH("Lithesome",L88),0) &gt; 0 , VLOOKUP("Lithesome", vote4TRAITS!A:C , 3, FALSE), ),
IF(IFERROR(SEARCH("Harrowing",L88),0) &gt; 0 , VLOOKUP("Harrowing", vote4TRAITS!A:C , 3, FALSE), ),
IF(IFERROR(SEARCH("Hideous Laughter",L88),0) &gt; 0 , VLOOKUP("Hideous Laughter", vote4TRAITS!A:C , 3, FALSE), ),
IF(IFERROR(SEARCH("Hive Defense",L88),0) &gt; 0 , VLOOKUP("Hive Defense", vote4TRAITS!A:C , 3, FALSE), ),
IF(IFERROR(SEARCH("Horrifying",L88),0) &gt; 0 , VLOOKUP("Horrifying", vote4TRAITS!A:C , 3, FALSE), ),
IF(IFERROR(SEARCH("Ironskin",L88),0) &gt; 0 , VLOOKUP("Ironskin", vote4TRAITS!A:C , 3, FALSE), ),
IF(IFERROR(SEARCH("Unmovable",L88),0) &gt; 0 , VLOOKUP("Unmovable", vote4TRAITS!A:C , 3, FALSE), ),
IF(IFERROR(SEARCH("Lifethirst 1",L88),0) &gt; 0 , VLOOKUP("Lifethirst 1", vote4TRAITS!A:C , 3, FALSE), ),
IF(IFERROR(SEARCH("Lifethirst 2",L88),0) &gt; 0 , VLOOKUP("Lifethirst 2", vote4TRAITS!A:C , 3, FALSE), ),
IF(IFERROR(SEARCH("Morph",L88),0) &gt; 0 , VLOOKUP("Morph", vote4TRAITS!A:C , 3, FALSE), ),
IF(IFERROR(SEARCH("Night Stalker",L88),0) &gt; 0 , VLOOKUP("Night Stalker", vote4TRAITS!A:C , 3, FALSE), ),
IF(IFERROR(SEARCH("Overflowing",L88),0) &gt; 0 , VLOOKUP("Overflowing", vote4TRAITS!A:C , 3, FALSE), ),
IF(IFERROR(SEARCH("Pestilence",L88),0) &gt; 0 , VLOOKUP("Pestilence", vote4TRAITS!A:C , 3, FALSE), ),
IF(IFERROR(SEARCH("Phalanx",L88),0) &gt; 0 , VLOOKUP("Phalanx", vote4TRAITS!A:C , 3, FALSE), ),
IF(IFERROR(SEARCH("Plagued",L88),0) &gt; 0 , VLOOKUP("Plagued", vote4TRAITS!A:C , 3, FALSE), ),
IF(IFERROR(SEARCH("Prey on the Weak",L88),0) &gt; 0 , VLOOKUP("Prey on the Weak", vote4TRAITS!A:C , 3, FALSE), ),
IF(IFERROR(SEARCH("Protect",L88),0) &gt; 0 , VLOOKUP("Protect", vote4TRAITS!A:C , 3, FALSE), ),
IF(IFERROR(SEARCH("Puncture",L88),0) &gt; 0 , VLOOKUP("Puncture", vote4TRAITS!A:C , 3, FALSE), ),
IF(IFERROR(SEARCH("Putrid Boils",L88),0) &gt; 0 , VLOOKUP("Putrid Boils", vote4TRAITS!A:C , 3, FALSE), ),
IF(IFERROR(SEARCH("Ravage",L88),0) &gt; 0 , VLOOKUP("Ravage", vote4TRAITS!A:C , 3, FALSE), ),
IF(IFERROR(SEARCH("Ravenous",L88),0) &gt; 0 , VLOOKUP("Ravenous", vote4TRAITS!A:C , 3, FALSE), ),
IF(IFERROR(SEARCH("Reach",L88),0) &gt; 0 , VLOOKUP("Reach", vote4TRAITS!A:C , 3, FALSE), ),
IF(IFERROR(SEARCH("Reanimation",L88),0) &gt; 0 , VLOOKUP("Reanimation", vote4TRAITS!A:C , 3, FALSE), ),
IF(IFERROR(SEARCH("Reaper",L88),0) &gt; 0 , VLOOKUP("Reaper", vote4TRAITS!A:C , 3, FALSE), ),
IF(IFERROR(SEARCH("Riposte",L88),0) &gt; 0 , VLOOKUP("Riposte", vote4TRAITS!A:C , 3, FALSE)),
IF(IFERROR(SEARCH("Scamper",L88),0) &gt; 0 , VLOOKUP("Scamper", vote4TRAITS!A:C , 3, FALSE), ),
IF(IFERROR(SEARCH("Small Beginnings",L88),0) &gt; 0 , VLOOKUP("Small Beginnings", vote4TRAITS!A:C , 3, FALSE), ),
IF(IFERROR(SEARCH("Spawner",L88),0) &gt; 0 , VLOOKUP("Spawner", vote4TRAITS!A:C , 3,FALSE), ),
IF(IFERROR(SEARCH("Shadowr",L88),0) &gt; 0 , VLOOKUP("Shadow", vote4TRAITS!A:C , 3,FALSE), ),
IF(IFERROR(SEARCH("Shadow Step",L88),0) &gt; 0 , VLOOKUP("Shadow Step", vote4TRAITS!A:C , 3,FALSE), ),
IF(IFERROR(SEARCH("Shambling",L88),0) &gt; 0 , VLOOKUP("Shambling", vote4TRAITS!A:C , 3,FALSE), ),
IF(IFERROR(SEARCH("Stealthy",L88),0) &gt; 0 , VLOOKUP("Stealthy", vote4TRAITS!A:C , 3, FALSE), ),
IF(IFERROR(SEARCH("Web",L88),0) &gt; 0 , VLOOKUP("Web", vote4TRAITS!A:C , 3, FALSE), ),
IF(IFERROR(SEARCH("+1 Willpower",L88),0) &gt; 0 , VLOOKUP("+1 Willpower", vote4TRAITS!A:C , 3, FALSE), ),
IF(IFERROR(SEARCH("+1 Might",L88),0) &gt; 0 , VLOOKUP("+1 Might", vote4TRAITS!A:C , 3, FALSE), ),
IF(IFERROR(SEARCH("+1 Knowledge",L88),0) &gt; 0 , VLOOKUP("+1 Knowledge", vote4TRAITS!A:C , 3, FALSE), ),
IF(IFERROR(SEARCH("+1 Awareness",L88),0) &gt; 0 , VLOOKUP("+1 Awareness", vote4TRAITS!A:C , 3, FALSE), ),
IF(IFERROR(SEARCH("-1 Willpower",L88),0) &gt; 0 , VLOOKUP("-1 Willpower", vote4TRAITS!A:C , 3, FALSE), ),
IF(IFERROR(SEARCH("+1 Health",L88),0) &gt; 0 , VLOOKUP("+1 Health", vote4TRAITS!A:C , 3, FALSE), ),
IF(IFERROR(SEARCH("+2 Health",L88),0) &gt; 0 , VLOOKUP("+2 Health", vote4TRAITS!A:C , 3, FALSE), ),
IF(IFERROR(SEARCH("+1 Stamina",L88),0) &gt; 0 , VLOOKUP("+1 Stamina", vote4TRAITS!A:C , 3, FALSE), ),
IF(IFERROR(SEARCH("+2 Stamina",L88),0) &gt; 0 , VLOOKUP("+2 Stamina", vote4TRAITS!A:C , 3, FALSE), ),
IFS(
IFERROR(SEARCH("+1 Range", L88),) &gt; 0 ,VLOOKUP("+1 Range", vote4TRAITS!A:C , 3, FALSE),
IFERROR(SEARCH("+2 Range", L88),) &gt; 0 ,VLOOKUP("+2 Range", vote4TRAITS!A:C , 3, FALSE),
IFERROR(SEARCH("+3 Range", L88),) &gt; 0,VLOOKUP("+3 Range", vote4TRAITS!A:C , 3, FALSE),
0=0,0)
,
IFS(
IFERROR(SEARCH("Sorcery 1", L88),) &gt; 0 ,VLOOKUP("Sorcery 1", vote4TRAITS!A:C , 3, FALSE),
IFERROR(SEARCH("Sorcery 2", L88),) &gt; 0 ,VLOOKUP("Sorcery 2", vote4TRAITS!A:C , 3, FALSE),
IFERROR(SEARCH("Sorcery 3", L88),) &gt; 0,VLOOKUP("Sorcery 3", vote4TRAITS!A:C , 3, FALSE),
0=0,0)
,
IFS(
IFERROR(SEARCH("Pierce 1", L88),) &gt; 0 ,VLOOKUP("Pierce 1", vote4TRAITS!A:C , 3, FALSE),
IFERROR(SEARCH("Pierce 2", L88),) &gt; 0 ,VLOOKUP("Pierce 2", vote4TRAITS!A:C , 3, FALSE),
IFERROR(SEARCH("Pierce 3", L88),) &gt; 0,VLOOKUP("Pierce 3", vote4TRAITS!A:C , 3, FALSE),
IFERROR(SEARCH("Pierce 4", L88),) &gt; 0 ,VLOOKUP("Pierce 4", vote4TRAITS!A:C , 3, FALSE),
0=0,0)
,
IFS(
IFERROR(SEARCH("+1 Health", L88),) &gt; 0 ,VLOOKUP("+1 Health", vote4TRAITS!A:C , 3, FALSE),
IFERROR(SEARCH("+2 Health", L88),) &gt; 0 ,VLOOKUP("+2 Health", vote4TRAITS!A:C , 3, FALSE),
IFERROR(SEARCH("+3 Health", L88),) &gt; 0 ,VLOOKUP("+3 Health", vote4TRAITS!A:C , 3, FALSE),
IFERROR(SEARCH("+4 Health", L88),) &gt; 0 ,VLOOKUP("+4 Health", vote4TRAITS!A:C , 3, FALSE),
0=0,0)
,
IFS(
IFERROR(SEARCH("Soul Shackle 1", L88),) &gt; 0 ,VLOOKUP("Soul Shackle 1", vote4TRAITS!A:C , 3, FALSE),
IFERROR(SEARCH("Soul Shackle 2", L88),) &gt; 0 ,VLOOKUP("Soul Shackle 2", vote4TRAITS!A:C , 3, FALSE),
IFERROR(SEARCH("Soul Shackle 3", L88),) &gt; 0,VLOOKUP("Soul Shackle 3", vote4TRAITS!A:C , 3, FALSE),
0=0,0)
)</f>
        <v>4</v>
      </c>
      <c r="N88" s="313"/>
      <c r="O88" s="317" t="str">
        <f>IF(ISBLANK(N88),,IFERROR(
IF(IFERROR(SEARCH("SS:",N88),0) &gt; 0, 
VLOOKUP(SUBSTITUTE(N88,"SS: ",""),vote4SURGE!$A:$C , 3, FALSE) - 2,
VLOOKUP(SUBSTITUTE(N88,"S: ",""),vote4SURGE!$A:$C , 3, FALSE)
)
,
IF(IFERROR(SEARCH("SS:",N88),0) &gt; 0, 
VLOOKUP(C88,vote4SURGE!$A:$C , 3, FALSE) - 2,
VLOOKUP(C88,vote4SURGE!$A:$C , 3, FALSE)
)
))</f>
        <v/>
      </c>
      <c r="P88" s="318"/>
      <c r="Q88" s="317" t="str">
        <f>IF(ISBLANK(P88),,IFERROR(
IF(IFERROR(SEARCH("SS:",P88),0) &gt; 0, 
VLOOKUP(SUBSTITUTE(P88,"SS: ",""),vote4SURGE!$A:$C , 3, FALSE) - 2,
VLOOKUP(SUBSTITUTE(P88,"S: ",""),vote4SURGE!$A:$C , 3, FALSE)
)
,
IF(IFERROR(SEARCH("SS:",P88),0) &gt; 0, 
VLOOKUP(C88,vote4SURGE!$A:$C , 3, FALSE) - 2,
VLOOKUP(C88,vote4SURGE!$A:$C , 3, FALSE)
)
))</f>
        <v/>
      </c>
      <c r="R88" s="318"/>
      <c r="S88" s="319" t="str">
        <f>IF(ISBLANK(R88),,IFERROR(
IF(IFERROR(SEARCH("SS:",R88),0) &gt; 0, 
VLOOKUP(SUBSTITUTE(R88,"SS: ",""),vote4SURGE!$A:$C , 3, FALSE) - 2,
VLOOKUP(SUBSTITUTE(R88,"S: ",""),vote4SURGE!$A:$C , 3, FALSE)
)
,
IF(IFERROR(SEARCH("SS:",R88),0) &gt; 0, 
VLOOKUP(C88,vote4SURGE!$A:$C , 3, FALSE) - 2,
VLOOKUP(C88,vote4SURGE!$A:$C , 3, FALSE)
)
))</f>
        <v/>
      </c>
      <c r="T88" s="320">
        <f t="shared" si="2"/>
        <v>0</v>
      </c>
      <c r="U88" s="320">
        <f>IFERROR(__xludf.DUMMYFUNCTION("ROUND(
IF(ISBLANK(G88),,
SWITCH(
LEN(G88) - LEN(SUBSTITUTE(G88,"","","""")),
0 , VLOOKUP(G88, Variables!$A:$C, 3, FALSE),
1 , VLOOKUP(index(split(G88 ,"", "", FALSE),1,1), Variables!$A:$C , 3, FALSE) + VLOOKUP(index(split(G88 ,"", "", FALSE),1,2), Variabl"&amp;"es!$A:$C , 3, FALSE),
2 , VLOOKUP(index(split(G88 ,"", "", FALSE),1,1), Variables!$A:$C , 3, FALSE) + VLOOKUP(index(split(G88 ,"", "", FALSE),1,2), Variables!$A:$C , 3, FALSE) + VLOOKUP(index(split(G88 ,"", "", FALSE),1,3), Variables!$A:$C , 3, FALSE),
3 "&amp;", VLOOKUP(index(split(G88 ,"", "", FALSE),1,1), Variables!$A:$C , 3, FALSE) + VLOOKUP(index(split(G88 ,"", "", FALSE),1,2), Variables!$A:$C , 3, FALSE) + VLOOKUP(index(split(G88 ,"", "", FALSE),1,3), Variables!$A:$C , 3, FALSE) + VLOOKUP(index(split(G88 ,"&amp;""", "", FALSE),1,4), Variables!$A:$C , 3, FALSE),
)
)
)"),0.0)</f>
        <v>0</v>
      </c>
      <c r="V88" s="317">
        <f t="shared" si="3"/>
        <v>0</v>
      </c>
      <c r="W88" s="321">
        <f t="shared" si="4"/>
        <v>8</v>
      </c>
      <c r="X88" s="118"/>
      <c r="Y88" s="118"/>
      <c r="Z88" s="118"/>
      <c r="AA88" s="118"/>
      <c r="AB88" s="118"/>
      <c r="AC88" s="118"/>
      <c r="AD88" s="118"/>
      <c r="AE88" s="118"/>
    </row>
    <row r="89" hidden="1">
      <c r="A89" s="310" t="s">
        <v>1556</v>
      </c>
      <c r="B89" s="93" t="str">
        <f t="shared" si="1"/>
        <v/>
      </c>
      <c r="C89" s="310" t="s">
        <v>779</v>
      </c>
      <c r="D89" s="323">
        <v>0.0</v>
      </c>
      <c r="E89" s="310" t="s">
        <v>1629</v>
      </c>
      <c r="F89" s="310"/>
      <c r="G89" s="313"/>
      <c r="H89" s="312" t="str">
        <f>IFERROR(__xludf.DUMMYFUNCTION(" IF(ISBLANK(G89),,
SWITCH(
LEN(G89) - LEN(SUBSTITUTE(G89,"","","""")),
0 , VLOOKUP(G89, Variables!$A:$B, 2, FALSE),
1 , VLOOKUP(index(split(G89 ,"", "", FALSE),1,1), Variables!$A:$B , 2, FALSE) + VLOOKUP(index(split(G89 ,"", "", FALSE),1,2), Variables!$A:"&amp;"$B , 2, FALSE),
2 , VLOOKUP(index(split(G89 ,"", "", FALSE),1,1), Variables!$A:$B , 2, FALSE) + VLOOKUP(index(split(G89 ,"", "", FALSE),1,2), Variables!$A:$B , 2, FALSE) + VLOOKUP(index(split(G89 ,"", "", FALSE),1,3), Variables!$A:$B , 2, FALSE),
3 , VLOO"&amp;"KUP(index(split(G89 ,"", "", FALSE),1,1), Variables!$A:$B , 2, FALSE) + VLOOKUP(index(split(G89 ,"", "", FALSE),1,2), Variables!$A:$B , 2, FALSE) + VLOOKUP(index(split(G89 ,"", "", FALSE),1,3), Variables!$A:$B , 2, FALSE) + VLOOKUP(index(split(G89 ,"", """&amp;", FALSE),1,4), Variables!$A:$B , 2, FALSE),
)
)"),"")</f>
        <v/>
      </c>
      <c r="I89" s="310" t="s">
        <v>1641</v>
      </c>
      <c r="J89" s="311" t="s">
        <v>780</v>
      </c>
      <c r="K89" s="314">
        <f>IFERROR(VLOOKUP(C89,vote4ITEMS!$A:$C, 3, FALSE),)</f>
        <v>4</v>
      </c>
      <c r="L89" s="324" t="s">
        <v>1640</v>
      </c>
      <c r="M89" s="314">
        <f>SUM(
IF(IFERROR(SEARCH("Aura 1",L89),0) &gt; 0 , VLOOKUP("Aura 1", vote4TRAITS!A:C , 3, FALSE), ),
IF(IFERROR(SEARCH("Backswing",L89),0) &gt; 0 , VLOOKUP("Backswing", vote4TRAITS!A:C , 3, FALSE), ),
IF(IFERROR(SEARCH("Blast",L89),0) &gt; 0 , VLOOKUP("Blast", vote4TRAITS!A:C , 3, FALSE), ),
IF(IFERROR(SEARCH("Combustible",L89),0) &gt; 0 , VLOOKUP("Combustible", vote4TRAITS!A:C , 3, FALSE), ),
IF(IFERROR(SEARCH("Command",L89),0) &gt; 0 , VLOOKUP("Command", vote4TRAITS!A:C , 3, FALSE), ),
IF(IFERROR(SEARCH("Cowardly",L89),0) &gt; 0 , VLOOKUP("Cowardly", vote4TRAITS!A:C , 3, FALSE), ),
IF(IFERROR(SEARCH("Death Wish",L89),0) &gt; 0 , VLOOKUP("Death Wish", vote4TRAITS!A:C , 3, FALSE), ),
IF(IFERROR(SEARCH("Entomb",L89),0) &gt; 0 , VLOOKUP("Entomb", vote4TRAITS!A:C , 3, FALSE), ),
IF(IFERROR(SEARCH("Ethereal Hold",L89),0) &gt; 0 , VLOOKUP("Ethereal Hold", vote4TRAITS!A:C , 3, FALSE), ),
IF(IFERROR(SEARCH("Extend",L89),0) &gt; 0 , VLOOKUP("Extend", vote4TRAITS!A:C , 3, FALSE), ),
IF(IFERROR(SEARCH("Filthy Murk",L89),0) &gt; 0 , VLOOKUP("Filthy Murk", vote4TRAITS!A:C , 3, FALSE), ),
IF(IFERROR(SEARCH("Flame Fiend",L89),0) &gt; 0 , VLOOKUP("Flame Fiend", vote4TRAITS!A:C , 3, FALSE), ),
IF(IFERROR(SEARCH("Fleshmonger",L89),0) &gt; 0 , VLOOKUP("Fleshmonger", vote4TRAITS!A:C , 3, FALSE), ),
IF(IFERROR(SEARCH("Fly",L89),0) &gt; 0 , VLOOKUP("Fly", vote4TRAITS!A:C , 3, FALSE), ),
IF(IFERROR(SEARCH("Freezing",L89),0) &gt; 0 , VLOOKUP("Freezing", vote4TRAITS!A:C , 3, FALSE), ),
IF(IFERROR(SEARCH("Lithesome",L89),0) &gt; 0 , VLOOKUP("Lithesome", vote4TRAITS!A:C , 3, FALSE), ),
IF(IFERROR(SEARCH("Harrowing",L89),0) &gt; 0 , VLOOKUP("Harrowing", vote4TRAITS!A:C , 3, FALSE), ),
IF(IFERROR(SEARCH("Hideous Laughter",L89),0) &gt; 0 , VLOOKUP("Hideous Laughter", vote4TRAITS!A:C , 3, FALSE), ),
IF(IFERROR(SEARCH("Hive Defense",L89),0) &gt; 0 , VLOOKUP("Hive Defense", vote4TRAITS!A:C , 3, FALSE), ),
IF(IFERROR(SEARCH("Horrifying",L89),0) &gt; 0 , VLOOKUP("Horrifying", vote4TRAITS!A:C , 3, FALSE), ),
IF(IFERROR(SEARCH("Ironskin",L89),0) &gt; 0 , VLOOKUP("Ironskin", vote4TRAITS!A:C , 3, FALSE), ),
IF(IFERROR(SEARCH("Unmovable",L89),0) &gt; 0 , VLOOKUP("Unmovable", vote4TRAITS!A:C , 3, FALSE), ),
IF(IFERROR(SEARCH("Lifethirst 1",L89),0) &gt; 0 , VLOOKUP("Lifethirst 1", vote4TRAITS!A:C , 3, FALSE), ),
IF(IFERROR(SEARCH("Lifethirst 2",L89),0) &gt; 0 , VLOOKUP("Lifethirst 2", vote4TRAITS!A:C , 3, FALSE), ),
IF(IFERROR(SEARCH("Morph",L89),0) &gt; 0 , VLOOKUP("Morph", vote4TRAITS!A:C , 3, FALSE), ),
IF(IFERROR(SEARCH("Night Stalker",L89),0) &gt; 0 , VLOOKUP("Night Stalker", vote4TRAITS!A:C , 3, FALSE), ),
IF(IFERROR(SEARCH("Overflowing",L89),0) &gt; 0 , VLOOKUP("Overflowing", vote4TRAITS!A:C , 3, FALSE), ),
IF(IFERROR(SEARCH("Pestilence",L89),0) &gt; 0 , VLOOKUP("Pestilence", vote4TRAITS!A:C , 3, FALSE), ),
IF(IFERROR(SEARCH("Phalanx",L89),0) &gt; 0 , VLOOKUP("Phalanx", vote4TRAITS!A:C , 3, FALSE), ),
IF(IFERROR(SEARCH("Plagued",L89),0) &gt; 0 , VLOOKUP("Plagued", vote4TRAITS!A:C , 3, FALSE), ),
IF(IFERROR(SEARCH("Prey on the Weak",L89),0) &gt; 0 , VLOOKUP("Prey on the Weak", vote4TRAITS!A:C , 3, FALSE), ),
IF(IFERROR(SEARCH("Protect",L89),0) &gt; 0 , VLOOKUP("Protect", vote4TRAITS!A:C , 3, FALSE), ),
IF(IFERROR(SEARCH("Puncture",L89),0) &gt; 0 , VLOOKUP("Puncture", vote4TRAITS!A:C , 3, FALSE), ),
IF(IFERROR(SEARCH("Putrid Boils",L89),0) &gt; 0 , VLOOKUP("Putrid Boils", vote4TRAITS!A:C , 3, FALSE), ),
IF(IFERROR(SEARCH("Ravage",L89),0) &gt; 0 , VLOOKUP("Ravage", vote4TRAITS!A:C , 3, FALSE), ),
IF(IFERROR(SEARCH("Ravenous",L89),0) &gt; 0 , VLOOKUP("Ravenous", vote4TRAITS!A:C , 3, FALSE), ),
IF(IFERROR(SEARCH("Reach",L89),0) &gt; 0 , VLOOKUP("Reach", vote4TRAITS!A:C , 3, FALSE), ),
IF(IFERROR(SEARCH("Reanimation",L89),0) &gt; 0 , VLOOKUP("Reanimation", vote4TRAITS!A:C , 3, FALSE), ),
IF(IFERROR(SEARCH("Reaper",L89),0) &gt; 0 , VLOOKUP("Reaper", vote4TRAITS!A:C , 3, FALSE), ),
IF(IFERROR(SEARCH("Riposte",L89),0) &gt; 0 , VLOOKUP("Riposte", vote4TRAITS!A:C , 3, FALSE)),
IF(IFERROR(SEARCH("Scamper",L89),0) &gt; 0 , VLOOKUP("Scamper", vote4TRAITS!A:C , 3, FALSE), ),
IF(IFERROR(SEARCH("Small Beginnings",L89),0) &gt; 0 , VLOOKUP("Small Beginnings", vote4TRAITS!A:C , 3, FALSE), ),
IF(IFERROR(SEARCH("Spawner",L89),0) &gt; 0 , VLOOKUP("Spawner", vote4TRAITS!A:C , 3,FALSE), ),
IF(IFERROR(SEARCH("Shadowr",L89),0) &gt; 0 , VLOOKUP("Shadow", vote4TRAITS!A:C , 3,FALSE), ),
IF(IFERROR(SEARCH("Shadow Step",L89),0) &gt; 0 , VLOOKUP("Shadow Step", vote4TRAITS!A:C , 3,FALSE), ),
IF(IFERROR(SEARCH("Shambling",L89),0) &gt; 0 , VLOOKUP("Shambling", vote4TRAITS!A:C , 3,FALSE), ),
IF(IFERROR(SEARCH("Stealthy",L89),0) &gt; 0 , VLOOKUP("Stealthy", vote4TRAITS!A:C , 3, FALSE), ),
IF(IFERROR(SEARCH("Web",L89),0) &gt; 0 , VLOOKUP("Web", vote4TRAITS!A:C , 3, FALSE), ),
IF(IFERROR(SEARCH("+1 Willpower",L89),0) &gt; 0 , VLOOKUP("+1 Willpower", vote4TRAITS!A:C , 3, FALSE), ),
IF(IFERROR(SEARCH("+1 Might",L89),0) &gt; 0 , VLOOKUP("+1 Might", vote4TRAITS!A:C , 3, FALSE), ),
IF(IFERROR(SEARCH("+1 Knowledge",L89),0) &gt; 0 , VLOOKUP("+1 Knowledge", vote4TRAITS!A:C , 3, FALSE), ),
IF(IFERROR(SEARCH("+1 Awareness",L89),0) &gt; 0 , VLOOKUP("+1 Awareness", vote4TRAITS!A:C , 3, FALSE), ),
IF(IFERROR(SEARCH("-1 Willpower",L89),0) &gt; 0 , VLOOKUP("-1 Willpower", vote4TRAITS!A:C , 3, FALSE), ),
IF(IFERROR(SEARCH("+1 Health",L89),0) &gt; 0 , VLOOKUP("+1 Health", vote4TRAITS!A:C , 3, FALSE), ),
IF(IFERROR(SEARCH("+2 Health",L89),0) &gt; 0 , VLOOKUP("+2 Health", vote4TRAITS!A:C , 3, FALSE), ),
IF(IFERROR(SEARCH("+1 Stamina",L89),0) &gt; 0 , VLOOKUP("+1 Stamina", vote4TRAITS!A:C , 3, FALSE), ),
IF(IFERROR(SEARCH("+2 Stamina",L89),0) &gt; 0 , VLOOKUP("+2 Stamina", vote4TRAITS!A:C , 3, FALSE), ),
IFS(
IFERROR(SEARCH("+1 Range", L89),) &gt; 0 ,VLOOKUP("+1 Range", vote4TRAITS!A:C , 3, FALSE),
IFERROR(SEARCH("+2 Range", L89),) &gt; 0 ,VLOOKUP("+2 Range", vote4TRAITS!A:C , 3, FALSE),
IFERROR(SEARCH("+3 Range", L89),) &gt; 0,VLOOKUP("+3 Range", vote4TRAITS!A:C , 3, FALSE),
0=0,0)
,
IFS(
IFERROR(SEARCH("Sorcery 1", L89),) &gt; 0 ,VLOOKUP("Sorcery 1", vote4TRAITS!A:C , 3, FALSE),
IFERROR(SEARCH("Sorcery 2", L89),) &gt; 0 ,VLOOKUP("Sorcery 2", vote4TRAITS!A:C , 3, FALSE),
IFERROR(SEARCH("Sorcery 3", L89),) &gt; 0,VLOOKUP("Sorcery 3", vote4TRAITS!A:C , 3, FALSE),
0=0,0)
,
IFS(
IFERROR(SEARCH("Pierce 1", L89),) &gt; 0 ,VLOOKUP("Pierce 1", vote4TRAITS!A:C , 3, FALSE),
IFERROR(SEARCH("Pierce 2", L89),) &gt; 0 ,VLOOKUP("Pierce 2", vote4TRAITS!A:C , 3, FALSE),
IFERROR(SEARCH("Pierce 3", L89),) &gt; 0,VLOOKUP("Pierce 3", vote4TRAITS!A:C , 3, FALSE),
IFERROR(SEARCH("Pierce 4", L89),) &gt; 0 ,VLOOKUP("Pierce 4", vote4TRAITS!A:C , 3, FALSE),
0=0,0)
,
IFS(
IFERROR(SEARCH("+1 Health", L89),) &gt; 0 ,VLOOKUP("+1 Health", vote4TRAITS!A:C , 3, FALSE),
IFERROR(SEARCH("+2 Health", L89),) &gt; 0 ,VLOOKUP("+2 Health", vote4TRAITS!A:C , 3, FALSE),
IFERROR(SEARCH("+3 Health", L89),) &gt; 0 ,VLOOKUP("+3 Health", vote4TRAITS!A:C , 3, FALSE),
IFERROR(SEARCH("+4 Health", L89),) &gt; 0 ,VLOOKUP("+4 Health", vote4TRAITS!A:C , 3, FALSE),
0=0,0)
,
IFS(
IFERROR(SEARCH("Soul Shackle 1", L89),) &gt; 0 ,VLOOKUP("Soul Shackle 1", vote4TRAITS!A:C , 3, FALSE),
IFERROR(SEARCH("Soul Shackle 2", L89),) &gt; 0 ,VLOOKUP("Soul Shackle 2", vote4TRAITS!A:C , 3, FALSE),
IFERROR(SEARCH("Soul Shackle 3", L89),) &gt; 0,VLOOKUP("Soul Shackle 3", vote4TRAITS!A:C , 3, FALSE),
0=0,0)
)</f>
        <v>4</v>
      </c>
      <c r="N89" s="330"/>
      <c r="O89" s="317" t="str">
        <f>IF(ISBLANK(N89),,IFERROR(
IF(IFERROR(SEARCH("SS:",N89),0) &gt; 0, 
VLOOKUP(SUBSTITUTE(N89,"SS: ",""),vote4SURGE!$A:$C , 3, FALSE) - 2,
VLOOKUP(SUBSTITUTE(N89,"S: ",""),vote4SURGE!$A:$C , 3, FALSE)
)
,
IF(IFERROR(SEARCH("SS:",N89),0) &gt; 0, 
VLOOKUP(C89,vote4SURGE!$A:$C , 3, FALSE) - 2,
VLOOKUP(C89,vote4SURGE!$A:$C , 3, FALSE)
)
))</f>
        <v/>
      </c>
      <c r="P89" s="318"/>
      <c r="Q89" s="317" t="str">
        <f>IF(ISBLANK(P89),,IFERROR(
IF(IFERROR(SEARCH("SS:",P89),0) &gt; 0, 
VLOOKUP(SUBSTITUTE(P89,"SS: ",""),vote4SURGE!$A:$C , 3, FALSE) - 2,
VLOOKUP(SUBSTITUTE(P89,"S: ",""),vote4SURGE!$A:$C , 3, FALSE)
)
,
IF(IFERROR(SEARCH("SS:",P89),0) &gt; 0, 
VLOOKUP(C89,vote4SURGE!$A:$C , 3, FALSE) - 2,
VLOOKUP(C89,vote4SURGE!$A:$C , 3, FALSE)
)
))</f>
        <v/>
      </c>
      <c r="R89" s="318"/>
      <c r="S89" s="319" t="str">
        <f>IF(ISBLANK(R89),,IFERROR(
IF(IFERROR(SEARCH("SS:",R89),0) &gt; 0, 
VLOOKUP(SUBSTITUTE(R89,"SS: ",""),vote4SURGE!$A:$C , 3, FALSE) - 2,
VLOOKUP(SUBSTITUTE(R89,"S: ",""),vote4SURGE!$A:$C , 3, FALSE)
)
,
IF(IFERROR(SEARCH("SS:",R89),0) &gt; 0, 
VLOOKUP(C89,vote4SURGE!$A:$C , 3, FALSE) - 2,
VLOOKUP(C89,vote4SURGE!$A:$C , 3, FALSE)
)
))</f>
        <v/>
      </c>
      <c r="T89" s="320">
        <f t="shared" si="2"/>
        <v>0</v>
      </c>
      <c r="U89" s="320">
        <f>IFERROR(__xludf.DUMMYFUNCTION("ROUND(
IF(ISBLANK(G89),,
SWITCH(
LEN(G89) - LEN(SUBSTITUTE(G89,"","","""")),
0 , VLOOKUP(G89, Variables!$A:$C, 3, FALSE),
1 , VLOOKUP(index(split(G89 ,"", "", FALSE),1,1), Variables!$A:$C , 3, FALSE) + VLOOKUP(index(split(G89 ,"", "", FALSE),1,2), Variabl"&amp;"es!$A:$C , 3, FALSE),
2 , VLOOKUP(index(split(G89 ,"", "", FALSE),1,1), Variables!$A:$C , 3, FALSE) + VLOOKUP(index(split(G89 ,"", "", FALSE),1,2), Variables!$A:$C , 3, FALSE) + VLOOKUP(index(split(G89 ,"", "", FALSE),1,3), Variables!$A:$C , 3, FALSE),
3 "&amp;", VLOOKUP(index(split(G89 ,"", "", FALSE),1,1), Variables!$A:$C , 3, FALSE) + VLOOKUP(index(split(G89 ,"", "", FALSE),1,2), Variables!$A:$C , 3, FALSE) + VLOOKUP(index(split(G89 ,"", "", FALSE),1,3), Variables!$A:$C , 3, FALSE) + VLOOKUP(index(split(G89 ,"&amp;""", "", FALSE),1,4), Variables!$A:$C , 3, FALSE),
)
)
)"),0.0)</f>
        <v>0</v>
      </c>
      <c r="V89" s="317">
        <f t="shared" si="3"/>
        <v>0</v>
      </c>
      <c r="W89" s="321">
        <f t="shared" si="4"/>
        <v>8</v>
      </c>
      <c r="X89" s="118"/>
      <c r="Y89" s="118"/>
      <c r="Z89" s="118"/>
      <c r="AA89" s="118"/>
      <c r="AB89" s="118"/>
      <c r="AC89" s="118"/>
      <c r="AD89" s="118"/>
      <c r="AE89" s="118"/>
    </row>
    <row r="90" hidden="1">
      <c r="A90" s="310">
        <v>1.0</v>
      </c>
      <c r="B90" s="93" t="str">
        <f t="shared" si="1"/>
        <v/>
      </c>
      <c r="C90" s="310" t="s">
        <v>1230</v>
      </c>
      <c r="D90" s="323">
        <v>0.0</v>
      </c>
      <c r="E90" s="310" t="s">
        <v>1642</v>
      </c>
      <c r="F90" s="310" t="s">
        <v>1521</v>
      </c>
      <c r="G90" s="313" t="s">
        <v>1525</v>
      </c>
      <c r="H90" s="312">
        <f>IFERROR(__xludf.DUMMYFUNCTION(" IF(ISBLANK(G90),,
SWITCH(
LEN(G90) - LEN(SUBSTITUTE(G90,"","","""")),
0 , VLOOKUP(G90, Variables!$A:$B, 2, FALSE),
1 , VLOOKUP(index(split(G90 ,"", "", FALSE),1,1), Variables!$A:$B , 2, FALSE) + VLOOKUP(index(split(G90 ,"", "", FALSE),1,2), Variables!$A:"&amp;"$B , 2, FALSE),
2 , VLOOKUP(index(split(G90 ,"", "", FALSE),1,1), Variables!$A:$B , 2, FALSE) + VLOOKUP(index(split(G90 ,"", "", FALSE),1,2), Variables!$A:$B , 2, FALSE) + VLOOKUP(index(split(G90 ,"", "", FALSE),1,3), Variables!$A:$B , 2, FALSE),
3 , VLOO"&amp;"KUP(index(split(G90 ,"", "", FALSE),1,1), Variables!$A:$B , 2, FALSE) + VLOOKUP(index(split(G90 ,"", "", FALSE),1,2), Variables!$A:$B , 2, FALSE) + VLOOKUP(index(split(G90 ,"", "", FALSE),1,3), Variables!$A:$B , 2, FALSE) + VLOOKUP(index(split(G90 ,"", """&amp;", FALSE),1,4), Variables!$A:$B , 2, FALSE),
)
)"),3.333333333333333)</f>
        <v>3.333333333</v>
      </c>
      <c r="I90" s="310" t="s">
        <v>1557</v>
      </c>
      <c r="J90" s="313"/>
      <c r="K90" s="314" t="str">
        <f>IFERROR(VLOOKUP(C90,vote4ITEMS!$A:$C, 3, FALSE),)</f>
        <v/>
      </c>
      <c r="L90" s="313"/>
      <c r="M90" s="314">
        <f>SUM(
IF(IFERROR(SEARCH("Aura 1",L90),0) &gt; 0 , VLOOKUP("Aura 1", vote4TRAITS!A:C , 3, FALSE), ),
IF(IFERROR(SEARCH("Backswing",L90),0) &gt; 0 , VLOOKUP("Backswing", vote4TRAITS!A:C , 3, FALSE), ),
IF(IFERROR(SEARCH("Blast",L90),0) &gt; 0 , VLOOKUP("Blast", vote4TRAITS!A:C , 3, FALSE), ),
IF(IFERROR(SEARCH("Combustible",L90),0) &gt; 0 , VLOOKUP("Combustible", vote4TRAITS!A:C , 3, FALSE), ),
IF(IFERROR(SEARCH("Command",L90),0) &gt; 0 , VLOOKUP("Command", vote4TRAITS!A:C , 3, FALSE), ),
IF(IFERROR(SEARCH("Cowardly",L90),0) &gt; 0 , VLOOKUP("Cowardly", vote4TRAITS!A:C , 3, FALSE), ),
IF(IFERROR(SEARCH("Death Wish",L90),0) &gt; 0 , VLOOKUP("Death Wish", vote4TRAITS!A:C , 3, FALSE), ),
IF(IFERROR(SEARCH("Entomb",L90),0) &gt; 0 , VLOOKUP("Entomb", vote4TRAITS!A:C , 3, FALSE), ),
IF(IFERROR(SEARCH("Ethereal Hold",L90),0) &gt; 0 , VLOOKUP("Ethereal Hold", vote4TRAITS!A:C , 3, FALSE), ),
IF(IFERROR(SEARCH("Extend",L90),0) &gt; 0 , VLOOKUP("Extend", vote4TRAITS!A:C , 3, FALSE), ),
IF(IFERROR(SEARCH("Filthy Murk",L90),0) &gt; 0 , VLOOKUP("Filthy Murk", vote4TRAITS!A:C , 3, FALSE), ),
IF(IFERROR(SEARCH("Flame Fiend",L90),0) &gt; 0 , VLOOKUP("Flame Fiend", vote4TRAITS!A:C , 3, FALSE), ),
IF(IFERROR(SEARCH("Fleshmonger",L90),0) &gt; 0 , VLOOKUP("Fleshmonger", vote4TRAITS!A:C , 3, FALSE), ),
IF(IFERROR(SEARCH("Fly",L90),0) &gt; 0 , VLOOKUP("Fly", vote4TRAITS!A:C , 3, FALSE), ),
IF(IFERROR(SEARCH("Freezing",L90),0) &gt; 0 , VLOOKUP("Freezing", vote4TRAITS!A:C , 3, FALSE), ),
IF(IFERROR(SEARCH("Lithesome",L90),0) &gt; 0 , VLOOKUP("Lithesome", vote4TRAITS!A:C , 3, FALSE), ),
IF(IFERROR(SEARCH("Harrowing",L90),0) &gt; 0 , VLOOKUP("Harrowing", vote4TRAITS!A:C , 3, FALSE), ),
IF(IFERROR(SEARCH("Hideous Laughter",L90),0) &gt; 0 , VLOOKUP("Hideous Laughter", vote4TRAITS!A:C , 3, FALSE), ),
IF(IFERROR(SEARCH("Hive Defense",L90),0) &gt; 0 , VLOOKUP("Hive Defense", vote4TRAITS!A:C , 3, FALSE), ),
IF(IFERROR(SEARCH("Horrifying",L90),0) &gt; 0 , VLOOKUP("Horrifying", vote4TRAITS!A:C , 3, FALSE), ),
IF(IFERROR(SEARCH("Ironskin",L90),0) &gt; 0 , VLOOKUP("Ironskin", vote4TRAITS!A:C , 3, FALSE), ),
IF(IFERROR(SEARCH("Unmovable",L90),0) &gt; 0 , VLOOKUP("Unmovable", vote4TRAITS!A:C , 3, FALSE), ),
IF(IFERROR(SEARCH("Lifethirst 1",L90),0) &gt; 0 , VLOOKUP("Lifethirst 1", vote4TRAITS!A:C , 3, FALSE), ),
IF(IFERROR(SEARCH("Lifethirst 2",L90),0) &gt; 0 , VLOOKUP("Lifethirst 2", vote4TRAITS!A:C , 3, FALSE), ),
IF(IFERROR(SEARCH("Morph",L90),0) &gt; 0 , VLOOKUP("Morph", vote4TRAITS!A:C , 3, FALSE), ),
IF(IFERROR(SEARCH("Night Stalker",L90),0) &gt; 0 , VLOOKUP("Night Stalker", vote4TRAITS!A:C , 3, FALSE), ),
IF(IFERROR(SEARCH("Overflowing",L90),0) &gt; 0 , VLOOKUP("Overflowing", vote4TRAITS!A:C , 3, FALSE), ),
IF(IFERROR(SEARCH("Pestilence",L90),0) &gt; 0 , VLOOKUP("Pestilence", vote4TRAITS!A:C , 3, FALSE), ),
IF(IFERROR(SEARCH("Phalanx",L90),0) &gt; 0 , VLOOKUP("Phalanx", vote4TRAITS!A:C , 3, FALSE), ),
IF(IFERROR(SEARCH("Plagued",L90),0) &gt; 0 , VLOOKUP("Plagued", vote4TRAITS!A:C , 3, FALSE), ),
IF(IFERROR(SEARCH("Prey on the Weak",L90),0) &gt; 0 , VLOOKUP("Prey on the Weak", vote4TRAITS!A:C , 3, FALSE), ),
IF(IFERROR(SEARCH("Protect",L90),0) &gt; 0 , VLOOKUP("Protect", vote4TRAITS!A:C , 3, FALSE), ),
IF(IFERROR(SEARCH("Puncture",L90),0) &gt; 0 , VLOOKUP("Puncture", vote4TRAITS!A:C , 3, FALSE), ),
IF(IFERROR(SEARCH("Putrid Boils",L90),0) &gt; 0 , VLOOKUP("Putrid Boils", vote4TRAITS!A:C , 3, FALSE), ),
IF(IFERROR(SEARCH("Ravage",L90),0) &gt; 0 , VLOOKUP("Ravage", vote4TRAITS!A:C , 3, FALSE), ),
IF(IFERROR(SEARCH("Ravenous",L90),0) &gt; 0 , VLOOKUP("Ravenous", vote4TRAITS!A:C , 3, FALSE), ),
IF(IFERROR(SEARCH("Reach",L90),0) &gt; 0 , VLOOKUP("Reach", vote4TRAITS!A:C , 3, FALSE), ),
IF(IFERROR(SEARCH("Reanimation",L90),0) &gt; 0 , VLOOKUP("Reanimation", vote4TRAITS!A:C , 3, FALSE), ),
IF(IFERROR(SEARCH("Reaper",L90),0) &gt; 0 , VLOOKUP("Reaper", vote4TRAITS!A:C , 3, FALSE), ),
IF(IFERROR(SEARCH("Riposte",L90),0) &gt; 0 , VLOOKUP("Riposte", vote4TRAITS!A:C , 3, FALSE)),
IF(IFERROR(SEARCH("Scamper",L90),0) &gt; 0 , VLOOKUP("Scamper", vote4TRAITS!A:C , 3, FALSE), ),
IF(IFERROR(SEARCH("Small Beginnings",L90),0) &gt; 0 , VLOOKUP("Small Beginnings", vote4TRAITS!A:C , 3, FALSE), ),
IF(IFERROR(SEARCH("Spawner",L90),0) &gt; 0 , VLOOKUP("Spawner", vote4TRAITS!A:C , 3,FALSE), ),
IF(IFERROR(SEARCH("Shadowr",L90),0) &gt; 0 , VLOOKUP("Shadow", vote4TRAITS!A:C , 3,FALSE), ),
IF(IFERROR(SEARCH("Shadow Step",L90),0) &gt; 0 , VLOOKUP("Shadow Step", vote4TRAITS!A:C , 3,FALSE), ),
IF(IFERROR(SEARCH("Shambling",L90),0) &gt; 0 , VLOOKUP("Shambling", vote4TRAITS!A:C , 3,FALSE), ),
IF(IFERROR(SEARCH("Stealthy",L90),0) &gt; 0 , VLOOKUP("Stealthy", vote4TRAITS!A:C , 3, FALSE), ),
IF(IFERROR(SEARCH("Web",L90),0) &gt; 0 , VLOOKUP("Web", vote4TRAITS!A:C , 3, FALSE), ),
IF(IFERROR(SEARCH("+1 Willpower",L90),0) &gt; 0 , VLOOKUP("+1 Willpower", vote4TRAITS!A:C , 3, FALSE), ),
IF(IFERROR(SEARCH("+1 Might",L90),0) &gt; 0 , VLOOKUP("+1 Might", vote4TRAITS!A:C , 3, FALSE), ),
IF(IFERROR(SEARCH("+1 Knowledge",L90),0) &gt; 0 , VLOOKUP("+1 Knowledge", vote4TRAITS!A:C , 3, FALSE), ),
IF(IFERROR(SEARCH("+1 Awareness",L90),0) &gt; 0 , VLOOKUP("+1 Awareness", vote4TRAITS!A:C , 3, FALSE), ),
IF(IFERROR(SEARCH("-1 Willpower",L90),0) &gt; 0 , VLOOKUP("-1 Willpower", vote4TRAITS!A:C , 3, FALSE), ),
IF(IFERROR(SEARCH("+1 Health",L90),0) &gt; 0 , VLOOKUP("+1 Health", vote4TRAITS!A:C , 3, FALSE), ),
IF(IFERROR(SEARCH("+2 Health",L90),0) &gt; 0 , VLOOKUP("+2 Health", vote4TRAITS!A:C , 3, FALSE), ),
IF(IFERROR(SEARCH("+1 Stamina",L90),0) &gt; 0 , VLOOKUP("+1 Stamina", vote4TRAITS!A:C , 3, FALSE), ),
IF(IFERROR(SEARCH("+2 Stamina",L90),0) &gt; 0 , VLOOKUP("+2 Stamina", vote4TRAITS!A:C , 3, FALSE), ),
IFS(
IFERROR(SEARCH("+1 Range", L90),) &gt; 0 ,VLOOKUP("+1 Range", vote4TRAITS!A:C , 3, FALSE),
IFERROR(SEARCH("+2 Range", L90),) &gt; 0 ,VLOOKUP("+2 Range", vote4TRAITS!A:C , 3, FALSE),
IFERROR(SEARCH("+3 Range", L90),) &gt; 0,VLOOKUP("+3 Range", vote4TRAITS!A:C , 3, FALSE),
0=0,0)
,
IFS(
IFERROR(SEARCH("Sorcery 1", L90),) &gt; 0 ,VLOOKUP("Sorcery 1", vote4TRAITS!A:C , 3, FALSE),
IFERROR(SEARCH("Sorcery 2", L90),) &gt; 0 ,VLOOKUP("Sorcery 2", vote4TRAITS!A:C , 3, FALSE),
IFERROR(SEARCH("Sorcery 3", L90),) &gt; 0,VLOOKUP("Sorcery 3", vote4TRAITS!A:C , 3, FALSE),
0=0,0)
,
IFS(
IFERROR(SEARCH("Pierce 1", L90),) &gt; 0 ,VLOOKUP("Pierce 1", vote4TRAITS!A:C , 3, FALSE),
IFERROR(SEARCH("Pierce 2", L90),) &gt; 0 ,VLOOKUP("Pierce 2", vote4TRAITS!A:C , 3, FALSE),
IFERROR(SEARCH("Pierce 3", L90),) &gt; 0,VLOOKUP("Pierce 3", vote4TRAITS!A:C , 3, FALSE),
IFERROR(SEARCH("Pierce 4", L90),) &gt; 0 ,VLOOKUP("Pierce 4", vote4TRAITS!A:C , 3, FALSE),
0=0,0)
,
IFS(
IFERROR(SEARCH("+1 Health", L90),) &gt; 0 ,VLOOKUP("+1 Health", vote4TRAITS!A:C , 3, FALSE),
IFERROR(SEARCH("+2 Health", L90),) &gt; 0 ,VLOOKUP("+2 Health", vote4TRAITS!A:C , 3, FALSE),
IFERROR(SEARCH("+3 Health", L90),) &gt; 0 ,VLOOKUP("+3 Health", vote4TRAITS!A:C , 3, FALSE),
IFERROR(SEARCH("+4 Health", L90),) &gt; 0 ,VLOOKUP("+4 Health", vote4TRAITS!A:C , 3, FALSE),
0=0,0)
,
IFS(
IFERROR(SEARCH("Soul Shackle 1", L90),) &gt; 0 ,VLOOKUP("Soul Shackle 1", vote4TRAITS!A:C , 3, FALSE),
IFERROR(SEARCH("Soul Shackle 2", L90),) &gt; 0 ,VLOOKUP("Soul Shackle 2", vote4TRAITS!A:C , 3, FALSE),
IFERROR(SEARCH("Soul Shackle 3", L90),) &gt; 0,VLOOKUP("Soul Shackle 3", vote4TRAITS!A:C , 3, FALSE),
0=0,0)
)</f>
        <v>0</v>
      </c>
      <c r="N90" s="311" t="s">
        <v>1643</v>
      </c>
      <c r="O90" s="317">
        <f>IF(ISBLANK(N90),,IFERROR(
IF(IFERROR(SEARCH("SS:",N90),0) &gt; 0, 
VLOOKUP(SUBSTITUTE(N90,"SS: ",""),vote4SURGE!$A:$C , 3, FALSE) - 2,
VLOOKUP(SUBSTITUTE(N90,"S: ",""),vote4SURGE!$A:$C , 3, FALSE)
)
,
IF(IFERROR(SEARCH("SS:",N90),0) &gt; 0, 
VLOOKUP(C90,vote4SURGE!$A:$C , 3, FALSE) - 2,
VLOOKUP(C90,vote4SURGE!$A:$C , 3, FALSE)
)
))</f>
        <v>4.75</v>
      </c>
      <c r="P90" s="318"/>
      <c r="Q90" s="317" t="str">
        <f>IF(ISBLANK(P90),,IFERROR(
IF(IFERROR(SEARCH("SS:",P90),0) &gt; 0, 
VLOOKUP(SUBSTITUTE(P90,"SS: ",""),vote4SURGE!$A:$C , 3, FALSE) - 2,
VLOOKUP(SUBSTITUTE(P90,"S: ",""),vote4SURGE!$A:$C , 3, FALSE)
)
,
IF(IFERROR(SEARCH("SS:",P90),0) &gt; 0, 
VLOOKUP(C90,vote4SURGE!$A:$C , 3, FALSE) - 2,
VLOOKUP(C90,vote4SURGE!$A:$C , 3, FALSE)
)
))</f>
        <v/>
      </c>
      <c r="R90" s="318"/>
      <c r="S90" s="319" t="str">
        <f>IF(ISBLANK(R90),,IFERROR(
IF(IFERROR(SEARCH("SS:",R90),0) &gt; 0, 
VLOOKUP(SUBSTITUTE(R90,"SS: ",""),vote4SURGE!$A:$C , 3, FALSE) - 2,
VLOOKUP(SUBSTITUTE(R90,"S: ",""),vote4SURGE!$A:$C , 3, FALSE)
)
,
IF(IFERROR(SEARCH("SS:",R90),0) &gt; 0, 
VLOOKUP(C90,vote4SURGE!$A:$C , 3, FALSE) - 2,
VLOOKUP(C90,vote4SURGE!$A:$C , 3, FALSE)
)
))</f>
        <v/>
      </c>
      <c r="T90" s="320">
        <f t="shared" si="2"/>
        <v>1</v>
      </c>
      <c r="U90" s="320">
        <f>IFERROR(__xludf.DUMMYFUNCTION("ROUND(
IF(ISBLANK(G90),,
SWITCH(
LEN(G90) - LEN(SUBSTITUTE(G90,"","","""")),
0 , VLOOKUP(G90, Variables!$A:$C, 3, FALSE),
1 , VLOOKUP(index(split(G90 ,"", "", FALSE),1,1), Variables!$A:$C , 3, FALSE) + VLOOKUP(index(split(G90 ,"", "", FALSE),1,2), Variabl"&amp;"es!$A:$C , 3, FALSE),
2 , VLOOKUP(index(split(G90 ,"", "", FALSE),1,1), Variables!$A:$C , 3, FALSE) + VLOOKUP(index(split(G90 ,"", "", FALSE),1,2), Variables!$A:$C , 3, FALSE) + VLOOKUP(index(split(G90 ,"", "", FALSE),1,3), Variables!$A:$C , 3, FALSE),
3 "&amp;", VLOOKUP(index(split(G90 ,"", "", FALSE),1,1), Variables!$A:$C , 3, FALSE) + VLOOKUP(index(split(G90 ,"", "", FALSE),1,2), Variables!$A:$C , 3, FALSE) + VLOOKUP(index(split(G90 ,"", "", FALSE),1,3), Variables!$A:$C , 3, FALSE) + VLOOKUP(index(split(G90 ,"&amp;""", "", FALSE),1,4), Variables!$A:$C , 3, FALSE),
)
)
)"),1.0)</f>
        <v>1</v>
      </c>
      <c r="V90" s="317">
        <f t="shared" si="3"/>
        <v>4.75</v>
      </c>
      <c r="W90" s="321">
        <f t="shared" si="4"/>
        <v>8.083333333</v>
      </c>
      <c r="X90" s="118"/>
      <c r="Y90" s="118"/>
      <c r="Z90" s="118"/>
      <c r="AA90" s="118"/>
      <c r="AB90" s="118"/>
      <c r="AC90" s="118"/>
      <c r="AD90" s="118"/>
      <c r="AE90" s="118"/>
    </row>
    <row r="91" hidden="1">
      <c r="A91" s="310">
        <v>1.0</v>
      </c>
      <c r="B91" s="93">
        <f t="shared" si="1"/>
        <v>2</v>
      </c>
      <c r="C91" s="310" t="s">
        <v>882</v>
      </c>
      <c r="D91" s="310">
        <v>125.0</v>
      </c>
      <c r="E91" s="310" t="s">
        <v>1520</v>
      </c>
      <c r="F91" s="310" t="s">
        <v>1531</v>
      </c>
      <c r="G91" s="313" t="s">
        <v>1525</v>
      </c>
      <c r="H91" s="312">
        <f>IFERROR(__xludf.DUMMYFUNCTION(" IF(ISBLANK(G91),,
SWITCH(
LEN(G91) - LEN(SUBSTITUTE(G91,"","","""")),
0 , VLOOKUP(G91, Variables!$A:$B, 2, FALSE),
1 , VLOOKUP(index(split(G91 ,"", "", FALSE),1,1), Variables!$A:$B , 2, FALSE) + VLOOKUP(index(split(G91 ,"", "", FALSE),1,2), Variables!$A:"&amp;"$B , 2, FALSE),
2 , VLOOKUP(index(split(G91 ,"", "", FALSE),1,1), Variables!$A:$B , 2, FALSE) + VLOOKUP(index(split(G91 ,"", "", FALSE),1,2), Variables!$A:$B , 2, FALSE) + VLOOKUP(index(split(G91 ,"", "", FALSE),1,3), Variables!$A:$B , 2, FALSE),
3 , VLOO"&amp;"KUP(index(split(G91 ,"", "", FALSE),1,1), Variables!$A:$B , 2, FALSE) + VLOOKUP(index(split(G91 ,"", "", FALSE),1,2), Variables!$A:$B , 2, FALSE) + VLOOKUP(index(split(G91 ,"", "", FALSE),1,3), Variables!$A:$B , 2, FALSE) + VLOOKUP(index(split(G91 ,"", """&amp;", FALSE),1,4), Variables!$A:$B , 2, FALSE),
)
)"),3.333333333333333)</f>
        <v>3.333333333</v>
      </c>
      <c r="I91" s="310" t="s">
        <v>1533</v>
      </c>
      <c r="J91" s="313" t="s">
        <v>883</v>
      </c>
      <c r="K91" s="314">
        <f>IFERROR(VLOOKUP(C91,vote4ITEMS!$A:$C, 3, FALSE),)</f>
        <v>4.666666667</v>
      </c>
      <c r="L91" s="313"/>
      <c r="M91" s="314">
        <f>SUM(
IF(IFERROR(SEARCH("Aura 1",L91),0) &gt; 0 , VLOOKUP("Aura 1", vote4TRAITS!A:C , 3, FALSE), ),
IF(IFERROR(SEARCH("Backswing",L91),0) &gt; 0 , VLOOKUP("Backswing", vote4TRAITS!A:C , 3, FALSE), ),
IF(IFERROR(SEARCH("Blast",L91),0) &gt; 0 , VLOOKUP("Blast", vote4TRAITS!A:C , 3, FALSE), ),
IF(IFERROR(SEARCH("Combustible",L91),0) &gt; 0 , VLOOKUP("Combustible", vote4TRAITS!A:C , 3, FALSE), ),
IF(IFERROR(SEARCH("Command",L91),0) &gt; 0 , VLOOKUP("Command", vote4TRAITS!A:C , 3, FALSE), ),
IF(IFERROR(SEARCH("Cowardly",L91),0) &gt; 0 , VLOOKUP("Cowardly", vote4TRAITS!A:C , 3, FALSE), ),
IF(IFERROR(SEARCH("Death Wish",L91),0) &gt; 0 , VLOOKUP("Death Wish", vote4TRAITS!A:C , 3, FALSE), ),
IF(IFERROR(SEARCH("Entomb",L91),0) &gt; 0 , VLOOKUP("Entomb", vote4TRAITS!A:C , 3, FALSE), ),
IF(IFERROR(SEARCH("Ethereal Hold",L91),0) &gt; 0 , VLOOKUP("Ethereal Hold", vote4TRAITS!A:C , 3, FALSE), ),
IF(IFERROR(SEARCH("Extend",L91),0) &gt; 0 , VLOOKUP("Extend", vote4TRAITS!A:C , 3, FALSE), ),
IF(IFERROR(SEARCH("Filthy Murk",L91),0) &gt; 0 , VLOOKUP("Filthy Murk", vote4TRAITS!A:C , 3, FALSE), ),
IF(IFERROR(SEARCH("Flame Fiend",L91),0) &gt; 0 , VLOOKUP("Flame Fiend", vote4TRAITS!A:C , 3, FALSE), ),
IF(IFERROR(SEARCH("Fleshmonger",L91),0) &gt; 0 , VLOOKUP("Fleshmonger", vote4TRAITS!A:C , 3, FALSE), ),
IF(IFERROR(SEARCH("Fly",L91),0) &gt; 0 , VLOOKUP("Fly", vote4TRAITS!A:C , 3, FALSE), ),
IF(IFERROR(SEARCH("Freezing",L91),0) &gt; 0 , VLOOKUP("Freezing", vote4TRAITS!A:C , 3, FALSE), ),
IF(IFERROR(SEARCH("Lithesome",L91),0) &gt; 0 , VLOOKUP("Lithesome", vote4TRAITS!A:C , 3, FALSE), ),
IF(IFERROR(SEARCH("Harrowing",L91),0) &gt; 0 , VLOOKUP("Harrowing", vote4TRAITS!A:C , 3, FALSE), ),
IF(IFERROR(SEARCH("Hideous Laughter",L91),0) &gt; 0 , VLOOKUP("Hideous Laughter", vote4TRAITS!A:C , 3, FALSE), ),
IF(IFERROR(SEARCH("Hive Defense",L91),0) &gt; 0 , VLOOKUP("Hive Defense", vote4TRAITS!A:C , 3, FALSE), ),
IF(IFERROR(SEARCH("Horrifying",L91),0) &gt; 0 , VLOOKUP("Horrifying", vote4TRAITS!A:C , 3, FALSE), ),
IF(IFERROR(SEARCH("Ironskin",L91),0) &gt; 0 , VLOOKUP("Ironskin", vote4TRAITS!A:C , 3, FALSE), ),
IF(IFERROR(SEARCH("Unmovable",L91),0) &gt; 0 , VLOOKUP("Unmovable", vote4TRAITS!A:C , 3, FALSE), ),
IF(IFERROR(SEARCH("Lifethirst 1",L91),0) &gt; 0 , VLOOKUP("Lifethirst 1", vote4TRAITS!A:C , 3, FALSE), ),
IF(IFERROR(SEARCH("Lifethirst 2",L91),0) &gt; 0 , VLOOKUP("Lifethirst 2", vote4TRAITS!A:C , 3, FALSE), ),
IF(IFERROR(SEARCH("Morph",L91),0) &gt; 0 , VLOOKUP("Morph", vote4TRAITS!A:C , 3, FALSE), ),
IF(IFERROR(SEARCH("Night Stalker",L91),0) &gt; 0 , VLOOKUP("Night Stalker", vote4TRAITS!A:C , 3, FALSE), ),
IF(IFERROR(SEARCH("Overflowing",L91),0) &gt; 0 , VLOOKUP("Overflowing", vote4TRAITS!A:C , 3, FALSE), ),
IF(IFERROR(SEARCH("Pestilence",L91),0) &gt; 0 , VLOOKUP("Pestilence", vote4TRAITS!A:C , 3, FALSE), ),
IF(IFERROR(SEARCH("Phalanx",L91),0) &gt; 0 , VLOOKUP("Phalanx", vote4TRAITS!A:C , 3, FALSE), ),
IF(IFERROR(SEARCH("Plagued",L91),0) &gt; 0 , VLOOKUP("Plagued", vote4TRAITS!A:C , 3, FALSE), ),
IF(IFERROR(SEARCH("Prey on the Weak",L91),0) &gt; 0 , VLOOKUP("Prey on the Weak", vote4TRAITS!A:C , 3, FALSE), ),
IF(IFERROR(SEARCH("Protect",L91),0) &gt; 0 , VLOOKUP("Protect", vote4TRAITS!A:C , 3, FALSE), ),
IF(IFERROR(SEARCH("Puncture",L91),0) &gt; 0 , VLOOKUP("Puncture", vote4TRAITS!A:C , 3, FALSE), ),
IF(IFERROR(SEARCH("Putrid Boils",L91),0) &gt; 0 , VLOOKUP("Putrid Boils", vote4TRAITS!A:C , 3, FALSE), ),
IF(IFERROR(SEARCH("Ravage",L91),0) &gt; 0 , VLOOKUP("Ravage", vote4TRAITS!A:C , 3, FALSE), ),
IF(IFERROR(SEARCH("Ravenous",L91),0) &gt; 0 , VLOOKUP("Ravenous", vote4TRAITS!A:C , 3, FALSE), ),
IF(IFERROR(SEARCH("Reach",L91),0) &gt; 0 , VLOOKUP("Reach", vote4TRAITS!A:C , 3, FALSE), ),
IF(IFERROR(SEARCH("Reanimation",L91),0) &gt; 0 , VLOOKUP("Reanimation", vote4TRAITS!A:C , 3, FALSE), ),
IF(IFERROR(SEARCH("Reaper",L91),0) &gt; 0 , VLOOKUP("Reaper", vote4TRAITS!A:C , 3, FALSE), ),
IF(IFERROR(SEARCH("Riposte",L91),0) &gt; 0 , VLOOKUP("Riposte", vote4TRAITS!A:C , 3, FALSE)),
IF(IFERROR(SEARCH("Scamper",L91),0) &gt; 0 , VLOOKUP("Scamper", vote4TRAITS!A:C , 3, FALSE), ),
IF(IFERROR(SEARCH("Small Beginnings",L91),0) &gt; 0 , VLOOKUP("Small Beginnings", vote4TRAITS!A:C , 3, FALSE), ),
IF(IFERROR(SEARCH("Spawner",L91),0) &gt; 0 , VLOOKUP("Spawner", vote4TRAITS!A:C , 3,FALSE), ),
IF(IFERROR(SEARCH("Shadowr",L91),0) &gt; 0 , VLOOKUP("Shadow", vote4TRAITS!A:C , 3,FALSE), ),
IF(IFERROR(SEARCH("Shadow Step",L91),0) &gt; 0 , VLOOKUP("Shadow Step", vote4TRAITS!A:C , 3,FALSE), ),
IF(IFERROR(SEARCH("Shambling",L91),0) &gt; 0 , VLOOKUP("Shambling", vote4TRAITS!A:C , 3,FALSE), ),
IF(IFERROR(SEARCH("Stealthy",L91),0) &gt; 0 , VLOOKUP("Stealthy", vote4TRAITS!A:C , 3, FALSE), ),
IF(IFERROR(SEARCH("Web",L91),0) &gt; 0 , VLOOKUP("Web", vote4TRAITS!A:C , 3, FALSE), ),
IF(IFERROR(SEARCH("+1 Willpower",L91),0) &gt; 0 , VLOOKUP("+1 Willpower", vote4TRAITS!A:C , 3, FALSE), ),
IF(IFERROR(SEARCH("+1 Might",L91),0) &gt; 0 , VLOOKUP("+1 Might", vote4TRAITS!A:C , 3, FALSE), ),
IF(IFERROR(SEARCH("+1 Knowledge",L91),0) &gt; 0 , VLOOKUP("+1 Knowledge", vote4TRAITS!A:C , 3, FALSE), ),
IF(IFERROR(SEARCH("+1 Awareness",L91),0) &gt; 0 , VLOOKUP("+1 Awareness", vote4TRAITS!A:C , 3, FALSE), ),
IF(IFERROR(SEARCH("-1 Willpower",L91),0) &gt; 0 , VLOOKUP("-1 Willpower", vote4TRAITS!A:C , 3, FALSE), ),
IF(IFERROR(SEARCH("+1 Health",L91),0) &gt; 0 , VLOOKUP("+1 Health", vote4TRAITS!A:C , 3, FALSE), ),
IF(IFERROR(SEARCH("+2 Health",L91),0) &gt; 0 , VLOOKUP("+2 Health", vote4TRAITS!A:C , 3, FALSE), ),
IF(IFERROR(SEARCH("+1 Stamina",L91),0) &gt; 0 , VLOOKUP("+1 Stamina", vote4TRAITS!A:C , 3, FALSE), ),
IF(IFERROR(SEARCH("+2 Stamina",L91),0) &gt; 0 , VLOOKUP("+2 Stamina", vote4TRAITS!A:C , 3, FALSE), ),
IFS(
IFERROR(SEARCH("+1 Range", L91),) &gt; 0 ,VLOOKUP("+1 Range", vote4TRAITS!A:C , 3, FALSE),
IFERROR(SEARCH("+2 Range", L91),) &gt; 0 ,VLOOKUP("+2 Range", vote4TRAITS!A:C , 3, FALSE),
IFERROR(SEARCH("+3 Range", L91),) &gt; 0,VLOOKUP("+3 Range", vote4TRAITS!A:C , 3, FALSE),
0=0,0)
,
IFS(
IFERROR(SEARCH("Sorcery 1", L91),) &gt; 0 ,VLOOKUP("Sorcery 1", vote4TRAITS!A:C , 3, FALSE),
IFERROR(SEARCH("Sorcery 2", L91),) &gt; 0 ,VLOOKUP("Sorcery 2", vote4TRAITS!A:C , 3, FALSE),
IFERROR(SEARCH("Sorcery 3", L91),) &gt; 0,VLOOKUP("Sorcery 3", vote4TRAITS!A:C , 3, FALSE),
0=0,0)
,
IFS(
IFERROR(SEARCH("Pierce 1", L91),) &gt; 0 ,VLOOKUP("Pierce 1", vote4TRAITS!A:C , 3, FALSE),
IFERROR(SEARCH("Pierce 2", L91),) &gt; 0 ,VLOOKUP("Pierce 2", vote4TRAITS!A:C , 3, FALSE),
IFERROR(SEARCH("Pierce 3", L91),) &gt; 0,VLOOKUP("Pierce 3", vote4TRAITS!A:C , 3, FALSE),
IFERROR(SEARCH("Pierce 4", L91),) &gt; 0 ,VLOOKUP("Pierce 4", vote4TRAITS!A:C , 3, FALSE),
0=0,0)
,
IFS(
IFERROR(SEARCH("+1 Health", L91),) &gt; 0 ,VLOOKUP("+1 Health", vote4TRAITS!A:C , 3, FALSE),
IFERROR(SEARCH("+2 Health", L91),) &gt; 0 ,VLOOKUP("+2 Health", vote4TRAITS!A:C , 3, FALSE),
IFERROR(SEARCH("+3 Health", L91),) &gt; 0 ,VLOOKUP("+3 Health", vote4TRAITS!A:C , 3, FALSE),
IFERROR(SEARCH("+4 Health", L91),) &gt; 0 ,VLOOKUP("+4 Health", vote4TRAITS!A:C , 3, FALSE),
0=0,0)
,
IFS(
IFERROR(SEARCH("Soul Shackle 1", L91),) &gt; 0 ,VLOOKUP("Soul Shackle 1", vote4TRAITS!A:C , 3, FALSE),
IFERROR(SEARCH("Soul Shackle 2", L91),) &gt; 0 ,VLOOKUP("Soul Shackle 2", vote4TRAITS!A:C , 3, FALSE),
IFERROR(SEARCH("Soul Shackle 3", L91),) &gt; 0,VLOOKUP("Soul Shackle 3", vote4TRAITS!A:C , 3, FALSE),
0=0,0)
)</f>
        <v>0</v>
      </c>
      <c r="N91" s="313"/>
      <c r="O91" s="317" t="str">
        <f>IF(ISBLANK(N91),,IFERROR(
IF(IFERROR(SEARCH("SS:",N91),0) &gt; 0, 
VLOOKUP(SUBSTITUTE(N91,"SS: ",""),vote4SURGE!$A:$C , 3, FALSE) - 2,
VLOOKUP(SUBSTITUTE(N91,"S: ",""),vote4SURGE!$A:$C , 3, FALSE)
)
,
IF(IFERROR(SEARCH("SS:",N91),0) &gt; 0, 
VLOOKUP(C91,vote4SURGE!$A:$C , 3, FALSE) - 2,
VLOOKUP(C91,vote4SURGE!$A:$C , 3, FALSE)
)
))</f>
        <v/>
      </c>
      <c r="P91" s="318"/>
      <c r="Q91" s="317" t="str">
        <f>IF(ISBLANK(P91),,IFERROR(
IF(IFERROR(SEARCH("SS:",P91),0) &gt; 0, 
VLOOKUP(SUBSTITUTE(P91,"SS: ",""),vote4SURGE!$A:$C , 3, FALSE) - 2,
VLOOKUP(SUBSTITUTE(P91,"S: ",""),vote4SURGE!$A:$C , 3, FALSE)
)
,
IF(IFERROR(SEARCH("SS:",P91),0) &gt; 0, 
VLOOKUP(C91,vote4SURGE!$A:$C , 3, FALSE) - 2,
VLOOKUP(C91,vote4SURGE!$A:$C , 3, FALSE)
)
))</f>
        <v/>
      </c>
      <c r="R91" s="318"/>
      <c r="S91" s="319" t="str">
        <f>IF(ISBLANK(R91),,IFERROR(
IF(IFERROR(SEARCH("SS:",R91),0) &gt; 0, 
VLOOKUP(SUBSTITUTE(R91,"SS: ",""),vote4SURGE!$A:$C , 3, FALSE) - 2,
VLOOKUP(SUBSTITUTE(R91,"S: ",""),vote4SURGE!$A:$C , 3, FALSE)
)
,
IF(IFERROR(SEARCH("SS:",R91),0) &gt; 0, 
VLOOKUP(C91,vote4SURGE!$A:$C , 3, FALSE) - 2,
VLOOKUP(C91,vote4SURGE!$A:$C , 3, FALSE)
)
))</f>
        <v/>
      </c>
      <c r="T91" s="320">
        <f t="shared" si="2"/>
        <v>0</v>
      </c>
      <c r="U91" s="320">
        <f>IFERROR(__xludf.DUMMYFUNCTION("ROUND(
IF(ISBLANK(G91),,
SWITCH(
LEN(G91) - LEN(SUBSTITUTE(G91,"","","""")),
0 , VLOOKUP(G91, Variables!$A:$C, 3, FALSE),
1 , VLOOKUP(index(split(G91 ,"", "", FALSE),1,1), Variables!$A:$C , 3, FALSE) + VLOOKUP(index(split(G91 ,"", "", FALSE),1,2), Variabl"&amp;"es!$A:$C , 3, FALSE),
2 , VLOOKUP(index(split(G91 ,"", "", FALSE),1,1), Variables!$A:$C , 3, FALSE) + VLOOKUP(index(split(G91 ,"", "", FALSE),1,2), Variables!$A:$C , 3, FALSE) + VLOOKUP(index(split(G91 ,"", "", FALSE),1,3), Variables!$A:$C , 3, FALSE),
3 "&amp;", VLOOKUP(index(split(G91 ,"", "", FALSE),1,1), Variables!$A:$C , 3, FALSE) + VLOOKUP(index(split(G91 ,"", "", FALSE),1,2), Variables!$A:$C , 3, FALSE) + VLOOKUP(index(split(G91 ,"", "", FALSE),1,3), Variables!$A:$C , 3, FALSE) + VLOOKUP(index(split(G91 ,"&amp;""", "", FALSE),1,4), Variables!$A:$C , 3, FALSE),
)
)
)"),1.0)</f>
        <v>1</v>
      </c>
      <c r="V91" s="317">
        <f t="shared" si="3"/>
        <v>0</v>
      </c>
      <c r="W91" s="321">
        <f t="shared" si="4"/>
        <v>8</v>
      </c>
      <c r="X91" s="118"/>
      <c r="Y91" s="118"/>
      <c r="Z91" s="118"/>
      <c r="AA91" s="118"/>
      <c r="AB91" s="118"/>
      <c r="AC91" s="118"/>
      <c r="AD91" s="118"/>
      <c r="AE91" s="118"/>
    </row>
    <row r="92" hidden="1">
      <c r="A92" s="310">
        <v>1.0</v>
      </c>
      <c r="B92" s="93">
        <f t="shared" si="1"/>
        <v>2</v>
      </c>
      <c r="C92" s="310" t="s">
        <v>1240</v>
      </c>
      <c r="D92" s="310">
        <v>150.0</v>
      </c>
      <c r="E92" s="310" t="s">
        <v>1520</v>
      </c>
      <c r="F92" s="310" t="s">
        <v>1531</v>
      </c>
      <c r="G92" s="313" t="s">
        <v>1525</v>
      </c>
      <c r="H92" s="312">
        <f>IFERROR(__xludf.DUMMYFUNCTION(" IF(ISBLANK(G92),,
SWITCH(
LEN(G92) - LEN(SUBSTITUTE(G92,"","","""")),
0 , VLOOKUP(G92, Variables!$A:$B, 2, FALSE),
1 , VLOOKUP(index(split(G92 ,"", "", FALSE),1,1), Variables!$A:$B , 2, FALSE) + VLOOKUP(index(split(G92 ,"", "", FALSE),1,2), Variables!$A:"&amp;"$B , 2, FALSE),
2 , VLOOKUP(index(split(G92 ,"", "", FALSE),1,1), Variables!$A:$B , 2, FALSE) + VLOOKUP(index(split(G92 ,"", "", FALSE),1,2), Variables!$A:$B , 2, FALSE) + VLOOKUP(index(split(G92 ,"", "", FALSE),1,3), Variables!$A:$B , 2, FALSE),
3 , VLOO"&amp;"KUP(index(split(G92 ,"", "", FALSE),1,1), Variables!$A:$B , 2, FALSE) + VLOOKUP(index(split(G92 ,"", "", FALSE),1,2), Variables!$A:$B , 2, FALSE) + VLOOKUP(index(split(G92 ,"", "", FALSE),1,3), Variables!$A:$B , 2, FALSE) + VLOOKUP(index(split(G92 ,"", """&amp;", FALSE),1,4), Variables!$A:$B , 2, FALSE),
)
)"),3.333333333333333)</f>
        <v>3.333333333</v>
      </c>
      <c r="I92" s="310" t="s">
        <v>1570</v>
      </c>
      <c r="J92" s="313"/>
      <c r="K92" s="314" t="str">
        <f>IFERROR(VLOOKUP(C92,vote4ITEMS!$A:$C, 3, FALSE),)</f>
        <v/>
      </c>
      <c r="L92" s="313"/>
      <c r="M92" s="314">
        <f>SUM(
IF(IFERROR(SEARCH("Aura 1",L92),0) &gt; 0 , VLOOKUP("Aura 1", vote4TRAITS!A:C , 3, FALSE), ),
IF(IFERROR(SEARCH("Backswing",L92),0) &gt; 0 , VLOOKUP("Backswing", vote4TRAITS!A:C , 3, FALSE), ),
IF(IFERROR(SEARCH("Blast",L92),0) &gt; 0 , VLOOKUP("Blast", vote4TRAITS!A:C , 3, FALSE), ),
IF(IFERROR(SEARCH("Combustible",L92),0) &gt; 0 , VLOOKUP("Combustible", vote4TRAITS!A:C , 3, FALSE), ),
IF(IFERROR(SEARCH("Command",L92),0) &gt; 0 , VLOOKUP("Command", vote4TRAITS!A:C , 3, FALSE), ),
IF(IFERROR(SEARCH("Cowardly",L92),0) &gt; 0 , VLOOKUP("Cowardly", vote4TRAITS!A:C , 3, FALSE), ),
IF(IFERROR(SEARCH("Death Wish",L92),0) &gt; 0 , VLOOKUP("Death Wish", vote4TRAITS!A:C , 3, FALSE), ),
IF(IFERROR(SEARCH("Entomb",L92),0) &gt; 0 , VLOOKUP("Entomb", vote4TRAITS!A:C , 3, FALSE), ),
IF(IFERROR(SEARCH("Ethereal Hold",L92),0) &gt; 0 , VLOOKUP("Ethereal Hold", vote4TRAITS!A:C , 3, FALSE), ),
IF(IFERROR(SEARCH("Extend",L92),0) &gt; 0 , VLOOKUP("Extend", vote4TRAITS!A:C , 3, FALSE), ),
IF(IFERROR(SEARCH("Filthy Murk",L92),0) &gt; 0 , VLOOKUP("Filthy Murk", vote4TRAITS!A:C , 3, FALSE), ),
IF(IFERROR(SEARCH("Flame Fiend",L92),0) &gt; 0 , VLOOKUP("Flame Fiend", vote4TRAITS!A:C , 3, FALSE), ),
IF(IFERROR(SEARCH("Fleshmonger",L92),0) &gt; 0 , VLOOKUP("Fleshmonger", vote4TRAITS!A:C , 3, FALSE), ),
IF(IFERROR(SEARCH("Fly",L92),0) &gt; 0 , VLOOKUP("Fly", vote4TRAITS!A:C , 3, FALSE), ),
IF(IFERROR(SEARCH("Freezing",L92),0) &gt; 0 , VLOOKUP("Freezing", vote4TRAITS!A:C , 3, FALSE), ),
IF(IFERROR(SEARCH("Lithesome",L92),0) &gt; 0 , VLOOKUP("Lithesome", vote4TRAITS!A:C , 3, FALSE), ),
IF(IFERROR(SEARCH("Harrowing",L92),0) &gt; 0 , VLOOKUP("Harrowing", vote4TRAITS!A:C , 3, FALSE), ),
IF(IFERROR(SEARCH("Hideous Laughter",L92),0) &gt; 0 , VLOOKUP("Hideous Laughter", vote4TRAITS!A:C , 3, FALSE), ),
IF(IFERROR(SEARCH("Hive Defense",L92),0) &gt; 0 , VLOOKUP("Hive Defense", vote4TRAITS!A:C , 3, FALSE), ),
IF(IFERROR(SEARCH("Horrifying",L92),0) &gt; 0 , VLOOKUP("Horrifying", vote4TRAITS!A:C , 3, FALSE), ),
IF(IFERROR(SEARCH("Ironskin",L92),0) &gt; 0 , VLOOKUP("Ironskin", vote4TRAITS!A:C , 3, FALSE), ),
IF(IFERROR(SEARCH("Unmovable",L92),0) &gt; 0 , VLOOKUP("Unmovable", vote4TRAITS!A:C , 3, FALSE), ),
IF(IFERROR(SEARCH("Lifethirst 1",L92),0) &gt; 0 , VLOOKUP("Lifethirst 1", vote4TRAITS!A:C , 3, FALSE), ),
IF(IFERROR(SEARCH("Lifethirst 2",L92),0) &gt; 0 , VLOOKUP("Lifethirst 2", vote4TRAITS!A:C , 3, FALSE), ),
IF(IFERROR(SEARCH("Morph",L92),0) &gt; 0 , VLOOKUP("Morph", vote4TRAITS!A:C , 3, FALSE), ),
IF(IFERROR(SEARCH("Night Stalker",L92),0) &gt; 0 , VLOOKUP("Night Stalker", vote4TRAITS!A:C , 3, FALSE), ),
IF(IFERROR(SEARCH("Overflowing",L92),0) &gt; 0 , VLOOKUP("Overflowing", vote4TRAITS!A:C , 3, FALSE), ),
IF(IFERROR(SEARCH("Pestilence",L92),0) &gt; 0 , VLOOKUP("Pestilence", vote4TRAITS!A:C , 3, FALSE), ),
IF(IFERROR(SEARCH("Phalanx",L92),0) &gt; 0 , VLOOKUP("Phalanx", vote4TRAITS!A:C , 3, FALSE), ),
IF(IFERROR(SEARCH("Plagued",L92),0) &gt; 0 , VLOOKUP("Plagued", vote4TRAITS!A:C , 3, FALSE), ),
IF(IFERROR(SEARCH("Prey on the Weak",L92),0) &gt; 0 , VLOOKUP("Prey on the Weak", vote4TRAITS!A:C , 3, FALSE), ),
IF(IFERROR(SEARCH("Protect",L92),0) &gt; 0 , VLOOKUP("Protect", vote4TRAITS!A:C , 3, FALSE), ),
IF(IFERROR(SEARCH("Puncture",L92),0) &gt; 0 , VLOOKUP("Puncture", vote4TRAITS!A:C , 3, FALSE), ),
IF(IFERROR(SEARCH("Putrid Boils",L92),0) &gt; 0 , VLOOKUP("Putrid Boils", vote4TRAITS!A:C , 3, FALSE), ),
IF(IFERROR(SEARCH("Ravage",L92),0) &gt; 0 , VLOOKUP("Ravage", vote4TRAITS!A:C , 3, FALSE), ),
IF(IFERROR(SEARCH("Ravenous",L92),0) &gt; 0 , VLOOKUP("Ravenous", vote4TRAITS!A:C , 3, FALSE), ),
IF(IFERROR(SEARCH("Reach",L92),0) &gt; 0 , VLOOKUP("Reach", vote4TRAITS!A:C , 3, FALSE), ),
IF(IFERROR(SEARCH("Reanimation",L92),0) &gt; 0 , VLOOKUP("Reanimation", vote4TRAITS!A:C , 3, FALSE), ),
IF(IFERROR(SEARCH("Reaper",L92),0) &gt; 0 , VLOOKUP("Reaper", vote4TRAITS!A:C , 3, FALSE), ),
IF(IFERROR(SEARCH("Riposte",L92),0) &gt; 0 , VLOOKUP("Riposte", vote4TRAITS!A:C , 3, FALSE)),
IF(IFERROR(SEARCH("Scamper",L92),0) &gt; 0 , VLOOKUP("Scamper", vote4TRAITS!A:C , 3, FALSE), ),
IF(IFERROR(SEARCH("Small Beginnings",L92),0) &gt; 0 , VLOOKUP("Small Beginnings", vote4TRAITS!A:C , 3, FALSE), ),
IF(IFERROR(SEARCH("Spawner",L92),0) &gt; 0 , VLOOKUP("Spawner", vote4TRAITS!A:C , 3,FALSE), ),
IF(IFERROR(SEARCH("Shadowr",L92),0) &gt; 0 , VLOOKUP("Shadow", vote4TRAITS!A:C , 3,FALSE), ),
IF(IFERROR(SEARCH("Shadow Step",L92),0) &gt; 0 , VLOOKUP("Shadow Step", vote4TRAITS!A:C , 3,FALSE), ),
IF(IFERROR(SEARCH("Shambling",L92),0) &gt; 0 , VLOOKUP("Shambling", vote4TRAITS!A:C , 3,FALSE), ),
IF(IFERROR(SEARCH("Stealthy",L92),0) &gt; 0 , VLOOKUP("Stealthy", vote4TRAITS!A:C , 3, FALSE), ),
IF(IFERROR(SEARCH("Web",L92),0) &gt; 0 , VLOOKUP("Web", vote4TRAITS!A:C , 3, FALSE), ),
IF(IFERROR(SEARCH("+1 Willpower",L92),0) &gt; 0 , VLOOKUP("+1 Willpower", vote4TRAITS!A:C , 3, FALSE), ),
IF(IFERROR(SEARCH("+1 Might",L92),0) &gt; 0 , VLOOKUP("+1 Might", vote4TRAITS!A:C , 3, FALSE), ),
IF(IFERROR(SEARCH("+1 Knowledge",L92),0) &gt; 0 , VLOOKUP("+1 Knowledge", vote4TRAITS!A:C , 3, FALSE), ),
IF(IFERROR(SEARCH("+1 Awareness",L92),0) &gt; 0 , VLOOKUP("+1 Awareness", vote4TRAITS!A:C , 3, FALSE), ),
IF(IFERROR(SEARCH("-1 Willpower",L92),0) &gt; 0 , VLOOKUP("-1 Willpower", vote4TRAITS!A:C , 3, FALSE), ),
IF(IFERROR(SEARCH("+1 Health",L92),0) &gt; 0 , VLOOKUP("+1 Health", vote4TRAITS!A:C , 3, FALSE), ),
IF(IFERROR(SEARCH("+2 Health",L92),0) &gt; 0 , VLOOKUP("+2 Health", vote4TRAITS!A:C , 3, FALSE), ),
IF(IFERROR(SEARCH("+1 Stamina",L92),0) &gt; 0 , VLOOKUP("+1 Stamina", vote4TRAITS!A:C , 3, FALSE), ),
IF(IFERROR(SEARCH("+2 Stamina",L92),0) &gt; 0 , VLOOKUP("+2 Stamina", vote4TRAITS!A:C , 3, FALSE), ),
IFS(
IFERROR(SEARCH("+1 Range", L92),) &gt; 0 ,VLOOKUP("+1 Range", vote4TRAITS!A:C , 3, FALSE),
IFERROR(SEARCH("+2 Range", L92),) &gt; 0 ,VLOOKUP("+2 Range", vote4TRAITS!A:C , 3, FALSE),
IFERROR(SEARCH("+3 Range", L92),) &gt; 0,VLOOKUP("+3 Range", vote4TRAITS!A:C , 3, FALSE),
0=0,0)
,
IFS(
IFERROR(SEARCH("Sorcery 1", L92),) &gt; 0 ,VLOOKUP("Sorcery 1", vote4TRAITS!A:C , 3, FALSE),
IFERROR(SEARCH("Sorcery 2", L92),) &gt; 0 ,VLOOKUP("Sorcery 2", vote4TRAITS!A:C , 3, FALSE),
IFERROR(SEARCH("Sorcery 3", L92),) &gt; 0,VLOOKUP("Sorcery 3", vote4TRAITS!A:C , 3, FALSE),
0=0,0)
,
IFS(
IFERROR(SEARCH("Pierce 1", L92),) &gt; 0 ,VLOOKUP("Pierce 1", vote4TRAITS!A:C , 3, FALSE),
IFERROR(SEARCH("Pierce 2", L92),) &gt; 0 ,VLOOKUP("Pierce 2", vote4TRAITS!A:C , 3, FALSE),
IFERROR(SEARCH("Pierce 3", L92),) &gt; 0,VLOOKUP("Pierce 3", vote4TRAITS!A:C , 3, FALSE),
IFERROR(SEARCH("Pierce 4", L92),) &gt; 0 ,VLOOKUP("Pierce 4", vote4TRAITS!A:C , 3, FALSE),
0=0,0)
,
IFS(
IFERROR(SEARCH("+1 Health", L92),) &gt; 0 ,VLOOKUP("+1 Health", vote4TRAITS!A:C , 3, FALSE),
IFERROR(SEARCH("+2 Health", L92),) &gt; 0 ,VLOOKUP("+2 Health", vote4TRAITS!A:C , 3, FALSE),
IFERROR(SEARCH("+3 Health", L92),) &gt; 0 ,VLOOKUP("+3 Health", vote4TRAITS!A:C , 3, FALSE),
IFERROR(SEARCH("+4 Health", L92),) &gt; 0 ,VLOOKUP("+4 Health", vote4TRAITS!A:C , 3, FALSE),
0=0,0)
,
IFS(
IFERROR(SEARCH("Soul Shackle 1", L92),) &gt; 0 ,VLOOKUP("Soul Shackle 1", vote4TRAITS!A:C , 3, FALSE),
IFERROR(SEARCH("Soul Shackle 2", L92),) &gt; 0 ,VLOOKUP("Soul Shackle 2", vote4TRAITS!A:C , 3, FALSE),
IFERROR(SEARCH("Soul Shackle 3", L92),) &gt; 0,VLOOKUP("Soul Shackle 3", vote4TRAITS!A:C , 3, FALSE),
0=0,0)
)</f>
        <v>0</v>
      </c>
      <c r="N92" s="311" t="s">
        <v>1644</v>
      </c>
      <c r="O92" s="317">
        <f>IF(ISBLANK(N92),,IFERROR(
IF(IFERROR(SEARCH("SS:",N92),0) &gt; 0, 
VLOOKUP(SUBSTITUTE(N92,"SS: ",""),vote4SURGE!$A:$C , 3, FALSE) - 2,
VLOOKUP(SUBSTITUTE(N92,"S: ",""),vote4SURGE!$A:$C , 3, FALSE)
)
,
IF(IFERROR(SEARCH("SS:",N92),0) &gt; 0, 
VLOOKUP(C92,vote4SURGE!$A:$C , 3, FALSE) - 2,
VLOOKUP(C92,vote4SURGE!$A:$C , 3, FALSE)
)
))</f>
        <v>3.5</v>
      </c>
      <c r="P92" s="315" t="s">
        <v>1579</v>
      </c>
      <c r="Q92" s="317">
        <f>IF(ISBLANK(P92),,IFERROR(
IF(IFERROR(SEARCH("SS:",P92),0) &gt; 0, 
VLOOKUP(SUBSTITUTE(P92,"SS: ",""),vote4SURGE!$A:$C , 3, FALSE) - 2,
VLOOKUP(SUBSTITUTE(P92,"S: ",""),vote4SURGE!$A:$C , 3, FALSE)
)
,
IF(IFERROR(SEARCH("SS:",P92),0) &gt; 0, 
VLOOKUP(C92,vote4SURGE!$A:$C , 3, FALSE) - 2,
VLOOKUP(C92,vote4SURGE!$A:$C , 3, FALSE)
)
))</f>
        <v>2.5</v>
      </c>
      <c r="R92" s="318"/>
      <c r="S92" s="319" t="str">
        <f>IF(ISBLANK(R92),,IFERROR(
IF(IFERROR(SEARCH("SS:",R92),0) &gt; 0, 
VLOOKUP(SUBSTITUTE(R92,"SS: ",""),vote4SURGE!$A:$C , 3, FALSE) - 2,
VLOOKUP(SUBSTITUTE(R92,"S: ",""),vote4SURGE!$A:$C , 3, FALSE)
)
,
IF(IFERROR(SEARCH("SS:",R92),0) &gt; 0, 
VLOOKUP(C92,vote4SURGE!$A:$C , 3, FALSE) - 2,
VLOOKUP(C92,vote4SURGE!$A:$C , 3, FALSE)
)
))</f>
        <v/>
      </c>
      <c r="T92" s="320">
        <f t="shared" si="2"/>
        <v>2</v>
      </c>
      <c r="U92" s="320">
        <f>IFERROR(__xludf.DUMMYFUNCTION("ROUND(
IF(ISBLANK(G92),,
SWITCH(
LEN(G92) - LEN(SUBSTITUTE(G92,"","","""")),
0 , VLOOKUP(G92, Variables!$A:$C, 3, FALSE),
1 , VLOOKUP(index(split(G92 ,"", "", FALSE),1,1), Variables!$A:$C , 3, FALSE) + VLOOKUP(index(split(G92 ,"", "", FALSE),1,2), Variabl"&amp;"es!$A:$C , 3, FALSE),
2 , VLOOKUP(index(split(G92 ,"", "", FALSE),1,1), Variables!$A:$C , 3, FALSE) + VLOOKUP(index(split(G92 ,"", "", FALSE),1,2), Variables!$A:$C , 3, FALSE) + VLOOKUP(index(split(G92 ,"", "", FALSE),1,3), Variables!$A:$C , 3, FALSE),
3 "&amp;", VLOOKUP(index(split(G92 ,"", "", FALSE),1,1), Variables!$A:$C , 3, FALSE) + VLOOKUP(index(split(G92 ,"", "", FALSE),1,2), Variables!$A:$C , 3, FALSE) + VLOOKUP(index(split(G92 ,"", "", FALSE),1,3), Variables!$A:$C , 3, FALSE) + VLOOKUP(index(split(G92 ,"&amp;""", "", FALSE),1,4), Variables!$A:$C , 3, FALSE),
)
)
)"),1.0)</f>
        <v>1</v>
      </c>
      <c r="V92" s="317">
        <f t="shared" si="3"/>
        <v>4.75</v>
      </c>
      <c r="W92" s="321">
        <f t="shared" si="4"/>
        <v>8.083333333</v>
      </c>
      <c r="X92" s="118"/>
      <c r="Y92" s="118"/>
      <c r="Z92" s="118"/>
      <c r="AA92" s="118"/>
      <c r="AB92" s="118"/>
      <c r="AC92" s="118"/>
      <c r="AD92" s="118"/>
      <c r="AE92" s="118"/>
    </row>
    <row r="93" hidden="1">
      <c r="A93" s="310">
        <v>1.0</v>
      </c>
      <c r="B93" s="93">
        <f t="shared" si="1"/>
        <v>2</v>
      </c>
      <c r="C93" s="310" t="s">
        <v>1190</v>
      </c>
      <c r="D93" s="310">
        <v>125.0</v>
      </c>
      <c r="E93" s="310" t="s">
        <v>1527</v>
      </c>
      <c r="F93" s="310" t="s">
        <v>1531</v>
      </c>
      <c r="G93" s="313" t="s">
        <v>1548</v>
      </c>
      <c r="H93" s="312">
        <f>IFERROR(__xludf.DUMMYFUNCTION(" IF(ISBLANK(G93),,
SWITCH(
LEN(G93) - LEN(SUBSTITUTE(G93,"","","""")),
0 , VLOOKUP(G93, Variables!$A:$B, 2, FALSE),
1 , VLOOKUP(index(split(G93 ,"", "", FALSE),1,1), Variables!$A:$B , 2, FALSE) + VLOOKUP(index(split(G93 ,"", "", FALSE),1,2), Variables!$A:"&amp;"$B , 2, FALSE),
2 , VLOOKUP(index(split(G93 ,"", "", FALSE),1,1), Variables!$A:$B , 2, FALSE) + VLOOKUP(index(split(G93 ,"", "", FALSE),1,2), Variables!$A:$B , 2, FALSE) + VLOOKUP(index(split(G93 ,"", "", FALSE),1,3), Variables!$A:$B , 2, FALSE),
3 , VLOO"&amp;"KUP(index(split(G93 ,"", "", FALSE),1,1), Variables!$A:$B , 2, FALSE) + VLOOKUP(index(split(G93 ,"", "", FALSE),1,2), Variables!$A:$B , 2, FALSE) + VLOOKUP(index(split(G93 ,"", "", FALSE),1,3), Variables!$A:$B , 2, FALSE) + VLOOKUP(index(split(G93 ,"", """&amp;", FALSE),1,4), Variables!$A:$B , 2, FALSE),
)
)"),2.3333333333333335)</f>
        <v>2.333333333</v>
      </c>
      <c r="I93" s="310" t="s">
        <v>1645</v>
      </c>
      <c r="J93" s="313"/>
      <c r="K93" s="314" t="str">
        <f>IFERROR(VLOOKUP(C93,vote4ITEMS!$A:$C, 3, FALSE),)</f>
        <v/>
      </c>
      <c r="L93" s="313"/>
      <c r="M93" s="314">
        <f>SUM(
IF(IFERROR(SEARCH("Aura 1",L93),0) &gt; 0 , VLOOKUP("Aura 1", vote4TRAITS!A:C , 3, FALSE), ),
IF(IFERROR(SEARCH("Backswing",L93),0) &gt; 0 , VLOOKUP("Backswing", vote4TRAITS!A:C , 3, FALSE), ),
IF(IFERROR(SEARCH("Blast",L93),0) &gt; 0 , VLOOKUP("Blast", vote4TRAITS!A:C , 3, FALSE), ),
IF(IFERROR(SEARCH("Combustible",L93),0) &gt; 0 , VLOOKUP("Combustible", vote4TRAITS!A:C , 3, FALSE), ),
IF(IFERROR(SEARCH("Command",L93),0) &gt; 0 , VLOOKUP("Command", vote4TRAITS!A:C , 3, FALSE), ),
IF(IFERROR(SEARCH("Cowardly",L93),0) &gt; 0 , VLOOKUP("Cowardly", vote4TRAITS!A:C , 3, FALSE), ),
IF(IFERROR(SEARCH("Death Wish",L93),0) &gt; 0 , VLOOKUP("Death Wish", vote4TRAITS!A:C , 3, FALSE), ),
IF(IFERROR(SEARCH("Entomb",L93),0) &gt; 0 , VLOOKUP("Entomb", vote4TRAITS!A:C , 3, FALSE), ),
IF(IFERROR(SEARCH("Ethereal Hold",L93),0) &gt; 0 , VLOOKUP("Ethereal Hold", vote4TRAITS!A:C , 3, FALSE), ),
IF(IFERROR(SEARCH("Extend",L93),0) &gt; 0 , VLOOKUP("Extend", vote4TRAITS!A:C , 3, FALSE), ),
IF(IFERROR(SEARCH("Filthy Murk",L93),0) &gt; 0 , VLOOKUP("Filthy Murk", vote4TRAITS!A:C , 3, FALSE), ),
IF(IFERROR(SEARCH("Flame Fiend",L93),0) &gt; 0 , VLOOKUP("Flame Fiend", vote4TRAITS!A:C , 3, FALSE), ),
IF(IFERROR(SEARCH("Fleshmonger",L93),0) &gt; 0 , VLOOKUP("Fleshmonger", vote4TRAITS!A:C , 3, FALSE), ),
IF(IFERROR(SEARCH("Fly",L93),0) &gt; 0 , VLOOKUP("Fly", vote4TRAITS!A:C , 3, FALSE), ),
IF(IFERROR(SEARCH("Freezing",L93),0) &gt; 0 , VLOOKUP("Freezing", vote4TRAITS!A:C , 3, FALSE), ),
IF(IFERROR(SEARCH("Lithesome",L93),0) &gt; 0 , VLOOKUP("Lithesome", vote4TRAITS!A:C , 3, FALSE), ),
IF(IFERROR(SEARCH("Harrowing",L93),0) &gt; 0 , VLOOKUP("Harrowing", vote4TRAITS!A:C , 3, FALSE), ),
IF(IFERROR(SEARCH("Hideous Laughter",L93),0) &gt; 0 , VLOOKUP("Hideous Laughter", vote4TRAITS!A:C , 3, FALSE), ),
IF(IFERROR(SEARCH("Hive Defense",L93),0) &gt; 0 , VLOOKUP("Hive Defense", vote4TRAITS!A:C , 3, FALSE), ),
IF(IFERROR(SEARCH("Horrifying",L93),0) &gt; 0 , VLOOKUP("Horrifying", vote4TRAITS!A:C , 3, FALSE), ),
IF(IFERROR(SEARCH("Ironskin",L93),0) &gt; 0 , VLOOKUP("Ironskin", vote4TRAITS!A:C , 3, FALSE), ),
IF(IFERROR(SEARCH("Unmovable",L93),0) &gt; 0 , VLOOKUP("Unmovable", vote4TRAITS!A:C , 3, FALSE), ),
IF(IFERROR(SEARCH("Lifethirst 1",L93),0) &gt; 0 , VLOOKUP("Lifethirst 1", vote4TRAITS!A:C , 3, FALSE), ),
IF(IFERROR(SEARCH("Lifethirst 2",L93),0) &gt; 0 , VLOOKUP("Lifethirst 2", vote4TRAITS!A:C , 3, FALSE), ),
IF(IFERROR(SEARCH("Morph",L93),0) &gt; 0 , VLOOKUP("Morph", vote4TRAITS!A:C , 3, FALSE), ),
IF(IFERROR(SEARCH("Night Stalker",L93),0) &gt; 0 , VLOOKUP("Night Stalker", vote4TRAITS!A:C , 3, FALSE), ),
IF(IFERROR(SEARCH("Overflowing",L93),0) &gt; 0 , VLOOKUP("Overflowing", vote4TRAITS!A:C , 3, FALSE), ),
IF(IFERROR(SEARCH("Pestilence",L93),0) &gt; 0 , VLOOKUP("Pestilence", vote4TRAITS!A:C , 3, FALSE), ),
IF(IFERROR(SEARCH("Phalanx",L93),0) &gt; 0 , VLOOKUP("Phalanx", vote4TRAITS!A:C , 3, FALSE), ),
IF(IFERROR(SEARCH("Plagued",L93),0) &gt; 0 , VLOOKUP("Plagued", vote4TRAITS!A:C , 3, FALSE), ),
IF(IFERROR(SEARCH("Prey on the Weak",L93),0) &gt; 0 , VLOOKUP("Prey on the Weak", vote4TRAITS!A:C , 3, FALSE), ),
IF(IFERROR(SEARCH("Protect",L93),0) &gt; 0 , VLOOKUP("Protect", vote4TRAITS!A:C , 3, FALSE), ),
IF(IFERROR(SEARCH("Puncture",L93),0) &gt; 0 , VLOOKUP("Puncture", vote4TRAITS!A:C , 3, FALSE), ),
IF(IFERROR(SEARCH("Putrid Boils",L93),0) &gt; 0 , VLOOKUP("Putrid Boils", vote4TRAITS!A:C , 3, FALSE), ),
IF(IFERROR(SEARCH("Ravage",L93),0) &gt; 0 , VLOOKUP("Ravage", vote4TRAITS!A:C , 3, FALSE), ),
IF(IFERROR(SEARCH("Ravenous",L93),0) &gt; 0 , VLOOKUP("Ravenous", vote4TRAITS!A:C , 3, FALSE), ),
IF(IFERROR(SEARCH("Reach",L93),0) &gt; 0 , VLOOKUP("Reach", vote4TRAITS!A:C , 3, FALSE), ),
IF(IFERROR(SEARCH("Reanimation",L93),0) &gt; 0 , VLOOKUP("Reanimation", vote4TRAITS!A:C , 3, FALSE), ),
IF(IFERROR(SEARCH("Reaper",L93),0) &gt; 0 , VLOOKUP("Reaper", vote4TRAITS!A:C , 3, FALSE), ),
IF(IFERROR(SEARCH("Riposte",L93),0) &gt; 0 , VLOOKUP("Riposte", vote4TRAITS!A:C , 3, FALSE)),
IF(IFERROR(SEARCH("Scamper",L93),0) &gt; 0 , VLOOKUP("Scamper", vote4TRAITS!A:C , 3, FALSE), ),
IF(IFERROR(SEARCH("Small Beginnings",L93),0) &gt; 0 , VLOOKUP("Small Beginnings", vote4TRAITS!A:C , 3, FALSE), ),
IF(IFERROR(SEARCH("Spawner",L93),0) &gt; 0 , VLOOKUP("Spawner", vote4TRAITS!A:C , 3,FALSE), ),
IF(IFERROR(SEARCH("Shadowr",L93),0) &gt; 0 , VLOOKUP("Shadow", vote4TRAITS!A:C , 3,FALSE), ),
IF(IFERROR(SEARCH("Shadow Step",L93),0) &gt; 0 , VLOOKUP("Shadow Step", vote4TRAITS!A:C , 3,FALSE), ),
IF(IFERROR(SEARCH("Shambling",L93),0) &gt; 0 , VLOOKUP("Shambling", vote4TRAITS!A:C , 3,FALSE), ),
IF(IFERROR(SEARCH("Stealthy",L93),0) &gt; 0 , VLOOKUP("Stealthy", vote4TRAITS!A:C , 3, FALSE), ),
IF(IFERROR(SEARCH("Web",L93),0) &gt; 0 , VLOOKUP("Web", vote4TRAITS!A:C , 3, FALSE), ),
IF(IFERROR(SEARCH("+1 Willpower",L93),0) &gt; 0 , VLOOKUP("+1 Willpower", vote4TRAITS!A:C , 3, FALSE), ),
IF(IFERROR(SEARCH("+1 Might",L93),0) &gt; 0 , VLOOKUP("+1 Might", vote4TRAITS!A:C , 3, FALSE), ),
IF(IFERROR(SEARCH("+1 Knowledge",L93),0) &gt; 0 , VLOOKUP("+1 Knowledge", vote4TRAITS!A:C , 3, FALSE), ),
IF(IFERROR(SEARCH("+1 Awareness",L93),0) &gt; 0 , VLOOKUP("+1 Awareness", vote4TRAITS!A:C , 3, FALSE), ),
IF(IFERROR(SEARCH("-1 Willpower",L93),0) &gt; 0 , VLOOKUP("-1 Willpower", vote4TRAITS!A:C , 3, FALSE), ),
IF(IFERROR(SEARCH("+1 Health",L93),0) &gt; 0 , VLOOKUP("+1 Health", vote4TRAITS!A:C , 3, FALSE), ),
IF(IFERROR(SEARCH("+2 Health",L93),0) &gt; 0 , VLOOKUP("+2 Health", vote4TRAITS!A:C , 3, FALSE), ),
IF(IFERROR(SEARCH("+1 Stamina",L93),0) &gt; 0 , VLOOKUP("+1 Stamina", vote4TRAITS!A:C , 3, FALSE), ),
IF(IFERROR(SEARCH("+2 Stamina",L93),0) &gt; 0 , VLOOKUP("+2 Stamina", vote4TRAITS!A:C , 3, FALSE), ),
IFS(
IFERROR(SEARCH("+1 Range", L93),) &gt; 0 ,VLOOKUP("+1 Range", vote4TRAITS!A:C , 3, FALSE),
IFERROR(SEARCH("+2 Range", L93),) &gt; 0 ,VLOOKUP("+2 Range", vote4TRAITS!A:C , 3, FALSE),
IFERROR(SEARCH("+3 Range", L93),) &gt; 0,VLOOKUP("+3 Range", vote4TRAITS!A:C , 3, FALSE),
0=0,0)
,
IFS(
IFERROR(SEARCH("Sorcery 1", L93),) &gt; 0 ,VLOOKUP("Sorcery 1", vote4TRAITS!A:C , 3, FALSE),
IFERROR(SEARCH("Sorcery 2", L93),) &gt; 0 ,VLOOKUP("Sorcery 2", vote4TRAITS!A:C , 3, FALSE),
IFERROR(SEARCH("Sorcery 3", L93),) &gt; 0,VLOOKUP("Sorcery 3", vote4TRAITS!A:C , 3, FALSE),
0=0,0)
,
IFS(
IFERROR(SEARCH("Pierce 1", L93),) &gt; 0 ,VLOOKUP("Pierce 1", vote4TRAITS!A:C , 3, FALSE),
IFERROR(SEARCH("Pierce 2", L93),) &gt; 0 ,VLOOKUP("Pierce 2", vote4TRAITS!A:C , 3, FALSE),
IFERROR(SEARCH("Pierce 3", L93),) &gt; 0,VLOOKUP("Pierce 3", vote4TRAITS!A:C , 3, FALSE),
IFERROR(SEARCH("Pierce 4", L93),) &gt; 0 ,VLOOKUP("Pierce 4", vote4TRAITS!A:C , 3, FALSE),
0=0,0)
,
IFS(
IFERROR(SEARCH("+1 Health", L93),) &gt; 0 ,VLOOKUP("+1 Health", vote4TRAITS!A:C , 3, FALSE),
IFERROR(SEARCH("+2 Health", L93),) &gt; 0 ,VLOOKUP("+2 Health", vote4TRAITS!A:C , 3, FALSE),
IFERROR(SEARCH("+3 Health", L93),) &gt; 0 ,VLOOKUP("+3 Health", vote4TRAITS!A:C , 3, FALSE),
IFERROR(SEARCH("+4 Health", L93),) &gt; 0 ,VLOOKUP("+4 Health", vote4TRAITS!A:C , 3, FALSE),
0=0,0)
,
IFS(
IFERROR(SEARCH("Soul Shackle 1", L93),) &gt; 0 ,VLOOKUP("Soul Shackle 1", vote4TRAITS!A:C , 3, FALSE),
IFERROR(SEARCH("Soul Shackle 2", L93),) &gt; 0 ,VLOOKUP("Soul Shackle 2", vote4TRAITS!A:C , 3, FALSE),
IFERROR(SEARCH("Soul Shackle 3", L93),) &gt; 0,VLOOKUP("Soul Shackle 3", vote4TRAITS!A:C , 3, FALSE),
0=0,0)
)</f>
        <v>0</v>
      </c>
      <c r="N93" s="311" t="s">
        <v>1581</v>
      </c>
      <c r="O93" s="317">
        <f>IF(ISBLANK(N93),,IFERROR(
IF(IFERROR(SEARCH("SS:",N93),0) &gt; 0, 
VLOOKUP(SUBSTITUTE(N93,"SS: ",""),vote4SURGE!$A:$C , 3, FALSE) - 2,
VLOOKUP(SUBSTITUTE(N93,"S: ",""),vote4SURGE!$A:$C , 3, FALSE)
)
,
IF(IFERROR(SEARCH("SS:",N93),0) &gt; 0, 
VLOOKUP(C93,vote4SURGE!$A:$C , 3, FALSE) - 2,
VLOOKUP(C93,vote4SURGE!$A:$C , 3, FALSE)
)
))</f>
        <v>3.75</v>
      </c>
      <c r="P93" s="105" t="s">
        <v>1646</v>
      </c>
      <c r="Q93" s="317">
        <f>IF(ISBLANK(P93),,IFERROR(
IF(IFERROR(SEARCH("SS:",P93),0) &gt; 0, 
VLOOKUP(SUBSTITUTE(P93,"SS: ",""),vote4SURGE!$A:$C , 3, FALSE) - 2,
VLOOKUP(SUBSTITUTE(P93,"S: ",""),vote4SURGE!$A:$C , 3, FALSE)
)
,
IF(IFERROR(SEARCH("SS:",P93),0) &gt; 0, 
VLOOKUP(C93,vote4SURGE!$A:$C , 3, FALSE) - 2,
VLOOKUP(C93,vote4SURGE!$A:$C , 3, FALSE)
)
))</f>
        <v>3.75</v>
      </c>
      <c r="R93" s="318"/>
      <c r="S93" s="319" t="str">
        <f>IF(ISBLANK(R93),,IFERROR(
IF(IFERROR(SEARCH("SS:",R93),0) &gt; 0, 
VLOOKUP(SUBSTITUTE(R93,"SS: ",""),vote4SURGE!$A:$C , 3, FALSE) - 2,
VLOOKUP(SUBSTITUTE(R93,"S: ",""),vote4SURGE!$A:$C , 3, FALSE)
)
,
IF(IFERROR(SEARCH("SS:",R93),0) &gt; 0, 
VLOOKUP(C93,vote4SURGE!$A:$C , 3, FALSE) - 2,
VLOOKUP(C93,vote4SURGE!$A:$C , 3, FALSE)
)
))</f>
        <v/>
      </c>
      <c r="T93" s="320">
        <f t="shared" si="2"/>
        <v>3</v>
      </c>
      <c r="U93" s="320">
        <f>IFERROR(__xludf.DUMMYFUNCTION("ROUND(
IF(ISBLANK(G93),,
SWITCH(
LEN(G93) - LEN(SUBSTITUTE(G93,"","","""")),
0 , VLOOKUP(G93, Variables!$A:$C, 3, FALSE),
1 , VLOOKUP(index(split(G93 ,"", "", FALSE),1,1), Variables!$A:$C , 3, FALSE) + VLOOKUP(index(split(G93 ,"", "", FALSE),1,2), Variabl"&amp;"es!$A:$C , 3, FALSE),
2 , VLOOKUP(index(split(G93 ,"", "", FALSE),1,1), Variables!$A:$C , 3, FALSE) + VLOOKUP(index(split(G93 ,"", "", FALSE),1,2), Variables!$A:$C , 3, FALSE) + VLOOKUP(index(split(G93 ,"", "", FALSE),1,3), Variables!$A:$C , 3, FALSE),
3 "&amp;", VLOOKUP(index(split(G93 ,"", "", FALSE),1,1), Variables!$A:$C , 3, FALSE) + VLOOKUP(index(split(G93 ,"", "", FALSE),1,2), Variables!$A:$C , 3, FALSE) + VLOOKUP(index(split(G93 ,"", "", FALSE),1,3), Variables!$A:$C , 3, FALSE) + VLOOKUP(index(split(G93 ,"&amp;""", "", FALSE),1,4), Variables!$A:$C , 3, FALSE),
)
)
)"),1.0)</f>
        <v>1</v>
      </c>
      <c r="V93" s="317">
        <f t="shared" si="3"/>
        <v>5</v>
      </c>
      <c r="W93" s="321">
        <f t="shared" si="4"/>
        <v>7.333333333</v>
      </c>
      <c r="X93" s="118"/>
      <c r="Y93" s="118"/>
      <c r="Z93" s="118"/>
      <c r="AA93" s="118"/>
      <c r="AB93" s="118"/>
      <c r="AC93" s="118"/>
      <c r="AD93" s="118"/>
      <c r="AE93" s="118"/>
    </row>
    <row r="94" hidden="1">
      <c r="A94" s="310">
        <v>1.0</v>
      </c>
      <c r="B94" s="93">
        <f t="shared" si="1"/>
        <v>2</v>
      </c>
      <c r="C94" s="310" t="s">
        <v>1272</v>
      </c>
      <c r="D94" s="310">
        <v>125.0</v>
      </c>
      <c r="E94" s="310" t="s">
        <v>1520</v>
      </c>
      <c r="F94" s="310" t="s">
        <v>1531</v>
      </c>
      <c r="G94" s="313" t="s">
        <v>1548</v>
      </c>
      <c r="H94" s="312">
        <f>IFERROR(__xludf.DUMMYFUNCTION(" IF(ISBLANK(G94),,
SWITCH(
LEN(G94) - LEN(SUBSTITUTE(G94,"","","""")),
0 , VLOOKUP(G94, Variables!$A:$B, 2, FALSE),
1 , VLOOKUP(index(split(G94 ,"", "", FALSE),1,1), Variables!$A:$B , 2, FALSE) + VLOOKUP(index(split(G94 ,"", "", FALSE),1,2), Variables!$A:"&amp;"$B , 2, FALSE),
2 , VLOOKUP(index(split(G94 ,"", "", FALSE),1,1), Variables!$A:$B , 2, FALSE) + VLOOKUP(index(split(G94 ,"", "", FALSE),1,2), Variables!$A:$B , 2, FALSE) + VLOOKUP(index(split(G94 ,"", "", FALSE),1,3), Variables!$A:$B , 2, FALSE),
3 , VLOO"&amp;"KUP(index(split(G94 ,"", "", FALSE),1,1), Variables!$A:$B , 2, FALSE) + VLOOKUP(index(split(G94 ,"", "", FALSE),1,2), Variables!$A:$B , 2, FALSE) + VLOOKUP(index(split(G94 ,"", "", FALSE),1,3), Variables!$A:$B , 2, FALSE) + VLOOKUP(index(split(G94 ,"", """&amp;", FALSE),1,4), Variables!$A:$B , 2, FALSE),
)
)"),2.3333333333333335)</f>
        <v>2.333333333</v>
      </c>
      <c r="I94" s="310" t="s">
        <v>1533</v>
      </c>
      <c r="J94" s="313"/>
      <c r="K94" s="314" t="str">
        <f>IFERROR(VLOOKUP(C94,vote4ITEMS!$A:$C, 3, FALSE),)</f>
        <v/>
      </c>
      <c r="L94" s="313"/>
      <c r="M94" s="314">
        <f>SUM(
IF(IFERROR(SEARCH("Aura 1",L94),0) &gt; 0 , VLOOKUP("Aura 1", vote4TRAITS!A:C , 3, FALSE), ),
IF(IFERROR(SEARCH("Backswing",L94),0) &gt; 0 , VLOOKUP("Backswing", vote4TRAITS!A:C , 3, FALSE), ),
IF(IFERROR(SEARCH("Blast",L94),0) &gt; 0 , VLOOKUP("Blast", vote4TRAITS!A:C , 3, FALSE), ),
IF(IFERROR(SEARCH("Combustible",L94),0) &gt; 0 , VLOOKUP("Combustible", vote4TRAITS!A:C , 3, FALSE), ),
IF(IFERROR(SEARCH("Command",L94),0) &gt; 0 , VLOOKUP("Command", vote4TRAITS!A:C , 3, FALSE), ),
IF(IFERROR(SEARCH("Cowardly",L94),0) &gt; 0 , VLOOKUP("Cowardly", vote4TRAITS!A:C , 3, FALSE), ),
IF(IFERROR(SEARCH("Death Wish",L94),0) &gt; 0 , VLOOKUP("Death Wish", vote4TRAITS!A:C , 3, FALSE), ),
IF(IFERROR(SEARCH("Entomb",L94),0) &gt; 0 , VLOOKUP("Entomb", vote4TRAITS!A:C , 3, FALSE), ),
IF(IFERROR(SEARCH("Ethereal Hold",L94),0) &gt; 0 , VLOOKUP("Ethereal Hold", vote4TRAITS!A:C , 3, FALSE), ),
IF(IFERROR(SEARCH("Extend",L94),0) &gt; 0 , VLOOKUP("Extend", vote4TRAITS!A:C , 3, FALSE), ),
IF(IFERROR(SEARCH("Filthy Murk",L94),0) &gt; 0 , VLOOKUP("Filthy Murk", vote4TRAITS!A:C , 3, FALSE), ),
IF(IFERROR(SEARCH("Flame Fiend",L94),0) &gt; 0 , VLOOKUP("Flame Fiend", vote4TRAITS!A:C , 3, FALSE), ),
IF(IFERROR(SEARCH("Fleshmonger",L94),0) &gt; 0 , VLOOKUP("Fleshmonger", vote4TRAITS!A:C , 3, FALSE), ),
IF(IFERROR(SEARCH("Fly",L94),0) &gt; 0 , VLOOKUP("Fly", vote4TRAITS!A:C , 3, FALSE), ),
IF(IFERROR(SEARCH("Freezing",L94),0) &gt; 0 , VLOOKUP("Freezing", vote4TRAITS!A:C , 3, FALSE), ),
IF(IFERROR(SEARCH("Lithesome",L94),0) &gt; 0 , VLOOKUP("Lithesome", vote4TRAITS!A:C , 3, FALSE), ),
IF(IFERROR(SEARCH("Harrowing",L94),0) &gt; 0 , VLOOKUP("Harrowing", vote4TRAITS!A:C , 3, FALSE), ),
IF(IFERROR(SEARCH("Hideous Laughter",L94),0) &gt; 0 , VLOOKUP("Hideous Laughter", vote4TRAITS!A:C , 3, FALSE), ),
IF(IFERROR(SEARCH("Hive Defense",L94),0) &gt; 0 , VLOOKUP("Hive Defense", vote4TRAITS!A:C , 3, FALSE), ),
IF(IFERROR(SEARCH("Horrifying",L94),0) &gt; 0 , VLOOKUP("Horrifying", vote4TRAITS!A:C , 3, FALSE), ),
IF(IFERROR(SEARCH("Ironskin",L94),0) &gt; 0 , VLOOKUP("Ironskin", vote4TRAITS!A:C , 3, FALSE), ),
IF(IFERROR(SEARCH("Unmovable",L94),0) &gt; 0 , VLOOKUP("Unmovable", vote4TRAITS!A:C , 3, FALSE), ),
IF(IFERROR(SEARCH("Lifethirst 1",L94),0) &gt; 0 , VLOOKUP("Lifethirst 1", vote4TRAITS!A:C , 3, FALSE), ),
IF(IFERROR(SEARCH("Lifethirst 2",L94),0) &gt; 0 , VLOOKUP("Lifethirst 2", vote4TRAITS!A:C , 3, FALSE), ),
IF(IFERROR(SEARCH("Morph",L94),0) &gt; 0 , VLOOKUP("Morph", vote4TRAITS!A:C , 3, FALSE), ),
IF(IFERROR(SEARCH("Night Stalker",L94),0) &gt; 0 , VLOOKUP("Night Stalker", vote4TRAITS!A:C , 3, FALSE), ),
IF(IFERROR(SEARCH("Overflowing",L94),0) &gt; 0 , VLOOKUP("Overflowing", vote4TRAITS!A:C , 3, FALSE), ),
IF(IFERROR(SEARCH("Pestilence",L94),0) &gt; 0 , VLOOKUP("Pestilence", vote4TRAITS!A:C , 3, FALSE), ),
IF(IFERROR(SEARCH("Phalanx",L94),0) &gt; 0 , VLOOKUP("Phalanx", vote4TRAITS!A:C , 3, FALSE), ),
IF(IFERROR(SEARCH("Plagued",L94),0) &gt; 0 , VLOOKUP("Plagued", vote4TRAITS!A:C , 3, FALSE), ),
IF(IFERROR(SEARCH("Prey on the Weak",L94),0) &gt; 0 , VLOOKUP("Prey on the Weak", vote4TRAITS!A:C , 3, FALSE), ),
IF(IFERROR(SEARCH("Protect",L94),0) &gt; 0 , VLOOKUP("Protect", vote4TRAITS!A:C , 3, FALSE), ),
IF(IFERROR(SEARCH("Puncture",L94),0) &gt; 0 , VLOOKUP("Puncture", vote4TRAITS!A:C , 3, FALSE), ),
IF(IFERROR(SEARCH("Putrid Boils",L94),0) &gt; 0 , VLOOKUP("Putrid Boils", vote4TRAITS!A:C , 3, FALSE), ),
IF(IFERROR(SEARCH("Ravage",L94),0) &gt; 0 , VLOOKUP("Ravage", vote4TRAITS!A:C , 3, FALSE), ),
IF(IFERROR(SEARCH("Ravenous",L94),0) &gt; 0 , VLOOKUP("Ravenous", vote4TRAITS!A:C , 3, FALSE), ),
IF(IFERROR(SEARCH("Reach",L94),0) &gt; 0 , VLOOKUP("Reach", vote4TRAITS!A:C , 3, FALSE), ),
IF(IFERROR(SEARCH("Reanimation",L94),0) &gt; 0 , VLOOKUP("Reanimation", vote4TRAITS!A:C , 3, FALSE), ),
IF(IFERROR(SEARCH("Reaper",L94),0) &gt; 0 , VLOOKUP("Reaper", vote4TRAITS!A:C , 3, FALSE), ),
IF(IFERROR(SEARCH("Riposte",L94),0) &gt; 0 , VLOOKUP("Riposte", vote4TRAITS!A:C , 3, FALSE)),
IF(IFERROR(SEARCH("Scamper",L94),0) &gt; 0 , VLOOKUP("Scamper", vote4TRAITS!A:C , 3, FALSE), ),
IF(IFERROR(SEARCH("Small Beginnings",L94),0) &gt; 0 , VLOOKUP("Small Beginnings", vote4TRAITS!A:C , 3, FALSE), ),
IF(IFERROR(SEARCH("Spawner",L94),0) &gt; 0 , VLOOKUP("Spawner", vote4TRAITS!A:C , 3,FALSE), ),
IF(IFERROR(SEARCH("Shadowr",L94),0) &gt; 0 , VLOOKUP("Shadow", vote4TRAITS!A:C , 3,FALSE), ),
IF(IFERROR(SEARCH("Shadow Step",L94),0) &gt; 0 , VLOOKUP("Shadow Step", vote4TRAITS!A:C , 3,FALSE), ),
IF(IFERROR(SEARCH("Shambling",L94),0) &gt; 0 , VLOOKUP("Shambling", vote4TRAITS!A:C , 3,FALSE), ),
IF(IFERROR(SEARCH("Stealthy",L94),0) &gt; 0 , VLOOKUP("Stealthy", vote4TRAITS!A:C , 3, FALSE), ),
IF(IFERROR(SEARCH("Web",L94),0) &gt; 0 , VLOOKUP("Web", vote4TRAITS!A:C , 3, FALSE), ),
IF(IFERROR(SEARCH("+1 Willpower",L94),0) &gt; 0 , VLOOKUP("+1 Willpower", vote4TRAITS!A:C , 3, FALSE), ),
IF(IFERROR(SEARCH("+1 Might",L94),0) &gt; 0 , VLOOKUP("+1 Might", vote4TRAITS!A:C , 3, FALSE), ),
IF(IFERROR(SEARCH("+1 Knowledge",L94),0) &gt; 0 , VLOOKUP("+1 Knowledge", vote4TRAITS!A:C , 3, FALSE), ),
IF(IFERROR(SEARCH("+1 Awareness",L94),0) &gt; 0 , VLOOKUP("+1 Awareness", vote4TRAITS!A:C , 3, FALSE), ),
IF(IFERROR(SEARCH("-1 Willpower",L94),0) &gt; 0 , VLOOKUP("-1 Willpower", vote4TRAITS!A:C , 3, FALSE), ),
IF(IFERROR(SEARCH("+1 Health",L94),0) &gt; 0 , VLOOKUP("+1 Health", vote4TRAITS!A:C , 3, FALSE), ),
IF(IFERROR(SEARCH("+2 Health",L94),0) &gt; 0 , VLOOKUP("+2 Health", vote4TRAITS!A:C , 3, FALSE), ),
IF(IFERROR(SEARCH("+1 Stamina",L94),0) &gt; 0 , VLOOKUP("+1 Stamina", vote4TRAITS!A:C , 3, FALSE), ),
IF(IFERROR(SEARCH("+2 Stamina",L94),0) &gt; 0 , VLOOKUP("+2 Stamina", vote4TRAITS!A:C , 3, FALSE), ),
IFS(
IFERROR(SEARCH("+1 Range", L94),) &gt; 0 ,VLOOKUP("+1 Range", vote4TRAITS!A:C , 3, FALSE),
IFERROR(SEARCH("+2 Range", L94),) &gt; 0 ,VLOOKUP("+2 Range", vote4TRAITS!A:C , 3, FALSE),
IFERROR(SEARCH("+3 Range", L94),) &gt; 0,VLOOKUP("+3 Range", vote4TRAITS!A:C , 3, FALSE),
0=0,0)
,
IFS(
IFERROR(SEARCH("Sorcery 1", L94),) &gt; 0 ,VLOOKUP("Sorcery 1", vote4TRAITS!A:C , 3, FALSE),
IFERROR(SEARCH("Sorcery 2", L94),) &gt; 0 ,VLOOKUP("Sorcery 2", vote4TRAITS!A:C , 3, FALSE),
IFERROR(SEARCH("Sorcery 3", L94),) &gt; 0,VLOOKUP("Sorcery 3", vote4TRAITS!A:C , 3, FALSE),
0=0,0)
,
IFS(
IFERROR(SEARCH("Pierce 1", L94),) &gt; 0 ,VLOOKUP("Pierce 1", vote4TRAITS!A:C , 3, FALSE),
IFERROR(SEARCH("Pierce 2", L94),) &gt; 0 ,VLOOKUP("Pierce 2", vote4TRAITS!A:C , 3, FALSE),
IFERROR(SEARCH("Pierce 3", L94),) &gt; 0,VLOOKUP("Pierce 3", vote4TRAITS!A:C , 3, FALSE),
IFERROR(SEARCH("Pierce 4", L94),) &gt; 0 ,VLOOKUP("Pierce 4", vote4TRAITS!A:C , 3, FALSE),
0=0,0)
,
IFS(
IFERROR(SEARCH("+1 Health", L94),) &gt; 0 ,VLOOKUP("+1 Health", vote4TRAITS!A:C , 3, FALSE),
IFERROR(SEARCH("+2 Health", L94),) &gt; 0 ,VLOOKUP("+2 Health", vote4TRAITS!A:C , 3, FALSE),
IFERROR(SEARCH("+3 Health", L94),) &gt; 0 ,VLOOKUP("+3 Health", vote4TRAITS!A:C , 3, FALSE),
IFERROR(SEARCH("+4 Health", L94),) &gt; 0 ,VLOOKUP("+4 Health", vote4TRAITS!A:C , 3, FALSE),
0=0,0)
,
IFS(
IFERROR(SEARCH("Soul Shackle 1", L94),) &gt; 0 ,VLOOKUP("Soul Shackle 1", vote4TRAITS!A:C , 3, FALSE),
IFERROR(SEARCH("Soul Shackle 2", L94),) &gt; 0 ,VLOOKUP("Soul Shackle 2", vote4TRAITS!A:C , 3, FALSE),
IFERROR(SEARCH("Soul Shackle 3", L94),) &gt; 0,VLOOKUP("Soul Shackle 3", vote4TRAITS!A:C , 3, FALSE),
0=0,0)
)</f>
        <v>0</v>
      </c>
      <c r="N94" s="311" t="s">
        <v>1581</v>
      </c>
      <c r="O94" s="317">
        <f>IF(ISBLANK(N94),,IFERROR(
IF(IFERROR(SEARCH("SS:",N94),0) &gt; 0, 
VLOOKUP(SUBSTITUTE(N94,"SS: ",""),vote4SURGE!$A:$C , 3, FALSE) - 2,
VLOOKUP(SUBSTITUTE(N94,"S: ",""),vote4SURGE!$A:$C , 3, FALSE)
)
,
IF(IFERROR(SEARCH("SS:",N94),0) &gt; 0, 
VLOOKUP(C94,vote4SURGE!$A:$C , 3, FALSE) - 2,
VLOOKUP(C94,vote4SURGE!$A:$C , 3, FALSE)
)
))</f>
        <v>3.75</v>
      </c>
      <c r="P94" s="315" t="s">
        <v>1647</v>
      </c>
      <c r="Q94" s="317">
        <f>IF(ISBLANK(P94),,IFERROR(
IF(IFERROR(SEARCH("SS:",P94),0) &gt; 0, 
VLOOKUP(SUBSTITUTE(P94,"SS: ",""),vote4SURGE!$A:$C , 3, FALSE) - 2,
VLOOKUP(SUBSTITUTE(P94,"S: ",""),vote4SURGE!$A:$C , 3, FALSE)
)
,
IF(IFERROR(SEARCH("SS:",P94),0) &gt; 0, 
VLOOKUP(C94,vote4SURGE!$A:$C , 3, FALSE) - 2,
VLOOKUP(C94,vote4SURGE!$A:$C , 3, FALSE)
)
))</f>
        <v>4</v>
      </c>
      <c r="R94" s="318"/>
      <c r="S94" s="319" t="str">
        <f>IF(ISBLANK(R94),,IFERROR(
IF(IFERROR(SEARCH("SS:",R94),0) &gt; 0, 
VLOOKUP(SUBSTITUTE(R94,"SS: ",""),vote4SURGE!$A:$C , 3, FALSE) - 2,
VLOOKUP(SUBSTITUTE(R94,"S: ",""),vote4SURGE!$A:$C , 3, FALSE)
)
,
IF(IFERROR(SEARCH("SS:",R94),0) &gt; 0, 
VLOOKUP(C94,vote4SURGE!$A:$C , 3, FALSE) - 2,
VLOOKUP(C94,vote4SURGE!$A:$C , 3, FALSE)
)
))</f>
        <v/>
      </c>
      <c r="T94" s="320">
        <f t="shared" si="2"/>
        <v>2</v>
      </c>
      <c r="U94" s="320">
        <f>IFERROR(__xludf.DUMMYFUNCTION("ROUND(
IF(ISBLANK(G94),,
SWITCH(
LEN(G94) - LEN(SUBSTITUTE(G94,"","","""")),
0 , VLOOKUP(G94, Variables!$A:$C, 3, FALSE),
1 , VLOOKUP(index(split(G94 ,"", "", FALSE),1,1), Variables!$A:$C , 3, FALSE) + VLOOKUP(index(split(G94 ,"", "", FALSE),1,2), Variabl"&amp;"es!$A:$C , 3, FALSE),
2 , VLOOKUP(index(split(G94 ,"", "", FALSE),1,1), Variables!$A:$C , 3, FALSE) + VLOOKUP(index(split(G94 ,"", "", FALSE),1,2), Variables!$A:$C , 3, FALSE) + VLOOKUP(index(split(G94 ,"", "", FALSE),1,3), Variables!$A:$C , 3, FALSE),
3 "&amp;", VLOOKUP(index(split(G94 ,"", "", FALSE),1,1), Variables!$A:$C , 3, FALSE) + VLOOKUP(index(split(G94 ,"", "", FALSE),1,2), Variables!$A:$C , 3, FALSE) + VLOOKUP(index(split(G94 ,"", "", FALSE),1,3), Variables!$A:$C , 3, FALSE) + VLOOKUP(index(split(G94 ,"&amp;""", "", FALSE),1,4), Variables!$A:$C , 3, FALSE),
)
)
)"),1.0)</f>
        <v>1</v>
      </c>
      <c r="V94" s="317">
        <f t="shared" si="3"/>
        <v>5.875</v>
      </c>
      <c r="W94" s="321">
        <f t="shared" si="4"/>
        <v>8.208333333</v>
      </c>
      <c r="X94" s="118"/>
      <c r="Y94" s="118"/>
      <c r="Z94" s="118"/>
      <c r="AA94" s="118"/>
      <c r="AB94" s="118"/>
      <c r="AC94" s="118"/>
      <c r="AD94" s="118"/>
      <c r="AE94" s="118"/>
    </row>
    <row r="95" hidden="1">
      <c r="A95" s="310">
        <v>2.0</v>
      </c>
      <c r="B95" s="93">
        <f t="shared" si="1"/>
        <v>6</v>
      </c>
      <c r="C95" s="310" t="s">
        <v>1238</v>
      </c>
      <c r="D95" s="310">
        <v>175.0</v>
      </c>
      <c r="E95" s="310" t="s">
        <v>1527</v>
      </c>
      <c r="F95" s="310" t="s">
        <v>1521</v>
      </c>
      <c r="G95" s="313" t="s">
        <v>1537</v>
      </c>
      <c r="H95" s="312">
        <f>IFERROR(__xludf.DUMMYFUNCTION(" IF(ISBLANK(G95),,
SWITCH(
LEN(G95) - LEN(SUBSTITUTE(G95,"","","""")),
0 , VLOOKUP(G95, Variables!$A:$B, 2, FALSE),
1 , VLOOKUP(index(split(G95 ,"", "", FALSE),1,1), Variables!$A:$B , 2, FALSE) + VLOOKUP(index(split(G95 ,"", "", FALSE),1,2), Variables!$A:"&amp;"$B , 2, FALSE),
2 , VLOOKUP(index(split(G95 ,"", "", FALSE),1,1), Variables!$A:$B , 2, FALSE) + VLOOKUP(index(split(G95 ,"", "", FALSE),1,2), Variables!$A:$B , 2, FALSE) + VLOOKUP(index(split(G95 ,"", "", FALSE),1,3), Variables!$A:$B , 2, FALSE),
3 , VLOO"&amp;"KUP(index(split(G95 ,"", "", FALSE),1,1), Variables!$A:$B , 2, FALSE) + VLOOKUP(index(split(G95 ,"", "", FALSE),1,2), Variables!$A:$B , 2, FALSE) + VLOOKUP(index(split(G95 ,"", "", FALSE),1,3), Variables!$A:$B , 2, FALSE) + VLOOKUP(index(split(G95 ,"", """&amp;", FALSE),1,4), Variables!$A:$B , 2, FALSE),
)
)"),4.5)</f>
        <v>4.5</v>
      </c>
      <c r="I95" s="310" t="s">
        <v>1529</v>
      </c>
      <c r="J95" s="313"/>
      <c r="K95" s="314" t="str">
        <f>IFERROR(VLOOKUP(C95,vote4ITEMS!$A:$C, 3, FALSE),)</f>
        <v/>
      </c>
      <c r="L95" s="313"/>
      <c r="M95" s="314">
        <f>SUM(
IF(IFERROR(SEARCH("Aura 1",L95),0) &gt; 0 , VLOOKUP("Aura 1", vote4TRAITS!A:C , 3, FALSE), ),
IF(IFERROR(SEARCH("Backswing",L95),0) &gt; 0 , VLOOKUP("Backswing", vote4TRAITS!A:C , 3, FALSE), ),
IF(IFERROR(SEARCH("Blast",L95),0) &gt; 0 , VLOOKUP("Blast", vote4TRAITS!A:C , 3, FALSE), ),
IF(IFERROR(SEARCH("Combustible",L95),0) &gt; 0 , VLOOKUP("Combustible", vote4TRAITS!A:C , 3, FALSE), ),
IF(IFERROR(SEARCH("Command",L95),0) &gt; 0 , VLOOKUP("Command", vote4TRAITS!A:C , 3, FALSE), ),
IF(IFERROR(SEARCH("Cowardly",L95),0) &gt; 0 , VLOOKUP("Cowardly", vote4TRAITS!A:C , 3, FALSE), ),
IF(IFERROR(SEARCH("Death Wish",L95),0) &gt; 0 , VLOOKUP("Death Wish", vote4TRAITS!A:C , 3, FALSE), ),
IF(IFERROR(SEARCH("Entomb",L95),0) &gt; 0 , VLOOKUP("Entomb", vote4TRAITS!A:C , 3, FALSE), ),
IF(IFERROR(SEARCH("Ethereal Hold",L95),0) &gt; 0 , VLOOKUP("Ethereal Hold", vote4TRAITS!A:C , 3, FALSE), ),
IF(IFERROR(SEARCH("Extend",L95),0) &gt; 0 , VLOOKUP("Extend", vote4TRAITS!A:C , 3, FALSE), ),
IF(IFERROR(SEARCH("Filthy Murk",L95),0) &gt; 0 , VLOOKUP("Filthy Murk", vote4TRAITS!A:C , 3, FALSE), ),
IF(IFERROR(SEARCH("Flame Fiend",L95),0) &gt; 0 , VLOOKUP("Flame Fiend", vote4TRAITS!A:C , 3, FALSE), ),
IF(IFERROR(SEARCH("Fleshmonger",L95),0) &gt; 0 , VLOOKUP("Fleshmonger", vote4TRAITS!A:C , 3, FALSE), ),
IF(IFERROR(SEARCH("Fly",L95),0) &gt; 0 , VLOOKUP("Fly", vote4TRAITS!A:C , 3, FALSE), ),
IF(IFERROR(SEARCH("Freezing",L95),0) &gt; 0 , VLOOKUP("Freezing", vote4TRAITS!A:C , 3, FALSE), ),
IF(IFERROR(SEARCH("Lithesome",L95),0) &gt; 0 , VLOOKUP("Lithesome", vote4TRAITS!A:C , 3, FALSE), ),
IF(IFERROR(SEARCH("Harrowing",L95),0) &gt; 0 , VLOOKUP("Harrowing", vote4TRAITS!A:C , 3, FALSE), ),
IF(IFERROR(SEARCH("Hideous Laughter",L95),0) &gt; 0 , VLOOKUP("Hideous Laughter", vote4TRAITS!A:C , 3, FALSE), ),
IF(IFERROR(SEARCH("Hive Defense",L95),0) &gt; 0 , VLOOKUP("Hive Defense", vote4TRAITS!A:C , 3, FALSE), ),
IF(IFERROR(SEARCH("Horrifying",L95),0) &gt; 0 , VLOOKUP("Horrifying", vote4TRAITS!A:C , 3, FALSE), ),
IF(IFERROR(SEARCH("Ironskin",L95),0) &gt; 0 , VLOOKUP("Ironskin", vote4TRAITS!A:C , 3, FALSE), ),
IF(IFERROR(SEARCH("Unmovable",L95),0) &gt; 0 , VLOOKUP("Unmovable", vote4TRAITS!A:C , 3, FALSE), ),
IF(IFERROR(SEARCH("Lifethirst 1",L95),0) &gt; 0 , VLOOKUP("Lifethirst 1", vote4TRAITS!A:C , 3, FALSE), ),
IF(IFERROR(SEARCH("Lifethirst 2",L95),0) &gt; 0 , VLOOKUP("Lifethirst 2", vote4TRAITS!A:C , 3, FALSE), ),
IF(IFERROR(SEARCH("Morph",L95),0) &gt; 0 , VLOOKUP("Morph", vote4TRAITS!A:C , 3, FALSE), ),
IF(IFERROR(SEARCH("Night Stalker",L95),0) &gt; 0 , VLOOKUP("Night Stalker", vote4TRAITS!A:C , 3, FALSE), ),
IF(IFERROR(SEARCH("Overflowing",L95),0) &gt; 0 , VLOOKUP("Overflowing", vote4TRAITS!A:C , 3, FALSE), ),
IF(IFERROR(SEARCH("Pestilence",L95),0) &gt; 0 , VLOOKUP("Pestilence", vote4TRAITS!A:C , 3, FALSE), ),
IF(IFERROR(SEARCH("Phalanx",L95),0) &gt; 0 , VLOOKUP("Phalanx", vote4TRAITS!A:C , 3, FALSE), ),
IF(IFERROR(SEARCH("Plagued",L95),0) &gt; 0 , VLOOKUP("Plagued", vote4TRAITS!A:C , 3, FALSE), ),
IF(IFERROR(SEARCH("Prey on the Weak",L95),0) &gt; 0 , VLOOKUP("Prey on the Weak", vote4TRAITS!A:C , 3, FALSE), ),
IF(IFERROR(SEARCH("Protect",L95),0) &gt; 0 , VLOOKUP("Protect", vote4TRAITS!A:C , 3, FALSE), ),
IF(IFERROR(SEARCH("Puncture",L95),0) &gt; 0 , VLOOKUP("Puncture", vote4TRAITS!A:C , 3, FALSE), ),
IF(IFERROR(SEARCH("Putrid Boils",L95),0) &gt; 0 , VLOOKUP("Putrid Boils", vote4TRAITS!A:C , 3, FALSE), ),
IF(IFERROR(SEARCH("Ravage",L95),0) &gt; 0 , VLOOKUP("Ravage", vote4TRAITS!A:C , 3, FALSE), ),
IF(IFERROR(SEARCH("Ravenous",L95),0) &gt; 0 , VLOOKUP("Ravenous", vote4TRAITS!A:C , 3, FALSE), ),
IF(IFERROR(SEARCH("Reach",L95),0) &gt; 0 , VLOOKUP("Reach", vote4TRAITS!A:C , 3, FALSE), ),
IF(IFERROR(SEARCH("Reanimation",L95),0) &gt; 0 , VLOOKUP("Reanimation", vote4TRAITS!A:C , 3, FALSE), ),
IF(IFERROR(SEARCH("Reaper",L95),0) &gt; 0 , VLOOKUP("Reaper", vote4TRAITS!A:C , 3, FALSE), ),
IF(IFERROR(SEARCH("Riposte",L95),0) &gt; 0 , VLOOKUP("Riposte", vote4TRAITS!A:C , 3, FALSE)),
IF(IFERROR(SEARCH("Scamper",L95),0) &gt; 0 , VLOOKUP("Scamper", vote4TRAITS!A:C , 3, FALSE), ),
IF(IFERROR(SEARCH("Small Beginnings",L95),0) &gt; 0 , VLOOKUP("Small Beginnings", vote4TRAITS!A:C , 3, FALSE), ),
IF(IFERROR(SEARCH("Spawner",L95),0) &gt; 0 , VLOOKUP("Spawner", vote4TRAITS!A:C , 3,FALSE), ),
IF(IFERROR(SEARCH("Shadowr",L95),0) &gt; 0 , VLOOKUP("Shadow", vote4TRAITS!A:C , 3,FALSE), ),
IF(IFERROR(SEARCH("Shadow Step",L95),0) &gt; 0 , VLOOKUP("Shadow Step", vote4TRAITS!A:C , 3,FALSE), ),
IF(IFERROR(SEARCH("Shambling",L95),0) &gt; 0 , VLOOKUP("Shambling", vote4TRAITS!A:C , 3,FALSE), ),
IF(IFERROR(SEARCH("Stealthy",L95),0) &gt; 0 , VLOOKUP("Stealthy", vote4TRAITS!A:C , 3, FALSE), ),
IF(IFERROR(SEARCH("Web",L95),0) &gt; 0 , VLOOKUP("Web", vote4TRAITS!A:C , 3, FALSE), ),
IF(IFERROR(SEARCH("+1 Willpower",L95),0) &gt; 0 , VLOOKUP("+1 Willpower", vote4TRAITS!A:C , 3, FALSE), ),
IF(IFERROR(SEARCH("+1 Might",L95),0) &gt; 0 , VLOOKUP("+1 Might", vote4TRAITS!A:C , 3, FALSE), ),
IF(IFERROR(SEARCH("+1 Knowledge",L95),0) &gt; 0 , VLOOKUP("+1 Knowledge", vote4TRAITS!A:C , 3, FALSE), ),
IF(IFERROR(SEARCH("+1 Awareness",L95),0) &gt; 0 , VLOOKUP("+1 Awareness", vote4TRAITS!A:C , 3, FALSE), ),
IF(IFERROR(SEARCH("-1 Willpower",L95),0) &gt; 0 , VLOOKUP("-1 Willpower", vote4TRAITS!A:C , 3, FALSE), ),
IF(IFERROR(SEARCH("+1 Health",L95),0) &gt; 0 , VLOOKUP("+1 Health", vote4TRAITS!A:C , 3, FALSE), ),
IF(IFERROR(SEARCH("+2 Health",L95),0) &gt; 0 , VLOOKUP("+2 Health", vote4TRAITS!A:C , 3, FALSE), ),
IF(IFERROR(SEARCH("+1 Stamina",L95),0) &gt; 0 , VLOOKUP("+1 Stamina", vote4TRAITS!A:C , 3, FALSE), ),
IF(IFERROR(SEARCH("+2 Stamina",L95),0) &gt; 0 , VLOOKUP("+2 Stamina", vote4TRAITS!A:C , 3, FALSE), ),
IFS(
IFERROR(SEARCH("+1 Range", L95),) &gt; 0 ,VLOOKUP("+1 Range", vote4TRAITS!A:C , 3, FALSE),
IFERROR(SEARCH("+2 Range", L95),) &gt; 0 ,VLOOKUP("+2 Range", vote4TRAITS!A:C , 3, FALSE),
IFERROR(SEARCH("+3 Range", L95),) &gt; 0,VLOOKUP("+3 Range", vote4TRAITS!A:C , 3, FALSE),
0=0,0)
,
IFS(
IFERROR(SEARCH("Sorcery 1", L95),) &gt; 0 ,VLOOKUP("Sorcery 1", vote4TRAITS!A:C , 3, FALSE),
IFERROR(SEARCH("Sorcery 2", L95),) &gt; 0 ,VLOOKUP("Sorcery 2", vote4TRAITS!A:C , 3, FALSE),
IFERROR(SEARCH("Sorcery 3", L95),) &gt; 0,VLOOKUP("Sorcery 3", vote4TRAITS!A:C , 3, FALSE),
0=0,0)
,
IFS(
IFERROR(SEARCH("Pierce 1", L95),) &gt; 0 ,VLOOKUP("Pierce 1", vote4TRAITS!A:C , 3, FALSE),
IFERROR(SEARCH("Pierce 2", L95),) &gt; 0 ,VLOOKUP("Pierce 2", vote4TRAITS!A:C , 3, FALSE),
IFERROR(SEARCH("Pierce 3", L95),) &gt; 0,VLOOKUP("Pierce 3", vote4TRAITS!A:C , 3, FALSE),
IFERROR(SEARCH("Pierce 4", L95),) &gt; 0 ,VLOOKUP("Pierce 4", vote4TRAITS!A:C , 3, FALSE),
0=0,0)
,
IFS(
IFERROR(SEARCH("+1 Health", L95),) &gt; 0 ,VLOOKUP("+1 Health", vote4TRAITS!A:C , 3, FALSE),
IFERROR(SEARCH("+2 Health", L95),) &gt; 0 ,VLOOKUP("+2 Health", vote4TRAITS!A:C , 3, FALSE),
IFERROR(SEARCH("+3 Health", L95),) &gt; 0 ,VLOOKUP("+3 Health", vote4TRAITS!A:C , 3, FALSE),
IFERROR(SEARCH("+4 Health", L95),) &gt; 0 ,VLOOKUP("+4 Health", vote4TRAITS!A:C , 3, FALSE),
0=0,0)
,
IFS(
IFERROR(SEARCH("Soul Shackle 1", L95),) &gt; 0 ,VLOOKUP("Soul Shackle 1", vote4TRAITS!A:C , 3, FALSE),
IFERROR(SEARCH("Soul Shackle 2", L95),) &gt; 0 ,VLOOKUP("Soul Shackle 2", vote4TRAITS!A:C , 3, FALSE),
IFERROR(SEARCH("Soul Shackle 3", L95),) &gt; 0,VLOOKUP("Soul Shackle 3", vote4TRAITS!A:C , 3, FALSE),
0=0,0)
)</f>
        <v>0</v>
      </c>
      <c r="N95" s="311" t="s">
        <v>1607</v>
      </c>
      <c r="O95" s="317">
        <f>IF(ISBLANK(N95),,IFERROR(
IF(IFERROR(SEARCH("SS:",N95),0) &gt; 0, 
VLOOKUP(SUBSTITUTE(N95,"SS: ",""),vote4SURGE!$A:$C , 3, FALSE) - 2,
VLOOKUP(SUBSTITUTE(N95,"S: ",""),vote4SURGE!$A:$C , 3, FALSE)
)
,
IF(IFERROR(SEARCH("SS:",N95),0) &gt; 0, 
VLOOKUP(C95,vote4SURGE!$A:$C , 3, FALSE) - 2,
VLOOKUP(C95,vote4SURGE!$A:$C , 3, FALSE)
)
))</f>
        <v>2.75</v>
      </c>
      <c r="P95" s="318"/>
      <c r="Q95" s="317" t="str">
        <f>IF(ISBLANK(P95),,IFERROR(
IF(IFERROR(SEARCH("SS:",P95),0) &gt; 0, 
VLOOKUP(SUBSTITUTE(P95,"SS: ",""),vote4SURGE!$A:$C , 3, FALSE) - 2,
VLOOKUP(SUBSTITUTE(P95,"S: ",""),vote4SURGE!$A:$C , 3, FALSE)
)
,
IF(IFERROR(SEARCH("SS:",P95),0) &gt; 0, 
VLOOKUP(C95,vote4SURGE!$A:$C , 3, FALSE) - 2,
VLOOKUP(C95,vote4SURGE!$A:$C , 3, FALSE)
)
))</f>
        <v/>
      </c>
      <c r="R95" s="318"/>
      <c r="S95" s="319" t="str">
        <f>IF(ISBLANK(R95),,IFERROR(
IF(IFERROR(SEARCH("SS:",R95),0) &gt; 0, 
VLOOKUP(SUBSTITUTE(R95,"SS: ",""),vote4SURGE!$A:$C , 3, FALSE) - 2,
VLOOKUP(SUBSTITUTE(R95,"S: ",""),vote4SURGE!$A:$C , 3, FALSE)
)
,
IF(IFERROR(SEARCH("SS:",R95),0) &gt; 0, 
VLOOKUP(C95,vote4SURGE!$A:$C , 3, FALSE) - 2,
VLOOKUP(C95,vote4SURGE!$A:$C , 3, FALSE)
)
))</f>
        <v/>
      </c>
      <c r="T95" s="320">
        <f t="shared" si="2"/>
        <v>1</v>
      </c>
      <c r="U95" s="320">
        <f>IFERROR(__xludf.DUMMYFUNCTION("ROUND(
IF(ISBLANK(G95),,
SWITCH(
LEN(G95) - LEN(SUBSTITUTE(G95,"","","""")),
0 , VLOOKUP(G95, Variables!$A:$C, 3, FALSE),
1 , VLOOKUP(index(split(G95 ,"", "", FALSE),1,1), Variables!$A:$C , 3, FALSE) + VLOOKUP(index(split(G95 ,"", "", FALSE),1,2), Variabl"&amp;"es!$A:$C , 3, FALSE),
2 , VLOOKUP(index(split(G95 ,"", "", FALSE),1,1), Variables!$A:$C , 3, FALSE) + VLOOKUP(index(split(G95 ,"", "", FALSE),1,2), Variables!$A:$C , 3, FALSE) + VLOOKUP(index(split(G95 ,"", "", FALSE),1,3), Variables!$A:$C , 3, FALSE),
3 "&amp;", VLOOKUP(index(split(G95 ,"", "", FALSE),1,1), Variables!$A:$C , 3, FALSE) + VLOOKUP(index(split(G95 ,"", "", FALSE),1,2), Variables!$A:$C , 3, FALSE) + VLOOKUP(index(split(G95 ,"", "", FALSE),1,3), Variables!$A:$C , 3, FALSE) + VLOOKUP(index(split(G95 ,"&amp;""", "", FALSE),1,4), Variables!$A:$C , 3, FALSE),
)
)
)"),1.0)</f>
        <v>1</v>
      </c>
      <c r="V95" s="317">
        <f t="shared" si="3"/>
        <v>2.75</v>
      </c>
      <c r="W95" s="321">
        <f t="shared" si="4"/>
        <v>7.25</v>
      </c>
      <c r="X95" s="118"/>
      <c r="Y95" s="118"/>
      <c r="Z95" s="118"/>
      <c r="AA95" s="118"/>
      <c r="AB95" s="118"/>
      <c r="AC95" s="118"/>
      <c r="AD95" s="118"/>
      <c r="AE95" s="118"/>
    </row>
    <row r="96" hidden="1">
      <c r="A96" s="310" t="s">
        <v>1556</v>
      </c>
      <c r="B96" s="93" t="str">
        <f t="shared" si="1"/>
        <v/>
      </c>
      <c r="C96" s="310" t="s">
        <v>946</v>
      </c>
      <c r="D96" s="323">
        <v>0.0</v>
      </c>
      <c r="E96" s="310" t="s">
        <v>1520</v>
      </c>
      <c r="F96" s="310" t="s">
        <v>1567</v>
      </c>
      <c r="G96" s="313" t="s">
        <v>1522</v>
      </c>
      <c r="H96" s="312">
        <f>IFERROR(__xludf.DUMMYFUNCTION(" IF(ISBLANK(G96),,
SWITCH(
LEN(G96) - LEN(SUBSTITUTE(G96,"","","""")),
0 , VLOOKUP(G96, Variables!$A:$B, 2, FALSE),
1 , VLOOKUP(index(split(G96 ,"", "", FALSE),1,1), Variables!$A:$B , 2, FALSE) + VLOOKUP(index(split(G96 ,"", "", FALSE),1,2), Variables!$A:"&amp;"$B , 2, FALSE),
2 , VLOOKUP(index(split(G96 ,"", "", FALSE),1,1), Variables!$A:$B , 2, FALSE) + VLOOKUP(index(split(G96 ,"", "", FALSE),1,2), Variables!$A:$B , 2, FALSE) + VLOOKUP(index(split(G96 ,"", "", FALSE),1,3), Variables!$A:$B , 2, FALSE),
3 , VLOO"&amp;"KUP(index(split(G96 ,"", "", FALSE),1,1), Variables!$A:$B , 2, FALSE) + VLOOKUP(index(split(G96 ,"", "", FALSE),1,2), Variables!$A:$B , 2, FALSE) + VLOOKUP(index(split(G96 ,"", "", FALSE),1,3), Variables!$A:$B , 2, FALSE) + VLOOKUP(index(split(G96 ,"", """&amp;", FALSE),1,4), Variables!$A:$B , 2, FALSE),
)
)"),3.9999999999999996)</f>
        <v>4</v>
      </c>
      <c r="I96" s="310" t="s">
        <v>1533</v>
      </c>
      <c r="J96" s="311" t="s">
        <v>947</v>
      </c>
      <c r="K96" s="314">
        <f>IFERROR(VLOOKUP(C96,vote4ITEMS!$A:$C, 3, FALSE),)</f>
        <v>-2.333333333</v>
      </c>
      <c r="L96" s="328" t="s">
        <v>965</v>
      </c>
      <c r="M96" s="314">
        <f>SUM(
IF(IFERROR(SEARCH("Aura 1",L96),0) &gt; 0 , VLOOKUP("Aura 1", vote4TRAITS!A:C , 3, FALSE), ),
IF(IFERROR(SEARCH("Backswing",L96),0) &gt; 0 , VLOOKUP("Backswing", vote4TRAITS!A:C , 3, FALSE), ),
IF(IFERROR(SEARCH("Blast",L96),0) &gt; 0 , VLOOKUP("Blast", vote4TRAITS!A:C , 3, FALSE), ),
IF(IFERROR(SEARCH("Combustible",L96),0) &gt; 0 , VLOOKUP("Combustible", vote4TRAITS!A:C , 3, FALSE), ),
IF(IFERROR(SEARCH("Command",L96),0) &gt; 0 , VLOOKUP("Command", vote4TRAITS!A:C , 3, FALSE), ),
IF(IFERROR(SEARCH("Cowardly",L96),0) &gt; 0 , VLOOKUP("Cowardly", vote4TRAITS!A:C , 3, FALSE), ),
IF(IFERROR(SEARCH("Death Wish",L96),0) &gt; 0 , VLOOKUP("Death Wish", vote4TRAITS!A:C , 3, FALSE), ),
IF(IFERROR(SEARCH("Entomb",L96),0) &gt; 0 , VLOOKUP("Entomb", vote4TRAITS!A:C , 3, FALSE), ),
IF(IFERROR(SEARCH("Ethereal Hold",L96),0) &gt; 0 , VLOOKUP("Ethereal Hold", vote4TRAITS!A:C , 3, FALSE), ),
IF(IFERROR(SEARCH("Extend",L96),0) &gt; 0 , VLOOKUP("Extend", vote4TRAITS!A:C , 3, FALSE), ),
IF(IFERROR(SEARCH("Filthy Murk",L96),0) &gt; 0 , VLOOKUP("Filthy Murk", vote4TRAITS!A:C , 3, FALSE), ),
IF(IFERROR(SEARCH("Flame Fiend",L96),0) &gt; 0 , VLOOKUP("Flame Fiend", vote4TRAITS!A:C , 3, FALSE), ),
IF(IFERROR(SEARCH("Fleshmonger",L96),0) &gt; 0 , VLOOKUP("Fleshmonger", vote4TRAITS!A:C , 3, FALSE), ),
IF(IFERROR(SEARCH("Fly",L96),0) &gt; 0 , VLOOKUP("Fly", vote4TRAITS!A:C , 3, FALSE), ),
IF(IFERROR(SEARCH("Freezing",L96),0) &gt; 0 , VLOOKUP("Freezing", vote4TRAITS!A:C , 3, FALSE), ),
IF(IFERROR(SEARCH("Lithesome",L96),0) &gt; 0 , VLOOKUP("Lithesome", vote4TRAITS!A:C , 3, FALSE), ),
IF(IFERROR(SEARCH("Harrowing",L96),0) &gt; 0 , VLOOKUP("Harrowing", vote4TRAITS!A:C , 3, FALSE), ),
IF(IFERROR(SEARCH("Hideous Laughter",L96),0) &gt; 0 , VLOOKUP("Hideous Laughter", vote4TRAITS!A:C , 3, FALSE), ),
IF(IFERROR(SEARCH("Hive Defense",L96),0) &gt; 0 , VLOOKUP("Hive Defense", vote4TRAITS!A:C , 3, FALSE), ),
IF(IFERROR(SEARCH("Horrifying",L96),0) &gt; 0 , VLOOKUP("Horrifying", vote4TRAITS!A:C , 3, FALSE), ),
IF(IFERROR(SEARCH("Ironskin",L96),0) &gt; 0 , VLOOKUP("Ironskin", vote4TRAITS!A:C , 3, FALSE), ),
IF(IFERROR(SEARCH("Unmovable",L96),0) &gt; 0 , VLOOKUP("Unmovable", vote4TRAITS!A:C , 3, FALSE), ),
IF(IFERROR(SEARCH("Lifethirst 1",L96),0) &gt; 0 , VLOOKUP("Lifethirst 1", vote4TRAITS!A:C , 3, FALSE), ),
IF(IFERROR(SEARCH("Lifethirst 2",L96),0) &gt; 0 , VLOOKUP("Lifethirst 2", vote4TRAITS!A:C , 3, FALSE), ),
IF(IFERROR(SEARCH("Morph",L96),0) &gt; 0 , VLOOKUP("Morph", vote4TRAITS!A:C , 3, FALSE), ),
IF(IFERROR(SEARCH("Night Stalker",L96),0) &gt; 0 , VLOOKUP("Night Stalker", vote4TRAITS!A:C , 3, FALSE), ),
IF(IFERROR(SEARCH("Overflowing",L96),0) &gt; 0 , VLOOKUP("Overflowing", vote4TRAITS!A:C , 3, FALSE), ),
IF(IFERROR(SEARCH("Pestilence",L96),0) &gt; 0 , VLOOKUP("Pestilence", vote4TRAITS!A:C , 3, FALSE), ),
IF(IFERROR(SEARCH("Phalanx",L96),0) &gt; 0 , VLOOKUP("Phalanx", vote4TRAITS!A:C , 3, FALSE), ),
IF(IFERROR(SEARCH("Plagued",L96),0) &gt; 0 , VLOOKUP("Plagued", vote4TRAITS!A:C , 3, FALSE), ),
IF(IFERROR(SEARCH("Prey on the Weak",L96),0) &gt; 0 , VLOOKUP("Prey on the Weak", vote4TRAITS!A:C , 3, FALSE), ),
IF(IFERROR(SEARCH("Protect",L96),0) &gt; 0 , VLOOKUP("Protect", vote4TRAITS!A:C , 3, FALSE), ),
IF(IFERROR(SEARCH("Puncture",L96),0) &gt; 0 , VLOOKUP("Puncture", vote4TRAITS!A:C , 3, FALSE), ),
IF(IFERROR(SEARCH("Putrid Boils",L96),0) &gt; 0 , VLOOKUP("Putrid Boils", vote4TRAITS!A:C , 3, FALSE), ),
IF(IFERROR(SEARCH("Ravage",L96),0) &gt; 0 , VLOOKUP("Ravage", vote4TRAITS!A:C , 3, FALSE), ),
IF(IFERROR(SEARCH("Ravenous",L96),0) &gt; 0 , VLOOKUP("Ravenous", vote4TRAITS!A:C , 3, FALSE), ),
IF(IFERROR(SEARCH("Reach",L96),0) &gt; 0 , VLOOKUP("Reach", vote4TRAITS!A:C , 3, FALSE), ),
IF(IFERROR(SEARCH("Reanimation",L96),0) &gt; 0 , VLOOKUP("Reanimation", vote4TRAITS!A:C , 3, FALSE), ),
IF(IFERROR(SEARCH("Reaper",L96),0) &gt; 0 , VLOOKUP("Reaper", vote4TRAITS!A:C , 3, FALSE), ),
IF(IFERROR(SEARCH("Riposte",L96),0) &gt; 0 , VLOOKUP("Riposte", vote4TRAITS!A:C , 3, FALSE)),
IF(IFERROR(SEARCH("Scamper",L96),0) &gt; 0 , VLOOKUP("Scamper", vote4TRAITS!A:C , 3, FALSE), ),
IF(IFERROR(SEARCH("Small Beginnings",L96),0) &gt; 0 , VLOOKUP("Small Beginnings", vote4TRAITS!A:C , 3, FALSE), ),
IF(IFERROR(SEARCH("Spawner",L96),0) &gt; 0 , VLOOKUP("Spawner", vote4TRAITS!A:C , 3,FALSE), ),
IF(IFERROR(SEARCH("Shadowr",L96),0) &gt; 0 , VLOOKUP("Shadow", vote4TRAITS!A:C , 3,FALSE), ),
IF(IFERROR(SEARCH("Shadow Step",L96),0) &gt; 0 , VLOOKUP("Shadow Step", vote4TRAITS!A:C , 3,FALSE), ),
IF(IFERROR(SEARCH("Shambling",L96),0) &gt; 0 , VLOOKUP("Shambling", vote4TRAITS!A:C , 3,FALSE), ),
IF(IFERROR(SEARCH("Stealthy",L96),0) &gt; 0 , VLOOKUP("Stealthy", vote4TRAITS!A:C , 3, FALSE), ),
IF(IFERROR(SEARCH("Web",L96),0) &gt; 0 , VLOOKUP("Web", vote4TRAITS!A:C , 3, FALSE), ),
IF(IFERROR(SEARCH("+1 Willpower",L96),0) &gt; 0 , VLOOKUP("+1 Willpower", vote4TRAITS!A:C , 3, FALSE), ),
IF(IFERROR(SEARCH("+1 Might",L96),0) &gt; 0 , VLOOKUP("+1 Might", vote4TRAITS!A:C , 3, FALSE), ),
IF(IFERROR(SEARCH("+1 Knowledge",L96),0) &gt; 0 , VLOOKUP("+1 Knowledge", vote4TRAITS!A:C , 3, FALSE), ),
IF(IFERROR(SEARCH("+1 Awareness",L96),0) &gt; 0 , VLOOKUP("+1 Awareness", vote4TRAITS!A:C , 3, FALSE), ),
IF(IFERROR(SEARCH("-1 Willpower",L96),0) &gt; 0 , VLOOKUP("-1 Willpower", vote4TRAITS!A:C , 3, FALSE), ),
IF(IFERROR(SEARCH("+1 Health",L96),0) &gt; 0 , VLOOKUP("+1 Health", vote4TRAITS!A:C , 3, FALSE), ),
IF(IFERROR(SEARCH("+2 Health",L96),0) &gt; 0 , VLOOKUP("+2 Health", vote4TRAITS!A:C , 3, FALSE), ),
IF(IFERROR(SEARCH("+1 Stamina",L96),0) &gt; 0 , VLOOKUP("+1 Stamina", vote4TRAITS!A:C , 3, FALSE), ),
IF(IFERROR(SEARCH("+2 Stamina",L96),0) &gt; 0 , VLOOKUP("+2 Stamina", vote4TRAITS!A:C , 3, FALSE), ),
IFS(
IFERROR(SEARCH("+1 Range", L96),) &gt; 0 ,VLOOKUP("+1 Range", vote4TRAITS!A:C , 3, FALSE),
IFERROR(SEARCH("+2 Range", L96),) &gt; 0 ,VLOOKUP("+2 Range", vote4TRAITS!A:C , 3, FALSE),
IFERROR(SEARCH("+3 Range", L96),) &gt; 0,VLOOKUP("+3 Range", vote4TRAITS!A:C , 3, FALSE),
0=0,0)
,
IFS(
IFERROR(SEARCH("Sorcery 1", L96),) &gt; 0 ,VLOOKUP("Sorcery 1", vote4TRAITS!A:C , 3, FALSE),
IFERROR(SEARCH("Sorcery 2", L96),) &gt; 0 ,VLOOKUP("Sorcery 2", vote4TRAITS!A:C , 3, FALSE),
IFERROR(SEARCH("Sorcery 3", L96),) &gt; 0,VLOOKUP("Sorcery 3", vote4TRAITS!A:C , 3, FALSE),
0=0,0)
,
IFS(
IFERROR(SEARCH("Pierce 1", L96),) &gt; 0 ,VLOOKUP("Pierce 1", vote4TRAITS!A:C , 3, FALSE),
IFERROR(SEARCH("Pierce 2", L96),) &gt; 0 ,VLOOKUP("Pierce 2", vote4TRAITS!A:C , 3, FALSE),
IFERROR(SEARCH("Pierce 3", L96),) &gt; 0,VLOOKUP("Pierce 3", vote4TRAITS!A:C , 3, FALSE),
IFERROR(SEARCH("Pierce 4", L96),) &gt; 0 ,VLOOKUP("Pierce 4", vote4TRAITS!A:C , 3, FALSE),
0=0,0)
,
IFS(
IFERROR(SEARCH("+1 Health", L96),) &gt; 0 ,VLOOKUP("+1 Health", vote4TRAITS!A:C , 3, FALSE),
IFERROR(SEARCH("+2 Health", L96),) &gt; 0 ,VLOOKUP("+2 Health", vote4TRAITS!A:C , 3, FALSE),
IFERROR(SEARCH("+3 Health", L96),) &gt; 0 ,VLOOKUP("+3 Health", vote4TRAITS!A:C , 3, FALSE),
IFERROR(SEARCH("+4 Health", L96),) &gt; 0 ,VLOOKUP("+4 Health", vote4TRAITS!A:C , 3, FALSE),
0=0,0)
,
IFS(
IFERROR(SEARCH("Soul Shackle 1", L96),) &gt; 0 ,VLOOKUP("Soul Shackle 1", vote4TRAITS!A:C , 3, FALSE),
IFERROR(SEARCH("Soul Shackle 2", L96),) &gt; 0 ,VLOOKUP("Soul Shackle 2", vote4TRAITS!A:C , 3, FALSE),
IFERROR(SEARCH("Soul Shackle 3", L96),) &gt; 0,VLOOKUP("Soul Shackle 3", vote4TRAITS!A:C , 3, FALSE),
0=0,0)
)</f>
        <v>2</v>
      </c>
      <c r="N96" s="332" t="s">
        <v>1566</v>
      </c>
      <c r="O96" s="317">
        <f>IF(ISBLANK(N96),,IFERROR(
IF(IFERROR(SEARCH("SS:",N96),0) &gt; 0, 
VLOOKUP(SUBSTITUTE(N96,"SS: ",""),vote4SURGE!$A:$C , 3, FALSE) - 2,
VLOOKUP(SUBSTITUTE(N96,"S: ",""),vote4SURGE!$A:$C , 3, FALSE)
)
,
IF(IFERROR(SEARCH("SS:",N96),0) &gt; 0, 
VLOOKUP(C96,vote4SURGE!$A:$C , 3, FALSE) - 2,
VLOOKUP(C96,vote4SURGE!$A:$C , 3, FALSE)
)
))</f>
        <v>3</v>
      </c>
      <c r="P96" s="318"/>
      <c r="Q96" s="317" t="str">
        <f>IF(ISBLANK(P96),,IFERROR(
IF(IFERROR(SEARCH("SS:",P96),0) &gt; 0, 
VLOOKUP(SUBSTITUTE(P96,"SS: ",""),vote4SURGE!$A:$C , 3, FALSE) - 2,
VLOOKUP(SUBSTITUTE(P96,"S: ",""),vote4SURGE!$A:$C , 3, FALSE)
)
,
IF(IFERROR(SEARCH("SS:",P96),0) &gt; 0, 
VLOOKUP(C96,vote4SURGE!$A:$C , 3, FALSE) - 2,
VLOOKUP(C96,vote4SURGE!$A:$C , 3, FALSE)
)
))</f>
        <v/>
      </c>
      <c r="R96" s="318"/>
      <c r="S96" s="319" t="str">
        <f>IF(ISBLANK(R96),,IFERROR(
IF(IFERROR(SEARCH("SS:",R96),0) &gt; 0, 
VLOOKUP(SUBSTITUTE(R96,"SS: ",""),vote4SURGE!$A:$C , 3, FALSE) - 2,
VLOOKUP(SUBSTITUTE(R96,"S: ",""),vote4SURGE!$A:$C , 3, FALSE)
)
,
IF(IFERROR(SEARCH("SS:",R96),0) &gt; 0, 
VLOOKUP(C96,vote4SURGE!$A:$C , 3, FALSE) - 2,
VLOOKUP(C96,vote4SURGE!$A:$C , 3, FALSE)
)
))</f>
        <v/>
      </c>
      <c r="T96" s="320">
        <f t="shared" si="2"/>
        <v>2</v>
      </c>
      <c r="U96" s="320">
        <f>IFERROR(__xludf.DUMMYFUNCTION("ROUND(
IF(ISBLANK(G96),,
SWITCH(
LEN(G96) - LEN(SUBSTITUTE(G96,"","","""")),
0 , VLOOKUP(G96, Variables!$A:$C, 3, FALSE),
1 , VLOOKUP(index(split(G96 ,"", "", FALSE),1,1), Variables!$A:$C , 3, FALSE) + VLOOKUP(index(split(G96 ,"", "", FALSE),1,2), Variabl"&amp;"es!$A:$C , 3, FALSE),
2 , VLOOKUP(index(split(G96 ,"", "", FALSE),1,1), Variables!$A:$C , 3, FALSE) + VLOOKUP(index(split(G96 ,"", "", FALSE),1,2), Variables!$A:$C , 3, FALSE) + VLOOKUP(index(split(G96 ,"", "", FALSE),1,3), Variables!$A:$C , 3, FALSE),
3 "&amp;", VLOOKUP(index(split(G96 ,"", "", FALSE),1,1), Variables!$A:$C , 3, FALSE) + VLOOKUP(index(split(G96 ,"", "", FALSE),1,2), Variables!$A:$C , 3, FALSE) + VLOOKUP(index(split(G96 ,"", "", FALSE),1,3), Variables!$A:$C , 3, FALSE) + VLOOKUP(index(split(G96 ,"&amp;""", "", FALSE),1,4), Variables!$A:$C , 3, FALSE),
)
)
)"),1.0)</f>
        <v>1</v>
      </c>
      <c r="V96" s="317">
        <f t="shared" si="3"/>
        <v>3</v>
      </c>
      <c r="W96" s="321">
        <f t="shared" si="4"/>
        <v>6.666666667</v>
      </c>
      <c r="X96" s="118"/>
      <c r="Y96" s="118"/>
      <c r="Z96" s="118"/>
      <c r="AA96" s="118"/>
      <c r="AB96" s="118"/>
      <c r="AC96" s="118"/>
      <c r="AD96" s="118"/>
      <c r="AE96" s="118"/>
    </row>
    <row r="97" hidden="1">
      <c r="A97" s="310">
        <v>2.0</v>
      </c>
      <c r="B97" s="93">
        <f t="shared" si="1"/>
        <v>6</v>
      </c>
      <c r="C97" s="310" t="s">
        <v>790</v>
      </c>
      <c r="D97" s="310">
        <v>150.0</v>
      </c>
      <c r="E97" s="310" t="s">
        <v>1629</v>
      </c>
      <c r="F97" s="310"/>
      <c r="G97" s="313"/>
      <c r="H97" s="312" t="str">
        <f>IFERROR(__xludf.DUMMYFUNCTION(" IF(ISBLANK(G97),,
SWITCH(
LEN(G97) - LEN(SUBSTITUTE(G97,"","","""")),
0 , VLOOKUP(G97, Variables!$A:$B, 2, FALSE),
1 , VLOOKUP(index(split(G97 ,"", "", FALSE),1,1), Variables!$A:$B , 2, FALSE) + VLOOKUP(index(split(G97 ,"", "", FALSE),1,2), Variables!$A:"&amp;"$B , 2, FALSE),
2 , VLOOKUP(index(split(G97 ,"", "", FALSE),1,1), Variables!$A:$B , 2, FALSE) + VLOOKUP(index(split(G97 ,"", "", FALSE),1,2), Variables!$A:$B , 2, FALSE) + VLOOKUP(index(split(G97 ,"", "", FALSE),1,3), Variables!$A:$B , 2, FALSE),
3 , VLOO"&amp;"KUP(index(split(G97 ,"", "", FALSE),1,1), Variables!$A:$B , 2, FALSE) + VLOOKUP(index(split(G97 ,"", "", FALSE),1,2), Variables!$A:$B , 2, FALSE) + VLOOKUP(index(split(G97 ,"", "", FALSE),1,3), Variables!$A:$B , 2, FALSE) + VLOOKUP(index(split(G97 ,"", """&amp;", FALSE),1,4), Variables!$A:$B , 2, FALSE),
)
)"),"")</f>
        <v/>
      </c>
      <c r="I97" s="310" t="s">
        <v>1648</v>
      </c>
      <c r="J97" s="313" t="s">
        <v>791</v>
      </c>
      <c r="K97" s="314">
        <f>IFERROR(VLOOKUP(C97,vote4ITEMS!$A:$C, 3, FALSE),)</f>
        <v>3</v>
      </c>
      <c r="L97" s="311" t="s">
        <v>1640</v>
      </c>
      <c r="M97" s="314">
        <f>SUM(
IF(IFERROR(SEARCH("Aura 1",L97),0) &gt; 0 , VLOOKUP("Aura 1", vote4TRAITS!A:C , 3, FALSE), ),
IF(IFERROR(SEARCH("Backswing",L97),0) &gt; 0 , VLOOKUP("Backswing", vote4TRAITS!A:C , 3, FALSE), ),
IF(IFERROR(SEARCH("Blast",L97),0) &gt; 0 , VLOOKUP("Blast", vote4TRAITS!A:C , 3, FALSE), ),
IF(IFERROR(SEARCH("Combustible",L97),0) &gt; 0 , VLOOKUP("Combustible", vote4TRAITS!A:C , 3, FALSE), ),
IF(IFERROR(SEARCH("Command",L97),0) &gt; 0 , VLOOKUP("Command", vote4TRAITS!A:C , 3, FALSE), ),
IF(IFERROR(SEARCH("Cowardly",L97),0) &gt; 0 , VLOOKUP("Cowardly", vote4TRAITS!A:C , 3, FALSE), ),
IF(IFERROR(SEARCH("Death Wish",L97),0) &gt; 0 , VLOOKUP("Death Wish", vote4TRAITS!A:C , 3, FALSE), ),
IF(IFERROR(SEARCH("Entomb",L97),0) &gt; 0 , VLOOKUP("Entomb", vote4TRAITS!A:C , 3, FALSE), ),
IF(IFERROR(SEARCH("Ethereal Hold",L97),0) &gt; 0 , VLOOKUP("Ethereal Hold", vote4TRAITS!A:C , 3, FALSE), ),
IF(IFERROR(SEARCH("Extend",L97),0) &gt; 0 , VLOOKUP("Extend", vote4TRAITS!A:C , 3, FALSE), ),
IF(IFERROR(SEARCH("Filthy Murk",L97),0) &gt; 0 , VLOOKUP("Filthy Murk", vote4TRAITS!A:C , 3, FALSE), ),
IF(IFERROR(SEARCH("Flame Fiend",L97),0) &gt; 0 , VLOOKUP("Flame Fiend", vote4TRAITS!A:C , 3, FALSE), ),
IF(IFERROR(SEARCH("Fleshmonger",L97),0) &gt; 0 , VLOOKUP("Fleshmonger", vote4TRAITS!A:C , 3, FALSE), ),
IF(IFERROR(SEARCH("Fly",L97),0) &gt; 0 , VLOOKUP("Fly", vote4TRAITS!A:C , 3, FALSE), ),
IF(IFERROR(SEARCH("Freezing",L97),0) &gt; 0 , VLOOKUP("Freezing", vote4TRAITS!A:C , 3, FALSE), ),
IF(IFERROR(SEARCH("Lithesome",L97),0) &gt; 0 , VLOOKUP("Lithesome", vote4TRAITS!A:C , 3, FALSE), ),
IF(IFERROR(SEARCH("Harrowing",L97),0) &gt; 0 , VLOOKUP("Harrowing", vote4TRAITS!A:C , 3, FALSE), ),
IF(IFERROR(SEARCH("Hideous Laughter",L97),0) &gt; 0 , VLOOKUP("Hideous Laughter", vote4TRAITS!A:C , 3, FALSE), ),
IF(IFERROR(SEARCH("Hive Defense",L97),0) &gt; 0 , VLOOKUP("Hive Defense", vote4TRAITS!A:C , 3, FALSE), ),
IF(IFERROR(SEARCH("Horrifying",L97),0) &gt; 0 , VLOOKUP("Horrifying", vote4TRAITS!A:C , 3, FALSE), ),
IF(IFERROR(SEARCH("Ironskin",L97),0) &gt; 0 , VLOOKUP("Ironskin", vote4TRAITS!A:C , 3, FALSE), ),
IF(IFERROR(SEARCH("Unmovable",L97),0) &gt; 0 , VLOOKUP("Unmovable", vote4TRAITS!A:C , 3, FALSE), ),
IF(IFERROR(SEARCH("Lifethirst 1",L97),0) &gt; 0 , VLOOKUP("Lifethirst 1", vote4TRAITS!A:C , 3, FALSE), ),
IF(IFERROR(SEARCH("Lifethirst 2",L97),0) &gt; 0 , VLOOKUP("Lifethirst 2", vote4TRAITS!A:C , 3, FALSE), ),
IF(IFERROR(SEARCH("Morph",L97),0) &gt; 0 , VLOOKUP("Morph", vote4TRAITS!A:C , 3, FALSE), ),
IF(IFERROR(SEARCH("Night Stalker",L97),0) &gt; 0 , VLOOKUP("Night Stalker", vote4TRAITS!A:C , 3, FALSE), ),
IF(IFERROR(SEARCH("Overflowing",L97),0) &gt; 0 , VLOOKUP("Overflowing", vote4TRAITS!A:C , 3, FALSE), ),
IF(IFERROR(SEARCH("Pestilence",L97),0) &gt; 0 , VLOOKUP("Pestilence", vote4TRAITS!A:C , 3, FALSE), ),
IF(IFERROR(SEARCH("Phalanx",L97),0) &gt; 0 , VLOOKUP("Phalanx", vote4TRAITS!A:C , 3, FALSE), ),
IF(IFERROR(SEARCH("Plagued",L97),0) &gt; 0 , VLOOKUP("Plagued", vote4TRAITS!A:C , 3, FALSE), ),
IF(IFERROR(SEARCH("Prey on the Weak",L97),0) &gt; 0 , VLOOKUP("Prey on the Weak", vote4TRAITS!A:C , 3, FALSE), ),
IF(IFERROR(SEARCH("Protect",L97),0) &gt; 0 , VLOOKUP("Protect", vote4TRAITS!A:C , 3, FALSE), ),
IF(IFERROR(SEARCH("Puncture",L97),0) &gt; 0 , VLOOKUP("Puncture", vote4TRAITS!A:C , 3, FALSE), ),
IF(IFERROR(SEARCH("Putrid Boils",L97),0) &gt; 0 , VLOOKUP("Putrid Boils", vote4TRAITS!A:C , 3, FALSE), ),
IF(IFERROR(SEARCH("Ravage",L97),0) &gt; 0 , VLOOKUP("Ravage", vote4TRAITS!A:C , 3, FALSE), ),
IF(IFERROR(SEARCH("Ravenous",L97),0) &gt; 0 , VLOOKUP("Ravenous", vote4TRAITS!A:C , 3, FALSE), ),
IF(IFERROR(SEARCH("Reach",L97),0) &gt; 0 , VLOOKUP("Reach", vote4TRAITS!A:C , 3, FALSE), ),
IF(IFERROR(SEARCH("Reanimation",L97),0) &gt; 0 , VLOOKUP("Reanimation", vote4TRAITS!A:C , 3, FALSE), ),
IF(IFERROR(SEARCH("Reaper",L97),0) &gt; 0 , VLOOKUP("Reaper", vote4TRAITS!A:C , 3, FALSE), ),
IF(IFERROR(SEARCH("Riposte",L97),0) &gt; 0 , VLOOKUP("Riposte", vote4TRAITS!A:C , 3, FALSE)),
IF(IFERROR(SEARCH("Scamper",L97),0) &gt; 0 , VLOOKUP("Scamper", vote4TRAITS!A:C , 3, FALSE), ),
IF(IFERROR(SEARCH("Small Beginnings",L97),0) &gt; 0 , VLOOKUP("Small Beginnings", vote4TRAITS!A:C , 3, FALSE), ),
IF(IFERROR(SEARCH("Spawner",L97),0) &gt; 0 , VLOOKUP("Spawner", vote4TRAITS!A:C , 3,FALSE), ),
IF(IFERROR(SEARCH("Shadowr",L97),0) &gt; 0 , VLOOKUP("Shadow", vote4TRAITS!A:C , 3,FALSE), ),
IF(IFERROR(SEARCH("Shadow Step",L97),0) &gt; 0 , VLOOKUP("Shadow Step", vote4TRAITS!A:C , 3,FALSE), ),
IF(IFERROR(SEARCH("Shambling",L97),0) &gt; 0 , VLOOKUP("Shambling", vote4TRAITS!A:C , 3,FALSE), ),
IF(IFERROR(SEARCH("Stealthy",L97),0) &gt; 0 , VLOOKUP("Stealthy", vote4TRAITS!A:C , 3, FALSE), ),
IF(IFERROR(SEARCH("Web",L97),0) &gt; 0 , VLOOKUP("Web", vote4TRAITS!A:C , 3, FALSE), ),
IF(IFERROR(SEARCH("+1 Willpower",L97),0) &gt; 0 , VLOOKUP("+1 Willpower", vote4TRAITS!A:C , 3, FALSE), ),
IF(IFERROR(SEARCH("+1 Might",L97),0) &gt; 0 , VLOOKUP("+1 Might", vote4TRAITS!A:C , 3, FALSE), ),
IF(IFERROR(SEARCH("+1 Knowledge",L97),0) &gt; 0 , VLOOKUP("+1 Knowledge", vote4TRAITS!A:C , 3, FALSE), ),
IF(IFERROR(SEARCH("+1 Awareness",L97),0) &gt; 0 , VLOOKUP("+1 Awareness", vote4TRAITS!A:C , 3, FALSE), ),
IF(IFERROR(SEARCH("-1 Willpower",L97),0) &gt; 0 , VLOOKUP("-1 Willpower", vote4TRAITS!A:C , 3, FALSE), ),
IF(IFERROR(SEARCH("+1 Health",L97),0) &gt; 0 , VLOOKUP("+1 Health", vote4TRAITS!A:C , 3, FALSE), ),
IF(IFERROR(SEARCH("+2 Health",L97),0) &gt; 0 , VLOOKUP("+2 Health", vote4TRAITS!A:C , 3, FALSE), ),
IF(IFERROR(SEARCH("+1 Stamina",L97),0) &gt; 0 , VLOOKUP("+1 Stamina", vote4TRAITS!A:C , 3, FALSE), ),
IF(IFERROR(SEARCH("+2 Stamina",L97),0) &gt; 0 , VLOOKUP("+2 Stamina", vote4TRAITS!A:C , 3, FALSE), ),
IFS(
IFERROR(SEARCH("+1 Range", L97),) &gt; 0 ,VLOOKUP("+1 Range", vote4TRAITS!A:C , 3, FALSE),
IFERROR(SEARCH("+2 Range", L97),) &gt; 0 ,VLOOKUP("+2 Range", vote4TRAITS!A:C , 3, FALSE),
IFERROR(SEARCH("+3 Range", L97),) &gt; 0,VLOOKUP("+3 Range", vote4TRAITS!A:C , 3, FALSE),
0=0,0)
,
IFS(
IFERROR(SEARCH("Sorcery 1", L97),) &gt; 0 ,VLOOKUP("Sorcery 1", vote4TRAITS!A:C , 3, FALSE),
IFERROR(SEARCH("Sorcery 2", L97),) &gt; 0 ,VLOOKUP("Sorcery 2", vote4TRAITS!A:C , 3, FALSE),
IFERROR(SEARCH("Sorcery 3", L97),) &gt; 0,VLOOKUP("Sorcery 3", vote4TRAITS!A:C , 3, FALSE),
0=0,0)
,
IFS(
IFERROR(SEARCH("Pierce 1", L97),) &gt; 0 ,VLOOKUP("Pierce 1", vote4TRAITS!A:C , 3, FALSE),
IFERROR(SEARCH("Pierce 2", L97),) &gt; 0 ,VLOOKUP("Pierce 2", vote4TRAITS!A:C , 3, FALSE),
IFERROR(SEARCH("Pierce 3", L97),) &gt; 0,VLOOKUP("Pierce 3", vote4TRAITS!A:C , 3, FALSE),
IFERROR(SEARCH("Pierce 4", L97),) &gt; 0 ,VLOOKUP("Pierce 4", vote4TRAITS!A:C , 3, FALSE),
0=0,0)
,
IFS(
IFERROR(SEARCH("+1 Health", L97),) &gt; 0 ,VLOOKUP("+1 Health", vote4TRAITS!A:C , 3, FALSE),
IFERROR(SEARCH("+2 Health", L97),) &gt; 0 ,VLOOKUP("+2 Health", vote4TRAITS!A:C , 3, FALSE),
IFERROR(SEARCH("+3 Health", L97),) &gt; 0 ,VLOOKUP("+3 Health", vote4TRAITS!A:C , 3, FALSE),
IFERROR(SEARCH("+4 Health", L97),) &gt; 0 ,VLOOKUP("+4 Health", vote4TRAITS!A:C , 3, FALSE),
0=0,0)
,
IFS(
IFERROR(SEARCH("Soul Shackle 1", L97),) &gt; 0 ,VLOOKUP("Soul Shackle 1", vote4TRAITS!A:C , 3, FALSE),
IFERROR(SEARCH("Soul Shackle 2", L97),) &gt; 0 ,VLOOKUP("Soul Shackle 2", vote4TRAITS!A:C , 3, FALSE),
IFERROR(SEARCH("Soul Shackle 3", L97),) &gt; 0,VLOOKUP("Soul Shackle 3", vote4TRAITS!A:C , 3, FALSE),
0=0,0)
)</f>
        <v>4</v>
      </c>
      <c r="N97" s="313"/>
      <c r="O97" s="317" t="str">
        <f>IF(ISBLANK(N97),,IFERROR(
IF(IFERROR(SEARCH("SS:",N97),0) &gt; 0, 
VLOOKUP(SUBSTITUTE(N97,"SS: ",""),vote4SURGE!$A:$C , 3, FALSE) - 2,
VLOOKUP(SUBSTITUTE(N97,"S: ",""),vote4SURGE!$A:$C , 3, FALSE)
)
,
IF(IFERROR(SEARCH("SS:",N97),0) &gt; 0, 
VLOOKUP(C97,vote4SURGE!$A:$C , 3, FALSE) - 2,
VLOOKUP(C97,vote4SURGE!$A:$C , 3, FALSE)
)
))</f>
        <v/>
      </c>
      <c r="P97" s="318"/>
      <c r="Q97" s="317" t="str">
        <f>IF(ISBLANK(P97),,IFERROR(
IF(IFERROR(SEARCH("SS:",P97),0) &gt; 0, 
VLOOKUP(SUBSTITUTE(P97,"SS: ",""),vote4SURGE!$A:$C , 3, FALSE) - 2,
VLOOKUP(SUBSTITUTE(P97,"S: ",""),vote4SURGE!$A:$C , 3, FALSE)
)
,
IF(IFERROR(SEARCH("SS:",P97),0) &gt; 0, 
VLOOKUP(C97,vote4SURGE!$A:$C , 3, FALSE) - 2,
VLOOKUP(C97,vote4SURGE!$A:$C , 3, FALSE)
)
))</f>
        <v/>
      </c>
      <c r="R97" s="318"/>
      <c r="S97" s="319" t="str">
        <f>IF(ISBLANK(R97),,IFERROR(
IF(IFERROR(SEARCH("SS:",R97),0) &gt; 0, 
VLOOKUP(SUBSTITUTE(R97,"SS: ",""),vote4SURGE!$A:$C , 3, FALSE) - 2,
VLOOKUP(SUBSTITUTE(R97,"S: ",""),vote4SURGE!$A:$C , 3, FALSE)
)
,
IF(IFERROR(SEARCH("SS:",R97),0) &gt; 0, 
VLOOKUP(C97,vote4SURGE!$A:$C , 3, FALSE) - 2,
VLOOKUP(C97,vote4SURGE!$A:$C , 3, FALSE)
)
))</f>
        <v/>
      </c>
      <c r="T97" s="320">
        <f t="shared" si="2"/>
        <v>0</v>
      </c>
      <c r="U97" s="320">
        <f>IFERROR(__xludf.DUMMYFUNCTION("ROUND(
IF(ISBLANK(G97),,
SWITCH(
LEN(G97) - LEN(SUBSTITUTE(G97,"","","""")),
0 , VLOOKUP(G97, Variables!$A:$C, 3, FALSE),
1 , VLOOKUP(index(split(G97 ,"", "", FALSE),1,1), Variables!$A:$C , 3, FALSE) + VLOOKUP(index(split(G97 ,"", "", FALSE),1,2), Variabl"&amp;"es!$A:$C , 3, FALSE),
2 , VLOOKUP(index(split(G97 ,"", "", FALSE),1,1), Variables!$A:$C , 3, FALSE) + VLOOKUP(index(split(G97 ,"", "", FALSE),1,2), Variables!$A:$C , 3, FALSE) + VLOOKUP(index(split(G97 ,"", "", FALSE),1,3), Variables!$A:$C , 3, FALSE),
3 "&amp;", VLOOKUP(index(split(G97 ,"", "", FALSE),1,1), Variables!$A:$C , 3, FALSE) + VLOOKUP(index(split(G97 ,"", "", FALSE),1,2), Variables!$A:$C , 3, FALSE) + VLOOKUP(index(split(G97 ,"", "", FALSE),1,3), Variables!$A:$C , 3, FALSE) + VLOOKUP(index(split(G97 ,"&amp;""", "", FALSE),1,4), Variables!$A:$C , 3, FALSE),
)
)
)"),0.0)</f>
        <v>0</v>
      </c>
      <c r="V97" s="317">
        <f t="shared" si="3"/>
        <v>0</v>
      </c>
      <c r="W97" s="321">
        <f t="shared" si="4"/>
        <v>7</v>
      </c>
      <c r="X97" s="118"/>
      <c r="Y97" s="118"/>
      <c r="Z97" s="118"/>
      <c r="AA97" s="118"/>
      <c r="AB97" s="118"/>
      <c r="AC97" s="118"/>
      <c r="AD97" s="118"/>
      <c r="AE97" s="118"/>
    </row>
    <row r="98" hidden="1">
      <c r="A98" s="310">
        <v>1.0</v>
      </c>
      <c r="B98" s="93">
        <f t="shared" si="1"/>
        <v>2</v>
      </c>
      <c r="C98" s="310" t="s">
        <v>1649</v>
      </c>
      <c r="D98" s="310">
        <v>75.0</v>
      </c>
      <c r="E98" s="310" t="s">
        <v>1629</v>
      </c>
      <c r="F98" s="310"/>
      <c r="G98" s="313"/>
      <c r="H98" s="312" t="str">
        <f>IFERROR(__xludf.DUMMYFUNCTION(" IF(ISBLANK(G98),,
SWITCH(
LEN(G98) - LEN(SUBSTITUTE(G98,"","","""")),
0 , VLOOKUP(G98, Variables!$A:$B, 2, FALSE),
1 , VLOOKUP(index(split(G98 ,"", "", FALSE),1,1), Variables!$A:$B , 2, FALSE) + VLOOKUP(index(split(G98 ,"", "", FALSE),1,2), Variables!$A:"&amp;"$B , 2, FALSE),
2 , VLOOKUP(index(split(G98 ,"", "", FALSE),1,1), Variables!$A:$B , 2, FALSE) + VLOOKUP(index(split(G98 ,"", "", FALSE),1,2), Variables!$A:$B , 2, FALSE) + VLOOKUP(index(split(G98 ,"", "", FALSE),1,3), Variables!$A:$B , 2, FALSE),
3 , VLOO"&amp;"KUP(index(split(G98 ,"", "", FALSE),1,1), Variables!$A:$B , 2, FALSE) + VLOOKUP(index(split(G98 ,"", "", FALSE),1,2), Variables!$A:$B , 2, FALSE) + VLOOKUP(index(split(G98 ,"", "", FALSE),1,3), Variables!$A:$B , 2, FALSE) + VLOOKUP(index(split(G98 ,"", """&amp;", FALSE),1,4), Variables!$A:$B , 2, FALSE),
)
)"),"")</f>
        <v/>
      </c>
      <c r="I98" s="310" t="s">
        <v>1648</v>
      </c>
      <c r="J98" s="313"/>
      <c r="K98" s="314" t="str">
        <f>IFERROR(VLOOKUP(C98,vote4ITEMS!$A:$C, 3, FALSE),)</f>
        <v/>
      </c>
      <c r="L98" s="311" t="s">
        <v>1650</v>
      </c>
      <c r="M98" s="314">
        <f>SUM(
IF(IFERROR(SEARCH("Aura 1",L98),0) &gt; 0 , VLOOKUP("Aura 1", vote4TRAITS!A:C , 3, FALSE), ),
IF(IFERROR(SEARCH("Backswing",L98),0) &gt; 0 , VLOOKUP("Backswing", vote4TRAITS!A:C , 3, FALSE), ),
IF(IFERROR(SEARCH("Blast",L98),0) &gt; 0 , VLOOKUP("Blast", vote4TRAITS!A:C , 3, FALSE), ),
IF(IFERROR(SEARCH("Combustible",L98),0) &gt; 0 , VLOOKUP("Combustible", vote4TRAITS!A:C , 3, FALSE), ),
IF(IFERROR(SEARCH("Command",L98),0) &gt; 0 , VLOOKUP("Command", vote4TRAITS!A:C , 3, FALSE), ),
IF(IFERROR(SEARCH("Cowardly",L98),0) &gt; 0 , VLOOKUP("Cowardly", vote4TRAITS!A:C , 3, FALSE), ),
IF(IFERROR(SEARCH("Death Wish",L98),0) &gt; 0 , VLOOKUP("Death Wish", vote4TRAITS!A:C , 3, FALSE), ),
IF(IFERROR(SEARCH("Entomb",L98),0) &gt; 0 , VLOOKUP("Entomb", vote4TRAITS!A:C , 3, FALSE), ),
IF(IFERROR(SEARCH("Ethereal Hold",L98),0) &gt; 0 , VLOOKUP("Ethereal Hold", vote4TRAITS!A:C , 3, FALSE), ),
IF(IFERROR(SEARCH("Extend",L98),0) &gt; 0 , VLOOKUP("Extend", vote4TRAITS!A:C , 3, FALSE), ),
IF(IFERROR(SEARCH("Filthy Murk",L98),0) &gt; 0 , VLOOKUP("Filthy Murk", vote4TRAITS!A:C , 3, FALSE), ),
IF(IFERROR(SEARCH("Flame Fiend",L98),0) &gt; 0 , VLOOKUP("Flame Fiend", vote4TRAITS!A:C , 3, FALSE), ),
IF(IFERROR(SEARCH("Fleshmonger",L98),0) &gt; 0 , VLOOKUP("Fleshmonger", vote4TRAITS!A:C , 3, FALSE), ),
IF(IFERROR(SEARCH("Fly",L98),0) &gt; 0 , VLOOKUP("Fly", vote4TRAITS!A:C , 3, FALSE), ),
IF(IFERROR(SEARCH("Freezing",L98),0) &gt; 0 , VLOOKUP("Freezing", vote4TRAITS!A:C , 3, FALSE), ),
IF(IFERROR(SEARCH("Lithesome",L98),0) &gt; 0 , VLOOKUP("Lithesome", vote4TRAITS!A:C , 3, FALSE), ),
IF(IFERROR(SEARCH("Harrowing",L98),0) &gt; 0 , VLOOKUP("Harrowing", vote4TRAITS!A:C , 3, FALSE), ),
IF(IFERROR(SEARCH("Hideous Laughter",L98),0) &gt; 0 , VLOOKUP("Hideous Laughter", vote4TRAITS!A:C , 3, FALSE), ),
IF(IFERROR(SEARCH("Hive Defense",L98),0) &gt; 0 , VLOOKUP("Hive Defense", vote4TRAITS!A:C , 3, FALSE), ),
IF(IFERROR(SEARCH("Horrifying",L98),0) &gt; 0 , VLOOKUP("Horrifying", vote4TRAITS!A:C , 3, FALSE), ),
IF(IFERROR(SEARCH("Ironskin",L98),0) &gt; 0 , VLOOKUP("Ironskin", vote4TRAITS!A:C , 3, FALSE), ),
IF(IFERROR(SEARCH("Unmovable",L98),0) &gt; 0 , VLOOKUP("Unmovable", vote4TRAITS!A:C , 3, FALSE), ),
IF(IFERROR(SEARCH("Lifethirst 1",L98),0) &gt; 0 , VLOOKUP("Lifethirst 1", vote4TRAITS!A:C , 3, FALSE), ),
IF(IFERROR(SEARCH("Lifethirst 2",L98),0) &gt; 0 , VLOOKUP("Lifethirst 2", vote4TRAITS!A:C , 3, FALSE), ),
IF(IFERROR(SEARCH("Morph",L98),0) &gt; 0 , VLOOKUP("Morph", vote4TRAITS!A:C , 3, FALSE), ),
IF(IFERROR(SEARCH("Night Stalker",L98),0) &gt; 0 , VLOOKUP("Night Stalker", vote4TRAITS!A:C , 3, FALSE), ),
IF(IFERROR(SEARCH("Overflowing",L98),0) &gt; 0 , VLOOKUP("Overflowing", vote4TRAITS!A:C , 3, FALSE), ),
IF(IFERROR(SEARCH("Pestilence",L98),0) &gt; 0 , VLOOKUP("Pestilence", vote4TRAITS!A:C , 3, FALSE), ),
IF(IFERROR(SEARCH("Phalanx",L98),0) &gt; 0 , VLOOKUP("Phalanx", vote4TRAITS!A:C , 3, FALSE), ),
IF(IFERROR(SEARCH("Plagued",L98),0) &gt; 0 , VLOOKUP("Plagued", vote4TRAITS!A:C , 3, FALSE), ),
IF(IFERROR(SEARCH("Prey on the Weak",L98),0) &gt; 0 , VLOOKUP("Prey on the Weak", vote4TRAITS!A:C , 3, FALSE), ),
IF(IFERROR(SEARCH("Protect",L98),0) &gt; 0 , VLOOKUP("Protect", vote4TRAITS!A:C , 3, FALSE), ),
IF(IFERROR(SEARCH("Puncture",L98),0) &gt; 0 , VLOOKUP("Puncture", vote4TRAITS!A:C , 3, FALSE), ),
IF(IFERROR(SEARCH("Putrid Boils",L98),0) &gt; 0 , VLOOKUP("Putrid Boils", vote4TRAITS!A:C , 3, FALSE), ),
IF(IFERROR(SEARCH("Ravage",L98),0) &gt; 0 , VLOOKUP("Ravage", vote4TRAITS!A:C , 3, FALSE), ),
IF(IFERROR(SEARCH("Ravenous",L98),0) &gt; 0 , VLOOKUP("Ravenous", vote4TRAITS!A:C , 3, FALSE), ),
IF(IFERROR(SEARCH("Reach",L98),0) &gt; 0 , VLOOKUP("Reach", vote4TRAITS!A:C , 3, FALSE), ),
IF(IFERROR(SEARCH("Reanimation",L98),0) &gt; 0 , VLOOKUP("Reanimation", vote4TRAITS!A:C , 3, FALSE), ),
IF(IFERROR(SEARCH("Reaper",L98),0) &gt; 0 , VLOOKUP("Reaper", vote4TRAITS!A:C , 3, FALSE), ),
IF(IFERROR(SEARCH("Riposte",L98),0) &gt; 0 , VLOOKUP("Riposte", vote4TRAITS!A:C , 3, FALSE)),
IF(IFERROR(SEARCH("Scamper",L98),0) &gt; 0 , VLOOKUP("Scamper", vote4TRAITS!A:C , 3, FALSE), ),
IF(IFERROR(SEARCH("Small Beginnings",L98),0) &gt; 0 , VLOOKUP("Small Beginnings", vote4TRAITS!A:C , 3, FALSE), ),
IF(IFERROR(SEARCH("Spawner",L98),0) &gt; 0 , VLOOKUP("Spawner", vote4TRAITS!A:C , 3,FALSE), ),
IF(IFERROR(SEARCH("Shadowr",L98),0) &gt; 0 , VLOOKUP("Shadow", vote4TRAITS!A:C , 3,FALSE), ),
IF(IFERROR(SEARCH("Shadow Step",L98),0) &gt; 0 , VLOOKUP("Shadow Step", vote4TRAITS!A:C , 3,FALSE), ),
IF(IFERROR(SEARCH("Shambling",L98),0) &gt; 0 , VLOOKUP("Shambling", vote4TRAITS!A:C , 3,FALSE), ),
IF(IFERROR(SEARCH("Stealthy",L98),0) &gt; 0 , VLOOKUP("Stealthy", vote4TRAITS!A:C , 3, FALSE), ),
IF(IFERROR(SEARCH("Web",L98),0) &gt; 0 , VLOOKUP("Web", vote4TRAITS!A:C , 3, FALSE), ),
IF(IFERROR(SEARCH("+1 Willpower",L98),0) &gt; 0 , VLOOKUP("+1 Willpower", vote4TRAITS!A:C , 3, FALSE), ),
IF(IFERROR(SEARCH("+1 Might",L98),0) &gt; 0 , VLOOKUP("+1 Might", vote4TRAITS!A:C , 3, FALSE), ),
IF(IFERROR(SEARCH("+1 Knowledge",L98),0) &gt; 0 , VLOOKUP("+1 Knowledge", vote4TRAITS!A:C , 3, FALSE), ),
IF(IFERROR(SEARCH("+1 Awareness",L98),0) &gt; 0 , VLOOKUP("+1 Awareness", vote4TRAITS!A:C , 3, FALSE), ),
IF(IFERROR(SEARCH("-1 Willpower",L98),0) &gt; 0 , VLOOKUP("-1 Willpower", vote4TRAITS!A:C , 3, FALSE), ),
IF(IFERROR(SEARCH("+1 Health",L98),0) &gt; 0 , VLOOKUP("+1 Health", vote4TRAITS!A:C , 3, FALSE), ),
IF(IFERROR(SEARCH("+2 Health",L98),0) &gt; 0 , VLOOKUP("+2 Health", vote4TRAITS!A:C , 3, FALSE), ),
IF(IFERROR(SEARCH("+1 Stamina",L98),0) &gt; 0 , VLOOKUP("+1 Stamina", vote4TRAITS!A:C , 3, FALSE), ),
IF(IFERROR(SEARCH("+2 Stamina",L98),0) &gt; 0 , VLOOKUP("+2 Stamina", vote4TRAITS!A:C , 3, FALSE), ),
IFS(
IFERROR(SEARCH("+1 Range", L98),) &gt; 0 ,VLOOKUP("+1 Range", vote4TRAITS!A:C , 3, FALSE),
IFERROR(SEARCH("+2 Range", L98),) &gt; 0 ,VLOOKUP("+2 Range", vote4TRAITS!A:C , 3, FALSE),
IFERROR(SEARCH("+3 Range", L98),) &gt; 0,VLOOKUP("+3 Range", vote4TRAITS!A:C , 3, FALSE),
0=0,0)
,
IFS(
IFERROR(SEARCH("Sorcery 1", L98),) &gt; 0 ,VLOOKUP("Sorcery 1", vote4TRAITS!A:C , 3, FALSE),
IFERROR(SEARCH("Sorcery 2", L98),) &gt; 0 ,VLOOKUP("Sorcery 2", vote4TRAITS!A:C , 3, FALSE),
IFERROR(SEARCH("Sorcery 3", L98),) &gt; 0,VLOOKUP("Sorcery 3", vote4TRAITS!A:C , 3, FALSE),
0=0,0)
,
IFS(
IFERROR(SEARCH("Pierce 1", L98),) &gt; 0 ,VLOOKUP("Pierce 1", vote4TRAITS!A:C , 3, FALSE),
IFERROR(SEARCH("Pierce 2", L98),) &gt; 0 ,VLOOKUP("Pierce 2", vote4TRAITS!A:C , 3, FALSE),
IFERROR(SEARCH("Pierce 3", L98),) &gt; 0,VLOOKUP("Pierce 3", vote4TRAITS!A:C , 3, FALSE),
IFERROR(SEARCH("Pierce 4", L98),) &gt; 0 ,VLOOKUP("Pierce 4", vote4TRAITS!A:C , 3, FALSE),
0=0,0)
,
IFS(
IFERROR(SEARCH("+1 Health", L98),) &gt; 0 ,VLOOKUP("+1 Health", vote4TRAITS!A:C , 3, FALSE),
IFERROR(SEARCH("+2 Health", L98),) &gt; 0 ,VLOOKUP("+2 Health", vote4TRAITS!A:C , 3, FALSE),
IFERROR(SEARCH("+3 Health", L98),) &gt; 0 ,VLOOKUP("+3 Health", vote4TRAITS!A:C , 3, FALSE),
IFERROR(SEARCH("+4 Health", L98),) &gt; 0 ,VLOOKUP("+4 Health", vote4TRAITS!A:C , 3, FALSE),
0=0,0)
,
IFS(
IFERROR(SEARCH("Soul Shackle 1", L98),) &gt; 0 ,VLOOKUP("Soul Shackle 1", vote4TRAITS!A:C , 3, FALSE),
IFERROR(SEARCH("Soul Shackle 2", L98),) &gt; 0 ,VLOOKUP("Soul Shackle 2", vote4TRAITS!A:C , 3, FALSE),
IFERROR(SEARCH("Soul Shackle 3", L98),) &gt; 0,VLOOKUP("Soul Shackle 3", vote4TRAITS!A:C , 3, FALSE),
0=0,0)
)</f>
        <v>3</v>
      </c>
      <c r="N98" s="311" t="s">
        <v>1600</v>
      </c>
      <c r="O98" s="317">
        <f>IF(ISBLANK(N98),,IFERROR(
IF(IFERROR(SEARCH("SS:",N98),0) &gt; 0, 
VLOOKUP(SUBSTITUTE(N98,"SS: ",""),vote4SURGE!$A:$C , 3, FALSE) - 2,
VLOOKUP(SUBSTITUTE(N98,"S: ",""),vote4SURGE!$A:$C , 3, FALSE)
)
,
IF(IFERROR(SEARCH("SS:",N98),0) &gt; 0, 
VLOOKUP(C98,vote4SURGE!$A:$C , 3, FALSE) - 2,
VLOOKUP(C98,vote4SURGE!$A:$C , 3, FALSE)
)
))</f>
        <v>4</v>
      </c>
      <c r="P98" s="318"/>
      <c r="Q98" s="317" t="str">
        <f>IF(ISBLANK(P98),,IFERROR(
IF(IFERROR(SEARCH("SS:",P98),0) &gt; 0, 
VLOOKUP(SUBSTITUTE(P98,"SS: ",""),vote4SURGE!$A:$C , 3, FALSE) - 2,
VLOOKUP(SUBSTITUTE(P98,"S: ",""),vote4SURGE!$A:$C , 3, FALSE)
)
,
IF(IFERROR(SEARCH("SS:",P98),0) &gt; 0, 
VLOOKUP(C98,vote4SURGE!$A:$C , 3, FALSE) - 2,
VLOOKUP(C98,vote4SURGE!$A:$C , 3, FALSE)
)
))</f>
        <v/>
      </c>
      <c r="R98" s="318"/>
      <c r="S98" s="319" t="str">
        <f>IF(ISBLANK(R98),,IFERROR(
IF(IFERROR(SEARCH("SS:",R98),0) &gt; 0, 
VLOOKUP(SUBSTITUTE(R98,"SS: ",""),vote4SURGE!$A:$C , 3, FALSE) - 2,
VLOOKUP(SUBSTITUTE(R98,"S: ",""),vote4SURGE!$A:$C , 3, FALSE)
)
,
IF(IFERROR(SEARCH("SS:",R98),0) &gt; 0, 
VLOOKUP(C98,vote4SURGE!$A:$C , 3, FALSE) - 2,
VLOOKUP(C98,vote4SURGE!$A:$C , 3, FALSE)
)
))</f>
        <v/>
      </c>
      <c r="T98" s="320">
        <f t="shared" si="2"/>
        <v>1</v>
      </c>
      <c r="U98" s="320">
        <f>IFERROR(__xludf.DUMMYFUNCTION("ROUND(
IF(ISBLANK(G98),,
SWITCH(
LEN(G98) - LEN(SUBSTITUTE(G98,"","","""")),
0 , VLOOKUP(G98, Variables!$A:$C, 3, FALSE),
1 , VLOOKUP(index(split(G98 ,"", "", FALSE),1,1), Variables!$A:$C , 3, FALSE) + VLOOKUP(index(split(G98 ,"", "", FALSE),1,2), Variabl"&amp;"es!$A:$C , 3, FALSE),
2 , VLOOKUP(index(split(G98 ,"", "", FALSE),1,1), Variables!$A:$C , 3, FALSE) + VLOOKUP(index(split(G98 ,"", "", FALSE),1,2), Variables!$A:$C , 3, FALSE) + VLOOKUP(index(split(G98 ,"", "", FALSE),1,3), Variables!$A:$C , 3, FALSE),
3 "&amp;", VLOOKUP(index(split(G98 ,"", "", FALSE),1,1), Variables!$A:$C , 3, FALSE) + VLOOKUP(index(split(G98 ,"", "", FALSE),1,2), Variables!$A:$C , 3, FALSE) + VLOOKUP(index(split(G98 ,"", "", FALSE),1,3), Variables!$A:$C , 3, FALSE) + VLOOKUP(index(split(G98 ,"&amp;""", "", FALSE),1,4), Variables!$A:$C , 3, FALSE),
)
)
)"),0.0)</f>
        <v>0</v>
      </c>
      <c r="V98" s="317">
        <f t="shared" si="3"/>
        <v>4</v>
      </c>
      <c r="W98" s="321">
        <f t="shared" si="4"/>
        <v>7</v>
      </c>
      <c r="X98" s="118"/>
      <c r="Y98" s="118"/>
      <c r="Z98" s="118"/>
      <c r="AA98" s="118"/>
      <c r="AB98" s="118"/>
      <c r="AC98" s="118"/>
      <c r="AD98" s="118"/>
      <c r="AE98" s="118"/>
    </row>
    <row r="99" hidden="1">
      <c r="A99" s="310">
        <v>1.0</v>
      </c>
      <c r="B99" s="93" t="str">
        <f t="shared" si="1"/>
        <v/>
      </c>
      <c r="C99" s="310" t="s">
        <v>1651</v>
      </c>
      <c r="D99" s="323">
        <v>0.0</v>
      </c>
      <c r="E99" s="310" t="s">
        <v>1527</v>
      </c>
      <c r="F99" s="310" t="s">
        <v>1531</v>
      </c>
      <c r="G99" s="313" t="s">
        <v>1592</v>
      </c>
      <c r="H99" s="312">
        <f>IFERROR(__xludf.DUMMYFUNCTION(" IF(ISBLANK(G99),,
SWITCH(
LEN(G99) - LEN(SUBSTITUTE(G99,"","","""")),
0 , VLOOKUP(G99, Variables!$A:$B, 2, FALSE),
1 , VLOOKUP(index(split(G99 ,"", "", FALSE),1,1), Variables!$A:$B , 2, FALSE) + VLOOKUP(index(split(G99 ,"", "", FALSE),1,2), Variables!$A:"&amp;"$B , 2, FALSE),
2 , VLOOKUP(index(split(G99 ,"", "", FALSE),1,1), Variables!$A:$B , 2, FALSE) + VLOOKUP(index(split(G99 ,"", "", FALSE),1,2), Variables!$A:$B , 2, FALSE) + VLOOKUP(index(split(G99 ,"", "", FALSE),1,3), Variables!$A:$B , 2, FALSE),
3 , VLOO"&amp;"KUP(index(split(G99 ,"", "", FALSE),1,1), Variables!$A:$B , 2, FALSE) + VLOOKUP(index(split(G99 ,"", "", FALSE),1,2), Variables!$A:$B , 2, FALSE) + VLOOKUP(index(split(G99 ,"", "", FALSE),1,3), Variables!$A:$B , 2, FALSE) + VLOOKUP(index(split(G99 ,"", """&amp;", FALSE),1,4), Variables!$A:$B , 2, FALSE),
)
)"),1.8333333333333335)</f>
        <v>1.833333333</v>
      </c>
      <c r="I99" s="310" t="s">
        <v>1561</v>
      </c>
      <c r="J99" s="313"/>
      <c r="K99" s="314" t="str">
        <f>IFERROR(VLOOKUP(C99,vote4ITEMS!$A:$C, 3, FALSE),)</f>
        <v/>
      </c>
      <c r="L99" s="313"/>
      <c r="M99" s="314">
        <f>SUM(
IF(IFERROR(SEARCH("Aura 1",L99),0) &gt; 0 , VLOOKUP("Aura 1", vote4TRAITS!A:C , 3, FALSE), ),
IF(IFERROR(SEARCH("Backswing",L99),0) &gt; 0 , VLOOKUP("Backswing", vote4TRAITS!A:C , 3, FALSE), ),
IF(IFERROR(SEARCH("Blast",L99),0) &gt; 0 , VLOOKUP("Blast", vote4TRAITS!A:C , 3, FALSE), ),
IF(IFERROR(SEARCH("Combustible",L99),0) &gt; 0 , VLOOKUP("Combustible", vote4TRAITS!A:C , 3, FALSE), ),
IF(IFERROR(SEARCH("Command",L99),0) &gt; 0 , VLOOKUP("Command", vote4TRAITS!A:C , 3, FALSE), ),
IF(IFERROR(SEARCH("Cowardly",L99),0) &gt; 0 , VLOOKUP("Cowardly", vote4TRAITS!A:C , 3, FALSE), ),
IF(IFERROR(SEARCH("Death Wish",L99),0) &gt; 0 , VLOOKUP("Death Wish", vote4TRAITS!A:C , 3, FALSE), ),
IF(IFERROR(SEARCH("Entomb",L99),0) &gt; 0 , VLOOKUP("Entomb", vote4TRAITS!A:C , 3, FALSE), ),
IF(IFERROR(SEARCH("Ethereal Hold",L99),0) &gt; 0 , VLOOKUP("Ethereal Hold", vote4TRAITS!A:C , 3, FALSE), ),
IF(IFERROR(SEARCH("Extend",L99),0) &gt; 0 , VLOOKUP("Extend", vote4TRAITS!A:C , 3, FALSE), ),
IF(IFERROR(SEARCH("Filthy Murk",L99),0) &gt; 0 , VLOOKUP("Filthy Murk", vote4TRAITS!A:C , 3, FALSE), ),
IF(IFERROR(SEARCH("Flame Fiend",L99),0) &gt; 0 , VLOOKUP("Flame Fiend", vote4TRAITS!A:C , 3, FALSE), ),
IF(IFERROR(SEARCH("Fleshmonger",L99),0) &gt; 0 , VLOOKUP("Fleshmonger", vote4TRAITS!A:C , 3, FALSE), ),
IF(IFERROR(SEARCH("Fly",L99),0) &gt; 0 , VLOOKUP("Fly", vote4TRAITS!A:C , 3, FALSE), ),
IF(IFERROR(SEARCH("Freezing",L99),0) &gt; 0 , VLOOKUP("Freezing", vote4TRAITS!A:C , 3, FALSE), ),
IF(IFERROR(SEARCH("Lithesome",L99),0) &gt; 0 , VLOOKUP("Lithesome", vote4TRAITS!A:C , 3, FALSE), ),
IF(IFERROR(SEARCH("Harrowing",L99),0) &gt; 0 , VLOOKUP("Harrowing", vote4TRAITS!A:C , 3, FALSE), ),
IF(IFERROR(SEARCH("Hideous Laughter",L99),0) &gt; 0 , VLOOKUP("Hideous Laughter", vote4TRAITS!A:C , 3, FALSE), ),
IF(IFERROR(SEARCH("Hive Defense",L99),0) &gt; 0 , VLOOKUP("Hive Defense", vote4TRAITS!A:C , 3, FALSE), ),
IF(IFERROR(SEARCH("Horrifying",L99),0) &gt; 0 , VLOOKUP("Horrifying", vote4TRAITS!A:C , 3, FALSE), ),
IF(IFERROR(SEARCH("Ironskin",L99),0) &gt; 0 , VLOOKUP("Ironskin", vote4TRAITS!A:C , 3, FALSE), ),
IF(IFERROR(SEARCH("Unmovable",L99),0) &gt; 0 , VLOOKUP("Unmovable", vote4TRAITS!A:C , 3, FALSE), ),
IF(IFERROR(SEARCH("Lifethirst 1",L99),0) &gt; 0 , VLOOKUP("Lifethirst 1", vote4TRAITS!A:C , 3, FALSE), ),
IF(IFERROR(SEARCH("Lifethirst 2",L99),0) &gt; 0 , VLOOKUP("Lifethirst 2", vote4TRAITS!A:C , 3, FALSE), ),
IF(IFERROR(SEARCH("Morph",L99),0) &gt; 0 , VLOOKUP("Morph", vote4TRAITS!A:C , 3, FALSE), ),
IF(IFERROR(SEARCH("Night Stalker",L99),0) &gt; 0 , VLOOKUP("Night Stalker", vote4TRAITS!A:C , 3, FALSE), ),
IF(IFERROR(SEARCH("Overflowing",L99),0) &gt; 0 , VLOOKUP("Overflowing", vote4TRAITS!A:C , 3, FALSE), ),
IF(IFERROR(SEARCH("Pestilence",L99),0) &gt; 0 , VLOOKUP("Pestilence", vote4TRAITS!A:C , 3, FALSE), ),
IF(IFERROR(SEARCH("Phalanx",L99),0) &gt; 0 , VLOOKUP("Phalanx", vote4TRAITS!A:C , 3, FALSE), ),
IF(IFERROR(SEARCH("Plagued",L99),0) &gt; 0 , VLOOKUP("Plagued", vote4TRAITS!A:C , 3, FALSE), ),
IF(IFERROR(SEARCH("Prey on the Weak",L99),0) &gt; 0 , VLOOKUP("Prey on the Weak", vote4TRAITS!A:C , 3, FALSE), ),
IF(IFERROR(SEARCH("Protect",L99),0) &gt; 0 , VLOOKUP("Protect", vote4TRAITS!A:C , 3, FALSE), ),
IF(IFERROR(SEARCH("Puncture",L99),0) &gt; 0 , VLOOKUP("Puncture", vote4TRAITS!A:C , 3, FALSE), ),
IF(IFERROR(SEARCH("Putrid Boils",L99),0) &gt; 0 , VLOOKUP("Putrid Boils", vote4TRAITS!A:C , 3, FALSE), ),
IF(IFERROR(SEARCH("Ravage",L99),0) &gt; 0 , VLOOKUP("Ravage", vote4TRAITS!A:C , 3, FALSE), ),
IF(IFERROR(SEARCH("Ravenous",L99),0) &gt; 0 , VLOOKUP("Ravenous", vote4TRAITS!A:C , 3, FALSE), ),
IF(IFERROR(SEARCH("Reach",L99),0) &gt; 0 , VLOOKUP("Reach", vote4TRAITS!A:C , 3, FALSE), ),
IF(IFERROR(SEARCH("Reanimation",L99),0) &gt; 0 , VLOOKUP("Reanimation", vote4TRAITS!A:C , 3, FALSE), ),
IF(IFERROR(SEARCH("Reaper",L99),0) &gt; 0 , VLOOKUP("Reaper", vote4TRAITS!A:C , 3, FALSE), ),
IF(IFERROR(SEARCH("Riposte",L99),0) &gt; 0 , VLOOKUP("Riposte", vote4TRAITS!A:C , 3, FALSE)),
IF(IFERROR(SEARCH("Scamper",L99),0) &gt; 0 , VLOOKUP("Scamper", vote4TRAITS!A:C , 3, FALSE), ),
IF(IFERROR(SEARCH("Small Beginnings",L99),0) &gt; 0 , VLOOKUP("Small Beginnings", vote4TRAITS!A:C , 3, FALSE), ),
IF(IFERROR(SEARCH("Spawner",L99),0) &gt; 0 , VLOOKUP("Spawner", vote4TRAITS!A:C , 3,FALSE), ),
IF(IFERROR(SEARCH("Shadowr",L99),0) &gt; 0 , VLOOKUP("Shadow", vote4TRAITS!A:C , 3,FALSE), ),
IF(IFERROR(SEARCH("Shadow Step",L99),0) &gt; 0 , VLOOKUP("Shadow Step", vote4TRAITS!A:C , 3,FALSE), ),
IF(IFERROR(SEARCH("Shambling",L99),0) &gt; 0 , VLOOKUP("Shambling", vote4TRAITS!A:C , 3,FALSE), ),
IF(IFERROR(SEARCH("Stealthy",L99),0) &gt; 0 , VLOOKUP("Stealthy", vote4TRAITS!A:C , 3, FALSE), ),
IF(IFERROR(SEARCH("Web",L99),0) &gt; 0 , VLOOKUP("Web", vote4TRAITS!A:C , 3, FALSE), ),
IF(IFERROR(SEARCH("+1 Willpower",L99),0) &gt; 0 , VLOOKUP("+1 Willpower", vote4TRAITS!A:C , 3, FALSE), ),
IF(IFERROR(SEARCH("+1 Might",L99),0) &gt; 0 , VLOOKUP("+1 Might", vote4TRAITS!A:C , 3, FALSE), ),
IF(IFERROR(SEARCH("+1 Knowledge",L99),0) &gt; 0 , VLOOKUP("+1 Knowledge", vote4TRAITS!A:C , 3, FALSE), ),
IF(IFERROR(SEARCH("+1 Awareness",L99),0) &gt; 0 , VLOOKUP("+1 Awareness", vote4TRAITS!A:C , 3, FALSE), ),
IF(IFERROR(SEARCH("-1 Willpower",L99),0) &gt; 0 , VLOOKUP("-1 Willpower", vote4TRAITS!A:C , 3, FALSE), ),
IF(IFERROR(SEARCH("+1 Health",L99),0) &gt; 0 , VLOOKUP("+1 Health", vote4TRAITS!A:C , 3, FALSE), ),
IF(IFERROR(SEARCH("+2 Health",L99),0) &gt; 0 , VLOOKUP("+2 Health", vote4TRAITS!A:C , 3, FALSE), ),
IF(IFERROR(SEARCH("+1 Stamina",L99),0) &gt; 0 , VLOOKUP("+1 Stamina", vote4TRAITS!A:C , 3, FALSE), ),
IF(IFERROR(SEARCH("+2 Stamina",L99),0) &gt; 0 , VLOOKUP("+2 Stamina", vote4TRAITS!A:C , 3, FALSE), ),
IFS(
IFERROR(SEARCH("+1 Range", L99),) &gt; 0 ,VLOOKUP("+1 Range", vote4TRAITS!A:C , 3, FALSE),
IFERROR(SEARCH("+2 Range", L99),) &gt; 0 ,VLOOKUP("+2 Range", vote4TRAITS!A:C , 3, FALSE),
IFERROR(SEARCH("+3 Range", L99),) &gt; 0,VLOOKUP("+3 Range", vote4TRAITS!A:C , 3, FALSE),
0=0,0)
,
IFS(
IFERROR(SEARCH("Sorcery 1", L99),) &gt; 0 ,VLOOKUP("Sorcery 1", vote4TRAITS!A:C , 3, FALSE),
IFERROR(SEARCH("Sorcery 2", L99),) &gt; 0 ,VLOOKUP("Sorcery 2", vote4TRAITS!A:C , 3, FALSE),
IFERROR(SEARCH("Sorcery 3", L99),) &gt; 0,VLOOKUP("Sorcery 3", vote4TRAITS!A:C , 3, FALSE),
0=0,0)
,
IFS(
IFERROR(SEARCH("Pierce 1", L99),) &gt; 0 ,VLOOKUP("Pierce 1", vote4TRAITS!A:C , 3, FALSE),
IFERROR(SEARCH("Pierce 2", L99),) &gt; 0 ,VLOOKUP("Pierce 2", vote4TRAITS!A:C , 3, FALSE),
IFERROR(SEARCH("Pierce 3", L99),) &gt; 0,VLOOKUP("Pierce 3", vote4TRAITS!A:C , 3, FALSE),
IFERROR(SEARCH("Pierce 4", L99),) &gt; 0 ,VLOOKUP("Pierce 4", vote4TRAITS!A:C , 3, FALSE),
0=0,0)
,
IFS(
IFERROR(SEARCH("+1 Health", L99),) &gt; 0 ,VLOOKUP("+1 Health", vote4TRAITS!A:C , 3, FALSE),
IFERROR(SEARCH("+2 Health", L99),) &gt; 0 ,VLOOKUP("+2 Health", vote4TRAITS!A:C , 3, FALSE),
IFERROR(SEARCH("+3 Health", L99),) &gt; 0 ,VLOOKUP("+3 Health", vote4TRAITS!A:C , 3, FALSE),
IFERROR(SEARCH("+4 Health", L99),) &gt; 0 ,VLOOKUP("+4 Health", vote4TRAITS!A:C , 3, FALSE),
0=0,0)
,
IFS(
IFERROR(SEARCH("Soul Shackle 1", L99),) &gt; 0 ,VLOOKUP("Soul Shackle 1", vote4TRAITS!A:C , 3, FALSE),
IFERROR(SEARCH("Soul Shackle 2", L99),) &gt; 0 ,VLOOKUP("Soul Shackle 2", vote4TRAITS!A:C , 3, FALSE),
IFERROR(SEARCH("Soul Shackle 3", L99),) &gt; 0,VLOOKUP("Soul Shackle 3", vote4TRAITS!A:C , 3, FALSE),
0=0,0)
)</f>
        <v>0</v>
      </c>
      <c r="N99" s="311" t="s">
        <v>1652</v>
      </c>
      <c r="O99" s="317">
        <f>IF(ISBLANK(N99),,IFERROR(
IF(IFERROR(SEARCH("SS:",N99),0) &gt; 0, 
VLOOKUP(SUBSTITUTE(N99,"SS: ",""),vote4SURGE!$A:$C , 3, FALSE) - 2,
VLOOKUP(SUBSTITUTE(N99,"S: ",""),vote4SURGE!$A:$C , 3, FALSE)
)
,
IF(IFERROR(SEARCH("SS:",N99),0) &gt; 0, 
VLOOKUP(C99,vote4SURGE!$A:$C , 3, FALSE) - 2,
VLOOKUP(C99,vote4SURGE!$A:$C , 3, FALSE)
)
))</f>
        <v>4</v>
      </c>
      <c r="P99" s="105" t="s">
        <v>1566</v>
      </c>
      <c r="Q99" s="317">
        <f>IF(ISBLANK(P99),,IFERROR(
IF(IFERROR(SEARCH("SS:",P99),0) &gt; 0, 
VLOOKUP(SUBSTITUTE(P99,"SS: ",""),vote4SURGE!$A:$C , 3, FALSE) - 2,
VLOOKUP(SUBSTITUTE(P99,"S: ",""),vote4SURGE!$A:$C , 3, FALSE)
)
,
IF(IFERROR(SEARCH("SS:",P99),0) &gt; 0, 
VLOOKUP(C99,vote4SURGE!$A:$C , 3, FALSE) - 2,
VLOOKUP(C99,vote4SURGE!$A:$C , 3, FALSE)
)
))</f>
        <v>3</v>
      </c>
      <c r="R99" s="318"/>
      <c r="S99" s="319" t="str">
        <f>IF(ISBLANK(R99),,IFERROR(
IF(IFERROR(SEARCH("SS:",R99),0) &gt; 0, 
VLOOKUP(SUBSTITUTE(R99,"SS: ",""),vote4SURGE!$A:$C , 3, FALSE) - 2,
VLOOKUP(SUBSTITUTE(R99,"S: ",""),vote4SURGE!$A:$C , 3, FALSE)
)
,
IF(IFERROR(SEARCH("SS:",R99),0) &gt; 0, 
VLOOKUP(C99,vote4SURGE!$A:$C , 3, FALSE) - 2,
VLOOKUP(C99,vote4SURGE!$A:$C , 3, FALSE)
)
))</f>
        <v/>
      </c>
      <c r="T99" s="320">
        <f t="shared" si="2"/>
        <v>3</v>
      </c>
      <c r="U99" s="320">
        <f>IFERROR(__xludf.DUMMYFUNCTION("ROUND(
IF(ISBLANK(G99),,
SWITCH(
LEN(G99) - LEN(SUBSTITUTE(G99,"","","""")),
0 , VLOOKUP(G99, Variables!$A:$C, 3, FALSE),
1 , VLOOKUP(index(split(G99 ,"", "", FALSE),1,1), Variables!$A:$C , 3, FALSE) + VLOOKUP(index(split(G99 ,"", "", FALSE),1,2), Variabl"&amp;"es!$A:$C , 3, FALSE),
2 , VLOOKUP(index(split(G99 ,"", "", FALSE),1,1), Variables!$A:$C , 3, FALSE) + VLOOKUP(index(split(G99 ,"", "", FALSE),1,2), Variables!$A:$C , 3, FALSE) + VLOOKUP(index(split(G99 ,"", "", FALSE),1,3), Variables!$A:$C , 3, FALSE),
3 "&amp;", VLOOKUP(index(split(G99 ,"", "", FALSE),1,1), Variables!$A:$C , 3, FALSE) + VLOOKUP(index(split(G99 ,"", "", FALSE),1,2), Variables!$A:$C , 3, FALSE) + VLOOKUP(index(split(G99 ,"", "", FALSE),1,3), Variables!$A:$C , 3, FALSE) + VLOOKUP(index(split(G99 ,"&amp;""", "", FALSE),1,4), Variables!$A:$C , 3, FALSE),
)
)
)"),1.0)</f>
        <v>1</v>
      </c>
      <c r="V99" s="317">
        <f t="shared" si="3"/>
        <v>5</v>
      </c>
      <c r="W99" s="321">
        <f t="shared" si="4"/>
        <v>6.833333333</v>
      </c>
      <c r="X99" s="118"/>
      <c r="Y99" s="118"/>
      <c r="Z99" s="118"/>
      <c r="AA99" s="118"/>
      <c r="AB99" s="118"/>
      <c r="AC99" s="118"/>
      <c r="AD99" s="118"/>
      <c r="AE99" s="118"/>
    </row>
    <row r="100" hidden="1">
      <c r="A100" s="310">
        <v>1.0</v>
      </c>
      <c r="B100" s="93" t="str">
        <f t="shared" si="1"/>
        <v/>
      </c>
      <c r="C100" s="310" t="s">
        <v>1653</v>
      </c>
      <c r="D100" s="323">
        <v>0.0</v>
      </c>
      <c r="E100" s="310" t="s">
        <v>1642</v>
      </c>
      <c r="F100" s="310" t="s">
        <v>1521</v>
      </c>
      <c r="G100" s="313" t="s">
        <v>1525</v>
      </c>
      <c r="H100" s="312">
        <f>IFERROR(__xludf.DUMMYFUNCTION(" IF(ISBLANK(G100),,
SWITCH(
LEN(G100) - LEN(SUBSTITUTE(G100,"","","""")),
0 , VLOOKUP(G100, Variables!$A:$B, 2, FALSE),
1 , VLOOKUP(index(split(G100 ,"", "", FALSE),1,1), Variables!$A:$B , 2, FALSE) + VLOOKUP(index(split(G100 ,"", "", FALSE),1,2), Variabl"&amp;"es!$A:$B , 2, FALSE),
2 , VLOOKUP(index(split(G100 ,"", "", FALSE),1,1), Variables!$A:$B , 2, FALSE) + VLOOKUP(index(split(G100 ,"", "", FALSE),1,2), Variables!$A:$B , 2, FALSE) + VLOOKUP(index(split(G100 ,"", "", FALSE),1,3), Variables!$A:$B , 2, FALSE),"&amp;"
3 , VLOOKUP(index(split(G100 ,"", "", FALSE),1,1), Variables!$A:$B , 2, FALSE) + VLOOKUP(index(split(G100 ,"", "", FALSE),1,2), Variables!$A:$B , 2, FALSE) + VLOOKUP(index(split(G100 ,"", "", FALSE),1,3), Variables!$A:$B , 2, FALSE) + VLOOKUP(index(split"&amp;"(G100 ,"", "", FALSE),1,4), Variables!$A:$B , 2, FALSE),
)
)"),3.333333333333333)</f>
        <v>3.333333333</v>
      </c>
      <c r="I100" s="310" t="s">
        <v>1561</v>
      </c>
      <c r="J100" s="313"/>
      <c r="K100" s="314" t="str">
        <f>IFERROR(VLOOKUP(C100,vote4ITEMS!$A:$C, 3, FALSE),)</f>
        <v/>
      </c>
      <c r="L100" s="313"/>
      <c r="M100" s="314">
        <f>SUM(
IF(IFERROR(SEARCH("Aura 1",L100),0) &gt; 0 , VLOOKUP("Aura 1", vote4TRAITS!A:C , 3, FALSE), ),
IF(IFERROR(SEARCH("Backswing",L100),0) &gt; 0 , VLOOKUP("Backswing", vote4TRAITS!A:C , 3, FALSE), ),
IF(IFERROR(SEARCH("Blast",L100),0) &gt; 0 , VLOOKUP("Blast", vote4TRAITS!A:C , 3, FALSE), ),
IF(IFERROR(SEARCH("Combustible",L100),0) &gt; 0 , VLOOKUP("Combustible", vote4TRAITS!A:C , 3, FALSE), ),
IF(IFERROR(SEARCH("Command",L100),0) &gt; 0 , VLOOKUP("Command", vote4TRAITS!A:C , 3, FALSE), ),
IF(IFERROR(SEARCH("Cowardly",L100),0) &gt; 0 , VLOOKUP("Cowardly", vote4TRAITS!A:C , 3, FALSE), ),
IF(IFERROR(SEARCH("Death Wish",L100),0) &gt; 0 , VLOOKUP("Death Wish", vote4TRAITS!A:C , 3, FALSE), ),
IF(IFERROR(SEARCH("Entomb",L100),0) &gt; 0 , VLOOKUP("Entomb", vote4TRAITS!A:C , 3, FALSE), ),
IF(IFERROR(SEARCH("Ethereal Hold",L100),0) &gt; 0 , VLOOKUP("Ethereal Hold", vote4TRAITS!A:C , 3, FALSE), ),
IF(IFERROR(SEARCH("Extend",L100),0) &gt; 0 , VLOOKUP("Extend", vote4TRAITS!A:C , 3, FALSE), ),
IF(IFERROR(SEARCH("Filthy Murk",L100),0) &gt; 0 , VLOOKUP("Filthy Murk", vote4TRAITS!A:C , 3, FALSE), ),
IF(IFERROR(SEARCH("Flame Fiend",L100),0) &gt; 0 , VLOOKUP("Flame Fiend", vote4TRAITS!A:C , 3, FALSE), ),
IF(IFERROR(SEARCH("Fleshmonger",L100),0) &gt; 0 , VLOOKUP("Fleshmonger", vote4TRAITS!A:C , 3, FALSE), ),
IF(IFERROR(SEARCH("Fly",L100),0) &gt; 0 , VLOOKUP("Fly", vote4TRAITS!A:C , 3, FALSE), ),
IF(IFERROR(SEARCH("Freezing",L100),0) &gt; 0 , VLOOKUP("Freezing", vote4TRAITS!A:C , 3, FALSE), ),
IF(IFERROR(SEARCH("Lithesome",L100),0) &gt; 0 , VLOOKUP("Lithesome", vote4TRAITS!A:C , 3, FALSE), ),
IF(IFERROR(SEARCH("Harrowing",L100),0) &gt; 0 , VLOOKUP("Harrowing", vote4TRAITS!A:C , 3, FALSE), ),
IF(IFERROR(SEARCH("Hideous Laughter",L100),0) &gt; 0 , VLOOKUP("Hideous Laughter", vote4TRAITS!A:C , 3, FALSE), ),
IF(IFERROR(SEARCH("Hive Defense",L100),0) &gt; 0 , VLOOKUP("Hive Defense", vote4TRAITS!A:C , 3, FALSE), ),
IF(IFERROR(SEARCH("Horrifying",L100),0) &gt; 0 , VLOOKUP("Horrifying", vote4TRAITS!A:C , 3, FALSE), ),
IF(IFERROR(SEARCH("Ironskin",L100),0) &gt; 0 , VLOOKUP("Ironskin", vote4TRAITS!A:C , 3, FALSE), ),
IF(IFERROR(SEARCH("Unmovable",L100),0) &gt; 0 , VLOOKUP("Unmovable", vote4TRAITS!A:C , 3, FALSE), ),
IF(IFERROR(SEARCH("Lifethirst 1",L100),0) &gt; 0 , VLOOKUP("Lifethirst 1", vote4TRAITS!A:C , 3, FALSE), ),
IF(IFERROR(SEARCH("Lifethirst 2",L100),0) &gt; 0 , VLOOKUP("Lifethirst 2", vote4TRAITS!A:C , 3, FALSE), ),
IF(IFERROR(SEARCH("Morph",L100),0) &gt; 0 , VLOOKUP("Morph", vote4TRAITS!A:C , 3, FALSE), ),
IF(IFERROR(SEARCH("Night Stalker",L100),0) &gt; 0 , VLOOKUP("Night Stalker", vote4TRAITS!A:C , 3, FALSE), ),
IF(IFERROR(SEARCH("Overflowing",L100),0) &gt; 0 , VLOOKUP("Overflowing", vote4TRAITS!A:C , 3, FALSE), ),
IF(IFERROR(SEARCH("Pestilence",L100),0) &gt; 0 , VLOOKUP("Pestilence", vote4TRAITS!A:C , 3, FALSE), ),
IF(IFERROR(SEARCH("Phalanx",L100),0) &gt; 0 , VLOOKUP("Phalanx", vote4TRAITS!A:C , 3, FALSE), ),
IF(IFERROR(SEARCH("Plagued",L100),0) &gt; 0 , VLOOKUP("Plagued", vote4TRAITS!A:C , 3, FALSE), ),
IF(IFERROR(SEARCH("Prey on the Weak",L100),0) &gt; 0 , VLOOKUP("Prey on the Weak", vote4TRAITS!A:C , 3, FALSE), ),
IF(IFERROR(SEARCH("Protect",L100),0) &gt; 0 , VLOOKUP("Protect", vote4TRAITS!A:C , 3, FALSE), ),
IF(IFERROR(SEARCH("Puncture",L100),0) &gt; 0 , VLOOKUP("Puncture", vote4TRAITS!A:C , 3, FALSE), ),
IF(IFERROR(SEARCH("Putrid Boils",L100),0) &gt; 0 , VLOOKUP("Putrid Boils", vote4TRAITS!A:C , 3, FALSE), ),
IF(IFERROR(SEARCH("Ravage",L100),0) &gt; 0 , VLOOKUP("Ravage", vote4TRAITS!A:C , 3, FALSE), ),
IF(IFERROR(SEARCH("Ravenous",L100),0) &gt; 0 , VLOOKUP("Ravenous", vote4TRAITS!A:C , 3, FALSE), ),
IF(IFERROR(SEARCH("Reach",L100),0) &gt; 0 , VLOOKUP("Reach", vote4TRAITS!A:C , 3, FALSE), ),
IF(IFERROR(SEARCH("Reanimation",L100),0) &gt; 0 , VLOOKUP("Reanimation", vote4TRAITS!A:C , 3, FALSE), ),
IF(IFERROR(SEARCH("Reaper",L100),0) &gt; 0 , VLOOKUP("Reaper", vote4TRAITS!A:C , 3, FALSE), ),
IF(IFERROR(SEARCH("Riposte",L100),0) &gt; 0 , VLOOKUP("Riposte", vote4TRAITS!A:C , 3, FALSE)),
IF(IFERROR(SEARCH("Scamper",L100),0) &gt; 0 , VLOOKUP("Scamper", vote4TRAITS!A:C , 3, FALSE), ),
IF(IFERROR(SEARCH("Small Beginnings",L100),0) &gt; 0 , VLOOKUP("Small Beginnings", vote4TRAITS!A:C , 3, FALSE), ),
IF(IFERROR(SEARCH("Spawner",L100),0) &gt; 0 , VLOOKUP("Spawner", vote4TRAITS!A:C , 3,FALSE), ),
IF(IFERROR(SEARCH("Shadowr",L100),0) &gt; 0 , VLOOKUP("Shadow", vote4TRAITS!A:C , 3,FALSE), ),
IF(IFERROR(SEARCH("Shadow Step",L100),0) &gt; 0 , VLOOKUP("Shadow Step", vote4TRAITS!A:C , 3,FALSE), ),
IF(IFERROR(SEARCH("Shambling",L100),0) &gt; 0 , VLOOKUP("Shambling", vote4TRAITS!A:C , 3,FALSE), ),
IF(IFERROR(SEARCH("Stealthy",L100),0) &gt; 0 , VLOOKUP("Stealthy", vote4TRAITS!A:C , 3, FALSE), ),
IF(IFERROR(SEARCH("Web",L100),0) &gt; 0 , VLOOKUP("Web", vote4TRAITS!A:C , 3, FALSE), ),
IF(IFERROR(SEARCH("+1 Willpower",L100),0) &gt; 0 , VLOOKUP("+1 Willpower", vote4TRAITS!A:C , 3, FALSE), ),
IF(IFERROR(SEARCH("+1 Might",L100),0) &gt; 0 , VLOOKUP("+1 Might", vote4TRAITS!A:C , 3, FALSE), ),
IF(IFERROR(SEARCH("+1 Knowledge",L100),0) &gt; 0 , VLOOKUP("+1 Knowledge", vote4TRAITS!A:C , 3, FALSE), ),
IF(IFERROR(SEARCH("+1 Awareness",L100),0) &gt; 0 , VLOOKUP("+1 Awareness", vote4TRAITS!A:C , 3, FALSE), ),
IF(IFERROR(SEARCH("-1 Willpower",L100),0) &gt; 0 , VLOOKUP("-1 Willpower", vote4TRAITS!A:C , 3, FALSE), ),
IF(IFERROR(SEARCH("+1 Health",L100),0) &gt; 0 , VLOOKUP("+1 Health", vote4TRAITS!A:C , 3, FALSE), ),
IF(IFERROR(SEARCH("+2 Health",L100),0) &gt; 0 , VLOOKUP("+2 Health", vote4TRAITS!A:C , 3, FALSE), ),
IF(IFERROR(SEARCH("+1 Stamina",L100),0) &gt; 0 , VLOOKUP("+1 Stamina", vote4TRAITS!A:C , 3, FALSE), ),
IF(IFERROR(SEARCH("+2 Stamina",L100),0) &gt; 0 , VLOOKUP("+2 Stamina", vote4TRAITS!A:C , 3, FALSE), ),
IFS(
IFERROR(SEARCH("+1 Range", L100),) &gt; 0 ,VLOOKUP("+1 Range", vote4TRAITS!A:C , 3, FALSE),
IFERROR(SEARCH("+2 Range", L100),) &gt; 0 ,VLOOKUP("+2 Range", vote4TRAITS!A:C , 3, FALSE),
IFERROR(SEARCH("+3 Range", L100),) &gt; 0,VLOOKUP("+3 Range", vote4TRAITS!A:C , 3, FALSE),
0=0,0)
,
IFS(
IFERROR(SEARCH("Sorcery 1", L100),) &gt; 0 ,VLOOKUP("Sorcery 1", vote4TRAITS!A:C , 3, FALSE),
IFERROR(SEARCH("Sorcery 2", L100),) &gt; 0 ,VLOOKUP("Sorcery 2", vote4TRAITS!A:C , 3, FALSE),
IFERROR(SEARCH("Sorcery 3", L100),) &gt; 0,VLOOKUP("Sorcery 3", vote4TRAITS!A:C , 3, FALSE),
0=0,0)
,
IFS(
IFERROR(SEARCH("Pierce 1", L100),) &gt; 0 ,VLOOKUP("Pierce 1", vote4TRAITS!A:C , 3, FALSE),
IFERROR(SEARCH("Pierce 2", L100),) &gt; 0 ,VLOOKUP("Pierce 2", vote4TRAITS!A:C , 3, FALSE),
IFERROR(SEARCH("Pierce 3", L100),) &gt; 0,VLOOKUP("Pierce 3", vote4TRAITS!A:C , 3, FALSE),
IFERROR(SEARCH("Pierce 4", L100),) &gt; 0 ,VLOOKUP("Pierce 4", vote4TRAITS!A:C , 3, FALSE),
0=0,0)
,
IFS(
IFERROR(SEARCH("+1 Health", L100),) &gt; 0 ,VLOOKUP("+1 Health", vote4TRAITS!A:C , 3, FALSE),
IFERROR(SEARCH("+2 Health", L100),) &gt; 0 ,VLOOKUP("+2 Health", vote4TRAITS!A:C , 3, FALSE),
IFERROR(SEARCH("+3 Health", L100),) &gt; 0 ,VLOOKUP("+3 Health", vote4TRAITS!A:C , 3, FALSE),
IFERROR(SEARCH("+4 Health", L100),) &gt; 0 ,VLOOKUP("+4 Health", vote4TRAITS!A:C , 3, FALSE),
0=0,0)
,
IFS(
IFERROR(SEARCH("Soul Shackle 1", L100),) &gt; 0 ,VLOOKUP("Soul Shackle 1", vote4TRAITS!A:C , 3, FALSE),
IFERROR(SEARCH("Soul Shackle 2", L100),) &gt; 0 ,VLOOKUP("Soul Shackle 2", vote4TRAITS!A:C , 3, FALSE),
IFERROR(SEARCH("Soul Shackle 3", L100),) &gt; 0,VLOOKUP("Soul Shackle 3", vote4TRAITS!A:C , 3, FALSE),
0=0,0)
)</f>
        <v>0</v>
      </c>
      <c r="N100" s="311" t="s">
        <v>1564</v>
      </c>
      <c r="O100" s="317">
        <f>IF(ISBLANK(N100),,IFERROR(
IF(IFERROR(SEARCH("SS:",N100),0) &gt; 0, 
VLOOKUP(SUBSTITUTE(N100,"SS: ",""),vote4SURGE!$A:$C , 3, FALSE) - 2,
VLOOKUP(SUBSTITUTE(N100,"S: ",""),vote4SURGE!$A:$C , 3, FALSE)
)
,
IF(IFERROR(SEARCH("SS:",N100),0) &gt; 0, 
VLOOKUP(C100,vote4SURGE!$A:$C , 3, FALSE) - 2,
VLOOKUP(C100,vote4SURGE!$A:$C , 3, FALSE)
)
))</f>
        <v>3.5</v>
      </c>
      <c r="P100" s="318"/>
      <c r="Q100" s="317" t="str">
        <f>IF(ISBLANK(P100),,IFERROR(
IF(IFERROR(SEARCH("SS:",P100),0) &gt; 0, 
VLOOKUP(SUBSTITUTE(P100,"SS: ",""),vote4SURGE!$A:$C , 3, FALSE) - 2,
VLOOKUP(SUBSTITUTE(P100,"S: ",""),vote4SURGE!$A:$C , 3, FALSE)
)
,
IF(IFERROR(SEARCH("SS:",P100),0) &gt; 0, 
VLOOKUP(C100,vote4SURGE!$A:$C , 3, FALSE) - 2,
VLOOKUP(C100,vote4SURGE!$A:$C , 3, FALSE)
)
))</f>
        <v/>
      </c>
      <c r="R100" s="318"/>
      <c r="S100" s="319" t="str">
        <f>IF(ISBLANK(R100),,IFERROR(
IF(IFERROR(SEARCH("SS:",R100),0) &gt; 0, 
VLOOKUP(SUBSTITUTE(R100,"SS: ",""),vote4SURGE!$A:$C , 3, FALSE) - 2,
VLOOKUP(SUBSTITUTE(R100,"S: ",""),vote4SURGE!$A:$C , 3, FALSE)
)
,
IF(IFERROR(SEARCH("SS:",R100),0) &gt; 0, 
VLOOKUP(C100,vote4SURGE!$A:$C , 3, FALSE) - 2,
VLOOKUP(C100,vote4SURGE!$A:$C , 3, FALSE)
)
))</f>
        <v/>
      </c>
      <c r="T100" s="320">
        <f t="shared" si="2"/>
        <v>1</v>
      </c>
      <c r="U100" s="320">
        <f>IFERROR(__xludf.DUMMYFUNCTION("ROUND(
IF(ISBLANK(G100),,
SWITCH(
LEN(G100) - LEN(SUBSTITUTE(G100,"","","""")),
0 , VLOOKUP(G100, Variables!$A:$C, 3, FALSE),
1 , VLOOKUP(index(split(G100 ,"", "", FALSE),1,1), Variables!$A:$C , 3, FALSE) + VLOOKUP(index(split(G100 ,"", "", FALSE),1,2), V"&amp;"ariables!$A:$C , 3, FALSE),
2 , VLOOKUP(index(split(G100 ,"", "", FALSE),1,1), Variables!$A:$C , 3, FALSE) + VLOOKUP(index(split(G100 ,"", "", FALSE),1,2), Variables!$A:$C , 3, FALSE) + VLOOKUP(index(split(G100 ,"", "", FALSE),1,3), Variables!$A:$C , 3, F"&amp;"ALSE),
3 , VLOOKUP(index(split(G100 ,"", "", FALSE),1,1), Variables!$A:$C , 3, FALSE) + VLOOKUP(index(split(G100 ,"", "", FALSE),1,2), Variables!$A:$C , 3, FALSE) + VLOOKUP(index(split(G100 ,"", "", FALSE),1,3), Variables!$A:$C , 3, FALSE) + VLOOKUP(index"&amp;"(split(G100 ,"", "", FALSE),1,4), Variables!$A:$C , 3, FALSE),
)
)
)"),1.0)</f>
        <v>1</v>
      </c>
      <c r="V100" s="317">
        <f t="shared" si="3"/>
        <v>3.5</v>
      </c>
      <c r="W100" s="321">
        <f t="shared" si="4"/>
        <v>6.833333333</v>
      </c>
      <c r="X100" s="118"/>
      <c r="Y100" s="118"/>
      <c r="Z100" s="118"/>
      <c r="AA100" s="118"/>
      <c r="AB100" s="118"/>
      <c r="AC100" s="118"/>
      <c r="AD100" s="118"/>
      <c r="AE100" s="118"/>
    </row>
    <row r="101" hidden="1">
      <c r="A101" s="310">
        <v>1.0</v>
      </c>
      <c r="B101" s="93" t="str">
        <f t="shared" si="1"/>
        <v/>
      </c>
      <c r="C101" s="310" t="s">
        <v>1654</v>
      </c>
      <c r="D101" s="323">
        <v>0.0</v>
      </c>
      <c r="E101" s="310" t="s">
        <v>1527</v>
      </c>
      <c r="F101" s="310" t="s">
        <v>1521</v>
      </c>
      <c r="G101" s="313" t="s">
        <v>1548</v>
      </c>
      <c r="H101" s="312">
        <f>IFERROR(__xludf.DUMMYFUNCTION(" IF(ISBLANK(G101),,
SWITCH(
LEN(G101) - LEN(SUBSTITUTE(G101,"","","""")),
0 , VLOOKUP(G101, Variables!$A:$B, 2, FALSE),
1 , VLOOKUP(index(split(G101 ,"", "", FALSE),1,1), Variables!$A:$B , 2, FALSE) + VLOOKUP(index(split(G101 ,"", "", FALSE),1,2), Variabl"&amp;"es!$A:$B , 2, FALSE),
2 , VLOOKUP(index(split(G101 ,"", "", FALSE),1,1), Variables!$A:$B , 2, FALSE) + VLOOKUP(index(split(G101 ,"", "", FALSE),1,2), Variables!$A:$B , 2, FALSE) + VLOOKUP(index(split(G101 ,"", "", FALSE),1,3), Variables!$A:$B , 2, FALSE),"&amp;"
3 , VLOOKUP(index(split(G101 ,"", "", FALSE),1,1), Variables!$A:$B , 2, FALSE) + VLOOKUP(index(split(G101 ,"", "", FALSE),1,2), Variables!$A:$B , 2, FALSE) + VLOOKUP(index(split(G101 ,"", "", FALSE),1,3), Variables!$A:$B , 2, FALSE) + VLOOKUP(index(split"&amp;"(G101 ,"", "", FALSE),1,4), Variables!$A:$B , 2, FALSE),
)
)"),2.3333333333333335)</f>
        <v>2.333333333</v>
      </c>
      <c r="I101" s="310" t="s">
        <v>1557</v>
      </c>
      <c r="J101" s="313"/>
      <c r="K101" s="314" t="str">
        <f>IFERROR(VLOOKUP(C101,vote4ITEMS!$A:$C, 3, FALSE),)</f>
        <v/>
      </c>
      <c r="L101" s="313"/>
      <c r="M101" s="314">
        <f>SUM(
IF(IFERROR(SEARCH("Aura 1",L101),0) &gt; 0 , VLOOKUP("Aura 1", vote4TRAITS!A:C , 3, FALSE), ),
IF(IFERROR(SEARCH("Backswing",L101),0) &gt; 0 , VLOOKUP("Backswing", vote4TRAITS!A:C , 3, FALSE), ),
IF(IFERROR(SEARCH("Blast",L101),0) &gt; 0 , VLOOKUP("Blast", vote4TRAITS!A:C , 3, FALSE), ),
IF(IFERROR(SEARCH("Combustible",L101),0) &gt; 0 , VLOOKUP("Combustible", vote4TRAITS!A:C , 3, FALSE), ),
IF(IFERROR(SEARCH("Command",L101),0) &gt; 0 , VLOOKUP("Command", vote4TRAITS!A:C , 3, FALSE), ),
IF(IFERROR(SEARCH("Cowardly",L101),0) &gt; 0 , VLOOKUP("Cowardly", vote4TRAITS!A:C , 3, FALSE), ),
IF(IFERROR(SEARCH("Death Wish",L101),0) &gt; 0 , VLOOKUP("Death Wish", vote4TRAITS!A:C , 3, FALSE), ),
IF(IFERROR(SEARCH("Entomb",L101),0) &gt; 0 , VLOOKUP("Entomb", vote4TRAITS!A:C , 3, FALSE), ),
IF(IFERROR(SEARCH("Ethereal Hold",L101),0) &gt; 0 , VLOOKUP("Ethereal Hold", vote4TRAITS!A:C , 3, FALSE), ),
IF(IFERROR(SEARCH("Extend",L101),0) &gt; 0 , VLOOKUP("Extend", vote4TRAITS!A:C , 3, FALSE), ),
IF(IFERROR(SEARCH("Filthy Murk",L101),0) &gt; 0 , VLOOKUP("Filthy Murk", vote4TRAITS!A:C , 3, FALSE), ),
IF(IFERROR(SEARCH("Flame Fiend",L101),0) &gt; 0 , VLOOKUP("Flame Fiend", vote4TRAITS!A:C , 3, FALSE), ),
IF(IFERROR(SEARCH("Fleshmonger",L101),0) &gt; 0 , VLOOKUP("Fleshmonger", vote4TRAITS!A:C , 3, FALSE), ),
IF(IFERROR(SEARCH("Fly",L101),0) &gt; 0 , VLOOKUP("Fly", vote4TRAITS!A:C , 3, FALSE), ),
IF(IFERROR(SEARCH("Freezing",L101),0) &gt; 0 , VLOOKUP("Freezing", vote4TRAITS!A:C , 3, FALSE), ),
IF(IFERROR(SEARCH("Lithesome",L101),0) &gt; 0 , VLOOKUP("Lithesome", vote4TRAITS!A:C , 3, FALSE), ),
IF(IFERROR(SEARCH("Harrowing",L101),0) &gt; 0 , VLOOKUP("Harrowing", vote4TRAITS!A:C , 3, FALSE), ),
IF(IFERROR(SEARCH("Hideous Laughter",L101),0) &gt; 0 , VLOOKUP("Hideous Laughter", vote4TRAITS!A:C , 3, FALSE), ),
IF(IFERROR(SEARCH("Hive Defense",L101),0) &gt; 0 , VLOOKUP("Hive Defense", vote4TRAITS!A:C , 3, FALSE), ),
IF(IFERROR(SEARCH("Horrifying",L101),0) &gt; 0 , VLOOKUP("Horrifying", vote4TRAITS!A:C , 3, FALSE), ),
IF(IFERROR(SEARCH("Ironskin",L101),0) &gt; 0 , VLOOKUP("Ironskin", vote4TRAITS!A:C , 3, FALSE), ),
IF(IFERROR(SEARCH("Unmovable",L101),0) &gt; 0 , VLOOKUP("Unmovable", vote4TRAITS!A:C , 3, FALSE), ),
IF(IFERROR(SEARCH("Lifethirst 1",L101),0) &gt; 0 , VLOOKUP("Lifethirst 1", vote4TRAITS!A:C , 3, FALSE), ),
IF(IFERROR(SEARCH("Lifethirst 2",L101),0) &gt; 0 , VLOOKUP("Lifethirst 2", vote4TRAITS!A:C , 3, FALSE), ),
IF(IFERROR(SEARCH("Morph",L101),0) &gt; 0 , VLOOKUP("Morph", vote4TRAITS!A:C , 3, FALSE), ),
IF(IFERROR(SEARCH("Night Stalker",L101),0) &gt; 0 , VLOOKUP("Night Stalker", vote4TRAITS!A:C , 3, FALSE), ),
IF(IFERROR(SEARCH("Overflowing",L101),0) &gt; 0 , VLOOKUP("Overflowing", vote4TRAITS!A:C , 3, FALSE), ),
IF(IFERROR(SEARCH("Pestilence",L101),0) &gt; 0 , VLOOKUP("Pestilence", vote4TRAITS!A:C , 3, FALSE), ),
IF(IFERROR(SEARCH("Phalanx",L101),0) &gt; 0 , VLOOKUP("Phalanx", vote4TRAITS!A:C , 3, FALSE), ),
IF(IFERROR(SEARCH("Plagued",L101),0) &gt; 0 , VLOOKUP("Plagued", vote4TRAITS!A:C , 3, FALSE), ),
IF(IFERROR(SEARCH("Prey on the Weak",L101),0) &gt; 0 , VLOOKUP("Prey on the Weak", vote4TRAITS!A:C , 3, FALSE), ),
IF(IFERROR(SEARCH("Protect",L101),0) &gt; 0 , VLOOKUP("Protect", vote4TRAITS!A:C , 3, FALSE), ),
IF(IFERROR(SEARCH("Puncture",L101),0) &gt; 0 , VLOOKUP("Puncture", vote4TRAITS!A:C , 3, FALSE), ),
IF(IFERROR(SEARCH("Putrid Boils",L101),0) &gt; 0 , VLOOKUP("Putrid Boils", vote4TRAITS!A:C , 3, FALSE), ),
IF(IFERROR(SEARCH("Ravage",L101),0) &gt; 0 , VLOOKUP("Ravage", vote4TRAITS!A:C , 3, FALSE), ),
IF(IFERROR(SEARCH("Ravenous",L101),0) &gt; 0 , VLOOKUP("Ravenous", vote4TRAITS!A:C , 3, FALSE), ),
IF(IFERROR(SEARCH("Reach",L101),0) &gt; 0 , VLOOKUP("Reach", vote4TRAITS!A:C , 3, FALSE), ),
IF(IFERROR(SEARCH("Reanimation",L101),0) &gt; 0 , VLOOKUP("Reanimation", vote4TRAITS!A:C , 3, FALSE), ),
IF(IFERROR(SEARCH("Reaper",L101),0) &gt; 0 , VLOOKUP("Reaper", vote4TRAITS!A:C , 3, FALSE), ),
IF(IFERROR(SEARCH("Riposte",L101),0) &gt; 0 , VLOOKUP("Riposte", vote4TRAITS!A:C , 3, FALSE)),
IF(IFERROR(SEARCH("Scamper",L101),0) &gt; 0 , VLOOKUP("Scamper", vote4TRAITS!A:C , 3, FALSE), ),
IF(IFERROR(SEARCH("Small Beginnings",L101),0) &gt; 0 , VLOOKUP("Small Beginnings", vote4TRAITS!A:C , 3, FALSE), ),
IF(IFERROR(SEARCH("Spawner",L101),0) &gt; 0 , VLOOKUP("Spawner", vote4TRAITS!A:C , 3,FALSE), ),
IF(IFERROR(SEARCH("Shadowr",L101),0) &gt; 0 , VLOOKUP("Shadow", vote4TRAITS!A:C , 3,FALSE), ),
IF(IFERROR(SEARCH("Shadow Step",L101),0) &gt; 0 , VLOOKUP("Shadow Step", vote4TRAITS!A:C , 3,FALSE), ),
IF(IFERROR(SEARCH("Shambling",L101),0) &gt; 0 , VLOOKUP("Shambling", vote4TRAITS!A:C , 3,FALSE), ),
IF(IFERROR(SEARCH("Stealthy",L101),0) &gt; 0 , VLOOKUP("Stealthy", vote4TRAITS!A:C , 3, FALSE), ),
IF(IFERROR(SEARCH("Web",L101),0) &gt; 0 , VLOOKUP("Web", vote4TRAITS!A:C , 3, FALSE), ),
IF(IFERROR(SEARCH("+1 Willpower",L101),0) &gt; 0 , VLOOKUP("+1 Willpower", vote4TRAITS!A:C , 3, FALSE), ),
IF(IFERROR(SEARCH("+1 Might",L101),0) &gt; 0 , VLOOKUP("+1 Might", vote4TRAITS!A:C , 3, FALSE), ),
IF(IFERROR(SEARCH("+1 Knowledge",L101),0) &gt; 0 , VLOOKUP("+1 Knowledge", vote4TRAITS!A:C , 3, FALSE), ),
IF(IFERROR(SEARCH("+1 Awareness",L101),0) &gt; 0 , VLOOKUP("+1 Awareness", vote4TRAITS!A:C , 3, FALSE), ),
IF(IFERROR(SEARCH("-1 Willpower",L101),0) &gt; 0 , VLOOKUP("-1 Willpower", vote4TRAITS!A:C , 3, FALSE), ),
IF(IFERROR(SEARCH("+1 Health",L101),0) &gt; 0 , VLOOKUP("+1 Health", vote4TRAITS!A:C , 3, FALSE), ),
IF(IFERROR(SEARCH("+2 Health",L101),0) &gt; 0 , VLOOKUP("+2 Health", vote4TRAITS!A:C , 3, FALSE), ),
IF(IFERROR(SEARCH("+1 Stamina",L101),0) &gt; 0 , VLOOKUP("+1 Stamina", vote4TRAITS!A:C , 3, FALSE), ),
IF(IFERROR(SEARCH("+2 Stamina",L101),0) &gt; 0 , VLOOKUP("+2 Stamina", vote4TRAITS!A:C , 3, FALSE), ),
IFS(
IFERROR(SEARCH("+1 Range", L101),) &gt; 0 ,VLOOKUP("+1 Range", vote4TRAITS!A:C , 3, FALSE),
IFERROR(SEARCH("+2 Range", L101),) &gt; 0 ,VLOOKUP("+2 Range", vote4TRAITS!A:C , 3, FALSE),
IFERROR(SEARCH("+3 Range", L101),) &gt; 0,VLOOKUP("+3 Range", vote4TRAITS!A:C , 3, FALSE),
0=0,0)
,
IFS(
IFERROR(SEARCH("Sorcery 1", L101),) &gt; 0 ,VLOOKUP("Sorcery 1", vote4TRAITS!A:C , 3, FALSE),
IFERROR(SEARCH("Sorcery 2", L101),) &gt; 0 ,VLOOKUP("Sorcery 2", vote4TRAITS!A:C , 3, FALSE),
IFERROR(SEARCH("Sorcery 3", L101),) &gt; 0,VLOOKUP("Sorcery 3", vote4TRAITS!A:C , 3, FALSE),
0=0,0)
,
IFS(
IFERROR(SEARCH("Pierce 1", L101),) &gt; 0 ,VLOOKUP("Pierce 1", vote4TRAITS!A:C , 3, FALSE),
IFERROR(SEARCH("Pierce 2", L101),) &gt; 0 ,VLOOKUP("Pierce 2", vote4TRAITS!A:C , 3, FALSE),
IFERROR(SEARCH("Pierce 3", L101),) &gt; 0,VLOOKUP("Pierce 3", vote4TRAITS!A:C , 3, FALSE),
IFERROR(SEARCH("Pierce 4", L101),) &gt; 0 ,VLOOKUP("Pierce 4", vote4TRAITS!A:C , 3, FALSE),
0=0,0)
,
IFS(
IFERROR(SEARCH("+1 Health", L101),) &gt; 0 ,VLOOKUP("+1 Health", vote4TRAITS!A:C , 3, FALSE),
IFERROR(SEARCH("+2 Health", L101),) &gt; 0 ,VLOOKUP("+2 Health", vote4TRAITS!A:C , 3, FALSE),
IFERROR(SEARCH("+3 Health", L101),) &gt; 0 ,VLOOKUP("+3 Health", vote4TRAITS!A:C , 3, FALSE),
IFERROR(SEARCH("+4 Health", L101),) &gt; 0 ,VLOOKUP("+4 Health", vote4TRAITS!A:C , 3, FALSE),
0=0,0)
,
IFS(
IFERROR(SEARCH("Soul Shackle 1", L101),) &gt; 0 ,VLOOKUP("Soul Shackle 1", vote4TRAITS!A:C , 3, FALSE),
IFERROR(SEARCH("Soul Shackle 2", L101),) &gt; 0 ,VLOOKUP("Soul Shackle 2", vote4TRAITS!A:C , 3, FALSE),
IFERROR(SEARCH("Soul Shackle 3", L101),) &gt; 0,VLOOKUP("Soul Shackle 3", vote4TRAITS!A:C , 3, FALSE),
0=0,0)
)</f>
        <v>0</v>
      </c>
      <c r="N101" s="311" t="s">
        <v>1562</v>
      </c>
      <c r="O101" s="317">
        <f>IF(ISBLANK(N101),,IFERROR(
IF(IFERROR(SEARCH("SS:",N101),0) &gt; 0, 
VLOOKUP(SUBSTITUTE(N101,"SS: ",""),vote4SURGE!$A:$C , 3, FALSE) - 2,
VLOOKUP(SUBSTITUTE(N101,"S: ",""),vote4SURGE!$A:$C , 3, FALSE)
)
,
IF(IFERROR(SEARCH("SS:",N101),0) &gt; 0, 
VLOOKUP(C101,vote4SURGE!$A:$C , 3, FALSE) - 2,
VLOOKUP(C101,vote4SURGE!$A:$C , 3, FALSE)
)
))</f>
        <v>3.5</v>
      </c>
      <c r="P101" s="315" t="s">
        <v>1655</v>
      </c>
      <c r="Q101" s="317">
        <f>IF(ISBLANK(P101),,IFERROR(
IF(IFERROR(SEARCH("SS:",P101),0) &gt; 0, 
VLOOKUP(SUBSTITUTE(P101,"SS: ",""),vote4SURGE!$A:$C , 3, FALSE) - 2,
VLOOKUP(SUBSTITUTE(P101,"S: ",""),vote4SURGE!$A:$C , 3, FALSE)
)
,
IF(IFERROR(SEARCH("SS:",P101),0) &gt; 0, 
VLOOKUP(C101,vote4SURGE!$A:$C , 3, FALSE) - 2,
VLOOKUP(C101,vote4SURGE!$A:$C , 3, FALSE)
)
))</f>
        <v>2.25</v>
      </c>
      <c r="R101" s="318"/>
      <c r="S101" s="319" t="str">
        <f>IF(ISBLANK(R101),,IFERROR(
IF(IFERROR(SEARCH("SS:",R101),0) &gt; 0, 
VLOOKUP(SUBSTITUTE(R101,"SS: ",""),vote4SURGE!$A:$C , 3, FALSE) - 2,
VLOOKUP(SUBSTITUTE(R101,"S: ",""),vote4SURGE!$A:$C , 3, FALSE)
)
,
IF(IFERROR(SEARCH("SS:",R101),0) &gt; 0, 
VLOOKUP(C101,vote4SURGE!$A:$C , 3, FALSE) - 2,
VLOOKUP(C101,vote4SURGE!$A:$C , 3, FALSE)
)
))</f>
        <v/>
      </c>
      <c r="T101" s="320">
        <f t="shared" si="2"/>
        <v>2</v>
      </c>
      <c r="U101" s="320">
        <f>IFERROR(__xludf.DUMMYFUNCTION("ROUND(
IF(ISBLANK(G101),,
SWITCH(
LEN(G101) - LEN(SUBSTITUTE(G101,"","","""")),
0 , VLOOKUP(G101, Variables!$A:$C, 3, FALSE),
1 , VLOOKUP(index(split(G101 ,"", "", FALSE),1,1), Variables!$A:$C , 3, FALSE) + VLOOKUP(index(split(G101 ,"", "", FALSE),1,2), V"&amp;"ariables!$A:$C , 3, FALSE),
2 , VLOOKUP(index(split(G101 ,"", "", FALSE),1,1), Variables!$A:$C , 3, FALSE) + VLOOKUP(index(split(G101 ,"", "", FALSE),1,2), Variables!$A:$C , 3, FALSE) + VLOOKUP(index(split(G101 ,"", "", FALSE),1,3), Variables!$A:$C , 3, F"&amp;"ALSE),
3 , VLOOKUP(index(split(G101 ,"", "", FALSE),1,1), Variables!$A:$C , 3, FALSE) + VLOOKUP(index(split(G101 ,"", "", FALSE),1,2), Variables!$A:$C , 3, FALSE) + VLOOKUP(index(split(G101 ,"", "", FALSE),1,3), Variables!$A:$C , 3, FALSE) + VLOOKUP(index"&amp;"(split(G101 ,"", "", FALSE),1,4), Variables!$A:$C , 3, FALSE),
)
)
)"),1.0)</f>
        <v>1</v>
      </c>
      <c r="V101" s="317">
        <f t="shared" si="3"/>
        <v>4.625</v>
      </c>
      <c r="W101" s="321">
        <f t="shared" si="4"/>
        <v>6.958333333</v>
      </c>
      <c r="X101" s="118"/>
      <c r="Y101" s="118"/>
      <c r="Z101" s="118"/>
      <c r="AA101" s="118"/>
      <c r="AB101" s="118"/>
      <c r="AC101" s="118"/>
      <c r="AD101" s="118"/>
      <c r="AE101" s="118"/>
    </row>
    <row r="102" hidden="1">
      <c r="A102" s="310" t="s">
        <v>1556</v>
      </c>
      <c r="B102" s="93" t="str">
        <f t="shared" si="1"/>
        <v/>
      </c>
      <c r="C102" s="310" t="s">
        <v>910</v>
      </c>
      <c r="D102" s="323">
        <v>0.0</v>
      </c>
      <c r="E102" s="310" t="s">
        <v>1629</v>
      </c>
      <c r="F102" s="310"/>
      <c r="G102" s="313"/>
      <c r="H102" s="312" t="str">
        <f>IFERROR(__xludf.DUMMYFUNCTION(" IF(ISBLANK(G102),,
SWITCH(
LEN(G102) - LEN(SUBSTITUTE(G102,"","","""")),
0 , VLOOKUP(G102, Variables!$A:$B, 2, FALSE),
1 , VLOOKUP(index(split(G102 ,"", "", FALSE),1,1), Variables!$A:$B , 2, FALSE) + VLOOKUP(index(split(G102 ,"", "", FALSE),1,2), Variabl"&amp;"es!$A:$B , 2, FALSE),
2 , VLOOKUP(index(split(G102 ,"", "", FALSE),1,1), Variables!$A:$B , 2, FALSE) + VLOOKUP(index(split(G102 ,"", "", FALSE),1,2), Variables!$A:$B , 2, FALSE) + VLOOKUP(index(split(G102 ,"", "", FALSE),1,3), Variables!$A:$B , 2, FALSE),"&amp;"
3 , VLOOKUP(index(split(G102 ,"", "", FALSE),1,1), Variables!$A:$B , 2, FALSE) + VLOOKUP(index(split(G102 ,"", "", FALSE),1,2), Variables!$A:$B , 2, FALSE) + VLOOKUP(index(split(G102 ,"", "", FALSE),1,3), Variables!$A:$B , 2, FALSE) + VLOOKUP(index(split"&amp;"(G102 ,"", "", FALSE),1,4), Variables!$A:$B , 2, FALSE),
)
)"),"")</f>
        <v/>
      </c>
      <c r="I102" s="310" t="s">
        <v>1635</v>
      </c>
      <c r="J102" s="311" t="s">
        <v>911</v>
      </c>
      <c r="K102" s="314">
        <f>IFERROR(VLOOKUP(C102,vote4ITEMS!$A:$C, 3, FALSE),)</f>
        <v>6.666666667</v>
      </c>
      <c r="L102" s="324"/>
      <c r="M102" s="314">
        <f>SUM(
IF(IFERROR(SEARCH("Aura 1",L102),0) &gt; 0 , VLOOKUP("Aura 1", vote4TRAITS!A:C , 3, FALSE), ),
IF(IFERROR(SEARCH("Backswing",L102),0) &gt; 0 , VLOOKUP("Backswing", vote4TRAITS!A:C , 3, FALSE), ),
IF(IFERROR(SEARCH("Blast",L102),0) &gt; 0 , VLOOKUP("Blast", vote4TRAITS!A:C , 3, FALSE), ),
IF(IFERROR(SEARCH("Combustible",L102),0) &gt; 0 , VLOOKUP("Combustible", vote4TRAITS!A:C , 3, FALSE), ),
IF(IFERROR(SEARCH("Command",L102),0) &gt; 0 , VLOOKUP("Command", vote4TRAITS!A:C , 3, FALSE), ),
IF(IFERROR(SEARCH("Cowardly",L102),0) &gt; 0 , VLOOKUP("Cowardly", vote4TRAITS!A:C , 3, FALSE), ),
IF(IFERROR(SEARCH("Death Wish",L102),0) &gt; 0 , VLOOKUP("Death Wish", vote4TRAITS!A:C , 3, FALSE), ),
IF(IFERROR(SEARCH("Entomb",L102),0) &gt; 0 , VLOOKUP("Entomb", vote4TRAITS!A:C , 3, FALSE), ),
IF(IFERROR(SEARCH("Ethereal Hold",L102),0) &gt; 0 , VLOOKUP("Ethereal Hold", vote4TRAITS!A:C , 3, FALSE), ),
IF(IFERROR(SEARCH("Extend",L102),0) &gt; 0 , VLOOKUP("Extend", vote4TRAITS!A:C , 3, FALSE), ),
IF(IFERROR(SEARCH("Filthy Murk",L102),0) &gt; 0 , VLOOKUP("Filthy Murk", vote4TRAITS!A:C , 3, FALSE), ),
IF(IFERROR(SEARCH("Flame Fiend",L102),0) &gt; 0 , VLOOKUP("Flame Fiend", vote4TRAITS!A:C , 3, FALSE), ),
IF(IFERROR(SEARCH("Fleshmonger",L102),0) &gt; 0 , VLOOKUP("Fleshmonger", vote4TRAITS!A:C , 3, FALSE), ),
IF(IFERROR(SEARCH("Fly",L102),0) &gt; 0 , VLOOKUP("Fly", vote4TRAITS!A:C , 3, FALSE), ),
IF(IFERROR(SEARCH("Freezing",L102),0) &gt; 0 , VLOOKUP("Freezing", vote4TRAITS!A:C , 3, FALSE), ),
IF(IFERROR(SEARCH("Lithesome",L102),0) &gt; 0 , VLOOKUP("Lithesome", vote4TRAITS!A:C , 3, FALSE), ),
IF(IFERROR(SEARCH("Harrowing",L102),0) &gt; 0 , VLOOKUP("Harrowing", vote4TRAITS!A:C , 3, FALSE), ),
IF(IFERROR(SEARCH("Hideous Laughter",L102),0) &gt; 0 , VLOOKUP("Hideous Laughter", vote4TRAITS!A:C , 3, FALSE), ),
IF(IFERROR(SEARCH("Hive Defense",L102),0) &gt; 0 , VLOOKUP("Hive Defense", vote4TRAITS!A:C , 3, FALSE), ),
IF(IFERROR(SEARCH("Horrifying",L102),0) &gt; 0 , VLOOKUP("Horrifying", vote4TRAITS!A:C , 3, FALSE), ),
IF(IFERROR(SEARCH("Ironskin",L102),0) &gt; 0 , VLOOKUP("Ironskin", vote4TRAITS!A:C , 3, FALSE), ),
IF(IFERROR(SEARCH("Unmovable",L102),0) &gt; 0 , VLOOKUP("Unmovable", vote4TRAITS!A:C , 3, FALSE), ),
IF(IFERROR(SEARCH("Lifethirst 1",L102),0) &gt; 0 , VLOOKUP("Lifethirst 1", vote4TRAITS!A:C , 3, FALSE), ),
IF(IFERROR(SEARCH("Lifethirst 2",L102),0) &gt; 0 , VLOOKUP("Lifethirst 2", vote4TRAITS!A:C , 3, FALSE), ),
IF(IFERROR(SEARCH("Morph",L102),0) &gt; 0 , VLOOKUP("Morph", vote4TRAITS!A:C , 3, FALSE), ),
IF(IFERROR(SEARCH("Night Stalker",L102),0) &gt; 0 , VLOOKUP("Night Stalker", vote4TRAITS!A:C , 3, FALSE), ),
IF(IFERROR(SEARCH("Overflowing",L102),0) &gt; 0 , VLOOKUP("Overflowing", vote4TRAITS!A:C , 3, FALSE), ),
IF(IFERROR(SEARCH("Pestilence",L102),0) &gt; 0 , VLOOKUP("Pestilence", vote4TRAITS!A:C , 3, FALSE), ),
IF(IFERROR(SEARCH("Phalanx",L102),0) &gt; 0 , VLOOKUP("Phalanx", vote4TRAITS!A:C , 3, FALSE), ),
IF(IFERROR(SEARCH("Plagued",L102),0) &gt; 0 , VLOOKUP("Plagued", vote4TRAITS!A:C , 3, FALSE), ),
IF(IFERROR(SEARCH("Prey on the Weak",L102),0) &gt; 0 , VLOOKUP("Prey on the Weak", vote4TRAITS!A:C , 3, FALSE), ),
IF(IFERROR(SEARCH("Protect",L102),0) &gt; 0 , VLOOKUP("Protect", vote4TRAITS!A:C , 3, FALSE), ),
IF(IFERROR(SEARCH("Puncture",L102),0) &gt; 0 , VLOOKUP("Puncture", vote4TRAITS!A:C , 3, FALSE), ),
IF(IFERROR(SEARCH("Putrid Boils",L102),0) &gt; 0 , VLOOKUP("Putrid Boils", vote4TRAITS!A:C , 3, FALSE), ),
IF(IFERROR(SEARCH("Ravage",L102),0) &gt; 0 , VLOOKUP("Ravage", vote4TRAITS!A:C , 3, FALSE), ),
IF(IFERROR(SEARCH("Ravenous",L102),0) &gt; 0 , VLOOKUP("Ravenous", vote4TRAITS!A:C , 3, FALSE), ),
IF(IFERROR(SEARCH("Reach",L102),0) &gt; 0 , VLOOKUP("Reach", vote4TRAITS!A:C , 3, FALSE), ),
IF(IFERROR(SEARCH("Reanimation",L102),0) &gt; 0 , VLOOKUP("Reanimation", vote4TRAITS!A:C , 3, FALSE), ),
IF(IFERROR(SEARCH("Reaper",L102),0) &gt; 0 , VLOOKUP("Reaper", vote4TRAITS!A:C , 3, FALSE), ),
IF(IFERROR(SEARCH("Riposte",L102),0) &gt; 0 , VLOOKUP("Riposte", vote4TRAITS!A:C , 3, FALSE)),
IF(IFERROR(SEARCH("Scamper",L102),0) &gt; 0 , VLOOKUP("Scamper", vote4TRAITS!A:C , 3, FALSE), ),
IF(IFERROR(SEARCH("Small Beginnings",L102),0) &gt; 0 , VLOOKUP("Small Beginnings", vote4TRAITS!A:C , 3, FALSE), ),
IF(IFERROR(SEARCH("Spawner",L102),0) &gt; 0 , VLOOKUP("Spawner", vote4TRAITS!A:C , 3,FALSE), ),
IF(IFERROR(SEARCH("Shadowr",L102),0) &gt; 0 , VLOOKUP("Shadow", vote4TRAITS!A:C , 3,FALSE), ),
IF(IFERROR(SEARCH("Shadow Step",L102),0) &gt; 0 , VLOOKUP("Shadow Step", vote4TRAITS!A:C , 3,FALSE), ),
IF(IFERROR(SEARCH("Shambling",L102),0) &gt; 0 , VLOOKUP("Shambling", vote4TRAITS!A:C , 3,FALSE), ),
IF(IFERROR(SEARCH("Stealthy",L102),0) &gt; 0 , VLOOKUP("Stealthy", vote4TRAITS!A:C , 3, FALSE), ),
IF(IFERROR(SEARCH("Web",L102),0) &gt; 0 , VLOOKUP("Web", vote4TRAITS!A:C , 3, FALSE), ),
IF(IFERROR(SEARCH("+1 Willpower",L102),0) &gt; 0 , VLOOKUP("+1 Willpower", vote4TRAITS!A:C , 3, FALSE), ),
IF(IFERROR(SEARCH("+1 Might",L102),0) &gt; 0 , VLOOKUP("+1 Might", vote4TRAITS!A:C , 3, FALSE), ),
IF(IFERROR(SEARCH("+1 Knowledge",L102),0) &gt; 0 , VLOOKUP("+1 Knowledge", vote4TRAITS!A:C , 3, FALSE), ),
IF(IFERROR(SEARCH("+1 Awareness",L102),0) &gt; 0 , VLOOKUP("+1 Awareness", vote4TRAITS!A:C , 3, FALSE), ),
IF(IFERROR(SEARCH("-1 Willpower",L102),0) &gt; 0 , VLOOKUP("-1 Willpower", vote4TRAITS!A:C , 3, FALSE), ),
IF(IFERROR(SEARCH("+1 Health",L102),0) &gt; 0 , VLOOKUP("+1 Health", vote4TRAITS!A:C , 3, FALSE), ),
IF(IFERROR(SEARCH("+2 Health",L102),0) &gt; 0 , VLOOKUP("+2 Health", vote4TRAITS!A:C , 3, FALSE), ),
IF(IFERROR(SEARCH("+1 Stamina",L102),0) &gt; 0 , VLOOKUP("+1 Stamina", vote4TRAITS!A:C , 3, FALSE), ),
IF(IFERROR(SEARCH("+2 Stamina",L102),0) &gt; 0 , VLOOKUP("+2 Stamina", vote4TRAITS!A:C , 3, FALSE), ),
IFS(
IFERROR(SEARCH("+1 Range", L102),) &gt; 0 ,VLOOKUP("+1 Range", vote4TRAITS!A:C , 3, FALSE),
IFERROR(SEARCH("+2 Range", L102),) &gt; 0 ,VLOOKUP("+2 Range", vote4TRAITS!A:C , 3, FALSE),
IFERROR(SEARCH("+3 Range", L102),) &gt; 0,VLOOKUP("+3 Range", vote4TRAITS!A:C , 3, FALSE),
0=0,0)
,
IFS(
IFERROR(SEARCH("Sorcery 1", L102),) &gt; 0 ,VLOOKUP("Sorcery 1", vote4TRAITS!A:C , 3, FALSE),
IFERROR(SEARCH("Sorcery 2", L102),) &gt; 0 ,VLOOKUP("Sorcery 2", vote4TRAITS!A:C , 3, FALSE),
IFERROR(SEARCH("Sorcery 3", L102),) &gt; 0,VLOOKUP("Sorcery 3", vote4TRAITS!A:C , 3, FALSE),
0=0,0)
,
IFS(
IFERROR(SEARCH("Pierce 1", L102),) &gt; 0 ,VLOOKUP("Pierce 1", vote4TRAITS!A:C , 3, FALSE),
IFERROR(SEARCH("Pierce 2", L102),) &gt; 0 ,VLOOKUP("Pierce 2", vote4TRAITS!A:C , 3, FALSE),
IFERROR(SEARCH("Pierce 3", L102),) &gt; 0,VLOOKUP("Pierce 3", vote4TRAITS!A:C , 3, FALSE),
IFERROR(SEARCH("Pierce 4", L102),) &gt; 0 ,VLOOKUP("Pierce 4", vote4TRAITS!A:C , 3, FALSE),
0=0,0)
,
IFS(
IFERROR(SEARCH("+1 Health", L102),) &gt; 0 ,VLOOKUP("+1 Health", vote4TRAITS!A:C , 3, FALSE),
IFERROR(SEARCH("+2 Health", L102),) &gt; 0 ,VLOOKUP("+2 Health", vote4TRAITS!A:C , 3, FALSE),
IFERROR(SEARCH("+3 Health", L102),) &gt; 0 ,VLOOKUP("+3 Health", vote4TRAITS!A:C , 3, FALSE),
IFERROR(SEARCH("+4 Health", L102),) &gt; 0 ,VLOOKUP("+4 Health", vote4TRAITS!A:C , 3, FALSE),
0=0,0)
,
IFS(
IFERROR(SEARCH("Soul Shackle 1", L102),) &gt; 0 ,VLOOKUP("Soul Shackle 1", vote4TRAITS!A:C , 3, FALSE),
IFERROR(SEARCH("Soul Shackle 2", L102),) &gt; 0 ,VLOOKUP("Soul Shackle 2", vote4TRAITS!A:C , 3, FALSE),
IFERROR(SEARCH("Soul Shackle 3", L102),) &gt; 0,VLOOKUP("Soul Shackle 3", vote4TRAITS!A:C , 3, FALSE),
0=0,0)
)</f>
        <v>0</v>
      </c>
      <c r="N102" s="330"/>
      <c r="O102" s="317" t="str">
        <f>IF(ISBLANK(N102),,IFERROR(
IF(IFERROR(SEARCH("SS:",N102),0) &gt; 0, 
VLOOKUP(SUBSTITUTE(N102,"SS: ",""),vote4SURGE!$A:$C , 3, FALSE) - 2,
VLOOKUP(SUBSTITUTE(N102,"S: ",""),vote4SURGE!$A:$C , 3, FALSE)
)
,
IF(IFERROR(SEARCH("SS:",N102),0) &gt; 0, 
VLOOKUP(C102,vote4SURGE!$A:$C , 3, FALSE) - 2,
VLOOKUP(C102,vote4SURGE!$A:$C , 3, FALSE)
)
))</f>
        <v/>
      </c>
      <c r="P102" s="318"/>
      <c r="Q102" s="317" t="str">
        <f>IF(ISBLANK(P102),,IFERROR(
IF(IFERROR(SEARCH("SS:",P102),0) &gt; 0, 
VLOOKUP(SUBSTITUTE(P102,"SS: ",""),vote4SURGE!$A:$C , 3, FALSE) - 2,
VLOOKUP(SUBSTITUTE(P102,"S: ",""),vote4SURGE!$A:$C , 3, FALSE)
)
,
IF(IFERROR(SEARCH("SS:",P102),0) &gt; 0, 
VLOOKUP(C102,vote4SURGE!$A:$C , 3, FALSE) - 2,
VLOOKUP(C102,vote4SURGE!$A:$C , 3, FALSE)
)
))</f>
        <v/>
      </c>
      <c r="R102" s="318"/>
      <c r="S102" s="319" t="str">
        <f>IF(ISBLANK(R102),,IFERROR(
IF(IFERROR(SEARCH("SS:",R102),0) &gt; 0, 
VLOOKUP(SUBSTITUTE(R102,"SS: ",""),vote4SURGE!$A:$C , 3, FALSE) - 2,
VLOOKUP(SUBSTITUTE(R102,"S: ",""),vote4SURGE!$A:$C , 3, FALSE)
)
,
IF(IFERROR(SEARCH("SS:",R102),0) &gt; 0, 
VLOOKUP(C102,vote4SURGE!$A:$C , 3, FALSE) - 2,
VLOOKUP(C102,vote4SURGE!$A:$C , 3, FALSE)
)
))</f>
        <v/>
      </c>
      <c r="T102" s="320">
        <f t="shared" si="2"/>
        <v>0</v>
      </c>
      <c r="U102" s="320">
        <f>IFERROR(__xludf.DUMMYFUNCTION("ROUND(
IF(ISBLANK(G102),,
SWITCH(
LEN(G102) - LEN(SUBSTITUTE(G102,"","","""")),
0 , VLOOKUP(G102, Variables!$A:$C, 3, FALSE),
1 , VLOOKUP(index(split(G102 ,"", "", FALSE),1,1), Variables!$A:$C , 3, FALSE) + VLOOKUP(index(split(G102 ,"", "", FALSE),1,2), V"&amp;"ariables!$A:$C , 3, FALSE),
2 , VLOOKUP(index(split(G102 ,"", "", FALSE),1,1), Variables!$A:$C , 3, FALSE) + VLOOKUP(index(split(G102 ,"", "", FALSE),1,2), Variables!$A:$C , 3, FALSE) + VLOOKUP(index(split(G102 ,"", "", FALSE),1,3), Variables!$A:$C , 3, F"&amp;"ALSE),
3 , VLOOKUP(index(split(G102 ,"", "", FALSE),1,1), Variables!$A:$C , 3, FALSE) + VLOOKUP(index(split(G102 ,"", "", FALSE),1,2), Variables!$A:$C , 3, FALSE) + VLOOKUP(index(split(G102 ,"", "", FALSE),1,3), Variables!$A:$C , 3, FALSE) + VLOOKUP(index"&amp;"(split(G102 ,"", "", FALSE),1,4), Variables!$A:$C , 3, FALSE),
)
)
)"),0.0)</f>
        <v>0</v>
      </c>
      <c r="V102" s="317">
        <f t="shared" si="3"/>
        <v>0</v>
      </c>
      <c r="W102" s="321">
        <f t="shared" si="4"/>
        <v>6.666666667</v>
      </c>
      <c r="X102" s="118"/>
      <c r="Y102" s="118"/>
      <c r="Z102" s="118"/>
      <c r="AA102" s="118"/>
      <c r="AB102" s="118"/>
      <c r="AC102" s="118"/>
      <c r="AD102" s="118"/>
      <c r="AE102" s="118"/>
    </row>
    <row r="103" hidden="1">
      <c r="A103" s="310">
        <v>2.0</v>
      </c>
      <c r="B103" s="93">
        <f t="shared" si="1"/>
        <v>6</v>
      </c>
      <c r="C103" s="310" t="s">
        <v>930</v>
      </c>
      <c r="D103" s="310">
        <v>200.0</v>
      </c>
      <c r="E103" s="310" t="s">
        <v>1620</v>
      </c>
      <c r="F103" s="310"/>
      <c r="G103" s="313" t="s">
        <v>1621</v>
      </c>
      <c r="H103" s="312">
        <f>IFERROR(__xludf.DUMMYFUNCTION(" IF(ISBLANK(G103),,
SWITCH(
LEN(G103) - LEN(SUBSTITUTE(G103,"","","""")),
0 , VLOOKUP(G103, Variables!$A:$B, 2, FALSE),
1 , VLOOKUP(index(split(G103 ,"", "", FALSE),1,1), Variables!$A:$B , 2, FALSE) + VLOOKUP(index(split(G103 ,"", "", FALSE),1,2), Variabl"&amp;"es!$A:$B , 2, FALSE),
2 , VLOOKUP(index(split(G103 ,"", "", FALSE),1,1), Variables!$A:$B , 2, FALSE) + VLOOKUP(index(split(G103 ,"", "", FALSE),1,2), Variables!$A:$B , 2, FALSE) + VLOOKUP(index(split(G103 ,"", "", FALSE),1,3), Variables!$A:$B , 2, FALSE),"&amp;"
3 , VLOOKUP(index(split(G103 ,"", "", FALSE),1,1), Variables!$A:$B , 2, FALSE) + VLOOKUP(index(split(G103 ,"", "", FALSE),1,2), Variables!$A:$B , 2, FALSE) + VLOOKUP(index(split(G103 ,"", "", FALSE),1,3), Variables!$A:$B , 2, FALSE) + VLOOKUP(index(split"&amp;"(G103 ,"", "", FALSE),1,4), Variables!$A:$B , 2, FALSE),
)
)"),0.6666666666666666)</f>
        <v>0.6666666667</v>
      </c>
      <c r="I103" s="310" t="s">
        <v>1656</v>
      </c>
      <c r="J103" s="311" t="s">
        <v>931</v>
      </c>
      <c r="K103" s="314">
        <f>IFERROR(VLOOKUP(C103,vote4ITEMS!$A:$C, 3, FALSE),)</f>
        <v>2</v>
      </c>
      <c r="L103" s="311" t="s">
        <v>1640</v>
      </c>
      <c r="M103" s="314">
        <f>SUM(
IF(IFERROR(SEARCH("Aura 1",L103),0) &gt; 0 , VLOOKUP("Aura 1", vote4TRAITS!A:C , 3, FALSE), ),
IF(IFERROR(SEARCH("Backswing",L103),0) &gt; 0 , VLOOKUP("Backswing", vote4TRAITS!A:C , 3, FALSE), ),
IF(IFERROR(SEARCH("Blast",L103),0) &gt; 0 , VLOOKUP("Blast", vote4TRAITS!A:C , 3, FALSE), ),
IF(IFERROR(SEARCH("Combustible",L103),0) &gt; 0 , VLOOKUP("Combustible", vote4TRAITS!A:C , 3, FALSE), ),
IF(IFERROR(SEARCH("Command",L103),0) &gt; 0 , VLOOKUP("Command", vote4TRAITS!A:C , 3, FALSE), ),
IF(IFERROR(SEARCH("Cowardly",L103),0) &gt; 0 , VLOOKUP("Cowardly", vote4TRAITS!A:C , 3, FALSE), ),
IF(IFERROR(SEARCH("Death Wish",L103),0) &gt; 0 , VLOOKUP("Death Wish", vote4TRAITS!A:C , 3, FALSE), ),
IF(IFERROR(SEARCH("Entomb",L103),0) &gt; 0 , VLOOKUP("Entomb", vote4TRAITS!A:C , 3, FALSE), ),
IF(IFERROR(SEARCH("Ethereal Hold",L103),0) &gt; 0 , VLOOKUP("Ethereal Hold", vote4TRAITS!A:C , 3, FALSE), ),
IF(IFERROR(SEARCH("Extend",L103),0) &gt; 0 , VLOOKUP("Extend", vote4TRAITS!A:C , 3, FALSE), ),
IF(IFERROR(SEARCH("Filthy Murk",L103),0) &gt; 0 , VLOOKUP("Filthy Murk", vote4TRAITS!A:C , 3, FALSE), ),
IF(IFERROR(SEARCH("Flame Fiend",L103),0) &gt; 0 , VLOOKUP("Flame Fiend", vote4TRAITS!A:C , 3, FALSE), ),
IF(IFERROR(SEARCH("Fleshmonger",L103),0) &gt; 0 , VLOOKUP("Fleshmonger", vote4TRAITS!A:C , 3, FALSE), ),
IF(IFERROR(SEARCH("Fly",L103),0) &gt; 0 , VLOOKUP("Fly", vote4TRAITS!A:C , 3, FALSE), ),
IF(IFERROR(SEARCH("Freezing",L103),0) &gt; 0 , VLOOKUP("Freezing", vote4TRAITS!A:C , 3, FALSE), ),
IF(IFERROR(SEARCH("Lithesome",L103),0) &gt; 0 , VLOOKUP("Lithesome", vote4TRAITS!A:C , 3, FALSE), ),
IF(IFERROR(SEARCH("Harrowing",L103),0) &gt; 0 , VLOOKUP("Harrowing", vote4TRAITS!A:C , 3, FALSE), ),
IF(IFERROR(SEARCH("Hideous Laughter",L103),0) &gt; 0 , VLOOKUP("Hideous Laughter", vote4TRAITS!A:C , 3, FALSE), ),
IF(IFERROR(SEARCH("Hive Defense",L103),0) &gt; 0 , VLOOKUP("Hive Defense", vote4TRAITS!A:C , 3, FALSE), ),
IF(IFERROR(SEARCH("Horrifying",L103),0) &gt; 0 , VLOOKUP("Horrifying", vote4TRAITS!A:C , 3, FALSE), ),
IF(IFERROR(SEARCH("Ironskin",L103),0) &gt; 0 , VLOOKUP("Ironskin", vote4TRAITS!A:C , 3, FALSE), ),
IF(IFERROR(SEARCH("Unmovable",L103),0) &gt; 0 , VLOOKUP("Unmovable", vote4TRAITS!A:C , 3, FALSE), ),
IF(IFERROR(SEARCH("Lifethirst 1",L103),0) &gt; 0 , VLOOKUP("Lifethirst 1", vote4TRAITS!A:C , 3, FALSE), ),
IF(IFERROR(SEARCH("Lifethirst 2",L103),0) &gt; 0 , VLOOKUP("Lifethirst 2", vote4TRAITS!A:C , 3, FALSE), ),
IF(IFERROR(SEARCH("Morph",L103),0) &gt; 0 , VLOOKUP("Morph", vote4TRAITS!A:C , 3, FALSE), ),
IF(IFERROR(SEARCH("Night Stalker",L103),0) &gt; 0 , VLOOKUP("Night Stalker", vote4TRAITS!A:C , 3, FALSE), ),
IF(IFERROR(SEARCH("Overflowing",L103),0) &gt; 0 , VLOOKUP("Overflowing", vote4TRAITS!A:C , 3, FALSE), ),
IF(IFERROR(SEARCH("Pestilence",L103),0) &gt; 0 , VLOOKUP("Pestilence", vote4TRAITS!A:C , 3, FALSE), ),
IF(IFERROR(SEARCH("Phalanx",L103),0) &gt; 0 , VLOOKUP("Phalanx", vote4TRAITS!A:C , 3, FALSE), ),
IF(IFERROR(SEARCH("Plagued",L103),0) &gt; 0 , VLOOKUP("Plagued", vote4TRAITS!A:C , 3, FALSE), ),
IF(IFERROR(SEARCH("Prey on the Weak",L103),0) &gt; 0 , VLOOKUP("Prey on the Weak", vote4TRAITS!A:C , 3, FALSE), ),
IF(IFERROR(SEARCH("Protect",L103),0) &gt; 0 , VLOOKUP("Protect", vote4TRAITS!A:C , 3, FALSE), ),
IF(IFERROR(SEARCH("Puncture",L103),0) &gt; 0 , VLOOKUP("Puncture", vote4TRAITS!A:C , 3, FALSE), ),
IF(IFERROR(SEARCH("Putrid Boils",L103),0) &gt; 0 , VLOOKUP("Putrid Boils", vote4TRAITS!A:C , 3, FALSE), ),
IF(IFERROR(SEARCH("Ravage",L103),0) &gt; 0 , VLOOKUP("Ravage", vote4TRAITS!A:C , 3, FALSE), ),
IF(IFERROR(SEARCH("Ravenous",L103),0) &gt; 0 , VLOOKUP("Ravenous", vote4TRAITS!A:C , 3, FALSE), ),
IF(IFERROR(SEARCH("Reach",L103),0) &gt; 0 , VLOOKUP("Reach", vote4TRAITS!A:C , 3, FALSE), ),
IF(IFERROR(SEARCH("Reanimation",L103),0) &gt; 0 , VLOOKUP("Reanimation", vote4TRAITS!A:C , 3, FALSE), ),
IF(IFERROR(SEARCH("Reaper",L103),0) &gt; 0 , VLOOKUP("Reaper", vote4TRAITS!A:C , 3, FALSE), ),
IF(IFERROR(SEARCH("Riposte",L103),0) &gt; 0 , VLOOKUP("Riposte", vote4TRAITS!A:C , 3, FALSE)),
IF(IFERROR(SEARCH("Scamper",L103),0) &gt; 0 , VLOOKUP("Scamper", vote4TRAITS!A:C , 3, FALSE), ),
IF(IFERROR(SEARCH("Small Beginnings",L103),0) &gt; 0 , VLOOKUP("Small Beginnings", vote4TRAITS!A:C , 3, FALSE), ),
IF(IFERROR(SEARCH("Spawner",L103),0) &gt; 0 , VLOOKUP("Spawner", vote4TRAITS!A:C , 3,FALSE), ),
IF(IFERROR(SEARCH("Shadowr",L103),0) &gt; 0 , VLOOKUP("Shadow", vote4TRAITS!A:C , 3,FALSE), ),
IF(IFERROR(SEARCH("Shadow Step",L103),0) &gt; 0 , VLOOKUP("Shadow Step", vote4TRAITS!A:C , 3,FALSE), ),
IF(IFERROR(SEARCH("Shambling",L103),0) &gt; 0 , VLOOKUP("Shambling", vote4TRAITS!A:C , 3,FALSE), ),
IF(IFERROR(SEARCH("Stealthy",L103),0) &gt; 0 , VLOOKUP("Stealthy", vote4TRAITS!A:C , 3, FALSE), ),
IF(IFERROR(SEARCH("Web",L103),0) &gt; 0 , VLOOKUP("Web", vote4TRAITS!A:C , 3, FALSE), ),
IF(IFERROR(SEARCH("+1 Willpower",L103),0) &gt; 0 , VLOOKUP("+1 Willpower", vote4TRAITS!A:C , 3, FALSE), ),
IF(IFERROR(SEARCH("+1 Might",L103),0) &gt; 0 , VLOOKUP("+1 Might", vote4TRAITS!A:C , 3, FALSE), ),
IF(IFERROR(SEARCH("+1 Knowledge",L103),0) &gt; 0 , VLOOKUP("+1 Knowledge", vote4TRAITS!A:C , 3, FALSE), ),
IF(IFERROR(SEARCH("+1 Awareness",L103),0) &gt; 0 , VLOOKUP("+1 Awareness", vote4TRAITS!A:C , 3, FALSE), ),
IF(IFERROR(SEARCH("-1 Willpower",L103),0) &gt; 0 , VLOOKUP("-1 Willpower", vote4TRAITS!A:C , 3, FALSE), ),
IF(IFERROR(SEARCH("+1 Health",L103),0) &gt; 0 , VLOOKUP("+1 Health", vote4TRAITS!A:C , 3, FALSE), ),
IF(IFERROR(SEARCH("+2 Health",L103),0) &gt; 0 , VLOOKUP("+2 Health", vote4TRAITS!A:C , 3, FALSE), ),
IF(IFERROR(SEARCH("+1 Stamina",L103),0) &gt; 0 , VLOOKUP("+1 Stamina", vote4TRAITS!A:C , 3, FALSE), ),
IF(IFERROR(SEARCH("+2 Stamina",L103),0) &gt; 0 , VLOOKUP("+2 Stamina", vote4TRAITS!A:C , 3, FALSE), ),
IFS(
IFERROR(SEARCH("+1 Range", L103),) &gt; 0 ,VLOOKUP("+1 Range", vote4TRAITS!A:C , 3, FALSE),
IFERROR(SEARCH("+2 Range", L103),) &gt; 0 ,VLOOKUP("+2 Range", vote4TRAITS!A:C , 3, FALSE),
IFERROR(SEARCH("+3 Range", L103),) &gt; 0,VLOOKUP("+3 Range", vote4TRAITS!A:C , 3, FALSE),
0=0,0)
,
IFS(
IFERROR(SEARCH("Sorcery 1", L103),) &gt; 0 ,VLOOKUP("Sorcery 1", vote4TRAITS!A:C , 3, FALSE),
IFERROR(SEARCH("Sorcery 2", L103),) &gt; 0 ,VLOOKUP("Sorcery 2", vote4TRAITS!A:C , 3, FALSE),
IFERROR(SEARCH("Sorcery 3", L103),) &gt; 0,VLOOKUP("Sorcery 3", vote4TRAITS!A:C , 3, FALSE),
0=0,0)
,
IFS(
IFERROR(SEARCH("Pierce 1", L103),) &gt; 0 ,VLOOKUP("Pierce 1", vote4TRAITS!A:C , 3, FALSE),
IFERROR(SEARCH("Pierce 2", L103),) &gt; 0 ,VLOOKUP("Pierce 2", vote4TRAITS!A:C , 3, FALSE),
IFERROR(SEARCH("Pierce 3", L103),) &gt; 0,VLOOKUP("Pierce 3", vote4TRAITS!A:C , 3, FALSE),
IFERROR(SEARCH("Pierce 4", L103),) &gt; 0 ,VLOOKUP("Pierce 4", vote4TRAITS!A:C , 3, FALSE),
0=0,0)
,
IFS(
IFERROR(SEARCH("+1 Health", L103),) &gt; 0 ,VLOOKUP("+1 Health", vote4TRAITS!A:C , 3, FALSE),
IFERROR(SEARCH("+2 Health", L103),) &gt; 0 ,VLOOKUP("+2 Health", vote4TRAITS!A:C , 3, FALSE),
IFERROR(SEARCH("+3 Health", L103),) &gt; 0 ,VLOOKUP("+3 Health", vote4TRAITS!A:C , 3, FALSE),
IFERROR(SEARCH("+4 Health", L103),) &gt; 0 ,VLOOKUP("+4 Health", vote4TRAITS!A:C , 3, FALSE),
0=0,0)
,
IFS(
IFERROR(SEARCH("Soul Shackle 1", L103),) &gt; 0 ,VLOOKUP("Soul Shackle 1", vote4TRAITS!A:C , 3, FALSE),
IFERROR(SEARCH("Soul Shackle 2", L103),) &gt; 0 ,VLOOKUP("Soul Shackle 2", vote4TRAITS!A:C , 3, FALSE),
IFERROR(SEARCH("Soul Shackle 3", L103),) &gt; 0,VLOOKUP("Soul Shackle 3", vote4TRAITS!A:C , 3, FALSE),
0=0,0)
)</f>
        <v>4</v>
      </c>
      <c r="N103" s="313"/>
      <c r="O103" s="317" t="str">
        <f>IF(ISBLANK(N103),,IFERROR(
IF(IFERROR(SEARCH("SS:",N103),0) &gt; 0, 
VLOOKUP(SUBSTITUTE(N103,"SS: ",""),vote4SURGE!$A:$C , 3, FALSE) - 2,
VLOOKUP(SUBSTITUTE(N103,"S: ",""),vote4SURGE!$A:$C , 3, FALSE)
)
,
IF(IFERROR(SEARCH("SS:",N103),0) &gt; 0, 
VLOOKUP(C103,vote4SURGE!$A:$C , 3, FALSE) - 2,
VLOOKUP(C103,vote4SURGE!$A:$C , 3, FALSE)
)
))</f>
        <v/>
      </c>
      <c r="P103" s="318"/>
      <c r="Q103" s="317" t="str">
        <f>IF(ISBLANK(P103),,IFERROR(
IF(IFERROR(SEARCH("SS:",P103),0) &gt; 0, 
VLOOKUP(SUBSTITUTE(P103,"SS: ",""),vote4SURGE!$A:$C , 3, FALSE) - 2,
VLOOKUP(SUBSTITUTE(P103,"S: ",""),vote4SURGE!$A:$C , 3, FALSE)
)
,
IF(IFERROR(SEARCH("SS:",P103),0) &gt; 0, 
VLOOKUP(C103,vote4SURGE!$A:$C , 3, FALSE) - 2,
VLOOKUP(C103,vote4SURGE!$A:$C , 3, FALSE)
)
))</f>
        <v/>
      </c>
      <c r="R103" s="318"/>
      <c r="S103" s="319" t="str">
        <f>IF(ISBLANK(R103),,IFERROR(
IF(IFERROR(SEARCH("SS:",R103),0) &gt; 0, 
VLOOKUP(SUBSTITUTE(R103,"SS: ",""),vote4SURGE!$A:$C , 3, FALSE) - 2,
VLOOKUP(SUBSTITUTE(R103,"S: ",""),vote4SURGE!$A:$C , 3, FALSE)
)
,
IF(IFERROR(SEARCH("SS:",R103),0) &gt; 0, 
VLOOKUP(C103,vote4SURGE!$A:$C , 3, FALSE) - 2,
VLOOKUP(C103,vote4SURGE!$A:$C , 3, FALSE)
)
))</f>
        <v/>
      </c>
      <c r="T103" s="320">
        <f t="shared" si="2"/>
        <v>0</v>
      </c>
      <c r="U103" s="320">
        <f>IFERROR(__xludf.DUMMYFUNCTION("ROUND(
IF(ISBLANK(G103),,
SWITCH(
LEN(G103) - LEN(SUBSTITUTE(G103,"","","""")),
0 , VLOOKUP(G103, Variables!$A:$C, 3, FALSE),
1 , VLOOKUP(index(split(G103 ,"", "", FALSE),1,1), Variables!$A:$C , 3, FALSE) + VLOOKUP(index(split(G103 ,"", "", FALSE),1,2), V"&amp;"ariables!$A:$C , 3, FALSE),
2 , VLOOKUP(index(split(G103 ,"", "", FALSE),1,1), Variables!$A:$C , 3, FALSE) + VLOOKUP(index(split(G103 ,"", "", FALSE),1,2), Variables!$A:$C , 3, FALSE) + VLOOKUP(index(split(G103 ,"", "", FALSE),1,3), Variables!$A:$C , 3, F"&amp;"ALSE),
3 , VLOOKUP(index(split(G103 ,"", "", FALSE),1,1), Variables!$A:$C , 3, FALSE) + VLOOKUP(index(split(G103 ,"", "", FALSE),1,2), Variables!$A:$C , 3, FALSE) + VLOOKUP(index(split(G103 ,"", "", FALSE),1,3), Variables!$A:$C , 3, FALSE) + VLOOKUP(index"&amp;"(split(G103 ,"", "", FALSE),1,4), Variables!$A:$C , 3, FALSE),
)
)
)"),0.0)</f>
        <v>0</v>
      </c>
      <c r="V103" s="317">
        <f t="shared" si="3"/>
        <v>0</v>
      </c>
      <c r="W103" s="321">
        <f t="shared" si="4"/>
        <v>6.666666667</v>
      </c>
      <c r="X103" s="118"/>
      <c r="Y103" s="118"/>
      <c r="Z103" s="118"/>
      <c r="AA103" s="118"/>
      <c r="AB103" s="118"/>
      <c r="AC103" s="118"/>
      <c r="AD103" s="118"/>
      <c r="AE103" s="118"/>
    </row>
    <row r="104" hidden="1">
      <c r="A104" s="310">
        <v>1.0</v>
      </c>
      <c r="B104" s="93">
        <f t="shared" si="1"/>
        <v>2</v>
      </c>
      <c r="C104" s="310" t="s">
        <v>860</v>
      </c>
      <c r="D104" s="310">
        <v>125.0</v>
      </c>
      <c r="E104" s="310" t="s">
        <v>1629</v>
      </c>
      <c r="F104" s="310"/>
      <c r="G104" s="313"/>
      <c r="H104" s="312" t="str">
        <f>IFERROR(__xludf.DUMMYFUNCTION(" IF(ISBLANK(G104),,
SWITCH(
LEN(G104) - LEN(SUBSTITUTE(G104,"","","""")),
0 , VLOOKUP(G104, Variables!$A:$B, 2, FALSE),
1 , VLOOKUP(index(split(G104 ,"", "", FALSE),1,1), Variables!$A:$B , 2, FALSE) + VLOOKUP(index(split(G104 ,"", "", FALSE),1,2), Variabl"&amp;"es!$A:$B , 2, FALSE),
2 , VLOOKUP(index(split(G104 ,"", "", FALSE),1,1), Variables!$A:$B , 2, FALSE) + VLOOKUP(index(split(G104 ,"", "", FALSE),1,2), Variables!$A:$B , 2, FALSE) + VLOOKUP(index(split(G104 ,"", "", FALSE),1,3), Variables!$A:$B , 2, FALSE),"&amp;"
3 , VLOOKUP(index(split(G104 ,"", "", FALSE),1,1), Variables!$A:$B , 2, FALSE) + VLOOKUP(index(split(G104 ,"", "", FALSE),1,2), Variables!$A:$B , 2, FALSE) + VLOOKUP(index(split(G104 ,"", "", FALSE),1,3), Variables!$A:$B , 2, FALSE) + VLOOKUP(index(split"&amp;"(G104 ,"", "", FALSE),1,4), Variables!$A:$B , 2, FALSE),
)
)"),"")</f>
        <v/>
      </c>
      <c r="I104" s="310" t="s">
        <v>1641</v>
      </c>
      <c r="J104" s="313" t="s">
        <v>1657</v>
      </c>
      <c r="K104" s="314">
        <f>IFERROR(VLOOKUP(C104,vote4ITEMS!$A:$C, 3, FALSE),)</f>
        <v>2.666666667</v>
      </c>
      <c r="L104" s="313"/>
      <c r="M104" s="314">
        <f>SUM(
IF(IFERROR(SEARCH("Aura 1",L104),0) &gt; 0 , VLOOKUP("Aura 1", vote4TRAITS!A:C , 3, FALSE), ),
IF(IFERROR(SEARCH("Backswing",L104),0) &gt; 0 , VLOOKUP("Backswing", vote4TRAITS!A:C , 3, FALSE), ),
IF(IFERROR(SEARCH("Blast",L104),0) &gt; 0 , VLOOKUP("Blast", vote4TRAITS!A:C , 3, FALSE), ),
IF(IFERROR(SEARCH("Combustible",L104),0) &gt; 0 , VLOOKUP("Combustible", vote4TRAITS!A:C , 3, FALSE), ),
IF(IFERROR(SEARCH("Command",L104),0) &gt; 0 , VLOOKUP("Command", vote4TRAITS!A:C , 3, FALSE), ),
IF(IFERROR(SEARCH("Cowardly",L104),0) &gt; 0 , VLOOKUP("Cowardly", vote4TRAITS!A:C , 3, FALSE), ),
IF(IFERROR(SEARCH("Death Wish",L104),0) &gt; 0 , VLOOKUP("Death Wish", vote4TRAITS!A:C , 3, FALSE), ),
IF(IFERROR(SEARCH("Entomb",L104),0) &gt; 0 , VLOOKUP("Entomb", vote4TRAITS!A:C , 3, FALSE), ),
IF(IFERROR(SEARCH("Ethereal Hold",L104),0) &gt; 0 , VLOOKUP("Ethereal Hold", vote4TRAITS!A:C , 3, FALSE), ),
IF(IFERROR(SEARCH("Extend",L104),0) &gt; 0 , VLOOKUP("Extend", vote4TRAITS!A:C , 3, FALSE), ),
IF(IFERROR(SEARCH("Filthy Murk",L104),0) &gt; 0 , VLOOKUP("Filthy Murk", vote4TRAITS!A:C , 3, FALSE), ),
IF(IFERROR(SEARCH("Flame Fiend",L104),0) &gt; 0 , VLOOKUP("Flame Fiend", vote4TRAITS!A:C , 3, FALSE), ),
IF(IFERROR(SEARCH("Fleshmonger",L104),0) &gt; 0 , VLOOKUP("Fleshmonger", vote4TRAITS!A:C , 3, FALSE), ),
IF(IFERROR(SEARCH("Fly",L104),0) &gt; 0 , VLOOKUP("Fly", vote4TRAITS!A:C , 3, FALSE), ),
IF(IFERROR(SEARCH("Freezing",L104),0) &gt; 0 , VLOOKUP("Freezing", vote4TRAITS!A:C , 3, FALSE), ),
IF(IFERROR(SEARCH("Lithesome",L104),0) &gt; 0 , VLOOKUP("Lithesome", vote4TRAITS!A:C , 3, FALSE), ),
IF(IFERROR(SEARCH("Harrowing",L104),0) &gt; 0 , VLOOKUP("Harrowing", vote4TRAITS!A:C , 3, FALSE), ),
IF(IFERROR(SEARCH("Hideous Laughter",L104),0) &gt; 0 , VLOOKUP("Hideous Laughter", vote4TRAITS!A:C , 3, FALSE), ),
IF(IFERROR(SEARCH("Hive Defense",L104),0) &gt; 0 , VLOOKUP("Hive Defense", vote4TRAITS!A:C , 3, FALSE), ),
IF(IFERROR(SEARCH("Horrifying",L104),0) &gt; 0 , VLOOKUP("Horrifying", vote4TRAITS!A:C , 3, FALSE), ),
IF(IFERROR(SEARCH("Ironskin",L104),0) &gt; 0 , VLOOKUP("Ironskin", vote4TRAITS!A:C , 3, FALSE), ),
IF(IFERROR(SEARCH("Unmovable",L104),0) &gt; 0 , VLOOKUP("Unmovable", vote4TRAITS!A:C , 3, FALSE), ),
IF(IFERROR(SEARCH("Lifethirst 1",L104),0) &gt; 0 , VLOOKUP("Lifethirst 1", vote4TRAITS!A:C , 3, FALSE), ),
IF(IFERROR(SEARCH("Lifethirst 2",L104),0) &gt; 0 , VLOOKUP("Lifethirst 2", vote4TRAITS!A:C , 3, FALSE), ),
IF(IFERROR(SEARCH("Morph",L104),0) &gt; 0 , VLOOKUP("Morph", vote4TRAITS!A:C , 3, FALSE), ),
IF(IFERROR(SEARCH("Night Stalker",L104),0) &gt; 0 , VLOOKUP("Night Stalker", vote4TRAITS!A:C , 3, FALSE), ),
IF(IFERROR(SEARCH("Overflowing",L104),0) &gt; 0 , VLOOKUP("Overflowing", vote4TRAITS!A:C , 3, FALSE), ),
IF(IFERROR(SEARCH("Pestilence",L104),0) &gt; 0 , VLOOKUP("Pestilence", vote4TRAITS!A:C , 3, FALSE), ),
IF(IFERROR(SEARCH("Phalanx",L104),0) &gt; 0 , VLOOKUP("Phalanx", vote4TRAITS!A:C , 3, FALSE), ),
IF(IFERROR(SEARCH("Plagued",L104),0) &gt; 0 , VLOOKUP("Plagued", vote4TRAITS!A:C , 3, FALSE), ),
IF(IFERROR(SEARCH("Prey on the Weak",L104),0) &gt; 0 , VLOOKUP("Prey on the Weak", vote4TRAITS!A:C , 3, FALSE), ),
IF(IFERROR(SEARCH("Protect",L104),0) &gt; 0 , VLOOKUP("Protect", vote4TRAITS!A:C , 3, FALSE), ),
IF(IFERROR(SEARCH("Puncture",L104),0) &gt; 0 , VLOOKUP("Puncture", vote4TRAITS!A:C , 3, FALSE), ),
IF(IFERROR(SEARCH("Putrid Boils",L104),0) &gt; 0 , VLOOKUP("Putrid Boils", vote4TRAITS!A:C , 3, FALSE), ),
IF(IFERROR(SEARCH("Ravage",L104),0) &gt; 0 , VLOOKUP("Ravage", vote4TRAITS!A:C , 3, FALSE), ),
IF(IFERROR(SEARCH("Ravenous",L104),0) &gt; 0 , VLOOKUP("Ravenous", vote4TRAITS!A:C , 3, FALSE), ),
IF(IFERROR(SEARCH("Reach",L104),0) &gt; 0 , VLOOKUP("Reach", vote4TRAITS!A:C , 3, FALSE), ),
IF(IFERROR(SEARCH("Reanimation",L104),0) &gt; 0 , VLOOKUP("Reanimation", vote4TRAITS!A:C , 3, FALSE), ),
IF(IFERROR(SEARCH("Reaper",L104),0) &gt; 0 , VLOOKUP("Reaper", vote4TRAITS!A:C , 3, FALSE), ),
IF(IFERROR(SEARCH("Riposte",L104),0) &gt; 0 , VLOOKUP("Riposte", vote4TRAITS!A:C , 3, FALSE)),
IF(IFERROR(SEARCH("Scamper",L104),0) &gt; 0 , VLOOKUP("Scamper", vote4TRAITS!A:C , 3, FALSE), ),
IF(IFERROR(SEARCH("Small Beginnings",L104),0) &gt; 0 , VLOOKUP("Small Beginnings", vote4TRAITS!A:C , 3, FALSE), ),
IF(IFERROR(SEARCH("Spawner",L104),0) &gt; 0 , VLOOKUP("Spawner", vote4TRAITS!A:C , 3,FALSE), ),
IF(IFERROR(SEARCH("Shadowr",L104),0) &gt; 0 , VLOOKUP("Shadow", vote4TRAITS!A:C , 3,FALSE), ),
IF(IFERROR(SEARCH("Shadow Step",L104),0) &gt; 0 , VLOOKUP("Shadow Step", vote4TRAITS!A:C , 3,FALSE), ),
IF(IFERROR(SEARCH("Shambling",L104),0) &gt; 0 , VLOOKUP("Shambling", vote4TRAITS!A:C , 3,FALSE), ),
IF(IFERROR(SEARCH("Stealthy",L104),0) &gt; 0 , VLOOKUP("Stealthy", vote4TRAITS!A:C , 3, FALSE), ),
IF(IFERROR(SEARCH("Web",L104),0) &gt; 0 , VLOOKUP("Web", vote4TRAITS!A:C , 3, FALSE), ),
IF(IFERROR(SEARCH("+1 Willpower",L104),0) &gt; 0 , VLOOKUP("+1 Willpower", vote4TRAITS!A:C , 3, FALSE), ),
IF(IFERROR(SEARCH("+1 Might",L104),0) &gt; 0 , VLOOKUP("+1 Might", vote4TRAITS!A:C , 3, FALSE), ),
IF(IFERROR(SEARCH("+1 Knowledge",L104),0) &gt; 0 , VLOOKUP("+1 Knowledge", vote4TRAITS!A:C , 3, FALSE), ),
IF(IFERROR(SEARCH("+1 Awareness",L104),0) &gt; 0 , VLOOKUP("+1 Awareness", vote4TRAITS!A:C , 3, FALSE), ),
IF(IFERROR(SEARCH("-1 Willpower",L104),0) &gt; 0 , VLOOKUP("-1 Willpower", vote4TRAITS!A:C , 3, FALSE), ),
IF(IFERROR(SEARCH("+1 Health",L104),0) &gt; 0 , VLOOKUP("+1 Health", vote4TRAITS!A:C , 3, FALSE), ),
IF(IFERROR(SEARCH("+2 Health",L104),0) &gt; 0 , VLOOKUP("+2 Health", vote4TRAITS!A:C , 3, FALSE), ),
IF(IFERROR(SEARCH("+1 Stamina",L104),0) &gt; 0 , VLOOKUP("+1 Stamina", vote4TRAITS!A:C , 3, FALSE), ),
IF(IFERROR(SEARCH("+2 Stamina",L104),0) &gt; 0 , VLOOKUP("+2 Stamina", vote4TRAITS!A:C , 3, FALSE), ),
IFS(
IFERROR(SEARCH("+1 Range", L104),) &gt; 0 ,VLOOKUP("+1 Range", vote4TRAITS!A:C , 3, FALSE),
IFERROR(SEARCH("+2 Range", L104),) &gt; 0 ,VLOOKUP("+2 Range", vote4TRAITS!A:C , 3, FALSE),
IFERROR(SEARCH("+3 Range", L104),) &gt; 0,VLOOKUP("+3 Range", vote4TRAITS!A:C , 3, FALSE),
0=0,0)
,
IFS(
IFERROR(SEARCH("Sorcery 1", L104),) &gt; 0 ,VLOOKUP("Sorcery 1", vote4TRAITS!A:C , 3, FALSE),
IFERROR(SEARCH("Sorcery 2", L104),) &gt; 0 ,VLOOKUP("Sorcery 2", vote4TRAITS!A:C , 3, FALSE),
IFERROR(SEARCH("Sorcery 3", L104),) &gt; 0,VLOOKUP("Sorcery 3", vote4TRAITS!A:C , 3, FALSE),
0=0,0)
,
IFS(
IFERROR(SEARCH("Pierce 1", L104),) &gt; 0 ,VLOOKUP("Pierce 1", vote4TRAITS!A:C , 3, FALSE),
IFERROR(SEARCH("Pierce 2", L104),) &gt; 0 ,VLOOKUP("Pierce 2", vote4TRAITS!A:C , 3, FALSE),
IFERROR(SEARCH("Pierce 3", L104),) &gt; 0,VLOOKUP("Pierce 3", vote4TRAITS!A:C , 3, FALSE),
IFERROR(SEARCH("Pierce 4", L104),) &gt; 0 ,VLOOKUP("Pierce 4", vote4TRAITS!A:C , 3, FALSE),
0=0,0)
,
IFS(
IFERROR(SEARCH("+1 Health", L104),) &gt; 0 ,VLOOKUP("+1 Health", vote4TRAITS!A:C , 3, FALSE),
IFERROR(SEARCH("+2 Health", L104),) &gt; 0 ,VLOOKUP("+2 Health", vote4TRAITS!A:C , 3, FALSE),
IFERROR(SEARCH("+3 Health", L104),) &gt; 0 ,VLOOKUP("+3 Health", vote4TRAITS!A:C , 3, FALSE),
IFERROR(SEARCH("+4 Health", L104),) &gt; 0 ,VLOOKUP("+4 Health", vote4TRAITS!A:C , 3, FALSE),
0=0,0)
,
IFS(
IFERROR(SEARCH("Soul Shackle 1", L104),) &gt; 0 ,VLOOKUP("Soul Shackle 1", vote4TRAITS!A:C , 3, FALSE),
IFERROR(SEARCH("Soul Shackle 2", L104),) &gt; 0 ,VLOOKUP("Soul Shackle 2", vote4TRAITS!A:C , 3, FALSE),
IFERROR(SEARCH("Soul Shackle 3", L104),) &gt; 0,VLOOKUP("Soul Shackle 3", vote4TRAITS!A:C , 3, FALSE),
0=0,0)
)</f>
        <v>0</v>
      </c>
      <c r="N104" s="311" t="s">
        <v>1544</v>
      </c>
      <c r="O104" s="317">
        <f>IF(ISBLANK(N104),,IFERROR(
IF(IFERROR(SEARCH("SS:",N104),0) &gt; 0, 
VLOOKUP(SUBSTITUTE(N104,"SS: ",""),vote4SURGE!$A:$C , 3, FALSE) - 2,
VLOOKUP(SUBSTITUTE(N104,"S: ",""),vote4SURGE!$A:$C , 3, FALSE)
)
,
IF(IFERROR(SEARCH("SS:",N104),0) &gt; 0, 
VLOOKUP(C104,vote4SURGE!$A:$C , 3, FALSE) - 2,
VLOOKUP(C104,vote4SURGE!$A:$C , 3, FALSE)
)
))</f>
        <v>4</v>
      </c>
      <c r="P104" s="318"/>
      <c r="Q104" s="317" t="str">
        <f>IF(ISBLANK(P104),,IFERROR(
IF(IFERROR(SEARCH("SS:",P104),0) &gt; 0, 
VLOOKUP(SUBSTITUTE(P104,"SS: ",""),vote4SURGE!$A:$C , 3, FALSE) - 2,
VLOOKUP(SUBSTITUTE(P104,"S: ",""),vote4SURGE!$A:$C , 3, FALSE)
)
,
IF(IFERROR(SEARCH("SS:",P104),0) &gt; 0, 
VLOOKUP(C104,vote4SURGE!$A:$C , 3, FALSE) - 2,
VLOOKUP(C104,vote4SURGE!$A:$C , 3, FALSE)
)
))</f>
        <v/>
      </c>
      <c r="R104" s="318"/>
      <c r="S104" s="319" t="str">
        <f>IF(ISBLANK(R104),,IFERROR(
IF(IFERROR(SEARCH("SS:",R104),0) &gt; 0, 
VLOOKUP(SUBSTITUTE(R104,"SS: ",""),vote4SURGE!$A:$C , 3, FALSE) - 2,
VLOOKUP(SUBSTITUTE(R104,"S: ",""),vote4SURGE!$A:$C , 3, FALSE)
)
,
IF(IFERROR(SEARCH("SS:",R104),0) &gt; 0, 
VLOOKUP(C104,vote4SURGE!$A:$C , 3, FALSE) - 2,
VLOOKUP(C104,vote4SURGE!$A:$C , 3, FALSE)
)
))</f>
        <v/>
      </c>
      <c r="T104" s="320">
        <f t="shared" si="2"/>
        <v>1</v>
      </c>
      <c r="U104" s="320">
        <f>IFERROR(__xludf.DUMMYFUNCTION("ROUND(
IF(ISBLANK(G104),,
SWITCH(
LEN(G104) - LEN(SUBSTITUTE(G104,"","","""")),
0 , VLOOKUP(G104, Variables!$A:$C, 3, FALSE),
1 , VLOOKUP(index(split(G104 ,"", "", FALSE),1,1), Variables!$A:$C , 3, FALSE) + VLOOKUP(index(split(G104 ,"", "", FALSE),1,2), V"&amp;"ariables!$A:$C , 3, FALSE),
2 , VLOOKUP(index(split(G104 ,"", "", FALSE),1,1), Variables!$A:$C , 3, FALSE) + VLOOKUP(index(split(G104 ,"", "", FALSE),1,2), Variables!$A:$C , 3, FALSE) + VLOOKUP(index(split(G104 ,"", "", FALSE),1,3), Variables!$A:$C , 3, F"&amp;"ALSE),
3 , VLOOKUP(index(split(G104 ,"", "", FALSE),1,1), Variables!$A:$C , 3, FALSE) + VLOOKUP(index(split(G104 ,"", "", FALSE),1,2), Variables!$A:$C , 3, FALSE) + VLOOKUP(index(split(G104 ,"", "", FALSE),1,3), Variables!$A:$C , 3, FALSE) + VLOOKUP(index"&amp;"(split(G104 ,"", "", FALSE),1,4), Variables!$A:$C , 3, FALSE),
)
)
)"),0.0)</f>
        <v>0</v>
      </c>
      <c r="V104" s="317">
        <f t="shared" si="3"/>
        <v>4</v>
      </c>
      <c r="W104" s="321">
        <f t="shared" si="4"/>
        <v>6.666666667</v>
      </c>
      <c r="X104" s="118"/>
      <c r="Y104" s="118"/>
      <c r="Z104" s="118"/>
      <c r="AA104" s="118"/>
      <c r="AB104" s="118"/>
      <c r="AC104" s="118"/>
      <c r="AD104" s="118"/>
      <c r="AE104" s="118"/>
    </row>
    <row r="105" hidden="1">
      <c r="A105" s="310">
        <v>1.0</v>
      </c>
      <c r="B105" s="93" t="str">
        <f t="shared" si="1"/>
        <v/>
      </c>
      <c r="C105" s="310" t="s">
        <v>1658</v>
      </c>
      <c r="D105" s="323">
        <v>0.0</v>
      </c>
      <c r="E105" s="310" t="s">
        <v>1527</v>
      </c>
      <c r="F105" s="310" t="s">
        <v>1521</v>
      </c>
      <c r="G105" s="313" t="s">
        <v>1548</v>
      </c>
      <c r="H105" s="312">
        <f>IFERROR(__xludf.DUMMYFUNCTION(" IF(ISBLANK(G105),,
SWITCH(
LEN(G105) - LEN(SUBSTITUTE(G105,"","","""")),
0 , VLOOKUP(G105, Variables!$A:$B, 2, FALSE),
1 , VLOOKUP(index(split(G105 ,"", "", FALSE),1,1), Variables!$A:$B , 2, FALSE) + VLOOKUP(index(split(G105 ,"", "", FALSE),1,2), Variabl"&amp;"es!$A:$B , 2, FALSE),
2 , VLOOKUP(index(split(G105 ,"", "", FALSE),1,1), Variables!$A:$B , 2, FALSE) + VLOOKUP(index(split(G105 ,"", "", FALSE),1,2), Variables!$A:$B , 2, FALSE) + VLOOKUP(index(split(G105 ,"", "", FALSE),1,3), Variables!$A:$B , 2, FALSE),"&amp;"
3 , VLOOKUP(index(split(G105 ,"", "", FALSE),1,1), Variables!$A:$B , 2, FALSE) + VLOOKUP(index(split(G105 ,"", "", FALSE),1,2), Variables!$A:$B , 2, FALSE) + VLOOKUP(index(split(G105 ,"", "", FALSE),1,3), Variables!$A:$B , 2, FALSE) + VLOOKUP(index(split"&amp;"(G105 ,"", "", FALSE),1,4), Variables!$A:$B , 2, FALSE),
)
)"),2.3333333333333335)</f>
        <v>2.333333333</v>
      </c>
      <c r="I105" s="310" t="s">
        <v>1529</v>
      </c>
      <c r="J105" s="313"/>
      <c r="K105" s="314" t="str">
        <f>IFERROR(VLOOKUP(C105,vote4ITEMS!$A:$C, 3, FALSE),)</f>
        <v/>
      </c>
      <c r="L105" s="313"/>
      <c r="M105" s="314">
        <f>SUM(
IF(IFERROR(SEARCH("Aura 1",L105),0) &gt; 0 , VLOOKUP("Aura 1", vote4TRAITS!A:C , 3, FALSE), ),
IF(IFERROR(SEARCH("Backswing",L105),0) &gt; 0 , VLOOKUP("Backswing", vote4TRAITS!A:C , 3, FALSE), ),
IF(IFERROR(SEARCH("Blast",L105),0) &gt; 0 , VLOOKUP("Blast", vote4TRAITS!A:C , 3, FALSE), ),
IF(IFERROR(SEARCH("Combustible",L105),0) &gt; 0 , VLOOKUP("Combustible", vote4TRAITS!A:C , 3, FALSE), ),
IF(IFERROR(SEARCH("Command",L105),0) &gt; 0 , VLOOKUP("Command", vote4TRAITS!A:C , 3, FALSE), ),
IF(IFERROR(SEARCH("Cowardly",L105),0) &gt; 0 , VLOOKUP("Cowardly", vote4TRAITS!A:C , 3, FALSE), ),
IF(IFERROR(SEARCH("Death Wish",L105),0) &gt; 0 , VLOOKUP("Death Wish", vote4TRAITS!A:C , 3, FALSE), ),
IF(IFERROR(SEARCH("Entomb",L105),0) &gt; 0 , VLOOKUP("Entomb", vote4TRAITS!A:C , 3, FALSE), ),
IF(IFERROR(SEARCH("Ethereal Hold",L105),0) &gt; 0 , VLOOKUP("Ethereal Hold", vote4TRAITS!A:C , 3, FALSE), ),
IF(IFERROR(SEARCH("Extend",L105),0) &gt; 0 , VLOOKUP("Extend", vote4TRAITS!A:C , 3, FALSE), ),
IF(IFERROR(SEARCH("Filthy Murk",L105),0) &gt; 0 , VLOOKUP("Filthy Murk", vote4TRAITS!A:C , 3, FALSE), ),
IF(IFERROR(SEARCH("Flame Fiend",L105),0) &gt; 0 , VLOOKUP("Flame Fiend", vote4TRAITS!A:C , 3, FALSE), ),
IF(IFERROR(SEARCH("Fleshmonger",L105),0) &gt; 0 , VLOOKUP("Fleshmonger", vote4TRAITS!A:C , 3, FALSE), ),
IF(IFERROR(SEARCH("Fly",L105),0) &gt; 0 , VLOOKUP("Fly", vote4TRAITS!A:C , 3, FALSE), ),
IF(IFERROR(SEARCH("Freezing",L105),0) &gt; 0 , VLOOKUP("Freezing", vote4TRAITS!A:C , 3, FALSE), ),
IF(IFERROR(SEARCH("Lithesome",L105),0) &gt; 0 , VLOOKUP("Lithesome", vote4TRAITS!A:C , 3, FALSE), ),
IF(IFERROR(SEARCH("Harrowing",L105),0) &gt; 0 , VLOOKUP("Harrowing", vote4TRAITS!A:C , 3, FALSE), ),
IF(IFERROR(SEARCH("Hideous Laughter",L105),0) &gt; 0 , VLOOKUP("Hideous Laughter", vote4TRAITS!A:C , 3, FALSE), ),
IF(IFERROR(SEARCH("Hive Defense",L105),0) &gt; 0 , VLOOKUP("Hive Defense", vote4TRAITS!A:C , 3, FALSE), ),
IF(IFERROR(SEARCH("Horrifying",L105),0) &gt; 0 , VLOOKUP("Horrifying", vote4TRAITS!A:C , 3, FALSE), ),
IF(IFERROR(SEARCH("Ironskin",L105),0) &gt; 0 , VLOOKUP("Ironskin", vote4TRAITS!A:C , 3, FALSE), ),
IF(IFERROR(SEARCH("Unmovable",L105),0) &gt; 0 , VLOOKUP("Unmovable", vote4TRAITS!A:C , 3, FALSE), ),
IF(IFERROR(SEARCH("Lifethirst 1",L105),0) &gt; 0 , VLOOKUP("Lifethirst 1", vote4TRAITS!A:C , 3, FALSE), ),
IF(IFERROR(SEARCH("Lifethirst 2",L105),0) &gt; 0 , VLOOKUP("Lifethirst 2", vote4TRAITS!A:C , 3, FALSE), ),
IF(IFERROR(SEARCH("Morph",L105),0) &gt; 0 , VLOOKUP("Morph", vote4TRAITS!A:C , 3, FALSE), ),
IF(IFERROR(SEARCH("Night Stalker",L105),0) &gt; 0 , VLOOKUP("Night Stalker", vote4TRAITS!A:C , 3, FALSE), ),
IF(IFERROR(SEARCH("Overflowing",L105),0) &gt; 0 , VLOOKUP("Overflowing", vote4TRAITS!A:C , 3, FALSE), ),
IF(IFERROR(SEARCH("Pestilence",L105),0) &gt; 0 , VLOOKUP("Pestilence", vote4TRAITS!A:C , 3, FALSE), ),
IF(IFERROR(SEARCH("Phalanx",L105),0) &gt; 0 , VLOOKUP("Phalanx", vote4TRAITS!A:C , 3, FALSE), ),
IF(IFERROR(SEARCH("Plagued",L105),0) &gt; 0 , VLOOKUP("Plagued", vote4TRAITS!A:C , 3, FALSE), ),
IF(IFERROR(SEARCH("Prey on the Weak",L105),0) &gt; 0 , VLOOKUP("Prey on the Weak", vote4TRAITS!A:C , 3, FALSE), ),
IF(IFERROR(SEARCH("Protect",L105),0) &gt; 0 , VLOOKUP("Protect", vote4TRAITS!A:C , 3, FALSE), ),
IF(IFERROR(SEARCH("Puncture",L105),0) &gt; 0 , VLOOKUP("Puncture", vote4TRAITS!A:C , 3, FALSE), ),
IF(IFERROR(SEARCH("Putrid Boils",L105),0) &gt; 0 , VLOOKUP("Putrid Boils", vote4TRAITS!A:C , 3, FALSE), ),
IF(IFERROR(SEARCH("Ravage",L105),0) &gt; 0 , VLOOKUP("Ravage", vote4TRAITS!A:C , 3, FALSE), ),
IF(IFERROR(SEARCH("Ravenous",L105),0) &gt; 0 , VLOOKUP("Ravenous", vote4TRAITS!A:C , 3, FALSE), ),
IF(IFERROR(SEARCH("Reach",L105),0) &gt; 0 , VLOOKUP("Reach", vote4TRAITS!A:C , 3, FALSE), ),
IF(IFERROR(SEARCH("Reanimation",L105),0) &gt; 0 , VLOOKUP("Reanimation", vote4TRAITS!A:C , 3, FALSE), ),
IF(IFERROR(SEARCH("Reaper",L105),0) &gt; 0 , VLOOKUP("Reaper", vote4TRAITS!A:C , 3, FALSE), ),
IF(IFERROR(SEARCH("Riposte",L105),0) &gt; 0 , VLOOKUP("Riposte", vote4TRAITS!A:C , 3, FALSE)),
IF(IFERROR(SEARCH("Scamper",L105),0) &gt; 0 , VLOOKUP("Scamper", vote4TRAITS!A:C , 3, FALSE), ),
IF(IFERROR(SEARCH("Small Beginnings",L105),0) &gt; 0 , VLOOKUP("Small Beginnings", vote4TRAITS!A:C , 3, FALSE), ),
IF(IFERROR(SEARCH("Spawner",L105),0) &gt; 0 , VLOOKUP("Spawner", vote4TRAITS!A:C , 3,FALSE), ),
IF(IFERROR(SEARCH("Shadowr",L105),0) &gt; 0 , VLOOKUP("Shadow", vote4TRAITS!A:C , 3,FALSE), ),
IF(IFERROR(SEARCH("Shadow Step",L105),0) &gt; 0 , VLOOKUP("Shadow Step", vote4TRAITS!A:C , 3,FALSE), ),
IF(IFERROR(SEARCH("Shambling",L105),0) &gt; 0 , VLOOKUP("Shambling", vote4TRAITS!A:C , 3,FALSE), ),
IF(IFERROR(SEARCH("Stealthy",L105),0) &gt; 0 , VLOOKUP("Stealthy", vote4TRAITS!A:C , 3, FALSE), ),
IF(IFERROR(SEARCH("Web",L105),0) &gt; 0 , VLOOKUP("Web", vote4TRAITS!A:C , 3, FALSE), ),
IF(IFERROR(SEARCH("+1 Willpower",L105),0) &gt; 0 , VLOOKUP("+1 Willpower", vote4TRAITS!A:C , 3, FALSE), ),
IF(IFERROR(SEARCH("+1 Might",L105),0) &gt; 0 , VLOOKUP("+1 Might", vote4TRAITS!A:C , 3, FALSE), ),
IF(IFERROR(SEARCH("+1 Knowledge",L105),0) &gt; 0 , VLOOKUP("+1 Knowledge", vote4TRAITS!A:C , 3, FALSE), ),
IF(IFERROR(SEARCH("+1 Awareness",L105),0) &gt; 0 , VLOOKUP("+1 Awareness", vote4TRAITS!A:C , 3, FALSE), ),
IF(IFERROR(SEARCH("-1 Willpower",L105),0) &gt; 0 , VLOOKUP("-1 Willpower", vote4TRAITS!A:C , 3, FALSE), ),
IF(IFERROR(SEARCH("+1 Health",L105),0) &gt; 0 , VLOOKUP("+1 Health", vote4TRAITS!A:C , 3, FALSE), ),
IF(IFERROR(SEARCH("+2 Health",L105),0) &gt; 0 , VLOOKUP("+2 Health", vote4TRAITS!A:C , 3, FALSE), ),
IF(IFERROR(SEARCH("+1 Stamina",L105),0) &gt; 0 , VLOOKUP("+1 Stamina", vote4TRAITS!A:C , 3, FALSE), ),
IF(IFERROR(SEARCH("+2 Stamina",L105),0) &gt; 0 , VLOOKUP("+2 Stamina", vote4TRAITS!A:C , 3, FALSE), ),
IFS(
IFERROR(SEARCH("+1 Range", L105),) &gt; 0 ,VLOOKUP("+1 Range", vote4TRAITS!A:C , 3, FALSE),
IFERROR(SEARCH("+2 Range", L105),) &gt; 0 ,VLOOKUP("+2 Range", vote4TRAITS!A:C , 3, FALSE),
IFERROR(SEARCH("+3 Range", L105),) &gt; 0,VLOOKUP("+3 Range", vote4TRAITS!A:C , 3, FALSE),
0=0,0)
,
IFS(
IFERROR(SEARCH("Sorcery 1", L105),) &gt; 0 ,VLOOKUP("Sorcery 1", vote4TRAITS!A:C , 3, FALSE),
IFERROR(SEARCH("Sorcery 2", L105),) &gt; 0 ,VLOOKUP("Sorcery 2", vote4TRAITS!A:C , 3, FALSE),
IFERROR(SEARCH("Sorcery 3", L105),) &gt; 0,VLOOKUP("Sorcery 3", vote4TRAITS!A:C , 3, FALSE),
0=0,0)
,
IFS(
IFERROR(SEARCH("Pierce 1", L105),) &gt; 0 ,VLOOKUP("Pierce 1", vote4TRAITS!A:C , 3, FALSE),
IFERROR(SEARCH("Pierce 2", L105),) &gt; 0 ,VLOOKUP("Pierce 2", vote4TRAITS!A:C , 3, FALSE),
IFERROR(SEARCH("Pierce 3", L105),) &gt; 0,VLOOKUP("Pierce 3", vote4TRAITS!A:C , 3, FALSE),
IFERROR(SEARCH("Pierce 4", L105),) &gt; 0 ,VLOOKUP("Pierce 4", vote4TRAITS!A:C , 3, FALSE),
0=0,0)
,
IFS(
IFERROR(SEARCH("+1 Health", L105),) &gt; 0 ,VLOOKUP("+1 Health", vote4TRAITS!A:C , 3, FALSE),
IFERROR(SEARCH("+2 Health", L105),) &gt; 0 ,VLOOKUP("+2 Health", vote4TRAITS!A:C , 3, FALSE),
IFERROR(SEARCH("+3 Health", L105),) &gt; 0 ,VLOOKUP("+3 Health", vote4TRAITS!A:C , 3, FALSE),
IFERROR(SEARCH("+4 Health", L105),) &gt; 0 ,VLOOKUP("+4 Health", vote4TRAITS!A:C , 3, FALSE),
0=0,0)
,
IFS(
IFERROR(SEARCH("Soul Shackle 1", L105),) &gt; 0 ,VLOOKUP("Soul Shackle 1", vote4TRAITS!A:C , 3, FALSE),
IFERROR(SEARCH("Soul Shackle 2", L105),) &gt; 0 ,VLOOKUP("Soul Shackle 2", vote4TRAITS!A:C , 3, FALSE),
IFERROR(SEARCH("Soul Shackle 3", L105),) &gt; 0,VLOOKUP("Soul Shackle 3", vote4TRAITS!A:C , 3, FALSE),
0=0,0)
)</f>
        <v>0</v>
      </c>
      <c r="N105" s="311" t="s">
        <v>1560</v>
      </c>
      <c r="O105" s="317">
        <f>IF(ISBLANK(N105),,IFERROR(
IF(IFERROR(SEARCH("SS:",N105),0) &gt; 0, 
VLOOKUP(SUBSTITUTE(N105,"SS: ",""),vote4SURGE!$A:$C , 3, FALSE) - 2,
VLOOKUP(SUBSTITUTE(N105,"S: ",""),vote4SURGE!$A:$C , 3, FALSE)
)
,
IF(IFERROR(SEARCH("SS:",N105),0) &gt; 0, 
VLOOKUP(C105,vote4SURGE!$A:$C , 3, FALSE) - 2,
VLOOKUP(C105,vote4SURGE!$A:$C , 3, FALSE)
)
))</f>
        <v>4.25</v>
      </c>
      <c r="P105" s="318"/>
      <c r="Q105" s="317" t="str">
        <f>IF(ISBLANK(P105),,IFERROR(
IF(IFERROR(SEARCH("SS:",P105),0) &gt; 0, 
VLOOKUP(SUBSTITUTE(P105,"SS: ",""),vote4SURGE!$A:$C , 3, FALSE) - 2,
VLOOKUP(SUBSTITUTE(P105,"S: ",""),vote4SURGE!$A:$C , 3, FALSE)
)
,
IF(IFERROR(SEARCH("SS:",P105),0) &gt; 0, 
VLOOKUP(C105,vote4SURGE!$A:$C , 3, FALSE) - 2,
VLOOKUP(C105,vote4SURGE!$A:$C , 3, FALSE)
)
))</f>
        <v/>
      </c>
      <c r="R105" s="318"/>
      <c r="S105" s="319" t="str">
        <f>IF(ISBLANK(R105),,IFERROR(
IF(IFERROR(SEARCH("SS:",R105),0) &gt; 0, 
VLOOKUP(SUBSTITUTE(R105,"SS: ",""),vote4SURGE!$A:$C , 3, FALSE) - 2,
VLOOKUP(SUBSTITUTE(R105,"S: ",""),vote4SURGE!$A:$C , 3, FALSE)
)
,
IF(IFERROR(SEARCH("SS:",R105),0) &gt; 0, 
VLOOKUP(C105,vote4SURGE!$A:$C , 3, FALSE) - 2,
VLOOKUP(C105,vote4SURGE!$A:$C , 3, FALSE)
)
))</f>
        <v/>
      </c>
      <c r="T105" s="320">
        <f t="shared" si="2"/>
        <v>1</v>
      </c>
      <c r="U105" s="320">
        <f>IFERROR(__xludf.DUMMYFUNCTION("ROUND(
IF(ISBLANK(G105),,
SWITCH(
LEN(G105) - LEN(SUBSTITUTE(G105,"","","""")),
0 , VLOOKUP(G105, Variables!$A:$C, 3, FALSE),
1 , VLOOKUP(index(split(G105 ,"", "", FALSE),1,1), Variables!$A:$C , 3, FALSE) + VLOOKUP(index(split(G105 ,"", "", FALSE),1,2), V"&amp;"ariables!$A:$C , 3, FALSE),
2 , VLOOKUP(index(split(G105 ,"", "", FALSE),1,1), Variables!$A:$C , 3, FALSE) + VLOOKUP(index(split(G105 ,"", "", FALSE),1,2), Variables!$A:$C , 3, FALSE) + VLOOKUP(index(split(G105 ,"", "", FALSE),1,3), Variables!$A:$C , 3, F"&amp;"ALSE),
3 , VLOOKUP(index(split(G105 ,"", "", FALSE),1,1), Variables!$A:$C , 3, FALSE) + VLOOKUP(index(split(G105 ,"", "", FALSE),1,2), Variables!$A:$C , 3, FALSE) + VLOOKUP(index(split(G105 ,"", "", FALSE),1,3), Variables!$A:$C , 3, FALSE) + VLOOKUP(index"&amp;"(split(G105 ,"", "", FALSE),1,4), Variables!$A:$C , 3, FALSE),
)
)
)"),1.0)</f>
        <v>1</v>
      </c>
      <c r="V105" s="317">
        <f t="shared" si="3"/>
        <v>4.25</v>
      </c>
      <c r="W105" s="321">
        <f t="shared" si="4"/>
        <v>6.583333333</v>
      </c>
      <c r="X105" s="118"/>
      <c r="Y105" s="118"/>
      <c r="Z105" s="118"/>
      <c r="AA105" s="118"/>
      <c r="AB105" s="118"/>
      <c r="AC105" s="118"/>
      <c r="AD105" s="118"/>
      <c r="AE105" s="118"/>
    </row>
    <row r="106" hidden="1">
      <c r="A106" s="310">
        <v>1.0</v>
      </c>
      <c r="B106" s="93">
        <f t="shared" si="1"/>
        <v>2</v>
      </c>
      <c r="C106" s="310" t="s">
        <v>691</v>
      </c>
      <c r="D106" s="310">
        <v>50.0</v>
      </c>
      <c r="E106" s="310" t="s">
        <v>1629</v>
      </c>
      <c r="F106" s="310"/>
      <c r="G106" s="313"/>
      <c r="H106" s="312" t="str">
        <f>IFERROR(__xludf.DUMMYFUNCTION(" IF(ISBLANK(G106),,
SWITCH(
LEN(G106) - LEN(SUBSTITUTE(G106,"","","""")),
0 , VLOOKUP(G106, Variables!$A:$B, 2, FALSE),
1 , VLOOKUP(index(split(G106 ,"", "", FALSE),1,1), Variables!$A:$B , 2, FALSE) + VLOOKUP(index(split(G106 ,"", "", FALSE),1,2), Variabl"&amp;"es!$A:$B , 2, FALSE),
2 , VLOOKUP(index(split(G106 ,"", "", FALSE),1,1), Variables!$A:$B , 2, FALSE) + VLOOKUP(index(split(G106 ,"", "", FALSE),1,2), Variables!$A:$B , 2, FALSE) + VLOOKUP(index(split(G106 ,"", "", FALSE),1,3), Variables!$A:$B , 2, FALSE),"&amp;"
3 , VLOOKUP(index(split(G106 ,"", "", FALSE),1,1), Variables!$A:$B , 2, FALSE) + VLOOKUP(index(split(G106 ,"", "", FALSE),1,2), Variables!$A:$B , 2, FALSE) + VLOOKUP(index(split(G106 ,"", "", FALSE),1,3), Variables!$A:$B , 2, FALSE) + VLOOKUP(index(split"&amp;"(G106 ,"", "", FALSE),1,4), Variables!$A:$B , 2, FALSE),
)
)"),"")</f>
        <v/>
      </c>
      <c r="I106" s="310" t="s">
        <v>1659</v>
      </c>
      <c r="J106" s="313" t="s">
        <v>692</v>
      </c>
      <c r="K106" s="314">
        <f>IFERROR(VLOOKUP(C106,vote4ITEMS!$A:$C, 3, FALSE),)</f>
        <v>5.5</v>
      </c>
      <c r="L106" s="313" t="s">
        <v>1660</v>
      </c>
      <c r="M106" s="314">
        <f>SUM(
IF(IFERROR(SEARCH("Aura 1",L106),0) &gt; 0 , VLOOKUP("Aura 1", vote4TRAITS!A:C , 3, FALSE), ),
IF(IFERROR(SEARCH("Backswing",L106),0) &gt; 0 , VLOOKUP("Backswing", vote4TRAITS!A:C , 3, FALSE), ),
IF(IFERROR(SEARCH("Blast",L106),0) &gt; 0 , VLOOKUP("Blast", vote4TRAITS!A:C , 3, FALSE), ),
IF(IFERROR(SEARCH("Combustible",L106),0) &gt; 0 , VLOOKUP("Combustible", vote4TRAITS!A:C , 3, FALSE), ),
IF(IFERROR(SEARCH("Command",L106),0) &gt; 0 , VLOOKUP("Command", vote4TRAITS!A:C , 3, FALSE), ),
IF(IFERROR(SEARCH("Cowardly",L106),0) &gt; 0 , VLOOKUP("Cowardly", vote4TRAITS!A:C , 3, FALSE), ),
IF(IFERROR(SEARCH("Death Wish",L106),0) &gt; 0 , VLOOKUP("Death Wish", vote4TRAITS!A:C , 3, FALSE), ),
IF(IFERROR(SEARCH("Entomb",L106),0) &gt; 0 , VLOOKUP("Entomb", vote4TRAITS!A:C , 3, FALSE), ),
IF(IFERROR(SEARCH("Ethereal Hold",L106),0) &gt; 0 , VLOOKUP("Ethereal Hold", vote4TRAITS!A:C , 3, FALSE), ),
IF(IFERROR(SEARCH("Extend",L106),0) &gt; 0 , VLOOKUP("Extend", vote4TRAITS!A:C , 3, FALSE), ),
IF(IFERROR(SEARCH("Filthy Murk",L106),0) &gt; 0 , VLOOKUP("Filthy Murk", vote4TRAITS!A:C , 3, FALSE), ),
IF(IFERROR(SEARCH("Flame Fiend",L106),0) &gt; 0 , VLOOKUP("Flame Fiend", vote4TRAITS!A:C , 3, FALSE), ),
IF(IFERROR(SEARCH("Fleshmonger",L106),0) &gt; 0 , VLOOKUP("Fleshmonger", vote4TRAITS!A:C , 3, FALSE), ),
IF(IFERROR(SEARCH("Fly",L106),0) &gt; 0 , VLOOKUP("Fly", vote4TRAITS!A:C , 3, FALSE), ),
IF(IFERROR(SEARCH("Freezing",L106),0) &gt; 0 , VLOOKUP("Freezing", vote4TRAITS!A:C , 3, FALSE), ),
IF(IFERROR(SEARCH("Lithesome",L106),0) &gt; 0 , VLOOKUP("Lithesome", vote4TRAITS!A:C , 3, FALSE), ),
IF(IFERROR(SEARCH("Harrowing",L106),0) &gt; 0 , VLOOKUP("Harrowing", vote4TRAITS!A:C , 3, FALSE), ),
IF(IFERROR(SEARCH("Hideous Laughter",L106),0) &gt; 0 , VLOOKUP("Hideous Laughter", vote4TRAITS!A:C , 3, FALSE), ),
IF(IFERROR(SEARCH("Hive Defense",L106),0) &gt; 0 , VLOOKUP("Hive Defense", vote4TRAITS!A:C , 3, FALSE), ),
IF(IFERROR(SEARCH("Horrifying",L106),0) &gt; 0 , VLOOKUP("Horrifying", vote4TRAITS!A:C , 3, FALSE), ),
IF(IFERROR(SEARCH("Ironskin",L106),0) &gt; 0 , VLOOKUP("Ironskin", vote4TRAITS!A:C , 3, FALSE), ),
IF(IFERROR(SEARCH("Unmovable",L106),0) &gt; 0 , VLOOKUP("Unmovable", vote4TRAITS!A:C , 3, FALSE), ),
IF(IFERROR(SEARCH("Lifethirst 1",L106),0) &gt; 0 , VLOOKUP("Lifethirst 1", vote4TRAITS!A:C , 3, FALSE), ),
IF(IFERROR(SEARCH("Lifethirst 2",L106),0) &gt; 0 , VLOOKUP("Lifethirst 2", vote4TRAITS!A:C , 3, FALSE), ),
IF(IFERROR(SEARCH("Morph",L106),0) &gt; 0 , VLOOKUP("Morph", vote4TRAITS!A:C , 3, FALSE), ),
IF(IFERROR(SEARCH("Night Stalker",L106),0) &gt; 0 , VLOOKUP("Night Stalker", vote4TRAITS!A:C , 3, FALSE), ),
IF(IFERROR(SEARCH("Overflowing",L106),0) &gt; 0 , VLOOKUP("Overflowing", vote4TRAITS!A:C , 3, FALSE), ),
IF(IFERROR(SEARCH("Pestilence",L106),0) &gt; 0 , VLOOKUP("Pestilence", vote4TRAITS!A:C , 3, FALSE), ),
IF(IFERROR(SEARCH("Phalanx",L106),0) &gt; 0 , VLOOKUP("Phalanx", vote4TRAITS!A:C , 3, FALSE), ),
IF(IFERROR(SEARCH("Plagued",L106),0) &gt; 0 , VLOOKUP("Plagued", vote4TRAITS!A:C , 3, FALSE), ),
IF(IFERROR(SEARCH("Prey on the Weak",L106),0) &gt; 0 , VLOOKUP("Prey on the Weak", vote4TRAITS!A:C , 3, FALSE), ),
IF(IFERROR(SEARCH("Protect",L106),0) &gt; 0 , VLOOKUP("Protect", vote4TRAITS!A:C , 3, FALSE), ),
IF(IFERROR(SEARCH("Puncture",L106),0) &gt; 0 , VLOOKUP("Puncture", vote4TRAITS!A:C , 3, FALSE), ),
IF(IFERROR(SEARCH("Putrid Boils",L106),0) &gt; 0 , VLOOKUP("Putrid Boils", vote4TRAITS!A:C , 3, FALSE), ),
IF(IFERROR(SEARCH("Ravage",L106),0) &gt; 0 , VLOOKUP("Ravage", vote4TRAITS!A:C , 3, FALSE), ),
IF(IFERROR(SEARCH("Ravenous",L106),0) &gt; 0 , VLOOKUP("Ravenous", vote4TRAITS!A:C , 3, FALSE), ),
IF(IFERROR(SEARCH("Reach",L106),0) &gt; 0 , VLOOKUP("Reach", vote4TRAITS!A:C , 3, FALSE), ),
IF(IFERROR(SEARCH("Reanimation",L106),0) &gt; 0 , VLOOKUP("Reanimation", vote4TRAITS!A:C , 3, FALSE), ),
IF(IFERROR(SEARCH("Reaper",L106),0) &gt; 0 , VLOOKUP("Reaper", vote4TRAITS!A:C , 3, FALSE), ),
IF(IFERROR(SEARCH("Riposte",L106),0) &gt; 0 , VLOOKUP("Riposte", vote4TRAITS!A:C , 3, FALSE)),
IF(IFERROR(SEARCH("Scamper",L106),0) &gt; 0 , VLOOKUP("Scamper", vote4TRAITS!A:C , 3, FALSE), ),
IF(IFERROR(SEARCH("Small Beginnings",L106),0) &gt; 0 , VLOOKUP("Small Beginnings", vote4TRAITS!A:C , 3, FALSE), ),
IF(IFERROR(SEARCH("Spawner",L106),0) &gt; 0 , VLOOKUP("Spawner", vote4TRAITS!A:C , 3,FALSE), ),
IF(IFERROR(SEARCH("Shadowr",L106),0) &gt; 0 , VLOOKUP("Shadow", vote4TRAITS!A:C , 3,FALSE), ),
IF(IFERROR(SEARCH("Shadow Step",L106),0) &gt; 0 , VLOOKUP("Shadow Step", vote4TRAITS!A:C , 3,FALSE), ),
IF(IFERROR(SEARCH("Shambling",L106),0) &gt; 0 , VLOOKUP("Shambling", vote4TRAITS!A:C , 3,FALSE), ),
IF(IFERROR(SEARCH("Stealthy",L106),0) &gt; 0 , VLOOKUP("Stealthy", vote4TRAITS!A:C , 3, FALSE), ),
IF(IFERROR(SEARCH("Web",L106),0) &gt; 0 , VLOOKUP("Web", vote4TRAITS!A:C , 3, FALSE), ),
IF(IFERROR(SEARCH("+1 Willpower",L106),0) &gt; 0 , VLOOKUP("+1 Willpower", vote4TRAITS!A:C , 3, FALSE), ),
IF(IFERROR(SEARCH("+1 Might",L106),0) &gt; 0 , VLOOKUP("+1 Might", vote4TRAITS!A:C , 3, FALSE), ),
IF(IFERROR(SEARCH("+1 Knowledge",L106),0) &gt; 0 , VLOOKUP("+1 Knowledge", vote4TRAITS!A:C , 3, FALSE), ),
IF(IFERROR(SEARCH("+1 Awareness",L106),0) &gt; 0 , VLOOKUP("+1 Awareness", vote4TRAITS!A:C , 3, FALSE), ),
IF(IFERROR(SEARCH("-1 Willpower",L106),0) &gt; 0 , VLOOKUP("-1 Willpower", vote4TRAITS!A:C , 3, FALSE), ),
IF(IFERROR(SEARCH("+1 Health",L106),0) &gt; 0 , VLOOKUP("+1 Health", vote4TRAITS!A:C , 3, FALSE), ),
IF(IFERROR(SEARCH("+2 Health",L106),0) &gt; 0 , VLOOKUP("+2 Health", vote4TRAITS!A:C , 3, FALSE), ),
IF(IFERROR(SEARCH("+1 Stamina",L106),0) &gt; 0 , VLOOKUP("+1 Stamina", vote4TRAITS!A:C , 3, FALSE), ),
IF(IFERROR(SEARCH("+2 Stamina",L106),0) &gt; 0 , VLOOKUP("+2 Stamina", vote4TRAITS!A:C , 3, FALSE), ),
IFS(
IFERROR(SEARCH("+1 Range", L106),) &gt; 0 ,VLOOKUP("+1 Range", vote4TRAITS!A:C , 3, FALSE),
IFERROR(SEARCH("+2 Range", L106),) &gt; 0 ,VLOOKUP("+2 Range", vote4TRAITS!A:C , 3, FALSE),
IFERROR(SEARCH("+3 Range", L106),) &gt; 0,VLOOKUP("+3 Range", vote4TRAITS!A:C , 3, FALSE),
0=0,0)
,
IFS(
IFERROR(SEARCH("Sorcery 1", L106),) &gt; 0 ,VLOOKUP("Sorcery 1", vote4TRAITS!A:C , 3, FALSE),
IFERROR(SEARCH("Sorcery 2", L106),) &gt; 0 ,VLOOKUP("Sorcery 2", vote4TRAITS!A:C , 3, FALSE),
IFERROR(SEARCH("Sorcery 3", L106),) &gt; 0,VLOOKUP("Sorcery 3", vote4TRAITS!A:C , 3, FALSE),
0=0,0)
,
IFS(
IFERROR(SEARCH("Pierce 1", L106),) &gt; 0 ,VLOOKUP("Pierce 1", vote4TRAITS!A:C , 3, FALSE),
IFERROR(SEARCH("Pierce 2", L106),) &gt; 0 ,VLOOKUP("Pierce 2", vote4TRAITS!A:C , 3, FALSE),
IFERROR(SEARCH("Pierce 3", L106),) &gt; 0,VLOOKUP("Pierce 3", vote4TRAITS!A:C , 3, FALSE),
IFERROR(SEARCH("Pierce 4", L106),) &gt; 0 ,VLOOKUP("Pierce 4", vote4TRAITS!A:C , 3, FALSE),
0=0,0)
,
IFS(
IFERROR(SEARCH("+1 Health", L106),) &gt; 0 ,VLOOKUP("+1 Health", vote4TRAITS!A:C , 3, FALSE),
IFERROR(SEARCH("+2 Health", L106),) &gt; 0 ,VLOOKUP("+2 Health", vote4TRAITS!A:C , 3, FALSE),
IFERROR(SEARCH("+3 Health", L106),) &gt; 0 ,VLOOKUP("+3 Health", vote4TRAITS!A:C , 3, FALSE),
IFERROR(SEARCH("+4 Health", L106),) &gt; 0 ,VLOOKUP("+4 Health", vote4TRAITS!A:C , 3, FALSE),
0=0,0)
,
IFS(
IFERROR(SEARCH("Soul Shackle 1", L106),) &gt; 0 ,VLOOKUP("Soul Shackle 1", vote4TRAITS!A:C , 3, FALSE),
IFERROR(SEARCH("Soul Shackle 2", L106),) &gt; 0 ,VLOOKUP("Soul Shackle 2", vote4TRAITS!A:C , 3, FALSE),
IFERROR(SEARCH("Soul Shackle 3", L106),) &gt; 0,VLOOKUP("Soul Shackle 3", vote4TRAITS!A:C , 3, FALSE),
0=0,0)
)</f>
        <v>1</v>
      </c>
      <c r="N106" s="313"/>
      <c r="O106" s="317" t="str">
        <f>IF(ISBLANK(N106),,IFERROR(
IF(IFERROR(SEARCH("SS:",N106),0) &gt; 0, 
VLOOKUP(SUBSTITUTE(N106,"SS: ",""),vote4SURGE!$A:$C , 3, FALSE) - 2,
VLOOKUP(SUBSTITUTE(N106,"S: ",""),vote4SURGE!$A:$C , 3, FALSE)
)
,
IF(IFERROR(SEARCH("SS:",N106),0) &gt; 0, 
VLOOKUP(C106,vote4SURGE!$A:$C , 3, FALSE) - 2,
VLOOKUP(C106,vote4SURGE!$A:$C , 3, FALSE)
)
))</f>
        <v/>
      </c>
      <c r="P106" s="318"/>
      <c r="Q106" s="317" t="str">
        <f>IF(ISBLANK(P106),,IFERROR(
IF(IFERROR(SEARCH("SS:",P106),0) &gt; 0, 
VLOOKUP(SUBSTITUTE(P106,"SS: ",""),vote4SURGE!$A:$C , 3, FALSE) - 2,
VLOOKUP(SUBSTITUTE(P106,"S: ",""),vote4SURGE!$A:$C , 3, FALSE)
)
,
IF(IFERROR(SEARCH("SS:",P106),0) &gt; 0, 
VLOOKUP(C106,vote4SURGE!$A:$C , 3, FALSE) - 2,
VLOOKUP(C106,vote4SURGE!$A:$C , 3, FALSE)
)
))</f>
        <v/>
      </c>
      <c r="R106" s="318"/>
      <c r="S106" s="319" t="str">
        <f>IF(ISBLANK(R106),,IFERROR(
IF(IFERROR(SEARCH("SS:",R106),0) &gt; 0, 
VLOOKUP(SUBSTITUTE(R106,"SS: ",""),vote4SURGE!$A:$C , 3, FALSE) - 2,
VLOOKUP(SUBSTITUTE(R106,"S: ",""),vote4SURGE!$A:$C , 3, FALSE)
)
,
IF(IFERROR(SEARCH("SS:",R106),0) &gt; 0, 
VLOOKUP(C106,vote4SURGE!$A:$C , 3, FALSE) - 2,
VLOOKUP(C106,vote4SURGE!$A:$C , 3, FALSE)
)
))</f>
        <v/>
      </c>
      <c r="T106" s="320">
        <f t="shared" si="2"/>
        <v>0</v>
      </c>
      <c r="U106" s="320">
        <f>IFERROR(__xludf.DUMMYFUNCTION("ROUND(
IF(ISBLANK(G106),,
SWITCH(
LEN(G106) - LEN(SUBSTITUTE(G106,"","","""")),
0 , VLOOKUP(G106, Variables!$A:$C, 3, FALSE),
1 , VLOOKUP(index(split(G106 ,"", "", FALSE),1,1), Variables!$A:$C , 3, FALSE) + VLOOKUP(index(split(G106 ,"", "", FALSE),1,2), V"&amp;"ariables!$A:$C , 3, FALSE),
2 , VLOOKUP(index(split(G106 ,"", "", FALSE),1,1), Variables!$A:$C , 3, FALSE) + VLOOKUP(index(split(G106 ,"", "", FALSE),1,2), Variables!$A:$C , 3, FALSE) + VLOOKUP(index(split(G106 ,"", "", FALSE),1,3), Variables!$A:$C , 3, F"&amp;"ALSE),
3 , VLOOKUP(index(split(G106 ,"", "", FALSE),1,1), Variables!$A:$C , 3, FALSE) + VLOOKUP(index(split(G106 ,"", "", FALSE),1,2), Variables!$A:$C , 3, FALSE) + VLOOKUP(index(split(G106 ,"", "", FALSE),1,3), Variables!$A:$C , 3, FALSE) + VLOOKUP(index"&amp;"(split(G106 ,"", "", FALSE),1,4), Variables!$A:$C , 3, FALSE),
)
)
)"),0.0)</f>
        <v>0</v>
      </c>
      <c r="V106" s="317">
        <f t="shared" si="3"/>
        <v>0</v>
      </c>
      <c r="W106" s="321">
        <f t="shared" si="4"/>
        <v>6.5</v>
      </c>
      <c r="X106" s="118"/>
      <c r="Y106" s="118"/>
      <c r="Z106" s="118"/>
      <c r="AA106" s="118"/>
      <c r="AB106" s="118"/>
      <c r="AC106" s="118"/>
      <c r="AD106" s="118"/>
      <c r="AE106" s="118"/>
    </row>
    <row r="107" hidden="1">
      <c r="A107" s="310">
        <v>2.0</v>
      </c>
      <c r="B107" s="93">
        <f t="shared" si="1"/>
        <v>6</v>
      </c>
      <c r="C107" s="310" t="s">
        <v>701</v>
      </c>
      <c r="D107" s="310">
        <v>125.0</v>
      </c>
      <c r="E107" s="310" t="s">
        <v>1629</v>
      </c>
      <c r="F107" s="310"/>
      <c r="G107" s="313"/>
      <c r="H107" s="312" t="str">
        <f>IFERROR(__xludf.DUMMYFUNCTION(" IF(ISBLANK(G107),,
SWITCH(
LEN(G107) - LEN(SUBSTITUTE(G107,"","","""")),
0 , VLOOKUP(G107, Variables!$A:$B, 2, FALSE),
1 , VLOOKUP(index(split(G107 ,"", "", FALSE),1,1), Variables!$A:$B , 2, FALSE) + VLOOKUP(index(split(G107 ,"", "", FALSE),1,2), Variabl"&amp;"es!$A:$B , 2, FALSE),
2 , VLOOKUP(index(split(G107 ,"", "", FALSE),1,1), Variables!$A:$B , 2, FALSE) + VLOOKUP(index(split(G107 ,"", "", FALSE),1,2), Variables!$A:$B , 2, FALSE) + VLOOKUP(index(split(G107 ,"", "", FALSE),1,3), Variables!$A:$B , 2, FALSE),"&amp;"
3 , VLOOKUP(index(split(G107 ,"", "", FALSE),1,1), Variables!$A:$B , 2, FALSE) + VLOOKUP(index(split(G107 ,"", "", FALSE),1,2), Variables!$A:$B , 2, FALSE) + VLOOKUP(index(split(G107 ,"", "", FALSE),1,3), Variables!$A:$B , 2, FALSE) + VLOOKUP(index(split"&amp;"(G107 ,"", "", FALSE),1,4), Variables!$A:$B , 2, FALSE),
)
)"),"")</f>
        <v/>
      </c>
      <c r="I107" s="310" t="s">
        <v>1641</v>
      </c>
      <c r="J107" s="313" t="s">
        <v>702</v>
      </c>
      <c r="K107" s="314">
        <f>IFERROR(VLOOKUP(C107,vote4ITEMS!$A:$C, 3, FALSE),)</f>
        <v>6.5</v>
      </c>
      <c r="L107" s="313"/>
      <c r="M107" s="314">
        <f>SUM(
IF(IFERROR(SEARCH("Aura 1",L107),0) &gt; 0 , VLOOKUP("Aura 1", vote4TRAITS!A:C , 3, FALSE), ),
IF(IFERROR(SEARCH("Backswing",L107),0) &gt; 0 , VLOOKUP("Backswing", vote4TRAITS!A:C , 3, FALSE), ),
IF(IFERROR(SEARCH("Blast",L107),0) &gt; 0 , VLOOKUP("Blast", vote4TRAITS!A:C , 3, FALSE), ),
IF(IFERROR(SEARCH("Combustible",L107),0) &gt; 0 , VLOOKUP("Combustible", vote4TRAITS!A:C , 3, FALSE), ),
IF(IFERROR(SEARCH("Command",L107),0) &gt; 0 , VLOOKUP("Command", vote4TRAITS!A:C , 3, FALSE), ),
IF(IFERROR(SEARCH("Cowardly",L107),0) &gt; 0 , VLOOKUP("Cowardly", vote4TRAITS!A:C , 3, FALSE), ),
IF(IFERROR(SEARCH("Death Wish",L107),0) &gt; 0 , VLOOKUP("Death Wish", vote4TRAITS!A:C , 3, FALSE), ),
IF(IFERROR(SEARCH("Entomb",L107),0) &gt; 0 , VLOOKUP("Entomb", vote4TRAITS!A:C , 3, FALSE), ),
IF(IFERROR(SEARCH("Ethereal Hold",L107),0) &gt; 0 , VLOOKUP("Ethereal Hold", vote4TRAITS!A:C , 3, FALSE), ),
IF(IFERROR(SEARCH("Extend",L107),0) &gt; 0 , VLOOKUP("Extend", vote4TRAITS!A:C , 3, FALSE), ),
IF(IFERROR(SEARCH("Filthy Murk",L107),0) &gt; 0 , VLOOKUP("Filthy Murk", vote4TRAITS!A:C , 3, FALSE), ),
IF(IFERROR(SEARCH("Flame Fiend",L107),0) &gt; 0 , VLOOKUP("Flame Fiend", vote4TRAITS!A:C , 3, FALSE), ),
IF(IFERROR(SEARCH("Fleshmonger",L107),0) &gt; 0 , VLOOKUP("Fleshmonger", vote4TRAITS!A:C , 3, FALSE), ),
IF(IFERROR(SEARCH("Fly",L107),0) &gt; 0 , VLOOKUP("Fly", vote4TRAITS!A:C , 3, FALSE), ),
IF(IFERROR(SEARCH("Freezing",L107),0) &gt; 0 , VLOOKUP("Freezing", vote4TRAITS!A:C , 3, FALSE), ),
IF(IFERROR(SEARCH("Lithesome",L107),0) &gt; 0 , VLOOKUP("Lithesome", vote4TRAITS!A:C , 3, FALSE), ),
IF(IFERROR(SEARCH("Harrowing",L107),0) &gt; 0 , VLOOKUP("Harrowing", vote4TRAITS!A:C , 3, FALSE), ),
IF(IFERROR(SEARCH("Hideous Laughter",L107),0) &gt; 0 , VLOOKUP("Hideous Laughter", vote4TRAITS!A:C , 3, FALSE), ),
IF(IFERROR(SEARCH("Hive Defense",L107),0) &gt; 0 , VLOOKUP("Hive Defense", vote4TRAITS!A:C , 3, FALSE), ),
IF(IFERROR(SEARCH("Horrifying",L107),0) &gt; 0 , VLOOKUP("Horrifying", vote4TRAITS!A:C , 3, FALSE), ),
IF(IFERROR(SEARCH("Ironskin",L107),0) &gt; 0 , VLOOKUP("Ironskin", vote4TRAITS!A:C , 3, FALSE), ),
IF(IFERROR(SEARCH("Unmovable",L107),0) &gt; 0 , VLOOKUP("Unmovable", vote4TRAITS!A:C , 3, FALSE), ),
IF(IFERROR(SEARCH("Lifethirst 1",L107),0) &gt; 0 , VLOOKUP("Lifethirst 1", vote4TRAITS!A:C , 3, FALSE), ),
IF(IFERROR(SEARCH("Lifethirst 2",L107),0) &gt; 0 , VLOOKUP("Lifethirst 2", vote4TRAITS!A:C , 3, FALSE), ),
IF(IFERROR(SEARCH("Morph",L107),0) &gt; 0 , VLOOKUP("Morph", vote4TRAITS!A:C , 3, FALSE), ),
IF(IFERROR(SEARCH("Night Stalker",L107),0) &gt; 0 , VLOOKUP("Night Stalker", vote4TRAITS!A:C , 3, FALSE), ),
IF(IFERROR(SEARCH("Overflowing",L107),0) &gt; 0 , VLOOKUP("Overflowing", vote4TRAITS!A:C , 3, FALSE), ),
IF(IFERROR(SEARCH("Pestilence",L107),0) &gt; 0 , VLOOKUP("Pestilence", vote4TRAITS!A:C , 3, FALSE), ),
IF(IFERROR(SEARCH("Phalanx",L107),0) &gt; 0 , VLOOKUP("Phalanx", vote4TRAITS!A:C , 3, FALSE), ),
IF(IFERROR(SEARCH("Plagued",L107),0) &gt; 0 , VLOOKUP("Plagued", vote4TRAITS!A:C , 3, FALSE), ),
IF(IFERROR(SEARCH("Prey on the Weak",L107),0) &gt; 0 , VLOOKUP("Prey on the Weak", vote4TRAITS!A:C , 3, FALSE), ),
IF(IFERROR(SEARCH("Protect",L107),0) &gt; 0 , VLOOKUP("Protect", vote4TRAITS!A:C , 3, FALSE), ),
IF(IFERROR(SEARCH("Puncture",L107),0) &gt; 0 , VLOOKUP("Puncture", vote4TRAITS!A:C , 3, FALSE), ),
IF(IFERROR(SEARCH("Putrid Boils",L107),0) &gt; 0 , VLOOKUP("Putrid Boils", vote4TRAITS!A:C , 3, FALSE), ),
IF(IFERROR(SEARCH("Ravage",L107),0) &gt; 0 , VLOOKUP("Ravage", vote4TRAITS!A:C , 3, FALSE), ),
IF(IFERROR(SEARCH("Ravenous",L107),0) &gt; 0 , VLOOKUP("Ravenous", vote4TRAITS!A:C , 3, FALSE), ),
IF(IFERROR(SEARCH("Reach",L107),0) &gt; 0 , VLOOKUP("Reach", vote4TRAITS!A:C , 3, FALSE), ),
IF(IFERROR(SEARCH("Reanimation",L107),0) &gt; 0 , VLOOKUP("Reanimation", vote4TRAITS!A:C , 3, FALSE), ),
IF(IFERROR(SEARCH("Reaper",L107),0) &gt; 0 , VLOOKUP("Reaper", vote4TRAITS!A:C , 3, FALSE), ),
IF(IFERROR(SEARCH("Riposte",L107),0) &gt; 0 , VLOOKUP("Riposte", vote4TRAITS!A:C , 3, FALSE)),
IF(IFERROR(SEARCH("Scamper",L107),0) &gt; 0 , VLOOKUP("Scamper", vote4TRAITS!A:C , 3, FALSE), ),
IF(IFERROR(SEARCH("Small Beginnings",L107),0) &gt; 0 , VLOOKUP("Small Beginnings", vote4TRAITS!A:C , 3, FALSE), ),
IF(IFERROR(SEARCH("Spawner",L107),0) &gt; 0 , VLOOKUP("Spawner", vote4TRAITS!A:C , 3,FALSE), ),
IF(IFERROR(SEARCH("Shadowr",L107),0) &gt; 0 , VLOOKUP("Shadow", vote4TRAITS!A:C , 3,FALSE), ),
IF(IFERROR(SEARCH("Shadow Step",L107),0) &gt; 0 , VLOOKUP("Shadow Step", vote4TRAITS!A:C , 3,FALSE), ),
IF(IFERROR(SEARCH("Shambling",L107),0) &gt; 0 , VLOOKUP("Shambling", vote4TRAITS!A:C , 3,FALSE), ),
IF(IFERROR(SEARCH("Stealthy",L107),0) &gt; 0 , VLOOKUP("Stealthy", vote4TRAITS!A:C , 3, FALSE), ),
IF(IFERROR(SEARCH("Web",L107),0) &gt; 0 , VLOOKUP("Web", vote4TRAITS!A:C , 3, FALSE), ),
IF(IFERROR(SEARCH("+1 Willpower",L107),0) &gt; 0 , VLOOKUP("+1 Willpower", vote4TRAITS!A:C , 3, FALSE), ),
IF(IFERROR(SEARCH("+1 Might",L107),0) &gt; 0 , VLOOKUP("+1 Might", vote4TRAITS!A:C , 3, FALSE), ),
IF(IFERROR(SEARCH("+1 Knowledge",L107),0) &gt; 0 , VLOOKUP("+1 Knowledge", vote4TRAITS!A:C , 3, FALSE), ),
IF(IFERROR(SEARCH("+1 Awareness",L107),0) &gt; 0 , VLOOKUP("+1 Awareness", vote4TRAITS!A:C , 3, FALSE), ),
IF(IFERROR(SEARCH("-1 Willpower",L107),0) &gt; 0 , VLOOKUP("-1 Willpower", vote4TRAITS!A:C , 3, FALSE), ),
IF(IFERROR(SEARCH("+1 Health",L107),0) &gt; 0 , VLOOKUP("+1 Health", vote4TRAITS!A:C , 3, FALSE), ),
IF(IFERROR(SEARCH("+2 Health",L107),0) &gt; 0 , VLOOKUP("+2 Health", vote4TRAITS!A:C , 3, FALSE), ),
IF(IFERROR(SEARCH("+1 Stamina",L107),0) &gt; 0 , VLOOKUP("+1 Stamina", vote4TRAITS!A:C , 3, FALSE), ),
IF(IFERROR(SEARCH("+2 Stamina",L107),0) &gt; 0 , VLOOKUP("+2 Stamina", vote4TRAITS!A:C , 3, FALSE), ),
IFS(
IFERROR(SEARCH("+1 Range", L107),) &gt; 0 ,VLOOKUP("+1 Range", vote4TRAITS!A:C , 3, FALSE),
IFERROR(SEARCH("+2 Range", L107),) &gt; 0 ,VLOOKUP("+2 Range", vote4TRAITS!A:C , 3, FALSE),
IFERROR(SEARCH("+3 Range", L107),) &gt; 0,VLOOKUP("+3 Range", vote4TRAITS!A:C , 3, FALSE),
0=0,0)
,
IFS(
IFERROR(SEARCH("Sorcery 1", L107),) &gt; 0 ,VLOOKUP("Sorcery 1", vote4TRAITS!A:C , 3, FALSE),
IFERROR(SEARCH("Sorcery 2", L107),) &gt; 0 ,VLOOKUP("Sorcery 2", vote4TRAITS!A:C , 3, FALSE),
IFERROR(SEARCH("Sorcery 3", L107),) &gt; 0,VLOOKUP("Sorcery 3", vote4TRAITS!A:C , 3, FALSE),
0=0,0)
,
IFS(
IFERROR(SEARCH("Pierce 1", L107),) &gt; 0 ,VLOOKUP("Pierce 1", vote4TRAITS!A:C , 3, FALSE),
IFERROR(SEARCH("Pierce 2", L107),) &gt; 0 ,VLOOKUP("Pierce 2", vote4TRAITS!A:C , 3, FALSE),
IFERROR(SEARCH("Pierce 3", L107),) &gt; 0,VLOOKUP("Pierce 3", vote4TRAITS!A:C , 3, FALSE),
IFERROR(SEARCH("Pierce 4", L107),) &gt; 0 ,VLOOKUP("Pierce 4", vote4TRAITS!A:C , 3, FALSE),
0=0,0)
,
IFS(
IFERROR(SEARCH("+1 Health", L107),) &gt; 0 ,VLOOKUP("+1 Health", vote4TRAITS!A:C , 3, FALSE),
IFERROR(SEARCH("+2 Health", L107),) &gt; 0 ,VLOOKUP("+2 Health", vote4TRAITS!A:C , 3, FALSE),
IFERROR(SEARCH("+3 Health", L107),) &gt; 0 ,VLOOKUP("+3 Health", vote4TRAITS!A:C , 3, FALSE),
IFERROR(SEARCH("+4 Health", L107),) &gt; 0 ,VLOOKUP("+4 Health", vote4TRAITS!A:C , 3, FALSE),
0=0,0)
,
IFS(
IFERROR(SEARCH("Soul Shackle 1", L107),) &gt; 0 ,VLOOKUP("Soul Shackle 1", vote4TRAITS!A:C , 3, FALSE),
IFERROR(SEARCH("Soul Shackle 2", L107),) &gt; 0 ,VLOOKUP("Soul Shackle 2", vote4TRAITS!A:C , 3, FALSE),
IFERROR(SEARCH("Soul Shackle 3", L107),) &gt; 0,VLOOKUP("Soul Shackle 3", vote4TRAITS!A:C , 3, FALSE),
0=0,0)
)</f>
        <v>0</v>
      </c>
      <c r="N107" s="313"/>
      <c r="O107" s="317" t="str">
        <f>IF(ISBLANK(N107),,IFERROR(
IF(IFERROR(SEARCH("SS:",N107),0) &gt; 0, 
VLOOKUP(SUBSTITUTE(N107,"SS: ",""),vote4SURGE!$A:$C , 3, FALSE) - 2,
VLOOKUP(SUBSTITUTE(N107,"S: ",""),vote4SURGE!$A:$C , 3, FALSE)
)
,
IF(IFERROR(SEARCH("SS:",N107),0) &gt; 0, 
VLOOKUP(C107,vote4SURGE!$A:$C , 3, FALSE) - 2,
VLOOKUP(C107,vote4SURGE!$A:$C , 3, FALSE)
)
))</f>
        <v/>
      </c>
      <c r="P107" s="318"/>
      <c r="Q107" s="317" t="str">
        <f>IF(ISBLANK(P107),,IFERROR(
IF(IFERROR(SEARCH("SS:",P107),0) &gt; 0, 
VLOOKUP(SUBSTITUTE(P107,"SS: ",""),vote4SURGE!$A:$C , 3, FALSE) - 2,
VLOOKUP(SUBSTITUTE(P107,"S: ",""),vote4SURGE!$A:$C , 3, FALSE)
)
,
IF(IFERROR(SEARCH("SS:",P107),0) &gt; 0, 
VLOOKUP(C107,vote4SURGE!$A:$C , 3, FALSE) - 2,
VLOOKUP(C107,vote4SURGE!$A:$C , 3, FALSE)
)
))</f>
        <v/>
      </c>
      <c r="R107" s="318"/>
      <c r="S107" s="319" t="str">
        <f>IF(ISBLANK(R107),,IFERROR(
IF(IFERROR(SEARCH("SS:",R107),0) &gt; 0, 
VLOOKUP(SUBSTITUTE(R107,"SS: ",""),vote4SURGE!$A:$C , 3, FALSE) - 2,
VLOOKUP(SUBSTITUTE(R107,"S: ",""),vote4SURGE!$A:$C , 3, FALSE)
)
,
IF(IFERROR(SEARCH("SS:",R107),0) &gt; 0, 
VLOOKUP(C107,vote4SURGE!$A:$C , 3, FALSE) - 2,
VLOOKUP(C107,vote4SURGE!$A:$C , 3, FALSE)
)
))</f>
        <v/>
      </c>
      <c r="T107" s="320">
        <f t="shared" si="2"/>
        <v>0</v>
      </c>
      <c r="U107" s="320">
        <f>IFERROR(__xludf.DUMMYFUNCTION("ROUND(
IF(ISBLANK(G107),,
SWITCH(
LEN(G107) - LEN(SUBSTITUTE(G107,"","","""")),
0 , VLOOKUP(G107, Variables!$A:$C, 3, FALSE),
1 , VLOOKUP(index(split(G107 ,"", "", FALSE),1,1), Variables!$A:$C , 3, FALSE) + VLOOKUP(index(split(G107 ,"", "", FALSE),1,2), V"&amp;"ariables!$A:$C , 3, FALSE),
2 , VLOOKUP(index(split(G107 ,"", "", FALSE),1,1), Variables!$A:$C , 3, FALSE) + VLOOKUP(index(split(G107 ,"", "", FALSE),1,2), Variables!$A:$C , 3, FALSE) + VLOOKUP(index(split(G107 ,"", "", FALSE),1,3), Variables!$A:$C , 3, F"&amp;"ALSE),
3 , VLOOKUP(index(split(G107 ,"", "", FALSE),1,1), Variables!$A:$C , 3, FALSE) + VLOOKUP(index(split(G107 ,"", "", FALSE),1,2), Variables!$A:$C , 3, FALSE) + VLOOKUP(index(split(G107 ,"", "", FALSE),1,3), Variables!$A:$C , 3, FALSE) + VLOOKUP(index"&amp;"(split(G107 ,"", "", FALSE),1,4), Variables!$A:$C , 3, FALSE),
)
)
)"),0.0)</f>
        <v>0</v>
      </c>
      <c r="V107" s="317">
        <f t="shared" si="3"/>
        <v>0</v>
      </c>
      <c r="W107" s="321">
        <f t="shared" si="4"/>
        <v>6.5</v>
      </c>
      <c r="X107" s="118"/>
      <c r="Y107" s="118"/>
      <c r="Z107" s="118"/>
      <c r="AA107" s="118"/>
      <c r="AB107" s="118"/>
      <c r="AC107" s="118"/>
      <c r="AD107" s="118"/>
      <c r="AE107" s="118"/>
    </row>
    <row r="108" hidden="1">
      <c r="A108" s="310">
        <v>1.0</v>
      </c>
      <c r="B108" s="93">
        <f t="shared" si="1"/>
        <v>2</v>
      </c>
      <c r="C108" s="310" t="s">
        <v>747</v>
      </c>
      <c r="D108" s="310">
        <v>100.0</v>
      </c>
      <c r="E108" s="310" t="s">
        <v>1629</v>
      </c>
      <c r="F108" s="310"/>
      <c r="G108" s="313"/>
      <c r="H108" s="312" t="str">
        <f>IFERROR(__xludf.DUMMYFUNCTION(" IF(ISBLANK(G108),,
SWITCH(
LEN(G108) - LEN(SUBSTITUTE(G108,"","","""")),
0 , VLOOKUP(G108, Variables!$A:$B, 2, FALSE),
1 , VLOOKUP(index(split(G108 ,"", "", FALSE),1,1), Variables!$A:$B , 2, FALSE) + VLOOKUP(index(split(G108 ,"", "", FALSE),1,2), Variabl"&amp;"es!$A:$B , 2, FALSE),
2 , VLOOKUP(index(split(G108 ,"", "", FALSE),1,1), Variables!$A:$B , 2, FALSE) + VLOOKUP(index(split(G108 ,"", "", FALSE),1,2), Variables!$A:$B , 2, FALSE) + VLOOKUP(index(split(G108 ,"", "", FALSE),1,3), Variables!$A:$B , 2, FALSE),"&amp;"
3 , VLOOKUP(index(split(G108 ,"", "", FALSE),1,1), Variables!$A:$B , 2, FALSE) + VLOOKUP(index(split(G108 ,"", "", FALSE),1,2), Variables!$A:$B , 2, FALSE) + VLOOKUP(index(split(G108 ,"", "", FALSE),1,3), Variables!$A:$B , 2, FALSE) + VLOOKUP(index(split"&amp;"(G108 ,"", "", FALSE),1,4), Variables!$A:$B , 2, FALSE),
)
)"),"")</f>
        <v/>
      </c>
      <c r="I108" s="310" t="s">
        <v>1641</v>
      </c>
      <c r="J108" s="313" t="s">
        <v>748</v>
      </c>
      <c r="K108" s="314">
        <f>IFERROR(VLOOKUP(C108,vote4ITEMS!$A:$C, 3, FALSE),)</f>
        <v>6.5</v>
      </c>
      <c r="L108" s="313"/>
      <c r="M108" s="314">
        <f>SUM(
IF(IFERROR(SEARCH("Aura 1",L108),0) &gt; 0 , VLOOKUP("Aura 1", vote4TRAITS!A:C , 3, FALSE), ),
IF(IFERROR(SEARCH("Backswing",L108),0) &gt; 0 , VLOOKUP("Backswing", vote4TRAITS!A:C , 3, FALSE), ),
IF(IFERROR(SEARCH("Blast",L108),0) &gt; 0 , VLOOKUP("Blast", vote4TRAITS!A:C , 3, FALSE), ),
IF(IFERROR(SEARCH("Combustible",L108),0) &gt; 0 , VLOOKUP("Combustible", vote4TRAITS!A:C , 3, FALSE), ),
IF(IFERROR(SEARCH("Command",L108),0) &gt; 0 , VLOOKUP("Command", vote4TRAITS!A:C , 3, FALSE), ),
IF(IFERROR(SEARCH("Cowardly",L108),0) &gt; 0 , VLOOKUP("Cowardly", vote4TRAITS!A:C , 3, FALSE), ),
IF(IFERROR(SEARCH("Death Wish",L108),0) &gt; 0 , VLOOKUP("Death Wish", vote4TRAITS!A:C , 3, FALSE), ),
IF(IFERROR(SEARCH("Entomb",L108),0) &gt; 0 , VLOOKUP("Entomb", vote4TRAITS!A:C , 3, FALSE), ),
IF(IFERROR(SEARCH("Ethereal Hold",L108),0) &gt; 0 , VLOOKUP("Ethereal Hold", vote4TRAITS!A:C , 3, FALSE), ),
IF(IFERROR(SEARCH("Extend",L108),0) &gt; 0 , VLOOKUP("Extend", vote4TRAITS!A:C , 3, FALSE), ),
IF(IFERROR(SEARCH("Filthy Murk",L108),0) &gt; 0 , VLOOKUP("Filthy Murk", vote4TRAITS!A:C , 3, FALSE), ),
IF(IFERROR(SEARCH("Flame Fiend",L108),0) &gt; 0 , VLOOKUP("Flame Fiend", vote4TRAITS!A:C , 3, FALSE), ),
IF(IFERROR(SEARCH("Fleshmonger",L108),0) &gt; 0 , VLOOKUP("Fleshmonger", vote4TRAITS!A:C , 3, FALSE), ),
IF(IFERROR(SEARCH("Fly",L108),0) &gt; 0 , VLOOKUP("Fly", vote4TRAITS!A:C , 3, FALSE), ),
IF(IFERROR(SEARCH("Freezing",L108),0) &gt; 0 , VLOOKUP("Freezing", vote4TRAITS!A:C , 3, FALSE), ),
IF(IFERROR(SEARCH("Lithesome",L108),0) &gt; 0 , VLOOKUP("Lithesome", vote4TRAITS!A:C , 3, FALSE), ),
IF(IFERROR(SEARCH("Harrowing",L108),0) &gt; 0 , VLOOKUP("Harrowing", vote4TRAITS!A:C , 3, FALSE), ),
IF(IFERROR(SEARCH("Hideous Laughter",L108),0) &gt; 0 , VLOOKUP("Hideous Laughter", vote4TRAITS!A:C , 3, FALSE), ),
IF(IFERROR(SEARCH("Hive Defense",L108),0) &gt; 0 , VLOOKUP("Hive Defense", vote4TRAITS!A:C , 3, FALSE), ),
IF(IFERROR(SEARCH("Horrifying",L108),0) &gt; 0 , VLOOKUP("Horrifying", vote4TRAITS!A:C , 3, FALSE), ),
IF(IFERROR(SEARCH("Ironskin",L108),0) &gt; 0 , VLOOKUP("Ironskin", vote4TRAITS!A:C , 3, FALSE), ),
IF(IFERROR(SEARCH("Unmovable",L108),0) &gt; 0 , VLOOKUP("Unmovable", vote4TRAITS!A:C , 3, FALSE), ),
IF(IFERROR(SEARCH("Lifethirst 1",L108),0) &gt; 0 , VLOOKUP("Lifethirst 1", vote4TRAITS!A:C , 3, FALSE), ),
IF(IFERROR(SEARCH("Lifethirst 2",L108),0) &gt; 0 , VLOOKUP("Lifethirst 2", vote4TRAITS!A:C , 3, FALSE), ),
IF(IFERROR(SEARCH("Morph",L108),0) &gt; 0 , VLOOKUP("Morph", vote4TRAITS!A:C , 3, FALSE), ),
IF(IFERROR(SEARCH("Night Stalker",L108),0) &gt; 0 , VLOOKUP("Night Stalker", vote4TRAITS!A:C , 3, FALSE), ),
IF(IFERROR(SEARCH("Overflowing",L108),0) &gt; 0 , VLOOKUP("Overflowing", vote4TRAITS!A:C , 3, FALSE), ),
IF(IFERROR(SEARCH("Pestilence",L108),0) &gt; 0 , VLOOKUP("Pestilence", vote4TRAITS!A:C , 3, FALSE), ),
IF(IFERROR(SEARCH("Phalanx",L108),0) &gt; 0 , VLOOKUP("Phalanx", vote4TRAITS!A:C , 3, FALSE), ),
IF(IFERROR(SEARCH("Plagued",L108),0) &gt; 0 , VLOOKUP("Plagued", vote4TRAITS!A:C , 3, FALSE), ),
IF(IFERROR(SEARCH("Prey on the Weak",L108),0) &gt; 0 , VLOOKUP("Prey on the Weak", vote4TRAITS!A:C , 3, FALSE), ),
IF(IFERROR(SEARCH("Protect",L108),0) &gt; 0 , VLOOKUP("Protect", vote4TRAITS!A:C , 3, FALSE), ),
IF(IFERROR(SEARCH("Puncture",L108),0) &gt; 0 , VLOOKUP("Puncture", vote4TRAITS!A:C , 3, FALSE), ),
IF(IFERROR(SEARCH("Putrid Boils",L108),0) &gt; 0 , VLOOKUP("Putrid Boils", vote4TRAITS!A:C , 3, FALSE), ),
IF(IFERROR(SEARCH("Ravage",L108),0) &gt; 0 , VLOOKUP("Ravage", vote4TRAITS!A:C , 3, FALSE), ),
IF(IFERROR(SEARCH("Ravenous",L108),0) &gt; 0 , VLOOKUP("Ravenous", vote4TRAITS!A:C , 3, FALSE), ),
IF(IFERROR(SEARCH("Reach",L108),0) &gt; 0 , VLOOKUP("Reach", vote4TRAITS!A:C , 3, FALSE), ),
IF(IFERROR(SEARCH("Reanimation",L108),0) &gt; 0 , VLOOKUP("Reanimation", vote4TRAITS!A:C , 3, FALSE), ),
IF(IFERROR(SEARCH("Reaper",L108),0) &gt; 0 , VLOOKUP("Reaper", vote4TRAITS!A:C , 3, FALSE), ),
IF(IFERROR(SEARCH("Riposte",L108),0) &gt; 0 , VLOOKUP("Riposte", vote4TRAITS!A:C , 3, FALSE)),
IF(IFERROR(SEARCH("Scamper",L108),0) &gt; 0 , VLOOKUP("Scamper", vote4TRAITS!A:C , 3, FALSE), ),
IF(IFERROR(SEARCH("Small Beginnings",L108),0) &gt; 0 , VLOOKUP("Small Beginnings", vote4TRAITS!A:C , 3, FALSE), ),
IF(IFERROR(SEARCH("Spawner",L108),0) &gt; 0 , VLOOKUP("Spawner", vote4TRAITS!A:C , 3,FALSE), ),
IF(IFERROR(SEARCH("Shadowr",L108),0) &gt; 0 , VLOOKUP("Shadow", vote4TRAITS!A:C , 3,FALSE), ),
IF(IFERROR(SEARCH("Shadow Step",L108),0) &gt; 0 , VLOOKUP("Shadow Step", vote4TRAITS!A:C , 3,FALSE), ),
IF(IFERROR(SEARCH("Shambling",L108),0) &gt; 0 , VLOOKUP("Shambling", vote4TRAITS!A:C , 3,FALSE), ),
IF(IFERROR(SEARCH("Stealthy",L108),0) &gt; 0 , VLOOKUP("Stealthy", vote4TRAITS!A:C , 3, FALSE), ),
IF(IFERROR(SEARCH("Web",L108),0) &gt; 0 , VLOOKUP("Web", vote4TRAITS!A:C , 3, FALSE), ),
IF(IFERROR(SEARCH("+1 Willpower",L108),0) &gt; 0 , VLOOKUP("+1 Willpower", vote4TRAITS!A:C , 3, FALSE), ),
IF(IFERROR(SEARCH("+1 Might",L108),0) &gt; 0 , VLOOKUP("+1 Might", vote4TRAITS!A:C , 3, FALSE), ),
IF(IFERROR(SEARCH("+1 Knowledge",L108),0) &gt; 0 , VLOOKUP("+1 Knowledge", vote4TRAITS!A:C , 3, FALSE), ),
IF(IFERROR(SEARCH("+1 Awareness",L108),0) &gt; 0 , VLOOKUP("+1 Awareness", vote4TRAITS!A:C , 3, FALSE), ),
IF(IFERROR(SEARCH("-1 Willpower",L108),0) &gt; 0 , VLOOKUP("-1 Willpower", vote4TRAITS!A:C , 3, FALSE), ),
IF(IFERROR(SEARCH("+1 Health",L108),0) &gt; 0 , VLOOKUP("+1 Health", vote4TRAITS!A:C , 3, FALSE), ),
IF(IFERROR(SEARCH("+2 Health",L108),0) &gt; 0 , VLOOKUP("+2 Health", vote4TRAITS!A:C , 3, FALSE), ),
IF(IFERROR(SEARCH("+1 Stamina",L108),0) &gt; 0 , VLOOKUP("+1 Stamina", vote4TRAITS!A:C , 3, FALSE), ),
IF(IFERROR(SEARCH("+2 Stamina",L108),0) &gt; 0 , VLOOKUP("+2 Stamina", vote4TRAITS!A:C , 3, FALSE), ),
IFS(
IFERROR(SEARCH("+1 Range", L108),) &gt; 0 ,VLOOKUP("+1 Range", vote4TRAITS!A:C , 3, FALSE),
IFERROR(SEARCH("+2 Range", L108),) &gt; 0 ,VLOOKUP("+2 Range", vote4TRAITS!A:C , 3, FALSE),
IFERROR(SEARCH("+3 Range", L108),) &gt; 0,VLOOKUP("+3 Range", vote4TRAITS!A:C , 3, FALSE),
0=0,0)
,
IFS(
IFERROR(SEARCH("Sorcery 1", L108),) &gt; 0 ,VLOOKUP("Sorcery 1", vote4TRAITS!A:C , 3, FALSE),
IFERROR(SEARCH("Sorcery 2", L108),) &gt; 0 ,VLOOKUP("Sorcery 2", vote4TRAITS!A:C , 3, FALSE),
IFERROR(SEARCH("Sorcery 3", L108),) &gt; 0,VLOOKUP("Sorcery 3", vote4TRAITS!A:C , 3, FALSE),
0=0,0)
,
IFS(
IFERROR(SEARCH("Pierce 1", L108),) &gt; 0 ,VLOOKUP("Pierce 1", vote4TRAITS!A:C , 3, FALSE),
IFERROR(SEARCH("Pierce 2", L108),) &gt; 0 ,VLOOKUP("Pierce 2", vote4TRAITS!A:C , 3, FALSE),
IFERROR(SEARCH("Pierce 3", L108),) &gt; 0,VLOOKUP("Pierce 3", vote4TRAITS!A:C , 3, FALSE),
IFERROR(SEARCH("Pierce 4", L108),) &gt; 0 ,VLOOKUP("Pierce 4", vote4TRAITS!A:C , 3, FALSE),
0=0,0)
,
IFS(
IFERROR(SEARCH("+1 Health", L108),) &gt; 0 ,VLOOKUP("+1 Health", vote4TRAITS!A:C , 3, FALSE),
IFERROR(SEARCH("+2 Health", L108),) &gt; 0 ,VLOOKUP("+2 Health", vote4TRAITS!A:C , 3, FALSE),
IFERROR(SEARCH("+3 Health", L108),) &gt; 0 ,VLOOKUP("+3 Health", vote4TRAITS!A:C , 3, FALSE),
IFERROR(SEARCH("+4 Health", L108),) &gt; 0 ,VLOOKUP("+4 Health", vote4TRAITS!A:C , 3, FALSE),
0=0,0)
,
IFS(
IFERROR(SEARCH("Soul Shackle 1", L108),) &gt; 0 ,VLOOKUP("Soul Shackle 1", vote4TRAITS!A:C , 3, FALSE),
IFERROR(SEARCH("Soul Shackle 2", L108),) &gt; 0 ,VLOOKUP("Soul Shackle 2", vote4TRAITS!A:C , 3, FALSE),
IFERROR(SEARCH("Soul Shackle 3", L108),) &gt; 0,VLOOKUP("Soul Shackle 3", vote4TRAITS!A:C , 3, FALSE),
0=0,0)
)</f>
        <v>0</v>
      </c>
      <c r="N108" s="313"/>
      <c r="O108" s="317" t="str">
        <f>IF(ISBLANK(N108),,IFERROR(
IF(IFERROR(SEARCH("SS:",N108),0) &gt; 0, 
VLOOKUP(SUBSTITUTE(N108,"SS: ",""),vote4SURGE!$A:$C , 3, FALSE) - 2,
VLOOKUP(SUBSTITUTE(N108,"S: ",""),vote4SURGE!$A:$C , 3, FALSE)
)
,
IF(IFERROR(SEARCH("SS:",N108),0) &gt; 0, 
VLOOKUP(C108,vote4SURGE!$A:$C , 3, FALSE) - 2,
VLOOKUP(C108,vote4SURGE!$A:$C , 3, FALSE)
)
))</f>
        <v/>
      </c>
      <c r="P108" s="318"/>
      <c r="Q108" s="317" t="str">
        <f>IF(ISBLANK(P108),,IFERROR(
IF(IFERROR(SEARCH("SS:",P108),0) &gt; 0, 
VLOOKUP(SUBSTITUTE(P108,"SS: ",""),vote4SURGE!$A:$C , 3, FALSE) - 2,
VLOOKUP(SUBSTITUTE(P108,"S: ",""),vote4SURGE!$A:$C , 3, FALSE)
)
,
IF(IFERROR(SEARCH("SS:",P108),0) &gt; 0, 
VLOOKUP(C108,vote4SURGE!$A:$C , 3, FALSE) - 2,
VLOOKUP(C108,vote4SURGE!$A:$C , 3, FALSE)
)
))</f>
        <v/>
      </c>
      <c r="R108" s="318"/>
      <c r="S108" s="319" t="str">
        <f>IF(ISBLANK(R108),,IFERROR(
IF(IFERROR(SEARCH("SS:",R108),0) &gt; 0, 
VLOOKUP(SUBSTITUTE(R108,"SS: ",""),vote4SURGE!$A:$C , 3, FALSE) - 2,
VLOOKUP(SUBSTITUTE(R108,"S: ",""),vote4SURGE!$A:$C , 3, FALSE)
)
,
IF(IFERROR(SEARCH("SS:",R108),0) &gt; 0, 
VLOOKUP(C108,vote4SURGE!$A:$C , 3, FALSE) - 2,
VLOOKUP(C108,vote4SURGE!$A:$C , 3, FALSE)
)
))</f>
        <v/>
      </c>
      <c r="T108" s="320">
        <f t="shared" si="2"/>
        <v>0</v>
      </c>
      <c r="U108" s="320">
        <f>IFERROR(__xludf.DUMMYFUNCTION("ROUND(
IF(ISBLANK(G108),,
SWITCH(
LEN(G108) - LEN(SUBSTITUTE(G108,"","","""")),
0 , VLOOKUP(G108, Variables!$A:$C, 3, FALSE),
1 , VLOOKUP(index(split(G108 ,"", "", FALSE),1,1), Variables!$A:$C , 3, FALSE) + VLOOKUP(index(split(G108 ,"", "", FALSE),1,2), V"&amp;"ariables!$A:$C , 3, FALSE),
2 , VLOOKUP(index(split(G108 ,"", "", FALSE),1,1), Variables!$A:$C , 3, FALSE) + VLOOKUP(index(split(G108 ,"", "", FALSE),1,2), Variables!$A:$C , 3, FALSE) + VLOOKUP(index(split(G108 ,"", "", FALSE),1,3), Variables!$A:$C , 3, F"&amp;"ALSE),
3 , VLOOKUP(index(split(G108 ,"", "", FALSE),1,1), Variables!$A:$C , 3, FALSE) + VLOOKUP(index(split(G108 ,"", "", FALSE),1,2), Variables!$A:$C , 3, FALSE) + VLOOKUP(index(split(G108 ,"", "", FALSE),1,3), Variables!$A:$C , 3, FALSE) + VLOOKUP(index"&amp;"(split(G108 ,"", "", FALSE),1,4), Variables!$A:$C , 3, FALSE),
)
)
)"),0.0)</f>
        <v>0</v>
      </c>
      <c r="V108" s="317">
        <f t="shared" si="3"/>
        <v>0</v>
      </c>
      <c r="W108" s="321">
        <f t="shared" si="4"/>
        <v>6.5</v>
      </c>
      <c r="X108" s="118"/>
      <c r="Y108" s="118"/>
      <c r="Z108" s="118"/>
      <c r="AA108" s="118"/>
      <c r="AB108" s="118"/>
      <c r="AC108" s="118"/>
      <c r="AD108" s="118"/>
      <c r="AE108" s="118"/>
    </row>
    <row r="109" hidden="1">
      <c r="A109" s="310" t="s">
        <v>1556</v>
      </c>
      <c r="B109" s="93" t="str">
        <f t="shared" si="1"/>
        <v/>
      </c>
      <c r="C109" s="310" t="s">
        <v>920</v>
      </c>
      <c r="D109" s="323">
        <v>0.0</v>
      </c>
      <c r="E109" s="310" t="s">
        <v>1620</v>
      </c>
      <c r="F109" s="310"/>
      <c r="G109" s="313"/>
      <c r="H109" s="312" t="str">
        <f>IFERROR(__xludf.DUMMYFUNCTION(" IF(ISBLANK(G109),,
SWITCH(
LEN(G109) - LEN(SUBSTITUTE(G109,"","","""")),
0 , VLOOKUP(G109, Variables!$A:$B, 2, FALSE),
1 , VLOOKUP(index(split(G109 ,"", "", FALSE),1,1), Variables!$A:$B , 2, FALSE) + VLOOKUP(index(split(G109 ,"", "", FALSE),1,2), Variabl"&amp;"es!$A:$B , 2, FALSE),
2 , VLOOKUP(index(split(G109 ,"", "", FALSE),1,1), Variables!$A:$B , 2, FALSE) + VLOOKUP(index(split(G109 ,"", "", FALSE),1,2), Variables!$A:$B , 2, FALSE) + VLOOKUP(index(split(G109 ,"", "", FALSE),1,3), Variables!$A:$B , 2, FALSE),"&amp;"
3 , VLOOKUP(index(split(G109 ,"", "", FALSE),1,1), Variables!$A:$B , 2, FALSE) + VLOOKUP(index(split(G109 ,"", "", FALSE),1,2), Variables!$A:$B , 2, FALSE) + VLOOKUP(index(split(G109 ,"", "", FALSE),1,3), Variables!$A:$B , 2, FALSE) + VLOOKUP(index(split"&amp;"(G109 ,"", "", FALSE),1,4), Variables!$A:$B , 2, FALSE),
)
)"),"")</f>
        <v/>
      </c>
      <c r="I109" s="310" t="s">
        <v>1656</v>
      </c>
      <c r="J109" s="311" t="s">
        <v>921</v>
      </c>
      <c r="K109" s="314">
        <f>IFERROR(VLOOKUP(C109,vote4ITEMS!$A:$C, 3, FALSE),)</f>
        <v>2.333333333</v>
      </c>
      <c r="L109" s="324" t="s">
        <v>1661</v>
      </c>
      <c r="M109" s="314">
        <f>SUM(
IF(IFERROR(SEARCH("Aura 1",L109),0) &gt; 0 , VLOOKUP("Aura 1", vote4TRAITS!A:C , 3, FALSE), ),
IF(IFERROR(SEARCH("Backswing",L109),0) &gt; 0 , VLOOKUP("Backswing", vote4TRAITS!A:C , 3, FALSE), ),
IF(IFERROR(SEARCH("Blast",L109),0) &gt; 0 , VLOOKUP("Blast", vote4TRAITS!A:C , 3, FALSE), ),
IF(IFERROR(SEARCH("Combustible",L109),0) &gt; 0 , VLOOKUP("Combustible", vote4TRAITS!A:C , 3, FALSE), ),
IF(IFERROR(SEARCH("Command",L109),0) &gt; 0 , VLOOKUP("Command", vote4TRAITS!A:C , 3, FALSE), ),
IF(IFERROR(SEARCH("Cowardly",L109),0) &gt; 0 , VLOOKUP("Cowardly", vote4TRAITS!A:C , 3, FALSE), ),
IF(IFERROR(SEARCH("Death Wish",L109),0) &gt; 0 , VLOOKUP("Death Wish", vote4TRAITS!A:C , 3, FALSE), ),
IF(IFERROR(SEARCH("Entomb",L109),0) &gt; 0 , VLOOKUP("Entomb", vote4TRAITS!A:C , 3, FALSE), ),
IF(IFERROR(SEARCH("Ethereal Hold",L109),0) &gt; 0 , VLOOKUP("Ethereal Hold", vote4TRAITS!A:C , 3, FALSE), ),
IF(IFERROR(SEARCH("Extend",L109),0) &gt; 0 , VLOOKUP("Extend", vote4TRAITS!A:C , 3, FALSE), ),
IF(IFERROR(SEARCH("Filthy Murk",L109),0) &gt; 0 , VLOOKUP("Filthy Murk", vote4TRAITS!A:C , 3, FALSE), ),
IF(IFERROR(SEARCH("Flame Fiend",L109),0) &gt; 0 , VLOOKUP("Flame Fiend", vote4TRAITS!A:C , 3, FALSE), ),
IF(IFERROR(SEARCH("Fleshmonger",L109),0) &gt; 0 , VLOOKUP("Fleshmonger", vote4TRAITS!A:C , 3, FALSE), ),
IF(IFERROR(SEARCH("Fly",L109),0) &gt; 0 , VLOOKUP("Fly", vote4TRAITS!A:C , 3, FALSE), ),
IF(IFERROR(SEARCH("Freezing",L109),0) &gt; 0 , VLOOKUP("Freezing", vote4TRAITS!A:C , 3, FALSE), ),
IF(IFERROR(SEARCH("Lithesome",L109),0) &gt; 0 , VLOOKUP("Lithesome", vote4TRAITS!A:C , 3, FALSE), ),
IF(IFERROR(SEARCH("Harrowing",L109),0) &gt; 0 , VLOOKUP("Harrowing", vote4TRAITS!A:C , 3, FALSE), ),
IF(IFERROR(SEARCH("Hideous Laughter",L109),0) &gt; 0 , VLOOKUP("Hideous Laughter", vote4TRAITS!A:C , 3, FALSE), ),
IF(IFERROR(SEARCH("Hive Defense",L109),0) &gt; 0 , VLOOKUP("Hive Defense", vote4TRAITS!A:C , 3, FALSE), ),
IF(IFERROR(SEARCH("Horrifying",L109),0) &gt; 0 , VLOOKUP("Horrifying", vote4TRAITS!A:C , 3, FALSE), ),
IF(IFERROR(SEARCH("Ironskin",L109),0) &gt; 0 , VLOOKUP("Ironskin", vote4TRAITS!A:C , 3, FALSE), ),
IF(IFERROR(SEARCH("Unmovable",L109),0) &gt; 0 , VLOOKUP("Unmovable", vote4TRAITS!A:C , 3, FALSE), ),
IF(IFERROR(SEARCH("Lifethirst 1",L109),0) &gt; 0 , VLOOKUP("Lifethirst 1", vote4TRAITS!A:C , 3, FALSE), ),
IF(IFERROR(SEARCH("Lifethirst 2",L109),0) &gt; 0 , VLOOKUP("Lifethirst 2", vote4TRAITS!A:C , 3, FALSE), ),
IF(IFERROR(SEARCH("Morph",L109),0) &gt; 0 , VLOOKUP("Morph", vote4TRAITS!A:C , 3, FALSE), ),
IF(IFERROR(SEARCH("Night Stalker",L109),0) &gt; 0 , VLOOKUP("Night Stalker", vote4TRAITS!A:C , 3, FALSE), ),
IF(IFERROR(SEARCH("Overflowing",L109),0) &gt; 0 , VLOOKUP("Overflowing", vote4TRAITS!A:C , 3, FALSE), ),
IF(IFERROR(SEARCH("Pestilence",L109),0) &gt; 0 , VLOOKUP("Pestilence", vote4TRAITS!A:C , 3, FALSE), ),
IF(IFERROR(SEARCH("Phalanx",L109),0) &gt; 0 , VLOOKUP("Phalanx", vote4TRAITS!A:C , 3, FALSE), ),
IF(IFERROR(SEARCH("Plagued",L109),0) &gt; 0 , VLOOKUP("Plagued", vote4TRAITS!A:C , 3, FALSE), ),
IF(IFERROR(SEARCH("Prey on the Weak",L109),0) &gt; 0 , VLOOKUP("Prey on the Weak", vote4TRAITS!A:C , 3, FALSE), ),
IF(IFERROR(SEARCH("Protect",L109),0) &gt; 0 , VLOOKUP("Protect", vote4TRAITS!A:C , 3, FALSE), ),
IF(IFERROR(SEARCH("Puncture",L109),0) &gt; 0 , VLOOKUP("Puncture", vote4TRAITS!A:C , 3, FALSE), ),
IF(IFERROR(SEARCH("Putrid Boils",L109),0) &gt; 0 , VLOOKUP("Putrid Boils", vote4TRAITS!A:C , 3, FALSE), ),
IF(IFERROR(SEARCH("Ravage",L109),0) &gt; 0 , VLOOKUP("Ravage", vote4TRAITS!A:C , 3, FALSE), ),
IF(IFERROR(SEARCH("Ravenous",L109),0) &gt; 0 , VLOOKUP("Ravenous", vote4TRAITS!A:C , 3, FALSE), ),
IF(IFERROR(SEARCH("Reach",L109),0) &gt; 0 , VLOOKUP("Reach", vote4TRAITS!A:C , 3, FALSE), ),
IF(IFERROR(SEARCH("Reanimation",L109),0) &gt; 0 , VLOOKUP("Reanimation", vote4TRAITS!A:C , 3, FALSE), ),
IF(IFERROR(SEARCH("Reaper",L109),0) &gt; 0 , VLOOKUP("Reaper", vote4TRAITS!A:C , 3, FALSE), ),
IF(IFERROR(SEARCH("Riposte",L109),0) &gt; 0 , VLOOKUP("Riposte", vote4TRAITS!A:C , 3, FALSE)),
IF(IFERROR(SEARCH("Scamper",L109),0) &gt; 0 , VLOOKUP("Scamper", vote4TRAITS!A:C , 3, FALSE), ),
IF(IFERROR(SEARCH("Small Beginnings",L109),0) &gt; 0 , VLOOKUP("Small Beginnings", vote4TRAITS!A:C , 3, FALSE), ),
IF(IFERROR(SEARCH("Spawner",L109),0) &gt; 0 , VLOOKUP("Spawner", vote4TRAITS!A:C , 3,FALSE), ),
IF(IFERROR(SEARCH("Shadowr",L109),0) &gt; 0 , VLOOKUP("Shadow", vote4TRAITS!A:C , 3,FALSE), ),
IF(IFERROR(SEARCH("Shadow Step",L109),0) &gt; 0 , VLOOKUP("Shadow Step", vote4TRAITS!A:C , 3,FALSE), ),
IF(IFERROR(SEARCH("Shambling",L109),0) &gt; 0 , VLOOKUP("Shambling", vote4TRAITS!A:C , 3,FALSE), ),
IF(IFERROR(SEARCH("Stealthy",L109),0) &gt; 0 , VLOOKUP("Stealthy", vote4TRAITS!A:C , 3, FALSE), ),
IF(IFERROR(SEARCH("Web",L109),0) &gt; 0 , VLOOKUP("Web", vote4TRAITS!A:C , 3, FALSE), ),
IF(IFERROR(SEARCH("+1 Willpower",L109),0) &gt; 0 , VLOOKUP("+1 Willpower", vote4TRAITS!A:C , 3, FALSE), ),
IF(IFERROR(SEARCH("+1 Might",L109),0) &gt; 0 , VLOOKUP("+1 Might", vote4TRAITS!A:C , 3, FALSE), ),
IF(IFERROR(SEARCH("+1 Knowledge",L109),0) &gt; 0 , VLOOKUP("+1 Knowledge", vote4TRAITS!A:C , 3, FALSE), ),
IF(IFERROR(SEARCH("+1 Awareness",L109),0) &gt; 0 , VLOOKUP("+1 Awareness", vote4TRAITS!A:C , 3, FALSE), ),
IF(IFERROR(SEARCH("-1 Willpower",L109),0) &gt; 0 , VLOOKUP("-1 Willpower", vote4TRAITS!A:C , 3, FALSE), ),
IF(IFERROR(SEARCH("+1 Health",L109),0) &gt; 0 , VLOOKUP("+1 Health", vote4TRAITS!A:C , 3, FALSE), ),
IF(IFERROR(SEARCH("+2 Health",L109),0) &gt; 0 , VLOOKUP("+2 Health", vote4TRAITS!A:C , 3, FALSE), ),
IF(IFERROR(SEARCH("+1 Stamina",L109),0) &gt; 0 , VLOOKUP("+1 Stamina", vote4TRAITS!A:C , 3, FALSE), ),
IF(IFERROR(SEARCH("+2 Stamina",L109),0) &gt; 0 , VLOOKUP("+2 Stamina", vote4TRAITS!A:C , 3, FALSE), ),
IFS(
IFERROR(SEARCH("+1 Range", L109),) &gt; 0 ,VLOOKUP("+1 Range", vote4TRAITS!A:C , 3, FALSE),
IFERROR(SEARCH("+2 Range", L109),) &gt; 0 ,VLOOKUP("+2 Range", vote4TRAITS!A:C , 3, FALSE),
IFERROR(SEARCH("+3 Range", L109),) &gt; 0,VLOOKUP("+3 Range", vote4TRAITS!A:C , 3, FALSE),
0=0,0)
,
IFS(
IFERROR(SEARCH("Sorcery 1", L109),) &gt; 0 ,VLOOKUP("Sorcery 1", vote4TRAITS!A:C , 3, FALSE),
IFERROR(SEARCH("Sorcery 2", L109),) &gt; 0 ,VLOOKUP("Sorcery 2", vote4TRAITS!A:C , 3, FALSE),
IFERROR(SEARCH("Sorcery 3", L109),) &gt; 0,VLOOKUP("Sorcery 3", vote4TRAITS!A:C , 3, FALSE),
0=0,0)
,
IFS(
IFERROR(SEARCH("Pierce 1", L109),) &gt; 0 ,VLOOKUP("Pierce 1", vote4TRAITS!A:C , 3, FALSE),
IFERROR(SEARCH("Pierce 2", L109),) &gt; 0 ,VLOOKUP("Pierce 2", vote4TRAITS!A:C , 3, FALSE),
IFERROR(SEARCH("Pierce 3", L109),) &gt; 0,VLOOKUP("Pierce 3", vote4TRAITS!A:C , 3, FALSE),
IFERROR(SEARCH("Pierce 4", L109),) &gt; 0 ,VLOOKUP("Pierce 4", vote4TRAITS!A:C , 3, FALSE),
0=0,0)
,
IFS(
IFERROR(SEARCH("+1 Health", L109),) &gt; 0 ,VLOOKUP("+1 Health", vote4TRAITS!A:C , 3, FALSE),
IFERROR(SEARCH("+2 Health", L109),) &gt; 0 ,VLOOKUP("+2 Health", vote4TRAITS!A:C , 3, FALSE),
IFERROR(SEARCH("+3 Health", L109),) &gt; 0 ,VLOOKUP("+3 Health", vote4TRAITS!A:C , 3, FALSE),
IFERROR(SEARCH("+4 Health", L109),) &gt; 0 ,VLOOKUP("+4 Health", vote4TRAITS!A:C , 3, FALSE),
0=0,0)
,
IFS(
IFERROR(SEARCH("Soul Shackle 1", L109),) &gt; 0 ,VLOOKUP("Soul Shackle 1", vote4TRAITS!A:C , 3, FALSE),
IFERROR(SEARCH("Soul Shackle 2", L109),) &gt; 0 ,VLOOKUP("Soul Shackle 2", vote4TRAITS!A:C , 3, FALSE),
IFERROR(SEARCH("Soul Shackle 3", L109),) &gt; 0,VLOOKUP("Soul Shackle 3", vote4TRAITS!A:C , 3, FALSE),
0=0,0)
)</f>
        <v>4</v>
      </c>
      <c r="N109" s="330"/>
      <c r="O109" s="317" t="str">
        <f>IF(ISBLANK(N109),,IFERROR(
IF(IFERROR(SEARCH("SS:",N109),0) &gt; 0, 
VLOOKUP(SUBSTITUTE(N109,"SS: ",""),vote4SURGE!$A:$C , 3, FALSE) - 2,
VLOOKUP(SUBSTITUTE(N109,"S: ",""),vote4SURGE!$A:$C , 3, FALSE)
)
,
IF(IFERROR(SEARCH("SS:",N109),0) &gt; 0, 
VLOOKUP(C109,vote4SURGE!$A:$C , 3, FALSE) - 2,
VLOOKUP(C109,vote4SURGE!$A:$C , 3, FALSE)
)
))</f>
        <v/>
      </c>
      <c r="P109" s="318"/>
      <c r="Q109" s="317" t="str">
        <f>IF(ISBLANK(P109),,IFERROR(
IF(IFERROR(SEARCH("SS:",P109),0) &gt; 0, 
VLOOKUP(SUBSTITUTE(P109,"SS: ",""),vote4SURGE!$A:$C , 3, FALSE) - 2,
VLOOKUP(SUBSTITUTE(P109,"S: ",""),vote4SURGE!$A:$C , 3, FALSE)
)
,
IF(IFERROR(SEARCH("SS:",P109),0) &gt; 0, 
VLOOKUP(C109,vote4SURGE!$A:$C , 3, FALSE) - 2,
VLOOKUP(C109,vote4SURGE!$A:$C , 3, FALSE)
)
))</f>
        <v/>
      </c>
      <c r="R109" s="318"/>
      <c r="S109" s="319" t="str">
        <f>IF(ISBLANK(R109),,IFERROR(
IF(IFERROR(SEARCH("SS:",R109),0) &gt; 0, 
VLOOKUP(SUBSTITUTE(R109,"SS: ",""),vote4SURGE!$A:$C , 3, FALSE) - 2,
VLOOKUP(SUBSTITUTE(R109,"S: ",""),vote4SURGE!$A:$C , 3, FALSE)
)
,
IF(IFERROR(SEARCH("SS:",R109),0) &gt; 0, 
VLOOKUP(C109,vote4SURGE!$A:$C , 3, FALSE) - 2,
VLOOKUP(C109,vote4SURGE!$A:$C , 3, FALSE)
)
))</f>
        <v/>
      </c>
      <c r="T109" s="320">
        <f t="shared" si="2"/>
        <v>0</v>
      </c>
      <c r="U109" s="320">
        <f>IFERROR(__xludf.DUMMYFUNCTION("ROUND(
IF(ISBLANK(G109),,
SWITCH(
LEN(G109) - LEN(SUBSTITUTE(G109,"","","""")),
0 , VLOOKUP(G109, Variables!$A:$C, 3, FALSE),
1 , VLOOKUP(index(split(G109 ,"", "", FALSE),1,1), Variables!$A:$C , 3, FALSE) + VLOOKUP(index(split(G109 ,"", "", FALSE),1,2), V"&amp;"ariables!$A:$C , 3, FALSE),
2 , VLOOKUP(index(split(G109 ,"", "", FALSE),1,1), Variables!$A:$C , 3, FALSE) + VLOOKUP(index(split(G109 ,"", "", FALSE),1,2), Variables!$A:$C , 3, FALSE) + VLOOKUP(index(split(G109 ,"", "", FALSE),1,3), Variables!$A:$C , 3, F"&amp;"ALSE),
3 , VLOOKUP(index(split(G109 ,"", "", FALSE),1,1), Variables!$A:$C , 3, FALSE) + VLOOKUP(index(split(G109 ,"", "", FALSE),1,2), Variables!$A:$C , 3, FALSE) + VLOOKUP(index(split(G109 ,"", "", FALSE),1,3), Variables!$A:$C , 3, FALSE) + VLOOKUP(index"&amp;"(split(G109 ,"", "", FALSE),1,4), Variables!$A:$C , 3, FALSE),
)
)
)"),0.0)</f>
        <v>0</v>
      </c>
      <c r="V109" s="317">
        <f t="shared" si="3"/>
        <v>0</v>
      </c>
      <c r="W109" s="321">
        <f t="shared" si="4"/>
        <v>6.333333333</v>
      </c>
      <c r="X109" s="118"/>
      <c r="Y109" s="118"/>
      <c r="Z109" s="118"/>
      <c r="AA109" s="118"/>
      <c r="AB109" s="118"/>
      <c r="AC109" s="118"/>
      <c r="AD109" s="118"/>
      <c r="AE109" s="118"/>
    </row>
    <row r="110" hidden="1">
      <c r="A110" s="310">
        <v>1.0</v>
      </c>
      <c r="B110" s="93" t="str">
        <f t="shared" si="1"/>
        <v/>
      </c>
      <c r="C110" s="310" t="s">
        <v>1277</v>
      </c>
      <c r="D110" s="323">
        <v>0.0</v>
      </c>
      <c r="E110" s="310" t="s">
        <v>1527</v>
      </c>
      <c r="F110" s="310" t="s">
        <v>1521</v>
      </c>
      <c r="G110" s="313" t="s">
        <v>1548</v>
      </c>
      <c r="H110" s="312">
        <f>IFERROR(__xludf.DUMMYFUNCTION(" IF(ISBLANK(G110),,
SWITCH(
LEN(G110) - LEN(SUBSTITUTE(G110,"","","""")),
0 , VLOOKUP(G110, Variables!$A:$B, 2, FALSE),
1 , VLOOKUP(index(split(G110 ,"", "", FALSE),1,1), Variables!$A:$B , 2, FALSE) + VLOOKUP(index(split(G110 ,"", "", FALSE),1,2), Variabl"&amp;"es!$A:$B , 2, FALSE),
2 , VLOOKUP(index(split(G110 ,"", "", FALSE),1,1), Variables!$A:$B , 2, FALSE) + VLOOKUP(index(split(G110 ,"", "", FALSE),1,2), Variables!$A:$B , 2, FALSE) + VLOOKUP(index(split(G110 ,"", "", FALSE),1,3), Variables!$A:$B , 2, FALSE),"&amp;"
3 , VLOOKUP(index(split(G110 ,"", "", FALSE),1,1), Variables!$A:$B , 2, FALSE) + VLOOKUP(index(split(G110 ,"", "", FALSE),1,2), Variables!$A:$B , 2, FALSE) + VLOOKUP(index(split(G110 ,"", "", FALSE),1,3), Variables!$A:$B , 2, FALSE) + VLOOKUP(index(split"&amp;"(G110 ,"", "", FALSE),1,4), Variables!$A:$B , 2, FALSE),
)
)"),2.3333333333333335)</f>
        <v>2.333333333</v>
      </c>
      <c r="I110" s="310" t="s">
        <v>1557</v>
      </c>
      <c r="J110" s="313"/>
      <c r="K110" s="314" t="str">
        <f>IFERROR(VLOOKUP(C110,vote4ITEMS!$A:$C, 3, FALSE),)</f>
        <v/>
      </c>
      <c r="L110" s="313"/>
      <c r="M110" s="314">
        <f>SUM(
IF(IFERROR(SEARCH("Aura 1",L110),0) &gt; 0 , VLOOKUP("Aura 1", vote4TRAITS!A:C , 3, FALSE), ),
IF(IFERROR(SEARCH("Backswing",L110),0) &gt; 0 , VLOOKUP("Backswing", vote4TRAITS!A:C , 3, FALSE), ),
IF(IFERROR(SEARCH("Blast",L110),0) &gt; 0 , VLOOKUP("Blast", vote4TRAITS!A:C , 3, FALSE), ),
IF(IFERROR(SEARCH("Combustible",L110),0) &gt; 0 , VLOOKUP("Combustible", vote4TRAITS!A:C , 3, FALSE), ),
IF(IFERROR(SEARCH("Command",L110),0) &gt; 0 , VLOOKUP("Command", vote4TRAITS!A:C , 3, FALSE), ),
IF(IFERROR(SEARCH("Cowardly",L110),0) &gt; 0 , VLOOKUP("Cowardly", vote4TRAITS!A:C , 3, FALSE), ),
IF(IFERROR(SEARCH("Death Wish",L110),0) &gt; 0 , VLOOKUP("Death Wish", vote4TRAITS!A:C , 3, FALSE), ),
IF(IFERROR(SEARCH("Entomb",L110),0) &gt; 0 , VLOOKUP("Entomb", vote4TRAITS!A:C , 3, FALSE), ),
IF(IFERROR(SEARCH("Ethereal Hold",L110),0) &gt; 0 , VLOOKUP("Ethereal Hold", vote4TRAITS!A:C , 3, FALSE), ),
IF(IFERROR(SEARCH("Extend",L110),0) &gt; 0 , VLOOKUP("Extend", vote4TRAITS!A:C , 3, FALSE), ),
IF(IFERROR(SEARCH("Filthy Murk",L110),0) &gt; 0 , VLOOKUP("Filthy Murk", vote4TRAITS!A:C , 3, FALSE), ),
IF(IFERROR(SEARCH("Flame Fiend",L110),0) &gt; 0 , VLOOKUP("Flame Fiend", vote4TRAITS!A:C , 3, FALSE), ),
IF(IFERROR(SEARCH("Fleshmonger",L110),0) &gt; 0 , VLOOKUP("Fleshmonger", vote4TRAITS!A:C , 3, FALSE), ),
IF(IFERROR(SEARCH("Fly",L110),0) &gt; 0 , VLOOKUP("Fly", vote4TRAITS!A:C , 3, FALSE), ),
IF(IFERROR(SEARCH("Freezing",L110),0) &gt; 0 , VLOOKUP("Freezing", vote4TRAITS!A:C , 3, FALSE), ),
IF(IFERROR(SEARCH("Lithesome",L110),0) &gt; 0 , VLOOKUP("Lithesome", vote4TRAITS!A:C , 3, FALSE), ),
IF(IFERROR(SEARCH("Harrowing",L110),0) &gt; 0 , VLOOKUP("Harrowing", vote4TRAITS!A:C , 3, FALSE), ),
IF(IFERROR(SEARCH("Hideous Laughter",L110),0) &gt; 0 , VLOOKUP("Hideous Laughter", vote4TRAITS!A:C , 3, FALSE), ),
IF(IFERROR(SEARCH("Hive Defense",L110),0) &gt; 0 , VLOOKUP("Hive Defense", vote4TRAITS!A:C , 3, FALSE), ),
IF(IFERROR(SEARCH("Horrifying",L110),0) &gt; 0 , VLOOKUP("Horrifying", vote4TRAITS!A:C , 3, FALSE), ),
IF(IFERROR(SEARCH("Ironskin",L110),0) &gt; 0 , VLOOKUP("Ironskin", vote4TRAITS!A:C , 3, FALSE), ),
IF(IFERROR(SEARCH("Unmovable",L110),0) &gt; 0 , VLOOKUP("Unmovable", vote4TRAITS!A:C , 3, FALSE), ),
IF(IFERROR(SEARCH("Lifethirst 1",L110),0) &gt; 0 , VLOOKUP("Lifethirst 1", vote4TRAITS!A:C , 3, FALSE), ),
IF(IFERROR(SEARCH("Lifethirst 2",L110),0) &gt; 0 , VLOOKUP("Lifethirst 2", vote4TRAITS!A:C , 3, FALSE), ),
IF(IFERROR(SEARCH("Morph",L110),0) &gt; 0 , VLOOKUP("Morph", vote4TRAITS!A:C , 3, FALSE), ),
IF(IFERROR(SEARCH("Night Stalker",L110),0) &gt; 0 , VLOOKUP("Night Stalker", vote4TRAITS!A:C , 3, FALSE), ),
IF(IFERROR(SEARCH("Overflowing",L110),0) &gt; 0 , VLOOKUP("Overflowing", vote4TRAITS!A:C , 3, FALSE), ),
IF(IFERROR(SEARCH("Pestilence",L110),0) &gt; 0 , VLOOKUP("Pestilence", vote4TRAITS!A:C , 3, FALSE), ),
IF(IFERROR(SEARCH("Phalanx",L110),0) &gt; 0 , VLOOKUP("Phalanx", vote4TRAITS!A:C , 3, FALSE), ),
IF(IFERROR(SEARCH("Plagued",L110),0) &gt; 0 , VLOOKUP("Plagued", vote4TRAITS!A:C , 3, FALSE), ),
IF(IFERROR(SEARCH("Prey on the Weak",L110),0) &gt; 0 , VLOOKUP("Prey on the Weak", vote4TRAITS!A:C , 3, FALSE), ),
IF(IFERROR(SEARCH("Protect",L110),0) &gt; 0 , VLOOKUP("Protect", vote4TRAITS!A:C , 3, FALSE), ),
IF(IFERROR(SEARCH("Puncture",L110),0) &gt; 0 , VLOOKUP("Puncture", vote4TRAITS!A:C , 3, FALSE), ),
IF(IFERROR(SEARCH("Putrid Boils",L110),0) &gt; 0 , VLOOKUP("Putrid Boils", vote4TRAITS!A:C , 3, FALSE), ),
IF(IFERROR(SEARCH("Ravage",L110),0) &gt; 0 , VLOOKUP("Ravage", vote4TRAITS!A:C , 3, FALSE), ),
IF(IFERROR(SEARCH("Ravenous",L110),0) &gt; 0 , VLOOKUP("Ravenous", vote4TRAITS!A:C , 3, FALSE), ),
IF(IFERROR(SEARCH("Reach",L110),0) &gt; 0 , VLOOKUP("Reach", vote4TRAITS!A:C , 3, FALSE), ),
IF(IFERROR(SEARCH("Reanimation",L110),0) &gt; 0 , VLOOKUP("Reanimation", vote4TRAITS!A:C , 3, FALSE), ),
IF(IFERROR(SEARCH("Reaper",L110),0) &gt; 0 , VLOOKUP("Reaper", vote4TRAITS!A:C , 3, FALSE), ),
IF(IFERROR(SEARCH("Riposte",L110),0) &gt; 0 , VLOOKUP("Riposte", vote4TRAITS!A:C , 3, FALSE)),
IF(IFERROR(SEARCH("Scamper",L110),0) &gt; 0 , VLOOKUP("Scamper", vote4TRAITS!A:C , 3, FALSE), ),
IF(IFERROR(SEARCH("Small Beginnings",L110),0) &gt; 0 , VLOOKUP("Small Beginnings", vote4TRAITS!A:C , 3, FALSE), ),
IF(IFERROR(SEARCH("Spawner",L110),0) &gt; 0 , VLOOKUP("Spawner", vote4TRAITS!A:C , 3,FALSE), ),
IF(IFERROR(SEARCH("Shadowr",L110),0) &gt; 0 , VLOOKUP("Shadow", vote4TRAITS!A:C , 3,FALSE), ),
IF(IFERROR(SEARCH("Shadow Step",L110),0) &gt; 0 , VLOOKUP("Shadow Step", vote4TRAITS!A:C , 3,FALSE), ),
IF(IFERROR(SEARCH("Shambling",L110),0) &gt; 0 , VLOOKUP("Shambling", vote4TRAITS!A:C , 3,FALSE), ),
IF(IFERROR(SEARCH("Stealthy",L110),0) &gt; 0 , VLOOKUP("Stealthy", vote4TRAITS!A:C , 3, FALSE), ),
IF(IFERROR(SEARCH("Web",L110),0) &gt; 0 , VLOOKUP("Web", vote4TRAITS!A:C , 3, FALSE), ),
IF(IFERROR(SEARCH("+1 Willpower",L110),0) &gt; 0 , VLOOKUP("+1 Willpower", vote4TRAITS!A:C , 3, FALSE), ),
IF(IFERROR(SEARCH("+1 Might",L110),0) &gt; 0 , VLOOKUP("+1 Might", vote4TRAITS!A:C , 3, FALSE), ),
IF(IFERROR(SEARCH("+1 Knowledge",L110),0) &gt; 0 , VLOOKUP("+1 Knowledge", vote4TRAITS!A:C , 3, FALSE), ),
IF(IFERROR(SEARCH("+1 Awareness",L110),0) &gt; 0 , VLOOKUP("+1 Awareness", vote4TRAITS!A:C , 3, FALSE), ),
IF(IFERROR(SEARCH("-1 Willpower",L110),0) &gt; 0 , VLOOKUP("-1 Willpower", vote4TRAITS!A:C , 3, FALSE), ),
IF(IFERROR(SEARCH("+1 Health",L110),0) &gt; 0 , VLOOKUP("+1 Health", vote4TRAITS!A:C , 3, FALSE), ),
IF(IFERROR(SEARCH("+2 Health",L110),0) &gt; 0 , VLOOKUP("+2 Health", vote4TRAITS!A:C , 3, FALSE), ),
IF(IFERROR(SEARCH("+1 Stamina",L110),0) &gt; 0 , VLOOKUP("+1 Stamina", vote4TRAITS!A:C , 3, FALSE), ),
IF(IFERROR(SEARCH("+2 Stamina",L110),0) &gt; 0 , VLOOKUP("+2 Stamina", vote4TRAITS!A:C , 3, FALSE), ),
IFS(
IFERROR(SEARCH("+1 Range", L110),) &gt; 0 ,VLOOKUP("+1 Range", vote4TRAITS!A:C , 3, FALSE),
IFERROR(SEARCH("+2 Range", L110),) &gt; 0 ,VLOOKUP("+2 Range", vote4TRAITS!A:C , 3, FALSE),
IFERROR(SEARCH("+3 Range", L110),) &gt; 0,VLOOKUP("+3 Range", vote4TRAITS!A:C , 3, FALSE),
0=0,0)
,
IFS(
IFERROR(SEARCH("Sorcery 1", L110),) &gt; 0 ,VLOOKUP("Sorcery 1", vote4TRAITS!A:C , 3, FALSE),
IFERROR(SEARCH("Sorcery 2", L110),) &gt; 0 ,VLOOKUP("Sorcery 2", vote4TRAITS!A:C , 3, FALSE),
IFERROR(SEARCH("Sorcery 3", L110),) &gt; 0,VLOOKUP("Sorcery 3", vote4TRAITS!A:C , 3, FALSE),
0=0,0)
,
IFS(
IFERROR(SEARCH("Pierce 1", L110),) &gt; 0 ,VLOOKUP("Pierce 1", vote4TRAITS!A:C , 3, FALSE),
IFERROR(SEARCH("Pierce 2", L110),) &gt; 0 ,VLOOKUP("Pierce 2", vote4TRAITS!A:C , 3, FALSE),
IFERROR(SEARCH("Pierce 3", L110),) &gt; 0,VLOOKUP("Pierce 3", vote4TRAITS!A:C , 3, FALSE),
IFERROR(SEARCH("Pierce 4", L110),) &gt; 0 ,VLOOKUP("Pierce 4", vote4TRAITS!A:C , 3, FALSE),
0=0,0)
,
IFS(
IFERROR(SEARCH("+1 Health", L110),) &gt; 0 ,VLOOKUP("+1 Health", vote4TRAITS!A:C , 3, FALSE),
IFERROR(SEARCH("+2 Health", L110),) &gt; 0 ,VLOOKUP("+2 Health", vote4TRAITS!A:C , 3, FALSE),
IFERROR(SEARCH("+3 Health", L110),) &gt; 0 ,VLOOKUP("+3 Health", vote4TRAITS!A:C , 3, FALSE),
IFERROR(SEARCH("+4 Health", L110),) &gt; 0 ,VLOOKUP("+4 Health", vote4TRAITS!A:C , 3, FALSE),
0=0,0)
,
IFS(
IFERROR(SEARCH("Soul Shackle 1", L110),) &gt; 0 ,VLOOKUP("Soul Shackle 1", vote4TRAITS!A:C , 3, FALSE),
IFERROR(SEARCH("Soul Shackle 2", L110),) &gt; 0 ,VLOOKUP("Soul Shackle 2", vote4TRAITS!A:C , 3, FALSE),
IFERROR(SEARCH("Soul Shackle 3", L110),) &gt; 0,VLOOKUP("Soul Shackle 3", vote4TRAITS!A:C , 3, FALSE),
0=0,0)
)</f>
        <v>0</v>
      </c>
      <c r="N110" s="311" t="s">
        <v>1564</v>
      </c>
      <c r="O110" s="317">
        <f>IF(ISBLANK(N110),,IFERROR(
IF(IFERROR(SEARCH("SS:",N110),0) &gt; 0, 
VLOOKUP(SUBSTITUTE(N110,"SS: ",""),vote4SURGE!$A:$C , 3, FALSE) - 2,
VLOOKUP(SUBSTITUTE(N110,"S: ",""),vote4SURGE!$A:$C , 3, FALSE)
)
,
IF(IFERROR(SEARCH("SS:",N110),0) &gt; 0, 
VLOOKUP(C110,vote4SURGE!$A:$C , 3, FALSE) - 2,
VLOOKUP(C110,vote4SURGE!$A:$C , 3, FALSE)
)
))</f>
        <v>3.5</v>
      </c>
      <c r="P110" s="315" t="s">
        <v>1662</v>
      </c>
      <c r="Q110" s="317">
        <f>IF(ISBLANK(P110),,IFERROR(
IF(IFERROR(SEARCH("SS:",P110),0) &gt; 0, 
VLOOKUP(SUBSTITUTE(P110,"SS: ",""),vote4SURGE!$A:$C , 3, FALSE) - 2,
VLOOKUP(SUBSTITUTE(P110,"S: ",""),vote4SURGE!$A:$C , 3, FALSE)
)
,
IF(IFERROR(SEARCH("SS:",P110),0) &gt; 0, 
VLOOKUP(C110,vote4SURGE!$A:$C , 3, FALSE) - 2,
VLOOKUP(C110,vote4SURGE!$A:$C , 3, FALSE)
)
))</f>
        <v>1</v>
      </c>
      <c r="R110" s="318"/>
      <c r="S110" s="319" t="str">
        <f>IF(ISBLANK(R110),,IFERROR(
IF(IFERROR(SEARCH("SS:",R110),0) &gt; 0, 
VLOOKUP(SUBSTITUTE(R110,"SS: ",""),vote4SURGE!$A:$C , 3, FALSE) - 2,
VLOOKUP(SUBSTITUTE(R110,"S: ",""),vote4SURGE!$A:$C , 3, FALSE)
)
,
IF(IFERROR(SEARCH("SS:",R110),0) &gt; 0, 
VLOOKUP(C110,vote4SURGE!$A:$C , 3, FALSE) - 2,
VLOOKUP(C110,vote4SURGE!$A:$C , 3, FALSE)
)
))</f>
        <v/>
      </c>
      <c r="T110" s="320">
        <f t="shared" si="2"/>
        <v>2</v>
      </c>
      <c r="U110" s="320">
        <f>IFERROR(__xludf.DUMMYFUNCTION("ROUND(
IF(ISBLANK(G110),,
SWITCH(
LEN(G110) - LEN(SUBSTITUTE(G110,"","","""")),
0 , VLOOKUP(G110, Variables!$A:$C, 3, FALSE),
1 , VLOOKUP(index(split(G110 ,"", "", FALSE),1,1), Variables!$A:$C , 3, FALSE) + VLOOKUP(index(split(G110 ,"", "", FALSE),1,2), V"&amp;"ariables!$A:$C , 3, FALSE),
2 , VLOOKUP(index(split(G110 ,"", "", FALSE),1,1), Variables!$A:$C , 3, FALSE) + VLOOKUP(index(split(G110 ,"", "", FALSE),1,2), Variables!$A:$C , 3, FALSE) + VLOOKUP(index(split(G110 ,"", "", FALSE),1,3), Variables!$A:$C , 3, F"&amp;"ALSE),
3 , VLOOKUP(index(split(G110 ,"", "", FALSE),1,1), Variables!$A:$C , 3, FALSE) + VLOOKUP(index(split(G110 ,"", "", FALSE),1,2), Variables!$A:$C , 3, FALSE) + VLOOKUP(index(split(G110 ,"", "", FALSE),1,3), Variables!$A:$C , 3, FALSE) + VLOOKUP(index"&amp;"(split(G110 ,"", "", FALSE),1,4), Variables!$A:$C , 3, FALSE),
)
)
)"),1.0)</f>
        <v>1</v>
      </c>
      <c r="V110" s="317">
        <f t="shared" si="3"/>
        <v>4</v>
      </c>
      <c r="W110" s="321">
        <f t="shared" si="4"/>
        <v>6.333333333</v>
      </c>
      <c r="X110" s="118"/>
      <c r="Y110" s="118"/>
      <c r="Z110" s="118"/>
      <c r="AA110" s="118"/>
      <c r="AB110" s="118"/>
      <c r="AC110" s="118"/>
      <c r="AD110" s="118"/>
      <c r="AE110" s="118"/>
    </row>
    <row r="111">
      <c r="A111" s="310">
        <v>1.0</v>
      </c>
      <c r="B111" s="93">
        <f t="shared" si="1"/>
        <v>2</v>
      </c>
      <c r="C111" s="310" t="s">
        <v>842</v>
      </c>
      <c r="D111" s="310">
        <v>175.0</v>
      </c>
      <c r="E111" s="310" t="s">
        <v>1620</v>
      </c>
      <c r="F111" s="310"/>
      <c r="G111" s="311" t="s">
        <v>1663</v>
      </c>
      <c r="H111" s="312">
        <f>IFERROR(__xludf.DUMMYFUNCTION(" IF(ISBLANK(G111),,
SWITCH(
LEN(G111) - LEN(SUBSTITUTE(G111,"","","""")),
0 , VLOOKUP(G111, Variables!$A:$B, 2, FALSE),
1 , VLOOKUP(index(split(G111 ,"", "", FALSE),1,1), Variables!$A:$B , 2, FALSE) + VLOOKUP(index(split(G111 ,"", "", FALSE),1,2), Variabl"&amp;"es!$A:$B , 2, FALSE),
2 , VLOOKUP(index(split(G111 ,"", "", FALSE),1,1), Variables!$A:$B , 2, FALSE) + VLOOKUP(index(split(G111 ,"", "", FALSE),1,2), Variables!$A:$B , 2, FALSE) + VLOOKUP(index(split(G111 ,"", "", FALSE),1,3), Variables!$A:$B , 2, FALSE),"&amp;"
3 , VLOOKUP(index(split(G111 ,"", "", FALSE),1,1), Variables!$A:$B , 2, FALSE) + VLOOKUP(index(split(G111 ,"", "", FALSE),1,2), Variables!$A:$B , 2, FALSE) + VLOOKUP(index(split(G111 ,"", "", FALSE),1,3), Variables!$A:$B , 2, FALSE) + VLOOKUP(index(split"&amp;"(G111 ,"", "", FALSE),1,4), Variables!$A:$B , 2, FALSE),
)
)"),1.3333333333333333)</f>
        <v>1.333333333</v>
      </c>
      <c r="I111" s="310" t="s">
        <v>1664</v>
      </c>
      <c r="J111" s="311" t="s">
        <v>843</v>
      </c>
      <c r="K111" s="314">
        <f>IFERROR(VLOOKUP(C111,vote4ITEMS!$A:$C, 3, FALSE),)</f>
        <v>5</v>
      </c>
      <c r="L111" s="313"/>
      <c r="M111" s="314">
        <f>SUM(
IF(IFERROR(SEARCH("Aura 1",L111),0) &gt; 0 , VLOOKUP("Aura 1", vote4TRAITS!A:C , 3, FALSE), ),
IF(IFERROR(SEARCH("Backswing",L111),0) &gt; 0 , VLOOKUP("Backswing", vote4TRAITS!A:C , 3, FALSE), ),
IF(IFERROR(SEARCH("Blast",L111),0) &gt; 0 , VLOOKUP("Blast", vote4TRAITS!A:C , 3, FALSE), ),
IF(IFERROR(SEARCH("Combustible",L111),0) &gt; 0 , VLOOKUP("Combustible", vote4TRAITS!A:C , 3, FALSE), ),
IF(IFERROR(SEARCH("Command",L111),0) &gt; 0 , VLOOKUP("Command", vote4TRAITS!A:C , 3, FALSE), ),
IF(IFERROR(SEARCH("Cowardly",L111),0) &gt; 0 , VLOOKUP("Cowardly", vote4TRAITS!A:C , 3, FALSE), ),
IF(IFERROR(SEARCH("Death Wish",L111),0) &gt; 0 , VLOOKUP("Death Wish", vote4TRAITS!A:C , 3, FALSE), ),
IF(IFERROR(SEARCH("Entomb",L111),0) &gt; 0 , VLOOKUP("Entomb", vote4TRAITS!A:C , 3, FALSE), ),
IF(IFERROR(SEARCH("Ethereal Hold",L111),0) &gt; 0 , VLOOKUP("Ethereal Hold", vote4TRAITS!A:C , 3, FALSE), ),
IF(IFERROR(SEARCH("Extend",L111),0) &gt; 0 , VLOOKUP("Extend", vote4TRAITS!A:C , 3, FALSE), ),
IF(IFERROR(SEARCH("Filthy Murk",L111),0) &gt; 0 , VLOOKUP("Filthy Murk", vote4TRAITS!A:C , 3, FALSE), ),
IF(IFERROR(SEARCH("Flame Fiend",L111),0) &gt; 0 , VLOOKUP("Flame Fiend", vote4TRAITS!A:C , 3, FALSE), ),
IF(IFERROR(SEARCH("Fleshmonger",L111),0) &gt; 0 , VLOOKUP("Fleshmonger", vote4TRAITS!A:C , 3, FALSE), ),
IF(IFERROR(SEARCH("Fly",L111),0) &gt; 0 , VLOOKUP("Fly", vote4TRAITS!A:C , 3, FALSE), ),
IF(IFERROR(SEARCH("Freezing",L111),0) &gt; 0 , VLOOKUP("Freezing", vote4TRAITS!A:C , 3, FALSE), ),
IF(IFERROR(SEARCH("Lithesome",L111),0) &gt; 0 , VLOOKUP("Lithesome", vote4TRAITS!A:C , 3, FALSE), ),
IF(IFERROR(SEARCH("Harrowing",L111),0) &gt; 0 , VLOOKUP("Harrowing", vote4TRAITS!A:C , 3, FALSE), ),
IF(IFERROR(SEARCH("Hideous Laughter",L111),0) &gt; 0 , VLOOKUP("Hideous Laughter", vote4TRAITS!A:C , 3, FALSE), ),
IF(IFERROR(SEARCH("Hive Defense",L111),0) &gt; 0 , VLOOKUP("Hive Defense", vote4TRAITS!A:C , 3, FALSE), ),
IF(IFERROR(SEARCH("Horrifying",L111),0) &gt; 0 , VLOOKUP("Horrifying", vote4TRAITS!A:C , 3, FALSE), ),
IF(IFERROR(SEARCH("Ironskin",L111),0) &gt; 0 , VLOOKUP("Ironskin", vote4TRAITS!A:C , 3, FALSE), ),
IF(IFERROR(SEARCH("Unmovable",L111),0) &gt; 0 , VLOOKUP("Unmovable", vote4TRAITS!A:C , 3, FALSE), ),
IF(IFERROR(SEARCH("Lifethirst 1",L111),0) &gt; 0 , VLOOKUP("Lifethirst 1", vote4TRAITS!A:C , 3, FALSE), ),
IF(IFERROR(SEARCH("Lifethirst 2",L111),0) &gt; 0 , VLOOKUP("Lifethirst 2", vote4TRAITS!A:C , 3, FALSE), ),
IF(IFERROR(SEARCH("Morph",L111),0) &gt; 0 , VLOOKUP("Morph", vote4TRAITS!A:C , 3, FALSE), ),
IF(IFERROR(SEARCH("Night Stalker",L111),0) &gt; 0 , VLOOKUP("Night Stalker", vote4TRAITS!A:C , 3, FALSE), ),
IF(IFERROR(SEARCH("Overflowing",L111),0) &gt; 0 , VLOOKUP("Overflowing", vote4TRAITS!A:C , 3, FALSE), ),
IF(IFERROR(SEARCH("Pestilence",L111),0) &gt; 0 , VLOOKUP("Pestilence", vote4TRAITS!A:C , 3, FALSE), ),
IF(IFERROR(SEARCH("Phalanx",L111),0) &gt; 0 , VLOOKUP("Phalanx", vote4TRAITS!A:C , 3, FALSE), ),
IF(IFERROR(SEARCH("Plagued",L111),0) &gt; 0 , VLOOKUP("Plagued", vote4TRAITS!A:C , 3, FALSE), ),
IF(IFERROR(SEARCH("Prey on the Weak",L111),0) &gt; 0 , VLOOKUP("Prey on the Weak", vote4TRAITS!A:C , 3, FALSE), ),
IF(IFERROR(SEARCH("Protect",L111),0) &gt; 0 , VLOOKUP("Protect", vote4TRAITS!A:C , 3, FALSE), ),
IF(IFERROR(SEARCH("Puncture",L111),0) &gt; 0 , VLOOKUP("Puncture", vote4TRAITS!A:C , 3, FALSE), ),
IF(IFERROR(SEARCH("Putrid Boils",L111),0) &gt; 0 , VLOOKUP("Putrid Boils", vote4TRAITS!A:C , 3, FALSE), ),
IF(IFERROR(SEARCH("Ravage",L111),0) &gt; 0 , VLOOKUP("Ravage", vote4TRAITS!A:C , 3, FALSE), ),
IF(IFERROR(SEARCH("Ravenous",L111),0) &gt; 0 , VLOOKUP("Ravenous", vote4TRAITS!A:C , 3, FALSE), ),
IF(IFERROR(SEARCH("Reach",L111),0) &gt; 0 , VLOOKUP("Reach", vote4TRAITS!A:C , 3, FALSE), ),
IF(IFERROR(SEARCH("Reanimation",L111),0) &gt; 0 , VLOOKUP("Reanimation", vote4TRAITS!A:C , 3, FALSE), ),
IF(IFERROR(SEARCH("Reaper",L111),0) &gt; 0 , VLOOKUP("Reaper", vote4TRAITS!A:C , 3, FALSE), ),
IF(IFERROR(SEARCH("Riposte",L111),0) &gt; 0 , VLOOKUP("Riposte", vote4TRAITS!A:C , 3, FALSE)),
IF(IFERROR(SEARCH("Scamper",L111),0) &gt; 0 , VLOOKUP("Scamper", vote4TRAITS!A:C , 3, FALSE), ),
IF(IFERROR(SEARCH("Small Beginnings",L111),0) &gt; 0 , VLOOKUP("Small Beginnings", vote4TRAITS!A:C , 3, FALSE), ),
IF(IFERROR(SEARCH("Spawner",L111),0) &gt; 0 , VLOOKUP("Spawner", vote4TRAITS!A:C , 3,FALSE), ),
IF(IFERROR(SEARCH("Shadowr",L111),0) &gt; 0 , VLOOKUP("Shadow", vote4TRAITS!A:C , 3,FALSE), ),
IF(IFERROR(SEARCH("Shadow Step",L111),0) &gt; 0 , VLOOKUP("Shadow Step", vote4TRAITS!A:C , 3,FALSE), ),
IF(IFERROR(SEARCH("Shambling",L111),0) &gt; 0 , VLOOKUP("Shambling", vote4TRAITS!A:C , 3,FALSE), ),
IF(IFERROR(SEARCH("Stealthy",L111),0) &gt; 0 , VLOOKUP("Stealthy", vote4TRAITS!A:C , 3, FALSE), ),
IF(IFERROR(SEARCH("Web",L111),0) &gt; 0 , VLOOKUP("Web", vote4TRAITS!A:C , 3, FALSE), ),
IF(IFERROR(SEARCH("+1 Willpower",L111),0) &gt; 0 , VLOOKUP("+1 Willpower", vote4TRAITS!A:C , 3, FALSE), ),
IF(IFERROR(SEARCH("+1 Might",L111),0) &gt; 0 , VLOOKUP("+1 Might", vote4TRAITS!A:C , 3, FALSE), ),
IF(IFERROR(SEARCH("+1 Knowledge",L111),0) &gt; 0 , VLOOKUP("+1 Knowledge", vote4TRAITS!A:C , 3, FALSE), ),
IF(IFERROR(SEARCH("+1 Awareness",L111),0) &gt; 0 , VLOOKUP("+1 Awareness", vote4TRAITS!A:C , 3, FALSE), ),
IF(IFERROR(SEARCH("-1 Willpower",L111),0) &gt; 0 , VLOOKUP("-1 Willpower", vote4TRAITS!A:C , 3, FALSE), ),
IF(IFERROR(SEARCH("+1 Health",L111),0) &gt; 0 , VLOOKUP("+1 Health", vote4TRAITS!A:C , 3, FALSE), ),
IF(IFERROR(SEARCH("+2 Health",L111),0) &gt; 0 , VLOOKUP("+2 Health", vote4TRAITS!A:C , 3, FALSE), ),
IF(IFERROR(SEARCH("+1 Stamina",L111),0) &gt; 0 , VLOOKUP("+1 Stamina", vote4TRAITS!A:C , 3, FALSE), ),
IF(IFERROR(SEARCH("+2 Stamina",L111),0) &gt; 0 , VLOOKUP("+2 Stamina", vote4TRAITS!A:C , 3, FALSE), ),
IFS(
IFERROR(SEARCH("+1 Range", L111),) &gt; 0 ,VLOOKUP("+1 Range", vote4TRAITS!A:C , 3, FALSE),
IFERROR(SEARCH("+2 Range", L111),) &gt; 0 ,VLOOKUP("+2 Range", vote4TRAITS!A:C , 3, FALSE),
IFERROR(SEARCH("+3 Range", L111),) &gt; 0,VLOOKUP("+3 Range", vote4TRAITS!A:C , 3, FALSE),
0=0,0)
,
IFS(
IFERROR(SEARCH("Sorcery 1", L111),) &gt; 0 ,VLOOKUP("Sorcery 1", vote4TRAITS!A:C , 3, FALSE),
IFERROR(SEARCH("Sorcery 2", L111),) &gt; 0 ,VLOOKUP("Sorcery 2", vote4TRAITS!A:C , 3, FALSE),
IFERROR(SEARCH("Sorcery 3", L111),) &gt; 0,VLOOKUP("Sorcery 3", vote4TRAITS!A:C , 3, FALSE),
0=0,0)
,
IFS(
IFERROR(SEARCH("Pierce 1", L111),) &gt; 0 ,VLOOKUP("Pierce 1", vote4TRAITS!A:C , 3, FALSE),
IFERROR(SEARCH("Pierce 2", L111),) &gt; 0 ,VLOOKUP("Pierce 2", vote4TRAITS!A:C , 3, FALSE),
IFERROR(SEARCH("Pierce 3", L111),) &gt; 0,VLOOKUP("Pierce 3", vote4TRAITS!A:C , 3, FALSE),
IFERROR(SEARCH("Pierce 4", L111),) &gt; 0 ,VLOOKUP("Pierce 4", vote4TRAITS!A:C , 3, FALSE),
0=0,0)
,
IFS(
IFERROR(SEARCH("+1 Health", L111),) &gt; 0 ,VLOOKUP("+1 Health", vote4TRAITS!A:C , 3, FALSE),
IFERROR(SEARCH("+2 Health", L111),) &gt; 0 ,VLOOKUP("+2 Health", vote4TRAITS!A:C , 3, FALSE),
IFERROR(SEARCH("+3 Health", L111),) &gt; 0 ,VLOOKUP("+3 Health", vote4TRAITS!A:C , 3, FALSE),
IFERROR(SEARCH("+4 Health", L111),) &gt; 0 ,VLOOKUP("+4 Health", vote4TRAITS!A:C , 3, FALSE),
0=0,0)
,
IFS(
IFERROR(SEARCH("Soul Shackle 1", L111),) &gt; 0 ,VLOOKUP("Soul Shackle 1", vote4TRAITS!A:C , 3, FALSE),
IFERROR(SEARCH("Soul Shackle 2", L111),) &gt; 0 ,VLOOKUP("Soul Shackle 2", vote4TRAITS!A:C , 3, FALSE),
IFERROR(SEARCH("Soul Shackle 3", L111),) &gt; 0,VLOOKUP("Soul Shackle 3", vote4TRAITS!A:C , 3, FALSE),
0=0,0)
)</f>
        <v>0</v>
      </c>
      <c r="N111" s="313"/>
      <c r="O111" s="317" t="str">
        <f>IF(ISBLANK(N111),,IFERROR(
IF(IFERROR(SEARCH("SS:",N111),0) &gt; 0, 
VLOOKUP(SUBSTITUTE(N111,"SS: ",""),vote4SURGE!$A:$C , 3, FALSE) - 2,
VLOOKUP(SUBSTITUTE(N111,"S: ",""),vote4SURGE!$A:$C , 3, FALSE)
)
,
IF(IFERROR(SEARCH("SS:",N111),0) &gt; 0, 
VLOOKUP(C111,vote4SURGE!$A:$C , 3, FALSE) - 2,
VLOOKUP(C111,vote4SURGE!$A:$C , 3, FALSE)
)
))</f>
        <v/>
      </c>
      <c r="P111" s="318"/>
      <c r="Q111" s="317" t="str">
        <f>IF(ISBLANK(P111),,IFERROR(
IF(IFERROR(SEARCH("SS:",P111),0) &gt; 0, 
VLOOKUP(SUBSTITUTE(P111,"SS: ",""),vote4SURGE!$A:$C , 3, FALSE) - 2,
VLOOKUP(SUBSTITUTE(P111,"S: ",""),vote4SURGE!$A:$C , 3, FALSE)
)
,
IF(IFERROR(SEARCH("SS:",P111),0) &gt; 0, 
VLOOKUP(C111,vote4SURGE!$A:$C , 3, FALSE) - 2,
VLOOKUP(C111,vote4SURGE!$A:$C , 3, FALSE)
)
))</f>
        <v/>
      </c>
      <c r="R111" s="318"/>
      <c r="S111" s="319" t="str">
        <f>IF(ISBLANK(R111),,IFERROR(
IF(IFERROR(SEARCH("SS:",R111),0) &gt; 0, 
VLOOKUP(SUBSTITUTE(R111,"SS: ",""),vote4SURGE!$A:$C , 3, FALSE) - 2,
VLOOKUP(SUBSTITUTE(R111,"S: ",""),vote4SURGE!$A:$C , 3, FALSE)
)
,
IF(IFERROR(SEARCH("SS:",R111),0) &gt; 0, 
VLOOKUP(C111,vote4SURGE!$A:$C , 3, FALSE) - 2,
VLOOKUP(C111,vote4SURGE!$A:$C , 3, FALSE)
)
))</f>
        <v/>
      </c>
      <c r="T111" s="320">
        <f t="shared" si="2"/>
        <v>0</v>
      </c>
      <c r="U111" s="320">
        <f>IFERROR(__xludf.DUMMYFUNCTION("ROUND(
IF(ISBLANK(G111),,
SWITCH(
LEN(G111) - LEN(SUBSTITUTE(G111,"","","""")),
0 , VLOOKUP(G111, Variables!$A:$C, 3, FALSE),
1 , VLOOKUP(index(split(G111 ,"", "", FALSE),1,1), Variables!$A:$C , 3, FALSE) + VLOOKUP(index(split(G111 ,"", "", FALSE),1,2), V"&amp;"ariables!$A:$C , 3, FALSE),
2 , VLOOKUP(index(split(G111 ,"", "", FALSE),1,1), Variables!$A:$C , 3, FALSE) + VLOOKUP(index(split(G111 ,"", "", FALSE),1,2), Variables!$A:$C , 3, FALSE) + VLOOKUP(index(split(G111 ,"", "", FALSE),1,3), Variables!$A:$C , 3, F"&amp;"ALSE),
3 , VLOOKUP(index(split(G111 ,"", "", FALSE),1,1), Variables!$A:$C , 3, FALSE) + VLOOKUP(index(split(G111 ,"", "", FALSE),1,2), Variables!$A:$C , 3, FALSE) + VLOOKUP(index(split(G111 ,"", "", FALSE),1,3), Variables!$A:$C , 3, FALSE) + VLOOKUP(index"&amp;"(split(G111 ,"", "", FALSE),1,4), Variables!$A:$C , 3, FALSE),
)
)
)"),0.0)</f>
        <v>0</v>
      </c>
      <c r="V111" s="317">
        <f t="shared" si="3"/>
        <v>0</v>
      </c>
      <c r="W111" s="321">
        <f t="shared" si="4"/>
        <v>6.333333333</v>
      </c>
      <c r="X111" s="118"/>
      <c r="Y111" s="118"/>
      <c r="Z111" s="118"/>
      <c r="AA111" s="118"/>
      <c r="AB111" s="118"/>
      <c r="AC111" s="118"/>
      <c r="AD111" s="118"/>
      <c r="AE111" s="118"/>
    </row>
    <row r="112" hidden="1">
      <c r="A112" s="310">
        <v>2.0</v>
      </c>
      <c r="B112" s="93">
        <f t="shared" si="1"/>
        <v>6</v>
      </c>
      <c r="C112" s="310" t="s">
        <v>697</v>
      </c>
      <c r="D112" s="310">
        <v>250.0</v>
      </c>
      <c r="E112" s="310" t="s">
        <v>1620</v>
      </c>
      <c r="F112" s="310"/>
      <c r="G112" s="311" t="s">
        <v>1663</v>
      </c>
      <c r="H112" s="312">
        <f>IFERROR(__xludf.DUMMYFUNCTION(" IF(ISBLANK(G112),,
SWITCH(
LEN(G112) - LEN(SUBSTITUTE(G112,"","","""")),
0 , VLOOKUP(G112, Variables!$A:$B, 2, FALSE),
1 , VLOOKUP(index(split(G112 ,"", "", FALSE),1,1), Variables!$A:$B , 2, FALSE) + VLOOKUP(index(split(G112 ,"", "", FALSE),1,2), Variabl"&amp;"es!$A:$B , 2, FALSE),
2 , VLOOKUP(index(split(G112 ,"", "", FALSE),1,1), Variables!$A:$B , 2, FALSE) + VLOOKUP(index(split(G112 ,"", "", FALSE),1,2), Variables!$A:$B , 2, FALSE) + VLOOKUP(index(split(G112 ,"", "", FALSE),1,3), Variables!$A:$B , 2, FALSE),"&amp;"
3 , VLOOKUP(index(split(G112 ,"", "", FALSE),1,1), Variables!$A:$B , 2, FALSE) + VLOOKUP(index(split(G112 ,"", "", FALSE),1,2), Variables!$A:$B , 2, FALSE) + VLOOKUP(index(split(G112 ,"", "", FALSE),1,3), Variables!$A:$B , 2, FALSE) + VLOOKUP(index(split"&amp;"(G112 ,"", "", FALSE),1,4), Variables!$A:$B , 2, FALSE),
)
)"),1.3333333333333333)</f>
        <v>1.333333333</v>
      </c>
      <c r="I112" s="310" t="s">
        <v>1664</v>
      </c>
      <c r="J112" s="311" t="s">
        <v>698</v>
      </c>
      <c r="K112" s="314">
        <f>IFERROR(VLOOKUP(C112,vote4ITEMS!$A:$C, 3, FALSE),)</f>
        <v>5</v>
      </c>
      <c r="L112" s="313"/>
      <c r="M112" s="314">
        <f>SUM(
IF(IFERROR(SEARCH("Aura 1",L112),0) &gt; 0 , VLOOKUP("Aura 1", vote4TRAITS!A:C , 3, FALSE), ),
IF(IFERROR(SEARCH("Backswing",L112),0) &gt; 0 , VLOOKUP("Backswing", vote4TRAITS!A:C , 3, FALSE), ),
IF(IFERROR(SEARCH("Blast",L112),0) &gt; 0 , VLOOKUP("Blast", vote4TRAITS!A:C , 3, FALSE), ),
IF(IFERROR(SEARCH("Combustible",L112),0) &gt; 0 , VLOOKUP("Combustible", vote4TRAITS!A:C , 3, FALSE), ),
IF(IFERROR(SEARCH("Command",L112),0) &gt; 0 , VLOOKUP("Command", vote4TRAITS!A:C , 3, FALSE), ),
IF(IFERROR(SEARCH("Cowardly",L112),0) &gt; 0 , VLOOKUP("Cowardly", vote4TRAITS!A:C , 3, FALSE), ),
IF(IFERROR(SEARCH("Death Wish",L112),0) &gt; 0 , VLOOKUP("Death Wish", vote4TRAITS!A:C , 3, FALSE), ),
IF(IFERROR(SEARCH("Entomb",L112),0) &gt; 0 , VLOOKUP("Entomb", vote4TRAITS!A:C , 3, FALSE), ),
IF(IFERROR(SEARCH("Ethereal Hold",L112),0) &gt; 0 , VLOOKUP("Ethereal Hold", vote4TRAITS!A:C , 3, FALSE), ),
IF(IFERROR(SEARCH("Extend",L112),0) &gt; 0 , VLOOKUP("Extend", vote4TRAITS!A:C , 3, FALSE), ),
IF(IFERROR(SEARCH("Filthy Murk",L112),0) &gt; 0 , VLOOKUP("Filthy Murk", vote4TRAITS!A:C , 3, FALSE), ),
IF(IFERROR(SEARCH("Flame Fiend",L112),0) &gt; 0 , VLOOKUP("Flame Fiend", vote4TRAITS!A:C , 3, FALSE), ),
IF(IFERROR(SEARCH("Fleshmonger",L112),0) &gt; 0 , VLOOKUP("Fleshmonger", vote4TRAITS!A:C , 3, FALSE), ),
IF(IFERROR(SEARCH("Fly",L112),0) &gt; 0 , VLOOKUP("Fly", vote4TRAITS!A:C , 3, FALSE), ),
IF(IFERROR(SEARCH("Freezing",L112),0) &gt; 0 , VLOOKUP("Freezing", vote4TRAITS!A:C , 3, FALSE), ),
IF(IFERROR(SEARCH("Lithesome",L112),0) &gt; 0 , VLOOKUP("Lithesome", vote4TRAITS!A:C , 3, FALSE), ),
IF(IFERROR(SEARCH("Harrowing",L112),0) &gt; 0 , VLOOKUP("Harrowing", vote4TRAITS!A:C , 3, FALSE), ),
IF(IFERROR(SEARCH("Hideous Laughter",L112),0) &gt; 0 , VLOOKUP("Hideous Laughter", vote4TRAITS!A:C , 3, FALSE), ),
IF(IFERROR(SEARCH("Hive Defense",L112),0) &gt; 0 , VLOOKUP("Hive Defense", vote4TRAITS!A:C , 3, FALSE), ),
IF(IFERROR(SEARCH("Horrifying",L112),0) &gt; 0 , VLOOKUP("Horrifying", vote4TRAITS!A:C , 3, FALSE), ),
IF(IFERROR(SEARCH("Ironskin",L112),0) &gt; 0 , VLOOKUP("Ironskin", vote4TRAITS!A:C , 3, FALSE), ),
IF(IFERROR(SEARCH("Unmovable",L112),0) &gt; 0 , VLOOKUP("Unmovable", vote4TRAITS!A:C , 3, FALSE), ),
IF(IFERROR(SEARCH("Lifethirst 1",L112),0) &gt; 0 , VLOOKUP("Lifethirst 1", vote4TRAITS!A:C , 3, FALSE), ),
IF(IFERROR(SEARCH("Lifethirst 2",L112),0) &gt; 0 , VLOOKUP("Lifethirst 2", vote4TRAITS!A:C , 3, FALSE), ),
IF(IFERROR(SEARCH("Morph",L112),0) &gt; 0 , VLOOKUP("Morph", vote4TRAITS!A:C , 3, FALSE), ),
IF(IFERROR(SEARCH("Night Stalker",L112),0) &gt; 0 , VLOOKUP("Night Stalker", vote4TRAITS!A:C , 3, FALSE), ),
IF(IFERROR(SEARCH("Overflowing",L112),0) &gt; 0 , VLOOKUP("Overflowing", vote4TRAITS!A:C , 3, FALSE), ),
IF(IFERROR(SEARCH("Pestilence",L112),0) &gt; 0 , VLOOKUP("Pestilence", vote4TRAITS!A:C , 3, FALSE), ),
IF(IFERROR(SEARCH("Phalanx",L112),0) &gt; 0 , VLOOKUP("Phalanx", vote4TRAITS!A:C , 3, FALSE), ),
IF(IFERROR(SEARCH("Plagued",L112),0) &gt; 0 , VLOOKUP("Plagued", vote4TRAITS!A:C , 3, FALSE), ),
IF(IFERROR(SEARCH("Prey on the Weak",L112),0) &gt; 0 , VLOOKUP("Prey on the Weak", vote4TRAITS!A:C , 3, FALSE), ),
IF(IFERROR(SEARCH("Protect",L112),0) &gt; 0 , VLOOKUP("Protect", vote4TRAITS!A:C , 3, FALSE), ),
IF(IFERROR(SEARCH("Puncture",L112),0) &gt; 0 , VLOOKUP("Puncture", vote4TRAITS!A:C , 3, FALSE), ),
IF(IFERROR(SEARCH("Putrid Boils",L112),0) &gt; 0 , VLOOKUP("Putrid Boils", vote4TRAITS!A:C , 3, FALSE), ),
IF(IFERROR(SEARCH("Ravage",L112),0) &gt; 0 , VLOOKUP("Ravage", vote4TRAITS!A:C , 3, FALSE), ),
IF(IFERROR(SEARCH("Ravenous",L112),0) &gt; 0 , VLOOKUP("Ravenous", vote4TRAITS!A:C , 3, FALSE), ),
IF(IFERROR(SEARCH("Reach",L112),0) &gt; 0 , VLOOKUP("Reach", vote4TRAITS!A:C , 3, FALSE), ),
IF(IFERROR(SEARCH("Reanimation",L112),0) &gt; 0 , VLOOKUP("Reanimation", vote4TRAITS!A:C , 3, FALSE), ),
IF(IFERROR(SEARCH("Reaper",L112),0) &gt; 0 , VLOOKUP("Reaper", vote4TRAITS!A:C , 3, FALSE), ),
IF(IFERROR(SEARCH("Riposte",L112),0) &gt; 0 , VLOOKUP("Riposte", vote4TRAITS!A:C , 3, FALSE)),
IF(IFERROR(SEARCH("Scamper",L112),0) &gt; 0 , VLOOKUP("Scamper", vote4TRAITS!A:C , 3, FALSE), ),
IF(IFERROR(SEARCH("Small Beginnings",L112),0) &gt; 0 , VLOOKUP("Small Beginnings", vote4TRAITS!A:C , 3, FALSE), ),
IF(IFERROR(SEARCH("Spawner",L112),0) &gt; 0 , VLOOKUP("Spawner", vote4TRAITS!A:C , 3,FALSE), ),
IF(IFERROR(SEARCH("Shadowr",L112),0) &gt; 0 , VLOOKUP("Shadow", vote4TRAITS!A:C , 3,FALSE), ),
IF(IFERROR(SEARCH("Shadow Step",L112),0) &gt; 0 , VLOOKUP("Shadow Step", vote4TRAITS!A:C , 3,FALSE), ),
IF(IFERROR(SEARCH("Shambling",L112),0) &gt; 0 , VLOOKUP("Shambling", vote4TRAITS!A:C , 3,FALSE), ),
IF(IFERROR(SEARCH("Stealthy",L112),0) &gt; 0 , VLOOKUP("Stealthy", vote4TRAITS!A:C , 3, FALSE), ),
IF(IFERROR(SEARCH("Web",L112),0) &gt; 0 , VLOOKUP("Web", vote4TRAITS!A:C , 3, FALSE), ),
IF(IFERROR(SEARCH("+1 Willpower",L112),0) &gt; 0 , VLOOKUP("+1 Willpower", vote4TRAITS!A:C , 3, FALSE), ),
IF(IFERROR(SEARCH("+1 Might",L112),0) &gt; 0 , VLOOKUP("+1 Might", vote4TRAITS!A:C , 3, FALSE), ),
IF(IFERROR(SEARCH("+1 Knowledge",L112),0) &gt; 0 , VLOOKUP("+1 Knowledge", vote4TRAITS!A:C , 3, FALSE), ),
IF(IFERROR(SEARCH("+1 Awareness",L112),0) &gt; 0 , VLOOKUP("+1 Awareness", vote4TRAITS!A:C , 3, FALSE), ),
IF(IFERROR(SEARCH("-1 Willpower",L112),0) &gt; 0 , VLOOKUP("-1 Willpower", vote4TRAITS!A:C , 3, FALSE), ),
IF(IFERROR(SEARCH("+1 Health",L112),0) &gt; 0 , VLOOKUP("+1 Health", vote4TRAITS!A:C , 3, FALSE), ),
IF(IFERROR(SEARCH("+2 Health",L112),0) &gt; 0 , VLOOKUP("+2 Health", vote4TRAITS!A:C , 3, FALSE), ),
IF(IFERROR(SEARCH("+1 Stamina",L112),0) &gt; 0 , VLOOKUP("+1 Stamina", vote4TRAITS!A:C , 3, FALSE), ),
IF(IFERROR(SEARCH("+2 Stamina",L112),0) &gt; 0 , VLOOKUP("+2 Stamina", vote4TRAITS!A:C , 3, FALSE), ),
IFS(
IFERROR(SEARCH("+1 Range", L112),) &gt; 0 ,VLOOKUP("+1 Range", vote4TRAITS!A:C , 3, FALSE),
IFERROR(SEARCH("+2 Range", L112),) &gt; 0 ,VLOOKUP("+2 Range", vote4TRAITS!A:C , 3, FALSE),
IFERROR(SEARCH("+3 Range", L112),) &gt; 0,VLOOKUP("+3 Range", vote4TRAITS!A:C , 3, FALSE),
0=0,0)
,
IFS(
IFERROR(SEARCH("Sorcery 1", L112),) &gt; 0 ,VLOOKUP("Sorcery 1", vote4TRAITS!A:C , 3, FALSE),
IFERROR(SEARCH("Sorcery 2", L112),) &gt; 0 ,VLOOKUP("Sorcery 2", vote4TRAITS!A:C , 3, FALSE),
IFERROR(SEARCH("Sorcery 3", L112),) &gt; 0,VLOOKUP("Sorcery 3", vote4TRAITS!A:C , 3, FALSE),
0=0,0)
,
IFS(
IFERROR(SEARCH("Pierce 1", L112),) &gt; 0 ,VLOOKUP("Pierce 1", vote4TRAITS!A:C , 3, FALSE),
IFERROR(SEARCH("Pierce 2", L112),) &gt; 0 ,VLOOKUP("Pierce 2", vote4TRAITS!A:C , 3, FALSE),
IFERROR(SEARCH("Pierce 3", L112),) &gt; 0,VLOOKUP("Pierce 3", vote4TRAITS!A:C , 3, FALSE),
IFERROR(SEARCH("Pierce 4", L112),) &gt; 0 ,VLOOKUP("Pierce 4", vote4TRAITS!A:C , 3, FALSE),
0=0,0)
,
IFS(
IFERROR(SEARCH("+1 Health", L112),) &gt; 0 ,VLOOKUP("+1 Health", vote4TRAITS!A:C , 3, FALSE),
IFERROR(SEARCH("+2 Health", L112),) &gt; 0 ,VLOOKUP("+2 Health", vote4TRAITS!A:C , 3, FALSE),
IFERROR(SEARCH("+3 Health", L112),) &gt; 0 ,VLOOKUP("+3 Health", vote4TRAITS!A:C , 3, FALSE),
IFERROR(SEARCH("+4 Health", L112),) &gt; 0 ,VLOOKUP("+4 Health", vote4TRAITS!A:C , 3, FALSE),
0=0,0)
,
IFS(
IFERROR(SEARCH("Soul Shackle 1", L112),) &gt; 0 ,VLOOKUP("Soul Shackle 1", vote4TRAITS!A:C , 3, FALSE),
IFERROR(SEARCH("Soul Shackle 2", L112),) &gt; 0 ,VLOOKUP("Soul Shackle 2", vote4TRAITS!A:C , 3, FALSE),
IFERROR(SEARCH("Soul Shackle 3", L112),) &gt; 0,VLOOKUP("Soul Shackle 3", vote4TRAITS!A:C , 3, FALSE),
0=0,0)
)</f>
        <v>0</v>
      </c>
      <c r="N112" s="313"/>
      <c r="O112" s="317" t="str">
        <f>IF(ISBLANK(N112),,IFERROR(
IF(IFERROR(SEARCH("SS:",N112),0) &gt; 0, 
VLOOKUP(SUBSTITUTE(N112,"SS: ",""),vote4SURGE!$A:$C , 3, FALSE) - 2,
VLOOKUP(SUBSTITUTE(N112,"S: ",""),vote4SURGE!$A:$C , 3, FALSE)
)
,
IF(IFERROR(SEARCH("SS:",N112),0) &gt; 0, 
VLOOKUP(C112,vote4SURGE!$A:$C , 3, FALSE) - 2,
VLOOKUP(C112,vote4SURGE!$A:$C , 3, FALSE)
)
))</f>
        <v/>
      </c>
      <c r="P112" s="318"/>
      <c r="Q112" s="317" t="str">
        <f>IF(ISBLANK(P112),,IFERROR(
IF(IFERROR(SEARCH("SS:",P112),0) &gt; 0, 
VLOOKUP(SUBSTITUTE(P112,"SS: ",""),vote4SURGE!$A:$C , 3, FALSE) - 2,
VLOOKUP(SUBSTITUTE(P112,"S: ",""),vote4SURGE!$A:$C , 3, FALSE)
)
,
IF(IFERROR(SEARCH("SS:",P112),0) &gt; 0, 
VLOOKUP(C112,vote4SURGE!$A:$C , 3, FALSE) - 2,
VLOOKUP(C112,vote4SURGE!$A:$C , 3, FALSE)
)
))</f>
        <v/>
      </c>
      <c r="R112" s="318"/>
      <c r="S112" s="319" t="str">
        <f>IF(ISBLANK(R112),,IFERROR(
IF(IFERROR(SEARCH("SS:",R112),0) &gt; 0, 
VLOOKUP(SUBSTITUTE(R112,"SS: ",""),vote4SURGE!$A:$C , 3, FALSE) - 2,
VLOOKUP(SUBSTITUTE(R112,"S: ",""),vote4SURGE!$A:$C , 3, FALSE)
)
,
IF(IFERROR(SEARCH("SS:",R112),0) &gt; 0, 
VLOOKUP(C112,vote4SURGE!$A:$C , 3, FALSE) - 2,
VLOOKUP(C112,vote4SURGE!$A:$C , 3, FALSE)
)
))</f>
        <v/>
      </c>
      <c r="T112" s="320">
        <f t="shared" si="2"/>
        <v>0</v>
      </c>
      <c r="U112" s="320">
        <f>IFERROR(__xludf.DUMMYFUNCTION("ROUND(
IF(ISBLANK(G112),,
SWITCH(
LEN(G112) - LEN(SUBSTITUTE(G112,"","","""")),
0 , VLOOKUP(G112, Variables!$A:$C, 3, FALSE),
1 , VLOOKUP(index(split(G112 ,"", "", FALSE),1,1), Variables!$A:$C , 3, FALSE) + VLOOKUP(index(split(G112 ,"", "", FALSE),1,2), V"&amp;"ariables!$A:$C , 3, FALSE),
2 , VLOOKUP(index(split(G112 ,"", "", FALSE),1,1), Variables!$A:$C , 3, FALSE) + VLOOKUP(index(split(G112 ,"", "", FALSE),1,2), Variables!$A:$C , 3, FALSE) + VLOOKUP(index(split(G112 ,"", "", FALSE),1,3), Variables!$A:$C , 3, F"&amp;"ALSE),
3 , VLOOKUP(index(split(G112 ,"", "", FALSE),1,1), Variables!$A:$C , 3, FALSE) + VLOOKUP(index(split(G112 ,"", "", FALSE),1,2), Variables!$A:$C , 3, FALSE) + VLOOKUP(index(split(G112 ,"", "", FALSE),1,3), Variables!$A:$C , 3, FALSE) + VLOOKUP(index"&amp;"(split(G112 ,"", "", FALSE),1,4), Variables!$A:$C , 3, FALSE),
)
)
)"),0.0)</f>
        <v>0</v>
      </c>
      <c r="V112" s="317">
        <f t="shared" si="3"/>
        <v>0</v>
      </c>
      <c r="W112" s="321">
        <f t="shared" si="4"/>
        <v>6.333333333</v>
      </c>
      <c r="X112" s="118"/>
      <c r="Y112" s="118"/>
      <c r="Z112" s="118"/>
      <c r="AA112" s="118"/>
      <c r="AB112" s="118"/>
      <c r="AC112" s="118"/>
      <c r="AD112" s="118"/>
      <c r="AE112" s="118"/>
    </row>
    <row r="113" hidden="1">
      <c r="A113" s="310">
        <v>1.0</v>
      </c>
      <c r="B113" s="93" t="str">
        <f t="shared" si="1"/>
        <v/>
      </c>
      <c r="C113" s="310" t="s">
        <v>876</v>
      </c>
      <c r="D113" s="323">
        <v>0.0</v>
      </c>
      <c r="E113" s="310" t="s">
        <v>1642</v>
      </c>
      <c r="F113" s="310" t="s">
        <v>1521</v>
      </c>
      <c r="G113" s="313" t="s">
        <v>1592</v>
      </c>
      <c r="H113" s="312">
        <f>IFERROR(__xludf.DUMMYFUNCTION(" IF(ISBLANK(G113),,
SWITCH(
LEN(G113) - LEN(SUBSTITUTE(G113,"","","""")),
0 , VLOOKUP(G113, Variables!$A:$B, 2, FALSE),
1 , VLOOKUP(index(split(G113 ,"", "", FALSE),1,1), Variables!$A:$B , 2, FALSE) + VLOOKUP(index(split(G113 ,"", "", FALSE),1,2), Variabl"&amp;"es!$A:$B , 2, FALSE),
2 , VLOOKUP(index(split(G113 ,"", "", FALSE),1,1), Variables!$A:$B , 2, FALSE) + VLOOKUP(index(split(G113 ,"", "", FALSE),1,2), Variables!$A:$B , 2, FALSE) + VLOOKUP(index(split(G113 ,"", "", FALSE),1,3), Variables!$A:$B , 2, FALSE),"&amp;"
3 , VLOOKUP(index(split(G113 ,"", "", FALSE),1,1), Variables!$A:$B , 2, FALSE) + VLOOKUP(index(split(G113 ,"", "", FALSE),1,2), Variables!$A:$B , 2, FALSE) + VLOOKUP(index(split(G113 ,"", "", FALSE),1,3), Variables!$A:$B , 2, FALSE) + VLOOKUP(index(split"&amp;"(G113 ,"", "", FALSE),1,4), Variables!$A:$B , 2, FALSE),
)
)"),1.8333333333333335)</f>
        <v>1.833333333</v>
      </c>
      <c r="I113" s="310" t="s">
        <v>1557</v>
      </c>
      <c r="J113" s="311" t="s">
        <v>1665</v>
      </c>
      <c r="K113" s="314">
        <f>IFERROR(VLOOKUP(C113,vote4ITEMS!$A:$C, 3, FALSE),)</f>
        <v>4.333333333</v>
      </c>
      <c r="L113" s="313"/>
      <c r="M113" s="314">
        <f>SUM(
IF(IFERROR(SEARCH("Aura 1",L113),0) &gt; 0 , VLOOKUP("Aura 1", vote4TRAITS!A:C , 3, FALSE), ),
IF(IFERROR(SEARCH("Backswing",L113),0) &gt; 0 , VLOOKUP("Backswing", vote4TRAITS!A:C , 3, FALSE), ),
IF(IFERROR(SEARCH("Blast",L113),0) &gt; 0 , VLOOKUP("Blast", vote4TRAITS!A:C , 3, FALSE), ),
IF(IFERROR(SEARCH("Combustible",L113),0) &gt; 0 , VLOOKUP("Combustible", vote4TRAITS!A:C , 3, FALSE), ),
IF(IFERROR(SEARCH("Command",L113),0) &gt; 0 , VLOOKUP("Command", vote4TRAITS!A:C , 3, FALSE), ),
IF(IFERROR(SEARCH("Cowardly",L113),0) &gt; 0 , VLOOKUP("Cowardly", vote4TRAITS!A:C , 3, FALSE), ),
IF(IFERROR(SEARCH("Death Wish",L113),0) &gt; 0 , VLOOKUP("Death Wish", vote4TRAITS!A:C , 3, FALSE), ),
IF(IFERROR(SEARCH("Entomb",L113),0) &gt; 0 , VLOOKUP("Entomb", vote4TRAITS!A:C , 3, FALSE), ),
IF(IFERROR(SEARCH("Ethereal Hold",L113),0) &gt; 0 , VLOOKUP("Ethereal Hold", vote4TRAITS!A:C , 3, FALSE), ),
IF(IFERROR(SEARCH("Extend",L113),0) &gt; 0 , VLOOKUP("Extend", vote4TRAITS!A:C , 3, FALSE), ),
IF(IFERROR(SEARCH("Filthy Murk",L113),0) &gt; 0 , VLOOKUP("Filthy Murk", vote4TRAITS!A:C , 3, FALSE), ),
IF(IFERROR(SEARCH("Flame Fiend",L113),0) &gt; 0 , VLOOKUP("Flame Fiend", vote4TRAITS!A:C , 3, FALSE), ),
IF(IFERROR(SEARCH("Fleshmonger",L113),0) &gt; 0 , VLOOKUP("Fleshmonger", vote4TRAITS!A:C , 3, FALSE), ),
IF(IFERROR(SEARCH("Fly",L113),0) &gt; 0 , VLOOKUP("Fly", vote4TRAITS!A:C , 3, FALSE), ),
IF(IFERROR(SEARCH("Freezing",L113),0) &gt; 0 , VLOOKUP("Freezing", vote4TRAITS!A:C , 3, FALSE), ),
IF(IFERROR(SEARCH("Lithesome",L113),0) &gt; 0 , VLOOKUP("Lithesome", vote4TRAITS!A:C , 3, FALSE), ),
IF(IFERROR(SEARCH("Harrowing",L113),0) &gt; 0 , VLOOKUP("Harrowing", vote4TRAITS!A:C , 3, FALSE), ),
IF(IFERROR(SEARCH("Hideous Laughter",L113),0) &gt; 0 , VLOOKUP("Hideous Laughter", vote4TRAITS!A:C , 3, FALSE), ),
IF(IFERROR(SEARCH("Hive Defense",L113),0) &gt; 0 , VLOOKUP("Hive Defense", vote4TRAITS!A:C , 3, FALSE), ),
IF(IFERROR(SEARCH("Horrifying",L113),0) &gt; 0 , VLOOKUP("Horrifying", vote4TRAITS!A:C , 3, FALSE), ),
IF(IFERROR(SEARCH("Ironskin",L113),0) &gt; 0 , VLOOKUP("Ironskin", vote4TRAITS!A:C , 3, FALSE), ),
IF(IFERROR(SEARCH("Unmovable",L113),0) &gt; 0 , VLOOKUP("Unmovable", vote4TRAITS!A:C , 3, FALSE), ),
IF(IFERROR(SEARCH("Lifethirst 1",L113),0) &gt; 0 , VLOOKUP("Lifethirst 1", vote4TRAITS!A:C , 3, FALSE), ),
IF(IFERROR(SEARCH("Lifethirst 2",L113),0) &gt; 0 , VLOOKUP("Lifethirst 2", vote4TRAITS!A:C , 3, FALSE), ),
IF(IFERROR(SEARCH("Morph",L113),0) &gt; 0 , VLOOKUP("Morph", vote4TRAITS!A:C , 3, FALSE), ),
IF(IFERROR(SEARCH("Night Stalker",L113),0) &gt; 0 , VLOOKUP("Night Stalker", vote4TRAITS!A:C , 3, FALSE), ),
IF(IFERROR(SEARCH("Overflowing",L113),0) &gt; 0 , VLOOKUP("Overflowing", vote4TRAITS!A:C , 3, FALSE), ),
IF(IFERROR(SEARCH("Pestilence",L113),0) &gt; 0 , VLOOKUP("Pestilence", vote4TRAITS!A:C , 3, FALSE), ),
IF(IFERROR(SEARCH("Phalanx",L113),0) &gt; 0 , VLOOKUP("Phalanx", vote4TRAITS!A:C , 3, FALSE), ),
IF(IFERROR(SEARCH("Plagued",L113),0) &gt; 0 , VLOOKUP("Plagued", vote4TRAITS!A:C , 3, FALSE), ),
IF(IFERROR(SEARCH("Prey on the Weak",L113),0) &gt; 0 , VLOOKUP("Prey on the Weak", vote4TRAITS!A:C , 3, FALSE), ),
IF(IFERROR(SEARCH("Protect",L113),0) &gt; 0 , VLOOKUP("Protect", vote4TRAITS!A:C , 3, FALSE), ),
IF(IFERROR(SEARCH("Puncture",L113),0) &gt; 0 , VLOOKUP("Puncture", vote4TRAITS!A:C , 3, FALSE), ),
IF(IFERROR(SEARCH("Putrid Boils",L113),0) &gt; 0 , VLOOKUP("Putrid Boils", vote4TRAITS!A:C , 3, FALSE), ),
IF(IFERROR(SEARCH("Ravage",L113),0) &gt; 0 , VLOOKUP("Ravage", vote4TRAITS!A:C , 3, FALSE), ),
IF(IFERROR(SEARCH("Ravenous",L113),0) &gt; 0 , VLOOKUP("Ravenous", vote4TRAITS!A:C , 3, FALSE), ),
IF(IFERROR(SEARCH("Reach",L113),0) &gt; 0 , VLOOKUP("Reach", vote4TRAITS!A:C , 3, FALSE), ),
IF(IFERROR(SEARCH("Reanimation",L113),0) &gt; 0 , VLOOKUP("Reanimation", vote4TRAITS!A:C , 3, FALSE), ),
IF(IFERROR(SEARCH("Reaper",L113),0) &gt; 0 , VLOOKUP("Reaper", vote4TRAITS!A:C , 3, FALSE), ),
IF(IFERROR(SEARCH("Riposte",L113),0) &gt; 0 , VLOOKUP("Riposte", vote4TRAITS!A:C , 3, FALSE)),
IF(IFERROR(SEARCH("Scamper",L113),0) &gt; 0 , VLOOKUP("Scamper", vote4TRAITS!A:C , 3, FALSE), ),
IF(IFERROR(SEARCH("Small Beginnings",L113),0) &gt; 0 , VLOOKUP("Small Beginnings", vote4TRAITS!A:C , 3, FALSE), ),
IF(IFERROR(SEARCH("Spawner",L113),0) &gt; 0 , VLOOKUP("Spawner", vote4TRAITS!A:C , 3,FALSE), ),
IF(IFERROR(SEARCH("Shadowr",L113),0) &gt; 0 , VLOOKUP("Shadow", vote4TRAITS!A:C , 3,FALSE), ),
IF(IFERROR(SEARCH("Shadow Step",L113),0) &gt; 0 , VLOOKUP("Shadow Step", vote4TRAITS!A:C , 3,FALSE), ),
IF(IFERROR(SEARCH("Shambling",L113),0) &gt; 0 , VLOOKUP("Shambling", vote4TRAITS!A:C , 3,FALSE), ),
IF(IFERROR(SEARCH("Stealthy",L113),0) &gt; 0 , VLOOKUP("Stealthy", vote4TRAITS!A:C , 3, FALSE), ),
IF(IFERROR(SEARCH("Web",L113),0) &gt; 0 , VLOOKUP("Web", vote4TRAITS!A:C , 3, FALSE), ),
IF(IFERROR(SEARCH("+1 Willpower",L113),0) &gt; 0 , VLOOKUP("+1 Willpower", vote4TRAITS!A:C , 3, FALSE), ),
IF(IFERROR(SEARCH("+1 Might",L113),0) &gt; 0 , VLOOKUP("+1 Might", vote4TRAITS!A:C , 3, FALSE), ),
IF(IFERROR(SEARCH("+1 Knowledge",L113),0) &gt; 0 , VLOOKUP("+1 Knowledge", vote4TRAITS!A:C , 3, FALSE), ),
IF(IFERROR(SEARCH("+1 Awareness",L113),0) &gt; 0 , VLOOKUP("+1 Awareness", vote4TRAITS!A:C , 3, FALSE), ),
IF(IFERROR(SEARCH("-1 Willpower",L113),0) &gt; 0 , VLOOKUP("-1 Willpower", vote4TRAITS!A:C , 3, FALSE), ),
IF(IFERROR(SEARCH("+1 Health",L113),0) &gt; 0 , VLOOKUP("+1 Health", vote4TRAITS!A:C , 3, FALSE), ),
IF(IFERROR(SEARCH("+2 Health",L113),0) &gt; 0 , VLOOKUP("+2 Health", vote4TRAITS!A:C , 3, FALSE), ),
IF(IFERROR(SEARCH("+1 Stamina",L113),0) &gt; 0 , VLOOKUP("+1 Stamina", vote4TRAITS!A:C , 3, FALSE), ),
IF(IFERROR(SEARCH("+2 Stamina",L113),0) &gt; 0 , VLOOKUP("+2 Stamina", vote4TRAITS!A:C , 3, FALSE), ),
IFS(
IFERROR(SEARCH("+1 Range", L113),) &gt; 0 ,VLOOKUP("+1 Range", vote4TRAITS!A:C , 3, FALSE),
IFERROR(SEARCH("+2 Range", L113),) &gt; 0 ,VLOOKUP("+2 Range", vote4TRAITS!A:C , 3, FALSE),
IFERROR(SEARCH("+3 Range", L113),) &gt; 0,VLOOKUP("+3 Range", vote4TRAITS!A:C , 3, FALSE),
0=0,0)
,
IFS(
IFERROR(SEARCH("Sorcery 1", L113),) &gt; 0 ,VLOOKUP("Sorcery 1", vote4TRAITS!A:C , 3, FALSE),
IFERROR(SEARCH("Sorcery 2", L113),) &gt; 0 ,VLOOKUP("Sorcery 2", vote4TRAITS!A:C , 3, FALSE),
IFERROR(SEARCH("Sorcery 3", L113),) &gt; 0,VLOOKUP("Sorcery 3", vote4TRAITS!A:C , 3, FALSE),
0=0,0)
,
IFS(
IFERROR(SEARCH("Pierce 1", L113),) &gt; 0 ,VLOOKUP("Pierce 1", vote4TRAITS!A:C , 3, FALSE),
IFERROR(SEARCH("Pierce 2", L113),) &gt; 0 ,VLOOKUP("Pierce 2", vote4TRAITS!A:C , 3, FALSE),
IFERROR(SEARCH("Pierce 3", L113),) &gt; 0,VLOOKUP("Pierce 3", vote4TRAITS!A:C , 3, FALSE),
IFERROR(SEARCH("Pierce 4", L113),) &gt; 0 ,VLOOKUP("Pierce 4", vote4TRAITS!A:C , 3, FALSE),
0=0,0)
,
IFS(
IFERROR(SEARCH("+1 Health", L113),) &gt; 0 ,VLOOKUP("+1 Health", vote4TRAITS!A:C , 3, FALSE),
IFERROR(SEARCH("+2 Health", L113),) &gt; 0 ,VLOOKUP("+2 Health", vote4TRAITS!A:C , 3, FALSE),
IFERROR(SEARCH("+3 Health", L113),) &gt; 0 ,VLOOKUP("+3 Health", vote4TRAITS!A:C , 3, FALSE),
IFERROR(SEARCH("+4 Health", L113),) &gt; 0 ,VLOOKUP("+4 Health", vote4TRAITS!A:C , 3, FALSE),
0=0,0)
,
IFS(
IFERROR(SEARCH("Soul Shackle 1", L113),) &gt; 0 ,VLOOKUP("Soul Shackle 1", vote4TRAITS!A:C , 3, FALSE),
IFERROR(SEARCH("Soul Shackle 2", L113),) &gt; 0 ,VLOOKUP("Soul Shackle 2", vote4TRAITS!A:C , 3, FALSE),
IFERROR(SEARCH("Soul Shackle 3", L113),) &gt; 0,VLOOKUP("Soul Shackle 3", vote4TRAITS!A:C , 3, FALSE),
0=0,0)
)</f>
        <v>0</v>
      </c>
      <c r="N113" s="313"/>
      <c r="O113" s="317" t="str">
        <f>IF(ISBLANK(N113),,IFERROR(
IF(IFERROR(SEARCH("SS:",N113),0) &gt; 0, 
VLOOKUP(SUBSTITUTE(N113,"SS: ",""),vote4SURGE!$A:$C , 3, FALSE) - 2,
VLOOKUP(SUBSTITUTE(N113,"S: ",""),vote4SURGE!$A:$C , 3, FALSE)
)
,
IF(IFERROR(SEARCH("SS:",N113),0) &gt; 0, 
VLOOKUP(C113,vote4SURGE!$A:$C , 3, FALSE) - 2,
VLOOKUP(C113,vote4SURGE!$A:$C , 3, FALSE)
)
))</f>
        <v/>
      </c>
      <c r="P113" s="318"/>
      <c r="Q113" s="317" t="str">
        <f>IF(ISBLANK(P113),,IFERROR(
IF(IFERROR(SEARCH("SS:",P113),0) &gt; 0, 
VLOOKUP(SUBSTITUTE(P113,"SS: ",""),vote4SURGE!$A:$C , 3, FALSE) - 2,
VLOOKUP(SUBSTITUTE(P113,"S: ",""),vote4SURGE!$A:$C , 3, FALSE)
)
,
IF(IFERROR(SEARCH("SS:",P113),0) &gt; 0, 
VLOOKUP(C113,vote4SURGE!$A:$C , 3, FALSE) - 2,
VLOOKUP(C113,vote4SURGE!$A:$C , 3, FALSE)
)
))</f>
        <v/>
      </c>
      <c r="R113" s="318"/>
      <c r="S113" s="319" t="str">
        <f>IF(ISBLANK(R113),,IFERROR(
IF(IFERROR(SEARCH("SS:",R113),0) &gt; 0, 
VLOOKUP(SUBSTITUTE(R113,"SS: ",""),vote4SURGE!$A:$C , 3, FALSE) - 2,
VLOOKUP(SUBSTITUTE(R113,"S: ",""),vote4SURGE!$A:$C , 3, FALSE)
)
,
IF(IFERROR(SEARCH("SS:",R113),0) &gt; 0, 
VLOOKUP(C113,vote4SURGE!$A:$C , 3, FALSE) - 2,
VLOOKUP(C113,vote4SURGE!$A:$C , 3, FALSE)
)
))</f>
        <v/>
      </c>
      <c r="T113" s="320">
        <f t="shared" si="2"/>
        <v>0</v>
      </c>
      <c r="U113" s="320">
        <f>IFERROR(__xludf.DUMMYFUNCTION("ROUND(
IF(ISBLANK(G113),,
SWITCH(
LEN(G113) - LEN(SUBSTITUTE(G113,"","","""")),
0 , VLOOKUP(G113, Variables!$A:$C, 3, FALSE),
1 , VLOOKUP(index(split(G113 ,"", "", FALSE),1,1), Variables!$A:$C , 3, FALSE) + VLOOKUP(index(split(G113 ,"", "", FALSE),1,2), V"&amp;"ariables!$A:$C , 3, FALSE),
2 , VLOOKUP(index(split(G113 ,"", "", FALSE),1,1), Variables!$A:$C , 3, FALSE) + VLOOKUP(index(split(G113 ,"", "", FALSE),1,2), Variables!$A:$C , 3, FALSE) + VLOOKUP(index(split(G113 ,"", "", FALSE),1,3), Variables!$A:$C , 3, F"&amp;"ALSE),
3 , VLOOKUP(index(split(G113 ,"", "", FALSE),1,1), Variables!$A:$C , 3, FALSE) + VLOOKUP(index(split(G113 ,"", "", FALSE),1,2), Variables!$A:$C , 3, FALSE) + VLOOKUP(index(split(G113 ,"", "", FALSE),1,3), Variables!$A:$C , 3, FALSE) + VLOOKUP(index"&amp;"(split(G113 ,"", "", FALSE),1,4), Variables!$A:$C , 3, FALSE),
)
)
)"),1.0)</f>
        <v>1</v>
      </c>
      <c r="V113" s="317">
        <f t="shared" si="3"/>
        <v>0</v>
      </c>
      <c r="W113" s="321">
        <f t="shared" si="4"/>
        <v>6.166666667</v>
      </c>
      <c r="X113" s="118"/>
      <c r="Y113" s="118"/>
      <c r="Z113" s="118"/>
      <c r="AA113" s="118"/>
      <c r="AB113" s="118"/>
      <c r="AC113" s="118"/>
      <c r="AD113" s="118"/>
      <c r="AE113" s="118"/>
    </row>
    <row r="114" hidden="1">
      <c r="A114" s="310">
        <v>1.0</v>
      </c>
      <c r="B114" s="93">
        <f t="shared" si="1"/>
        <v>2</v>
      </c>
      <c r="C114" s="310" t="s">
        <v>723</v>
      </c>
      <c r="D114" s="310">
        <v>75.0</v>
      </c>
      <c r="E114" s="310" t="s">
        <v>1629</v>
      </c>
      <c r="F114" s="310"/>
      <c r="G114" s="313"/>
      <c r="H114" s="312" t="str">
        <f>IFERROR(__xludf.DUMMYFUNCTION(" IF(ISBLANK(G114),,
SWITCH(
LEN(G114) - LEN(SUBSTITUTE(G114,"","","""")),
0 , VLOOKUP(G114, Variables!$A:$B, 2, FALSE),
1 , VLOOKUP(index(split(G114 ,"", "", FALSE),1,1), Variables!$A:$B , 2, FALSE) + VLOOKUP(index(split(G114 ,"", "", FALSE),1,2), Variabl"&amp;"es!$A:$B , 2, FALSE),
2 , VLOOKUP(index(split(G114 ,"", "", FALSE),1,1), Variables!$A:$B , 2, FALSE) + VLOOKUP(index(split(G114 ,"", "", FALSE),1,2), Variables!$A:$B , 2, FALSE) + VLOOKUP(index(split(G114 ,"", "", FALSE),1,3), Variables!$A:$B , 2, FALSE),"&amp;"
3 , VLOOKUP(index(split(G114 ,"", "", FALSE),1,1), Variables!$A:$B , 2, FALSE) + VLOOKUP(index(split(G114 ,"", "", FALSE),1,2), Variables!$A:$B , 2, FALSE) + VLOOKUP(index(split(G114 ,"", "", FALSE),1,3), Variables!$A:$B , 2, FALSE) + VLOOKUP(index(split"&amp;"(G114 ,"", "", FALSE),1,4), Variables!$A:$B , 2, FALSE),
)
)"),"")</f>
        <v/>
      </c>
      <c r="I114" s="310" t="s">
        <v>1641</v>
      </c>
      <c r="J114" s="313" t="s">
        <v>724</v>
      </c>
      <c r="K114" s="314">
        <f>IFERROR(VLOOKUP(C114,vote4ITEMS!$A:$C, 3, FALSE),)</f>
        <v>2</v>
      </c>
      <c r="L114" s="311" t="s">
        <v>1640</v>
      </c>
      <c r="M114" s="314">
        <f>SUM(
IF(IFERROR(SEARCH("Aura 1",L114),0) &gt; 0 , VLOOKUP("Aura 1", vote4TRAITS!A:C , 3, FALSE), ),
IF(IFERROR(SEARCH("Backswing",L114),0) &gt; 0 , VLOOKUP("Backswing", vote4TRAITS!A:C , 3, FALSE), ),
IF(IFERROR(SEARCH("Blast",L114),0) &gt; 0 , VLOOKUP("Blast", vote4TRAITS!A:C , 3, FALSE), ),
IF(IFERROR(SEARCH("Combustible",L114),0) &gt; 0 , VLOOKUP("Combustible", vote4TRAITS!A:C , 3, FALSE), ),
IF(IFERROR(SEARCH("Command",L114),0) &gt; 0 , VLOOKUP("Command", vote4TRAITS!A:C , 3, FALSE), ),
IF(IFERROR(SEARCH("Cowardly",L114),0) &gt; 0 , VLOOKUP("Cowardly", vote4TRAITS!A:C , 3, FALSE), ),
IF(IFERROR(SEARCH("Death Wish",L114),0) &gt; 0 , VLOOKUP("Death Wish", vote4TRAITS!A:C , 3, FALSE), ),
IF(IFERROR(SEARCH("Entomb",L114),0) &gt; 0 , VLOOKUP("Entomb", vote4TRAITS!A:C , 3, FALSE), ),
IF(IFERROR(SEARCH("Ethereal Hold",L114),0) &gt; 0 , VLOOKUP("Ethereal Hold", vote4TRAITS!A:C , 3, FALSE), ),
IF(IFERROR(SEARCH("Extend",L114),0) &gt; 0 , VLOOKUP("Extend", vote4TRAITS!A:C , 3, FALSE), ),
IF(IFERROR(SEARCH("Filthy Murk",L114),0) &gt; 0 , VLOOKUP("Filthy Murk", vote4TRAITS!A:C , 3, FALSE), ),
IF(IFERROR(SEARCH("Flame Fiend",L114),0) &gt; 0 , VLOOKUP("Flame Fiend", vote4TRAITS!A:C , 3, FALSE), ),
IF(IFERROR(SEARCH("Fleshmonger",L114),0) &gt; 0 , VLOOKUP("Fleshmonger", vote4TRAITS!A:C , 3, FALSE), ),
IF(IFERROR(SEARCH("Fly",L114),0) &gt; 0 , VLOOKUP("Fly", vote4TRAITS!A:C , 3, FALSE), ),
IF(IFERROR(SEARCH("Freezing",L114),0) &gt; 0 , VLOOKUP("Freezing", vote4TRAITS!A:C , 3, FALSE), ),
IF(IFERROR(SEARCH("Lithesome",L114),0) &gt; 0 , VLOOKUP("Lithesome", vote4TRAITS!A:C , 3, FALSE), ),
IF(IFERROR(SEARCH("Harrowing",L114),0) &gt; 0 , VLOOKUP("Harrowing", vote4TRAITS!A:C , 3, FALSE), ),
IF(IFERROR(SEARCH("Hideous Laughter",L114),0) &gt; 0 , VLOOKUP("Hideous Laughter", vote4TRAITS!A:C , 3, FALSE), ),
IF(IFERROR(SEARCH("Hive Defense",L114),0) &gt; 0 , VLOOKUP("Hive Defense", vote4TRAITS!A:C , 3, FALSE), ),
IF(IFERROR(SEARCH("Horrifying",L114),0) &gt; 0 , VLOOKUP("Horrifying", vote4TRAITS!A:C , 3, FALSE), ),
IF(IFERROR(SEARCH("Ironskin",L114),0) &gt; 0 , VLOOKUP("Ironskin", vote4TRAITS!A:C , 3, FALSE), ),
IF(IFERROR(SEARCH("Unmovable",L114),0) &gt; 0 , VLOOKUP("Unmovable", vote4TRAITS!A:C , 3, FALSE), ),
IF(IFERROR(SEARCH("Lifethirst 1",L114),0) &gt; 0 , VLOOKUP("Lifethirst 1", vote4TRAITS!A:C , 3, FALSE), ),
IF(IFERROR(SEARCH("Lifethirst 2",L114),0) &gt; 0 , VLOOKUP("Lifethirst 2", vote4TRAITS!A:C , 3, FALSE), ),
IF(IFERROR(SEARCH("Morph",L114),0) &gt; 0 , VLOOKUP("Morph", vote4TRAITS!A:C , 3, FALSE), ),
IF(IFERROR(SEARCH("Night Stalker",L114),0) &gt; 0 , VLOOKUP("Night Stalker", vote4TRAITS!A:C , 3, FALSE), ),
IF(IFERROR(SEARCH("Overflowing",L114),0) &gt; 0 , VLOOKUP("Overflowing", vote4TRAITS!A:C , 3, FALSE), ),
IF(IFERROR(SEARCH("Pestilence",L114),0) &gt; 0 , VLOOKUP("Pestilence", vote4TRAITS!A:C , 3, FALSE), ),
IF(IFERROR(SEARCH("Phalanx",L114),0) &gt; 0 , VLOOKUP("Phalanx", vote4TRAITS!A:C , 3, FALSE), ),
IF(IFERROR(SEARCH("Plagued",L114),0) &gt; 0 , VLOOKUP("Plagued", vote4TRAITS!A:C , 3, FALSE), ),
IF(IFERROR(SEARCH("Prey on the Weak",L114),0) &gt; 0 , VLOOKUP("Prey on the Weak", vote4TRAITS!A:C , 3, FALSE), ),
IF(IFERROR(SEARCH("Protect",L114),0) &gt; 0 , VLOOKUP("Protect", vote4TRAITS!A:C , 3, FALSE), ),
IF(IFERROR(SEARCH("Puncture",L114),0) &gt; 0 , VLOOKUP("Puncture", vote4TRAITS!A:C , 3, FALSE), ),
IF(IFERROR(SEARCH("Putrid Boils",L114),0) &gt; 0 , VLOOKUP("Putrid Boils", vote4TRAITS!A:C , 3, FALSE), ),
IF(IFERROR(SEARCH("Ravage",L114),0) &gt; 0 , VLOOKUP("Ravage", vote4TRAITS!A:C , 3, FALSE), ),
IF(IFERROR(SEARCH("Ravenous",L114),0) &gt; 0 , VLOOKUP("Ravenous", vote4TRAITS!A:C , 3, FALSE), ),
IF(IFERROR(SEARCH("Reach",L114),0) &gt; 0 , VLOOKUP("Reach", vote4TRAITS!A:C , 3, FALSE), ),
IF(IFERROR(SEARCH("Reanimation",L114),0) &gt; 0 , VLOOKUP("Reanimation", vote4TRAITS!A:C , 3, FALSE), ),
IF(IFERROR(SEARCH("Reaper",L114),0) &gt; 0 , VLOOKUP("Reaper", vote4TRAITS!A:C , 3, FALSE), ),
IF(IFERROR(SEARCH("Riposte",L114),0) &gt; 0 , VLOOKUP("Riposte", vote4TRAITS!A:C , 3, FALSE)),
IF(IFERROR(SEARCH("Scamper",L114),0) &gt; 0 , VLOOKUP("Scamper", vote4TRAITS!A:C , 3, FALSE), ),
IF(IFERROR(SEARCH("Small Beginnings",L114),0) &gt; 0 , VLOOKUP("Small Beginnings", vote4TRAITS!A:C , 3, FALSE), ),
IF(IFERROR(SEARCH("Spawner",L114),0) &gt; 0 , VLOOKUP("Spawner", vote4TRAITS!A:C , 3,FALSE), ),
IF(IFERROR(SEARCH("Shadowr",L114),0) &gt; 0 , VLOOKUP("Shadow", vote4TRAITS!A:C , 3,FALSE), ),
IF(IFERROR(SEARCH("Shadow Step",L114),0) &gt; 0 , VLOOKUP("Shadow Step", vote4TRAITS!A:C , 3,FALSE), ),
IF(IFERROR(SEARCH("Shambling",L114),0) &gt; 0 , VLOOKUP("Shambling", vote4TRAITS!A:C , 3,FALSE), ),
IF(IFERROR(SEARCH("Stealthy",L114),0) &gt; 0 , VLOOKUP("Stealthy", vote4TRAITS!A:C , 3, FALSE), ),
IF(IFERROR(SEARCH("Web",L114),0) &gt; 0 , VLOOKUP("Web", vote4TRAITS!A:C , 3, FALSE), ),
IF(IFERROR(SEARCH("+1 Willpower",L114),0) &gt; 0 , VLOOKUP("+1 Willpower", vote4TRAITS!A:C , 3, FALSE), ),
IF(IFERROR(SEARCH("+1 Might",L114),0) &gt; 0 , VLOOKUP("+1 Might", vote4TRAITS!A:C , 3, FALSE), ),
IF(IFERROR(SEARCH("+1 Knowledge",L114),0) &gt; 0 , VLOOKUP("+1 Knowledge", vote4TRAITS!A:C , 3, FALSE), ),
IF(IFERROR(SEARCH("+1 Awareness",L114),0) &gt; 0 , VLOOKUP("+1 Awareness", vote4TRAITS!A:C , 3, FALSE), ),
IF(IFERROR(SEARCH("-1 Willpower",L114),0) &gt; 0 , VLOOKUP("-1 Willpower", vote4TRAITS!A:C , 3, FALSE), ),
IF(IFERROR(SEARCH("+1 Health",L114),0) &gt; 0 , VLOOKUP("+1 Health", vote4TRAITS!A:C , 3, FALSE), ),
IF(IFERROR(SEARCH("+2 Health",L114),0) &gt; 0 , VLOOKUP("+2 Health", vote4TRAITS!A:C , 3, FALSE), ),
IF(IFERROR(SEARCH("+1 Stamina",L114),0) &gt; 0 , VLOOKUP("+1 Stamina", vote4TRAITS!A:C , 3, FALSE), ),
IF(IFERROR(SEARCH("+2 Stamina",L114),0) &gt; 0 , VLOOKUP("+2 Stamina", vote4TRAITS!A:C , 3, FALSE), ),
IFS(
IFERROR(SEARCH("+1 Range", L114),) &gt; 0 ,VLOOKUP("+1 Range", vote4TRAITS!A:C , 3, FALSE),
IFERROR(SEARCH("+2 Range", L114),) &gt; 0 ,VLOOKUP("+2 Range", vote4TRAITS!A:C , 3, FALSE),
IFERROR(SEARCH("+3 Range", L114),) &gt; 0,VLOOKUP("+3 Range", vote4TRAITS!A:C , 3, FALSE),
0=0,0)
,
IFS(
IFERROR(SEARCH("Sorcery 1", L114),) &gt; 0 ,VLOOKUP("Sorcery 1", vote4TRAITS!A:C , 3, FALSE),
IFERROR(SEARCH("Sorcery 2", L114),) &gt; 0 ,VLOOKUP("Sorcery 2", vote4TRAITS!A:C , 3, FALSE),
IFERROR(SEARCH("Sorcery 3", L114),) &gt; 0,VLOOKUP("Sorcery 3", vote4TRAITS!A:C , 3, FALSE),
0=0,0)
,
IFS(
IFERROR(SEARCH("Pierce 1", L114),) &gt; 0 ,VLOOKUP("Pierce 1", vote4TRAITS!A:C , 3, FALSE),
IFERROR(SEARCH("Pierce 2", L114),) &gt; 0 ,VLOOKUP("Pierce 2", vote4TRAITS!A:C , 3, FALSE),
IFERROR(SEARCH("Pierce 3", L114),) &gt; 0,VLOOKUP("Pierce 3", vote4TRAITS!A:C , 3, FALSE),
IFERROR(SEARCH("Pierce 4", L114),) &gt; 0 ,VLOOKUP("Pierce 4", vote4TRAITS!A:C , 3, FALSE),
0=0,0)
,
IFS(
IFERROR(SEARCH("+1 Health", L114),) &gt; 0 ,VLOOKUP("+1 Health", vote4TRAITS!A:C , 3, FALSE),
IFERROR(SEARCH("+2 Health", L114),) &gt; 0 ,VLOOKUP("+2 Health", vote4TRAITS!A:C , 3, FALSE),
IFERROR(SEARCH("+3 Health", L114),) &gt; 0 ,VLOOKUP("+3 Health", vote4TRAITS!A:C , 3, FALSE),
IFERROR(SEARCH("+4 Health", L114),) &gt; 0 ,VLOOKUP("+4 Health", vote4TRAITS!A:C , 3, FALSE),
0=0,0)
,
IFS(
IFERROR(SEARCH("Soul Shackle 1", L114),) &gt; 0 ,VLOOKUP("Soul Shackle 1", vote4TRAITS!A:C , 3, FALSE),
IFERROR(SEARCH("Soul Shackle 2", L114),) &gt; 0 ,VLOOKUP("Soul Shackle 2", vote4TRAITS!A:C , 3, FALSE),
IFERROR(SEARCH("Soul Shackle 3", L114),) &gt; 0,VLOOKUP("Soul Shackle 3", vote4TRAITS!A:C , 3, FALSE),
0=0,0)
)</f>
        <v>4</v>
      </c>
      <c r="N114" s="313"/>
      <c r="O114" s="317" t="str">
        <f>IF(ISBLANK(N114),,IFERROR(
IF(IFERROR(SEARCH("SS:",N114),0) &gt; 0, 
VLOOKUP(SUBSTITUTE(N114,"SS: ",""),vote4SURGE!$A:$C , 3, FALSE) - 2,
VLOOKUP(SUBSTITUTE(N114,"S: ",""),vote4SURGE!$A:$C , 3, FALSE)
)
,
IF(IFERROR(SEARCH("SS:",N114),0) &gt; 0, 
VLOOKUP(C114,vote4SURGE!$A:$C , 3, FALSE) - 2,
VLOOKUP(C114,vote4SURGE!$A:$C , 3, FALSE)
)
))</f>
        <v/>
      </c>
      <c r="P114" s="318"/>
      <c r="Q114" s="317" t="str">
        <f>IF(ISBLANK(P114),,IFERROR(
IF(IFERROR(SEARCH("SS:",P114),0) &gt; 0, 
VLOOKUP(SUBSTITUTE(P114,"SS: ",""),vote4SURGE!$A:$C , 3, FALSE) - 2,
VLOOKUP(SUBSTITUTE(P114,"S: ",""),vote4SURGE!$A:$C , 3, FALSE)
)
,
IF(IFERROR(SEARCH("SS:",P114),0) &gt; 0, 
VLOOKUP(C114,vote4SURGE!$A:$C , 3, FALSE) - 2,
VLOOKUP(C114,vote4SURGE!$A:$C , 3, FALSE)
)
))</f>
        <v/>
      </c>
      <c r="R114" s="318"/>
      <c r="S114" s="319" t="str">
        <f>IF(ISBLANK(R114),,IFERROR(
IF(IFERROR(SEARCH("SS:",R114),0) &gt; 0, 
VLOOKUP(SUBSTITUTE(R114,"SS: ",""),vote4SURGE!$A:$C , 3, FALSE) - 2,
VLOOKUP(SUBSTITUTE(R114,"S: ",""),vote4SURGE!$A:$C , 3, FALSE)
)
,
IF(IFERROR(SEARCH("SS:",R114),0) &gt; 0, 
VLOOKUP(C114,vote4SURGE!$A:$C , 3, FALSE) - 2,
VLOOKUP(C114,vote4SURGE!$A:$C , 3, FALSE)
)
))</f>
        <v/>
      </c>
      <c r="T114" s="320">
        <f t="shared" si="2"/>
        <v>0</v>
      </c>
      <c r="U114" s="320">
        <f>IFERROR(__xludf.DUMMYFUNCTION("ROUND(
IF(ISBLANK(G114),,
SWITCH(
LEN(G114) - LEN(SUBSTITUTE(G114,"","","""")),
0 , VLOOKUP(G114, Variables!$A:$C, 3, FALSE),
1 , VLOOKUP(index(split(G114 ,"", "", FALSE),1,1), Variables!$A:$C , 3, FALSE) + VLOOKUP(index(split(G114 ,"", "", FALSE),1,2), V"&amp;"ariables!$A:$C , 3, FALSE),
2 , VLOOKUP(index(split(G114 ,"", "", FALSE),1,1), Variables!$A:$C , 3, FALSE) + VLOOKUP(index(split(G114 ,"", "", FALSE),1,2), Variables!$A:$C , 3, FALSE) + VLOOKUP(index(split(G114 ,"", "", FALSE),1,3), Variables!$A:$C , 3, F"&amp;"ALSE),
3 , VLOOKUP(index(split(G114 ,"", "", FALSE),1,1), Variables!$A:$C , 3, FALSE) + VLOOKUP(index(split(G114 ,"", "", FALSE),1,2), Variables!$A:$C , 3, FALSE) + VLOOKUP(index(split(G114 ,"", "", FALSE),1,3), Variables!$A:$C , 3, FALSE) + VLOOKUP(index"&amp;"(split(G114 ,"", "", FALSE),1,4), Variables!$A:$C , 3, FALSE),
)
)
)"),0.0)</f>
        <v>0</v>
      </c>
      <c r="V114" s="317">
        <f t="shared" si="3"/>
        <v>0</v>
      </c>
      <c r="W114" s="321">
        <f t="shared" si="4"/>
        <v>6</v>
      </c>
      <c r="X114" s="118"/>
      <c r="Y114" s="118"/>
      <c r="Z114" s="118"/>
      <c r="AA114" s="118"/>
      <c r="AB114" s="118"/>
      <c r="AC114" s="118"/>
      <c r="AD114" s="118"/>
      <c r="AE114" s="118"/>
    </row>
    <row r="115" hidden="1">
      <c r="A115" s="310">
        <v>1.0</v>
      </c>
      <c r="B115" s="93">
        <f t="shared" si="1"/>
        <v>2</v>
      </c>
      <c r="C115" s="310" t="s">
        <v>675</v>
      </c>
      <c r="D115" s="310">
        <v>25.0</v>
      </c>
      <c r="E115" s="310" t="s">
        <v>1629</v>
      </c>
      <c r="F115" s="310"/>
      <c r="G115" s="313"/>
      <c r="H115" s="312" t="str">
        <f>IFERROR(__xludf.DUMMYFUNCTION(" IF(ISBLANK(G115),,
SWITCH(
LEN(G115) - LEN(SUBSTITUTE(G115,"","","""")),
0 , VLOOKUP(G115, Variables!$A:$B, 2, FALSE),
1 , VLOOKUP(index(split(G115 ,"", "", FALSE),1,1), Variables!$A:$B , 2, FALSE) + VLOOKUP(index(split(G115 ,"", "", FALSE),1,2), Variabl"&amp;"es!$A:$B , 2, FALSE),
2 , VLOOKUP(index(split(G115 ,"", "", FALSE),1,1), Variables!$A:$B , 2, FALSE) + VLOOKUP(index(split(G115 ,"", "", FALSE),1,2), Variables!$A:$B , 2, FALSE) + VLOOKUP(index(split(G115 ,"", "", FALSE),1,3), Variables!$A:$B , 2, FALSE),"&amp;"
3 , VLOOKUP(index(split(G115 ,"", "", FALSE),1,1), Variables!$A:$B , 2, FALSE) + VLOOKUP(index(split(G115 ,"", "", FALSE),1,2), Variables!$A:$B , 2, FALSE) + VLOOKUP(index(split(G115 ,"", "", FALSE),1,3), Variables!$A:$B , 2, FALSE) + VLOOKUP(index(split"&amp;"(G115 ,"", "", FALSE),1,4), Variables!$A:$B , 2, FALSE),
)
)"),"")</f>
        <v/>
      </c>
      <c r="I115" s="310" t="s">
        <v>1641</v>
      </c>
      <c r="J115" s="313" t="s">
        <v>676</v>
      </c>
      <c r="K115" s="314">
        <f>IFERROR(VLOOKUP(C115,vote4ITEMS!$A:$C, 3, FALSE),)</f>
        <v>5.666666667</v>
      </c>
      <c r="L115" s="313"/>
      <c r="M115" s="314">
        <f>SUM(
IF(IFERROR(SEARCH("Aura 1",L115),0) &gt; 0 , VLOOKUP("Aura 1", vote4TRAITS!A:C , 3, FALSE), ),
IF(IFERROR(SEARCH("Backswing",L115),0) &gt; 0 , VLOOKUP("Backswing", vote4TRAITS!A:C , 3, FALSE), ),
IF(IFERROR(SEARCH("Blast",L115),0) &gt; 0 , VLOOKUP("Blast", vote4TRAITS!A:C , 3, FALSE), ),
IF(IFERROR(SEARCH("Combustible",L115),0) &gt; 0 , VLOOKUP("Combustible", vote4TRAITS!A:C , 3, FALSE), ),
IF(IFERROR(SEARCH("Command",L115),0) &gt; 0 , VLOOKUP("Command", vote4TRAITS!A:C , 3, FALSE), ),
IF(IFERROR(SEARCH("Cowardly",L115),0) &gt; 0 , VLOOKUP("Cowardly", vote4TRAITS!A:C , 3, FALSE), ),
IF(IFERROR(SEARCH("Death Wish",L115),0) &gt; 0 , VLOOKUP("Death Wish", vote4TRAITS!A:C , 3, FALSE), ),
IF(IFERROR(SEARCH("Entomb",L115),0) &gt; 0 , VLOOKUP("Entomb", vote4TRAITS!A:C , 3, FALSE), ),
IF(IFERROR(SEARCH("Ethereal Hold",L115),0) &gt; 0 , VLOOKUP("Ethereal Hold", vote4TRAITS!A:C , 3, FALSE), ),
IF(IFERROR(SEARCH("Extend",L115),0) &gt; 0 , VLOOKUP("Extend", vote4TRAITS!A:C , 3, FALSE), ),
IF(IFERROR(SEARCH("Filthy Murk",L115),0) &gt; 0 , VLOOKUP("Filthy Murk", vote4TRAITS!A:C , 3, FALSE), ),
IF(IFERROR(SEARCH("Flame Fiend",L115),0) &gt; 0 , VLOOKUP("Flame Fiend", vote4TRAITS!A:C , 3, FALSE), ),
IF(IFERROR(SEARCH("Fleshmonger",L115),0) &gt; 0 , VLOOKUP("Fleshmonger", vote4TRAITS!A:C , 3, FALSE), ),
IF(IFERROR(SEARCH("Fly",L115),0) &gt; 0 , VLOOKUP("Fly", vote4TRAITS!A:C , 3, FALSE), ),
IF(IFERROR(SEARCH("Freezing",L115),0) &gt; 0 , VLOOKUP("Freezing", vote4TRAITS!A:C , 3, FALSE), ),
IF(IFERROR(SEARCH("Lithesome",L115),0) &gt; 0 , VLOOKUP("Lithesome", vote4TRAITS!A:C , 3, FALSE), ),
IF(IFERROR(SEARCH("Harrowing",L115),0) &gt; 0 , VLOOKUP("Harrowing", vote4TRAITS!A:C , 3, FALSE), ),
IF(IFERROR(SEARCH("Hideous Laughter",L115),0) &gt; 0 , VLOOKUP("Hideous Laughter", vote4TRAITS!A:C , 3, FALSE), ),
IF(IFERROR(SEARCH("Hive Defense",L115),0) &gt; 0 , VLOOKUP("Hive Defense", vote4TRAITS!A:C , 3, FALSE), ),
IF(IFERROR(SEARCH("Horrifying",L115),0) &gt; 0 , VLOOKUP("Horrifying", vote4TRAITS!A:C , 3, FALSE), ),
IF(IFERROR(SEARCH("Ironskin",L115),0) &gt; 0 , VLOOKUP("Ironskin", vote4TRAITS!A:C , 3, FALSE), ),
IF(IFERROR(SEARCH("Unmovable",L115),0) &gt; 0 , VLOOKUP("Unmovable", vote4TRAITS!A:C , 3, FALSE), ),
IF(IFERROR(SEARCH("Lifethirst 1",L115),0) &gt; 0 , VLOOKUP("Lifethirst 1", vote4TRAITS!A:C , 3, FALSE), ),
IF(IFERROR(SEARCH("Lifethirst 2",L115),0) &gt; 0 , VLOOKUP("Lifethirst 2", vote4TRAITS!A:C , 3, FALSE), ),
IF(IFERROR(SEARCH("Morph",L115),0) &gt; 0 , VLOOKUP("Morph", vote4TRAITS!A:C , 3, FALSE), ),
IF(IFERROR(SEARCH("Night Stalker",L115),0) &gt; 0 , VLOOKUP("Night Stalker", vote4TRAITS!A:C , 3, FALSE), ),
IF(IFERROR(SEARCH("Overflowing",L115),0) &gt; 0 , VLOOKUP("Overflowing", vote4TRAITS!A:C , 3, FALSE), ),
IF(IFERROR(SEARCH("Pestilence",L115),0) &gt; 0 , VLOOKUP("Pestilence", vote4TRAITS!A:C , 3, FALSE), ),
IF(IFERROR(SEARCH("Phalanx",L115),0) &gt; 0 , VLOOKUP("Phalanx", vote4TRAITS!A:C , 3, FALSE), ),
IF(IFERROR(SEARCH("Plagued",L115),0) &gt; 0 , VLOOKUP("Plagued", vote4TRAITS!A:C , 3, FALSE), ),
IF(IFERROR(SEARCH("Prey on the Weak",L115),0) &gt; 0 , VLOOKUP("Prey on the Weak", vote4TRAITS!A:C , 3, FALSE), ),
IF(IFERROR(SEARCH("Protect",L115),0) &gt; 0 , VLOOKUP("Protect", vote4TRAITS!A:C , 3, FALSE), ),
IF(IFERROR(SEARCH("Puncture",L115),0) &gt; 0 , VLOOKUP("Puncture", vote4TRAITS!A:C , 3, FALSE), ),
IF(IFERROR(SEARCH("Putrid Boils",L115),0) &gt; 0 , VLOOKUP("Putrid Boils", vote4TRAITS!A:C , 3, FALSE), ),
IF(IFERROR(SEARCH("Ravage",L115),0) &gt; 0 , VLOOKUP("Ravage", vote4TRAITS!A:C , 3, FALSE), ),
IF(IFERROR(SEARCH("Ravenous",L115),0) &gt; 0 , VLOOKUP("Ravenous", vote4TRAITS!A:C , 3, FALSE), ),
IF(IFERROR(SEARCH("Reach",L115),0) &gt; 0 , VLOOKUP("Reach", vote4TRAITS!A:C , 3, FALSE), ),
IF(IFERROR(SEARCH("Reanimation",L115),0) &gt; 0 , VLOOKUP("Reanimation", vote4TRAITS!A:C , 3, FALSE), ),
IF(IFERROR(SEARCH("Reaper",L115),0) &gt; 0 , VLOOKUP("Reaper", vote4TRAITS!A:C , 3, FALSE), ),
IF(IFERROR(SEARCH("Riposte",L115),0) &gt; 0 , VLOOKUP("Riposte", vote4TRAITS!A:C , 3, FALSE)),
IF(IFERROR(SEARCH("Scamper",L115),0) &gt; 0 , VLOOKUP("Scamper", vote4TRAITS!A:C , 3, FALSE), ),
IF(IFERROR(SEARCH("Small Beginnings",L115),0) &gt; 0 , VLOOKUP("Small Beginnings", vote4TRAITS!A:C , 3, FALSE), ),
IF(IFERROR(SEARCH("Spawner",L115),0) &gt; 0 , VLOOKUP("Spawner", vote4TRAITS!A:C , 3,FALSE), ),
IF(IFERROR(SEARCH("Shadowr",L115),0) &gt; 0 , VLOOKUP("Shadow", vote4TRAITS!A:C , 3,FALSE), ),
IF(IFERROR(SEARCH("Shadow Step",L115),0) &gt; 0 , VLOOKUP("Shadow Step", vote4TRAITS!A:C , 3,FALSE), ),
IF(IFERROR(SEARCH("Shambling",L115),0) &gt; 0 , VLOOKUP("Shambling", vote4TRAITS!A:C , 3,FALSE), ),
IF(IFERROR(SEARCH("Stealthy",L115),0) &gt; 0 , VLOOKUP("Stealthy", vote4TRAITS!A:C , 3, FALSE), ),
IF(IFERROR(SEARCH("Web",L115),0) &gt; 0 , VLOOKUP("Web", vote4TRAITS!A:C , 3, FALSE), ),
IF(IFERROR(SEARCH("+1 Willpower",L115),0) &gt; 0 , VLOOKUP("+1 Willpower", vote4TRAITS!A:C , 3, FALSE), ),
IF(IFERROR(SEARCH("+1 Might",L115),0) &gt; 0 , VLOOKUP("+1 Might", vote4TRAITS!A:C , 3, FALSE), ),
IF(IFERROR(SEARCH("+1 Knowledge",L115),0) &gt; 0 , VLOOKUP("+1 Knowledge", vote4TRAITS!A:C , 3, FALSE), ),
IF(IFERROR(SEARCH("+1 Awareness",L115),0) &gt; 0 , VLOOKUP("+1 Awareness", vote4TRAITS!A:C , 3, FALSE), ),
IF(IFERROR(SEARCH("-1 Willpower",L115),0) &gt; 0 , VLOOKUP("-1 Willpower", vote4TRAITS!A:C , 3, FALSE), ),
IF(IFERROR(SEARCH("+1 Health",L115),0) &gt; 0 , VLOOKUP("+1 Health", vote4TRAITS!A:C , 3, FALSE), ),
IF(IFERROR(SEARCH("+2 Health",L115),0) &gt; 0 , VLOOKUP("+2 Health", vote4TRAITS!A:C , 3, FALSE), ),
IF(IFERROR(SEARCH("+1 Stamina",L115),0) &gt; 0 , VLOOKUP("+1 Stamina", vote4TRAITS!A:C , 3, FALSE), ),
IF(IFERROR(SEARCH("+2 Stamina",L115),0) &gt; 0 , VLOOKUP("+2 Stamina", vote4TRAITS!A:C , 3, FALSE), ),
IFS(
IFERROR(SEARCH("+1 Range", L115),) &gt; 0 ,VLOOKUP("+1 Range", vote4TRAITS!A:C , 3, FALSE),
IFERROR(SEARCH("+2 Range", L115),) &gt; 0 ,VLOOKUP("+2 Range", vote4TRAITS!A:C , 3, FALSE),
IFERROR(SEARCH("+3 Range", L115),) &gt; 0,VLOOKUP("+3 Range", vote4TRAITS!A:C , 3, FALSE),
0=0,0)
,
IFS(
IFERROR(SEARCH("Sorcery 1", L115),) &gt; 0 ,VLOOKUP("Sorcery 1", vote4TRAITS!A:C , 3, FALSE),
IFERROR(SEARCH("Sorcery 2", L115),) &gt; 0 ,VLOOKUP("Sorcery 2", vote4TRAITS!A:C , 3, FALSE),
IFERROR(SEARCH("Sorcery 3", L115),) &gt; 0,VLOOKUP("Sorcery 3", vote4TRAITS!A:C , 3, FALSE),
0=0,0)
,
IFS(
IFERROR(SEARCH("Pierce 1", L115),) &gt; 0 ,VLOOKUP("Pierce 1", vote4TRAITS!A:C , 3, FALSE),
IFERROR(SEARCH("Pierce 2", L115),) &gt; 0 ,VLOOKUP("Pierce 2", vote4TRAITS!A:C , 3, FALSE),
IFERROR(SEARCH("Pierce 3", L115),) &gt; 0,VLOOKUP("Pierce 3", vote4TRAITS!A:C , 3, FALSE),
IFERROR(SEARCH("Pierce 4", L115),) &gt; 0 ,VLOOKUP("Pierce 4", vote4TRAITS!A:C , 3, FALSE),
0=0,0)
,
IFS(
IFERROR(SEARCH("+1 Health", L115),) &gt; 0 ,VLOOKUP("+1 Health", vote4TRAITS!A:C , 3, FALSE),
IFERROR(SEARCH("+2 Health", L115),) &gt; 0 ,VLOOKUP("+2 Health", vote4TRAITS!A:C , 3, FALSE),
IFERROR(SEARCH("+3 Health", L115),) &gt; 0 ,VLOOKUP("+3 Health", vote4TRAITS!A:C , 3, FALSE),
IFERROR(SEARCH("+4 Health", L115),) &gt; 0 ,VLOOKUP("+4 Health", vote4TRAITS!A:C , 3, FALSE),
0=0,0)
,
IFS(
IFERROR(SEARCH("Soul Shackle 1", L115),) &gt; 0 ,VLOOKUP("Soul Shackle 1", vote4TRAITS!A:C , 3, FALSE),
IFERROR(SEARCH("Soul Shackle 2", L115),) &gt; 0 ,VLOOKUP("Soul Shackle 2", vote4TRAITS!A:C , 3, FALSE),
IFERROR(SEARCH("Soul Shackle 3", L115),) &gt; 0,VLOOKUP("Soul Shackle 3", vote4TRAITS!A:C , 3, FALSE),
0=0,0)
)</f>
        <v>0</v>
      </c>
      <c r="N115" s="313"/>
      <c r="O115" s="317" t="str">
        <f>IF(ISBLANK(N115),,IFERROR(
IF(IFERROR(SEARCH("SS:",N115),0) &gt; 0, 
VLOOKUP(SUBSTITUTE(N115,"SS: ",""),vote4SURGE!$A:$C , 3, FALSE) - 2,
VLOOKUP(SUBSTITUTE(N115,"S: ",""),vote4SURGE!$A:$C , 3, FALSE)
)
,
IF(IFERROR(SEARCH("SS:",N115),0) &gt; 0, 
VLOOKUP(C115,vote4SURGE!$A:$C , 3, FALSE) - 2,
VLOOKUP(C115,vote4SURGE!$A:$C , 3, FALSE)
)
))</f>
        <v/>
      </c>
      <c r="P115" s="318"/>
      <c r="Q115" s="317" t="str">
        <f>IF(ISBLANK(P115),,IFERROR(
IF(IFERROR(SEARCH("SS:",P115),0) &gt; 0, 
VLOOKUP(SUBSTITUTE(P115,"SS: ",""),vote4SURGE!$A:$C , 3, FALSE) - 2,
VLOOKUP(SUBSTITUTE(P115,"S: ",""),vote4SURGE!$A:$C , 3, FALSE)
)
,
IF(IFERROR(SEARCH("SS:",P115),0) &gt; 0, 
VLOOKUP(C115,vote4SURGE!$A:$C , 3, FALSE) - 2,
VLOOKUP(C115,vote4SURGE!$A:$C , 3, FALSE)
)
))</f>
        <v/>
      </c>
      <c r="R115" s="318"/>
      <c r="S115" s="319" t="str">
        <f>IF(ISBLANK(R115),,IFERROR(
IF(IFERROR(SEARCH("SS:",R115),0) &gt; 0, 
VLOOKUP(SUBSTITUTE(R115,"SS: ",""),vote4SURGE!$A:$C , 3, FALSE) - 2,
VLOOKUP(SUBSTITUTE(R115,"S: ",""),vote4SURGE!$A:$C , 3, FALSE)
)
,
IF(IFERROR(SEARCH("SS:",R115),0) &gt; 0, 
VLOOKUP(C115,vote4SURGE!$A:$C , 3, FALSE) - 2,
VLOOKUP(C115,vote4SURGE!$A:$C , 3, FALSE)
)
))</f>
        <v/>
      </c>
      <c r="T115" s="320">
        <f t="shared" si="2"/>
        <v>0</v>
      </c>
      <c r="U115" s="320">
        <f>IFERROR(__xludf.DUMMYFUNCTION("ROUND(
IF(ISBLANK(G115),,
SWITCH(
LEN(G115) - LEN(SUBSTITUTE(G115,"","","""")),
0 , VLOOKUP(G115, Variables!$A:$C, 3, FALSE),
1 , VLOOKUP(index(split(G115 ,"", "", FALSE),1,1), Variables!$A:$C , 3, FALSE) + VLOOKUP(index(split(G115 ,"", "", FALSE),1,2), V"&amp;"ariables!$A:$C , 3, FALSE),
2 , VLOOKUP(index(split(G115 ,"", "", FALSE),1,1), Variables!$A:$C , 3, FALSE) + VLOOKUP(index(split(G115 ,"", "", FALSE),1,2), Variables!$A:$C , 3, FALSE) + VLOOKUP(index(split(G115 ,"", "", FALSE),1,3), Variables!$A:$C , 3, F"&amp;"ALSE),
3 , VLOOKUP(index(split(G115 ,"", "", FALSE),1,1), Variables!$A:$C , 3, FALSE) + VLOOKUP(index(split(G115 ,"", "", FALSE),1,2), Variables!$A:$C , 3, FALSE) + VLOOKUP(index(split(G115 ,"", "", FALSE),1,3), Variables!$A:$C , 3, FALSE) + VLOOKUP(index"&amp;"(split(G115 ,"", "", FALSE),1,4), Variables!$A:$C , 3, FALSE),
)
)
)"),0.0)</f>
        <v>0</v>
      </c>
      <c r="V115" s="317">
        <f t="shared" si="3"/>
        <v>0</v>
      </c>
      <c r="W115" s="321">
        <f t="shared" si="4"/>
        <v>5.666666667</v>
      </c>
      <c r="X115" s="118"/>
      <c r="Y115" s="118"/>
      <c r="Z115" s="118"/>
      <c r="AA115" s="118"/>
      <c r="AB115" s="118"/>
      <c r="AC115" s="118"/>
      <c r="AD115" s="118"/>
      <c r="AE115" s="118"/>
    </row>
    <row r="116" hidden="1">
      <c r="A116" s="310" t="s">
        <v>1556</v>
      </c>
      <c r="B116" s="93" t="str">
        <f t="shared" si="1"/>
        <v/>
      </c>
      <c r="C116" s="310" t="s">
        <v>840</v>
      </c>
      <c r="D116" s="323">
        <v>0.0</v>
      </c>
      <c r="E116" s="310" t="s">
        <v>1620</v>
      </c>
      <c r="F116" s="310"/>
      <c r="G116" s="313" t="s">
        <v>1663</v>
      </c>
      <c r="H116" s="312">
        <f>IFERROR(__xludf.DUMMYFUNCTION(" IF(ISBLANK(G116),,
SWITCH(
LEN(G116) - LEN(SUBSTITUTE(G116,"","","""")),
0 , VLOOKUP(G116, Variables!$A:$B, 2, FALSE),
1 , VLOOKUP(index(split(G116 ,"", "", FALSE),1,1), Variables!$A:$B , 2, FALSE) + VLOOKUP(index(split(G116 ,"", "", FALSE),1,2), Variabl"&amp;"es!$A:$B , 2, FALSE),
2 , VLOOKUP(index(split(G116 ,"", "", FALSE),1,1), Variables!$A:$B , 2, FALSE) + VLOOKUP(index(split(G116 ,"", "", FALSE),1,2), Variables!$A:$B , 2, FALSE) + VLOOKUP(index(split(G116 ,"", "", FALSE),1,3), Variables!$A:$B , 2, FALSE),"&amp;"
3 , VLOOKUP(index(split(G116 ,"", "", FALSE),1,1), Variables!$A:$B , 2, FALSE) + VLOOKUP(index(split(G116 ,"", "", FALSE),1,2), Variables!$A:$B , 2, FALSE) + VLOOKUP(index(split(G116 ,"", "", FALSE),1,3), Variables!$A:$B , 2, FALSE) + VLOOKUP(index(split"&amp;"(G116 ,"", "", FALSE),1,4), Variables!$A:$B , 2, FALSE),
)
)"),1.3333333333333333)</f>
        <v>1.333333333</v>
      </c>
      <c r="I116" s="310" t="s">
        <v>1622</v>
      </c>
      <c r="J116" s="313" t="s">
        <v>841</v>
      </c>
      <c r="K116" s="314">
        <f>IFERROR(VLOOKUP(C116,vote4ITEMS!$A:$C, 3, FALSE),)</f>
        <v>4.333333333</v>
      </c>
      <c r="L116" s="324"/>
      <c r="M116" s="314">
        <f>SUM(
IF(IFERROR(SEARCH("Aura 1",L116),0) &gt; 0 , VLOOKUP("Aura 1", vote4TRAITS!A:C , 3, FALSE), ),
IF(IFERROR(SEARCH("Backswing",L116),0) &gt; 0 , VLOOKUP("Backswing", vote4TRAITS!A:C , 3, FALSE), ),
IF(IFERROR(SEARCH("Blast",L116),0) &gt; 0 , VLOOKUP("Blast", vote4TRAITS!A:C , 3, FALSE), ),
IF(IFERROR(SEARCH("Combustible",L116),0) &gt; 0 , VLOOKUP("Combustible", vote4TRAITS!A:C , 3, FALSE), ),
IF(IFERROR(SEARCH("Command",L116),0) &gt; 0 , VLOOKUP("Command", vote4TRAITS!A:C , 3, FALSE), ),
IF(IFERROR(SEARCH("Cowardly",L116),0) &gt; 0 , VLOOKUP("Cowardly", vote4TRAITS!A:C , 3, FALSE), ),
IF(IFERROR(SEARCH("Death Wish",L116),0) &gt; 0 , VLOOKUP("Death Wish", vote4TRAITS!A:C , 3, FALSE), ),
IF(IFERROR(SEARCH("Entomb",L116),0) &gt; 0 , VLOOKUP("Entomb", vote4TRAITS!A:C , 3, FALSE), ),
IF(IFERROR(SEARCH("Ethereal Hold",L116),0) &gt; 0 , VLOOKUP("Ethereal Hold", vote4TRAITS!A:C , 3, FALSE), ),
IF(IFERROR(SEARCH("Extend",L116),0) &gt; 0 , VLOOKUP("Extend", vote4TRAITS!A:C , 3, FALSE), ),
IF(IFERROR(SEARCH("Filthy Murk",L116),0) &gt; 0 , VLOOKUP("Filthy Murk", vote4TRAITS!A:C , 3, FALSE), ),
IF(IFERROR(SEARCH("Flame Fiend",L116),0) &gt; 0 , VLOOKUP("Flame Fiend", vote4TRAITS!A:C , 3, FALSE), ),
IF(IFERROR(SEARCH("Fleshmonger",L116),0) &gt; 0 , VLOOKUP("Fleshmonger", vote4TRAITS!A:C , 3, FALSE), ),
IF(IFERROR(SEARCH("Fly",L116),0) &gt; 0 , VLOOKUP("Fly", vote4TRAITS!A:C , 3, FALSE), ),
IF(IFERROR(SEARCH("Freezing",L116),0) &gt; 0 , VLOOKUP("Freezing", vote4TRAITS!A:C , 3, FALSE), ),
IF(IFERROR(SEARCH("Lithesome",L116),0) &gt; 0 , VLOOKUP("Lithesome", vote4TRAITS!A:C , 3, FALSE), ),
IF(IFERROR(SEARCH("Harrowing",L116),0) &gt; 0 , VLOOKUP("Harrowing", vote4TRAITS!A:C , 3, FALSE), ),
IF(IFERROR(SEARCH("Hideous Laughter",L116),0) &gt; 0 , VLOOKUP("Hideous Laughter", vote4TRAITS!A:C , 3, FALSE), ),
IF(IFERROR(SEARCH("Hive Defense",L116),0) &gt; 0 , VLOOKUP("Hive Defense", vote4TRAITS!A:C , 3, FALSE), ),
IF(IFERROR(SEARCH("Horrifying",L116),0) &gt; 0 , VLOOKUP("Horrifying", vote4TRAITS!A:C , 3, FALSE), ),
IF(IFERROR(SEARCH("Ironskin",L116),0) &gt; 0 , VLOOKUP("Ironskin", vote4TRAITS!A:C , 3, FALSE), ),
IF(IFERROR(SEARCH("Unmovable",L116),0) &gt; 0 , VLOOKUP("Unmovable", vote4TRAITS!A:C , 3, FALSE), ),
IF(IFERROR(SEARCH("Lifethirst 1",L116),0) &gt; 0 , VLOOKUP("Lifethirst 1", vote4TRAITS!A:C , 3, FALSE), ),
IF(IFERROR(SEARCH("Lifethirst 2",L116),0) &gt; 0 , VLOOKUP("Lifethirst 2", vote4TRAITS!A:C , 3, FALSE), ),
IF(IFERROR(SEARCH("Morph",L116),0) &gt; 0 , VLOOKUP("Morph", vote4TRAITS!A:C , 3, FALSE), ),
IF(IFERROR(SEARCH("Night Stalker",L116),0) &gt; 0 , VLOOKUP("Night Stalker", vote4TRAITS!A:C , 3, FALSE), ),
IF(IFERROR(SEARCH("Overflowing",L116),0) &gt; 0 , VLOOKUP("Overflowing", vote4TRAITS!A:C , 3, FALSE), ),
IF(IFERROR(SEARCH("Pestilence",L116),0) &gt; 0 , VLOOKUP("Pestilence", vote4TRAITS!A:C , 3, FALSE), ),
IF(IFERROR(SEARCH("Phalanx",L116),0) &gt; 0 , VLOOKUP("Phalanx", vote4TRAITS!A:C , 3, FALSE), ),
IF(IFERROR(SEARCH("Plagued",L116),0) &gt; 0 , VLOOKUP("Plagued", vote4TRAITS!A:C , 3, FALSE), ),
IF(IFERROR(SEARCH("Prey on the Weak",L116),0) &gt; 0 , VLOOKUP("Prey on the Weak", vote4TRAITS!A:C , 3, FALSE), ),
IF(IFERROR(SEARCH("Protect",L116),0) &gt; 0 , VLOOKUP("Protect", vote4TRAITS!A:C , 3, FALSE), ),
IF(IFERROR(SEARCH("Puncture",L116),0) &gt; 0 , VLOOKUP("Puncture", vote4TRAITS!A:C , 3, FALSE), ),
IF(IFERROR(SEARCH("Putrid Boils",L116),0) &gt; 0 , VLOOKUP("Putrid Boils", vote4TRAITS!A:C , 3, FALSE), ),
IF(IFERROR(SEARCH("Ravage",L116),0) &gt; 0 , VLOOKUP("Ravage", vote4TRAITS!A:C , 3, FALSE), ),
IF(IFERROR(SEARCH("Ravenous",L116),0) &gt; 0 , VLOOKUP("Ravenous", vote4TRAITS!A:C , 3, FALSE), ),
IF(IFERROR(SEARCH("Reach",L116),0) &gt; 0 , VLOOKUP("Reach", vote4TRAITS!A:C , 3, FALSE), ),
IF(IFERROR(SEARCH("Reanimation",L116),0) &gt; 0 , VLOOKUP("Reanimation", vote4TRAITS!A:C , 3, FALSE), ),
IF(IFERROR(SEARCH("Reaper",L116),0) &gt; 0 , VLOOKUP("Reaper", vote4TRAITS!A:C , 3, FALSE), ),
IF(IFERROR(SEARCH("Riposte",L116),0) &gt; 0 , VLOOKUP("Riposte", vote4TRAITS!A:C , 3, FALSE)),
IF(IFERROR(SEARCH("Scamper",L116),0) &gt; 0 , VLOOKUP("Scamper", vote4TRAITS!A:C , 3, FALSE), ),
IF(IFERROR(SEARCH("Small Beginnings",L116),0) &gt; 0 , VLOOKUP("Small Beginnings", vote4TRAITS!A:C , 3, FALSE), ),
IF(IFERROR(SEARCH("Spawner",L116),0) &gt; 0 , VLOOKUP("Spawner", vote4TRAITS!A:C , 3,FALSE), ),
IF(IFERROR(SEARCH("Shadowr",L116),0) &gt; 0 , VLOOKUP("Shadow", vote4TRAITS!A:C , 3,FALSE), ),
IF(IFERROR(SEARCH("Shadow Step",L116),0) &gt; 0 , VLOOKUP("Shadow Step", vote4TRAITS!A:C , 3,FALSE), ),
IF(IFERROR(SEARCH("Shambling",L116),0) &gt; 0 , VLOOKUP("Shambling", vote4TRAITS!A:C , 3,FALSE), ),
IF(IFERROR(SEARCH("Stealthy",L116),0) &gt; 0 , VLOOKUP("Stealthy", vote4TRAITS!A:C , 3, FALSE), ),
IF(IFERROR(SEARCH("Web",L116),0) &gt; 0 , VLOOKUP("Web", vote4TRAITS!A:C , 3, FALSE), ),
IF(IFERROR(SEARCH("+1 Willpower",L116),0) &gt; 0 , VLOOKUP("+1 Willpower", vote4TRAITS!A:C , 3, FALSE), ),
IF(IFERROR(SEARCH("+1 Might",L116),0) &gt; 0 , VLOOKUP("+1 Might", vote4TRAITS!A:C , 3, FALSE), ),
IF(IFERROR(SEARCH("+1 Knowledge",L116),0) &gt; 0 , VLOOKUP("+1 Knowledge", vote4TRAITS!A:C , 3, FALSE), ),
IF(IFERROR(SEARCH("+1 Awareness",L116),0) &gt; 0 , VLOOKUP("+1 Awareness", vote4TRAITS!A:C , 3, FALSE), ),
IF(IFERROR(SEARCH("-1 Willpower",L116),0) &gt; 0 , VLOOKUP("-1 Willpower", vote4TRAITS!A:C , 3, FALSE), ),
IF(IFERROR(SEARCH("+1 Health",L116),0) &gt; 0 , VLOOKUP("+1 Health", vote4TRAITS!A:C , 3, FALSE), ),
IF(IFERROR(SEARCH("+2 Health",L116),0) &gt; 0 , VLOOKUP("+2 Health", vote4TRAITS!A:C , 3, FALSE), ),
IF(IFERROR(SEARCH("+1 Stamina",L116),0) &gt; 0 , VLOOKUP("+1 Stamina", vote4TRAITS!A:C , 3, FALSE), ),
IF(IFERROR(SEARCH("+2 Stamina",L116),0) &gt; 0 , VLOOKUP("+2 Stamina", vote4TRAITS!A:C , 3, FALSE), ),
IFS(
IFERROR(SEARCH("+1 Range", L116),) &gt; 0 ,VLOOKUP("+1 Range", vote4TRAITS!A:C , 3, FALSE),
IFERROR(SEARCH("+2 Range", L116),) &gt; 0 ,VLOOKUP("+2 Range", vote4TRAITS!A:C , 3, FALSE),
IFERROR(SEARCH("+3 Range", L116),) &gt; 0,VLOOKUP("+3 Range", vote4TRAITS!A:C , 3, FALSE),
0=0,0)
,
IFS(
IFERROR(SEARCH("Sorcery 1", L116),) &gt; 0 ,VLOOKUP("Sorcery 1", vote4TRAITS!A:C , 3, FALSE),
IFERROR(SEARCH("Sorcery 2", L116),) &gt; 0 ,VLOOKUP("Sorcery 2", vote4TRAITS!A:C , 3, FALSE),
IFERROR(SEARCH("Sorcery 3", L116),) &gt; 0,VLOOKUP("Sorcery 3", vote4TRAITS!A:C , 3, FALSE),
0=0,0)
,
IFS(
IFERROR(SEARCH("Pierce 1", L116),) &gt; 0 ,VLOOKUP("Pierce 1", vote4TRAITS!A:C , 3, FALSE),
IFERROR(SEARCH("Pierce 2", L116),) &gt; 0 ,VLOOKUP("Pierce 2", vote4TRAITS!A:C , 3, FALSE),
IFERROR(SEARCH("Pierce 3", L116),) &gt; 0,VLOOKUP("Pierce 3", vote4TRAITS!A:C , 3, FALSE),
IFERROR(SEARCH("Pierce 4", L116),) &gt; 0 ,VLOOKUP("Pierce 4", vote4TRAITS!A:C , 3, FALSE),
0=0,0)
,
IFS(
IFERROR(SEARCH("+1 Health", L116),) &gt; 0 ,VLOOKUP("+1 Health", vote4TRAITS!A:C , 3, FALSE),
IFERROR(SEARCH("+2 Health", L116),) &gt; 0 ,VLOOKUP("+2 Health", vote4TRAITS!A:C , 3, FALSE),
IFERROR(SEARCH("+3 Health", L116),) &gt; 0 ,VLOOKUP("+3 Health", vote4TRAITS!A:C , 3, FALSE),
IFERROR(SEARCH("+4 Health", L116),) &gt; 0 ,VLOOKUP("+4 Health", vote4TRAITS!A:C , 3, FALSE),
0=0,0)
,
IFS(
IFERROR(SEARCH("Soul Shackle 1", L116),) &gt; 0 ,VLOOKUP("Soul Shackle 1", vote4TRAITS!A:C , 3, FALSE),
IFERROR(SEARCH("Soul Shackle 2", L116),) &gt; 0 ,VLOOKUP("Soul Shackle 2", vote4TRAITS!A:C , 3, FALSE),
IFERROR(SEARCH("Soul Shackle 3", L116),) &gt; 0,VLOOKUP("Soul Shackle 3", vote4TRAITS!A:C , 3, FALSE),
0=0,0)
)</f>
        <v>0</v>
      </c>
      <c r="N116" s="330"/>
      <c r="O116" s="317" t="str">
        <f>IF(ISBLANK(N116),,IFERROR(
IF(IFERROR(SEARCH("SS:",N116),0) &gt; 0, 
VLOOKUP(SUBSTITUTE(N116,"SS: ",""),vote4SURGE!$A:$C , 3, FALSE) - 2,
VLOOKUP(SUBSTITUTE(N116,"S: ",""),vote4SURGE!$A:$C , 3, FALSE)
)
,
IF(IFERROR(SEARCH("SS:",N116),0) &gt; 0, 
VLOOKUP(C116,vote4SURGE!$A:$C , 3, FALSE) - 2,
VLOOKUP(C116,vote4SURGE!$A:$C , 3, FALSE)
)
))</f>
        <v/>
      </c>
      <c r="P116" s="318"/>
      <c r="Q116" s="317" t="str">
        <f>IF(ISBLANK(P116),,IFERROR(
IF(IFERROR(SEARCH("SS:",P116),0) &gt; 0, 
VLOOKUP(SUBSTITUTE(P116,"SS: ",""),vote4SURGE!$A:$C , 3, FALSE) - 2,
VLOOKUP(SUBSTITUTE(P116,"S: ",""),vote4SURGE!$A:$C , 3, FALSE)
)
,
IF(IFERROR(SEARCH("SS:",P116),0) &gt; 0, 
VLOOKUP(C116,vote4SURGE!$A:$C , 3, FALSE) - 2,
VLOOKUP(C116,vote4SURGE!$A:$C , 3, FALSE)
)
))</f>
        <v/>
      </c>
      <c r="R116" s="318"/>
      <c r="S116" s="319" t="str">
        <f>IF(ISBLANK(R116),,IFERROR(
IF(IFERROR(SEARCH("SS:",R116),0) &gt; 0, 
VLOOKUP(SUBSTITUTE(R116,"SS: ",""),vote4SURGE!$A:$C , 3, FALSE) - 2,
VLOOKUP(SUBSTITUTE(R116,"S: ",""),vote4SURGE!$A:$C , 3, FALSE)
)
,
IF(IFERROR(SEARCH("SS:",R116),0) &gt; 0, 
VLOOKUP(C116,vote4SURGE!$A:$C , 3, FALSE) - 2,
VLOOKUP(C116,vote4SURGE!$A:$C , 3, FALSE)
)
))</f>
        <v/>
      </c>
      <c r="T116" s="320">
        <f t="shared" si="2"/>
        <v>0</v>
      </c>
      <c r="U116" s="320">
        <f>IFERROR(__xludf.DUMMYFUNCTION("ROUND(
IF(ISBLANK(G116),,
SWITCH(
LEN(G116) - LEN(SUBSTITUTE(G116,"","","""")),
0 , VLOOKUP(G116, Variables!$A:$C, 3, FALSE),
1 , VLOOKUP(index(split(G116 ,"", "", FALSE),1,1), Variables!$A:$C , 3, FALSE) + VLOOKUP(index(split(G116 ,"", "", FALSE),1,2), V"&amp;"ariables!$A:$C , 3, FALSE),
2 , VLOOKUP(index(split(G116 ,"", "", FALSE),1,1), Variables!$A:$C , 3, FALSE) + VLOOKUP(index(split(G116 ,"", "", FALSE),1,2), Variables!$A:$C , 3, FALSE) + VLOOKUP(index(split(G116 ,"", "", FALSE),1,3), Variables!$A:$C , 3, F"&amp;"ALSE),
3 , VLOOKUP(index(split(G116 ,"", "", FALSE),1,1), Variables!$A:$C , 3, FALSE) + VLOOKUP(index(split(G116 ,"", "", FALSE),1,2), Variables!$A:$C , 3, FALSE) + VLOOKUP(index(split(G116 ,"", "", FALSE),1,3), Variables!$A:$C , 3, FALSE) + VLOOKUP(index"&amp;"(split(G116 ,"", "", FALSE),1,4), Variables!$A:$C , 3, FALSE),
)
)
)"),0.0)</f>
        <v>0</v>
      </c>
      <c r="V116" s="317">
        <f t="shared" si="3"/>
        <v>0</v>
      </c>
      <c r="W116" s="321">
        <f t="shared" si="4"/>
        <v>5.666666667</v>
      </c>
      <c r="X116" s="118"/>
      <c r="Y116" s="118"/>
      <c r="Z116" s="118"/>
      <c r="AA116" s="118"/>
      <c r="AB116" s="118"/>
      <c r="AC116" s="118"/>
      <c r="AD116" s="118"/>
      <c r="AE116" s="118"/>
    </row>
    <row r="117" hidden="1">
      <c r="A117" s="310">
        <v>1.0</v>
      </c>
      <c r="B117" s="93" t="str">
        <f t="shared" si="1"/>
        <v/>
      </c>
      <c r="C117" s="310" t="s">
        <v>934</v>
      </c>
      <c r="D117" s="323">
        <v>0.0</v>
      </c>
      <c r="E117" s="310" t="s">
        <v>1520</v>
      </c>
      <c r="F117" s="310" t="s">
        <v>1521</v>
      </c>
      <c r="G117" s="313" t="s">
        <v>1525</v>
      </c>
      <c r="H117" s="312">
        <f>IFERROR(__xludf.DUMMYFUNCTION(" IF(ISBLANK(G117),,
SWITCH(
LEN(G117) - LEN(SUBSTITUTE(G117,"","","""")),
0 , VLOOKUP(G117, Variables!$A:$B, 2, FALSE),
1 , VLOOKUP(index(split(G117 ,"", "", FALSE),1,1), Variables!$A:$B , 2, FALSE) + VLOOKUP(index(split(G117 ,"", "", FALSE),1,2), Variabl"&amp;"es!$A:$B , 2, FALSE),
2 , VLOOKUP(index(split(G117 ,"", "", FALSE),1,1), Variables!$A:$B , 2, FALSE) + VLOOKUP(index(split(G117 ,"", "", FALSE),1,2), Variables!$A:$B , 2, FALSE) + VLOOKUP(index(split(G117 ,"", "", FALSE),1,3), Variables!$A:$B , 2, FALSE),"&amp;"
3 , VLOOKUP(index(split(G117 ,"", "", FALSE),1,1), Variables!$A:$B , 2, FALSE) + VLOOKUP(index(split(G117 ,"", "", FALSE),1,2), Variables!$A:$B , 2, FALSE) + VLOOKUP(index(split(G117 ,"", "", FALSE),1,3), Variables!$A:$B , 2, FALSE) + VLOOKUP(index(split"&amp;"(G117 ,"", "", FALSE),1,4), Variables!$A:$B , 2, FALSE),
)
)"),3.333333333333333)</f>
        <v>3.333333333</v>
      </c>
      <c r="I117" s="310" t="s">
        <v>1529</v>
      </c>
      <c r="J117" s="313" t="s">
        <v>935</v>
      </c>
      <c r="K117" s="314">
        <f>IFERROR(VLOOKUP(C117,vote4ITEMS!$A:$C, 3, FALSE),)</f>
        <v>-2</v>
      </c>
      <c r="L117" s="313"/>
      <c r="M117" s="314">
        <f>SUM(
IF(IFERROR(SEARCH("Aura 1",L117),0) &gt; 0 , VLOOKUP("Aura 1", vote4TRAITS!A:C , 3, FALSE), ),
IF(IFERROR(SEARCH("Backswing",L117),0) &gt; 0 , VLOOKUP("Backswing", vote4TRAITS!A:C , 3, FALSE), ),
IF(IFERROR(SEARCH("Blast",L117),0) &gt; 0 , VLOOKUP("Blast", vote4TRAITS!A:C , 3, FALSE), ),
IF(IFERROR(SEARCH("Combustible",L117),0) &gt; 0 , VLOOKUP("Combustible", vote4TRAITS!A:C , 3, FALSE), ),
IF(IFERROR(SEARCH("Command",L117),0) &gt; 0 , VLOOKUP("Command", vote4TRAITS!A:C , 3, FALSE), ),
IF(IFERROR(SEARCH("Cowardly",L117),0) &gt; 0 , VLOOKUP("Cowardly", vote4TRAITS!A:C , 3, FALSE), ),
IF(IFERROR(SEARCH("Death Wish",L117),0) &gt; 0 , VLOOKUP("Death Wish", vote4TRAITS!A:C , 3, FALSE), ),
IF(IFERROR(SEARCH("Entomb",L117),0) &gt; 0 , VLOOKUP("Entomb", vote4TRAITS!A:C , 3, FALSE), ),
IF(IFERROR(SEARCH("Ethereal Hold",L117),0) &gt; 0 , VLOOKUP("Ethereal Hold", vote4TRAITS!A:C , 3, FALSE), ),
IF(IFERROR(SEARCH("Extend",L117),0) &gt; 0 , VLOOKUP("Extend", vote4TRAITS!A:C , 3, FALSE), ),
IF(IFERROR(SEARCH("Filthy Murk",L117),0) &gt; 0 , VLOOKUP("Filthy Murk", vote4TRAITS!A:C , 3, FALSE), ),
IF(IFERROR(SEARCH("Flame Fiend",L117),0) &gt; 0 , VLOOKUP("Flame Fiend", vote4TRAITS!A:C , 3, FALSE), ),
IF(IFERROR(SEARCH("Fleshmonger",L117),0) &gt; 0 , VLOOKUP("Fleshmonger", vote4TRAITS!A:C , 3, FALSE), ),
IF(IFERROR(SEARCH("Fly",L117),0) &gt; 0 , VLOOKUP("Fly", vote4TRAITS!A:C , 3, FALSE), ),
IF(IFERROR(SEARCH("Freezing",L117),0) &gt; 0 , VLOOKUP("Freezing", vote4TRAITS!A:C , 3, FALSE), ),
IF(IFERROR(SEARCH("Lithesome",L117),0) &gt; 0 , VLOOKUP("Lithesome", vote4TRAITS!A:C , 3, FALSE), ),
IF(IFERROR(SEARCH("Harrowing",L117),0) &gt; 0 , VLOOKUP("Harrowing", vote4TRAITS!A:C , 3, FALSE), ),
IF(IFERROR(SEARCH("Hideous Laughter",L117),0) &gt; 0 , VLOOKUP("Hideous Laughter", vote4TRAITS!A:C , 3, FALSE), ),
IF(IFERROR(SEARCH("Hive Defense",L117),0) &gt; 0 , VLOOKUP("Hive Defense", vote4TRAITS!A:C , 3, FALSE), ),
IF(IFERROR(SEARCH("Horrifying",L117),0) &gt; 0 , VLOOKUP("Horrifying", vote4TRAITS!A:C , 3, FALSE), ),
IF(IFERROR(SEARCH("Ironskin",L117),0) &gt; 0 , VLOOKUP("Ironskin", vote4TRAITS!A:C , 3, FALSE), ),
IF(IFERROR(SEARCH("Unmovable",L117),0) &gt; 0 , VLOOKUP("Unmovable", vote4TRAITS!A:C , 3, FALSE), ),
IF(IFERROR(SEARCH("Lifethirst 1",L117),0) &gt; 0 , VLOOKUP("Lifethirst 1", vote4TRAITS!A:C , 3, FALSE), ),
IF(IFERROR(SEARCH("Lifethirst 2",L117),0) &gt; 0 , VLOOKUP("Lifethirst 2", vote4TRAITS!A:C , 3, FALSE), ),
IF(IFERROR(SEARCH("Morph",L117),0) &gt; 0 , VLOOKUP("Morph", vote4TRAITS!A:C , 3, FALSE), ),
IF(IFERROR(SEARCH("Night Stalker",L117),0) &gt; 0 , VLOOKUP("Night Stalker", vote4TRAITS!A:C , 3, FALSE), ),
IF(IFERROR(SEARCH("Overflowing",L117),0) &gt; 0 , VLOOKUP("Overflowing", vote4TRAITS!A:C , 3, FALSE), ),
IF(IFERROR(SEARCH("Pestilence",L117),0) &gt; 0 , VLOOKUP("Pestilence", vote4TRAITS!A:C , 3, FALSE), ),
IF(IFERROR(SEARCH("Phalanx",L117),0) &gt; 0 , VLOOKUP("Phalanx", vote4TRAITS!A:C , 3, FALSE), ),
IF(IFERROR(SEARCH("Plagued",L117),0) &gt; 0 , VLOOKUP("Plagued", vote4TRAITS!A:C , 3, FALSE), ),
IF(IFERROR(SEARCH("Prey on the Weak",L117),0) &gt; 0 , VLOOKUP("Prey on the Weak", vote4TRAITS!A:C , 3, FALSE), ),
IF(IFERROR(SEARCH("Protect",L117),0) &gt; 0 , VLOOKUP("Protect", vote4TRAITS!A:C , 3, FALSE), ),
IF(IFERROR(SEARCH("Puncture",L117),0) &gt; 0 , VLOOKUP("Puncture", vote4TRAITS!A:C , 3, FALSE), ),
IF(IFERROR(SEARCH("Putrid Boils",L117),0) &gt; 0 , VLOOKUP("Putrid Boils", vote4TRAITS!A:C , 3, FALSE), ),
IF(IFERROR(SEARCH("Ravage",L117),0) &gt; 0 , VLOOKUP("Ravage", vote4TRAITS!A:C , 3, FALSE), ),
IF(IFERROR(SEARCH("Ravenous",L117),0) &gt; 0 , VLOOKUP("Ravenous", vote4TRAITS!A:C , 3, FALSE), ),
IF(IFERROR(SEARCH("Reach",L117),0) &gt; 0 , VLOOKUP("Reach", vote4TRAITS!A:C , 3, FALSE), ),
IF(IFERROR(SEARCH("Reanimation",L117),0) &gt; 0 , VLOOKUP("Reanimation", vote4TRAITS!A:C , 3, FALSE), ),
IF(IFERROR(SEARCH("Reaper",L117),0) &gt; 0 , VLOOKUP("Reaper", vote4TRAITS!A:C , 3, FALSE), ),
IF(IFERROR(SEARCH("Riposte",L117),0) &gt; 0 , VLOOKUP("Riposte", vote4TRAITS!A:C , 3, FALSE)),
IF(IFERROR(SEARCH("Scamper",L117),0) &gt; 0 , VLOOKUP("Scamper", vote4TRAITS!A:C , 3, FALSE), ),
IF(IFERROR(SEARCH("Small Beginnings",L117),0) &gt; 0 , VLOOKUP("Small Beginnings", vote4TRAITS!A:C , 3, FALSE), ),
IF(IFERROR(SEARCH("Spawner",L117),0) &gt; 0 , VLOOKUP("Spawner", vote4TRAITS!A:C , 3,FALSE), ),
IF(IFERROR(SEARCH("Shadowr",L117),0) &gt; 0 , VLOOKUP("Shadow", vote4TRAITS!A:C , 3,FALSE), ),
IF(IFERROR(SEARCH("Shadow Step",L117),0) &gt; 0 , VLOOKUP("Shadow Step", vote4TRAITS!A:C , 3,FALSE), ),
IF(IFERROR(SEARCH("Shambling",L117),0) &gt; 0 , VLOOKUP("Shambling", vote4TRAITS!A:C , 3,FALSE), ),
IF(IFERROR(SEARCH("Stealthy",L117),0) &gt; 0 , VLOOKUP("Stealthy", vote4TRAITS!A:C , 3, FALSE), ),
IF(IFERROR(SEARCH("Web",L117),0) &gt; 0 , VLOOKUP("Web", vote4TRAITS!A:C , 3, FALSE), ),
IF(IFERROR(SEARCH("+1 Willpower",L117),0) &gt; 0 , VLOOKUP("+1 Willpower", vote4TRAITS!A:C , 3, FALSE), ),
IF(IFERROR(SEARCH("+1 Might",L117),0) &gt; 0 , VLOOKUP("+1 Might", vote4TRAITS!A:C , 3, FALSE), ),
IF(IFERROR(SEARCH("+1 Knowledge",L117),0) &gt; 0 , VLOOKUP("+1 Knowledge", vote4TRAITS!A:C , 3, FALSE), ),
IF(IFERROR(SEARCH("+1 Awareness",L117),0) &gt; 0 , VLOOKUP("+1 Awareness", vote4TRAITS!A:C , 3, FALSE), ),
IF(IFERROR(SEARCH("-1 Willpower",L117),0) &gt; 0 , VLOOKUP("-1 Willpower", vote4TRAITS!A:C , 3, FALSE), ),
IF(IFERROR(SEARCH("+1 Health",L117),0) &gt; 0 , VLOOKUP("+1 Health", vote4TRAITS!A:C , 3, FALSE), ),
IF(IFERROR(SEARCH("+2 Health",L117),0) &gt; 0 , VLOOKUP("+2 Health", vote4TRAITS!A:C , 3, FALSE), ),
IF(IFERROR(SEARCH("+1 Stamina",L117),0) &gt; 0 , VLOOKUP("+1 Stamina", vote4TRAITS!A:C , 3, FALSE), ),
IF(IFERROR(SEARCH("+2 Stamina",L117),0) &gt; 0 , VLOOKUP("+2 Stamina", vote4TRAITS!A:C , 3, FALSE), ),
IFS(
IFERROR(SEARCH("+1 Range", L117),) &gt; 0 ,VLOOKUP("+1 Range", vote4TRAITS!A:C , 3, FALSE),
IFERROR(SEARCH("+2 Range", L117),) &gt; 0 ,VLOOKUP("+2 Range", vote4TRAITS!A:C , 3, FALSE),
IFERROR(SEARCH("+3 Range", L117),) &gt; 0,VLOOKUP("+3 Range", vote4TRAITS!A:C , 3, FALSE),
0=0,0)
,
IFS(
IFERROR(SEARCH("Sorcery 1", L117),) &gt; 0 ,VLOOKUP("Sorcery 1", vote4TRAITS!A:C , 3, FALSE),
IFERROR(SEARCH("Sorcery 2", L117),) &gt; 0 ,VLOOKUP("Sorcery 2", vote4TRAITS!A:C , 3, FALSE),
IFERROR(SEARCH("Sorcery 3", L117),) &gt; 0,VLOOKUP("Sorcery 3", vote4TRAITS!A:C , 3, FALSE),
0=0,0)
,
IFS(
IFERROR(SEARCH("Pierce 1", L117),) &gt; 0 ,VLOOKUP("Pierce 1", vote4TRAITS!A:C , 3, FALSE),
IFERROR(SEARCH("Pierce 2", L117),) &gt; 0 ,VLOOKUP("Pierce 2", vote4TRAITS!A:C , 3, FALSE),
IFERROR(SEARCH("Pierce 3", L117),) &gt; 0,VLOOKUP("Pierce 3", vote4TRAITS!A:C , 3, FALSE),
IFERROR(SEARCH("Pierce 4", L117),) &gt; 0 ,VLOOKUP("Pierce 4", vote4TRAITS!A:C , 3, FALSE),
0=0,0)
,
IFS(
IFERROR(SEARCH("+1 Health", L117),) &gt; 0 ,VLOOKUP("+1 Health", vote4TRAITS!A:C , 3, FALSE),
IFERROR(SEARCH("+2 Health", L117),) &gt; 0 ,VLOOKUP("+2 Health", vote4TRAITS!A:C , 3, FALSE),
IFERROR(SEARCH("+3 Health", L117),) &gt; 0 ,VLOOKUP("+3 Health", vote4TRAITS!A:C , 3, FALSE),
IFERROR(SEARCH("+4 Health", L117),) &gt; 0 ,VLOOKUP("+4 Health", vote4TRAITS!A:C , 3, FALSE),
0=0,0)
,
IFS(
IFERROR(SEARCH("Soul Shackle 1", L117),) &gt; 0 ,VLOOKUP("Soul Shackle 1", vote4TRAITS!A:C , 3, FALSE),
IFERROR(SEARCH("Soul Shackle 2", L117),) &gt; 0 ,VLOOKUP("Soul Shackle 2", vote4TRAITS!A:C , 3, FALSE),
IFERROR(SEARCH("Soul Shackle 3", L117),) &gt; 0,VLOOKUP("Soul Shackle 3", vote4TRAITS!A:C , 3, FALSE),
0=0,0)
)</f>
        <v>0</v>
      </c>
      <c r="N117" s="311" t="s">
        <v>1534</v>
      </c>
      <c r="O117" s="317">
        <f>IF(ISBLANK(N117),,IFERROR(
IF(IFERROR(SEARCH("SS:",N117),0) &gt; 0, 
VLOOKUP(SUBSTITUTE(N117,"SS: ",""),vote4SURGE!$A:$C , 3, FALSE) - 2,
VLOOKUP(SUBSTITUTE(N117,"S: ",""),vote4SURGE!$A:$C , 3, FALSE)
)
,
IF(IFERROR(SEARCH("SS:",N117),0) &gt; 0, 
VLOOKUP(C117,vote4SURGE!$A:$C , 3, FALSE) - 2,
VLOOKUP(C117,vote4SURGE!$A:$C , 3, FALSE)
)
))</f>
        <v>4.25</v>
      </c>
      <c r="P117" s="318"/>
      <c r="Q117" s="317" t="str">
        <f>IF(ISBLANK(P117),,IFERROR(
IF(IFERROR(SEARCH("SS:",P117),0) &gt; 0, 
VLOOKUP(SUBSTITUTE(P117,"SS: ",""),vote4SURGE!$A:$C , 3, FALSE) - 2,
VLOOKUP(SUBSTITUTE(P117,"S: ",""),vote4SURGE!$A:$C , 3, FALSE)
)
,
IF(IFERROR(SEARCH("SS:",P117),0) &gt; 0, 
VLOOKUP(C117,vote4SURGE!$A:$C , 3, FALSE) - 2,
VLOOKUP(C117,vote4SURGE!$A:$C , 3, FALSE)
)
))</f>
        <v/>
      </c>
      <c r="R117" s="318"/>
      <c r="S117" s="319" t="str">
        <f>IF(ISBLANK(R117),,IFERROR(
IF(IFERROR(SEARCH("SS:",R117),0) &gt; 0, 
VLOOKUP(SUBSTITUTE(R117,"SS: ",""),vote4SURGE!$A:$C , 3, FALSE) - 2,
VLOOKUP(SUBSTITUTE(R117,"S: ",""),vote4SURGE!$A:$C , 3, FALSE)
)
,
IF(IFERROR(SEARCH("SS:",R117),0) &gt; 0, 
VLOOKUP(C117,vote4SURGE!$A:$C , 3, FALSE) - 2,
VLOOKUP(C117,vote4SURGE!$A:$C , 3, FALSE)
)
))</f>
        <v/>
      </c>
      <c r="T117" s="320">
        <f t="shared" si="2"/>
        <v>1</v>
      </c>
      <c r="U117" s="320">
        <f>IFERROR(__xludf.DUMMYFUNCTION("ROUND(
IF(ISBLANK(G117),,
SWITCH(
LEN(G117) - LEN(SUBSTITUTE(G117,"","","""")),
0 , VLOOKUP(G117, Variables!$A:$C, 3, FALSE),
1 , VLOOKUP(index(split(G117 ,"", "", FALSE),1,1), Variables!$A:$C , 3, FALSE) + VLOOKUP(index(split(G117 ,"", "", FALSE),1,2), V"&amp;"ariables!$A:$C , 3, FALSE),
2 , VLOOKUP(index(split(G117 ,"", "", FALSE),1,1), Variables!$A:$C , 3, FALSE) + VLOOKUP(index(split(G117 ,"", "", FALSE),1,2), Variables!$A:$C , 3, FALSE) + VLOOKUP(index(split(G117 ,"", "", FALSE),1,3), Variables!$A:$C , 3, F"&amp;"ALSE),
3 , VLOOKUP(index(split(G117 ,"", "", FALSE),1,1), Variables!$A:$C , 3, FALSE) + VLOOKUP(index(split(G117 ,"", "", FALSE),1,2), Variables!$A:$C , 3, FALSE) + VLOOKUP(index(split(G117 ,"", "", FALSE),1,3), Variables!$A:$C , 3, FALSE) + VLOOKUP(index"&amp;"(split(G117 ,"", "", FALSE),1,4), Variables!$A:$C , 3, FALSE),
)
)
)"),1.0)</f>
        <v>1</v>
      </c>
      <c r="V117" s="317">
        <f t="shared" si="3"/>
        <v>4.25</v>
      </c>
      <c r="W117" s="321">
        <f t="shared" si="4"/>
        <v>5.583333333</v>
      </c>
      <c r="X117" s="118"/>
      <c r="Y117" s="118"/>
      <c r="Z117" s="118"/>
      <c r="AA117" s="118"/>
      <c r="AB117" s="118"/>
      <c r="AC117" s="118"/>
      <c r="AD117" s="118"/>
      <c r="AE117" s="118"/>
    </row>
    <row r="118" hidden="1">
      <c r="A118" s="310">
        <v>1.0</v>
      </c>
      <c r="B118" s="93">
        <f t="shared" si="1"/>
        <v>2</v>
      </c>
      <c r="C118" s="310" t="s">
        <v>713</v>
      </c>
      <c r="D118" s="310">
        <v>50.0</v>
      </c>
      <c r="E118" s="310" t="s">
        <v>1629</v>
      </c>
      <c r="F118" s="310"/>
      <c r="G118" s="313"/>
      <c r="H118" s="312" t="str">
        <f>IFERROR(__xludf.DUMMYFUNCTION(" IF(ISBLANK(G118),,
SWITCH(
LEN(G118) - LEN(SUBSTITUTE(G118,"","","""")),
0 , VLOOKUP(G118, Variables!$A:$B, 2, FALSE),
1 , VLOOKUP(index(split(G118 ,"", "", FALSE),1,1), Variables!$A:$B , 2, FALSE) + VLOOKUP(index(split(G118 ,"", "", FALSE),1,2), Variabl"&amp;"es!$A:$B , 2, FALSE),
2 , VLOOKUP(index(split(G118 ,"", "", FALSE),1,1), Variables!$A:$B , 2, FALSE) + VLOOKUP(index(split(G118 ,"", "", FALSE),1,2), Variables!$A:$B , 2, FALSE) + VLOOKUP(index(split(G118 ,"", "", FALSE),1,3), Variables!$A:$B , 2, FALSE),"&amp;"
3 , VLOOKUP(index(split(G118 ,"", "", FALSE),1,1), Variables!$A:$B , 2, FALSE) + VLOOKUP(index(split(G118 ,"", "", FALSE),1,2), Variables!$A:$B , 2, FALSE) + VLOOKUP(index(split(G118 ,"", "", FALSE),1,3), Variables!$A:$B , 2, FALSE) + VLOOKUP(index(split"&amp;"(G118 ,"", "", FALSE),1,4), Variables!$A:$B , 2, FALSE),
)
)"),"")</f>
        <v/>
      </c>
      <c r="I118" s="310" t="s">
        <v>1666</v>
      </c>
      <c r="J118" s="313" t="s">
        <v>714</v>
      </c>
      <c r="K118" s="314">
        <f>IFERROR(VLOOKUP(C118,vote4ITEMS!$A:$C, 3, FALSE),)</f>
        <v>5.5</v>
      </c>
      <c r="L118" s="313"/>
      <c r="M118" s="314">
        <f>SUM(
IF(IFERROR(SEARCH("Aura 1",L118),0) &gt; 0 , VLOOKUP("Aura 1", vote4TRAITS!A:C , 3, FALSE), ),
IF(IFERROR(SEARCH("Backswing",L118),0) &gt; 0 , VLOOKUP("Backswing", vote4TRAITS!A:C , 3, FALSE), ),
IF(IFERROR(SEARCH("Blast",L118),0) &gt; 0 , VLOOKUP("Blast", vote4TRAITS!A:C , 3, FALSE), ),
IF(IFERROR(SEARCH("Combustible",L118),0) &gt; 0 , VLOOKUP("Combustible", vote4TRAITS!A:C , 3, FALSE), ),
IF(IFERROR(SEARCH("Command",L118),0) &gt; 0 , VLOOKUP("Command", vote4TRAITS!A:C , 3, FALSE), ),
IF(IFERROR(SEARCH("Cowardly",L118),0) &gt; 0 , VLOOKUP("Cowardly", vote4TRAITS!A:C , 3, FALSE), ),
IF(IFERROR(SEARCH("Death Wish",L118),0) &gt; 0 , VLOOKUP("Death Wish", vote4TRAITS!A:C , 3, FALSE), ),
IF(IFERROR(SEARCH("Entomb",L118),0) &gt; 0 , VLOOKUP("Entomb", vote4TRAITS!A:C , 3, FALSE), ),
IF(IFERROR(SEARCH("Ethereal Hold",L118),0) &gt; 0 , VLOOKUP("Ethereal Hold", vote4TRAITS!A:C , 3, FALSE), ),
IF(IFERROR(SEARCH("Extend",L118),0) &gt; 0 , VLOOKUP("Extend", vote4TRAITS!A:C , 3, FALSE), ),
IF(IFERROR(SEARCH("Filthy Murk",L118),0) &gt; 0 , VLOOKUP("Filthy Murk", vote4TRAITS!A:C , 3, FALSE), ),
IF(IFERROR(SEARCH("Flame Fiend",L118),0) &gt; 0 , VLOOKUP("Flame Fiend", vote4TRAITS!A:C , 3, FALSE), ),
IF(IFERROR(SEARCH("Fleshmonger",L118),0) &gt; 0 , VLOOKUP("Fleshmonger", vote4TRAITS!A:C , 3, FALSE), ),
IF(IFERROR(SEARCH("Fly",L118),0) &gt; 0 , VLOOKUP("Fly", vote4TRAITS!A:C , 3, FALSE), ),
IF(IFERROR(SEARCH("Freezing",L118),0) &gt; 0 , VLOOKUP("Freezing", vote4TRAITS!A:C , 3, FALSE), ),
IF(IFERROR(SEARCH("Lithesome",L118),0) &gt; 0 , VLOOKUP("Lithesome", vote4TRAITS!A:C , 3, FALSE), ),
IF(IFERROR(SEARCH("Harrowing",L118),0) &gt; 0 , VLOOKUP("Harrowing", vote4TRAITS!A:C , 3, FALSE), ),
IF(IFERROR(SEARCH("Hideous Laughter",L118),0) &gt; 0 , VLOOKUP("Hideous Laughter", vote4TRAITS!A:C , 3, FALSE), ),
IF(IFERROR(SEARCH("Hive Defense",L118),0) &gt; 0 , VLOOKUP("Hive Defense", vote4TRAITS!A:C , 3, FALSE), ),
IF(IFERROR(SEARCH("Horrifying",L118),0) &gt; 0 , VLOOKUP("Horrifying", vote4TRAITS!A:C , 3, FALSE), ),
IF(IFERROR(SEARCH("Ironskin",L118),0) &gt; 0 , VLOOKUP("Ironskin", vote4TRAITS!A:C , 3, FALSE), ),
IF(IFERROR(SEARCH("Unmovable",L118),0) &gt; 0 , VLOOKUP("Unmovable", vote4TRAITS!A:C , 3, FALSE), ),
IF(IFERROR(SEARCH("Lifethirst 1",L118),0) &gt; 0 , VLOOKUP("Lifethirst 1", vote4TRAITS!A:C , 3, FALSE), ),
IF(IFERROR(SEARCH("Lifethirst 2",L118),0) &gt; 0 , VLOOKUP("Lifethirst 2", vote4TRAITS!A:C , 3, FALSE), ),
IF(IFERROR(SEARCH("Morph",L118),0) &gt; 0 , VLOOKUP("Morph", vote4TRAITS!A:C , 3, FALSE), ),
IF(IFERROR(SEARCH("Night Stalker",L118),0) &gt; 0 , VLOOKUP("Night Stalker", vote4TRAITS!A:C , 3, FALSE), ),
IF(IFERROR(SEARCH("Overflowing",L118),0) &gt; 0 , VLOOKUP("Overflowing", vote4TRAITS!A:C , 3, FALSE), ),
IF(IFERROR(SEARCH("Pestilence",L118),0) &gt; 0 , VLOOKUP("Pestilence", vote4TRAITS!A:C , 3, FALSE), ),
IF(IFERROR(SEARCH("Phalanx",L118),0) &gt; 0 , VLOOKUP("Phalanx", vote4TRAITS!A:C , 3, FALSE), ),
IF(IFERROR(SEARCH("Plagued",L118),0) &gt; 0 , VLOOKUP("Plagued", vote4TRAITS!A:C , 3, FALSE), ),
IF(IFERROR(SEARCH("Prey on the Weak",L118),0) &gt; 0 , VLOOKUP("Prey on the Weak", vote4TRAITS!A:C , 3, FALSE), ),
IF(IFERROR(SEARCH("Protect",L118),0) &gt; 0 , VLOOKUP("Protect", vote4TRAITS!A:C , 3, FALSE), ),
IF(IFERROR(SEARCH("Puncture",L118),0) &gt; 0 , VLOOKUP("Puncture", vote4TRAITS!A:C , 3, FALSE), ),
IF(IFERROR(SEARCH("Putrid Boils",L118),0) &gt; 0 , VLOOKUP("Putrid Boils", vote4TRAITS!A:C , 3, FALSE), ),
IF(IFERROR(SEARCH("Ravage",L118),0) &gt; 0 , VLOOKUP("Ravage", vote4TRAITS!A:C , 3, FALSE), ),
IF(IFERROR(SEARCH("Ravenous",L118),0) &gt; 0 , VLOOKUP("Ravenous", vote4TRAITS!A:C , 3, FALSE), ),
IF(IFERROR(SEARCH("Reach",L118),0) &gt; 0 , VLOOKUP("Reach", vote4TRAITS!A:C , 3, FALSE), ),
IF(IFERROR(SEARCH("Reanimation",L118),0) &gt; 0 , VLOOKUP("Reanimation", vote4TRAITS!A:C , 3, FALSE), ),
IF(IFERROR(SEARCH("Reaper",L118),0) &gt; 0 , VLOOKUP("Reaper", vote4TRAITS!A:C , 3, FALSE), ),
IF(IFERROR(SEARCH("Riposte",L118),0) &gt; 0 , VLOOKUP("Riposte", vote4TRAITS!A:C , 3, FALSE)),
IF(IFERROR(SEARCH("Scamper",L118),0) &gt; 0 , VLOOKUP("Scamper", vote4TRAITS!A:C , 3, FALSE), ),
IF(IFERROR(SEARCH("Small Beginnings",L118),0) &gt; 0 , VLOOKUP("Small Beginnings", vote4TRAITS!A:C , 3, FALSE), ),
IF(IFERROR(SEARCH("Spawner",L118),0) &gt; 0 , VLOOKUP("Spawner", vote4TRAITS!A:C , 3,FALSE), ),
IF(IFERROR(SEARCH("Shadowr",L118),0) &gt; 0 , VLOOKUP("Shadow", vote4TRAITS!A:C , 3,FALSE), ),
IF(IFERROR(SEARCH("Shadow Step",L118),0) &gt; 0 , VLOOKUP("Shadow Step", vote4TRAITS!A:C , 3,FALSE), ),
IF(IFERROR(SEARCH("Shambling",L118),0) &gt; 0 , VLOOKUP("Shambling", vote4TRAITS!A:C , 3,FALSE), ),
IF(IFERROR(SEARCH("Stealthy",L118),0) &gt; 0 , VLOOKUP("Stealthy", vote4TRAITS!A:C , 3, FALSE), ),
IF(IFERROR(SEARCH("Web",L118),0) &gt; 0 , VLOOKUP("Web", vote4TRAITS!A:C , 3, FALSE), ),
IF(IFERROR(SEARCH("+1 Willpower",L118),0) &gt; 0 , VLOOKUP("+1 Willpower", vote4TRAITS!A:C , 3, FALSE), ),
IF(IFERROR(SEARCH("+1 Might",L118),0) &gt; 0 , VLOOKUP("+1 Might", vote4TRAITS!A:C , 3, FALSE), ),
IF(IFERROR(SEARCH("+1 Knowledge",L118),0) &gt; 0 , VLOOKUP("+1 Knowledge", vote4TRAITS!A:C , 3, FALSE), ),
IF(IFERROR(SEARCH("+1 Awareness",L118),0) &gt; 0 , VLOOKUP("+1 Awareness", vote4TRAITS!A:C , 3, FALSE), ),
IF(IFERROR(SEARCH("-1 Willpower",L118),0) &gt; 0 , VLOOKUP("-1 Willpower", vote4TRAITS!A:C , 3, FALSE), ),
IF(IFERROR(SEARCH("+1 Health",L118),0) &gt; 0 , VLOOKUP("+1 Health", vote4TRAITS!A:C , 3, FALSE), ),
IF(IFERROR(SEARCH("+2 Health",L118),0) &gt; 0 , VLOOKUP("+2 Health", vote4TRAITS!A:C , 3, FALSE), ),
IF(IFERROR(SEARCH("+1 Stamina",L118),0) &gt; 0 , VLOOKUP("+1 Stamina", vote4TRAITS!A:C , 3, FALSE), ),
IF(IFERROR(SEARCH("+2 Stamina",L118),0) &gt; 0 , VLOOKUP("+2 Stamina", vote4TRAITS!A:C , 3, FALSE), ),
IFS(
IFERROR(SEARCH("+1 Range", L118),) &gt; 0 ,VLOOKUP("+1 Range", vote4TRAITS!A:C , 3, FALSE),
IFERROR(SEARCH("+2 Range", L118),) &gt; 0 ,VLOOKUP("+2 Range", vote4TRAITS!A:C , 3, FALSE),
IFERROR(SEARCH("+3 Range", L118),) &gt; 0,VLOOKUP("+3 Range", vote4TRAITS!A:C , 3, FALSE),
0=0,0)
,
IFS(
IFERROR(SEARCH("Sorcery 1", L118),) &gt; 0 ,VLOOKUP("Sorcery 1", vote4TRAITS!A:C , 3, FALSE),
IFERROR(SEARCH("Sorcery 2", L118),) &gt; 0 ,VLOOKUP("Sorcery 2", vote4TRAITS!A:C , 3, FALSE),
IFERROR(SEARCH("Sorcery 3", L118),) &gt; 0,VLOOKUP("Sorcery 3", vote4TRAITS!A:C , 3, FALSE),
0=0,0)
,
IFS(
IFERROR(SEARCH("Pierce 1", L118),) &gt; 0 ,VLOOKUP("Pierce 1", vote4TRAITS!A:C , 3, FALSE),
IFERROR(SEARCH("Pierce 2", L118),) &gt; 0 ,VLOOKUP("Pierce 2", vote4TRAITS!A:C , 3, FALSE),
IFERROR(SEARCH("Pierce 3", L118),) &gt; 0,VLOOKUP("Pierce 3", vote4TRAITS!A:C , 3, FALSE),
IFERROR(SEARCH("Pierce 4", L118),) &gt; 0 ,VLOOKUP("Pierce 4", vote4TRAITS!A:C , 3, FALSE),
0=0,0)
,
IFS(
IFERROR(SEARCH("+1 Health", L118),) &gt; 0 ,VLOOKUP("+1 Health", vote4TRAITS!A:C , 3, FALSE),
IFERROR(SEARCH("+2 Health", L118),) &gt; 0 ,VLOOKUP("+2 Health", vote4TRAITS!A:C , 3, FALSE),
IFERROR(SEARCH("+3 Health", L118),) &gt; 0 ,VLOOKUP("+3 Health", vote4TRAITS!A:C , 3, FALSE),
IFERROR(SEARCH("+4 Health", L118),) &gt; 0 ,VLOOKUP("+4 Health", vote4TRAITS!A:C , 3, FALSE),
0=0,0)
,
IFS(
IFERROR(SEARCH("Soul Shackle 1", L118),) &gt; 0 ,VLOOKUP("Soul Shackle 1", vote4TRAITS!A:C , 3, FALSE),
IFERROR(SEARCH("Soul Shackle 2", L118),) &gt; 0 ,VLOOKUP("Soul Shackle 2", vote4TRAITS!A:C , 3, FALSE),
IFERROR(SEARCH("Soul Shackle 3", L118),) &gt; 0,VLOOKUP("Soul Shackle 3", vote4TRAITS!A:C , 3, FALSE),
0=0,0)
)</f>
        <v>0</v>
      </c>
      <c r="N118" s="313"/>
      <c r="O118" s="317" t="str">
        <f>IF(ISBLANK(N118),,IFERROR(
IF(IFERROR(SEARCH("SS:",N118),0) &gt; 0, 
VLOOKUP(SUBSTITUTE(N118,"SS: ",""),vote4SURGE!$A:$C , 3, FALSE) - 2,
VLOOKUP(SUBSTITUTE(N118,"S: ",""),vote4SURGE!$A:$C , 3, FALSE)
)
,
IF(IFERROR(SEARCH("SS:",N118),0) &gt; 0, 
VLOOKUP(C118,vote4SURGE!$A:$C , 3, FALSE) - 2,
VLOOKUP(C118,vote4SURGE!$A:$C , 3, FALSE)
)
))</f>
        <v/>
      </c>
      <c r="P118" s="318"/>
      <c r="Q118" s="317" t="str">
        <f>IF(ISBLANK(P118),,IFERROR(
IF(IFERROR(SEARCH("SS:",P118),0) &gt; 0, 
VLOOKUP(SUBSTITUTE(P118,"SS: ",""),vote4SURGE!$A:$C , 3, FALSE) - 2,
VLOOKUP(SUBSTITUTE(P118,"S: ",""),vote4SURGE!$A:$C , 3, FALSE)
)
,
IF(IFERROR(SEARCH("SS:",P118),0) &gt; 0, 
VLOOKUP(C118,vote4SURGE!$A:$C , 3, FALSE) - 2,
VLOOKUP(C118,vote4SURGE!$A:$C , 3, FALSE)
)
))</f>
        <v/>
      </c>
      <c r="R118" s="318"/>
      <c r="S118" s="319" t="str">
        <f>IF(ISBLANK(R118),,IFERROR(
IF(IFERROR(SEARCH("SS:",R118),0) &gt; 0, 
VLOOKUP(SUBSTITUTE(R118,"SS: ",""),vote4SURGE!$A:$C , 3, FALSE) - 2,
VLOOKUP(SUBSTITUTE(R118,"S: ",""),vote4SURGE!$A:$C , 3, FALSE)
)
,
IF(IFERROR(SEARCH("SS:",R118),0) &gt; 0, 
VLOOKUP(C118,vote4SURGE!$A:$C , 3, FALSE) - 2,
VLOOKUP(C118,vote4SURGE!$A:$C , 3, FALSE)
)
))</f>
        <v/>
      </c>
      <c r="T118" s="320">
        <f t="shared" si="2"/>
        <v>0</v>
      </c>
      <c r="U118" s="320">
        <f>IFERROR(__xludf.DUMMYFUNCTION("ROUND(
IF(ISBLANK(G118),,
SWITCH(
LEN(G118) - LEN(SUBSTITUTE(G118,"","","""")),
0 , VLOOKUP(G118, Variables!$A:$C, 3, FALSE),
1 , VLOOKUP(index(split(G118 ,"", "", FALSE),1,1), Variables!$A:$C , 3, FALSE) + VLOOKUP(index(split(G118 ,"", "", FALSE),1,2), V"&amp;"ariables!$A:$C , 3, FALSE),
2 , VLOOKUP(index(split(G118 ,"", "", FALSE),1,1), Variables!$A:$C , 3, FALSE) + VLOOKUP(index(split(G118 ,"", "", FALSE),1,2), Variables!$A:$C , 3, FALSE) + VLOOKUP(index(split(G118 ,"", "", FALSE),1,3), Variables!$A:$C , 3, F"&amp;"ALSE),
3 , VLOOKUP(index(split(G118 ,"", "", FALSE),1,1), Variables!$A:$C , 3, FALSE) + VLOOKUP(index(split(G118 ,"", "", FALSE),1,2), Variables!$A:$C , 3, FALSE) + VLOOKUP(index(split(G118 ,"", "", FALSE),1,3), Variables!$A:$C , 3, FALSE) + VLOOKUP(index"&amp;"(split(G118 ,"", "", FALSE),1,4), Variables!$A:$C , 3, FALSE),
)
)
)"),0.0)</f>
        <v>0</v>
      </c>
      <c r="V118" s="317">
        <f t="shared" si="3"/>
        <v>0</v>
      </c>
      <c r="W118" s="321">
        <f t="shared" si="4"/>
        <v>5.5</v>
      </c>
      <c r="X118" s="118"/>
      <c r="Y118" s="118"/>
      <c r="Z118" s="118"/>
      <c r="AA118" s="118"/>
      <c r="AB118" s="118"/>
      <c r="AC118" s="118"/>
      <c r="AD118" s="118"/>
      <c r="AE118" s="118"/>
    </row>
    <row r="119" hidden="1">
      <c r="A119" s="310">
        <v>1.0</v>
      </c>
      <c r="B119" s="93" t="str">
        <f t="shared" si="1"/>
        <v/>
      </c>
      <c r="C119" s="310" t="s">
        <v>1667</v>
      </c>
      <c r="D119" s="323">
        <v>0.0</v>
      </c>
      <c r="E119" s="310" t="s">
        <v>1520</v>
      </c>
      <c r="F119" s="310" t="s">
        <v>1567</v>
      </c>
      <c r="G119" s="313" t="s">
        <v>1592</v>
      </c>
      <c r="H119" s="312">
        <f>IFERROR(__xludf.DUMMYFUNCTION(" IF(ISBLANK(G119),,
SWITCH(
LEN(G119) - LEN(SUBSTITUTE(G119,"","","""")),
0 , VLOOKUP(G119, Variables!$A:$B, 2, FALSE),
1 , VLOOKUP(index(split(G119 ,"", "", FALSE),1,1), Variables!$A:$B , 2, FALSE) + VLOOKUP(index(split(G119 ,"", "", FALSE),1,2), Variabl"&amp;"es!$A:$B , 2, FALSE),
2 , VLOOKUP(index(split(G119 ,"", "", FALSE),1,1), Variables!$A:$B , 2, FALSE) + VLOOKUP(index(split(G119 ,"", "", FALSE),1,2), Variables!$A:$B , 2, FALSE) + VLOOKUP(index(split(G119 ,"", "", FALSE),1,3), Variables!$A:$B , 2, FALSE),"&amp;"
3 , VLOOKUP(index(split(G119 ,"", "", FALSE),1,1), Variables!$A:$B , 2, FALSE) + VLOOKUP(index(split(G119 ,"", "", FALSE),1,2), Variables!$A:$B , 2, FALSE) + VLOOKUP(index(split(G119 ,"", "", FALSE),1,3), Variables!$A:$B , 2, FALSE) + VLOOKUP(index(split"&amp;"(G119 ,"", "", FALSE),1,4), Variables!$A:$B , 2, FALSE),
)
)"),1.8333333333333335)</f>
        <v>1.833333333</v>
      </c>
      <c r="I119" s="310" t="s">
        <v>1570</v>
      </c>
      <c r="J119" s="313"/>
      <c r="K119" s="314" t="str">
        <f>IFERROR(VLOOKUP(C119,vote4ITEMS!$A:$C, 3, FALSE),)</f>
        <v/>
      </c>
      <c r="L119" s="313"/>
      <c r="M119" s="314">
        <f>SUM(
IF(IFERROR(SEARCH("Aura 1",L119),0) &gt; 0 , VLOOKUP("Aura 1", vote4TRAITS!A:C , 3, FALSE), ),
IF(IFERROR(SEARCH("Backswing",L119),0) &gt; 0 , VLOOKUP("Backswing", vote4TRAITS!A:C , 3, FALSE), ),
IF(IFERROR(SEARCH("Blast",L119),0) &gt; 0 , VLOOKUP("Blast", vote4TRAITS!A:C , 3, FALSE), ),
IF(IFERROR(SEARCH("Combustible",L119),0) &gt; 0 , VLOOKUP("Combustible", vote4TRAITS!A:C , 3, FALSE), ),
IF(IFERROR(SEARCH("Command",L119),0) &gt; 0 , VLOOKUP("Command", vote4TRAITS!A:C , 3, FALSE), ),
IF(IFERROR(SEARCH("Cowardly",L119),0) &gt; 0 , VLOOKUP("Cowardly", vote4TRAITS!A:C , 3, FALSE), ),
IF(IFERROR(SEARCH("Death Wish",L119),0) &gt; 0 , VLOOKUP("Death Wish", vote4TRAITS!A:C , 3, FALSE), ),
IF(IFERROR(SEARCH("Entomb",L119),0) &gt; 0 , VLOOKUP("Entomb", vote4TRAITS!A:C , 3, FALSE), ),
IF(IFERROR(SEARCH("Ethereal Hold",L119),0) &gt; 0 , VLOOKUP("Ethereal Hold", vote4TRAITS!A:C , 3, FALSE), ),
IF(IFERROR(SEARCH("Extend",L119),0) &gt; 0 , VLOOKUP("Extend", vote4TRAITS!A:C , 3, FALSE), ),
IF(IFERROR(SEARCH("Filthy Murk",L119),0) &gt; 0 , VLOOKUP("Filthy Murk", vote4TRAITS!A:C , 3, FALSE), ),
IF(IFERROR(SEARCH("Flame Fiend",L119),0) &gt; 0 , VLOOKUP("Flame Fiend", vote4TRAITS!A:C , 3, FALSE), ),
IF(IFERROR(SEARCH("Fleshmonger",L119),0) &gt; 0 , VLOOKUP("Fleshmonger", vote4TRAITS!A:C , 3, FALSE), ),
IF(IFERROR(SEARCH("Fly",L119),0) &gt; 0 , VLOOKUP("Fly", vote4TRAITS!A:C , 3, FALSE), ),
IF(IFERROR(SEARCH("Freezing",L119),0) &gt; 0 , VLOOKUP("Freezing", vote4TRAITS!A:C , 3, FALSE), ),
IF(IFERROR(SEARCH("Lithesome",L119),0) &gt; 0 , VLOOKUP("Lithesome", vote4TRAITS!A:C , 3, FALSE), ),
IF(IFERROR(SEARCH("Harrowing",L119),0) &gt; 0 , VLOOKUP("Harrowing", vote4TRAITS!A:C , 3, FALSE), ),
IF(IFERROR(SEARCH("Hideous Laughter",L119),0) &gt; 0 , VLOOKUP("Hideous Laughter", vote4TRAITS!A:C , 3, FALSE), ),
IF(IFERROR(SEARCH("Hive Defense",L119),0) &gt; 0 , VLOOKUP("Hive Defense", vote4TRAITS!A:C , 3, FALSE), ),
IF(IFERROR(SEARCH("Horrifying",L119),0) &gt; 0 , VLOOKUP("Horrifying", vote4TRAITS!A:C , 3, FALSE), ),
IF(IFERROR(SEARCH("Ironskin",L119),0) &gt; 0 , VLOOKUP("Ironskin", vote4TRAITS!A:C , 3, FALSE), ),
IF(IFERROR(SEARCH("Unmovable",L119),0) &gt; 0 , VLOOKUP("Unmovable", vote4TRAITS!A:C , 3, FALSE), ),
IF(IFERROR(SEARCH("Lifethirst 1",L119),0) &gt; 0 , VLOOKUP("Lifethirst 1", vote4TRAITS!A:C , 3, FALSE), ),
IF(IFERROR(SEARCH("Lifethirst 2",L119),0) &gt; 0 , VLOOKUP("Lifethirst 2", vote4TRAITS!A:C , 3, FALSE), ),
IF(IFERROR(SEARCH("Morph",L119),0) &gt; 0 , VLOOKUP("Morph", vote4TRAITS!A:C , 3, FALSE), ),
IF(IFERROR(SEARCH("Night Stalker",L119),0) &gt; 0 , VLOOKUP("Night Stalker", vote4TRAITS!A:C , 3, FALSE), ),
IF(IFERROR(SEARCH("Overflowing",L119),0) &gt; 0 , VLOOKUP("Overflowing", vote4TRAITS!A:C , 3, FALSE), ),
IF(IFERROR(SEARCH("Pestilence",L119),0) &gt; 0 , VLOOKUP("Pestilence", vote4TRAITS!A:C , 3, FALSE), ),
IF(IFERROR(SEARCH("Phalanx",L119),0) &gt; 0 , VLOOKUP("Phalanx", vote4TRAITS!A:C , 3, FALSE), ),
IF(IFERROR(SEARCH("Plagued",L119),0) &gt; 0 , VLOOKUP("Plagued", vote4TRAITS!A:C , 3, FALSE), ),
IF(IFERROR(SEARCH("Prey on the Weak",L119),0) &gt; 0 , VLOOKUP("Prey on the Weak", vote4TRAITS!A:C , 3, FALSE), ),
IF(IFERROR(SEARCH("Protect",L119),0) &gt; 0 , VLOOKUP("Protect", vote4TRAITS!A:C , 3, FALSE), ),
IF(IFERROR(SEARCH("Puncture",L119),0) &gt; 0 , VLOOKUP("Puncture", vote4TRAITS!A:C , 3, FALSE), ),
IF(IFERROR(SEARCH("Putrid Boils",L119),0) &gt; 0 , VLOOKUP("Putrid Boils", vote4TRAITS!A:C , 3, FALSE), ),
IF(IFERROR(SEARCH("Ravage",L119),0) &gt; 0 , VLOOKUP("Ravage", vote4TRAITS!A:C , 3, FALSE), ),
IF(IFERROR(SEARCH("Ravenous",L119),0) &gt; 0 , VLOOKUP("Ravenous", vote4TRAITS!A:C , 3, FALSE), ),
IF(IFERROR(SEARCH("Reach",L119),0) &gt; 0 , VLOOKUP("Reach", vote4TRAITS!A:C , 3, FALSE), ),
IF(IFERROR(SEARCH("Reanimation",L119),0) &gt; 0 , VLOOKUP("Reanimation", vote4TRAITS!A:C , 3, FALSE), ),
IF(IFERROR(SEARCH("Reaper",L119),0) &gt; 0 , VLOOKUP("Reaper", vote4TRAITS!A:C , 3, FALSE), ),
IF(IFERROR(SEARCH("Riposte",L119),0) &gt; 0 , VLOOKUP("Riposte", vote4TRAITS!A:C , 3, FALSE)),
IF(IFERROR(SEARCH("Scamper",L119),0) &gt; 0 , VLOOKUP("Scamper", vote4TRAITS!A:C , 3, FALSE), ),
IF(IFERROR(SEARCH("Small Beginnings",L119),0) &gt; 0 , VLOOKUP("Small Beginnings", vote4TRAITS!A:C , 3, FALSE), ),
IF(IFERROR(SEARCH("Spawner",L119),0) &gt; 0 , VLOOKUP("Spawner", vote4TRAITS!A:C , 3,FALSE), ),
IF(IFERROR(SEARCH("Shadowr",L119),0) &gt; 0 , VLOOKUP("Shadow", vote4TRAITS!A:C , 3,FALSE), ),
IF(IFERROR(SEARCH("Shadow Step",L119),0) &gt; 0 , VLOOKUP("Shadow Step", vote4TRAITS!A:C , 3,FALSE), ),
IF(IFERROR(SEARCH("Shambling",L119),0) &gt; 0 , VLOOKUP("Shambling", vote4TRAITS!A:C , 3,FALSE), ),
IF(IFERROR(SEARCH("Stealthy",L119),0) &gt; 0 , VLOOKUP("Stealthy", vote4TRAITS!A:C , 3, FALSE), ),
IF(IFERROR(SEARCH("Web",L119),0) &gt; 0 , VLOOKUP("Web", vote4TRAITS!A:C , 3, FALSE), ),
IF(IFERROR(SEARCH("+1 Willpower",L119),0) &gt; 0 , VLOOKUP("+1 Willpower", vote4TRAITS!A:C , 3, FALSE), ),
IF(IFERROR(SEARCH("+1 Might",L119),0) &gt; 0 , VLOOKUP("+1 Might", vote4TRAITS!A:C , 3, FALSE), ),
IF(IFERROR(SEARCH("+1 Knowledge",L119),0) &gt; 0 , VLOOKUP("+1 Knowledge", vote4TRAITS!A:C , 3, FALSE), ),
IF(IFERROR(SEARCH("+1 Awareness",L119),0) &gt; 0 , VLOOKUP("+1 Awareness", vote4TRAITS!A:C , 3, FALSE), ),
IF(IFERROR(SEARCH("-1 Willpower",L119),0) &gt; 0 , VLOOKUP("-1 Willpower", vote4TRAITS!A:C , 3, FALSE), ),
IF(IFERROR(SEARCH("+1 Health",L119),0) &gt; 0 , VLOOKUP("+1 Health", vote4TRAITS!A:C , 3, FALSE), ),
IF(IFERROR(SEARCH("+2 Health",L119),0) &gt; 0 , VLOOKUP("+2 Health", vote4TRAITS!A:C , 3, FALSE), ),
IF(IFERROR(SEARCH("+1 Stamina",L119),0) &gt; 0 , VLOOKUP("+1 Stamina", vote4TRAITS!A:C , 3, FALSE), ),
IF(IFERROR(SEARCH("+2 Stamina",L119),0) &gt; 0 , VLOOKUP("+2 Stamina", vote4TRAITS!A:C , 3, FALSE), ),
IFS(
IFERROR(SEARCH("+1 Range", L119),) &gt; 0 ,VLOOKUP("+1 Range", vote4TRAITS!A:C , 3, FALSE),
IFERROR(SEARCH("+2 Range", L119),) &gt; 0 ,VLOOKUP("+2 Range", vote4TRAITS!A:C , 3, FALSE),
IFERROR(SEARCH("+3 Range", L119),) &gt; 0,VLOOKUP("+3 Range", vote4TRAITS!A:C , 3, FALSE),
0=0,0)
,
IFS(
IFERROR(SEARCH("Sorcery 1", L119),) &gt; 0 ,VLOOKUP("Sorcery 1", vote4TRAITS!A:C , 3, FALSE),
IFERROR(SEARCH("Sorcery 2", L119),) &gt; 0 ,VLOOKUP("Sorcery 2", vote4TRAITS!A:C , 3, FALSE),
IFERROR(SEARCH("Sorcery 3", L119),) &gt; 0,VLOOKUP("Sorcery 3", vote4TRAITS!A:C , 3, FALSE),
0=0,0)
,
IFS(
IFERROR(SEARCH("Pierce 1", L119),) &gt; 0 ,VLOOKUP("Pierce 1", vote4TRAITS!A:C , 3, FALSE),
IFERROR(SEARCH("Pierce 2", L119),) &gt; 0 ,VLOOKUP("Pierce 2", vote4TRAITS!A:C , 3, FALSE),
IFERROR(SEARCH("Pierce 3", L119),) &gt; 0,VLOOKUP("Pierce 3", vote4TRAITS!A:C , 3, FALSE),
IFERROR(SEARCH("Pierce 4", L119),) &gt; 0 ,VLOOKUP("Pierce 4", vote4TRAITS!A:C , 3, FALSE),
0=0,0)
,
IFS(
IFERROR(SEARCH("+1 Health", L119),) &gt; 0 ,VLOOKUP("+1 Health", vote4TRAITS!A:C , 3, FALSE),
IFERROR(SEARCH("+2 Health", L119),) &gt; 0 ,VLOOKUP("+2 Health", vote4TRAITS!A:C , 3, FALSE),
IFERROR(SEARCH("+3 Health", L119),) &gt; 0 ,VLOOKUP("+3 Health", vote4TRAITS!A:C , 3, FALSE),
IFERROR(SEARCH("+4 Health", L119),) &gt; 0 ,VLOOKUP("+4 Health", vote4TRAITS!A:C , 3, FALSE),
0=0,0)
,
IFS(
IFERROR(SEARCH("Soul Shackle 1", L119),) &gt; 0 ,VLOOKUP("Soul Shackle 1", vote4TRAITS!A:C , 3, FALSE),
IFERROR(SEARCH("Soul Shackle 2", L119),) &gt; 0 ,VLOOKUP("Soul Shackle 2", vote4TRAITS!A:C , 3, FALSE),
IFERROR(SEARCH("Soul Shackle 3", L119),) &gt; 0,VLOOKUP("Soul Shackle 3", vote4TRAITS!A:C , 3, FALSE),
0=0,0)
)</f>
        <v>0</v>
      </c>
      <c r="N119" s="311" t="s">
        <v>1579</v>
      </c>
      <c r="O119" s="317">
        <f>IF(ISBLANK(N119),,IFERROR(
IF(IFERROR(SEARCH("SS:",N119),0) &gt; 0, 
VLOOKUP(SUBSTITUTE(N119,"SS: ",""),vote4SURGE!$A:$C , 3, FALSE) - 2,
VLOOKUP(SUBSTITUTE(N119,"S: ",""),vote4SURGE!$A:$C , 3, FALSE)
)
,
IF(IFERROR(SEARCH("SS:",N119),0) &gt; 0, 
VLOOKUP(C119,vote4SURGE!$A:$C , 3, FALSE) - 2,
VLOOKUP(C119,vote4SURGE!$A:$C , 3, FALSE)
)
))</f>
        <v>2.5</v>
      </c>
      <c r="P119" s="315" t="s">
        <v>1668</v>
      </c>
      <c r="Q119" s="317">
        <f>IF(ISBLANK(P119),,IFERROR(
IF(IFERROR(SEARCH("SS:",P119),0) &gt; 0, 
VLOOKUP(SUBSTITUTE(P119,"SS: ",""),vote4SURGE!$A:$C , 3, FALSE) - 2,
VLOOKUP(SUBSTITUTE(P119,"S: ",""),vote4SURGE!$A:$C , 3, FALSE)
)
,
IF(IFERROR(SEARCH("SS:",P119),0) &gt; 0, 
VLOOKUP(C119,vote4SURGE!$A:$C , 3, FALSE) - 2,
VLOOKUP(C119,vote4SURGE!$A:$C , 3, FALSE)
)
))</f>
        <v>4.333333333</v>
      </c>
      <c r="R119" s="318"/>
      <c r="S119" s="319" t="str">
        <f>IF(ISBLANK(R119),,IFERROR(
IF(IFERROR(SEARCH("SS:",R119),0) &gt; 0, 
VLOOKUP(SUBSTITUTE(R119,"SS: ",""),vote4SURGE!$A:$C , 3, FALSE) - 2,
VLOOKUP(SUBSTITUTE(R119,"S: ",""),vote4SURGE!$A:$C , 3, FALSE)
)
,
IF(IFERROR(SEARCH("SS:",R119),0) &gt; 0, 
VLOOKUP(C119,vote4SURGE!$A:$C , 3, FALSE) - 2,
VLOOKUP(C119,vote4SURGE!$A:$C , 3, FALSE)
)
))</f>
        <v/>
      </c>
      <c r="T119" s="320">
        <f t="shared" si="2"/>
        <v>2</v>
      </c>
      <c r="U119" s="320">
        <f>IFERROR(__xludf.DUMMYFUNCTION("ROUND(
IF(ISBLANK(G119),,
SWITCH(
LEN(G119) - LEN(SUBSTITUTE(G119,"","","""")),
0 , VLOOKUP(G119, Variables!$A:$C, 3, FALSE),
1 , VLOOKUP(index(split(G119 ,"", "", FALSE),1,1), Variables!$A:$C , 3, FALSE) + VLOOKUP(index(split(G119 ,"", "", FALSE),1,2), V"&amp;"ariables!$A:$C , 3, FALSE),
2 , VLOOKUP(index(split(G119 ,"", "", FALSE),1,1), Variables!$A:$C , 3, FALSE) + VLOOKUP(index(split(G119 ,"", "", FALSE),1,2), Variables!$A:$C , 3, FALSE) + VLOOKUP(index(split(G119 ,"", "", FALSE),1,3), Variables!$A:$C , 3, F"&amp;"ALSE),
3 , VLOOKUP(index(split(G119 ,"", "", FALSE),1,1), Variables!$A:$C , 3, FALSE) + VLOOKUP(index(split(G119 ,"", "", FALSE),1,2), Variables!$A:$C , 3, FALSE) + VLOOKUP(index(split(G119 ,"", "", FALSE),1,3), Variables!$A:$C , 3, FALSE) + VLOOKUP(index"&amp;"(split(G119 ,"", "", FALSE),1,4), Variables!$A:$C , 3, FALSE),
)
)
)"),1.0)</f>
        <v>1</v>
      </c>
      <c r="V119" s="317">
        <f t="shared" si="3"/>
        <v>5.583333333</v>
      </c>
      <c r="W119" s="321">
        <f t="shared" si="4"/>
        <v>7.416666667</v>
      </c>
      <c r="X119" s="118"/>
      <c r="Y119" s="118"/>
      <c r="Z119" s="118"/>
      <c r="AA119" s="118"/>
      <c r="AB119" s="118"/>
      <c r="AC119" s="118"/>
      <c r="AD119" s="118"/>
      <c r="AE119" s="118"/>
    </row>
    <row r="120" hidden="1">
      <c r="A120" s="310">
        <v>2.0</v>
      </c>
      <c r="B120" s="93">
        <f t="shared" si="1"/>
        <v>6</v>
      </c>
      <c r="C120" s="310" t="s">
        <v>844</v>
      </c>
      <c r="D120" s="310">
        <v>150.0</v>
      </c>
      <c r="E120" s="310" t="s">
        <v>1620</v>
      </c>
      <c r="F120" s="310"/>
      <c r="G120" s="313" t="s">
        <v>1621</v>
      </c>
      <c r="H120" s="312">
        <f>IFERROR(__xludf.DUMMYFUNCTION(" IF(ISBLANK(G120),,
SWITCH(
LEN(G120) - LEN(SUBSTITUTE(G120,"","","""")),
0 , VLOOKUP(G120, Variables!$A:$B, 2, FALSE),
1 , VLOOKUP(index(split(G120 ,"", "", FALSE),1,1), Variables!$A:$B , 2, FALSE) + VLOOKUP(index(split(G120 ,"", "", FALSE),1,2), Variabl"&amp;"es!$A:$B , 2, FALSE),
2 , VLOOKUP(index(split(G120 ,"", "", FALSE),1,1), Variables!$A:$B , 2, FALSE) + VLOOKUP(index(split(G120 ,"", "", FALSE),1,2), Variables!$A:$B , 2, FALSE) + VLOOKUP(index(split(G120 ,"", "", FALSE),1,3), Variables!$A:$B , 2, FALSE),"&amp;"
3 , VLOOKUP(index(split(G120 ,"", "", FALSE),1,1), Variables!$A:$B , 2, FALSE) + VLOOKUP(index(split(G120 ,"", "", FALSE),1,2), Variables!$A:$B , 2, FALSE) + VLOOKUP(index(split(G120 ,"", "", FALSE),1,3), Variables!$A:$B , 2, FALSE) + VLOOKUP(index(split"&amp;"(G120 ,"", "", FALSE),1,4), Variables!$A:$B , 2, FALSE),
)
)"),0.6666666666666666)</f>
        <v>0.6666666667</v>
      </c>
      <c r="I120" s="310" t="s">
        <v>1669</v>
      </c>
      <c r="J120" s="311" t="s">
        <v>1670</v>
      </c>
      <c r="K120" s="314">
        <f>IFERROR(VLOOKUP(C120,vote4ITEMS!$A:$C, 3, FALSE),)</f>
        <v>4.666666667</v>
      </c>
      <c r="L120" s="313"/>
      <c r="M120" s="314">
        <f>SUM(
IF(IFERROR(SEARCH("Aura 1",L120),0) &gt; 0 , VLOOKUP("Aura 1", vote4TRAITS!A:C , 3, FALSE), ),
IF(IFERROR(SEARCH("Backswing",L120),0) &gt; 0 , VLOOKUP("Backswing", vote4TRAITS!A:C , 3, FALSE), ),
IF(IFERROR(SEARCH("Blast",L120),0) &gt; 0 , VLOOKUP("Blast", vote4TRAITS!A:C , 3, FALSE), ),
IF(IFERROR(SEARCH("Combustible",L120),0) &gt; 0 , VLOOKUP("Combustible", vote4TRAITS!A:C , 3, FALSE), ),
IF(IFERROR(SEARCH("Command",L120),0) &gt; 0 , VLOOKUP("Command", vote4TRAITS!A:C , 3, FALSE), ),
IF(IFERROR(SEARCH("Cowardly",L120),0) &gt; 0 , VLOOKUP("Cowardly", vote4TRAITS!A:C , 3, FALSE), ),
IF(IFERROR(SEARCH("Death Wish",L120),0) &gt; 0 , VLOOKUP("Death Wish", vote4TRAITS!A:C , 3, FALSE), ),
IF(IFERROR(SEARCH("Entomb",L120),0) &gt; 0 , VLOOKUP("Entomb", vote4TRAITS!A:C , 3, FALSE), ),
IF(IFERROR(SEARCH("Ethereal Hold",L120),0) &gt; 0 , VLOOKUP("Ethereal Hold", vote4TRAITS!A:C , 3, FALSE), ),
IF(IFERROR(SEARCH("Extend",L120),0) &gt; 0 , VLOOKUP("Extend", vote4TRAITS!A:C , 3, FALSE), ),
IF(IFERROR(SEARCH("Filthy Murk",L120),0) &gt; 0 , VLOOKUP("Filthy Murk", vote4TRAITS!A:C , 3, FALSE), ),
IF(IFERROR(SEARCH("Flame Fiend",L120),0) &gt; 0 , VLOOKUP("Flame Fiend", vote4TRAITS!A:C , 3, FALSE), ),
IF(IFERROR(SEARCH("Fleshmonger",L120),0) &gt; 0 , VLOOKUP("Fleshmonger", vote4TRAITS!A:C , 3, FALSE), ),
IF(IFERROR(SEARCH("Fly",L120),0) &gt; 0 , VLOOKUP("Fly", vote4TRAITS!A:C , 3, FALSE), ),
IF(IFERROR(SEARCH("Freezing",L120),0) &gt; 0 , VLOOKUP("Freezing", vote4TRAITS!A:C , 3, FALSE), ),
IF(IFERROR(SEARCH("Lithesome",L120),0) &gt; 0 , VLOOKUP("Lithesome", vote4TRAITS!A:C , 3, FALSE), ),
IF(IFERROR(SEARCH("Harrowing",L120),0) &gt; 0 , VLOOKUP("Harrowing", vote4TRAITS!A:C , 3, FALSE), ),
IF(IFERROR(SEARCH("Hideous Laughter",L120),0) &gt; 0 , VLOOKUP("Hideous Laughter", vote4TRAITS!A:C , 3, FALSE), ),
IF(IFERROR(SEARCH("Hive Defense",L120),0) &gt; 0 , VLOOKUP("Hive Defense", vote4TRAITS!A:C , 3, FALSE), ),
IF(IFERROR(SEARCH("Horrifying",L120),0) &gt; 0 , VLOOKUP("Horrifying", vote4TRAITS!A:C , 3, FALSE), ),
IF(IFERROR(SEARCH("Ironskin",L120),0) &gt; 0 , VLOOKUP("Ironskin", vote4TRAITS!A:C , 3, FALSE), ),
IF(IFERROR(SEARCH("Unmovable",L120),0) &gt; 0 , VLOOKUP("Unmovable", vote4TRAITS!A:C , 3, FALSE), ),
IF(IFERROR(SEARCH("Lifethirst 1",L120),0) &gt; 0 , VLOOKUP("Lifethirst 1", vote4TRAITS!A:C , 3, FALSE), ),
IF(IFERROR(SEARCH("Lifethirst 2",L120),0) &gt; 0 , VLOOKUP("Lifethirst 2", vote4TRAITS!A:C , 3, FALSE), ),
IF(IFERROR(SEARCH("Morph",L120),0) &gt; 0 , VLOOKUP("Morph", vote4TRAITS!A:C , 3, FALSE), ),
IF(IFERROR(SEARCH("Night Stalker",L120),0) &gt; 0 , VLOOKUP("Night Stalker", vote4TRAITS!A:C , 3, FALSE), ),
IF(IFERROR(SEARCH("Overflowing",L120),0) &gt; 0 , VLOOKUP("Overflowing", vote4TRAITS!A:C , 3, FALSE), ),
IF(IFERROR(SEARCH("Pestilence",L120),0) &gt; 0 , VLOOKUP("Pestilence", vote4TRAITS!A:C , 3, FALSE), ),
IF(IFERROR(SEARCH("Phalanx",L120),0) &gt; 0 , VLOOKUP("Phalanx", vote4TRAITS!A:C , 3, FALSE), ),
IF(IFERROR(SEARCH("Plagued",L120),0) &gt; 0 , VLOOKUP("Plagued", vote4TRAITS!A:C , 3, FALSE), ),
IF(IFERROR(SEARCH("Prey on the Weak",L120),0) &gt; 0 , VLOOKUP("Prey on the Weak", vote4TRAITS!A:C , 3, FALSE), ),
IF(IFERROR(SEARCH("Protect",L120),0) &gt; 0 , VLOOKUP("Protect", vote4TRAITS!A:C , 3, FALSE), ),
IF(IFERROR(SEARCH("Puncture",L120),0) &gt; 0 , VLOOKUP("Puncture", vote4TRAITS!A:C , 3, FALSE), ),
IF(IFERROR(SEARCH("Putrid Boils",L120),0) &gt; 0 , VLOOKUP("Putrid Boils", vote4TRAITS!A:C , 3, FALSE), ),
IF(IFERROR(SEARCH("Ravage",L120),0) &gt; 0 , VLOOKUP("Ravage", vote4TRAITS!A:C , 3, FALSE), ),
IF(IFERROR(SEARCH("Ravenous",L120),0) &gt; 0 , VLOOKUP("Ravenous", vote4TRAITS!A:C , 3, FALSE), ),
IF(IFERROR(SEARCH("Reach",L120),0) &gt; 0 , VLOOKUP("Reach", vote4TRAITS!A:C , 3, FALSE), ),
IF(IFERROR(SEARCH("Reanimation",L120),0) &gt; 0 , VLOOKUP("Reanimation", vote4TRAITS!A:C , 3, FALSE), ),
IF(IFERROR(SEARCH("Reaper",L120),0) &gt; 0 , VLOOKUP("Reaper", vote4TRAITS!A:C , 3, FALSE), ),
IF(IFERROR(SEARCH("Riposte",L120),0) &gt; 0 , VLOOKUP("Riposte", vote4TRAITS!A:C , 3, FALSE)),
IF(IFERROR(SEARCH("Scamper",L120),0) &gt; 0 , VLOOKUP("Scamper", vote4TRAITS!A:C , 3, FALSE), ),
IF(IFERROR(SEARCH("Small Beginnings",L120),0) &gt; 0 , VLOOKUP("Small Beginnings", vote4TRAITS!A:C , 3, FALSE), ),
IF(IFERROR(SEARCH("Spawner",L120),0) &gt; 0 , VLOOKUP("Spawner", vote4TRAITS!A:C , 3,FALSE), ),
IF(IFERROR(SEARCH("Shadowr",L120),0) &gt; 0 , VLOOKUP("Shadow", vote4TRAITS!A:C , 3,FALSE), ),
IF(IFERROR(SEARCH("Shadow Step",L120),0) &gt; 0 , VLOOKUP("Shadow Step", vote4TRAITS!A:C , 3,FALSE), ),
IF(IFERROR(SEARCH("Shambling",L120),0) &gt; 0 , VLOOKUP("Shambling", vote4TRAITS!A:C , 3,FALSE), ),
IF(IFERROR(SEARCH("Stealthy",L120),0) &gt; 0 , VLOOKUP("Stealthy", vote4TRAITS!A:C , 3, FALSE), ),
IF(IFERROR(SEARCH("Web",L120),0) &gt; 0 , VLOOKUP("Web", vote4TRAITS!A:C , 3, FALSE), ),
IF(IFERROR(SEARCH("+1 Willpower",L120),0) &gt; 0 , VLOOKUP("+1 Willpower", vote4TRAITS!A:C , 3, FALSE), ),
IF(IFERROR(SEARCH("+1 Might",L120),0) &gt; 0 , VLOOKUP("+1 Might", vote4TRAITS!A:C , 3, FALSE), ),
IF(IFERROR(SEARCH("+1 Knowledge",L120),0) &gt; 0 , VLOOKUP("+1 Knowledge", vote4TRAITS!A:C , 3, FALSE), ),
IF(IFERROR(SEARCH("+1 Awareness",L120),0) &gt; 0 , VLOOKUP("+1 Awareness", vote4TRAITS!A:C , 3, FALSE), ),
IF(IFERROR(SEARCH("-1 Willpower",L120),0) &gt; 0 , VLOOKUP("-1 Willpower", vote4TRAITS!A:C , 3, FALSE), ),
IF(IFERROR(SEARCH("+1 Health",L120),0) &gt; 0 , VLOOKUP("+1 Health", vote4TRAITS!A:C , 3, FALSE), ),
IF(IFERROR(SEARCH("+2 Health",L120),0) &gt; 0 , VLOOKUP("+2 Health", vote4TRAITS!A:C , 3, FALSE), ),
IF(IFERROR(SEARCH("+1 Stamina",L120),0) &gt; 0 , VLOOKUP("+1 Stamina", vote4TRAITS!A:C , 3, FALSE), ),
IF(IFERROR(SEARCH("+2 Stamina",L120),0) &gt; 0 , VLOOKUP("+2 Stamina", vote4TRAITS!A:C , 3, FALSE), ),
IFS(
IFERROR(SEARCH("+1 Range", L120),) &gt; 0 ,VLOOKUP("+1 Range", vote4TRAITS!A:C , 3, FALSE),
IFERROR(SEARCH("+2 Range", L120),) &gt; 0 ,VLOOKUP("+2 Range", vote4TRAITS!A:C , 3, FALSE),
IFERROR(SEARCH("+3 Range", L120),) &gt; 0,VLOOKUP("+3 Range", vote4TRAITS!A:C , 3, FALSE),
0=0,0)
,
IFS(
IFERROR(SEARCH("Sorcery 1", L120),) &gt; 0 ,VLOOKUP("Sorcery 1", vote4TRAITS!A:C , 3, FALSE),
IFERROR(SEARCH("Sorcery 2", L120),) &gt; 0 ,VLOOKUP("Sorcery 2", vote4TRAITS!A:C , 3, FALSE),
IFERROR(SEARCH("Sorcery 3", L120),) &gt; 0,VLOOKUP("Sorcery 3", vote4TRAITS!A:C , 3, FALSE),
0=0,0)
,
IFS(
IFERROR(SEARCH("Pierce 1", L120),) &gt; 0 ,VLOOKUP("Pierce 1", vote4TRAITS!A:C , 3, FALSE),
IFERROR(SEARCH("Pierce 2", L120),) &gt; 0 ,VLOOKUP("Pierce 2", vote4TRAITS!A:C , 3, FALSE),
IFERROR(SEARCH("Pierce 3", L120),) &gt; 0,VLOOKUP("Pierce 3", vote4TRAITS!A:C , 3, FALSE),
IFERROR(SEARCH("Pierce 4", L120),) &gt; 0 ,VLOOKUP("Pierce 4", vote4TRAITS!A:C , 3, FALSE),
0=0,0)
,
IFS(
IFERROR(SEARCH("+1 Health", L120),) &gt; 0 ,VLOOKUP("+1 Health", vote4TRAITS!A:C , 3, FALSE),
IFERROR(SEARCH("+2 Health", L120),) &gt; 0 ,VLOOKUP("+2 Health", vote4TRAITS!A:C , 3, FALSE),
IFERROR(SEARCH("+3 Health", L120),) &gt; 0 ,VLOOKUP("+3 Health", vote4TRAITS!A:C , 3, FALSE),
IFERROR(SEARCH("+4 Health", L120),) &gt; 0 ,VLOOKUP("+4 Health", vote4TRAITS!A:C , 3, FALSE),
0=0,0)
,
IFS(
IFERROR(SEARCH("Soul Shackle 1", L120),) &gt; 0 ,VLOOKUP("Soul Shackle 1", vote4TRAITS!A:C , 3, FALSE),
IFERROR(SEARCH("Soul Shackle 2", L120),) &gt; 0 ,VLOOKUP("Soul Shackle 2", vote4TRAITS!A:C , 3, FALSE),
IFERROR(SEARCH("Soul Shackle 3", L120),) &gt; 0,VLOOKUP("Soul Shackle 3", vote4TRAITS!A:C , 3, FALSE),
0=0,0)
)</f>
        <v>0</v>
      </c>
      <c r="N120" s="313"/>
      <c r="O120" s="317" t="str">
        <f>IF(ISBLANK(N120),,IFERROR(
IF(IFERROR(SEARCH("SS:",N120),0) &gt; 0, 
VLOOKUP(SUBSTITUTE(N120,"SS: ",""),vote4SURGE!$A:$C , 3, FALSE) - 2,
VLOOKUP(SUBSTITUTE(N120,"S: ",""),vote4SURGE!$A:$C , 3, FALSE)
)
,
IF(IFERROR(SEARCH("SS:",N120),0) &gt; 0, 
VLOOKUP(C120,vote4SURGE!$A:$C , 3, FALSE) - 2,
VLOOKUP(C120,vote4SURGE!$A:$C , 3, FALSE)
)
))</f>
        <v/>
      </c>
      <c r="P120" s="318"/>
      <c r="Q120" s="317" t="str">
        <f>IF(ISBLANK(P120),,IFERROR(
IF(IFERROR(SEARCH("SS:",P120),0) &gt; 0, 
VLOOKUP(SUBSTITUTE(P120,"SS: ",""),vote4SURGE!$A:$C , 3, FALSE) - 2,
VLOOKUP(SUBSTITUTE(P120,"S: ",""),vote4SURGE!$A:$C , 3, FALSE)
)
,
IF(IFERROR(SEARCH("SS:",P120),0) &gt; 0, 
VLOOKUP(C120,vote4SURGE!$A:$C , 3, FALSE) - 2,
VLOOKUP(C120,vote4SURGE!$A:$C , 3, FALSE)
)
))</f>
        <v/>
      </c>
      <c r="R120" s="318"/>
      <c r="S120" s="319" t="str">
        <f>IF(ISBLANK(R120),,IFERROR(
IF(IFERROR(SEARCH("SS:",R120),0) &gt; 0, 
VLOOKUP(SUBSTITUTE(R120,"SS: ",""),vote4SURGE!$A:$C , 3, FALSE) - 2,
VLOOKUP(SUBSTITUTE(R120,"S: ",""),vote4SURGE!$A:$C , 3, FALSE)
)
,
IF(IFERROR(SEARCH("SS:",R120),0) &gt; 0, 
VLOOKUP(C120,vote4SURGE!$A:$C , 3, FALSE) - 2,
VLOOKUP(C120,vote4SURGE!$A:$C , 3, FALSE)
)
))</f>
        <v/>
      </c>
      <c r="T120" s="320">
        <f t="shared" si="2"/>
        <v>0</v>
      </c>
      <c r="U120" s="320">
        <f>IFERROR(__xludf.DUMMYFUNCTION("ROUND(
IF(ISBLANK(G120),,
SWITCH(
LEN(G120) - LEN(SUBSTITUTE(G120,"","","""")),
0 , VLOOKUP(G120, Variables!$A:$C, 3, FALSE),
1 , VLOOKUP(index(split(G120 ,"", "", FALSE),1,1), Variables!$A:$C , 3, FALSE) + VLOOKUP(index(split(G120 ,"", "", FALSE),1,2), V"&amp;"ariables!$A:$C , 3, FALSE),
2 , VLOOKUP(index(split(G120 ,"", "", FALSE),1,1), Variables!$A:$C , 3, FALSE) + VLOOKUP(index(split(G120 ,"", "", FALSE),1,2), Variables!$A:$C , 3, FALSE) + VLOOKUP(index(split(G120 ,"", "", FALSE),1,3), Variables!$A:$C , 3, F"&amp;"ALSE),
3 , VLOOKUP(index(split(G120 ,"", "", FALSE),1,1), Variables!$A:$C , 3, FALSE) + VLOOKUP(index(split(G120 ,"", "", FALSE),1,2), Variables!$A:$C , 3, FALSE) + VLOOKUP(index(split(G120 ,"", "", FALSE),1,3), Variables!$A:$C , 3, FALSE) + VLOOKUP(index"&amp;"(split(G120 ,"", "", FALSE),1,4), Variables!$A:$C , 3, FALSE),
)
)
)"),0.0)</f>
        <v>0</v>
      </c>
      <c r="V120" s="317">
        <f t="shared" si="3"/>
        <v>0</v>
      </c>
      <c r="W120" s="321">
        <f t="shared" si="4"/>
        <v>5.333333333</v>
      </c>
      <c r="X120" s="118"/>
      <c r="Y120" s="118"/>
      <c r="Z120" s="118"/>
      <c r="AA120" s="118"/>
      <c r="AB120" s="118"/>
      <c r="AC120" s="118"/>
      <c r="AD120" s="118"/>
      <c r="AE120" s="118"/>
    </row>
    <row r="121" hidden="1">
      <c r="A121" s="310">
        <v>2.0</v>
      </c>
      <c r="B121" s="93">
        <f t="shared" si="1"/>
        <v>6</v>
      </c>
      <c r="C121" s="310" t="s">
        <v>826</v>
      </c>
      <c r="D121" s="310">
        <v>200.0</v>
      </c>
      <c r="E121" s="310" t="s">
        <v>1620</v>
      </c>
      <c r="F121" s="310"/>
      <c r="G121" s="311" t="s">
        <v>1663</v>
      </c>
      <c r="H121" s="312">
        <f>IFERROR(__xludf.DUMMYFUNCTION(" IF(ISBLANK(G121),,
SWITCH(
LEN(G121) - LEN(SUBSTITUTE(G121,"","","""")),
0 , VLOOKUP(G121, Variables!$A:$B, 2, FALSE),
1 , VLOOKUP(index(split(G121 ,"", "", FALSE),1,1), Variables!$A:$B , 2, FALSE) + VLOOKUP(index(split(G121 ,"", "", FALSE),1,2), Variabl"&amp;"es!$A:$B , 2, FALSE),
2 , VLOOKUP(index(split(G121 ,"", "", FALSE),1,1), Variables!$A:$B , 2, FALSE) + VLOOKUP(index(split(G121 ,"", "", FALSE),1,2), Variables!$A:$B , 2, FALSE) + VLOOKUP(index(split(G121 ,"", "", FALSE),1,3), Variables!$A:$B , 2, FALSE),"&amp;"
3 , VLOOKUP(index(split(G121 ,"", "", FALSE),1,1), Variables!$A:$B , 2, FALSE) + VLOOKUP(index(split(G121 ,"", "", FALSE),1,2), Variables!$A:$B , 2, FALSE) + VLOOKUP(index(split(G121 ,"", "", FALSE),1,3), Variables!$A:$B , 2, FALSE) + VLOOKUP(index(split"&amp;"(G121 ,"", "", FALSE),1,4), Variables!$A:$B , 2, FALSE),
)
)"),1.3333333333333333)</f>
        <v>1.333333333</v>
      </c>
      <c r="I121" s="310" t="s">
        <v>1664</v>
      </c>
      <c r="J121" s="313" t="s">
        <v>827</v>
      </c>
      <c r="K121" s="314">
        <f>IFERROR(VLOOKUP(C121,vote4ITEMS!$A:$C, 3, FALSE),)</f>
        <v>0</v>
      </c>
      <c r="L121" s="311" t="s">
        <v>1640</v>
      </c>
      <c r="M121" s="314">
        <f>SUM(
IF(IFERROR(SEARCH("Aura 1",L121),0) &gt; 0 , VLOOKUP("Aura 1", vote4TRAITS!A:C , 3, FALSE), ),
IF(IFERROR(SEARCH("Backswing",L121),0) &gt; 0 , VLOOKUP("Backswing", vote4TRAITS!A:C , 3, FALSE), ),
IF(IFERROR(SEARCH("Blast",L121),0) &gt; 0 , VLOOKUP("Blast", vote4TRAITS!A:C , 3, FALSE), ),
IF(IFERROR(SEARCH("Combustible",L121),0) &gt; 0 , VLOOKUP("Combustible", vote4TRAITS!A:C , 3, FALSE), ),
IF(IFERROR(SEARCH("Command",L121),0) &gt; 0 , VLOOKUP("Command", vote4TRAITS!A:C , 3, FALSE), ),
IF(IFERROR(SEARCH("Cowardly",L121),0) &gt; 0 , VLOOKUP("Cowardly", vote4TRAITS!A:C , 3, FALSE), ),
IF(IFERROR(SEARCH("Death Wish",L121),0) &gt; 0 , VLOOKUP("Death Wish", vote4TRAITS!A:C , 3, FALSE), ),
IF(IFERROR(SEARCH("Entomb",L121),0) &gt; 0 , VLOOKUP("Entomb", vote4TRAITS!A:C , 3, FALSE), ),
IF(IFERROR(SEARCH("Ethereal Hold",L121),0) &gt; 0 , VLOOKUP("Ethereal Hold", vote4TRAITS!A:C , 3, FALSE), ),
IF(IFERROR(SEARCH("Extend",L121),0) &gt; 0 , VLOOKUP("Extend", vote4TRAITS!A:C , 3, FALSE), ),
IF(IFERROR(SEARCH("Filthy Murk",L121),0) &gt; 0 , VLOOKUP("Filthy Murk", vote4TRAITS!A:C , 3, FALSE), ),
IF(IFERROR(SEARCH("Flame Fiend",L121),0) &gt; 0 , VLOOKUP("Flame Fiend", vote4TRAITS!A:C , 3, FALSE), ),
IF(IFERROR(SEARCH("Fleshmonger",L121),0) &gt; 0 , VLOOKUP("Fleshmonger", vote4TRAITS!A:C , 3, FALSE), ),
IF(IFERROR(SEARCH("Fly",L121),0) &gt; 0 , VLOOKUP("Fly", vote4TRAITS!A:C , 3, FALSE), ),
IF(IFERROR(SEARCH("Freezing",L121),0) &gt; 0 , VLOOKUP("Freezing", vote4TRAITS!A:C , 3, FALSE), ),
IF(IFERROR(SEARCH("Lithesome",L121),0) &gt; 0 , VLOOKUP("Lithesome", vote4TRAITS!A:C , 3, FALSE), ),
IF(IFERROR(SEARCH("Harrowing",L121),0) &gt; 0 , VLOOKUP("Harrowing", vote4TRAITS!A:C , 3, FALSE), ),
IF(IFERROR(SEARCH("Hideous Laughter",L121),0) &gt; 0 , VLOOKUP("Hideous Laughter", vote4TRAITS!A:C , 3, FALSE), ),
IF(IFERROR(SEARCH("Hive Defense",L121),0) &gt; 0 , VLOOKUP("Hive Defense", vote4TRAITS!A:C , 3, FALSE), ),
IF(IFERROR(SEARCH("Horrifying",L121),0) &gt; 0 , VLOOKUP("Horrifying", vote4TRAITS!A:C , 3, FALSE), ),
IF(IFERROR(SEARCH("Ironskin",L121),0) &gt; 0 , VLOOKUP("Ironskin", vote4TRAITS!A:C , 3, FALSE), ),
IF(IFERROR(SEARCH("Unmovable",L121),0) &gt; 0 , VLOOKUP("Unmovable", vote4TRAITS!A:C , 3, FALSE), ),
IF(IFERROR(SEARCH("Lifethirst 1",L121),0) &gt; 0 , VLOOKUP("Lifethirst 1", vote4TRAITS!A:C , 3, FALSE), ),
IF(IFERROR(SEARCH("Lifethirst 2",L121),0) &gt; 0 , VLOOKUP("Lifethirst 2", vote4TRAITS!A:C , 3, FALSE), ),
IF(IFERROR(SEARCH("Morph",L121),0) &gt; 0 , VLOOKUP("Morph", vote4TRAITS!A:C , 3, FALSE), ),
IF(IFERROR(SEARCH("Night Stalker",L121),0) &gt; 0 , VLOOKUP("Night Stalker", vote4TRAITS!A:C , 3, FALSE), ),
IF(IFERROR(SEARCH("Overflowing",L121),0) &gt; 0 , VLOOKUP("Overflowing", vote4TRAITS!A:C , 3, FALSE), ),
IF(IFERROR(SEARCH("Pestilence",L121),0) &gt; 0 , VLOOKUP("Pestilence", vote4TRAITS!A:C , 3, FALSE), ),
IF(IFERROR(SEARCH("Phalanx",L121),0) &gt; 0 , VLOOKUP("Phalanx", vote4TRAITS!A:C , 3, FALSE), ),
IF(IFERROR(SEARCH("Plagued",L121),0) &gt; 0 , VLOOKUP("Plagued", vote4TRAITS!A:C , 3, FALSE), ),
IF(IFERROR(SEARCH("Prey on the Weak",L121),0) &gt; 0 , VLOOKUP("Prey on the Weak", vote4TRAITS!A:C , 3, FALSE), ),
IF(IFERROR(SEARCH("Protect",L121),0) &gt; 0 , VLOOKUP("Protect", vote4TRAITS!A:C , 3, FALSE), ),
IF(IFERROR(SEARCH("Puncture",L121),0) &gt; 0 , VLOOKUP("Puncture", vote4TRAITS!A:C , 3, FALSE), ),
IF(IFERROR(SEARCH("Putrid Boils",L121),0) &gt; 0 , VLOOKUP("Putrid Boils", vote4TRAITS!A:C , 3, FALSE), ),
IF(IFERROR(SEARCH("Ravage",L121),0) &gt; 0 , VLOOKUP("Ravage", vote4TRAITS!A:C , 3, FALSE), ),
IF(IFERROR(SEARCH("Ravenous",L121),0) &gt; 0 , VLOOKUP("Ravenous", vote4TRAITS!A:C , 3, FALSE), ),
IF(IFERROR(SEARCH("Reach",L121),0) &gt; 0 , VLOOKUP("Reach", vote4TRAITS!A:C , 3, FALSE), ),
IF(IFERROR(SEARCH("Reanimation",L121),0) &gt; 0 , VLOOKUP("Reanimation", vote4TRAITS!A:C , 3, FALSE), ),
IF(IFERROR(SEARCH("Reaper",L121),0) &gt; 0 , VLOOKUP("Reaper", vote4TRAITS!A:C , 3, FALSE), ),
IF(IFERROR(SEARCH("Riposte",L121),0) &gt; 0 , VLOOKUP("Riposte", vote4TRAITS!A:C , 3, FALSE)),
IF(IFERROR(SEARCH("Scamper",L121),0) &gt; 0 , VLOOKUP("Scamper", vote4TRAITS!A:C , 3, FALSE), ),
IF(IFERROR(SEARCH("Small Beginnings",L121),0) &gt; 0 , VLOOKUP("Small Beginnings", vote4TRAITS!A:C , 3, FALSE), ),
IF(IFERROR(SEARCH("Spawner",L121),0) &gt; 0 , VLOOKUP("Spawner", vote4TRAITS!A:C , 3,FALSE), ),
IF(IFERROR(SEARCH("Shadowr",L121),0) &gt; 0 , VLOOKUP("Shadow", vote4TRAITS!A:C , 3,FALSE), ),
IF(IFERROR(SEARCH("Shadow Step",L121),0) &gt; 0 , VLOOKUP("Shadow Step", vote4TRAITS!A:C , 3,FALSE), ),
IF(IFERROR(SEARCH("Shambling",L121),0) &gt; 0 , VLOOKUP("Shambling", vote4TRAITS!A:C , 3,FALSE), ),
IF(IFERROR(SEARCH("Stealthy",L121),0) &gt; 0 , VLOOKUP("Stealthy", vote4TRAITS!A:C , 3, FALSE), ),
IF(IFERROR(SEARCH("Web",L121),0) &gt; 0 , VLOOKUP("Web", vote4TRAITS!A:C , 3, FALSE), ),
IF(IFERROR(SEARCH("+1 Willpower",L121),0) &gt; 0 , VLOOKUP("+1 Willpower", vote4TRAITS!A:C , 3, FALSE), ),
IF(IFERROR(SEARCH("+1 Might",L121),0) &gt; 0 , VLOOKUP("+1 Might", vote4TRAITS!A:C , 3, FALSE), ),
IF(IFERROR(SEARCH("+1 Knowledge",L121),0) &gt; 0 , VLOOKUP("+1 Knowledge", vote4TRAITS!A:C , 3, FALSE), ),
IF(IFERROR(SEARCH("+1 Awareness",L121),0) &gt; 0 , VLOOKUP("+1 Awareness", vote4TRAITS!A:C , 3, FALSE), ),
IF(IFERROR(SEARCH("-1 Willpower",L121),0) &gt; 0 , VLOOKUP("-1 Willpower", vote4TRAITS!A:C , 3, FALSE), ),
IF(IFERROR(SEARCH("+1 Health",L121),0) &gt; 0 , VLOOKUP("+1 Health", vote4TRAITS!A:C , 3, FALSE), ),
IF(IFERROR(SEARCH("+2 Health",L121),0) &gt; 0 , VLOOKUP("+2 Health", vote4TRAITS!A:C , 3, FALSE), ),
IF(IFERROR(SEARCH("+1 Stamina",L121),0) &gt; 0 , VLOOKUP("+1 Stamina", vote4TRAITS!A:C , 3, FALSE), ),
IF(IFERROR(SEARCH("+2 Stamina",L121),0) &gt; 0 , VLOOKUP("+2 Stamina", vote4TRAITS!A:C , 3, FALSE), ),
IFS(
IFERROR(SEARCH("+1 Range", L121),) &gt; 0 ,VLOOKUP("+1 Range", vote4TRAITS!A:C , 3, FALSE),
IFERROR(SEARCH("+2 Range", L121),) &gt; 0 ,VLOOKUP("+2 Range", vote4TRAITS!A:C , 3, FALSE),
IFERROR(SEARCH("+3 Range", L121),) &gt; 0,VLOOKUP("+3 Range", vote4TRAITS!A:C , 3, FALSE),
0=0,0)
,
IFS(
IFERROR(SEARCH("Sorcery 1", L121),) &gt; 0 ,VLOOKUP("Sorcery 1", vote4TRAITS!A:C , 3, FALSE),
IFERROR(SEARCH("Sorcery 2", L121),) &gt; 0 ,VLOOKUP("Sorcery 2", vote4TRAITS!A:C , 3, FALSE),
IFERROR(SEARCH("Sorcery 3", L121),) &gt; 0,VLOOKUP("Sorcery 3", vote4TRAITS!A:C , 3, FALSE),
0=0,0)
,
IFS(
IFERROR(SEARCH("Pierce 1", L121),) &gt; 0 ,VLOOKUP("Pierce 1", vote4TRAITS!A:C , 3, FALSE),
IFERROR(SEARCH("Pierce 2", L121),) &gt; 0 ,VLOOKUP("Pierce 2", vote4TRAITS!A:C , 3, FALSE),
IFERROR(SEARCH("Pierce 3", L121),) &gt; 0,VLOOKUP("Pierce 3", vote4TRAITS!A:C , 3, FALSE),
IFERROR(SEARCH("Pierce 4", L121),) &gt; 0 ,VLOOKUP("Pierce 4", vote4TRAITS!A:C , 3, FALSE),
0=0,0)
,
IFS(
IFERROR(SEARCH("+1 Health", L121),) &gt; 0 ,VLOOKUP("+1 Health", vote4TRAITS!A:C , 3, FALSE),
IFERROR(SEARCH("+2 Health", L121),) &gt; 0 ,VLOOKUP("+2 Health", vote4TRAITS!A:C , 3, FALSE),
IFERROR(SEARCH("+3 Health", L121),) &gt; 0 ,VLOOKUP("+3 Health", vote4TRAITS!A:C , 3, FALSE),
IFERROR(SEARCH("+4 Health", L121),) &gt; 0 ,VLOOKUP("+4 Health", vote4TRAITS!A:C , 3, FALSE),
0=0,0)
,
IFS(
IFERROR(SEARCH("Soul Shackle 1", L121),) &gt; 0 ,VLOOKUP("Soul Shackle 1", vote4TRAITS!A:C , 3, FALSE),
IFERROR(SEARCH("Soul Shackle 2", L121),) &gt; 0 ,VLOOKUP("Soul Shackle 2", vote4TRAITS!A:C , 3, FALSE),
IFERROR(SEARCH("Soul Shackle 3", L121),) &gt; 0,VLOOKUP("Soul Shackle 3", vote4TRAITS!A:C , 3, FALSE),
0=0,0)
)</f>
        <v>4</v>
      </c>
      <c r="N121" s="313"/>
      <c r="O121" s="317" t="str">
        <f>IF(ISBLANK(N121),,IFERROR(
IF(IFERROR(SEARCH("SS:",N121),0) &gt; 0, 
VLOOKUP(SUBSTITUTE(N121,"SS: ",""),vote4SURGE!$A:$C , 3, FALSE) - 2,
VLOOKUP(SUBSTITUTE(N121,"S: ",""),vote4SURGE!$A:$C , 3, FALSE)
)
,
IF(IFERROR(SEARCH("SS:",N121),0) &gt; 0, 
VLOOKUP(C121,vote4SURGE!$A:$C , 3, FALSE) - 2,
VLOOKUP(C121,vote4SURGE!$A:$C , 3, FALSE)
)
))</f>
        <v/>
      </c>
      <c r="P121" s="318"/>
      <c r="Q121" s="317" t="str">
        <f>IF(ISBLANK(P121),,IFERROR(
IF(IFERROR(SEARCH("SS:",P121),0) &gt; 0, 
VLOOKUP(SUBSTITUTE(P121,"SS: ",""),vote4SURGE!$A:$C , 3, FALSE) - 2,
VLOOKUP(SUBSTITUTE(P121,"S: ",""),vote4SURGE!$A:$C , 3, FALSE)
)
,
IF(IFERROR(SEARCH("SS:",P121),0) &gt; 0, 
VLOOKUP(C121,vote4SURGE!$A:$C , 3, FALSE) - 2,
VLOOKUP(C121,vote4SURGE!$A:$C , 3, FALSE)
)
))</f>
        <v/>
      </c>
      <c r="R121" s="318"/>
      <c r="S121" s="319" t="str">
        <f>IF(ISBLANK(R121),,IFERROR(
IF(IFERROR(SEARCH("SS:",R121),0) &gt; 0, 
VLOOKUP(SUBSTITUTE(R121,"SS: ",""),vote4SURGE!$A:$C , 3, FALSE) - 2,
VLOOKUP(SUBSTITUTE(R121,"S: ",""),vote4SURGE!$A:$C , 3, FALSE)
)
,
IF(IFERROR(SEARCH("SS:",R121),0) &gt; 0, 
VLOOKUP(C121,vote4SURGE!$A:$C , 3, FALSE) - 2,
VLOOKUP(C121,vote4SURGE!$A:$C , 3, FALSE)
)
))</f>
        <v/>
      </c>
      <c r="T121" s="320">
        <f t="shared" si="2"/>
        <v>0</v>
      </c>
      <c r="U121" s="320">
        <f>IFERROR(__xludf.DUMMYFUNCTION("ROUND(
IF(ISBLANK(G121),,
SWITCH(
LEN(G121) - LEN(SUBSTITUTE(G121,"","","""")),
0 , VLOOKUP(G121, Variables!$A:$C, 3, FALSE),
1 , VLOOKUP(index(split(G121 ,"", "", FALSE),1,1), Variables!$A:$C , 3, FALSE) + VLOOKUP(index(split(G121 ,"", "", FALSE),1,2), V"&amp;"ariables!$A:$C , 3, FALSE),
2 , VLOOKUP(index(split(G121 ,"", "", FALSE),1,1), Variables!$A:$C , 3, FALSE) + VLOOKUP(index(split(G121 ,"", "", FALSE),1,2), Variables!$A:$C , 3, FALSE) + VLOOKUP(index(split(G121 ,"", "", FALSE),1,3), Variables!$A:$C , 3, F"&amp;"ALSE),
3 , VLOOKUP(index(split(G121 ,"", "", FALSE),1,1), Variables!$A:$C , 3, FALSE) + VLOOKUP(index(split(G121 ,"", "", FALSE),1,2), Variables!$A:$C , 3, FALSE) + VLOOKUP(index(split(G121 ,"", "", FALSE),1,3), Variables!$A:$C , 3, FALSE) + VLOOKUP(index"&amp;"(split(G121 ,"", "", FALSE),1,4), Variables!$A:$C , 3, FALSE),
)
)
)"),0.0)</f>
        <v>0</v>
      </c>
      <c r="V121" s="317">
        <f t="shared" si="3"/>
        <v>0</v>
      </c>
      <c r="W121" s="321">
        <f t="shared" si="4"/>
        <v>5.333333333</v>
      </c>
      <c r="X121" s="118"/>
      <c r="Y121" s="118"/>
      <c r="Z121" s="118"/>
      <c r="AA121" s="118"/>
      <c r="AB121" s="118"/>
      <c r="AC121" s="118"/>
      <c r="AD121" s="118"/>
      <c r="AE121" s="118"/>
    </row>
    <row r="122" hidden="1">
      <c r="A122" s="310" t="s">
        <v>1556</v>
      </c>
      <c r="B122" s="93" t="str">
        <f t="shared" si="1"/>
        <v/>
      </c>
      <c r="C122" s="310" t="s">
        <v>749</v>
      </c>
      <c r="D122" s="323">
        <v>0.0</v>
      </c>
      <c r="E122" s="310" t="s">
        <v>1629</v>
      </c>
      <c r="F122" s="310"/>
      <c r="G122" s="313"/>
      <c r="H122" s="312" t="str">
        <f>IFERROR(__xludf.DUMMYFUNCTION(" IF(ISBLANK(G122),,
SWITCH(
LEN(G122) - LEN(SUBSTITUTE(G122,"","","""")),
0 , VLOOKUP(G122, Variables!$A:$B, 2, FALSE),
1 , VLOOKUP(index(split(G122 ,"", "", FALSE),1,1), Variables!$A:$B , 2, FALSE) + VLOOKUP(index(split(G122 ,"", "", FALSE),1,2), Variabl"&amp;"es!$A:$B , 2, FALSE),
2 , VLOOKUP(index(split(G122 ,"", "", FALSE),1,1), Variables!$A:$B , 2, FALSE) + VLOOKUP(index(split(G122 ,"", "", FALSE),1,2), Variables!$A:$B , 2, FALSE) + VLOOKUP(index(split(G122 ,"", "", FALSE),1,3), Variables!$A:$B , 2, FALSE),"&amp;"
3 , VLOOKUP(index(split(G122 ,"", "", FALSE),1,1), Variables!$A:$B , 2, FALSE) + VLOOKUP(index(split(G122 ,"", "", FALSE),1,2), Variables!$A:$B , 2, FALSE) + VLOOKUP(index(split(G122 ,"", "", FALSE),1,3), Variables!$A:$B , 2, FALSE) + VLOOKUP(index(split"&amp;"(G122 ,"", "", FALSE),1,4), Variables!$A:$B , 2, FALSE),
)
)"),"")</f>
        <v/>
      </c>
      <c r="I122" s="310" t="s">
        <v>1641</v>
      </c>
      <c r="J122" s="313" t="s">
        <v>750</v>
      </c>
      <c r="K122" s="314">
        <f>IFERROR(VLOOKUP(C122,vote4ITEMS!$A:$C, 3, FALSE),)</f>
        <v>5</v>
      </c>
      <c r="L122" s="324"/>
      <c r="M122" s="314">
        <f>SUM(
IF(IFERROR(SEARCH("Aura 1",L122),0) &gt; 0 , VLOOKUP("Aura 1", vote4TRAITS!A:C , 3, FALSE), ),
IF(IFERROR(SEARCH("Backswing",L122),0) &gt; 0 , VLOOKUP("Backswing", vote4TRAITS!A:C , 3, FALSE), ),
IF(IFERROR(SEARCH("Blast",L122),0) &gt; 0 , VLOOKUP("Blast", vote4TRAITS!A:C , 3, FALSE), ),
IF(IFERROR(SEARCH("Combustible",L122),0) &gt; 0 , VLOOKUP("Combustible", vote4TRAITS!A:C , 3, FALSE), ),
IF(IFERROR(SEARCH("Command",L122),0) &gt; 0 , VLOOKUP("Command", vote4TRAITS!A:C , 3, FALSE), ),
IF(IFERROR(SEARCH("Cowardly",L122),0) &gt; 0 , VLOOKUP("Cowardly", vote4TRAITS!A:C , 3, FALSE), ),
IF(IFERROR(SEARCH("Death Wish",L122),0) &gt; 0 , VLOOKUP("Death Wish", vote4TRAITS!A:C , 3, FALSE), ),
IF(IFERROR(SEARCH("Entomb",L122),0) &gt; 0 , VLOOKUP("Entomb", vote4TRAITS!A:C , 3, FALSE), ),
IF(IFERROR(SEARCH("Ethereal Hold",L122),0) &gt; 0 , VLOOKUP("Ethereal Hold", vote4TRAITS!A:C , 3, FALSE), ),
IF(IFERROR(SEARCH("Extend",L122),0) &gt; 0 , VLOOKUP("Extend", vote4TRAITS!A:C , 3, FALSE), ),
IF(IFERROR(SEARCH("Filthy Murk",L122),0) &gt; 0 , VLOOKUP("Filthy Murk", vote4TRAITS!A:C , 3, FALSE), ),
IF(IFERROR(SEARCH("Flame Fiend",L122),0) &gt; 0 , VLOOKUP("Flame Fiend", vote4TRAITS!A:C , 3, FALSE), ),
IF(IFERROR(SEARCH("Fleshmonger",L122),0) &gt; 0 , VLOOKUP("Fleshmonger", vote4TRAITS!A:C , 3, FALSE), ),
IF(IFERROR(SEARCH("Fly",L122),0) &gt; 0 , VLOOKUP("Fly", vote4TRAITS!A:C , 3, FALSE), ),
IF(IFERROR(SEARCH("Freezing",L122),0) &gt; 0 , VLOOKUP("Freezing", vote4TRAITS!A:C , 3, FALSE), ),
IF(IFERROR(SEARCH("Lithesome",L122),0) &gt; 0 , VLOOKUP("Lithesome", vote4TRAITS!A:C , 3, FALSE), ),
IF(IFERROR(SEARCH("Harrowing",L122),0) &gt; 0 , VLOOKUP("Harrowing", vote4TRAITS!A:C , 3, FALSE), ),
IF(IFERROR(SEARCH("Hideous Laughter",L122),0) &gt; 0 , VLOOKUP("Hideous Laughter", vote4TRAITS!A:C , 3, FALSE), ),
IF(IFERROR(SEARCH("Hive Defense",L122),0) &gt; 0 , VLOOKUP("Hive Defense", vote4TRAITS!A:C , 3, FALSE), ),
IF(IFERROR(SEARCH("Horrifying",L122),0) &gt; 0 , VLOOKUP("Horrifying", vote4TRAITS!A:C , 3, FALSE), ),
IF(IFERROR(SEARCH("Ironskin",L122),0) &gt; 0 , VLOOKUP("Ironskin", vote4TRAITS!A:C , 3, FALSE), ),
IF(IFERROR(SEARCH("Unmovable",L122),0) &gt; 0 , VLOOKUP("Unmovable", vote4TRAITS!A:C , 3, FALSE), ),
IF(IFERROR(SEARCH("Lifethirst 1",L122),0) &gt; 0 , VLOOKUP("Lifethirst 1", vote4TRAITS!A:C , 3, FALSE), ),
IF(IFERROR(SEARCH("Lifethirst 2",L122),0) &gt; 0 , VLOOKUP("Lifethirst 2", vote4TRAITS!A:C , 3, FALSE), ),
IF(IFERROR(SEARCH("Morph",L122),0) &gt; 0 , VLOOKUP("Morph", vote4TRAITS!A:C , 3, FALSE), ),
IF(IFERROR(SEARCH("Night Stalker",L122),0) &gt; 0 , VLOOKUP("Night Stalker", vote4TRAITS!A:C , 3, FALSE), ),
IF(IFERROR(SEARCH("Overflowing",L122),0) &gt; 0 , VLOOKUP("Overflowing", vote4TRAITS!A:C , 3, FALSE), ),
IF(IFERROR(SEARCH("Pestilence",L122),0) &gt; 0 , VLOOKUP("Pestilence", vote4TRAITS!A:C , 3, FALSE), ),
IF(IFERROR(SEARCH("Phalanx",L122),0) &gt; 0 , VLOOKUP("Phalanx", vote4TRAITS!A:C , 3, FALSE), ),
IF(IFERROR(SEARCH("Plagued",L122),0) &gt; 0 , VLOOKUP("Plagued", vote4TRAITS!A:C , 3, FALSE), ),
IF(IFERROR(SEARCH("Prey on the Weak",L122),0) &gt; 0 , VLOOKUP("Prey on the Weak", vote4TRAITS!A:C , 3, FALSE), ),
IF(IFERROR(SEARCH("Protect",L122),0) &gt; 0 , VLOOKUP("Protect", vote4TRAITS!A:C , 3, FALSE), ),
IF(IFERROR(SEARCH("Puncture",L122),0) &gt; 0 , VLOOKUP("Puncture", vote4TRAITS!A:C , 3, FALSE), ),
IF(IFERROR(SEARCH("Putrid Boils",L122),0) &gt; 0 , VLOOKUP("Putrid Boils", vote4TRAITS!A:C , 3, FALSE), ),
IF(IFERROR(SEARCH("Ravage",L122),0) &gt; 0 , VLOOKUP("Ravage", vote4TRAITS!A:C , 3, FALSE), ),
IF(IFERROR(SEARCH("Ravenous",L122),0) &gt; 0 , VLOOKUP("Ravenous", vote4TRAITS!A:C , 3, FALSE), ),
IF(IFERROR(SEARCH("Reach",L122),0) &gt; 0 , VLOOKUP("Reach", vote4TRAITS!A:C , 3, FALSE), ),
IF(IFERROR(SEARCH("Reanimation",L122),0) &gt; 0 , VLOOKUP("Reanimation", vote4TRAITS!A:C , 3, FALSE), ),
IF(IFERROR(SEARCH("Reaper",L122),0) &gt; 0 , VLOOKUP("Reaper", vote4TRAITS!A:C , 3, FALSE), ),
IF(IFERROR(SEARCH("Riposte",L122),0) &gt; 0 , VLOOKUP("Riposte", vote4TRAITS!A:C , 3, FALSE)),
IF(IFERROR(SEARCH("Scamper",L122),0) &gt; 0 , VLOOKUP("Scamper", vote4TRAITS!A:C , 3, FALSE), ),
IF(IFERROR(SEARCH("Small Beginnings",L122),0) &gt; 0 , VLOOKUP("Small Beginnings", vote4TRAITS!A:C , 3, FALSE), ),
IF(IFERROR(SEARCH("Spawner",L122),0) &gt; 0 , VLOOKUP("Spawner", vote4TRAITS!A:C , 3,FALSE), ),
IF(IFERROR(SEARCH("Shadowr",L122),0) &gt; 0 , VLOOKUP("Shadow", vote4TRAITS!A:C , 3,FALSE), ),
IF(IFERROR(SEARCH("Shadow Step",L122),0) &gt; 0 , VLOOKUP("Shadow Step", vote4TRAITS!A:C , 3,FALSE), ),
IF(IFERROR(SEARCH("Shambling",L122),0) &gt; 0 , VLOOKUP("Shambling", vote4TRAITS!A:C , 3,FALSE), ),
IF(IFERROR(SEARCH("Stealthy",L122),0) &gt; 0 , VLOOKUP("Stealthy", vote4TRAITS!A:C , 3, FALSE), ),
IF(IFERROR(SEARCH("Web",L122),0) &gt; 0 , VLOOKUP("Web", vote4TRAITS!A:C , 3, FALSE), ),
IF(IFERROR(SEARCH("+1 Willpower",L122),0) &gt; 0 , VLOOKUP("+1 Willpower", vote4TRAITS!A:C , 3, FALSE), ),
IF(IFERROR(SEARCH("+1 Might",L122),0) &gt; 0 , VLOOKUP("+1 Might", vote4TRAITS!A:C , 3, FALSE), ),
IF(IFERROR(SEARCH("+1 Knowledge",L122),0) &gt; 0 , VLOOKUP("+1 Knowledge", vote4TRAITS!A:C , 3, FALSE), ),
IF(IFERROR(SEARCH("+1 Awareness",L122),0) &gt; 0 , VLOOKUP("+1 Awareness", vote4TRAITS!A:C , 3, FALSE), ),
IF(IFERROR(SEARCH("-1 Willpower",L122),0) &gt; 0 , VLOOKUP("-1 Willpower", vote4TRAITS!A:C , 3, FALSE), ),
IF(IFERROR(SEARCH("+1 Health",L122),0) &gt; 0 , VLOOKUP("+1 Health", vote4TRAITS!A:C , 3, FALSE), ),
IF(IFERROR(SEARCH("+2 Health",L122),0) &gt; 0 , VLOOKUP("+2 Health", vote4TRAITS!A:C , 3, FALSE), ),
IF(IFERROR(SEARCH("+1 Stamina",L122),0) &gt; 0 , VLOOKUP("+1 Stamina", vote4TRAITS!A:C , 3, FALSE), ),
IF(IFERROR(SEARCH("+2 Stamina",L122),0) &gt; 0 , VLOOKUP("+2 Stamina", vote4TRAITS!A:C , 3, FALSE), ),
IFS(
IFERROR(SEARCH("+1 Range", L122),) &gt; 0 ,VLOOKUP("+1 Range", vote4TRAITS!A:C , 3, FALSE),
IFERROR(SEARCH("+2 Range", L122),) &gt; 0 ,VLOOKUP("+2 Range", vote4TRAITS!A:C , 3, FALSE),
IFERROR(SEARCH("+3 Range", L122),) &gt; 0,VLOOKUP("+3 Range", vote4TRAITS!A:C , 3, FALSE),
0=0,0)
,
IFS(
IFERROR(SEARCH("Sorcery 1", L122),) &gt; 0 ,VLOOKUP("Sorcery 1", vote4TRAITS!A:C , 3, FALSE),
IFERROR(SEARCH("Sorcery 2", L122),) &gt; 0 ,VLOOKUP("Sorcery 2", vote4TRAITS!A:C , 3, FALSE),
IFERROR(SEARCH("Sorcery 3", L122),) &gt; 0,VLOOKUP("Sorcery 3", vote4TRAITS!A:C , 3, FALSE),
0=0,0)
,
IFS(
IFERROR(SEARCH("Pierce 1", L122),) &gt; 0 ,VLOOKUP("Pierce 1", vote4TRAITS!A:C , 3, FALSE),
IFERROR(SEARCH("Pierce 2", L122),) &gt; 0 ,VLOOKUP("Pierce 2", vote4TRAITS!A:C , 3, FALSE),
IFERROR(SEARCH("Pierce 3", L122),) &gt; 0,VLOOKUP("Pierce 3", vote4TRAITS!A:C , 3, FALSE),
IFERROR(SEARCH("Pierce 4", L122),) &gt; 0 ,VLOOKUP("Pierce 4", vote4TRAITS!A:C , 3, FALSE),
0=0,0)
,
IFS(
IFERROR(SEARCH("+1 Health", L122),) &gt; 0 ,VLOOKUP("+1 Health", vote4TRAITS!A:C , 3, FALSE),
IFERROR(SEARCH("+2 Health", L122),) &gt; 0 ,VLOOKUP("+2 Health", vote4TRAITS!A:C , 3, FALSE),
IFERROR(SEARCH("+3 Health", L122),) &gt; 0 ,VLOOKUP("+3 Health", vote4TRAITS!A:C , 3, FALSE),
IFERROR(SEARCH("+4 Health", L122),) &gt; 0 ,VLOOKUP("+4 Health", vote4TRAITS!A:C , 3, FALSE),
0=0,0)
,
IFS(
IFERROR(SEARCH("Soul Shackle 1", L122),) &gt; 0 ,VLOOKUP("Soul Shackle 1", vote4TRAITS!A:C , 3, FALSE),
IFERROR(SEARCH("Soul Shackle 2", L122),) &gt; 0 ,VLOOKUP("Soul Shackle 2", vote4TRAITS!A:C , 3, FALSE),
IFERROR(SEARCH("Soul Shackle 3", L122),) &gt; 0,VLOOKUP("Soul Shackle 3", vote4TRAITS!A:C , 3, FALSE),
0=0,0)
)</f>
        <v>0</v>
      </c>
      <c r="N122" s="330"/>
      <c r="O122" s="317" t="str">
        <f>IF(ISBLANK(N122),,IFERROR(
IF(IFERROR(SEARCH("SS:",N122),0) &gt; 0, 
VLOOKUP(SUBSTITUTE(N122,"SS: ",""),vote4SURGE!$A:$C , 3, FALSE) - 2,
VLOOKUP(SUBSTITUTE(N122,"S: ",""),vote4SURGE!$A:$C , 3, FALSE)
)
,
IF(IFERROR(SEARCH("SS:",N122),0) &gt; 0, 
VLOOKUP(C122,vote4SURGE!$A:$C , 3, FALSE) - 2,
VLOOKUP(C122,vote4SURGE!$A:$C , 3, FALSE)
)
))</f>
        <v/>
      </c>
      <c r="P122" s="318"/>
      <c r="Q122" s="317" t="str">
        <f>IF(ISBLANK(P122),,IFERROR(
IF(IFERROR(SEARCH("SS:",P122),0) &gt; 0, 
VLOOKUP(SUBSTITUTE(P122,"SS: ",""),vote4SURGE!$A:$C , 3, FALSE) - 2,
VLOOKUP(SUBSTITUTE(P122,"S: ",""),vote4SURGE!$A:$C , 3, FALSE)
)
,
IF(IFERROR(SEARCH("SS:",P122),0) &gt; 0, 
VLOOKUP(C122,vote4SURGE!$A:$C , 3, FALSE) - 2,
VLOOKUP(C122,vote4SURGE!$A:$C , 3, FALSE)
)
))</f>
        <v/>
      </c>
      <c r="R122" s="318"/>
      <c r="S122" s="319" t="str">
        <f>IF(ISBLANK(R122),,IFERROR(
IF(IFERROR(SEARCH("SS:",R122),0) &gt; 0, 
VLOOKUP(SUBSTITUTE(R122,"SS: ",""),vote4SURGE!$A:$C , 3, FALSE) - 2,
VLOOKUP(SUBSTITUTE(R122,"S: ",""),vote4SURGE!$A:$C , 3, FALSE)
)
,
IF(IFERROR(SEARCH("SS:",R122),0) &gt; 0, 
VLOOKUP(C122,vote4SURGE!$A:$C , 3, FALSE) - 2,
VLOOKUP(C122,vote4SURGE!$A:$C , 3, FALSE)
)
))</f>
        <v/>
      </c>
      <c r="T122" s="320">
        <f t="shared" si="2"/>
        <v>0</v>
      </c>
      <c r="U122" s="320">
        <f>IFERROR(__xludf.DUMMYFUNCTION("ROUND(
IF(ISBLANK(G122),,
SWITCH(
LEN(G122) - LEN(SUBSTITUTE(G122,"","","""")),
0 , VLOOKUP(G122, Variables!$A:$C, 3, FALSE),
1 , VLOOKUP(index(split(G122 ,"", "", FALSE),1,1), Variables!$A:$C , 3, FALSE) + VLOOKUP(index(split(G122 ,"", "", FALSE),1,2), V"&amp;"ariables!$A:$C , 3, FALSE),
2 , VLOOKUP(index(split(G122 ,"", "", FALSE),1,1), Variables!$A:$C , 3, FALSE) + VLOOKUP(index(split(G122 ,"", "", FALSE),1,2), Variables!$A:$C , 3, FALSE) + VLOOKUP(index(split(G122 ,"", "", FALSE),1,3), Variables!$A:$C , 3, F"&amp;"ALSE),
3 , VLOOKUP(index(split(G122 ,"", "", FALSE),1,1), Variables!$A:$C , 3, FALSE) + VLOOKUP(index(split(G122 ,"", "", FALSE),1,2), Variables!$A:$C , 3, FALSE) + VLOOKUP(index(split(G122 ,"", "", FALSE),1,3), Variables!$A:$C , 3, FALSE) + VLOOKUP(index"&amp;"(split(G122 ,"", "", FALSE),1,4), Variables!$A:$C , 3, FALSE),
)
)
)"),0.0)</f>
        <v>0</v>
      </c>
      <c r="V122" s="317">
        <f t="shared" si="3"/>
        <v>0</v>
      </c>
      <c r="W122" s="321">
        <f t="shared" si="4"/>
        <v>5</v>
      </c>
      <c r="X122" s="118"/>
      <c r="Y122" s="118"/>
      <c r="Z122" s="118"/>
      <c r="AA122" s="118"/>
      <c r="AB122" s="118"/>
      <c r="AC122" s="118"/>
      <c r="AD122" s="118"/>
      <c r="AE122" s="118"/>
    </row>
    <row r="123" hidden="1">
      <c r="A123" s="310">
        <v>1.0</v>
      </c>
      <c r="B123" s="93">
        <f t="shared" si="1"/>
        <v>2</v>
      </c>
      <c r="C123" s="310" t="s">
        <v>771</v>
      </c>
      <c r="D123" s="310">
        <v>75.0</v>
      </c>
      <c r="E123" s="310" t="s">
        <v>1620</v>
      </c>
      <c r="F123" s="310"/>
      <c r="G123" s="313"/>
      <c r="H123" s="312" t="str">
        <f>IFERROR(__xludf.DUMMYFUNCTION(" IF(ISBLANK(G123),,
SWITCH(
LEN(G123) - LEN(SUBSTITUTE(G123,"","","""")),
0 , VLOOKUP(G123, Variables!$A:$B, 2, FALSE),
1 , VLOOKUP(index(split(G123 ,"", "", FALSE),1,1), Variables!$A:$B , 2, FALSE) + VLOOKUP(index(split(G123 ,"", "", FALSE),1,2), Variabl"&amp;"es!$A:$B , 2, FALSE),
2 , VLOOKUP(index(split(G123 ,"", "", FALSE),1,1), Variables!$A:$B , 2, FALSE) + VLOOKUP(index(split(G123 ,"", "", FALSE),1,2), Variables!$A:$B , 2, FALSE) + VLOOKUP(index(split(G123 ,"", "", FALSE),1,3), Variables!$A:$B , 2, FALSE),"&amp;"
3 , VLOOKUP(index(split(G123 ,"", "", FALSE),1,1), Variables!$A:$B , 2, FALSE) + VLOOKUP(index(split(G123 ,"", "", FALSE),1,2), Variables!$A:$B , 2, FALSE) + VLOOKUP(index(split(G123 ,"", "", FALSE),1,3), Variables!$A:$B , 2, FALSE) + VLOOKUP(index(split"&amp;"(G123 ,"", "", FALSE),1,4), Variables!$A:$B , 2, FALSE),
)
)"),"")</f>
        <v/>
      </c>
      <c r="I123" s="310" t="s">
        <v>1622</v>
      </c>
      <c r="J123" s="313" t="s">
        <v>772</v>
      </c>
      <c r="K123" s="314">
        <f>IFERROR(VLOOKUP(C123,vote4ITEMS!$A:$C, 3, FALSE),)</f>
        <v>5</v>
      </c>
      <c r="L123" s="313"/>
      <c r="M123" s="314">
        <f>SUM(
IF(IFERROR(SEARCH("Aura 1",L123),0) &gt; 0 , VLOOKUP("Aura 1", vote4TRAITS!A:C , 3, FALSE), ),
IF(IFERROR(SEARCH("Backswing",L123),0) &gt; 0 , VLOOKUP("Backswing", vote4TRAITS!A:C , 3, FALSE), ),
IF(IFERROR(SEARCH("Blast",L123),0) &gt; 0 , VLOOKUP("Blast", vote4TRAITS!A:C , 3, FALSE), ),
IF(IFERROR(SEARCH("Combustible",L123),0) &gt; 0 , VLOOKUP("Combustible", vote4TRAITS!A:C , 3, FALSE), ),
IF(IFERROR(SEARCH("Command",L123),0) &gt; 0 , VLOOKUP("Command", vote4TRAITS!A:C , 3, FALSE), ),
IF(IFERROR(SEARCH("Cowardly",L123),0) &gt; 0 , VLOOKUP("Cowardly", vote4TRAITS!A:C , 3, FALSE), ),
IF(IFERROR(SEARCH("Death Wish",L123),0) &gt; 0 , VLOOKUP("Death Wish", vote4TRAITS!A:C , 3, FALSE), ),
IF(IFERROR(SEARCH("Entomb",L123),0) &gt; 0 , VLOOKUP("Entomb", vote4TRAITS!A:C , 3, FALSE), ),
IF(IFERROR(SEARCH("Ethereal Hold",L123),0) &gt; 0 , VLOOKUP("Ethereal Hold", vote4TRAITS!A:C , 3, FALSE), ),
IF(IFERROR(SEARCH("Extend",L123),0) &gt; 0 , VLOOKUP("Extend", vote4TRAITS!A:C , 3, FALSE), ),
IF(IFERROR(SEARCH("Filthy Murk",L123),0) &gt; 0 , VLOOKUP("Filthy Murk", vote4TRAITS!A:C , 3, FALSE), ),
IF(IFERROR(SEARCH("Flame Fiend",L123),0) &gt; 0 , VLOOKUP("Flame Fiend", vote4TRAITS!A:C , 3, FALSE), ),
IF(IFERROR(SEARCH("Fleshmonger",L123),0) &gt; 0 , VLOOKUP("Fleshmonger", vote4TRAITS!A:C , 3, FALSE), ),
IF(IFERROR(SEARCH("Fly",L123),0) &gt; 0 , VLOOKUP("Fly", vote4TRAITS!A:C , 3, FALSE), ),
IF(IFERROR(SEARCH("Freezing",L123),0) &gt; 0 , VLOOKUP("Freezing", vote4TRAITS!A:C , 3, FALSE), ),
IF(IFERROR(SEARCH("Lithesome",L123),0) &gt; 0 , VLOOKUP("Lithesome", vote4TRAITS!A:C , 3, FALSE), ),
IF(IFERROR(SEARCH("Harrowing",L123),0) &gt; 0 , VLOOKUP("Harrowing", vote4TRAITS!A:C , 3, FALSE), ),
IF(IFERROR(SEARCH("Hideous Laughter",L123),0) &gt; 0 , VLOOKUP("Hideous Laughter", vote4TRAITS!A:C , 3, FALSE), ),
IF(IFERROR(SEARCH("Hive Defense",L123),0) &gt; 0 , VLOOKUP("Hive Defense", vote4TRAITS!A:C , 3, FALSE), ),
IF(IFERROR(SEARCH("Horrifying",L123),0) &gt; 0 , VLOOKUP("Horrifying", vote4TRAITS!A:C , 3, FALSE), ),
IF(IFERROR(SEARCH("Ironskin",L123),0) &gt; 0 , VLOOKUP("Ironskin", vote4TRAITS!A:C , 3, FALSE), ),
IF(IFERROR(SEARCH("Unmovable",L123),0) &gt; 0 , VLOOKUP("Unmovable", vote4TRAITS!A:C , 3, FALSE), ),
IF(IFERROR(SEARCH("Lifethirst 1",L123),0) &gt; 0 , VLOOKUP("Lifethirst 1", vote4TRAITS!A:C , 3, FALSE), ),
IF(IFERROR(SEARCH("Lifethirst 2",L123),0) &gt; 0 , VLOOKUP("Lifethirst 2", vote4TRAITS!A:C , 3, FALSE), ),
IF(IFERROR(SEARCH("Morph",L123),0) &gt; 0 , VLOOKUP("Morph", vote4TRAITS!A:C , 3, FALSE), ),
IF(IFERROR(SEARCH("Night Stalker",L123),0) &gt; 0 , VLOOKUP("Night Stalker", vote4TRAITS!A:C , 3, FALSE), ),
IF(IFERROR(SEARCH("Overflowing",L123),0) &gt; 0 , VLOOKUP("Overflowing", vote4TRAITS!A:C , 3, FALSE), ),
IF(IFERROR(SEARCH("Pestilence",L123),0) &gt; 0 , VLOOKUP("Pestilence", vote4TRAITS!A:C , 3, FALSE), ),
IF(IFERROR(SEARCH("Phalanx",L123),0) &gt; 0 , VLOOKUP("Phalanx", vote4TRAITS!A:C , 3, FALSE), ),
IF(IFERROR(SEARCH("Plagued",L123),0) &gt; 0 , VLOOKUP("Plagued", vote4TRAITS!A:C , 3, FALSE), ),
IF(IFERROR(SEARCH("Prey on the Weak",L123),0) &gt; 0 , VLOOKUP("Prey on the Weak", vote4TRAITS!A:C , 3, FALSE), ),
IF(IFERROR(SEARCH("Protect",L123),0) &gt; 0 , VLOOKUP("Protect", vote4TRAITS!A:C , 3, FALSE), ),
IF(IFERROR(SEARCH("Puncture",L123),0) &gt; 0 , VLOOKUP("Puncture", vote4TRAITS!A:C , 3, FALSE), ),
IF(IFERROR(SEARCH("Putrid Boils",L123),0) &gt; 0 , VLOOKUP("Putrid Boils", vote4TRAITS!A:C , 3, FALSE), ),
IF(IFERROR(SEARCH("Ravage",L123),0) &gt; 0 , VLOOKUP("Ravage", vote4TRAITS!A:C , 3, FALSE), ),
IF(IFERROR(SEARCH("Ravenous",L123),0) &gt; 0 , VLOOKUP("Ravenous", vote4TRAITS!A:C , 3, FALSE), ),
IF(IFERROR(SEARCH("Reach",L123),0) &gt; 0 , VLOOKUP("Reach", vote4TRAITS!A:C , 3, FALSE), ),
IF(IFERROR(SEARCH("Reanimation",L123),0) &gt; 0 , VLOOKUP("Reanimation", vote4TRAITS!A:C , 3, FALSE), ),
IF(IFERROR(SEARCH("Reaper",L123),0) &gt; 0 , VLOOKUP("Reaper", vote4TRAITS!A:C , 3, FALSE), ),
IF(IFERROR(SEARCH("Riposte",L123),0) &gt; 0 , VLOOKUP("Riposte", vote4TRAITS!A:C , 3, FALSE)),
IF(IFERROR(SEARCH("Scamper",L123),0) &gt; 0 , VLOOKUP("Scamper", vote4TRAITS!A:C , 3, FALSE), ),
IF(IFERROR(SEARCH("Small Beginnings",L123),0) &gt; 0 , VLOOKUP("Small Beginnings", vote4TRAITS!A:C , 3, FALSE), ),
IF(IFERROR(SEARCH("Spawner",L123),0) &gt; 0 , VLOOKUP("Spawner", vote4TRAITS!A:C , 3,FALSE), ),
IF(IFERROR(SEARCH("Shadowr",L123),0) &gt; 0 , VLOOKUP("Shadow", vote4TRAITS!A:C , 3,FALSE), ),
IF(IFERROR(SEARCH("Shadow Step",L123),0) &gt; 0 , VLOOKUP("Shadow Step", vote4TRAITS!A:C , 3,FALSE), ),
IF(IFERROR(SEARCH("Shambling",L123),0) &gt; 0 , VLOOKUP("Shambling", vote4TRAITS!A:C , 3,FALSE), ),
IF(IFERROR(SEARCH("Stealthy",L123),0) &gt; 0 , VLOOKUP("Stealthy", vote4TRAITS!A:C , 3, FALSE), ),
IF(IFERROR(SEARCH("Web",L123),0) &gt; 0 , VLOOKUP("Web", vote4TRAITS!A:C , 3, FALSE), ),
IF(IFERROR(SEARCH("+1 Willpower",L123),0) &gt; 0 , VLOOKUP("+1 Willpower", vote4TRAITS!A:C , 3, FALSE), ),
IF(IFERROR(SEARCH("+1 Might",L123),0) &gt; 0 , VLOOKUP("+1 Might", vote4TRAITS!A:C , 3, FALSE), ),
IF(IFERROR(SEARCH("+1 Knowledge",L123),0) &gt; 0 , VLOOKUP("+1 Knowledge", vote4TRAITS!A:C , 3, FALSE), ),
IF(IFERROR(SEARCH("+1 Awareness",L123),0) &gt; 0 , VLOOKUP("+1 Awareness", vote4TRAITS!A:C , 3, FALSE), ),
IF(IFERROR(SEARCH("-1 Willpower",L123),0) &gt; 0 , VLOOKUP("-1 Willpower", vote4TRAITS!A:C , 3, FALSE), ),
IF(IFERROR(SEARCH("+1 Health",L123),0) &gt; 0 , VLOOKUP("+1 Health", vote4TRAITS!A:C , 3, FALSE), ),
IF(IFERROR(SEARCH("+2 Health",L123),0) &gt; 0 , VLOOKUP("+2 Health", vote4TRAITS!A:C , 3, FALSE), ),
IF(IFERROR(SEARCH("+1 Stamina",L123),0) &gt; 0 , VLOOKUP("+1 Stamina", vote4TRAITS!A:C , 3, FALSE), ),
IF(IFERROR(SEARCH("+2 Stamina",L123),0) &gt; 0 , VLOOKUP("+2 Stamina", vote4TRAITS!A:C , 3, FALSE), ),
IFS(
IFERROR(SEARCH("+1 Range", L123),) &gt; 0 ,VLOOKUP("+1 Range", vote4TRAITS!A:C , 3, FALSE),
IFERROR(SEARCH("+2 Range", L123),) &gt; 0 ,VLOOKUP("+2 Range", vote4TRAITS!A:C , 3, FALSE),
IFERROR(SEARCH("+3 Range", L123),) &gt; 0,VLOOKUP("+3 Range", vote4TRAITS!A:C , 3, FALSE),
0=0,0)
,
IFS(
IFERROR(SEARCH("Sorcery 1", L123),) &gt; 0 ,VLOOKUP("Sorcery 1", vote4TRAITS!A:C , 3, FALSE),
IFERROR(SEARCH("Sorcery 2", L123),) &gt; 0 ,VLOOKUP("Sorcery 2", vote4TRAITS!A:C , 3, FALSE),
IFERROR(SEARCH("Sorcery 3", L123),) &gt; 0,VLOOKUP("Sorcery 3", vote4TRAITS!A:C , 3, FALSE),
0=0,0)
,
IFS(
IFERROR(SEARCH("Pierce 1", L123),) &gt; 0 ,VLOOKUP("Pierce 1", vote4TRAITS!A:C , 3, FALSE),
IFERROR(SEARCH("Pierce 2", L123),) &gt; 0 ,VLOOKUP("Pierce 2", vote4TRAITS!A:C , 3, FALSE),
IFERROR(SEARCH("Pierce 3", L123),) &gt; 0,VLOOKUP("Pierce 3", vote4TRAITS!A:C , 3, FALSE),
IFERROR(SEARCH("Pierce 4", L123),) &gt; 0 ,VLOOKUP("Pierce 4", vote4TRAITS!A:C , 3, FALSE),
0=0,0)
,
IFS(
IFERROR(SEARCH("+1 Health", L123),) &gt; 0 ,VLOOKUP("+1 Health", vote4TRAITS!A:C , 3, FALSE),
IFERROR(SEARCH("+2 Health", L123),) &gt; 0 ,VLOOKUP("+2 Health", vote4TRAITS!A:C , 3, FALSE),
IFERROR(SEARCH("+3 Health", L123),) &gt; 0 ,VLOOKUP("+3 Health", vote4TRAITS!A:C , 3, FALSE),
IFERROR(SEARCH("+4 Health", L123),) &gt; 0 ,VLOOKUP("+4 Health", vote4TRAITS!A:C , 3, FALSE),
0=0,0)
,
IFS(
IFERROR(SEARCH("Soul Shackle 1", L123),) &gt; 0 ,VLOOKUP("Soul Shackle 1", vote4TRAITS!A:C , 3, FALSE),
IFERROR(SEARCH("Soul Shackle 2", L123),) &gt; 0 ,VLOOKUP("Soul Shackle 2", vote4TRAITS!A:C , 3, FALSE),
IFERROR(SEARCH("Soul Shackle 3", L123),) &gt; 0,VLOOKUP("Soul Shackle 3", vote4TRAITS!A:C , 3, FALSE),
0=0,0)
)</f>
        <v>0</v>
      </c>
      <c r="N123" s="313"/>
      <c r="O123" s="317" t="str">
        <f>IF(ISBLANK(N123),,IFERROR(
IF(IFERROR(SEARCH("SS:",N123),0) &gt; 0, 
VLOOKUP(SUBSTITUTE(N123,"SS: ",""),vote4SURGE!$A:$C , 3, FALSE) - 2,
VLOOKUP(SUBSTITUTE(N123,"S: ",""),vote4SURGE!$A:$C , 3, FALSE)
)
,
IF(IFERROR(SEARCH("SS:",N123),0) &gt; 0, 
VLOOKUP(C123,vote4SURGE!$A:$C , 3, FALSE) - 2,
VLOOKUP(C123,vote4SURGE!$A:$C , 3, FALSE)
)
))</f>
        <v/>
      </c>
      <c r="P123" s="318"/>
      <c r="Q123" s="317" t="str">
        <f>IF(ISBLANK(P123),,IFERROR(
IF(IFERROR(SEARCH("SS:",P123),0) &gt; 0, 
VLOOKUP(SUBSTITUTE(P123,"SS: ",""),vote4SURGE!$A:$C , 3, FALSE) - 2,
VLOOKUP(SUBSTITUTE(P123,"S: ",""),vote4SURGE!$A:$C , 3, FALSE)
)
,
IF(IFERROR(SEARCH("SS:",P123),0) &gt; 0, 
VLOOKUP(C123,vote4SURGE!$A:$C , 3, FALSE) - 2,
VLOOKUP(C123,vote4SURGE!$A:$C , 3, FALSE)
)
))</f>
        <v/>
      </c>
      <c r="R123" s="318"/>
      <c r="S123" s="319" t="str">
        <f>IF(ISBLANK(R123),,IFERROR(
IF(IFERROR(SEARCH("SS:",R123),0) &gt; 0, 
VLOOKUP(SUBSTITUTE(R123,"SS: ",""),vote4SURGE!$A:$C , 3, FALSE) - 2,
VLOOKUP(SUBSTITUTE(R123,"S: ",""),vote4SURGE!$A:$C , 3, FALSE)
)
,
IF(IFERROR(SEARCH("SS:",R123),0) &gt; 0, 
VLOOKUP(C123,vote4SURGE!$A:$C , 3, FALSE) - 2,
VLOOKUP(C123,vote4SURGE!$A:$C , 3, FALSE)
)
))</f>
        <v/>
      </c>
      <c r="T123" s="320">
        <f t="shared" si="2"/>
        <v>0</v>
      </c>
      <c r="U123" s="320">
        <f>IFERROR(__xludf.DUMMYFUNCTION("ROUND(
IF(ISBLANK(G123),,
SWITCH(
LEN(G123) - LEN(SUBSTITUTE(G123,"","","""")),
0 , VLOOKUP(G123, Variables!$A:$C, 3, FALSE),
1 , VLOOKUP(index(split(G123 ,"", "", FALSE),1,1), Variables!$A:$C , 3, FALSE) + VLOOKUP(index(split(G123 ,"", "", FALSE),1,2), V"&amp;"ariables!$A:$C , 3, FALSE),
2 , VLOOKUP(index(split(G123 ,"", "", FALSE),1,1), Variables!$A:$C , 3, FALSE) + VLOOKUP(index(split(G123 ,"", "", FALSE),1,2), Variables!$A:$C , 3, FALSE) + VLOOKUP(index(split(G123 ,"", "", FALSE),1,3), Variables!$A:$C , 3, F"&amp;"ALSE),
3 , VLOOKUP(index(split(G123 ,"", "", FALSE),1,1), Variables!$A:$C , 3, FALSE) + VLOOKUP(index(split(G123 ,"", "", FALSE),1,2), Variables!$A:$C , 3, FALSE) + VLOOKUP(index(split(G123 ,"", "", FALSE),1,3), Variables!$A:$C , 3, FALSE) + VLOOKUP(index"&amp;"(split(G123 ,"", "", FALSE),1,4), Variables!$A:$C , 3, FALSE),
)
)
)"),0.0)</f>
        <v>0</v>
      </c>
      <c r="V123" s="317">
        <f t="shared" si="3"/>
        <v>0</v>
      </c>
      <c r="W123" s="321">
        <f t="shared" si="4"/>
        <v>5</v>
      </c>
      <c r="X123" s="118"/>
      <c r="Y123" s="118"/>
      <c r="Z123" s="118"/>
      <c r="AA123" s="118"/>
      <c r="AB123" s="118"/>
      <c r="AC123" s="118"/>
      <c r="AD123" s="118"/>
      <c r="AE123" s="118"/>
    </row>
    <row r="124" hidden="1">
      <c r="A124" s="310" t="s">
        <v>1556</v>
      </c>
      <c r="B124" s="93" t="str">
        <f t="shared" si="1"/>
        <v/>
      </c>
      <c r="C124" s="310" t="s">
        <v>804</v>
      </c>
      <c r="D124" s="323">
        <v>0.0</v>
      </c>
      <c r="E124" s="310" t="s">
        <v>1629</v>
      </c>
      <c r="F124" s="310"/>
      <c r="G124" s="313"/>
      <c r="H124" s="312" t="str">
        <f>IFERROR(__xludf.DUMMYFUNCTION(" IF(ISBLANK(G124),,
SWITCH(
LEN(G124) - LEN(SUBSTITUTE(G124,"","","""")),
0 , VLOOKUP(G124, Variables!$A:$B, 2, FALSE),
1 , VLOOKUP(index(split(G124 ,"", "", FALSE),1,1), Variables!$A:$B , 2, FALSE) + VLOOKUP(index(split(G124 ,"", "", FALSE),1,2), Variabl"&amp;"es!$A:$B , 2, FALSE),
2 , VLOOKUP(index(split(G124 ,"", "", FALSE),1,1), Variables!$A:$B , 2, FALSE) + VLOOKUP(index(split(G124 ,"", "", FALSE),1,2), Variables!$A:$B , 2, FALSE) + VLOOKUP(index(split(G124 ,"", "", FALSE),1,3), Variables!$A:$B , 2, FALSE),"&amp;"
3 , VLOOKUP(index(split(G124 ,"", "", FALSE),1,1), Variables!$A:$B , 2, FALSE) + VLOOKUP(index(split(G124 ,"", "", FALSE),1,2), Variables!$A:$B , 2, FALSE) + VLOOKUP(index(split(G124 ,"", "", FALSE),1,3), Variables!$A:$B , 2, FALSE) + VLOOKUP(index(split"&amp;"(G124 ,"", "", FALSE),1,4), Variables!$A:$B , 2, FALSE),
)
)"),"")</f>
        <v/>
      </c>
      <c r="I124" s="310" t="s">
        <v>1641</v>
      </c>
      <c r="J124" s="313" t="s">
        <v>805</v>
      </c>
      <c r="K124" s="314">
        <f>IFERROR(VLOOKUP(C124,vote4ITEMS!$A:$C, 3, FALSE),)</f>
        <v>5</v>
      </c>
      <c r="L124" s="324"/>
      <c r="M124" s="314">
        <f>SUM(
IF(IFERROR(SEARCH("Aura 1",L124),0) &gt; 0 , VLOOKUP("Aura 1", vote4TRAITS!A:C , 3, FALSE), ),
IF(IFERROR(SEARCH("Backswing",L124),0) &gt; 0 , VLOOKUP("Backswing", vote4TRAITS!A:C , 3, FALSE), ),
IF(IFERROR(SEARCH("Blast",L124),0) &gt; 0 , VLOOKUP("Blast", vote4TRAITS!A:C , 3, FALSE), ),
IF(IFERROR(SEARCH("Combustible",L124),0) &gt; 0 , VLOOKUP("Combustible", vote4TRAITS!A:C , 3, FALSE), ),
IF(IFERROR(SEARCH("Command",L124),0) &gt; 0 , VLOOKUP("Command", vote4TRAITS!A:C , 3, FALSE), ),
IF(IFERROR(SEARCH("Cowardly",L124),0) &gt; 0 , VLOOKUP("Cowardly", vote4TRAITS!A:C , 3, FALSE), ),
IF(IFERROR(SEARCH("Death Wish",L124),0) &gt; 0 , VLOOKUP("Death Wish", vote4TRAITS!A:C , 3, FALSE), ),
IF(IFERROR(SEARCH("Entomb",L124),0) &gt; 0 , VLOOKUP("Entomb", vote4TRAITS!A:C , 3, FALSE), ),
IF(IFERROR(SEARCH("Ethereal Hold",L124),0) &gt; 0 , VLOOKUP("Ethereal Hold", vote4TRAITS!A:C , 3, FALSE), ),
IF(IFERROR(SEARCH("Extend",L124),0) &gt; 0 , VLOOKUP("Extend", vote4TRAITS!A:C , 3, FALSE), ),
IF(IFERROR(SEARCH("Filthy Murk",L124),0) &gt; 0 , VLOOKUP("Filthy Murk", vote4TRAITS!A:C , 3, FALSE), ),
IF(IFERROR(SEARCH("Flame Fiend",L124),0) &gt; 0 , VLOOKUP("Flame Fiend", vote4TRAITS!A:C , 3, FALSE), ),
IF(IFERROR(SEARCH("Fleshmonger",L124),0) &gt; 0 , VLOOKUP("Fleshmonger", vote4TRAITS!A:C , 3, FALSE), ),
IF(IFERROR(SEARCH("Fly",L124),0) &gt; 0 , VLOOKUP("Fly", vote4TRAITS!A:C , 3, FALSE), ),
IF(IFERROR(SEARCH("Freezing",L124),0) &gt; 0 , VLOOKUP("Freezing", vote4TRAITS!A:C , 3, FALSE), ),
IF(IFERROR(SEARCH("Lithesome",L124),0) &gt; 0 , VLOOKUP("Lithesome", vote4TRAITS!A:C , 3, FALSE), ),
IF(IFERROR(SEARCH("Harrowing",L124),0) &gt; 0 , VLOOKUP("Harrowing", vote4TRAITS!A:C , 3, FALSE), ),
IF(IFERROR(SEARCH("Hideous Laughter",L124),0) &gt; 0 , VLOOKUP("Hideous Laughter", vote4TRAITS!A:C , 3, FALSE), ),
IF(IFERROR(SEARCH("Hive Defense",L124),0) &gt; 0 , VLOOKUP("Hive Defense", vote4TRAITS!A:C , 3, FALSE), ),
IF(IFERROR(SEARCH("Horrifying",L124),0) &gt; 0 , VLOOKUP("Horrifying", vote4TRAITS!A:C , 3, FALSE), ),
IF(IFERROR(SEARCH("Ironskin",L124),0) &gt; 0 , VLOOKUP("Ironskin", vote4TRAITS!A:C , 3, FALSE), ),
IF(IFERROR(SEARCH("Unmovable",L124),0) &gt; 0 , VLOOKUP("Unmovable", vote4TRAITS!A:C , 3, FALSE), ),
IF(IFERROR(SEARCH("Lifethirst 1",L124),0) &gt; 0 , VLOOKUP("Lifethirst 1", vote4TRAITS!A:C , 3, FALSE), ),
IF(IFERROR(SEARCH("Lifethirst 2",L124),0) &gt; 0 , VLOOKUP("Lifethirst 2", vote4TRAITS!A:C , 3, FALSE), ),
IF(IFERROR(SEARCH("Morph",L124),0) &gt; 0 , VLOOKUP("Morph", vote4TRAITS!A:C , 3, FALSE), ),
IF(IFERROR(SEARCH("Night Stalker",L124),0) &gt; 0 , VLOOKUP("Night Stalker", vote4TRAITS!A:C , 3, FALSE), ),
IF(IFERROR(SEARCH("Overflowing",L124),0) &gt; 0 , VLOOKUP("Overflowing", vote4TRAITS!A:C , 3, FALSE), ),
IF(IFERROR(SEARCH("Pestilence",L124),0) &gt; 0 , VLOOKUP("Pestilence", vote4TRAITS!A:C , 3, FALSE), ),
IF(IFERROR(SEARCH("Phalanx",L124),0) &gt; 0 , VLOOKUP("Phalanx", vote4TRAITS!A:C , 3, FALSE), ),
IF(IFERROR(SEARCH("Plagued",L124),0) &gt; 0 , VLOOKUP("Plagued", vote4TRAITS!A:C , 3, FALSE), ),
IF(IFERROR(SEARCH("Prey on the Weak",L124),0) &gt; 0 , VLOOKUP("Prey on the Weak", vote4TRAITS!A:C , 3, FALSE), ),
IF(IFERROR(SEARCH("Protect",L124),0) &gt; 0 , VLOOKUP("Protect", vote4TRAITS!A:C , 3, FALSE), ),
IF(IFERROR(SEARCH("Puncture",L124),0) &gt; 0 , VLOOKUP("Puncture", vote4TRAITS!A:C , 3, FALSE), ),
IF(IFERROR(SEARCH("Putrid Boils",L124),0) &gt; 0 , VLOOKUP("Putrid Boils", vote4TRAITS!A:C , 3, FALSE), ),
IF(IFERROR(SEARCH("Ravage",L124),0) &gt; 0 , VLOOKUP("Ravage", vote4TRAITS!A:C , 3, FALSE), ),
IF(IFERROR(SEARCH("Ravenous",L124),0) &gt; 0 , VLOOKUP("Ravenous", vote4TRAITS!A:C , 3, FALSE), ),
IF(IFERROR(SEARCH("Reach",L124),0) &gt; 0 , VLOOKUP("Reach", vote4TRAITS!A:C , 3, FALSE), ),
IF(IFERROR(SEARCH("Reanimation",L124),0) &gt; 0 , VLOOKUP("Reanimation", vote4TRAITS!A:C , 3, FALSE), ),
IF(IFERROR(SEARCH("Reaper",L124),0) &gt; 0 , VLOOKUP("Reaper", vote4TRAITS!A:C , 3, FALSE), ),
IF(IFERROR(SEARCH("Riposte",L124),0) &gt; 0 , VLOOKUP("Riposte", vote4TRAITS!A:C , 3, FALSE)),
IF(IFERROR(SEARCH("Scamper",L124),0) &gt; 0 , VLOOKUP("Scamper", vote4TRAITS!A:C , 3, FALSE), ),
IF(IFERROR(SEARCH("Small Beginnings",L124),0) &gt; 0 , VLOOKUP("Small Beginnings", vote4TRAITS!A:C , 3, FALSE), ),
IF(IFERROR(SEARCH("Spawner",L124),0) &gt; 0 , VLOOKUP("Spawner", vote4TRAITS!A:C , 3,FALSE), ),
IF(IFERROR(SEARCH("Shadowr",L124),0) &gt; 0 , VLOOKUP("Shadow", vote4TRAITS!A:C , 3,FALSE), ),
IF(IFERROR(SEARCH("Shadow Step",L124),0) &gt; 0 , VLOOKUP("Shadow Step", vote4TRAITS!A:C , 3,FALSE), ),
IF(IFERROR(SEARCH("Shambling",L124),0) &gt; 0 , VLOOKUP("Shambling", vote4TRAITS!A:C , 3,FALSE), ),
IF(IFERROR(SEARCH("Stealthy",L124),0) &gt; 0 , VLOOKUP("Stealthy", vote4TRAITS!A:C , 3, FALSE), ),
IF(IFERROR(SEARCH("Web",L124),0) &gt; 0 , VLOOKUP("Web", vote4TRAITS!A:C , 3, FALSE), ),
IF(IFERROR(SEARCH("+1 Willpower",L124),0) &gt; 0 , VLOOKUP("+1 Willpower", vote4TRAITS!A:C , 3, FALSE), ),
IF(IFERROR(SEARCH("+1 Might",L124),0) &gt; 0 , VLOOKUP("+1 Might", vote4TRAITS!A:C , 3, FALSE), ),
IF(IFERROR(SEARCH("+1 Knowledge",L124),0) &gt; 0 , VLOOKUP("+1 Knowledge", vote4TRAITS!A:C , 3, FALSE), ),
IF(IFERROR(SEARCH("+1 Awareness",L124),0) &gt; 0 , VLOOKUP("+1 Awareness", vote4TRAITS!A:C , 3, FALSE), ),
IF(IFERROR(SEARCH("-1 Willpower",L124),0) &gt; 0 , VLOOKUP("-1 Willpower", vote4TRAITS!A:C , 3, FALSE), ),
IF(IFERROR(SEARCH("+1 Health",L124),0) &gt; 0 , VLOOKUP("+1 Health", vote4TRAITS!A:C , 3, FALSE), ),
IF(IFERROR(SEARCH("+2 Health",L124),0) &gt; 0 , VLOOKUP("+2 Health", vote4TRAITS!A:C , 3, FALSE), ),
IF(IFERROR(SEARCH("+1 Stamina",L124),0) &gt; 0 , VLOOKUP("+1 Stamina", vote4TRAITS!A:C , 3, FALSE), ),
IF(IFERROR(SEARCH("+2 Stamina",L124),0) &gt; 0 , VLOOKUP("+2 Stamina", vote4TRAITS!A:C , 3, FALSE), ),
IFS(
IFERROR(SEARCH("+1 Range", L124),) &gt; 0 ,VLOOKUP("+1 Range", vote4TRAITS!A:C , 3, FALSE),
IFERROR(SEARCH("+2 Range", L124),) &gt; 0 ,VLOOKUP("+2 Range", vote4TRAITS!A:C , 3, FALSE),
IFERROR(SEARCH("+3 Range", L124),) &gt; 0,VLOOKUP("+3 Range", vote4TRAITS!A:C , 3, FALSE),
0=0,0)
,
IFS(
IFERROR(SEARCH("Sorcery 1", L124),) &gt; 0 ,VLOOKUP("Sorcery 1", vote4TRAITS!A:C , 3, FALSE),
IFERROR(SEARCH("Sorcery 2", L124),) &gt; 0 ,VLOOKUP("Sorcery 2", vote4TRAITS!A:C , 3, FALSE),
IFERROR(SEARCH("Sorcery 3", L124),) &gt; 0,VLOOKUP("Sorcery 3", vote4TRAITS!A:C , 3, FALSE),
0=0,0)
,
IFS(
IFERROR(SEARCH("Pierce 1", L124),) &gt; 0 ,VLOOKUP("Pierce 1", vote4TRAITS!A:C , 3, FALSE),
IFERROR(SEARCH("Pierce 2", L124),) &gt; 0 ,VLOOKUP("Pierce 2", vote4TRAITS!A:C , 3, FALSE),
IFERROR(SEARCH("Pierce 3", L124),) &gt; 0,VLOOKUP("Pierce 3", vote4TRAITS!A:C , 3, FALSE),
IFERROR(SEARCH("Pierce 4", L124),) &gt; 0 ,VLOOKUP("Pierce 4", vote4TRAITS!A:C , 3, FALSE),
0=0,0)
,
IFS(
IFERROR(SEARCH("+1 Health", L124),) &gt; 0 ,VLOOKUP("+1 Health", vote4TRAITS!A:C , 3, FALSE),
IFERROR(SEARCH("+2 Health", L124),) &gt; 0 ,VLOOKUP("+2 Health", vote4TRAITS!A:C , 3, FALSE),
IFERROR(SEARCH("+3 Health", L124),) &gt; 0 ,VLOOKUP("+3 Health", vote4TRAITS!A:C , 3, FALSE),
IFERROR(SEARCH("+4 Health", L124),) &gt; 0 ,VLOOKUP("+4 Health", vote4TRAITS!A:C , 3, FALSE),
0=0,0)
,
IFS(
IFERROR(SEARCH("Soul Shackle 1", L124),) &gt; 0 ,VLOOKUP("Soul Shackle 1", vote4TRAITS!A:C , 3, FALSE),
IFERROR(SEARCH("Soul Shackle 2", L124),) &gt; 0 ,VLOOKUP("Soul Shackle 2", vote4TRAITS!A:C , 3, FALSE),
IFERROR(SEARCH("Soul Shackle 3", L124),) &gt; 0,VLOOKUP("Soul Shackle 3", vote4TRAITS!A:C , 3, FALSE),
0=0,0)
)</f>
        <v>0</v>
      </c>
      <c r="N124" s="330"/>
      <c r="O124" s="317" t="str">
        <f>IF(ISBLANK(N124),,IFERROR(
IF(IFERROR(SEARCH("SS:",N124),0) &gt; 0, 
VLOOKUP(SUBSTITUTE(N124,"SS: ",""),vote4SURGE!$A:$C , 3, FALSE) - 2,
VLOOKUP(SUBSTITUTE(N124,"S: ",""),vote4SURGE!$A:$C , 3, FALSE)
)
,
IF(IFERROR(SEARCH("SS:",N124),0) &gt; 0, 
VLOOKUP(C124,vote4SURGE!$A:$C , 3, FALSE) - 2,
VLOOKUP(C124,vote4SURGE!$A:$C , 3, FALSE)
)
))</f>
        <v/>
      </c>
      <c r="P124" s="318"/>
      <c r="Q124" s="317" t="str">
        <f>IF(ISBLANK(P124),,IFERROR(
IF(IFERROR(SEARCH("SS:",P124),0) &gt; 0, 
VLOOKUP(SUBSTITUTE(P124,"SS: ",""),vote4SURGE!$A:$C , 3, FALSE) - 2,
VLOOKUP(SUBSTITUTE(P124,"S: ",""),vote4SURGE!$A:$C , 3, FALSE)
)
,
IF(IFERROR(SEARCH("SS:",P124),0) &gt; 0, 
VLOOKUP(C124,vote4SURGE!$A:$C , 3, FALSE) - 2,
VLOOKUP(C124,vote4SURGE!$A:$C , 3, FALSE)
)
))</f>
        <v/>
      </c>
      <c r="R124" s="318"/>
      <c r="S124" s="319" t="str">
        <f>IF(ISBLANK(R124),,IFERROR(
IF(IFERROR(SEARCH("SS:",R124),0) &gt; 0, 
VLOOKUP(SUBSTITUTE(R124,"SS: ",""),vote4SURGE!$A:$C , 3, FALSE) - 2,
VLOOKUP(SUBSTITUTE(R124,"S: ",""),vote4SURGE!$A:$C , 3, FALSE)
)
,
IF(IFERROR(SEARCH("SS:",R124),0) &gt; 0, 
VLOOKUP(C124,vote4SURGE!$A:$C , 3, FALSE) - 2,
VLOOKUP(C124,vote4SURGE!$A:$C , 3, FALSE)
)
))</f>
        <v/>
      </c>
      <c r="T124" s="320">
        <f t="shared" si="2"/>
        <v>0</v>
      </c>
      <c r="U124" s="320">
        <f>IFERROR(__xludf.DUMMYFUNCTION("ROUND(
IF(ISBLANK(G124),,
SWITCH(
LEN(G124) - LEN(SUBSTITUTE(G124,"","","""")),
0 , VLOOKUP(G124, Variables!$A:$C, 3, FALSE),
1 , VLOOKUP(index(split(G124 ,"", "", FALSE),1,1), Variables!$A:$C , 3, FALSE) + VLOOKUP(index(split(G124 ,"", "", FALSE),1,2), V"&amp;"ariables!$A:$C , 3, FALSE),
2 , VLOOKUP(index(split(G124 ,"", "", FALSE),1,1), Variables!$A:$C , 3, FALSE) + VLOOKUP(index(split(G124 ,"", "", FALSE),1,2), Variables!$A:$C , 3, FALSE) + VLOOKUP(index(split(G124 ,"", "", FALSE),1,3), Variables!$A:$C , 3, F"&amp;"ALSE),
3 , VLOOKUP(index(split(G124 ,"", "", FALSE),1,1), Variables!$A:$C , 3, FALSE) + VLOOKUP(index(split(G124 ,"", "", FALSE),1,2), Variables!$A:$C , 3, FALSE) + VLOOKUP(index(split(G124 ,"", "", FALSE),1,3), Variables!$A:$C , 3, FALSE) + VLOOKUP(index"&amp;"(split(G124 ,"", "", FALSE),1,4), Variables!$A:$C , 3, FALSE),
)
)
)"),0.0)</f>
        <v>0</v>
      </c>
      <c r="V124" s="317">
        <f t="shared" si="3"/>
        <v>0</v>
      </c>
      <c r="W124" s="321">
        <f t="shared" si="4"/>
        <v>5</v>
      </c>
      <c r="X124" s="118"/>
      <c r="Y124" s="118"/>
      <c r="Z124" s="118"/>
      <c r="AA124" s="118"/>
      <c r="AB124" s="118"/>
      <c r="AC124" s="118"/>
      <c r="AD124" s="118"/>
      <c r="AE124" s="118"/>
    </row>
    <row r="125" hidden="1">
      <c r="A125" s="310">
        <v>2.0</v>
      </c>
      <c r="B125" s="93">
        <f t="shared" si="1"/>
        <v>6</v>
      </c>
      <c r="C125" s="310" t="s">
        <v>719</v>
      </c>
      <c r="D125" s="310">
        <v>200.0</v>
      </c>
      <c r="E125" s="310" t="s">
        <v>1620</v>
      </c>
      <c r="F125" s="310"/>
      <c r="G125" s="311" t="s">
        <v>1663</v>
      </c>
      <c r="H125" s="312">
        <f>IFERROR(__xludf.DUMMYFUNCTION(" IF(ISBLANK(G125),,
SWITCH(
LEN(G125) - LEN(SUBSTITUTE(G125,"","","""")),
0 , VLOOKUP(G125, Variables!$A:$B, 2, FALSE),
1 , VLOOKUP(index(split(G125 ,"", "", FALSE),1,1), Variables!$A:$B , 2, FALSE) + VLOOKUP(index(split(G125 ,"", "", FALSE),1,2), Variabl"&amp;"es!$A:$B , 2, FALSE),
2 , VLOOKUP(index(split(G125 ,"", "", FALSE),1,1), Variables!$A:$B , 2, FALSE) + VLOOKUP(index(split(G125 ,"", "", FALSE),1,2), Variables!$A:$B , 2, FALSE) + VLOOKUP(index(split(G125 ,"", "", FALSE),1,3), Variables!$A:$B , 2, FALSE),"&amp;"
3 , VLOOKUP(index(split(G125 ,"", "", FALSE),1,1), Variables!$A:$B , 2, FALSE) + VLOOKUP(index(split(G125 ,"", "", FALSE),1,2), Variables!$A:$B , 2, FALSE) + VLOOKUP(index(split(G125 ,"", "", FALSE),1,3), Variables!$A:$B , 2, FALSE) + VLOOKUP(index(split"&amp;"(G125 ,"", "", FALSE),1,4), Variables!$A:$B , 2, FALSE),
)
)"),1.3333333333333333)</f>
        <v>1.333333333</v>
      </c>
      <c r="I125" s="310" t="s">
        <v>1622</v>
      </c>
      <c r="J125" s="313" t="s">
        <v>720</v>
      </c>
      <c r="K125" s="314">
        <f>IFERROR(VLOOKUP(C125,vote4ITEMS!$A:$C, 3, FALSE),)</f>
        <v>3.5</v>
      </c>
      <c r="L125" s="313"/>
      <c r="M125" s="314">
        <f>SUM(
IF(IFERROR(SEARCH("Aura 1",L125),0) &gt; 0 , VLOOKUP("Aura 1", vote4TRAITS!A:C , 3, FALSE), ),
IF(IFERROR(SEARCH("Backswing",L125),0) &gt; 0 , VLOOKUP("Backswing", vote4TRAITS!A:C , 3, FALSE), ),
IF(IFERROR(SEARCH("Blast",L125),0) &gt; 0 , VLOOKUP("Blast", vote4TRAITS!A:C , 3, FALSE), ),
IF(IFERROR(SEARCH("Combustible",L125),0) &gt; 0 , VLOOKUP("Combustible", vote4TRAITS!A:C , 3, FALSE), ),
IF(IFERROR(SEARCH("Command",L125),0) &gt; 0 , VLOOKUP("Command", vote4TRAITS!A:C , 3, FALSE), ),
IF(IFERROR(SEARCH("Cowardly",L125),0) &gt; 0 , VLOOKUP("Cowardly", vote4TRAITS!A:C , 3, FALSE), ),
IF(IFERROR(SEARCH("Death Wish",L125),0) &gt; 0 , VLOOKUP("Death Wish", vote4TRAITS!A:C , 3, FALSE), ),
IF(IFERROR(SEARCH("Entomb",L125),0) &gt; 0 , VLOOKUP("Entomb", vote4TRAITS!A:C , 3, FALSE), ),
IF(IFERROR(SEARCH("Ethereal Hold",L125),0) &gt; 0 , VLOOKUP("Ethereal Hold", vote4TRAITS!A:C , 3, FALSE), ),
IF(IFERROR(SEARCH("Extend",L125),0) &gt; 0 , VLOOKUP("Extend", vote4TRAITS!A:C , 3, FALSE), ),
IF(IFERROR(SEARCH("Filthy Murk",L125),0) &gt; 0 , VLOOKUP("Filthy Murk", vote4TRAITS!A:C , 3, FALSE), ),
IF(IFERROR(SEARCH("Flame Fiend",L125),0) &gt; 0 , VLOOKUP("Flame Fiend", vote4TRAITS!A:C , 3, FALSE), ),
IF(IFERROR(SEARCH("Fleshmonger",L125),0) &gt; 0 , VLOOKUP("Fleshmonger", vote4TRAITS!A:C , 3, FALSE), ),
IF(IFERROR(SEARCH("Fly",L125),0) &gt; 0 , VLOOKUP("Fly", vote4TRAITS!A:C , 3, FALSE), ),
IF(IFERROR(SEARCH("Freezing",L125),0) &gt; 0 , VLOOKUP("Freezing", vote4TRAITS!A:C , 3, FALSE), ),
IF(IFERROR(SEARCH("Lithesome",L125),0) &gt; 0 , VLOOKUP("Lithesome", vote4TRAITS!A:C , 3, FALSE), ),
IF(IFERROR(SEARCH("Harrowing",L125),0) &gt; 0 , VLOOKUP("Harrowing", vote4TRAITS!A:C , 3, FALSE), ),
IF(IFERROR(SEARCH("Hideous Laughter",L125),0) &gt; 0 , VLOOKUP("Hideous Laughter", vote4TRAITS!A:C , 3, FALSE), ),
IF(IFERROR(SEARCH("Hive Defense",L125),0) &gt; 0 , VLOOKUP("Hive Defense", vote4TRAITS!A:C , 3, FALSE), ),
IF(IFERROR(SEARCH("Horrifying",L125),0) &gt; 0 , VLOOKUP("Horrifying", vote4TRAITS!A:C , 3, FALSE), ),
IF(IFERROR(SEARCH("Ironskin",L125),0) &gt; 0 , VLOOKUP("Ironskin", vote4TRAITS!A:C , 3, FALSE), ),
IF(IFERROR(SEARCH("Unmovable",L125),0) &gt; 0 , VLOOKUP("Unmovable", vote4TRAITS!A:C , 3, FALSE), ),
IF(IFERROR(SEARCH("Lifethirst 1",L125),0) &gt; 0 , VLOOKUP("Lifethirst 1", vote4TRAITS!A:C , 3, FALSE), ),
IF(IFERROR(SEARCH("Lifethirst 2",L125),0) &gt; 0 , VLOOKUP("Lifethirst 2", vote4TRAITS!A:C , 3, FALSE), ),
IF(IFERROR(SEARCH("Morph",L125),0) &gt; 0 , VLOOKUP("Morph", vote4TRAITS!A:C , 3, FALSE), ),
IF(IFERROR(SEARCH("Night Stalker",L125),0) &gt; 0 , VLOOKUP("Night Stalker", vote4TRAITS!A:C , 3, FALSE), ),
IF(IFERROR(SEARCH("Overflowing",L125),0) &gt; 0 , VLOOKUP("Overflowing", vote4TRAITS!A:C , 3, FALSE), ),
IF(IFERROR(SEARCH("Pestilence",L125),0) &gt; 0 , VLOOKUP("Pestilence", vote4TRAITS!A:C , 3, FALSE), ),
IF(IFERROR(SEARCH("Phalanx",L125),0) &gt; 0 , VLOOKUP("Phalanx", vote4TRAITS!A:C , 3, FALSE), ),
IF(IFERROR(SEARCH("Plagued",L125),0) &gt; 0 , VLOOKUP("Plagued", vote4TRAITS!A:C , 3, FALSE), ),
IF(IFERROR(SEARCH("Prey on the Weak",L125),0) &gt; 0 , VLOOKUP("Prey on the Weak", vote4TRAITS!A:C , 3, FALSE), ),
IF(IFERROR(SEARCH("Protect",L125),0) &gt; 0 , VLOOKUP("Protect", vote4TRAITS!A:C , 3, FALSE), ),
IF(IFERROR(SEARCH("Puncture",L125),0) &gt; 0 , VLOOKUP("Puncture", vote4TRAITS!A:C , 3, FALSE), ),
IF(IFERROR(SEARCH("Putrid Boils",L125),0) &gt; 0 , VLOOKUP("Putrid Boils", vote4TRAITS!A:C , 3, FALSE), ),
IF(IFERROR(SEARCH("Ravage",L125),0) &gt; 0 , VLOOKUP("Ravage", vote4TRAITS!A:C , 3, FALSE), ),
IF(IFERROR(SEARCH("Ravenous",L125),0) &gt; 0 , VLOOKUP("Ravenous", vote4TRAITS!A:C , 3, FALSE), ),
IF(IFERROR(SEARCH("Reach",L125),0) &gt; 0 , VLOOKUP("Reach", vote4TRAITS!A:C , 3, FALSE), ),
IF(IFERROR(SEARCH("Reanimation",L125),0) &gt; 0 , VLOOKUP("Reanimation", vote4TRAITS!A:C , 3, FALSE), ),
IF(IFERROR(SEARCH("Reaper",L125),0) &gt; 0 , VLOOKUP("Reaper", vote4TRAITS!A:C , 3, FALSE), ),
IF(IFERROR(SEARCH("Riposte",L125),0) &gt; 0 , VLOOKUP("Riposte", vote4TRAITS!A:C , 3, FALSE)),
IF(IFERROR(SEARCH("Scamper",L125),0) &gt; 0 , VLOOKUP("Scamper", vote4TRAITS!A:C , 3, FALSE), ),
IF(IFERROR(SEARCH("Small Beginnings",L125),0) &gt; 0 , VLOOKUP("Small Beginnings", vote4TRAITS!A:C , 3, FALSE), ),
IF(IFERROR(SEARCH("Spawner",L125),0) &gt; 0 , VLOOKUP("Spawner", vote4TRAITS!A:C , 3,FALSE), ),
IF(IFERROR(SEARCH("Shadowr",L125),0) &gt; 0 , VLOOKUP("Shadow", vote4TRAITS!A:C , 3,FALSE), ),
IF(IFERROR(SEARCH("Shadow Step",L125),0) &gt; 0 , VLOOKUP("Shadow Step", vote4TRAITS!A:C , 3,FALSE), ),
IF(IFERROR(SEARCH("Shambling",L125),0) &gt; 0 , VLOOKUP("Shambling", vote4TRAITS!A:C , 3,FALSE), ),
IF(IFERROR(SEARCH("Stealthy",L125),0) &gt; 0 , VLOOKUP("Stealthy", vote4TRAITS!A:C , 3, FALSE), ),
IF(IFERROR(SEARCH("Web",L125),0) &gt; 0 , VLOOKUP("Web", vote4TRAITS!A:C , 3, FALSE), ),
IF(IFERROR(SEARCH("+1 Willpower",L125),0) &gt; 0 , VLOOKUP("+1 Willpower", vote4TRAITS!A:C , 3, FALSE), ),
IF(IFERROR(SEARCH("+1 Might",L125),0) &gt; 0 , VLOOKUP("+1 Might", vote4TRAITS!A:C , 3, FALSE), ),
IF(IFERROR(SEARCH("+1 Knowledge",L125),0) &gt; 0 , VLOOKUP("+1 Knowledge", vote4TRAITS!A:C , 3, FALSE), ),
IF(IFERROR(SEARCH("+1 Awareness",L125),0) &gt; 0 , VLOOKUP("+1 Awareness", vote4TRAITS!A:C , 3, FALSE), ),
IF(IFERROR(SEARCH("-1 Willpower",L125),0) &gt; 0 , VLOOKUP("-1 Willpower", vote4TRAITS!A:C , 3, FALSE), ),
IF(IFERROR(SEARCH("+1 Health",L125),0) &gt; 0 , VLOOKUP("+1 Health", vote4TRAITS!A:C , 3, FALSE), ),
IF(IFERROR(SEARCH("+2 Health",L125),0) &gt; 0 , VLOOKUP("+2 Health", vote4TRAITS!A:C , 3, FALSE), ),
IF(IFERROR(SEARCH("+1 Stamina",L125),0) &gt; 0 , VLOOKUP("+1 Stamina", vote4TRAITS!A:C , 3, FALSE), ),
IF(IFERROR(SEARCH("+2 Stamina",L125),0) &gt; 0 , VLOOKUP("+2 Stamina", vote4TRAITS!A:C , 3, FALSE), ),
IFS(
IFERROR(SEARCH("+1 Range", L125),) &gt; 0 ,VLOOKUP("+1 Range", vote4TRAITS!A:C , 3, FALSE),
IFERROR(SEARCH("+2 Range", L125),) &gt; 0 ,VLOOKUP("+2 Range", vote4TRAITS!A:C , 3, FALSE),
IFERROR(SEARCH("+3 Range", L125),) &gt; 0,VLOOKUP("+3 Range", vote4TRAITS!A:C , 3, FALSE),
0=0,0)
,
IFS(
IFERROR(SEARCH("Sorcery 1", L125),) &gt; 0 ,VLOOKUP("Sorcery 1", vote4TRAITS!A:C , 3, FALSE),
IFERROR(SEARCH("Sorcery 2", L125),) &gt; 0 ,VLOOKUP("Sorcery 2", vote4TRAITS!A:C , 3, FALSE),
IFERROR(SEARCH("Sorcery 3", L125),) &gt; 0,VLOOKUP("Sorcery 3", vote4TRAITS!A:C , 3, FALSE),
0=0,0)
,
IFS(
IFERROR(SEARCH("Pierce 1", L125),) &gt; 0 ,VLOOKUP("Pierce 1", vote4TRAITS!A:C , 3, FALSE),
IFERROR(SEARCH("Pierce 2", L125),) &gt; 0 ,VLOOKUP("Pierce 2", vote4TRAITS!A:C , 3, FALSE),
IFERROR(SEARCH("Pierce 3", L125),) &gt; 0,VLOOKUP("Pierce 3", vote4TRAITS!A:C , 3, FALSE),
IFERROR(SEARCH("Pierce 4", L125),) &gt; 0 ,VLOOKUP("Pierce 4", vote4TRAITS!A:C , 3, FALSE),
0=0,0)
,
IFS(
IFERROR(SEARCH("+1 Health", L125),) &gt; 0 ,VLOOKUP("+1 Health", vote4TRAITS!A:C , 3, FALSE),
IFERROR(SEARCH("+2 Health", L125),) &gt; 0 ,VLOOKUP("+2 Health", vote4TRAITS!A:C , 3, FALSE),
IFERROR(SEARCH("+3 Health", L125),) &gt; 0 ,VLOOKUP("+3 Health", vote4TRAITS!A:C , 3, FALSE),
IFERROR(SEARCH("+4 Health", L125),) &gt; 0 ,VLOOKUP("+4 Health", vote4TRAITS!A:C , 3, FALSE),
0=0,0)
,
IFS(
IFERROR(SEARCH("Soul Shackle 1", L125),) &gt; 0 ,VLOOKUP("Soul Shackle 1", vote4TRAITS!A:C , 3, FALSE),
IFERROR(SEARCH("Soul Shackle 2", L125),) &gt; 0 ,VLOOKUP("Soul Shackle 2", vote4TRAITS!A:C , 3, FALSE),
IFERROR(SEARCH("Soul Shackle 3", L125),) &gt; 0,VLOOKUP("Soul Shackle 3", vote4TRAITS!A:C , 3, FALSE),
0=0,0)
)</f>
        <v>0</v>
      </c>
      <c r="N125" s="313"/>
      <c r="O125" s="317" t="str">
        <f>IF(ISBLANK(N125),,IFERROR(
IF(IFERROR(SEARCH("SS:",N125),0) &gt; 0, 
VLOOKUP(SUBSTITUTE(N125,"SS: ",""),vote4SURGE!$A:$C , 3, FALSE) - 2,
VLOOKUP(SUBSTITUTE(N125,"S: ",""),vote4SURGE!$A:$C , 3, FALSE)
)
,
IF(IFERROR(SEARCH("SS:",N125),0) &gt; 0, 
VLOOKUP(C125,vote4SURGE!$A:$C , 3, FALSE) - 2,
VLOOKUP(C125,vote4SURGE!$A:$C , 3, FALSE)
)
))</f>
        <v/>
      </c>
      <c r="P125" s="318"/>
      <c r="Q125" s="317" t="str">
        <f>IF(ISBLANK(P125),,IFERROR(
IF(IFERROR(SEARCH("SS:",P125),0) &gt; 0, 
VLOOKUP(SUBSTITUTE(P125,"SS: ",""),vote4SURGE!$A:$C , 3, FALSE) - 2,
VLOOKUP(SUBSTITUTE(P125,"S: ",""),vote4SURGE!$A:$C , 3, FALSE)
)
,
IF(IFERROR(SEARCH("SS:",P125),0) &gt; 0, 
VLOOKUP(C125,vote4SURGE!$A:$C , 3, FALSE) - 2,
VLOOKUP(C125,vote4SURGE!$A:$C , 3, FALSE)
)
))</f>
        <v/>
      </c>
      <c r="R125" s="318"/>
      <c r="S125" s="319" t="str">
        <f>IF(ISBLANK(R125),,IFERROR(
IF(IFERROR(SEARCH("SS:",R125),0) &gt; 0, 
VLOOKUP(SUBSTITUTE(R125,"SS: ",""),vote4SURGE!$A:$C , 3, FALSE) - 2,
VLOOKUP(SUBSTITUTE(R125,"S: ",""),vote4SURGE!$A:$C , 3, FALSE)
)
,
IF(IFERROR(SEARCH("SS:",R125),0) &gt; 0, 
VLOOKUP(C125,vote4SURGE!$A:$C , 3, FALSE) - 2,
VLOOKUP(C125,vote4SURGE!$A:$C , 3, FALSE)
)
))</f>
        <v/>
      </c>
      <c r="T125" s="320">
        <f t="shared" si="2"/>
        <v>0</v>
      </c>
      <c r="U125" s="320">
        <f>IFERROR(__xludf.DUMMYFUNCTION("ROUND(
IF(ISBLANK(G125),,
SWITCH(
LEN(G125) - LEN(SUBSTITUTE(G125,"","","""")),
0 , VLOOKUP(G125, Variables!$A:$C, 3, FALSE),
1 , VLOOKUP(index(split(G125 ,"", "", FALSE),1,1), Variables!$A:$C , 3, FALSE) + VLOOKUP(index(split(G125 ,"", "", FALSE),1,2), V"&amp;"ariables!$A:$C , 3, FALSE),
2 , VLOOKUP(index(split(G125 ,"", "", FALSE),1,1), Variables!$A:$C , 3, FALSE) + VLOOKUP(index(split(G125 ,"", "", FALSE),1,2), Variables!$A:$C , 3, FALSE) + VLOOKUP(index(split(G125 ,"", "", FALSE),1,3), Variables!$A:$C , 3, F"&amp;"ALSE),
3 , VLOOKUP(index(split(G125 ,"", "", FALSE),1,1), Variables!$A:$C , 3, FALSE) + VLOOKUP(index(split(G125 ,"", "", FALSE),1,2), Variables!$A:$C , 3, FALSE) + VLOOKUP(index(split(G125 ,"", "", FALSE),1,3), Variables!$A:$C , 3, FALSE) + VLOOKUP(index"&amp;"(split(G125 ,"", "", FALSE),1,4), Variables!$A:$C , 3, FALSE),
)
)
)"),0.0)</f>
        <v>0</v>
      </c>
      <c r="V125" s="317">
        <f t="shared" si="3"/>
        <v>0</v>
      </c>
      <c r="W125" s="321">
        <f t="shared" si="4"/>
        <v>4.833333333</v>
      </c>
      <c r="X125" s="118"/>
      <c r="Y125" s="118"/>
      <c r="Z125" s="118"/>
      <c r="AA125" s="118"/>
      <c r="AB125" s="118"/>
      <c r="AC125" s="118"/>
      <c r="AD125" s="118"/>
      <c r="AE125" s="118"/>
    </row>
    <row r="126" hidden="1">
      <c r="A126" s="310">
        <v>2.0</v>
      </c>
      <c r="B126" s="93">
        <f t="shared" si="1"/>
        <v>6</v>
      </c>
      <c r="C126" s="310" t="s">
        <v>890</v>
      </c>
      <c r="D126" s="310">
        <v>175.0</v>
      </c>
      <c r="E126" s="310" t="s">
        <v>1629</v>
      </c>
      <c r="F126" s="310"/>
      <c r="G126" s="313"/>
      <c r="H126" s="312" t="str">
        <f>IFERROR(__xludf.DUMMYFUNCTION(" IF(ISBLANK(G126),,
SWITCH(
LEN(G126) - LEN(SUBSTITUTE(G126,"","","""")),
0 , VLOOKUP(G126, Variables!$A:$B, 2, FALSE),
1 , VLOOKUP(index(split(G126 ,"", "", FALSE),1,1), Variables!$A:$B , 2, FALSE) + VLOOKUP(index(split(G126 ,"", "", FALSE),1,2), Variabl"&amp;"es!$A:$B , 2, FALSE),
2 , VLOOKUP(index(split(G126 ,"", "", FALSE),1,1), Variables!$A:$B , 2, FALSE) + VLOOKUP(index(split(G126 ,"", "", FALSE),1,2), Variables!$A:$B , 2, FALSE) + VLOOKUP(index(split(G126 ,"", "", FALSE),1,3), Variables!$A:$B , 2, FALSE),"&amp;"
3 , VLOOKUP(index(split(G126 ,"", "", FALSE),1,1), Variables!$A:$B , 2, FALSE) + VLOOKUP(index(split(G126 ,"", "", FALSE),1,2), Variables!$A:$B , 2, FALSE) + VLOOKUP(index(split(G126 ,"", "", FALSE),1,3), Variables!$A:$B , 2, FALSE) + VLOOKUP(index(split"&amp;"(G126 ,"", "", FALSE),1,4), Variables!$A:$B , 2, FALSE),
)
)"),"")</f>
        <v/>
      </c>
      <c r="I126" s="310" t="s">
        <v>1641</v>
      </c>
      <c r="J126" s="313" t="s">
        <v>891</v>
      </c>
      <c r="K126" s="314">
        <f>IFERROR(VLOOKUP(C126,vote4ITEMS!$A:$C, 3, FALSE),)</f>
        <v>4.666666667</v>
      </c>
      <c r="L126" s="313"/>
      <c r="M126" s="314">
        <f>SUM(
IF(IFERROR(SEARCH("Aura 1",L126),0) &gt; 0 , VLOOKUP("Aura 1", vote4TRAITS!A:C , 3, FALSE), ),
IF(IFERROR(SEARCH("Backswing",L126),0) &gt; 0 , VLOOKUP("Backswing", vote4TRAITS!A:C , 3, FALSE), ),
IF(IFERROR(SEARCH("Blast",L126),0) &gt; 0 , VLOOKUP("Blast", vote4TRAITS!A:C , 3, FALSE), ),
IF(IFERROR(SEARCH("Combustible",L126),0) &gt; 0 , VLOOKUP("Combustible", vote4TRAITS!A:C , 3, FALSE), ),
IF(IFERROR(SEARCH("Command",L126),0) &gt; 0 , VLOOKUP("Command", vote4TRAITS!A:C , 3, FALSE), ),
IF(IFERROR(SEARCH("Cowardly",L126),0) &gt; 0 , VLOOKUP("Cowardly", vote4TRAITS!A:C , 3, FALSE), ),
IF(IFERROR(SEARCH("Death Wish",L126),0) &gt; 0 , VLOOKUP("Death Wish", vote4TRAITS!A:C , 3, FALSE), ),
IF(IFERROR(SEARCH("Entomb",L126),0) &gt; 0 , VLOOKUP("Entomb", vote4TRAITS!A:C , 3, FALSE), ),
IF(IFERROR(SEARCH("Ethereal Hold",L126),0) &gt; 0 , VLOOKUP("Ethereal Hold", vote4TRAITS!A:C , 3, FALSE), ),
IF(IFERROR(SEARCH("Extend",L126),0) &gt; 0 , VLOOKUP("Extend", vote4TRAITS!A:C , 3, FALSE), ),
IF(IFERROR(SEARCH("Filthy Murk",L126),0) &gt; 0 , VLOOKUP("Filthy Murk", vote4TRAITS!A:C , 3, FALSE), ),
IF(IFERROR(SEARCH("Flame Fiend",L126),0) &gt; 0 , VLOOKUP("Flame Fiend", vote4TRAITS!A:C , 3, FALSE), ),
IF(IFERROR(SEARCH("Fleshmonger",L126),0) &gt; 0 , VLOOKUP("Fleshmonger", vote4TRAITS!A:C , 3, FALSE), ),
IF(IFERROR(SEARCH("Fly",L126),0) &gt; 0 , VLOOKUP("Fly", vote4TRAITS!A:C , 3, FALSE), ),
IF(IFERROR(SEARCH("Freezing",L126),0) &gt; 0 , VLOOKUP("Freezing", vote4TRAITS!A:C , 3, FALSE), ),
IF(IFERROR(SEARCH("Lithesome",L126),0) &gt; 0 , VLOOKUP("Lithesome", vote4TRAITS!A:C , 3, FALSE), ),
IF(IFERROR(SEARCH("Harrowing",L126),0) &gt; 0 , VLOOKUP("Harrowing", vote4TRAITS!A:C , 3, FALSE), ),
IF(IFERROR(SEARCH("Hideous Laughter",L126),0) &gt; 0 , VLOOKUP("Hideous Laughter", vote4TRAITS!A:C , 3, FALSE), ),
IF(IFERROR(SEARCH("Hive Defense",L126),0) &gt; 0 , VLOOKUP("Hive Defense", vote4TRAITS!A:C , 3, FALSE), ),
IF(IFERROR(SEARCH("Horrifying",L126),0) &gt; 0 , VLOOKUP("Horrifying", vote4TRAITS!A:C , 3, FALSE), ),
IF(IFERROR(SEARCH("Ironskin",L126),0) &gt; 0 , VLOOKUP("Ironskin", vote4TRAITS!A:C , 3, FALSE), ),
IF(IFERROR(SEARCH("Unmovable",L126),0) &gt; 0 , VLOOKUP("Unmovable", vote4TRAITS!A:C , 3, FALSE), ),
IF(IFERROR(SEARCH("Lifethirst 1",L126),0) &gt; 0 , VLOOKUP("Lifethirst 1", vote4TRAITS!A:C , 3, FALSE), ),
IF(IFERROR(SEARCH("Lifethirst 2",L126),0) &gt; 0 , VLOOKUP("Lifethirst 2", vote4TRAITS!A:C , 3, FALSE), ),
IF(IFERROR(SEARCH("Morph",L126),0) &gt; 0 , VLOOKUP("Morph", vote4TRAITS!A:C , 3, FALSE), ),
IF(IFERROR(SEARCH("Night Stalker",L126),0) &gt; 0 , VLOOKUP("Night Stalker", vote4TRAITS!A:C , 3, FALSE), ),
IF(IFERROR(SEARCH("Overflowing",L126),0) &gt; 0 , VLOOKUP("Overflowing", vote4TRAITS!A:C , 3, FALSE), ),
IF(IFERROR(SEARCH("Pestilence",L126),0) &gt; 0 , VLOOKUP("Pestilence", vote4TRAITS!A:C , 3, FALSE), ),
IF(IFERROR(SEARCH("Phalanx",L126),0) &gt; 0 , VLOOKUP("Phalanx", vote4TRAITS!A:C , 3, FALSE), ),
IF(IFERROR(SEARCH("Plagued",L126),0) &gt; 0 , VLOOKUP("Plagued", vote4TRAITS!A:C , 3, FALSE), ),
IF(IFERROR(SEARCH("Prey on the Weak",L126),0) &gt; 0 , VLOOKUP("Prey on the Weak", vote4TRAITS!A:C , 3, FALSE), ),
IF(IFERROR(SEARCH("Protect",L126),0) &gt; 0 , VLOOKUP("Protect", vote4TRAITS!A:C , 3, FALSE), ),
IF(IFERROR(SEARCH("Puncture",L126),0) &gt; 0 , VLOOKUP("Puncture", vote4TRAITS!A:C , 3, FALSE), ),
IF(IFERROR(SEARCH("Putrid Boils",L126),0) &gt; 0 , VLOOKUP("Putrid Boils", vote4TRAITS!A:C , 3, FALSE), ),
IF(IFERROR(SEARCH("Ravage",L126),0) &gt; 0 , VLOOKUP("Ravage", vote4TRAITS!A:C , 3, FALSE), ),
IF(IFERROR(SEARCH("Ravenous",L126),0) &gt; 0 , VLOOKUP("Ravenous", vote4TRAITS!A:C , 3, FALSE), ),
IF(IFERROR(SEARCH("Reach",L126),0) &gt; 0 , VLOOKUP("Reach", vote4TRAITS!A:C , 3, FALSE), ),
IF(IFERROR(SEARCH("Reanimation",L126),0) &gt; 0 , VLOOKUP("Reanimation", vote4TRAITS!A:C , 3, FALSE), ),
IF(IFERROR(SEARCH("Reaper",L126),0) &gt; 0 , VLOOKUP("Reaper", vote4TRAITS!A:C , 3, FALSE), ),
IF(IFERROR(SEARCH("Riposte",L126),0) &gt; 0 , VLOOKUP("Riposte", vote4TRAITS!A:C , 3, FALSE)),
IF(IFERROR(SEARCH("Scamper",L126),0) &gt; 0 , VLOOKUP("Scamper", vote4TRAITS!A:C , 3, FALSE), ),
IF(IFERROR(SEARCH("Small Beginnings",L126),0) &gt; 0 , VLOOKUP("Small Beginnings", vote4TRAITS!A:C , 3, FALSE), ),
IF(IFERROR(SEARCH("Spawner",L126),0) &gt; 0 , VLOOKUP("Spawner", vote4TRAITS!A:C , 3,FALSE), ),
IF(IFERROR(SEARCH("Shadowr",L126),0) &gt; 0 , VLOOKUP("Shadow", vote4TRAITS!A:C , 3,FALSE), ),
IF(IFERROR(SEARCH("Shadow Step",L126),0) &gt; 0 , VLOOKUP("Shadow Step", vote4TRAITS!A:C , 3,FALSE), ),
IF(IFERROR(SEARCH("Shambling",L126),0) &gt; 0 , VLOOKUP("Shambling", vote4TRAITS!A:C , 3,FALSE), ),
IF(IFERROR(SEARCH("Stealthy",L126),0) &gt; 0 , VLOOKUP("Stealthy", vote4TRAITS!A:C , 3, FALSE), ),
IF(IFERROR(SEARCH("Web",L126),0) &gt; 0 , VLOOKUP("Web", vote4TRAITS!A:C , 3, FALSE), ),
IF(IFERROR(SEARCH("+1 Willpower",L126),0) &gt; 0 , VLOOKUP("+1 Willpower", vote4TRAITS!A:C , 3, FALSE), ),
IF(IFERROR(SEARCH("+1 Might",L126),0) &gt; 0 , VLOOKUP("+1 Might", vote4TRAITS!A:C , 3, FALSE), ),
IF(IFERROR(SEARCH("+1 Knowledge",L126),0) &gt; 0 , VLOOKUP("+1 Knowledge", vote4TRAITS!A:C , 3, FALSE), ),
IF(IFERROR(SEARCH("+1 Awareness",L126),0) &gt; 0 , VLOOKUP("+1 Awareness", vote4TRAITS!A:C , 3, FALSE), ),
IF(IFERROR(SEARCH("-1 Willpower",L126),0) &gt; 0 , VLOOKUP("-1 Willpower", vote4TRAITS!A:C , 3, FALSE), ),
IF(IFERROR(SEARCH("+1 Health",L126),0) &gt; 0 , VLOOKUP("+1 Health", vote4TRAITS!A:C , 3, FALSE), ),
IF(IFERROR(SEARCH("+2 Health",L126),0) &gt; 0 , VLOOKUP("+2 Health", vote4TRAITS!A:C , 3, FALSE), ),
IF(IFERROR(SEARCH("+1 Stamina",L126),0) &gt; 0 , VLOOKUP("+1 Stamina", vote4TRAITS!A:C , 3, FALSE), ),
IF(IFERROR(SEARCH("+2 Stamina",L126),0) &gt; 0 , VLOOKUP("+2 Stamina", vote4TRAITS!A:C , 3, FALSE), ),
IFS(
IFERROR(SEARCH("+1 Range", L126),) &gt; 0 ,VLOOKUP("+1 Range", vote4TRAITS!A:C , 3, FALSE),
IFERROR(SEARCH("+2 Range", L126),) &gt; 0 ,VLOOKUP("+2 Range", vote4TRAITS!A:C , 3, FALSE),
IFERROR(SEARCH("+3 Range", L126),) &gt; 0,VLOOKUP("+3 Range", vote4TRAITS!A:C , 3, FALSE),
0=0,0)
,
IFS(
IFERROR(SEARCH("Sorcery 1", L126),) &gt; 0 ,VLOOKUP("Sorcery 1", vote4TRAITS!A:C , 3, FALSE),
IFERROR(SEARCH("Sorcery 2", L126),) &gt; 0 ,VLOOKUP("Sorcery 2", vote4TRAITS!A:C , 3, FALSE),
IFERROR(SEARCH("Sorcery 3", L126),) &gt; 0,VLOOKUP("Sorcery 3", vote4TRAITS!A:C , 3, FALSE),
0=0,0)
,
IFS(
IFERROR(SEARCH("Pierce 1", L126),) &gt; 0 ,VLOOKUP("Pierce 1", vote4TRAITS!A:C , 3, FALSE),
IFERROR(SEARCH("Pierce 2", L126),) &gt; 0 ,VLOOKUP("Pierce 2", vote4TRAITS!A:C , 3, FALSE),
IFERROR(SEARCH("Pierce 3", L126),) &gt; 0,VLOOKUP("Pierce 3", vote4TRAITS!A:C , 3, FALSE),
IFERROR(SEARCH("Pierce 4", L126),) &gt; 0 ,VLOOKUP("Pierce 4", vote4TRAITS!A:C , 3, FALSE),
0=0,0)
,
IFS(
IFERROR(SEARCH("+1 Health", L126),) &gt; 0 ,VLOOKUP("+1 Health", vote4TRAITS!A:C , 3, FALSE),
IFERROR(SEARCH("+2 Health", L126),) &gt; 0 ,VLOOKUP("+2 Health", vote4TRAITS!A:C , 3, FALSE),
IFERROR(SEARCH("+3 Health", L126),) &gt; 0 ,VLOOKUP("+3 Health", vote4TRAITS!A:C , 3, FALSE),
IFERROR(SEARCH("+4 Health", L126),) &gt; 0 ,VLOOKUP("+4 Health", vote4TRAITS!A:C , 3, FALSE),
0=0,0)
,
IFS(
IFERROR(SEARCH("Soul Shackle 1", L126),) &gt; 0 ,VLOOKUP("Soul Shackle 1", vote4TRAITS!A:C , 3, FALSE),
IFERROR(SEARCH("Soul Shackle 2", L126),) &gt; 0 ,VLOOKUP("Soul Shackle 2", vote4TRAITS!A:C , 3, FALSE),
IFERROR(SEARCH("Soul Shackle 3", L126),) &gt; 0,VLOOKUP("Soul Shackle 3", vote4TRAITS!A:C , 3, FALSE),
0=0,0)
)</f>
        <v>0</v>
      </c>
      <c r="N126" s="313"/>
      <c r="O126" s="317" t="str">
        <f>IF(ISBLANK(N126),,IFERROR(
IF(IFERROR(SEARCH("SS:",N126),0) &gt; 0, 
VLOOKUP(SUBSTITUTE(N126,"SS: ",""),vote4SURGE!$A:$C , 3, FALSE) - 2,
VLOOKUP(SUBSTITUTE(N126,"S: ",""),vote4SURGE!$A:$C , 3, FALSE)
)
,
IF(IFERROR(SEARCH("SS:",N126),0) &gt; 0, 
VLOOKUP(C126,vote4SURGE!$A:$C , 3, FALSE) - 2,
VLOOKUP(C126,vote4SURGE!$A:$C , 3, FALSE)
)
))</f>
        <v/>
      </c>
      <c r="P126" s="318"/>
      <c r="Q126" s="317" t="str">
        <f>IF(ISBLANK(P126),,IFERROR(
IF(IFERROR(SEARCH("SS:",P126),0) &gt; 0, 
VLOOKUP(SUBSTITUTE(P126,"SS: ",""),vote4SURGE!$A:$C , 3, FALSE) - 2,
VLOOKUP(SUBSTITUTE(P126,"S: ",""),vote4SURGE!$A:$C , 3, FALSE)
)
,
IF(IFERROR(SEARCH("SS:",P126),0) &gt; 0, 
VLOOKUP(C126,vote4SURGE!$A:$C , 3, FALSE) - 2,
VLOOKUP(C126,vote4SURGE!$A:$C , 3, FALSE)
)
))</f>
        <v/>
      </c>
      <c r="R126" s="318"/>
      <c r="S126" s="319" t="str">
        <f>IF(ISBLANK(R126),,IFERROR(
IF(IFERROR(SEARCH("SS:",R126),0) &gt; 0, 
VLOOKUP(SUBSTITUTE(R126,"SS: ",""),vote4SURGE!$A:$C , 3, FALSE) - 2,
VLOOKUP(SUBSTITUTE(R126,"S: ",""),vote4SURGE!$A:$C , 3, FALSE)
)
,
IF(IFERROR(SEARCH("SS:",R126),0) &gt; 0, 
VLOOKUP(C126,vote4SURGE!$A:$C , 3, FALSE) - 2,
VLOOKUP(C126,vote4SURGE!$A:$C , 3, FALSE)
)
))</f>
        <v/>
      </c>
      <c r="T126" s="320">
        <f t="shared" si="2"/>
        <v>0</v>
      </c>
      <c r="U126" s="320">
        <f>IFERROR(__xludf.DUMMYFUNCTION("ROUND(
IF(ISBLANK(G126),,
SWITCH(
LEN(G126) - LEN(SUBSTITUTE(G126,"","","""")),
0 , VLOOKUP(G126, Variables!$A:$C, 3, FALSE),
1 , VLOOKUP(index(split(G126 ,"", "", FALSE),1,1), Variables!$A:$C , 3, FALSE) + VLOOKUP(index(split(G126 ,"", "", FALSE),1,2), V"&amp;"ariables!$A:$C , 3, FALSE),
2 , VLOOKUP(index(split(G126 ,"", "", FALSE),1,1), Variables!$A:$C , 3, FALSE) + VLOOKUP(index(split(G126 ,"", "", FALSE),1,2), Variables!$A:$C , 3, FALSE) + VLOOKUP(index(split(G126 ,"", "", FALSE),1,3), Variables!$A:$C , 3, F"&amp;"ALSE),
3 , VLOOKUP(index(split(G126 ,"", "", FALSE),1,1), Variables!$A:$C , 3, FALSE) + VLOOKUP(index(split(G126 ,"", "", FALSE),1,2), Variables!$A:$C , 3, FALSE) + VLOOKUP(index(split(G126 ,"", "", FALSE),1,3), Variables!$A:$C , 3, FALSE) + VLOOKUP(index"&amp;"(split(G126 ,"", "", FALSE),1,4), Variables!$A:$C , 3, FALSE),
)
)
)"),0.0)</f>
        <v>0</v>
      </c>
      <c r="V126" s="317">
        <f t="shared" si="3"/>
        <v>0</v>
      </c>
      <c r="W126" s="321">
        <f t="shared" si="4"/>
        <v>4.666666667</v>
      </c>
      <c r="X126" s="118"/>
      <c r="Y126" s="118"/>
      <c r="Z126" s="118"/>
      <c r="AA126" s="118"/>
      <c r="AB126" s="118"/>
      <c r="AC126" s="118"/>
      <c r="AD126" s="118"/>
      <c r="AE126" s="118"/>
    </row>
    <row r="127" hidden="1">
      <c r="A127" s="310">
        <v>2.0</v>
      </c>
      <c r="B127" s="93">
        <f t="shared" si="1"/>
        <v>6</v>
      </c>
      <c r="C127" s="310" t="s">
        <v>830</v>
      </c>
      <c r="D127" s="310">
        <v>275.0</v>
      </c>
      <c r="E127" s="310" t="s">
        <v>1620</v>
      </c>
      <c r="F127" s="310"/>
      <c r="G127" s="313" t="s">
        <v>1671</v>
      </c>
      <c r="H127" s="312">
        <f>IFERROR(__xludf.DUMMYFUNCTION(" IF(ISBLANK(G127),,
SWITCH(
LEN(G127) - LEN(SUBSTITUTE(G127,"","","""")),
0 , VLOOKUP(G127, Variables!$A:$B, 2, FALSE),
1 , VLOOKUP(index(split(G127 ,"", "", FALSE),1,1), Variables!$A:$B , 2, FALSE) + VLOOKUP(index(split(G127 ,"", "", FALSE),1,2), Variabl"&amp;"es!$A:$B , 2, FALSE),
2 , VLOOKUP(index(split(G127 ,"", "", FALSE),1,1), Variables!$A:$B , 2, FALSE) + VLOOKUP(index(split(G127 ,"", "", FALSE),1,2), Variables!$A:$B , 2, FALSE) + VLOOKUP(index(split(G127 ,"", "", FALSE),1,3), Variables!$A:$B , 2, FALSE),"&amp;"
3 , VLOOKUP(index(split(G127 ,"", "", FALSE),1,1), Variables!$A:$B , 2, FALSE) + VLOOKUP(index(split(G127 ,"", "", FALSE),1,2), Variables!$A:$B , 2, FALSE) + VLOOKUP(index(split(G127 ,"", "", FALSE),1,3), Variables!$A:$B , 2, FALSE) + VLOOKUP(index(split"&amp;"(G127 ,"", "", FALSE),1,4), Variables!$A:$B , 2, FALSE),
)
)"),2.1666666666666665)</f>
        <v>2.166666667</v>
      </c>
      <c r="I127" s="310" t="s">
        <v>1664</v>
      </c>
      <c r="J127" s="313" t="s">
        <v>831</v>
      </c>
      <c r="K127" s="314">
        <f>IFERROR(VLOOKUP(C127,vote4ITEMS!$A:$C, 3, FALSE),)</f>
        <v>2.333333333</v>
      </c>
      <c r="L127" s="313"/>
      <c r="M127" s="314">
        <f>SUM(
IF(IFERROR(SEARCH("Aura 1",L127),0) &gt; 0 , VLOOKUP("Aura 1", vote4TRAITS!A:C , 3, FALSE), ),
IF(IFERROR(SEARCH("Backswing",L127),0) &gt; 0 , VLOOKUP("Backswing", vote4TRAITS!A:C , 3, FALSE), ),
IF(IFERROR(SEARCH("Blast",L127),0) &gt; 0 , VLOOKUP("Blast", vote4TRAITS!A:C , 3, FALSE), ),
IF(IFERROR(SEARCH("Combustible",L127),0) &gt; 0 , VLOOKUP("Combustible", vote4TRAITS!A:C , 3, FALSE), ),
IF(IFERROR(SEARCH("Command",L127),0) &gt; 0 , VLOOKUP("Command", vote4TRAITS!A:C , 3, FALSE), ),
IF(IFERROR(SEARCH("Cowardly",L127),0) &gt; 0 , VLOOKUP("Cowardly", vote4TRAITS!A:C , 3, FALSE), ),
IF(IFERROR(SEARCH("Death Wish",L127),0) &gt; 0 , VLOOKUP("Death Wish", vote4TRAITS!A:C , 3, FALSE), ),
IF(IFERROR(SEARCH("Entomb",L127),0) &gt; 0 , VLOOKUP("Entomb", vote4TRAITS!A:C , 3, FALSE), ),
IF(IFERROR(SEARCH("Ethereal Hold",L127),0) &gt; 0 , VLOOKUP("Ethereal Hold", vote4TRAITS!A:C , 3, FALSE), ),
IF(IFERROR(SEARCH("Extend",L127),0) &gt; 0 , VLOOKUP("Extend", vote4TRAITS!A:C , 3, FALSE), ),
IF(IFERROR(SEARCH("Filthy Murk",L127),0) &gt; 0 , VLOOKUP("Filthy Murk", vote4TRAITS!A:C , 3, FALSE), ),
IF(IFERROR(SEARCH("Flame Fiend",L127),0) &gt; 0 , VLOOKUP("Flame Fiend", vote4TRAITS!A:C , 3, FALSE), ),
IF(IFERROR(SEARCH("Fleshmonger",L127),0) &gt; 0 , VLOOKUP("Fleshmonger", vote4TRAITS!A:C , 3, FALSE), ),
IF(IFERROR(SEARCH("Fly",L127),0) &gt; 0 , VLOOKUP("Fly", vote4TRAITS!A:C , 3, FALSE), ),
IF(IFERROR(SEARCH("Freezing",L127),0) &gt; 0 , VLOOKUP("Freezing", vote4TRAITS!A:C , 3, FALSE), ),
IF(IFERROR(SEARCH("Lithesome",L127),0) &gt; 0 , VLOOKUP("Lithesome", vote4TRAITS!A:C , 3, FALSE), ),
IF(IFERROR(SEARCH("Harrowing",L127),0) &gt; 0 , VLOOKUP("Harrowing", vote4TRAITS!A:C , 3, FALSE), ),
IF(IFERROR(SEARCH("Hideous Laughter",L127),0) &gt; 0 , VLOOKUP("Hideous Laughter", vote4TRAITS!A:C , 3, FALSE), ),
IF(IFERROR(SEARCH("Hive Defense",L127),0) &gt; 0 , VLOOKUP("Hive Defense", vote4TRAITS!A:C , 3, FALSE), ),
IF(IFERROR(SEARCH("Horrifying",L127),0) &gt; 0 , VLOOKUP("Horrifying", vote4TRAITS!A:C , 3, FALSE), ),
IF(IFERROR(SEARCH("Ironskin",L127),0) &gt; 0 , VLOOKUP("Ironskin", vote4TRAITS!A:C , 3, FALSE), ),
IF(IFERROR(SEARCH("Unmovable",L127),0) &gt; 0 , VLOOKUP("Unmovable", vote4TRAITS!A:C , 3, FALSE), ),
IF(IFERROR(SEARCH("Lifethirst 1",L127),0) &gt; 0 , VLOOKUP("Lifethirst 1", vote4TRAITS!A:C , 3, FALSE), ),
IF(IFERROR(SEARCH("Lifethirst 2",L127),0) &gt; 0 , VLOOKUP("Lifethirst 2", vote4TRAITS!A:C , 3, FALSE), ),
IF(IFERROR(SEARCH("Morph",L127),0) &gt; 0 , VLOOKUP("Morph", vote4TRAITS!A:C , 3, FALSE), ),
IF(IFERROR(SEARCH("Night Stalker",L127),0) &gt; 0 , VLOOKUP("Night Stalker", vote4TRAITS!A:C , 3, FALSE), ),
IF(IFERROR(SEARCH("Overflowing",L127),0) &gt; 0 , VLOOKUP("Overflowing", vote4TRAITS!A:C , 3, FALSE), ),
IF(IFERROR(SEARCH("Pestilence",L127),0) &gt; 0 , VLOOKUP("Pestilence", vote4TRAITS!A:C , 3, FALSE), ),
IF(IFERROR(SEARCH("Phalanx",L127),0) &gt; 0 , VLOOKUP("Phalanx", vote4TRAITS!A:C , 3, FALSE), ),
IF(IFERROR(SEARCH("Plagued",L127),0) &gt; 0 , VLOOKUP("Plagued", vote4TRAITS!A:C , 3, FALSE), ),
IF(IFERROR(SEARCH("Prey on the Weak",L127),0) &gt; 0 , VLOOKUP("Prey on the Weak", vote4TRAITS!A:C , 3, FALSE), ),
IF(IFERROR(SEARCH("Protect",L127),0) &gt; 0 , VLOOKUP("Protect", vote4TRAITS!A:C , 3, FALSE), ),
IF(IFERROR(SEARCH("Puncture",L127),0) &gt; 0 , VLOOKUP("Puncture", vote4TRAITS!A:C , 3, FALSE), ),
IF(IFERROR(SEARCH("Putrid Boils",L127),0) &gt; 0 , VLOOKUP("Putrid Boils", vote4TRAITS!A:C , 3, FALSE), ),
IF(IFERROR(SEARCH("Ravage",L127),0) &gt; 0 , VLOOKUP("Ravage", vote4TRAITS!A:C , 3, FALSE), ),
IF(IFERROR(SEARCH("Ravenous",L127),0) &gt; 0 , VLOOKUP("Ravenous", vote4TRAITS!A:C , 3, FALSE), ),
IF(IFERROR(SEARCH("Reach",L127),0) &gt; 0 , VLOOKUP("Reach", vote4TRAITS!A:C , 3, FALSE), ),
IF(IFERROR(SEARCH("Reanimation",L127),0) &gt; 0 , VLOOKUP("Reanimation", vote4TRAITS!A:C , 3, FALSE), ),
IF(IFERROR(SEARCH("Reaper",L127),0) &gt; 0 , VLOOKUP("Reaper", vote4TRAITS!A:C , 3, FALSE), ),
IF(IFERROR(SEARCH("Riposte",L127),0) &gt; 0 , VLOOKUP("Riposte", vote4TRAITS!A:C , 3, FALSE)),
IF(IFERROR(SEARCH("Scamper",L127),0) &gt; 0 , VLOOKUP("Scamper", vote4TRAITS!A:C , 3, FALSE), ),
IF(IFERROR(SEARCH("Small Beginnings",L127),0) &gt; 0 , VLOOKUP("Small Beginnings", vote4TRAITS!A:C , 3, FALSE), ),
IF(IFERROR(SEARCH("Spawner",L127),0) &gt; 0 , VLOOKUP("Spawner", vote4TRAITS!A:C , 3,FALSE), ),
IF(IFERROR(SEARCH("Shadowr",L127),0) &gt; 0 , VLOOKUP("Shadow", vote4TRAITS!A:C , 3,FALSE), ),
IF(IFERROR(SEARCH("Shadow Step",L127),0) &gt; 0 , VLOOKUP("Shadow Step", vote4TRAITS!A:C , 3,FALSE), ),
IF(IFERROR(SEARCH("Shambling",L127),0) &gt; 0 , VLOOKUP("Shambling", vote4TRAITS!A:C , 3,FALSE), ),
IF(IFERROR(SEARCH("Stealthy",L127),0) &gt; 0 , VLOOKUP("Stealthy", vote4TRAITS!A:C , 3, FALSE), ),
IF(IFERROR(SEARCH("Web",L127),0) &gt; 0 , VLOOKUP("Web", vote4TRAITS!A:C , 3, FALSE), ),
IF(IFERROR(SEARCH("+1 Willpower",L127),0) &gt; 0 , VLOOKUP("+1 Willpower", vote4TRAITS!A:C , 3, FALSE), ),
IF(IFERROR(SEARCH("+1 Might",L127),0) &gt; 0 , VLOOKUP("+1 Might", vote4TRAITS!A:C , 3, FALSE), ),
IF(IFERROR(SEARCH("+1 Knowledge",L127),0) &gt; 0 , VLOOKUP("+1 Knowledge", vote4TRAITS!A:C , 3, FALSE), ),
IF(IFERROR(SEARCH("+1 Awareness",L127),0) &gt; 0 , VLOOKUP("+1 Awareness", vote4TRAITS!A:C , 3, FALSE), ),
IF(IFERROR(SEARCH("-1 Willpower",L127),0) &gt; 0 , VLOOKUP("-1 Willpower", vote4TRAITS!A:C , 3, FALSE), ),
IF(IFERROR(SEARCH("+1 Health",L127),0) &gt; 0 , VLOOKUP("+1 Health", vote4TRAITS!A:C , 3, FALSE), ),
IF(IFERROR(SEARCH("+2 Health",L127),0) &gt; 0 , VLOOKUP("+2 Health", vote4TRAITS!A:C , 3, FALSE), ),
IF(IFERROR(SEARCH("+1 Stamina",L127),0) &gt; 0 , VLOOKUP("+1 Stamina", vote4TRAITS!A:C , 3, FALSE), ),
IF(IFERROR(SEARCH("+2 Stamina",L127),0) &gt; 0 , VLOOKUP("+2 Stamina", vote4TRAITS!A:C , 3, FALSE), ),
IFS(
IFERROR(SEARCH("+1 Range", L127),) &gt; 0 ,VLOOKUP("+1 Range", vote4TRAITS!A:C , 3, FALSE),
IFERROR(SEARCH("+2 Range", L127),) &gt; 0 ,VLOOKUP("+2 Range", vote4TRAITS!A:C , 3, FALSE),
IFERROR(SEARCH("+3 Range", L127),) &gt; 0,VLOOKUP("+3 Range", vote4TRAITS!A:C , 3, FALSE),
0=0,0)
,
IFS(
IFERROR(SEARCH("Sorcery 1", L127),) &gt; 0 ,VLOOKUP("Sorcery 1", vote4TRAITS!A:C , 3, FALSE),
IFERROR(SEARCH("Sorcery 2", L127),) &gt; 0 ,VLOOKUP("Sorcery 2", vote4TRAITS!A:C , 3, FALSE),
IFERROR(SEARCH("Sorcery 3", L127),) &gt; 0,VLOOKUP("Sorcery 3", vote4TRAITS!A:C , 3, FALSE),
0=0,0)
,
IFS(
IFERROR(SEARCH("Pierce 1", L127),) &gt; 0 ,VLOOKUP("Pierce 1", vote4TRAITS!A:C , 3, FALSE),
IFERROR(SEARCH("Pierce 2", L127),) &gt; 0 ,VLOOKUP("Pierce 2", vote4TRAITS!A:C , 3, FALSE),
IFERROR(SEARCH("Pierce 3", L127),) &gt; 0,VLOOKUP("Pierce 3", vote4TRAITS!A:C , 3, FALSE),
IFERROR(SEARCH("Pierce 4", L127),) &gt; 0 ,VLOOKUP("Pierce 4", vote4TRAITS!A:C , 3, FALSE),
0=0,0)
,
IFS(
IFERROR(SEARCH("+1 Health", L127),) &gt; 0 ,VLOOKUP("+1 Health", vote4TRAITS!A:C , 3, FALSE),
IFERROR(SEARCH("+2 Health", L127),) &gt; 0 ,VLOOKUP("+2 Health", vote4TRAITS!A:C , 3, FALSE),
IFERROR(SEARCH("+3 Health", L127),) &gt; 0 ,VLOOKUP("+3 Health", vote4TRAITS!A:C , 3, FALSE),
IFERROR(SEARCH("+4 Health", L127),) &gt; 0 ,VLOOKUP("+4 Health", vote4TRAITS!A:C , 3, FALSE),
0=0,0)
,
IFS(
IFERROR(SEARCH("Soul Shackle 1", L127),) &gt; 0 ,VLOOKUP("Soul Shackle 1", vote4TRAITS!A:C , 3, FALSE),
IFERROR(SEARCH("Soul Shackle 2", L127),) &gt; 0 ,VLOOKUP("Soul Shackle 2", vote4TRAITS!A:C , 3, FALSE),
IFERROR(SEARCH("Soul Shackle 3", L127),) &gt; 0,VLOOKUP("Soul Shackle 3", vote4TRAITS!A:C , 3, FALSE),
0=0,0)
)</f>
        <v>0</v>
      </c>
      <c r="N127" s="313"/>
      <c r="O127" s="317" t="str">
        <f>IF(ISBLANK(N127),,IFERROR(
IF(IFERROR(SEARCH("SS:",N127),0) &gt; 0, 
VLOOKUP(SUBSTITUTE(N127,"SS: ",""),vote4SURGE!$A:$C , 3, FALSE) - 2,
VLOOKUP(SUBSTITUTE(N127,"S: ",""),vote4SURGE!$A:$C , 3, FALSE)
)
,
IF(IFERROR(SEARCH("SS:",N127),0) &gt; 0, 
VLOOKUP(C127,vote4SURGE!$A:$C , 3, FALSE) - 2,
VLOOKUP(C127,vote4SURGE!$A:$C , 3, FALSE)
)
))</f>
        <v/>
      </c>
      <c r="P127" s="318"/>
      <c r="Q127" s="317" t="str">
        <f>IF(ISBLANK(P127),,IFERROR(
IF(IFERROR(SEARCH("SS:",P127),0) &gt; 0, 
VLOOKUP(SUBSTITUTE(P127,"SS: ",""),vote4SURGE!$A:$C , 3, FALSE) - 2,
VLOOKUP(SUBSTITUTE(P127,"S: ",""),vote4SURGE!$A:$C , 3, FALSE)
)
,
IF(IFERROR(SEARCH("SS:",P127),0) &gt; 0, 
VLOOKUP(C127,vote4SURGE!$A:$C , 3, FALSE) - 2,
VLOOKUP(C127,vote4SURGE!$A:$C , 3, FALSE)
)
))</f>
        <v/>
      </c>
      <c r="R127" s="318"/>
      <c r="S127" s="319" t="str">
        <f>IF(ISBLANK(R127),,IFERROR(
IF(IFERROR(SEARCH("SS:",R127),0) &gt; 0, 
VLOOKUP(SUBSTITUTE(R127,"SS: ",""),vote4SURGE!$A:$C , 3, FALSE) - 2,
VLOOKUP(SUBSTITUTE(R127,"S: ",""),vote4SURGE!$A:$C , 3, FALSE)
)
,
IF(IFERROR(SEARCH("SS:",R127),0) &gt; 0, 
VLOOKUP(C127,vote4SURGE!$A:$C , 3, FALSE) - 2,
VLOOKUP(C127,vote4SURGE!$A:$C , 3, FALSE)
)
))</f>
        <v/>
      </c>
      <c r="T127" s="320">
        <f t="shared" si="2"/>
        <v>0</v>
      </c>
      <c r="U127" s="320">
        <f>IFERROR(__xludf.DUMMYFUNCTION("ROUND(
IF(ISBLANK(G127),,
SWITCH(
LEN(G127) - LEN(SUBSTITUTE(G127,"","","""")),
0 , VLOOKUP(G127, Variables!$A:$C, 3, FALSE),
1 , VLOOKUP(index(split(G127 ,"", "", FALSE),1,1), Variables!$A:$C , 3, FALSE) + VLOOKUP(index(split(G127 ,"", "", FALSE),1,2), V"&amp;"ariables!$A:$C , 3, FALSE),
2 , VLOOKUP(index(split(G127 ,"", "", FALSE),1,1), Variables!$A:$C , 3, FALSE) + VLOOKUP(index(split(G127 ,"", "", FALSE),1,2), Variables!$A:$C , 3, FALSE) + VLOOKUP(index(split(G127 ,"", "", FALSE),1,3), Variables!$A:$C , 3, F"&amp;"ALSE),
3 , VLOOKUP(index(split(G127 ,"", "", FALSE),1,1), Variables!$A:$C , 3, FALSE) + VLOOKUP(index(split(G127 ,"", "", FALSE),1,2), Variables!$A:$C , 3, FALSE) + VLOOKUP(index(split(G127 ,"", "", FALSE),1,3), Variables!$A:$C , 3, FALSE) + VLOOKUP(index"&amp;"(split(G127 ,"", "", FALSE),1,4), Variables!$A:$C , 3, FALSE),
)
)
)"),0.0)</f>
        <v>0</v>
      </c>
      <c r="V127" s="317">
        <f t="shared" si="3"/>
        <v>0</v>
      </c>
      <c r="W127" s="321">
        <f t="shared" si="4"/>
        <v>4.5</v>
      </c>
      <c r="X127" s="118"/>
      <c r="Y127" s="118"/>
      <c r="Z127" s="118"/>
      <c r="AA127" s="118"/>
      <c r="AB127" s="118"/>
      <c r="AC127" s="118"/>
      <c r="AD127" s="118"/>
      <c r="AE127" s="118"/>
    </row>
    <row r="128" hidden="1">
      <c r="A128" s="310" t="s">
        <v>1556</v>
      </c>
      <c r="B128" s="93" t="str">
        <f t="shared" si="1"/>
        <v/>
      </c>
      <c r="C128" s="310" t="s">
        <v>753</v>
      </c>
      <c r="D128" s="323">
        <v>0.0</v>
      </c>
      <c r="E128" s="310" t="s">
        <v>1629</v>
      </c>
      <c r="F128" s="310"/>
      <c r="G128" s="313"/>
      <c r="H128" s="312" t="str">
        <f>IFERROR(__xludf.DUMMYFUNCTION(" IF(ISBLANK(G128),,
SWITCH(
LEN(G128) - LEN(SUBSTITUTE(G128,"","","""")),
0 , VLOOKUP(G128, Variables!$A:$B, 2, FALSE),
1 , VLOOKUP(index(split(G128 ,"", "", FALSE),1,1), Variables!$A:$B , 2, FALSE) + VLOOKUP(index(split(G128 ,"", "", FALSE),1,2), Variabl"&amp;"es!$A:$B , 2, FALSE),
2 , VLOOKUP(index(split(G128 ,"", "", FALSE),1,1), Variables!$A:$B , 2, FALSE) + VLOOKUP(index(split(G128 ,"", "", FALSE),1,2), Variables!$A:$B , 2, FALSE) + VLOOKUP(index(split(G128 ,"", "", FALSE),1,3), Variables!$A:$B , 2, FALSE),"&amp;"
3 , VLOOKUP(index(split(G128 ,"", "", FALSE),1,1), Variables!$A:$B , 2, FALSE) + VLOOKUP(index(split(G128 ,"", "", FALSE),1,2), Variables!$A:$B , 2, FALSE) + VLOOKUP(index(split(G128 ,"", "", FALSE),1,3), Variables!$A:$B , 2, FALSE) + VLOOKUP(index(split"&amp;"(G128 ,"", "", FALSE),1,4), Variables!$A:$B , 2, FALSE),
)
)"),"")</f>
        <v/>
      </c>
      <c r="I128" s="310" t="s">
        <v>1641</v>
      </c>
      <c r="J128" s="313" t="s">
        <v>754</v>
      </c>
      <c r="K128" s="314">
        <f>IFERROR(VLOOKUP(C128,vote4ITEMS!$A:$C, 3, FALSE),)</f>
        <v>4.333333333</v>
      </c>
      <c r="L128" s="324"/>
      <c r="M128" s="314">
        <f>SUM(
IF(IFERROR(SEARCH("Aura 1",L128),0) &gt; 0 , VLOOKUP("Aura 1", vote4TRAITS!A:C , 3, FALSE), ),
IF(IFERROR(SEARCH("Backswing",L128),0) &gt; 0 , VLOOKUP("Backswing", vote4TRAITS!A:C , 3, FALSE), ),
IF(IFERROR(SEARCH("Blast",L128),0) &gt; 0 , VLOOKUP("Blast", vote4TRAITS!A:C , 3, FALSE), ),
IF(IFERROR(SEARCH("Combustible",L128),0) &gt; 0 , VLOOKUP("Combustible", vote4TRAITS!A:C , 3, FALSE), ),
IF(IFERROR(SEARCH("Command",L128),0) &gt; 0 , VLOOKUP("Command", vote4TRAITS!A:C , 3, FALSE), ),
IF(IFERROR(SEARCH("Cowardly",L128),0) &gt; 0 , VLOOKUP("Cowardly", vote4TRAITS!A:C , 3, FALSE), ),
IF(IFERROR(SEARCH("Death Wish",L128),0) &gt; 0 , VLOOKUP("Death Wish", vote4TRAITS!A:C , 3, FALSE), ),
IF(IFERROR(SEARCH("Entomb",L128),0) &gt; 0 , VLOOKUP("Entomb", vote4TRAITS!A:C , 3, FALSE), ),
IF(IFERROR(SEARCH("Ethereal Hold",L128),0) &gt; 0 , VLOOKUP("Ethereal Hold", vote4TRAITS!A:C , 3, FALSE), ),
IF(IFERROR(SEARCH("Extend",L128),0) &gt; 0 , VLOOKUP("Extend", vote4TRAITS!A:C , 3, FALSE), ),
IF(IFERROR(SEARCH("Filthy Murk",L128),0) &gt; 0 , VLOOKUP("Filthy Murk", vote4TRAITS!A:C , 3, FALSE), ),
IF(IFERROR(SEARCH("Flame Fiend",L128),0) &gt; 0 , VLOOKUP("Flame Fiend", vote4TRAITS!A:C , 3, FALSE), ),
IF(IFERROR(SEARCH("Fleshmonger",L128),0) &gt; 0 , VLOOKUP("Fleshmonger", vote4TRAITS!A:C , 3, FALSE), ),
IF(IFERROR(SEARCH("Fly",L128),0) &gt; 0 , VLOOKUP("Fly", vote4TRAITS!A:C , 3, FALSE), ),
IF(IFERROR(SEARCH("Freezing",L128),0) &gt; 0 , VLOOKUP("Freezing", vote4TRAITS!A:C , 3, FALSE), ),
IF(IFERROR(SEARCH("Lithesome",L128),0) &gt; 0 , VLOOKUP("Lithesome", vote4TRAITS!A:C , 3, FALSE), ),
IF(IFERROR(SEARCH("Harrowing",L128),0) &gt; 0 , VLOOKUP("Harrowing", vote4TRAITS!A:C , 3, FALSE), ),
IF(IFERROR(SEARCH("Hideous Laughter",L128),0) &gt; 0 , VLOOKUP("Hideous Laughter", vote4TRAITS!A:C , 3, FALSE), ),
IF(IFERROR(SEARCH("Hive Defense",L128),0) &gt; 0 , VLOOKUP("Hive Defense", vote4TRAITS!A:C , 3, FALSE), ),
IF(IFERROR(SEARCH("Horrifying",L128),0) &gt; 0 , VLOOKUP("Horrifying", vote4TRAITS!A:C , 3, FALSE), ),
IF(IFERROR(SEARCH("Ironskin",L128),0) &gt; 0 , VLOOKUP("Ironskin", vote4TRAITS!A:C , 3, FALSE), ),
IF(IFERROR(SEARCH("Unmovable",L128),0) &gt; 0 , VLOOKUP("Unmovable", vote4TRAITS!A:C , 3, FALSE), ),
IF(IFERROR(SEARCH("Lifethirst 1",L128),0) &gt; 0 , VLOOKUP("Lifethirst 1", vote4TRAITS!A:C , 3, FALSE), ),
IF(IFERROR(SEARCH("Lifethirst 2",L128),0) &gt; 0 , VLOOKUP("Lifethirst 2", vote4TRAITS!A:C , 3, FALSE), ),
IF(IFERROR(SEARCH("Morph",L128),0) &gt; 0 , VLOOKUP("Morph", vote4TRAITS!A:C , 3, FALSE), ),
IF(IFERROR(SEARCH("Night Stalker",L128),0) &gt; 0 , VLOOKUP("Night Stalker", vote4TRAITS!A:C , 3, FALSE), ),
IF(IFERROR(SEARCH("Overflowing",L128),0) &gt; 0 , VLOOKUP("Overflowing", vote4TRAITS!A:C , 3, FALSE), ),
IF(IFERROR(SEARCH("Pestilence",L128),0) &gt; 0 , VLOOKUP("Pestilence", vote4TRAITS!A:C , 3, FALSE), ),
IF(IFERROR(SEARCH("Phalanx",L128),0) &gt; 0 , VLOOKUP("Phalanx", vote4TRAITS!A:C , 3, FALSE), ),
IF(IFERROR(SEARCH("Plagued",L128),0) &gt; 0 , VLOOKUP("Plagued", vote4TRAITS!A:C , 3, FALSE), ),
IF(IFERROR(SEARCH("Prey on the Weak",L128),0) &gt; 0 , VLOOKUP("Prey on the Weak", vote4TRAITS!A:C , 3, FALSE), ),
IF(IFERROR(SEARCH("Protect",L128),0) &gt; 0 , VLOOKUP("Protect", vote4TRAITS!A:C , 3, FALSE), ),
IF(IFERROR(SEARCH("Puncture",L128),0) &gt; 0 , VLOOKUP("Puncture", vote4TRAITS!A:C , 3, FALSE), ),
IF(IFERROR(SEARCH("Putrid Boils",L128),0) &gt; 0 , VLOOKUP("Putrid Boils", vote4TRAITS!A:C , 3, FALSE), ),
IF(IFERROR(SEARCH("Ravage",L128),0) &gt; 0 , VLOOKUP("Ravage", vote4TRAITS!A:C , 3, FALSE), ),
IF(IFERROR(SEARCH("Ravenous",L128),0) &gt; 0 , VLOOKUP("Ravenous", vote4TRAITS!A:C , 3, FALSE), ),
IF(IFERROR(SEARCH("Reach",L128),0) &gt; 0 , VLOOKUP("Reach", vote4TRAITS!A:C , 3, FALSE), ),
IF(IFERROR(SEARCH("Reanimation",L128),0) &gt; 0 , VLOOKUP("Reanimation", vote4TRAITS!A:C , 3, FALSE), ),
IF(IFERROR(SEARCH("Reaper",L128),0) &gt; 0 , VLOOKUP("Reaper", vote4TRAITS!A:C , 3, FALSE), ),
IF(IFERROR(SEARCH("Riposte",L128),0) &gt; 0 , VLOOKUP("Riposte", vote4TRAITS!A:C , 3, FALSE)),
IF(IFERROR(SEARCH("Scamper",L128),0) &gt; 0 , VLOOKUP("Scamper", vote4TRAITS!A:C , 3, FALSE), ),
IF(IFERROR(SEARCH("Small Beginnings",L128),0) &gt; 0 , VLOOKUP("Small Beginnings", vote4TRAITS!A:C , 3, FALSE), ),
IF(IFERROR(SEARCH("Spawner",L128),0) &gt; 0 , VLOOKUP("Spawner", vote4TRAITS!A:C , 3,FALSE), ),
IF(IFERROR(SEARCH("Shadowr",L128),0) &gt; 0 , VLOOKUP("Shadow", vote4TRAITS!A:C , 3,FALSE), ),
IF(IFERROR(SEARCH("Shadow Step",L128),0) &gt; 0 , VLOOKUP("Shadow Step", vote4TRAITS!A:C , 3,FALSE), ),
IF(IFERROR(SEARCH("Shambling",L128),0) &gt; 0 , VLOOKUP("Shambling", vote4TRAITS!A:C , 3,FALSE), ),
IF(IFERROR(SEARCH("Stealthy",L128),0) &gt; 0 , VLOOKUP("Stealthy", vote4TRAITS!A:C , 3, FALSE), ),
IF(IFERROR(SEARCH("Web",L128),0) &gt; 0 , VLOOKUP("Web", vote4TRAITS!A:C , 3, FALSE), ),
IF(IFERROR(SEARCH("+1 Willpower",L128),0) &gt; 0 , VLOOKUP("+1 Willpower", vote4TRAITS!A:C , 3, FALSE), ),
IF(IFERROR(SEARCH("+1 Might",L128),0) &gt; 0 , VLOOKUP("+1 Might", vote4TRAITS!A:C , 3, FALSE), ),
IF(IFERROR(SEARCH("+1 Knowledge",L128),0) &gt; 0 , VLOOKUP("+1 Knowledge", vote4TRAITS!A:C , 3, FALSE), ),
IF(IFERROR(SEARCH("+1 Awareness",L128),0) &gt; 0 , VLOOKUP("+1 Awareness", vote4TRAITS!A:C , 3, FALSE), ),
IF(IFERROR(SEARCH("-1 Willpower",L128),0) &gt; 0 , VLOOKUP("-1 Willpower", vote4TRAITS!A:C , 3, FALSE), ),
IF(IFERROR(SEARCH("+1 Health",L128),0) &gt; 0 , VLOOKUP("+1 Health", vote4TRAITS!A:C , 3, FALSE), ),
IF(IFERROR(SEARCH("+2 Health",L128),0) &gt; 0 , VLOOKUP("+2 Health", vote4TRAITS!A:C , 3, FALSE), ),
IF(IFERROR(SEARCH("+1 Stamina",L128),0) &gt; 0 , VLOOKUP("+1 Stamina", vote4TRAITS!A:C , 3, FALSE), ),
IF(IFERROR(SEARCH("+2 Stamina",L128),0) &gt; 0 , VLOOKUP("+2 Stamina", vote4TRAITS!A:C , 3, FALSE), ),
IFS(
IFERROR(SEARCH("+1 Range", L128),) &gt; 0 ,VLOOKUP("+1 Range", vote4TRAITS!A:C , 3, FALSE),
IFERROR(SEARCH("+2 Range", L128),) &gt; 0 ,VLOOKUP("+2 Range", vote4TRAITS!A:C , 3, FALSE),
IFERROR(SEARCH("+3 Range", L128),) &gt; 0,VLOOKUP("+3 Range", vote4TRAITS!A:C , 3, FALSE),
0=0,0)
,
IFS(
IFERROR(SEARCH("Sorcery 1", L128),) &gt; 0 ,VLOOKUP("Sorcery 1", vote4TRAITS!A:C , 3, FALSE),
IFERROR(SEARCH("Sorcery 2", L128),) &gt; 0 ,VLOOKUP("Sorcery 2", vote4TRAITS!A:C , 3, FALSE),
IFERROR(SEARCH("Sorcery 3", L128),) &gt; 0,VLOOKUP("Sorcery 3", vote4TRAITS!A:C , 3, FALSE),
0=0,0)
,
IFS(
IFERROR(SEARCH("Pierce 1", L128),) &gt; 0 ,VLOOKUP("Pierce 1", vote4TRAITS!A:C , 3, FALSE),
IFERROR(SEARCH("Pierce 2", L128),) &gt; 0 ,VLOOKUP("Pierce 2", vote4TRAITS!A:C , 3, FALSE),
IFERROR(SEARCH("Pierce 3", L128),) &gt; 0,VLOOKUP("Pierce 3", vote4TRAITS!A:C , 3, FALSE),
IFERROR(SEARCH("Pierce 4", L128),) &gt; 0 ,VLOOKUP("Pierce 4", vote4TRAITS!A:C , 3, FALSE),
0=0,0)
,
IFS(
IFERROR(SEARCH("+1 Health", L128),) &gt; 0 ,VLOOKUP("+1 Health", vote4TRAITS!A:C , 3, FALSE),
IFERROR(SEARCH("+2 Health", L128),) &gt; 0 ,VLOOKUP("+2 Health", vote4TRAITS!A:C , 3, FALSE),
IFERROR(SEARCH("+3 Health", L128),) &gt; 0 ,VLOOKUP("+3 Health", vote4TRAITS!A:C , 3, FALSE),
IFERROR(SEARCH("+4 Health", L128),) &gt; 0 ,VLOOKUP("+4 Health", vote4TRAITS!A:C , 3, FALSE),
0=0,0)
,
IFS(
IFERROR(SEARCH("Soul Shackle 1", L128),) &gt; 0 ,VLOOKUP("Soul Shackle 1", vote4TRAITS!A:C , 3, FALSE),
IFERROR(SEARCH("Soul Shackle 2", L128),) &gt; 0 ,VLOOKUP("Soul Shackle 2", vote4TRAITS!A:C , 3, FALSE),
IFERROR(SEARCH("Soul Shackle 3", L128),) &gt; 0,VLOOKUP("Soul Shackle 3", vote4TRAITS!A:C , 3, FALSE),
0=0,0)
)</f>
        <v>0</v>
      </c>
      <c r="N128" s="330"/>
      <c r="O128" s="317" t="str">
        <f>IF(ISBLANK(N128),,IFERROR(
IF(IFERROR(SEARCH("SS:",N128),0) &gt; 0, 
VLOOKUP(SUBSTITUTE(N128,"SS: ",""),vote4SURGE!$A:$C , 3, FALSE) - 2,
VLOOKUP(SUBSTITUTE(N128,"S: ",""),vote4SURGE!$A:$C , 3, FALSE)
)
,
IF(IFERROR(SEARCH("SS:",N128),0) &gt; 0, 
VLOOKUP(C128,vote4SURGE!$A:$C , 3, FALSE) - 2,
VLOOKUP(C128,vote4SURGE!$A:$C , 3, FALSE)
)
))</f>
        <v/>
      </c>
      <c r="P128" s="318"/>
      <c r="Q128" s="317" t="str">
        <f>IF(ISBLANK(P128),,IFERROR(
IF(IFERROR(SEARCH("SS:",P128),0) &gt; 0, 
VLOOKUP(SUBSTITUTE(P128,"SS: ",""),vote4SURGE!$A:$C , 3, FALSE) - 2,
VLOOKUP(SUBSTITUTE(P128,"S: ",""),vote4SURGE!$A:$C , 3, FALSE)
)
,
IF(IFERROR(SEARCH("SS:",P128),0) &gt; 0, 
VLOOKUP(C128,vote4SURGE!$A:$C , 3, FALSE) - 2,
VLOOKUP(C128,vote4SURGE!$A:$C , 3, FALSE)
)
))</f>
        <v/>
      </c>
      <c r="R128" s="318"/>
      <c r="S128" s="319" t="str">
        <f>IF(ISBLANK(R128),,IFERROR(
IF(IFERROR(SEARCH("SS:",R128),0) &gt; 0, 
VLOOKUP(SUBSTITUTE(R128,"SS: ",""),vote4SURGE!$A:$C , 3, FALSE) - 2,
VLOOKUP(SUBSTITUTE(R128,"S: ",""),vote4SURGE!$A:$C , 3, FALSE)
)
,
IF(IFERROR(SEARCH("SS:",R128),0) &gt; 0, 
VLOOKUP(C128,vote4SURGE!$A:$C , 3, FALSE) - 2,
VLOOKUP(C128,vote4SURGE!$A:$C , 3, FALSE)
)
))</f>
        <v/>
      </c>
      <c r="T128" s="320">
        <f t="shared" si="2"/>
        <v>0</v>
      </c>
      <c r="U128" s="320">
        <f>IFERROR(__xludf.DUMMYFUNCTION("ROUND(
IF(ISBLANK(G128),,
SWITCH(
LEN(G128) - LEN(SUBSTITUTE(G128,"","","""")),
0 , VLOOKUP(G128, Variables!$A:$C, 3, FALSE),
1 , VLOOKUP(index(split(G128 ,"", "", FALSE),1,1), Variables!$A:$C , 3, FALSE) + VLOOKUP(index(split(G128 ,"", "", FALSE),1,2), V"&amp;"ariables!$A:$C , 3, FALSE),
2 , VLOOKUP(index(split(G128 ,"", "", FALSE),1,1), Variables!$A:$C , 3, FALSE) + VLOOKUP(index(split(G128 ,"", "", FALSE),1,2), Variables!$A:$C , 3, FALSE) + VLOOKUP(index(split(G128 ,"", "", FALSE),1,3), Variables!$A:$C , 3, F"&amp;"ALSE),
3 , VLOOKUP(index(split(G128 ,"", "", FALSE),1,1), Variables!$A:$C , 3, FALSE) + VLOOKUP(index(split(G128 ,"", "", FALSE),1,2), Variables!$A:$C , 3, FALSE) + VLOOKUP(index(split(G128 ,"", "", FALSE),1,3), Variables!$A:$C , 3, FALSE) + VLOOKUP(index"&amp;"(split(G128 ,"", "", FALSE),1,4), Variables!$A:$C , 3, FALSE),
)
)
)"),0.0)</f>
        <v>0</v>
      </c>
      <c r="V128" s="317">
        <f t="shared" si="3"/>
        <v>0</v>
      </c>
      <c r="W128" s="321">
        <f t="shared" si="4"/>
        <v>4.333333333</v>
      </c>
      <c r="X128" s="118"/>
      <c r="Y128" s="118"/>
      <c r="Z128" s="118"/>
      <c r="AA128" s="118"/>
      <c r="AB128" s="118"/>
      <c r="AC128" s="118"/>
      <c r="AD128" s="118"/>
      <c r="AE128" s="118"/>
    </row>
    <row r="129" hidden="1">
      <c r="A129" s="310">
        <v>1.0</v>
      </c>
      <c r="B129" s="93">
        <f t="shared" si="1"/>
        <v>1</v>
      </c>
      <c r="C129" s="310" t="s">
        <v>721</v>
      </c>
      <c r="D129" s="310">
        <v>100.0</v>
      </c>
      <c r="E129" s="310" t="s">
        <v>1620</v>
      </c>
      <c r="F129" s="310"/>
      <c r="G129" s="313"/>
      <c r="H129" s="312" t="str">
        <f>IFERROR(__xludf.DUMMYFUNCTION(" IF(ISBLANK(G129),,
SWITCH(
LEN(G129) - LEN(SUBSTITUTE(G129,"","","""")),
0 , VLOOKUP(G129, Variables!$A:$B, 2, FALSE),
1 , VLOOKUP(index(split(G129 ,"", "", FALSE),1,1), Variables!$A:$B , 2, FALSE) + VLOOKUP(index(split(G129 ,"", "", FALSE),1,2), Variabl"&amp;"es!$A:$B , 2, FALSE),
2 , VLOOKUP(index(split(G129 ,"", "", FALSE),1,1), Variables!$A:$B , 2, FALSE) + VLOOKUP(index(split(G129 ,"", "", FALSE),1,2), Variables!$A:$B , 2, FALSE) + VLOOKUP(index(split(G129 ,"", "", FALSE),1,3), Variables!$A:$B , 2, FALSE),"&amp;"
3 , VLOOKUP(index(split(G129 ,"", "", FALSE),1,1), Variables!$A:$B , 2, FALSE) + VLOOKUP(index(split(G129 ,"", "", FALSE),1,2), Variables!$A:$B , 2, FALSE) + VLOOKUP(index(split(G129 ,"", "", FALSE),1,3), Variables!$A:$B , 2, FALSE) + VLOOKUP(index(split"&amp;"(G129 ,"", "", FALSE),1,4), Variables!$A:$B , 2, FALSE),
)
)"),"")</f>
        <v/>
      </c>
      <c r="I129" s="310" t="s">
        <v>1622</v>
      </c>
      <c r="J129" s="313" t="s">
        <v>722</v>
      </c>
      <c r="K129" s="314">
        <f>IFERROR(VLOOKUP(C129,vote4ITEMS!$A:$C, 3, FALSE),)</f>
        <v>4.5</v>
      </c>
      <c r="L129" s="313"/>
      <c r="M129" s="314">
        <f>SUM(
IF(IFERROR(SEARCH("Aura 1",L129),0) &gt; 0 , VLOOKUP("Aura 1", vote4TRAITS!A:C , 3, FALSE), ),
IF(IFERROR(SEARCH("Backswing",L129),0) &gt; 0 , VLOOKUP("Backswing", vote4TRAITS!A:C , 3, FALSE), ),
IF(IFERROR(SEARCH("Blast",L129),0) &gt; 0 , VLOOKUP("Blast", vote4TRAITS!A:C , 3, FALSE), ),
IF(IFERROR(SEARCH("Combustible",L129),0) &gt; 0 , VLOOKUP("Combustible", vote4TRAITS!A:C , 3, FALSE), ),
IF(IFERROR(SEARCH("Command",L129),0) &gt; 0 , VLOOKUP("Command", vote4TRAITS!A:C , 3, FALSE), ),
IF(IFERROR(SEARCH("Cowardly",L129),0) &gt; 0 , VLOOKUP("Cowardly", vote4TRAITS!A:C , 3, FALSE), ),
IF(IFERROR(SEARCH("Death Wish",L129),0) &gt; 0 , VLOOKUP("Death Wish", vote4TRAITS!A:C , 3, FALSE), ),
IF(IFERROR(SEARCH("Entomb",L129),0) &gt; 0 , VLOOKUP("Entomb", vote4TRAITS!A:C , 3, FALSE), ),
IF(IFERROR(SEARCH("Ethereal Hold",L129),0) &gt; 0 , VLOOKUP("Ethereal Hold", vote4TRAITS!A:C , 3, FALSE), ),
IF(IFERROR(SEARCH("Extend",L129),0) &gt; 0 , VLOOKUP("Extend", vote4TRAITS!A:C , 3, FALSE), ),
IF(IFERROR(SEARCH("Filthy Murk",L129),0) &gt; 0 , VLOOKUP("Filthy Murk", vote4TRAITS!A:C , 3, FALSE), ),
IF(IFERROR(SEARCH("Flame Fiend",L129),0) &gt; 0 , VLOOKUP("Flame Fiend", vote4TRAITS!A:C , 3, FALSE), ),
IF(IFERROR(SEARCH("Fleshmonger",L129),0) &gt; 0 , VLOOKUP("Fleshmonger", vote4TRAITS!A:C , 3, FALSE), ),
IF(IFERROR(SEARCH("Fly",L129),0) &gt; 0 , VLOOKUP("Fly", vote4TRAITS!A:C , 3, FALSE), ),
IF(IFERROR(SEARCH("Freezing",L129),0) &gt; 0 , VLOOKUP("Freezing", vote4TRAITS!A:C , 3, FALSE), ),
IF(IFERROR(SEARCH("Lithesome",L129),0) &gt; 0 , VLOOKUP("Lithesome", vote4TRAITS!A:C , 3, FALSE), ),
IF(IFERROR(SEARCH("Harrowing",L129),0) &gt; 0 , VLOOKUP("Harrowing", vote4TRAITS!A:C , 3, FALSE), ),
IF(IFERROR(SEARCH("Hideous Laughter",L129),0) &gt; 0 , VLOOKUP("Hideous Laughter", vote4TRAITS!A:C , 3, FALSE), ),
IF(IFERROR(SEARCH("Hive Defense",L129),0) &gt; 0 , VLOOKUP("Hive Defense", vote4TRAITS!A:C , 3, FALSE), ),
IF(IFERROR(SEARCH("Horrifying",L129),0) &gt; 0 , VLOOKUP("Horrifying", vote4TRAITS!A:C , 3, FALSE), ),
IF(IFERROR(SEARCH("Ironskin",L129),0) &gt; 0 , VLOOKUP("Ironskin", vote4TRAITS!A:C , 3, FALSE), ),
IF(IFERROR(SEARCH("Unmovable",L129),0) &gt; 0 , VLOOKUP("Unmovable", vote4TRAITS!A:C , 3, FALSE), ),
IF(IFERROR(SEARCH("Lifethirst 1",L129),0) &gt; 0 , VLOOKUP("Lifethirst 1", vote4TRAITS!A:C , 3, FALSE), ),
IF(IFERROR(SEARCH("Lifethirst 2",L129),0) &gt; 0 , VLOOKUP("Lifethirst 2", vote4TRAITS!A:C , 3, FALSE), ),
IF(IFERROR(SEARCH("Morph",L129),0) &gt; 0 , VLOOKUP("Morph", vote4TRAITS!A:C , 3, FALSE), ),
IF(IFERROR(SEARCH("Night Stalker",L129),0) &gt; 0 , VLOOKUP("Night Stalker", vote4TRAITS!A:C , 3, FALSE), ),
IF(IFERROR(SEARCH("Overflowing",L129),0) &gt; 0 , VLOOKUP("Overflowing", vote4TRAITS!A:C , 3, FALSE), ),
IF(IFERROR(SEARCH("Pestilence",L129),0) &gt; 0 , VLOOKUP("Pestilence", vote4TRAITS!A:C , 3, FALSE), ),
IF(IFERROR(SEARCH("Phalanx",L129),0) &gt; 0 , VLOOKUP("Phalanx", vote4TRAITS!A:C , 3, FALSE), ),
IF(IFERROR(SEARCH("Plagued",L129),0) &gt; 0 , VLOOKUP("Plagued", vote4TRAITS!A:C , 3, FALSE), ),
IF(IFERROR(SEARCH("Prey on the Weak",L129),0) &gt; 0 , VLOOKUP("Prey on the Weak", vote4TRAITS!A:C , 3, FALSE), ),
IF(IFERROR(SEARCH("Protect",L129),0) &gt; 0 , VLOOKUP("Protect", vote4TRAITS!A:C , 3, FALSE), ),
IF(IFERROR(SEARCH("Puncture",L129),0) &gt; 0 , VLOOKUP("Puncture", vote4TRAITS!A:C , 3, FALSE), ),
IF(IFERROR(SEARCH("Putrid Boils",L129),0) &gt; 0 , VLOOKUP("Putrid Boils", vote4TRAITS!A:C , 3, FALSE), ),
IF(IFERROR(SEARCH("Ravage",L129),0) &gt; 0 , VLOOKUP("Ravage", vote4TRAITS!A:C , 3, FALSE), ),
IF(IFERROR(SEARCH("Ravenous",L129),0) &gt; 0 , VLOOKUP("Ravenous", vote4TRAITS!A:C , 3, FALSE), ),
IF(IFERROR(SEARCH("Reach",L129),0) &gt; 0 , VLOOKUP("Reach", vote4TRAITS!A:C , 3, FALSE), ),
IF(IFERROR(SEARCH("Reanimation",L129),0) &gt; 0 , VLOOKUP("Reanimation", vote4TRAITS!A:C , 3, FALSE), ),
IF(IFERROR(SEARCH("Reaper",L129),0) &gt; 0 , VLOOKUP("Reaper", vote4TRAITS!A:C , 3, FALSE), ),
IF(IFERROR(SEARCH("Riposte",L129),0) &gt; 0 , VLOOKUP("Riposte", vote4TRAITS!A:C , 3, FALSE)),
IF(IFERROR(SEARCH("Scamper",L129),0) &gt; 0 , VLOOKUP("Scamper", vote4TRAITS!A:C , 3, FALSE), ),
IF(IFERROR(SEARCH("Small Beginnings",L129),0) &gt; 0 , VLOOKUP("Small Beginnings", vote4TRAITS!A:C , 3, FALSE), ),
IF(IFERROR(SEARCH("Spawner",L129),0) &gt; 0 , VLOOKUP("Spawner", vote4TRAITS!A:C , 3,FALSE), ),
IF(IFERROR(SEARCH("Shadowr",L129),0) &gt; 0 , VLOOKUP("Shadow", vote4TRAITS!A:C , 3,FALSE), ),
IF(IFERROR(SEARCH("Shadow Step",L129),0) &gt; 0 , VLOOKUP("Shadow Step", vote4TRAITS!A:C , 3,FALSE), ),
IF(IFERROR(SEARCH("Shambling",L129),0) &gt; 0 , VLOOKUP("Shambling", vote4TRAITS!A:C , 3,FALSE), ),
IF(IFERROR(SEARCH("Stealthy",L129),0) &gt; 0 , VLOOKUP("Stealthy", vote4TRAITS!A:C , 3, FALSE), ),
IF(IFERROR(SEARCH("Web",L129),0) &gt; 0 , VLOOKUP("Web", vote4TRAITS!A:C , 3, FALSE), ),
IF(IFERROR(SEARCH("+1 Willpower",L129),0) &gt; 0 , VLOOKUP("+1 Willpower", vote4TRAITS!A:C , 3, FALSE), ),
IF(IFERROR(SEARCH("+1 Might",L129),0) &gt; 0 , VLOOKUP("+1 Might", vote4TRAITS!A:C , 3, FALSE), ),
IF(IFERROR(SEARCH("+1 Knowledge",L129),0) &gt; 0 , VLOOKUP("+1 Knowledge", vote4TRAITS!A:C , 3, FALSE), ),
IF(IFERROR(SEARCH("+1 Awareness",L129),0) &gt; 0 , VLOOKUP("+1 Awareness", vote4TRAITS!A:C , 3, FALSE), ),
IF(IFERROR(SEARCH("-1 Willpower",L129),0) &gt; 0 , VLOOKUP("-1 Willpower", vote4TRAITS!A:C , 3, FALSE), ),
IF(IFERROR(SEARCH("+1 Health",L129),0) &gt; 0 , VLOOKUP("+1 Health", vote4TRAITS!A:C , 3, FALSE), ),
IF(IFERROR(SEARCH("+2 Health",L129),0) &gt; 0 , VLOOKUP("+2 Health", vote4TRAITS!A:C , 3, FALSE), ),
IF(IFERROR(SEARCH("+1 Stamina",L129),0) &gt; 0 , VLOOKUP("+1 Stamina", vote4TRAITS!A:C , 3, FALSE), ),
IF(IFERROR(SEARCH("+2 Stamina",L129),0) &gt; 0 , VLOOKUP("+2 Stamina", vote4TRAITS!A:C , 3, FALSE), ),
IFS(
IFERROR(SEARCH("+1 Range", L129),) &gt; 0 ,VLOOKUP("+1 Range", vote4TRAITS!A:C , 3, FALSE),
IFERROR(SEARCH("+2 Range", L129),) &gt; 0 ,VLOOKUP("+2 Range", vote4TRAITS!A:C , 3, FALSE),
IFERROR(SEARCH("+3 Range", L129),) &gt; 0,VLOOKUP("+3 Range", vote4TRAITS!A:C , 3, FALSE),
0=0,0)
,
IFS(
IFERROR(SEARCH("Sorcery 1", L129),) &gt; 0 ,VLOOKUP("Sorcery 1", vote4TRAITS!A:C , 3, FALSE),
IFERROR(SEARCH("Sorcery 2", L129),) &gt; 0 ,VLOOKUP("Sorcery 2", vote4TRAITS!A:C , 3, FALSE),
IFERROR(SEARCH("Sorcery 3", L129),) &gt; 0,VLOOKUP("Sorcery 3", vote4TRAITS!A:C , 3, FALSE),
0=0,0)
,
IFS(
IFERROR(SEARCH("Pierce 1", L129),) &gt; 0 ,VLOOKUP("Pierce 1", vote4TRAITS!A:C , 3, FALSE),
IFERROR(SEARCH("Pierce 2", L129),) &gt; 0 ,VLOOKUP("Pierce 2", vote4TRAITS!A:C , 3, FALSE),
IFERROR(SEARCH("Pierce 3", L129),) &gt; 0,VLOOKUP("Pierce 3", vote4TRAITS!A:C , 3, FALSE),
IFERROR(SEARCH("Pierce 4", L129),) &gt; 0 ,VLOOKUP("Pierce 4", vote4TRAITS!A:C , 3, FALSE),
0=0,0)
,
IFS(
IFERROR(SEARCH("+1 Health", L129),) &gt; 0 ,VLOOKUP("+1 Health", vote4TRAITS!A:C , 3, FALSE),
IFERROR(SEARCH("+2 Health", L129),) &gt; 0 ,VLOOKUP("+2 Health", vote4TRAITS!A:C , 3, FALSE),
IFERROR(SEARCH("+3 Health", L129),) &gt; 0 ,VLOOKUP("+3 Health", vote4TRAITS!A:C , 3, FALSE),
IFERROR(SEARCH("+4 Health", L129),) &gt; 0 ,VLOOKUP("+4 Health", vote4TRAITS!A:C , 3, FALSE),
0=0,0)
,
IFS(
IFERROR(SEARCH("Soul Shackle 1", L129),) &gt; 0 ,VLOOKUP("Soul Shackle 1", vote4TRAITS!A:C , 3, FALSE),
IFERROR(SEARCH("Soul Shackle 2", L129),) &gt; 0 ,VLOOKUP("Soul Shackle 2", vote4TRAITS!A:C , 3, FALSE),
IFERROR(SEARCH("Soul Shackle 3", L129),) &gt; 0,VLOOKUP("Soul Shackle 3", vote4TRAITS!A:C , 3, FALSE),
0=0,0)
)</f>
        <v>0</v>
      </c>
      <c r="N129" s="313"/>
      <c r="O129" s="317" t="str">
        <f>IF(ISBLANK(N129),,IFERROR(
IF(IFERROR(SEARCH("SS:",N129),0) &gt; 0, 
VLOOKUP(SUBSTITUTE(N129,"SS: ",""),vote4SURGE!$A:$C , 3, FALSE) - 2,
VLOOKUP(SUBSTITUTE(N129,"S: ",""),vote4SURGE!$A:$C , 3, FALSE)
)
,
IF(IFERROR(SEARCH("SS:",N129),0) &gt; 0, 
VLOOKUP(C129,vote4SURGE!$A:$C , 3, FALSE) - 2,
VLOOKUP(C129,vote4SURGE!$A:$C , 3, FALSE)
)
))</f>
        <v/>
      </c>
      <c r="P129" s="318"/>
      <c r="Q129" s="317" t="str">
        <f>IF(ISBLANK(P129),,IFERROR(
IF(IFERROR(SEARCH("SS:",P129),0) &gt; 0, 
VLOOKUP(SUBSTITUTE(P129,"SS: ",""),vote4SURGE!$A:$C , 3, FALSE) - 2,
VLOOKUP(SUBSTITUTE(P129,"S: ",""),vote4SURGE!$A:$C , 3, FALSE)
)
,
IF(IFERROR(SEARCH("SS:",P129),0) &gt; 0, 
VLOOKUP(C129,vote4SURGE!$A:$C , 3, FALSE) - 2,
VLOOKUP(C129,vote4SURGE!$A:$C , 3, FALSE)
)
))</f>
        <v/>
      </c>
      <c r="R129" s="318"/>
      <c r="S129" s="319" t="str">
        <f>IF(ISBLANK(R129),,IFERROR(
IF(IFERROR(SEARCH("SS:",R129),0) &gt; 0, 
VLOOKUP(SUBSTITUTE(R129,"SS: ",""),vote4SURGE!$A:$C , 3, FALSE) - 2,
VLOOKUP(SUBSTITUTE(R129,"S: ",""),vote4SURGE!$A:$C , 3, FALSE)
)
,
IF(IFERROR(SEARCH("SS:",R129),0) &gt; 0, 
VLOOKUP(C129,vote4SURGE!$A:$C , 3, FALSE) - 2,
VLOOKUP(C129,vote4SURGE!$A:$C , 3, FALSE)
)
))</f>
        <v/>
      </c>
      <c r="T129" s="320">
        <f t="shared" si="2"/>
        <v>0</v>
      </c>
      <c r="U129" s="320">
        <f>IFERROR(__xludf.DUMMYFUNCTION("ROUND(
IF(ISBLANK(G129),,
SWITCH(
LEN(G129) - LEN(SUBSTITUTE(G129,"","","""")),
0 , VLOOKUP(G129, Variables!$A:$C, 3, FALSE),
1 , VLOOKUP(index(split(G129 ,"", "", FALSE),1,1), Variables!$A:$C , 3, FALSE) + VLOOKUP(index(split(G129 ,"", "", FALSE),1,2), V"&amp;"ariables!$A:$C , 3, FALSE),
2 , VLOOKUP(index(split(G129 ,"", "", FALSE),1,1), Variables!$A:$C , 3, FALSE) + VLOOKUP(index(split(G129 ,"", "", FALSE),1,2), Variables!$A:$C , 3, FALSE) + VLOOKUP(index(split(G129 ,"", "", FALSE),1,3), Variables!$A:$C , 3, F"&amp;"ALSE),
3 , VLOOKUP(index(split(G129 ,"", "", FALSE),1,1), Variables!$A:$C , 3, FALSE) + VLOOKUP(index(split(G129 ,"", "", FALSE),1,2), Variables!$A:$C , 3, FALSE) + VLOOKUP(index(split(G129 ,"", "", FALSE),1,3), Variables!$A:$C , 3, FALSE) + VLOOKUP(index"&amp;"(split(G129 ,"", "", FALSE),1,4), Variables!$A:$C , 3, FALSE),
)
)
)"),0.0)</f>
        <v>0</v>
      </c>
      <c r="V129" s="317">
        <f t="shared" si="3"/>
        <v>0</v>
      </c>
      <c r="W129" s="321">
        <f t="shared" si="4"/>
        <v>4.5</v>
      </c>
      <c r="X129" s="118"/>
      <c r="Y129" s="118"/>
      <c r="Z129" s="118"/>
      <c r="AA129" s="118"/>
      <c r="AB129" s="118"/>
      <c r="AC129" s="118"/>
      <c r="AD129" s="118"/>
      <c r="AE129" s="118"/>
    </row>
    <row r="130" hidden="1">
      <c r="A130" s="310">
        <v>2.0</v>
      </c>
      <c r="B130" s="93">
        <f t="shared" si="1"/>
        <v>6</v>
      </c>
      <c r="C130" s="310" t="s">
        <v>739</v>
      </c>
      <c r="D130" s="310">
        <v>225.0</v>
      </c>
      <c r="E130" s="310" t="s">
        <v>1620</v>
      </c>
      <c r="F130" s="310"/>
      <c r="G130" s="313"/>
      <c r="H130" s="312" t="str">
        <f>IFERROR(__xludf.DUMMYFUNCTION(" IF(ISBLANK(G130),,
SWITCH(
LEN(G130) - LEN(SUBSTITUTE(G130,"","","""")),
0 , VLOOKUP(G130, Variables!$A:$B, 2, FALSE),
1 , VLOOKUP(index(split(G130 ,"", "", FALSE),1,1), Variables!$A:$B , 2, FALSE) + VLOOKUP(index(split(G130 ,"", "", FALSE),1,2), Variabl"&amp;"es!$A:$B , 2, FALSE),
2 , VLOOKUP(index(split(G130 ,"", "", FALSE),1,1), Variables!$A:$B , 2, FALSE) + VLOOKUP(index(split(G130 ,"", "", FALSE),1,2), Variables!$A:$B , 2, FALSE) + VLOOKUP(index(split(G130 ,"", "", FALSE),1,3), Variables!$A:$B , 2, FALSE),"&amp;"
3 , VLOOKUP(index(split(G130 ,"", "", FALSE),1,1), Variables!$A:$B , 2, FALSE) + VLOOKUP(index(split(G130 ,"", "", FALSE),1,2), Variables!$A:$B , 2, FALSE) + VLOOKUP(index(split(G130 ,"", "", FALSE),1,3), Variables!$A:$B , 2, FALSE) + VLOOKUP(index(split"&amp;"(G130 ,"", "", FALSE),1,4), Variables!$A:$B , 2, FALSE),
)
)"),"")</f>
        <v/>
      </c>
      <c r="I130" s="310" t="s">
        <v>1622</v>
      </c>
      <c r="J130" s="313" t="s">
        <v>740</v>
      </c>
      <c r="K130" s="314">
        <f>IFERROR(VLOOKUP(C130,vote4ITEMS!$A:$C, 3, FALSE),)</f>
        <v>4.5</v>
      </c>
      <c r="L130" s="313"/>
      <c r="M130" s="314">
        <f>SUM(
IF(IFERROR(SEARCH("Aura 1",L130),0) &gt; 0 , VLOOKUP("Aura 1", vote4TRAITS!A:C , 3, FALSE), ),
IF(IFERROR(SEARCH("Backswing",L130),0) &gt; 0 , VLOOKUP("Backswing", vote4TRAITS!A:C , 3, FALSE), ),
IF(IFERROR(SEARCH("Blast",L130),0) &gt; 0 , VLOOKUP("Blast", vote4TRAITS!A:C , 3, FALSE), ),
IF(IFERROR(SEARCH("Combustible",L130),0) &gt; 0 , VLOOKUP("Combustible", vote4TRAITS!A:C , 3, FALSE), ),
IF(IFERROR(SEARCH("Command",L130),0) &gt; 0 , VLOOKUP("Command", vote4TRAITS!A:C , 3, FALSE), ),
IF(IFERROR(SEARCH("Cowardly",L130),0) &gt; 0 , VLOOKUP("Cowardly", vote4TRAITS!A:C , 3, FALSE), ),
IF(IFERROR(SEARCH("Death Wish",L130),0) &gt; 0 , VLOOKUP("Death Wish", vote4TRAITS!A:C , 3, FALSE), ),
IF(IFERROR(SEARCH("Entomb",L130),0) &gt; 0 , VLOOKUP("Entomb", vote4TRAITS!A:C , 3, FALSE), ),
IF(IFERROR(SEARCH("Ethereal Hold",L130),0) &gt; 0 , VLOOKUP("Ethereal Hold", vote4TRAITS!A:C , 3, FALSE), ),
IF(IFERROR(SEARCH("Extend",L130),0) &gt; 0 , VLOOKUP("Extend", vote4TRAITS!A:C , 3, FALSE), ),
IF(IFERROR(SEARCH("Filthy Murk",L130),0) &gt; 0 , VLOOKUP("Filthy Murk", vote4TRAITS!A:C , 3, FALSE), ),
IF(IFERROR(SEARCH("Flame Fiend",L130),0) &gt; 0 , VLOOKUP("Flame Fiend", vote4TRAITS!A:C , 3, FALSE), ),
IF(IFERROR(SEARCH("Fleshmonger",L130),0) &gt; 0 , VLOOKUP("Fleshmonger", vote4TRAITS!A:C , 3, FALSE), ),
IF(IFERROR(SEARCH("Fly",L130),0) &gt; 0 , VLOOKUP("Fly", vote4TRAITS!A:C , 3, FALSE), ),
IF(IFERROR(SEARCH("Freezing",L130),0) &gt; 0 , VLOOKUP("Freezing", vote4TRAITS!A:C , 3, FALSE), ),
IF(IFERROR(SEARCH("Lithesome",L130),0) &gt; 0 , VLOOKUP("Lithesome", vote4TRAITS!A:C , 3, FALSE), ),
IF(IFERROR(SEARCH("Harrowing",L130),0) &gt; 0 , VLOOKUP("Harrowing", vote4TRAITS!A:C , 3, FALSE), ),
IF(IFERROR(SEARCH("Hideous Laughter",L130),0) &gt; 0 , VLOOKUP("Hideous Laughter", vote4TRAITS!A:C , 3, FALSE), ),
IF(IFERROR(SEARCH("Hive Defense",L130),0) &gt; 0 , VLOOKUP("Hive Defense", vote4TRAITS!A:C , 3, FALSE), ),
IF(IFERROR(SEARCH("Horrifying",L130),0) &gt; 0 , VLOOKUP("Horrifying", vote4TRAITS!A:C , 3, FALSE), ),
IF(IFERROR(SEARCH("Ironskin",L130),0) &gt; 0 , VLOOKUP("Ironskin", vote4TRAITS!A:C , 3, FALSE), ),
IF(IFERROR(SEARCH("Unmovable",L130),0) &gt; 0 , VLOOKUP("Unmovable", vote4TRAITS!A:C , 3, FALSE), ),
IF(IFERROR(SEARCH("Lifethirst 1",L130),0) &gt; 0 , VLOOKUP("Lifethirst 1", vote4TRAITS!A:C , 3, FALSE), ),
IF(IFERROR(SEARCH("Lifethirst 2",L130),0) &gt; 0 , VLOOKUP("Lifethirst 2", vote4TRAITS!A:C , 3, FALSE), ),
IF(IFERROR(SEARCH("Morph",L130),0) &gt; 0 , VLOOKUP("Morph", vote4TRAITS!A:C , 3, FALSE), ),
IF(IFERROR(SEARCH("Night Stalker",L130),0) &gt; 0 , VLOOKUP("Night Stalker", vote4TRAITS!A:C , 3, FALSE), ),
IF(IFERROR(SEARCH("Overflowing",L130),0) &gt; 0 , VLOOKUP("Overflowing", vote4TRAITS!A:C , 3, FALSE), ),
IF(IFERROR(SEARCH("Pestilence",L130),0) &gt; 0 , VLOOKUP("Pestilence", vote4TRAITS!A:C , 3, FALSE), ),
IF(IFERROR(SEARCH("Phalanx",L130),0) &gt; 0 , VLOOKUP("Phalanx", vote4TRAITS!A:C , 3, FALSE), ),
IF(IFERROR(SEARCH("Plagued",L130),0) &gt; 0 , VLOOKUP("Plagued", vote4TRAITS!A:C , 3, FALSE), ),
IF(IFERROR(SEARCH("Prey on the Weak",L130),0) &gt; 0 , VLOOKUP("Prey on the Weak", vote4TRAITS!A:C , 3, FALSE), ),
IF(IFERROR(SEARCH("Protect",L130),0) &gt; 0 , VLOOKUP("Protect", vote4TRAITS!A:C , 3, FALSE), ),
IF(IFERROR(SEARCH("Puncture",L130),0) &gt; 0 , VLOOKUP("Puncture", vote4TRAITS!A:C , 3, FALSE), ),
IF(IFERROR(SEARCH("Putrid Boils",L130),0) &gt; 0 , VLOOKUP("Putrid Boils", vote4TRAITS!A:C , 3, FALSE), ),
IF(IFERROR(SEARCH("Ravage",L130),0) &gt; 0 , VLOOKUP("Ravage", vote4TRAITS!A:C , 3, FALSE), ),
IF(IFERROR(SEARCH("Ravenous",L130),0) &gt; 0 , VLOOKUP("Ravenous", vote4TRAITS!A:C , 3, FALSE), ),
IF(IFERROR(SEARCH("Reach",L130),0) &gt; 0 , VLOOKUP("Reach", vote4TRAITS!A:C , 3, FALSE), ),
IF(IFERROR(SEARCH("Reanimation",L130),0) &gt; 0 , VLOOKUP("Reanimation", vote4TRAITS!A:C , 3, FALSE), ),
IF(IFERROR(SEARCH("Reaper",L130),0) &gt; 0 , VLOOKUP("Reaper", vote4TRAITS!A:C , 3, FALSE), ),
IF(IFERROR(SEARCH("Riposte",L130),0) &gt; 0 , VLOOKUP("Riposte", vote4TRAITS!A:C , 3, FALSE)),
IF(IFERROR(SEARCH("Scamper",L130),0) &gt; 0 , VLOOKUP("Scamper", vote4TRAITS!A:C , 3, FALSE), ),
IF(IFERROR(SEARCH("Small Beginnings",L130),0) &gt; 0 , VLOOKUP("Small Beginnings", vote4TRAITS!A:C , 3, FALSE), ),
IF(IFERROR(SEARCH("Spawner",L130),0) &gt; 0 , VLOOKUP("Spawner", vote4TRAITS!A:C , 3,FALSE), ),
IF(IFERROR(SEARCH("Shadowr",L130),0) &gt; 0 , VLOOKUP("Shadow", vote4TRAITS!A:C , 3,FALSE), ),
IF(IFERROR(SEARCH("Shadow Step",L130),0) &gt; 0 , VLOOKUP("Shadow Step", vote4TRAITS!A:C , 3,FALSE), ),
IF(IFERROR(SEARCH("Shambling",L130),0) &gt; 0 , VLOOKUP("Shambling", vote4TRAITS!A:C , 3,FALSE), ),
IF(IFERROR(SEARCH("Stealthy",L130),0) &gt; 0 , VLOOKUP("Stealthy", vote4TRAITS!A:C , 3, FALSE), ),
IF(IFERROR(SEARCH("Web",L130),0) &gt; 0 , VLOOKUP("Web", vote4TRAITS!A:C , 3, FALSE), ),
IF(IFERROR(SEARCH("+1 Willpower",L130),0) &gt; 0 , VLOOKUP("+1 Willpower", vote4TRAITS!A:C , 3, FALSE), ),
IF(IFERROR(SEARCH("+1 Might",L130),0) &gt; 0 , VLOOKUP("+1 Might", vote4TRAITS!A:C , 3, FALSE), ),
IF(IFERROR(SEARCH("+1 Knowledge",L130),0) &gt; 0 , VLOOKUP("+1 Knowledge", vote4TRAITS!A:C , 3, FALSE), ),
IF(IFERROR(SEARCH("+1 Awareness",L130),0) &gt; 0 , VLOOKUP("+1 Awareness", vote4TRAITS!A:C , 3, FALSE), ),
IF(IFERROR(SEARCH("-1 Willpower",L130),0) &gt; 0 , VLOOKUP("-1 Willpower", vote4TRAITS!A:C , 3, FALSE), ),
IF(IFERROR(SEARCH("+1 Health",L130),0) &gt; 0 , VLOOKUP("+1 Health", vote4TRAITS!A:C , 3, FALSE), ),
IF(IFERROR(SEARCH("+2 Health",L130),0) &gt; 0 , VLOOKUP("+2 Health", vote4TRAITS!A:C , 3, FALSE), ),
IF(IFERROR(SEARCH("+1 Stamina",L130),0) &gt; 0 , VLOOKUP("+1 Stamina", vote4TRAITS!A:C , 3, FALSE), ),
IF(IFERROR(SEARCH("+2 Stamina",L130),0) &gt; 0 , VLOOKUP("+2 Stamina", vote4TRAITS!A:C , 3, FALSE), ),
IFS(
IFERROR(SEARCH("+1 Range", L130),) &gt; 0 ,VLOOKUP("+1 Range", vote4TRAITS!A:C , 3, FALSE),
IFERROR(SEARCH("+2 Range", L130),) &gt; 0 ,VLOOKUP("+2 Range", vote4TRAITS!A:C , 3, FALSE),
IFERROR(SEARCH("+3 Range", L130),) &gt; 0,VLOOKUP("+3 Range", vote4TRAITS!A:C , 3, FALSE),
0=0,0)
,
IFS(
IFERROR(SEARCH("Sorcery 1", L130),) &gt; 0 ,VLOOKUP("Sorcery 1", vote4TRAITS!A:C , 3, FALSE),
IFERROR(SEARCH("Sorcery 2", L130),) &gt; 0 ,VLOOKUP("Sorcery 2", vote4TRAITS!A:C , 3, FALSE),
IFERROR(SEARCH("Sorcery 3", L130),) &gt; 0,VLOOKUP("Sorcery 3", vote4TRAITS!A:C , 3, FALSE),
0=0,0)
,
IFS(
IFERROR(SEARCH("Pierce 1", L130),) &gt; 0 ,VLOOKUP("Pierce 1", vote4TRAITS!A:C , 3, FALSE),
IFERROR(SEARCH("Pierce 2", L130),) &gt; 0 ,VLOOKUP("Pierce 2", vote4TRAITS!A:C , 3, FALSE),
IFERROR(SEARCH("Pierce 3", L130),) &gt; 0,VLOOKUP("Pierce 3", vote4TRAITS!A:C , 3, FALSE),
IFERROR(SEARCH("Pierce 4", L130),) &gt; 0 ,VLOOKUP("Pierce 4", vote4TRAITS!A:C , 3, FALSE),
0=0,0)
,
IFS(
IFERROR(SEARCH("+1 Health", L130),) &gt; 0 ,VLOOKUP("+1 Health", vote4TRAITS!A:C , 3, FALSE),
IFERROR(SEARCH("+2 Health", L130),) &gt; 0 ,VLOOKUP("+2 Health", vote4TRAITS!A:C , 3, FALSE),
IFERROR(SEARCH("+3 Health", L130),) &gt; 0 ,VLOOKUP("+3 Health", vote4TRAITS!A:C , 3, FALSE),
IFERROR(SEARCH("+4 Health", L130),) &gt; 0 ,VLOOKUP("+4 Health", vote4TRAITS!A:C , 3, FALSE),
0=0,0)
,
IFS(
IFERROR(SEARCH("Soul Shackle 1", L130),) &gt; 0 ,VLOOKUP("Soul Shackle 1", vote4TRAITS!A:C , 3, FALSE),
IFERROR(SEARCH("Soul Shackle 2", L130),) &gt; 0 ,VLOOKUP("Soul Shackle 2", vote4TRAITS!A:C , 3, FALSE),
IFERROR(SEARCH("Soul Shackle 3", L130),) &gt; 0,VLOOKUP("Soul Shackle 3", vote4TRAITS!A:C , 3, FALSE),
0=0,0)
)</f>
        <v>0</v>
      </c>
      <c r="N130" s="313"/>
      <c r="O130" s="317" t="str">
        <f>IF(ISBLANK(N130),,IFERROR(
IF(IFERROR(SEARCH("SS:",N130),0) &gt; 0, 
VLOOKUP(SUBSTITUTE(N130,"SS: ",""),vote4SURGE!$A:$C , 3, FALSE) - 2,
VLOOKUP(SUBSTITUTE(N130,"S: ",""),vote4SURGE!$A:$C , 3, FALSE)
)
,
IF(IFERROR(SEARCH("SS:",N130),0) &gt; 0, 
VLOOKUP(C130,vote4SURGE!$A:$C , 3, FALSE) - 2,
VLOOKUP(C130,vote4SURGE!$A:$C , 3, FALSE)
)
))</f>
        <v/>
      </c>
      <c r="P130" s="318"/>
      <c r="Q130" s="317" t="str">
        <f>IF(ISBLANK(P130),,IFERROR(
IF(IFERROR(SEARCH("SS:",P130),0) &gt; 0, 
VLOOKUP(SUBSTITUTE(P130,"SS: ",""),vote4SURGE!$A:$C , 3, FALSE) - 2,
VLOOKUP(SUBSTITUTE(P130,"S: ",""),vote4SURGE!$A:$C , 3, FALSE)
)
,
IF(IFERROR(SEARCH("SS:",P130),0) &gt; 0, 
VLOOKUP(C130,vote4SURGE!$A:$C , 3, FALSE) - 2,
VLOOKUP(C130,vote4SURGE!$A:$C , 3, FALSE)
)
))</f>
        <v/>
      </c>
      <c r="R130" s="318"/>
      <c r="S130" s="319" t="str">
        <f>IF(ISBLANK(R130),,IFERROR(
IF(IFERROR(SEARCH("SS:",R130),0) &gt; 0, 
VLOOKUP(SUBSTITUTE(R130,"SS: ",""),vote4SURGE!$A:$C , 3, FALSE) - 2,
VLOOKUP(SUBSTITUTE(R130,"S: ",""),vote4SURGE!$A:$C , 3, FALSE)
)
,
IF(IFERROR(SEARCH("SS:",R130),0) &gt; 0, 
VLOOKUP(C130,vote4SURGE!$A:$C , 3, FALSE) - 2,
VLOOKUP(C130,vote4SURGE!$A:$C , 3, FALSE)
)
))</f>
        <v/>
      </c>
      <c r="T130" s="320">
        <f t="shared" si="2"/>
        <v>0</v>
      </c>
      <c r="U130" s="320">
        <f>IFERROR(__xludf.DUMMYFUNCTION("ROUND(
IF(ISBLANK(G130),,
SWITCH(
LEN(G130) - LEN(SUBSTITUTE(G130,"","","""")),
0 , VLOOKUP(G130, Variables!$A:$C, 3, FALSE),
1 , VLOOKUP(index(split(G130 ,"", "", FALSE),1,1), Variables!$A:$C , 3, FALSE) + VLOOKUP(index(split(G130 ,"", "", FALSE),1,2), V"&amp;"ariables!$A:$C , 3, FALSE),
2 , VLOOKUP(index(split(G130 ,"", "", FALSE),1,1), Variables!$A:$C , 3, FALSE) + VLOOKUP(index(split(G130 ,"", "", FALSE),1,2), Variables!$A:$C , 3, FALSE) + VLOOKUP(index(split(G130 ,"", "", FALSE),1,3), Variables!$A:$C , 3, F"&amp;"ALSE),
3 , VLOOKUP(index(split(G130 ,"", "", FALSE),1,1), Variables!$A:$C , 3, FALSE) + VLOOKUP(index(split(G130 ,"", "", FALSE),1,2), Variables!$A:$C , 3, FALSE) + VLOOKUP(index(split(G130 ,"", "", FALSE),1,3), Variables!$A:$C , 3, FALSE) + VLOOKUP(index"&amp;"(split(G130 ,"", "", FALSE),1,4), Variables!$A:$C , 3, FALSE),
)
)
)"),0.0)</f>
        <v>0</v>
      </c>
      <c r="V130" s="317">
        <f t="shared" si="3"/>
        <v>0</v>
      </c>
      <c r="W130" s="321">
        <f t="shared" si="4"/>
        <v>4.5</v>
      </c>
      <c r="X130" s="118"/>
      <c r="Y130" s="118"/>
      <c r="Z130" s="118"/>
      <c r="AA130" s="118"/>
      <c r="AB130" s="118"/>
      <c r="AC130" s="118"/>
      <c r="AD130" s="118"/>
      <c r="AE130" s="118"/>
    </row>
    <row r="131" hidden="1">
      <c r="A131" s="310" t="s">
        <v>1556</v>
      </c>
      <c r="B131" s="93" t="str">
        <f t="shared" si="1"/>
        <v/>
      </c>
      <c r="C131" s="310" t="s">
        <v>751</v>
      </c>
      <c r="D131" s="323">
        <v>0.0</v>
      </c>
      <c r="E131" s="310" t="s">
        <v>1629</v>
      </c>
      <c r="F131" s="310"/>
      <c r="G131" s="313"/>
      <c r="H131" s="312" t="str">
        <f>IFERROR(__xludf.DUMMYFUNCTION(" IF(ISBLANK(G131),,
SWITCH(
LEN(G131) - LEN(SUBSTITUTE(G131,"","","""")),
0 , VLOOKUP(G131, Variables!$A:$B, 2, FALSE),
1 , VLOOKUP(index(split(G131 ,"", "", FALSE),1,1), Variables!$A:$B , 2, FALSE) + VLOOKUP(index(split(G131 ,"", "", FALSE),1,2), Variabl"&amp;"es!$A:$B , 2, FALSE),
2 , VLOOKUP(index(split(G131 ,"", "", FALSE),1,1), Variables!$A:$B , 2, FALSE) + VLOOKUP(index(split(G131 ,"", "", FALSE),1,2), Variables!$A:$B , 2, FALSE) + VLOOKUP(index(split(G131 ,"", "", FALSE),1,3), Variables!$A:$B , 2, FALSE),"&amp;"
3 , VLOOKUP(index(split(G131 ,"", "", FALSE),1,1), Variables!$A:$B , 2, FALSE) + VLOOKUP(index(split(G131 ,"", "", FALSE),1,2), Variables!$A:$B , 2, FALSE) + VLOOKUP(index(split(G131 ,"", "", FALSE),1,3), Variables!$A:$B , 2, FALSE) + VLOOKUP(index(split"&amp;"(G131 ,"", "", FALSE),1,4), Variables!$A:$B , 2, FALSE),
)
)"),"")</f>
        <v/>
      </c>
      <c r="I131" s="310" t="s">
        <v>1641</v>
      </c>
      <c r="J131" s="313" t="s">
        <v>752</v>
      </c>
      <c r="K131" s="314">
        <f>IFERROR(VLOOKUP(C131,vote4ITEMS!$A:$C, 3, FALSE),)</f>
        <v>4.5</v>
      </c>
      <c r="L131" s="324"/>
      <c r="M131" s="314">
        <f>SUM(
IF(IFERROR(SEARCH("Aura 1",L131),0) &gt; 0 , VLOOKUP("Aura 1", vote4TRAITS!A:C , 3, FALSE), ),
IF(IFERROR(SEARCH("Backswing",L131),0) &gt; 0 , VLOOKUP("Backswing", vote4TRAITS!A:C , 3, FALSE), ),
IF(IFERROR(SEARCH("Blast",L131),0) &gt; 0 , VLOOKUP("Blast", vote4TRAITS!A:C , 3, FALSE), ),
IF(IFERROR(SEARCH("Combustible",L131),0) &gt; 0 , VLOOKUP("Combustible", vote4TRAITS!A:C , 3, FALSE), ),
IF(IFERROR(SEARCH("Command",L131),0) &gt; 0 , VLOOKUP("Command", vote4TRAITS!A:C , 3, FALSE), ),
IF(IFERROR(SEARCH("Cowardly",L131),0) &gt; 0 , VLOOKUP("Cowardly", vote4TRAITS!A:C , 3, FALSE), ),
IF(IFERROR(SEARCH("Death Wish",L131),0) &gt; 0 , VLOOKUP("Death Wish", vote4TRAITS!A:C , 3, FALSE), ),
IF(IFERROR(SEARCH("Entomb",L131),0) &gt; 0 , VLOOKUP("Entomb", vote4TRAITS!A:C , 3, FALSE), ),
IF(IFERROR(SEARCH("Ethereal Hold",L131),0) &gt; 0 , VLOOKUP("Ethereal Hold", vote4TRAITS!A:C , 3, FALSE), ),
IF(IFERROR(SEARCH("Extend",L131),0) &gt; 0 , VLOOKUP("Extend", vote4TRAITS!A:C , 3, FALSE), ),
IF(IFERROR(SEARCH("Filthy Murk",L131),0) &gt; 0 , VLOOKUP("Filthy Murk", vote4TRAITS!A:C , 3, FALSE), ),
IF(IFERROR(SEARCH("Flame Fiend",L131),0) &gt; 0 , VLOOKUP("Flame Fiend", vote4TRAITS!A:C , 3, FALSE), ),
IF(IFERROR(SEARCH("Fleshmonger",L131),0) &gt; 0 , VLOOKUP("Fleshmonger", vote4TRAITS!A:C , 3, FALSE), ),
IF(IFERROR(SEARCH("Fly",L131),0) &gt; 0 , VLOOKUP("Fly", vote4TRAITS!A:C , 3, FALSE), ),
IF(IFERROR(SEARCH("Freezing",L131),0) &gt; 0 , VLOOKUP("Freezing", vote4TRAITS!A:C , 3, FALSE), ),
IF(IFERROR(SEARCH("Lithesome",L131),0) &gt; 0 , VLOOKUP("Lithesome", vote4TRAITS!A:C , 3, FALSE), ),
IF(IFERROR(SEARCH("Harrowing",L131),0) &gt; 0 , VLOOKUP("Harrowing", vote4TRAITS!A:C , 3, FALSE), ),
IF(IFERROR(SEARCH("Hideous Laughter",L131),0) &gt; 0 , VLOOKUP("Hideous Laughter", vote4TRAITS!A:C , 3, FALSE), ),
IF(IFERROR(SEARCH("Hive Defense",L131),0) &gt; 0 , VLOOKUP("Hive Defense", vote4TRAITS!A:C , 3, FALSE), ),
IF(IFERROR(SEARCH("Horrifying",L131),0) &gt; 0 , VLOOKUP("Horrifying", vote4TRAITS!A:C , 3, FALSE), ),
IF(IFERROR(SEARCH("Ironskin",L131),0) &gt; 0 , VLOOKUP("Ironskin", vote4TRAITS!A:C , 3, FALSE), ),
IF(IFERROR(SEARCH("Unmovable",L131),0) &gt; 0 , VLOOKUP("Unmovable", vote4TRAITS!A:C , 3, FALSE), ),
IF(IFERROR(SEARCH("Lifethirst 1",L131),0) &gt; 0 , VLOOKUP("Lifethirst 1", vote4TRAITS!A:C , 3, FALSE), ),
IF(IFERROR(SEARCH("Lifethirst 2",L131),0) &gt; 0 , VLOOKUP("Lifethirst 2", vote4TRAITS!A:C , 3, FALSE), ),
IF(IFERROR(SEARCH("Morph",L131),0) &gt; 0 , VLOOKUP("Morph", vote4TRAITS!A:C , 3, FALSE), ),
IF(IFERROR(SEARCH("Night Stalker",L131),0) &gt; 0 , VLOOKUP("Night Stalker", vote4TRAITS!A:C , 3, FALSE), ),
IF(IFERROR(SEARCH("Overflowing",L131),0) &gt; 0 , VLOOKUP("Overflowing", vote4TRAITS!A:C , 3, FALSE), ),
IF(IFERROR(SEARCH("Pestilence",L131),0) &gt; 0 , VLOOKUP("Pestilence", vote4TRAITS!A:C , 3, FALSE), ),
IF(IFERROR(SEARCH("Phalanx",L131),0) &gt; 0 , VLOOKUP("Phalanx", vote4TRAITS!A:C , 3, FALSE), ),
IF(IFERROR(SEARCH("Plagued",L131),0) &gt; 0 , VLOOKUP("Plagued", vote4TRAITS!A:C , 3, FALSE), ),
IF(IFERROR(SEARCH("Prey on the Weak",L131),0) &gt; 0 , VLOOKUP("Prey on the Weak", vote4TRAITS!A:C , 3, FALSE), ),
IF(IFERROR(SEARCH("Protect",L131),0) &gt; 0 , VLOOKUP("Protect", vote4TRAITS!A:C , 3, FALSE), ),
IF(IFERROR(SEARCH("Puncture",L131),0) &gt; 0 , VLOOKUP("Puncture", vote4TRAITS!A:C , 3, FALSE), ),
IF(IFERROR(SEARCH("Putrid Boils",L131),0) &gt; 0 , VLOOKUP("Putrid Boils", vote4TRAITS!A:C , 3, FALSE), ),
IF(IFERROR(SEARCH("Ravage",L131),0) &gt; 0 , VLOOKUP("Ravage", vote4TRAITS!A:C , 3, FALSE), ),
IF(IFERROR(SEARCH("Ravenous",L131),0) &gt; 0 , VLOOKUP("Ravenous", vote4TRAITS!A:C , 3, FALSE), ),
IF(IFERROR(SEARCH("Reach",L131),0) &gt; 0 , VLOOKUP("Reach", vote4TRAITS!A:C , 3, FALSE), ),
IF(IFERROR(SEARCH("Reanimation",L131),0) &gt; 0 , VLOOKUP("Reanimation", vote4TRAITS!A:C , 3, FALSE), ),
IF(IFERROR(SEARCH("Reaper",L131),0) &gt; 0 , VLOOKUP("Reaper", vote4TRAITS!A:C , 3, FALSE), ),
IF(IFERROR(SEARCH("Riposte",L131),0) &gt; 0 , VLOOKUP("Riposte", vote4TRAITS!A:C , 3, FALSE)),
IF(IFERROR(SEARCH("Scamper",L131),0) &gt; 0 , VLOOKUP("Scamper", vote4TRAITS!A:C , 3, FALSE), ),
IF(IFERROR(SEARCH("Small Beginnings",L131),0) &gt; 0 , VLOOKUP("Small Beginnings", vote4TRAITS!A:C , 3, FALSE), ),
IF(IFERROR(SEARCH("Spawner",L131),0) &gt; 0 , VLOOKUP("Spawner", vote4TRAITS!A:C , 3,FALSE), ),
IF(IFERROR(SEARCH("Shadowr",L131),0) &gt; 0 , VLOOKUP("Shadow", vote4TRAITS!A:C , 3,FALSE), ),
IF(IFERROR(SEARCH("Shadow Step",L131),0) &gt; 0 , VLOOKUP("Shadow Step", vote4TRAITS!A:C , 3,FALSE), ),
IF(IFERROR(SEARCH("Shambling",L131),0) &gt; 0 , VLOOKUP("Shambling", vote4TRAITS!A:C , 3,FALSE), ),
IF(IFERROR(SEARCH("Stealthy",L131),0) &gt; 0 , VLOOKUP("Stealthy", vote4TRAITS!A:C , 3, FALSE), ),
IF(IFERROR(SEARCH("Web",L131),0) &gt; 0 , VLOOKUP("Web", vote4TRAITS!A:C , 3, FALSE), ),
IF(IFERROR(SEARCH("+1 Willpower",L131),0) &gt; 0 , VLOOKUP("+1 Willpower", vote4TRAITS!A:C , 3, FALSE), ),
IF(IFERROR(SEARCH("+1 Might",L131),0) &gt; 0 , VLOOKUP("+1 Might", vote4TRAITS!A:C , 3, FALSE), ),
IF(IFERROR(SEARCH("+1 Knowledge",L131),0) &gt; 0 , VLOOKUP("+1 Knowledge", vote4TRAITS!A:C , 3, FALSE), ),
IF(IFERROR(SEARCH("+1 Awareness",L131),0) &gt; 0 , VLOOKUP("+1 Awareness", vote4TRAITS!A:C , 3, FALSE), ),
IF(IFERROR(SEARCH("-1 Willpower",L131),0) &gt; 0 , VLOOKUP("-1 Willpower", vote4TRAITS!A:C , 3, FALSE), ),
IF(IFERROR(SEARCH("+1 Health",L131),0) &gt; 0 , VLOOKUP("+1 Health", vote4TRAITS!A:C , 3, FALSE), ),
IF(IFERROR(SEARCH("+2 Health",L131),0) &gt; 0 , VLOOKUP("+2 Health", vote4TRAITS!A:C , 3, FALSE), ),
IF(IFERROR(SEARCH("+1 Stamina",L131),0) &gt; 0 , VLOOKUP("+1 Stamina", vote4TRAITS!A:C , 3, FALSE), ),
IF(IFERROR(SEARCH("+2 Stamina",L131),0) &gt; 0 , VLOOKUP("+2 Stamina", vote4TRAITS!A:C , 3, FALSE), ),
IFS(
IFERROR(SEARCH("+1 Range", L131),) &gt; 0 ,VLOOKUP("+1 Range", vote4TRAITS!A:C , 3, FALSE),
IFERROR(SEARCH("+2 Range", L131),) &gt; 0 ,VLOOKUP("+2 Range", vote4TRAITS!A:C , 3, FALSE),
IFERROR(SEARCH("+3 Range", L131),) &gt; 0,VLOOKUP("+3 Range", vote4TRAITS!A:C , 3, FALSE),
0=0,0)
,
IFS(
IFERROR(SEARCH("Sorcery 1", L131),) &gt; 0 ,VLOOKUP("Sorcery 1", vote4TRAITS!A:C , 3, FALSE),
IFERROR(SEARCH("Sorcery 2", L131),) &gt; 0 ,VLOOKUP("Sorcery 2", vote4TRAITS!A:C , 3, FALSE),
IFERROR(SEARCH("Sorcery 3", L131),) &gt; 0,VLOOKUP("Sorcery 3", vote4TRAITS!A:C , 3, FALSE),
0=0,0)
,
IFS(
IFERROR(SEARCH("Pierce 1", L131),) &gt; 0 ,VLOOKUP("Pierce 1", vote4TRAITS!A:C , 3, FALSE),
IFERROR(SEARCH("Pierce 2", L131),) &gt; 0 ,VLOOKUP("Pierce 2", vote4TRAITS!A:C , 3, FALSE),
IFERROR(SEARCH("Pierce 3", L131),) &gt; 0,VLOOKUP("Pierce 3", vote4TRAITS!A:C , 3, FALSE),
IFERROR(SEARCH("Pierce 4", L131),) &gt; 0 ,VLOOKUP("Pierce 4", vote4TRAITS!A:C , 3, FALSE),
0=0,0)
,
IFS(
IFERROR(SEARCH("+1 Health", L131),) &gt; 0 ,VLOOKUP("+1 Health", vote4TRAITS!A:C , 3, FALSE),
IFERROR(SEARCH("+2 Health", L131),) &gt; 0 ,VLOOKUP("+2 Health", vote4TRAITS!A:C , 3, FALSE),
IFERROR(SEARCH("+3 Health", L131),) &gt; 0 ,VLOOKUP("+3 Health", vote4TRAITS!A:C , 3, FALSE),
IFERROR(SEARCH("+4 Health", L131),) &gt; 0 ,VLOOKUP("+4 Health", vote4TRAITS!A:C , 3, FALSE),
0=0,0)
,
IFS(
IFERROR(SEARCH("Soul Shackle 1", L131),) &gt; 0 ,VLOOKUP("Soul Shackle 1", vote4TRAITS!A:C , 3, FALSE),
IFERROR(SEARCH("Soul Shackle 2", L131),) &gt; 0 ,VLOOKUP("Soul Shackle 2", vote4TRAITS!A:C , 3, FALSE),
IFERROR(SEARCH("Soul Shackle 3", L131),) &gt; 0,VLOOKUP("Soul Shackle 3", vote4TRAITS!A:C , 3, FALSE),
0=0,0)
)</f>
        <v>0</v>
      </c>
      <c r="N131" s="330"/>
      <c r="O131" s="317" t="str">
        <f>IF(ISBLANK(N131),,IFERROR(
IF(IFERROR(SEARCH("SS:",N131),0) &gt; 0, 
VLOOKUP(SUBSTITUTE(N131,"SS: ",""),vote4SURGE!$A:$C , 3, FALSE) - 2,
VLOOKUP(SUBSTITUTE(N131,"S: ",""),vote4SURGE!$A:$C , 3, FALSE)
)
,
IF(IFERROR(SEARCH("SS:",N131),0) &gt; 0, 
VLOOKUP(C131,vote4SURGE!$A:$C , 3, FALSE) - 2,
VLOOKUP(C131,vote4SURGE!$A:$C , 3, FALSE)
)
))</f>
        <v/>
      </c>
      <c r="P131" s="318"/>
      <c r="Q131" s="317" t="str">
        <f>IF(ISBLANK(P131),,IFERROR(
IF(IFERROR(SEARCH("SS:",P131),0) &gt; 0, 
VLOOKUP(SUBSTITUTE(P131,"SS: ",""),vote4SURGE!$A:$C , 3, FALSE) - 2,
VLOOKUP(SUBSTITUTE(P131,"S: ",""),vote4SURGE!$A:$C , 3, FALSE)
)
,
IF(IFERROR(SEARCH("SS:",P131),0) &gt; 0, 
VLOOKUP(C131,vote4SURGE!$A:$C , 3, FALSE) - 2,
VLOOKUP(C131,vote4SURGE!$A:$C , 3, FALSE)
)
))</f>
        <v/>
      </c>
      <c r="R131" s="318"/>
      <c r="S131" s="319" t="str">
        <f>IF(ISBLANK(R131),,IFERROR(
IF(IFERROR(SEARCH("SS:",R131),0) &gt; 0, 
VLOOKUP(SUBSTITUTE(R131,"SS: ",""),vote4SURGE!$A:$C , 3, FALSE) - 2,
VLOOKUP(SUBSTITUTE(R131,"S: ",""),vote4SURGE!$A:$C , 3, FALSE)
)
,
IF(IFERROR(SEARCH("SS:",R131),0) &gt; 0, 
VLOOKUP(C131,vote4SURGE!$A:$C , 3, FALSE) - 2,
VLOOKUP(C131,vote4SURGE!$A:$C , 3, FALSE)
)
))</f>
        <v/>
      </c>
      <c r="T131" s="320">
        <f t="shared" si="2"/>
        <v>0</v>
      </c>
      <c r="U131" s="320">
        <f>IFERROR(__xludf.DUMMYFUNCTION("ROUND(
IF(ISBLANK(G131),,
SWITCH(
LEN(G131) - LEN(SUBSTITUTE(G131,"","","""")),
0 , VLOOKUP(G131, Variables!$A:$C, 3, FALSE),
1 , VLOOKUP(index(split(G131 ,"", "", FALSE),1,1), Variables!$A:$C , 3, FALSE) + VLOOKUP(index(split(G131 ,"", "", FALSE),1,2), V"&amp;"ariables!$A:$C , 3, FALSE),
2 , VLOOKUP(index(split(G131 ,"", "", FALSE),1,1), Variables!$A:$C , 3, FALSE) + VLOOKUP(index(split(G131 ,"", "", FALSE),1,2), Variables!$A:$C , 3, FALSE) + VLOOKUP(index(split(G131 ,"", "", FALSE),1,3), Variables!$A:$C , 3, F"&amp;"ALSE),
3 , VLOOKUP(index(split(G131 ,"", "", FALSE),1,1), Variables!$A:$C , 3, FALSE) + VLOOKUP(index(split(G131 ,"", "", FALSE),1,2), Variables!$A:$C , 3, FALSE) + VLOOKUP(index(split(G131 ,"", "", FALSE),1,3), Variables!$A:$C , 3, FALSE) + VLOOKUP(index"&amp;"(split(G131 ,"", "", FALSE),1,4), Variables!$A:$C , 3, FALSE),
)
)
)"),0.0)</f>
        <v>0</v>
      </c>
      <c r="V131" s="317">
        <f t="shared" si="3"/>
        <v>0</v>
      </c>
      <c r="W131" s="321">
        <f t="shared" si="4"/>
        <v>4.5</v>
      </c>
      <c r="X131" s="118"/>
      <c r="Y131" s="118"/>
      <c r="Z131" s="118"/>
      <c r="AA131" s="118"/>
      <c r="AB131" s="118"/>
      <c r="AC131" s="118"/>
      <c r="AD131" s="118"/>
      <c r="AE131" s="118"/>
    </row>
    <row r="132" hidden="1">
      <c r="A132" s="310">
        <v>2.0</v>
      </c>
      <c r="B132" s="93">
        <f t="shared" si="1"/>
        <v>6</v>
      </c>
      <c r="C132" s="310" t="s">
        <v>773</v>
      </c>
      <c r="D132" s="310">
        <v>100.0</v>
      </c>
      <c r="E132" s="310" t="s">
        <v>1527</v>
      </c>
      <c r="F132" s="310"/>
      <c r="G132" s="313"/>
      <c r="H132" s="312" t="str">
        <f>IFERROR(__xludf.DUMMYFUNCTION(" IF(ISBLANK(G132),,
SWITCH(
LEN(G132) - LEN(SUBSTITUTE(G132,"","","""")),
0 , VLOOKUP(G132, Variables!$A:$B, 2, FALSE),
1 , VLOOKUP(index(split(G132 ,"", "", FALSE),1,1), Variables!$A:$B , 2, FALSE) + VLOOKUP(index(split(G132 ,"", "", FALSE),1,2), Variabl"&amp;"es!$A:$B , 2, FALSE),
2 , VLOOKUP(index(split(G132 ,"", "", FALSE),1,1), Variables!$A:$B , 2, FALSE) + VLOOKUP(index(split(G132 ,"", "", FALSE),1,2), Variables!$A:$B , 2, FALSE) + VLOOKUP(index(split(G132 ,"", "", FALSE),1,3), Variables!$A:$B , 2, FALSE),"&amp;"
3 , VLOOKUP(index(split(G132 ,"", "", FALSE),1,1), Variables!$A:$B , 2, FALSE) + VLOOKUP(index(split(G132 ,"", "", FALSE),1,2), Variables!$A:$B , 2, FALSE) + VLOOKUP(index(split(G132 ,"", "", FALSE),1,3), Variables!$A:$B , 2, FALSE) + VLOOKUP(index(split"&amp;"(G132 ,"", "", FALSE),1,4), Variables!$A:$B , 2, FALSE),
)
)"),"")</f>
        <v/>
      </c>
      <c r="I132" s="310" t="s">
        <v>1672</v>
      </c>
      <c r="J132" s="313" t="s">
        <v>774</v>
      </c>
      <c r="K132" s="314">
        <f>IFERROR(VLOOKUP(C132,vote4ITEMS!$A:$C, 3, FALSE),)</f>
        <v>4.5</v>
      </c>
      <c r="L132" s="313"/>
      <c r="M132" s="314">
        <f>SUM(
IF(IFERROR(SEARCH("Aura 1",L132),0) &gt; 0 , VLOOKUP("Aura 1", vote4TRAITS!A:C , 3, FALSE), ),
IF(IFERROR(SEARCH("Backswing",L132),0) &gt; 0 , VLOOKUP("Backswing", vote4TRAITS!A:C , 3, FALSE), ),
IF(IFERROR(SEARCH("Blast",L132),0) &gt; 0 , VLOOKUP("Blast", vote4TRAITS!A:C , 3, FALSE), ),
IF(IFERROR(SEARCH("Combustible",L132),0) &gt; 0 , VLOOKUP("Combustible", vote4TRAITS!A:C , 3, FALSE), ),
IF(IFERROR(SEARCH("Command",L132),0) &gt; 0 , VLOOKUP("Command", vote4TRAITS!A:C , 3, FALSE), ),
IF(IFERROR(SEARCH("Cowardly",L132),0) &gt; 0 , VLOOKUP("Cowardly", vote4TRAITS!A:C , 3, FALSE), ),
IF(IFERROR(SEARCH("Death Wish",L132),0) &gt; 0 , VLOOKUP("Death Wish", vote4TRAITS!A:C , 3, FALSE), ),
IF(IFERROR(SEARCH("Entomb",L132),0) &gt; 0 , VLOOKUP("Entomb", vote4TRAITS!A:C , 3, FALSE), ),
IF(IFERROR(SEARCH("Ethereal Hold",L132),0) &gt; 0 , VLOOKUP("Ethereal Hold", vote4TRAITS!A:C , 3, FALSE), ),
IF(IFERROR(SEARCH("Extend",L132),0) &gt; 0 , VLOOKUP("Extend", vote4TRAITS!A:C , 3, FALSE), ),
IF(IFERROR(SEARCH("Filthy Murk",L132),0) &gt; 0 , VLOOKUP("Filthy Murk", vote4TRAITS!A:C , 3, FALSE), ),
IF(IFERROR(SEARCH("Flame Fiend",L132),0) &gt; 0 , VLOOKUP("Flame Fiend", vote4TRAITS!A:C , 3, FALSE), ),
IF(IFERROR(SEARCH("Fleshmonger",L132),0) &gt; 0 , VLOOKUP("Fleshmonger", vote4TRAITS!A:C , 3, FALSE), ),
IF(IFERROR(SEARCH("Fly",L132),0) &gt; 0 , VLOOKUP("Fly", vote4TRAITS!A:C , 3, FALSE), ),
IF(IFERROR(SEARCH("Freezing",L132),0) &gt; 0 , VLOOKUP("Freezing", vote4TRAITS!A:C , 3, FALSE), ),
IF(IFERROR(SEARCH("Lithesome",L132),0) &gt; 0 , VLOOKUP("Lithesome", vote4TRAITS!A:C , 3, FALSE), ),
IF(IFERROR(SEARCH("Harrowing",L132),0) &gt; 0 , VLOOKUP("Harrowing", vote4TRAITS!A:C , 3, FALSE), ),
IF(IFERROR(SEARCH("Hideous Laughter",L132),0) &gt; 0 , VLOOKUP("Hideous Laughter", vote4TRAITS!A:C , 3, FALSE), ),
IF(IFERROR(SEARCH("Hive Defense",L132),0) &gt; 0 , VLOOKUP("Hive Defense", vote4TRAITS!A:C , 3, FALSE), ),
IF(IFERROR(SEARCH("Horrifying",L132),0) &gt; 0 , VLOOKUP("Horrifying", vote4TRAITS!A:C , 3, FALSE), ),
IF(IFERROR(SEARCH("Ironskin",L132),0) &gt; 0 , VLOOKUP("Ironskin", vote4TRAITS!A:C , 3, FALSE), ),
IF(IFERROR(SEARCH("Unmovable",L132),0) &gt; 0 , VLOOKUP("Unmovable", vote4TRAITS!A:C , 3, FALSE), ),
IF(IFERROR(SEARCH("Lifethirst 1",L132),0) &gt; 0 , VLOOKUP("Lifethirst 1", vote4TRAITS!A:C , 3, FALSE), ),
IF(IFERROR(SEARCH("Lifethirst 2",L132),0) &gt; 0 , VLOOKUP("Lifethirst 2", vote4TRAITS!A:C , 3, FALSE), ),
IF(IFERROR(SEARCH("Morph",L132),0) &gt; 0 , VLOOKUP("Morph", vote4TRAITS!A:C , 3, FALSE), ),
IF(IFERROR(SEARCH("Night Stalker",L132),0) &gt; 0 , VLOOKUP("Night Stalker", vote4TRAITS!A:C , 3, FALSE), ),
IF(IFERROR(SEARCH("Overflowing",L132),0) &gt; 0 , VLOOKUP("Overflowing", vote4TRAITS!A:C , 3, FALSE), ),
IF(IFERROR(SEARCH("Pestilence",L132),0) &gt; 0 , VLOOKUP("Pestilence", vote4TRAITS!A:C , 3, FALSE), ),
IF(IFERROR(SEARCH("Phalanx",L132),0) &gt; 0 , VLOOKUP("Phalanx", vote4TRAITS!A:C , 3, FALSE), ),
IF(IFERROR(SEARCH("Plagued",L132),0) &gt; 0 , VLOOKUP("Plagued", vote4TRAITS!A:C , 3, FALSE), ),
IF(IFERROR(SEARCH("Prey on the Weak",L132),0) &gt; 0 , VLOOKUP("Prey on the Weak", vote4TRAITS!A:C , 3, FALSE), ),
IF(IFERROR(SEARCH("Protect",L132),0) &gt; 0 , VLOOKUP("Protect", vote4TRAITS!A:C , 3, FALSE), ),
IF(IFERROR(SEARCH("Puncture",L132),0) &gt; 0 , VLOOKUP("Puncture", vote4TRAITS!A:C , 3, FALSE), ),
IF(IFERROR(SEARCH("Putrid Boils",L132),0) &gt; 0 , VLOOKUP("Putrid Boils", vote4TRAITS!A:C , 3, FALSE), ),
IF(IFERROR(SEARCH("Ravage",L132),0) &gt; 0 , VLOOKUP("Ravage", vote4TRAITS!A:C , 3, FALSE), ),
IF(IFERROR(SEARCH("Ravenous",L132),0) &gt; 0 , VLOOKUP("Ravenous", vote4TRAITS!A:C , 3, FALSE), ),
IF(IFERROR(SEARCH("Reach",L132),0) &gt; 0 , VLOOKUP("Reach", vote4TRAITS!A:C , 3, FALSE), ),
IF(IFERROR(SEARCH("Reanimation",L132),0) &gt; 0 , VLOOKUP("Reanimation", vote4TRAITS!A:C , 3, FALSE), ),
IF(IFERROR(SEARCH("Reaper",L132),0) &gt; 0 , VLOOKUP("Reaper", vote4TRAITS!A:C , 3, FALSE), ),
IF(IFERROR(SEARCH("Riposte",L132),0) &gt; 0 , VLOOKUP("Riposte", vote4TRAITS!A:C , 3, FALSE)),
IF(IFERROR(SEARCH("Scamper",L132),0) &gt; 0 , VLOOKUP("Scamper", vote4TRAITS!A:C , 3, FALSE), ),
IF(IFERROR(SEARCH("Small Beginnings",L132),0) &gt; 0 , VLOOKUP("Small Beginnings", vote4TRAITS!A:C , 3, FALSE), ),
IF(IFERROR(SEARCH("Spawner",L132),0) &gt; 0 , VLOOKUP("Spawner", vote4TRAITS!A:C , 3,FALSE), ),
IF(IFERROR(SEARCH("Shadowr",L132),0) &gt; 0 , VLOOKUP("Shadow", vote4TRAITS!A:C , 3,FALSE), ),
IF(IFERROR(SEARCH("Shadow Step",L132),0) &gt; 0 , VLOOKUP("Shadow Step", vote4TRAITS!A:C , 3,FALSE), ),
IF(IFERROR(SEARCH("Shambling",L132),0) &gt; 0 , VLOOKUP("Shambling", vote4TRAITS!A:C , 3,FALSE), ),
IF(IFERROR(SEARCH("Stealthy",L132),0) &gt; 0 , VLOOKUP("Stealthy", vote4TRAITS!A:C , 3, FALSE), ),
IF(IFERROR(SEARCH("Web",L132),0) &gt; 0 , VLOOKUP("Web", vote4TRAITS!A:C , 3, FALSE), ),
IF(IFERROR(SEARCH("+1 Willpower",L132),0) &gt; 0 , VLOOKUP("+1 Willpower", vote4TRAITS!A:C , 3, FALSE), ),
IF(IFERROR(SEARCH("+1 Might",L132),0) &gt; 0 , VLOOKUP("+1 Might", vote4TRAITS!A:C , 3, FALSE), ),
IF(IFERROR(SEARCH("+1 Knowledge",L132),0) &gt; 0 , VLOOKUP("+1 Knowledge", vote4TRAITS!A:C , 3, FALSE), ),
IF(IFERROR(SEARCH("+1 Awareness",L132),0) &gt; 0 , VLOOKUP("+1 Awareness", vote4TRAITS!A:C , 3, FALSE), ),
IF(IFERROR(SEARCH("-1 Willpower",L132),0) &gt; 0 , VLOOKUP("-1 Willpower", vote4TRAITS!A:C , 3, FALSE), ),
IF(IFERROR(SEARCH("+1 Health",L132),0) &gt; 0 , VLOOKUP("+1 Health", vote4TRAITS!A:C , 3, FALSE), ),
IF(IFERROR(SEARCH("+2 Health",L132),0) &gt; 0 , VLOOKUP("+2 Health", vote4TRAITS!A:C , 3, FALSE), ),
IF(IFERROR(SEARCH("+1 Stamina",L132),0) &gt; 0 , VLOOKUP("+1 Stamina", vote4TRAITS!A:C , 3, FALSE), ),
IF(IFERROR(SEARCH("+2 Stamina",L132),0) &gt; 0 , VLOOKUP("+2 Stamina", vote4TRAITS!A:C , 3, FALSE), ),
IFS(
IFERROR(SEARCH("+1 Range", L132),) &gt; 0 ,VLOOKUP("+1 Range", vote4TRAITS!A:C , 3, FALSE),
IFERROR(SEARCH("+2 Range", L132),) &gt; 0 ,VLOOKUP("+2 Range", vote4TRAITS!A:C , 3, FALSE),
IFERROR(SEARCH("+3 Range", L132),) &gt; 0,VLOOKUP("+3 Range", vote4TRAITS!A:C , 3, FALSE),
0=0,0)
,
IFS(
IFERROR(SEARCH("Sorcery 1", L132),) &gt; 0 ,VLOOKUP("Sorcery 1", vote4TRAITS!A:C , 3, FALSE),
IFERROR(SEARCH("Sorcery 2", L132),) &gt; 0 ,VLOOKUP("Sorcery 2", vote4TRAITS!A:C , 3, FALSE),
IFERROR(SEARCH("Sorcery 3", L132),) &gt; 0,VLOOKUP("Sorcery 3", vote4TRAITS!A:C , 3, FALSE),
0=0,0)
,
IFS(
IFERROR(SEARCH("Pierce 1", L132),) &gt; 0 ,VLOOKUP("Pierce 1", vote4TRAITS!A:C , 3, FALSE),
IFERROR(SEARCH("Pierce 2", L132),) &gt; 0 ,VLOOKUP("Pierce 2", vote4TRAITS!A:C , 3, FALSE),
IFERROR(SEARCH("Pierce 3", L132),) &gt; 0,VLOOKUP("Pierce 3", vote4TRAITS!A:C , 3, FALSE),
IFERROR(SEARCH("Pierce 4", L132),) &gt; 0 ,VLOOKUP("Pierce 4", vote4TRAITS!A:C , 3, FALSE),
0=0,0)
,
IFS(
IFERROR(SEARCH("+1 Health", L132),) &gt; 0 ,VLOOKUP("+1 Health", vote4TRAITS!A:C , 3, FALSE),
IFERROR(SEARCH("+2 Health", L132),) &gt; 0 ,VLOOKUP("+2 Health", vote4TRAITS!A:C , 3, FALSE),
IFERROR(SEARCH("+3 Health", L132),) &gt; 0 ,VLOOKUP("+3 Health", vote4TRAITS!A:C , 3, FALSE),
IFERROR(SEARCH("+4 Health", L132),) &gt; 0 ,VLOOKUP("+4 Health", vote4TRAITS!A:C , 3, FALSE),
0=0,0)
,
IFS(
IFERROR(SEARCH("Soul Shackle 1", L132),) &gt; 0 ,VLOOKUP("Soul Shackle 1", vote4TRAITS!A:C , 3, FALSE),
IFERROR(SEARCH("Soul Shackle 2", L132),) &gt; 0 ,VLOOKUP("Soul Shackle 2", vote4TRAITS!A:C , 3, FALSE),
IFERROR(SEARCH("Soul Shackle 3", L132),) &gt; 0,VLOOKUP("Soul Shackle 3", vote4TRAITS!A:C , 3, FALSE),
0=0,0)
)</f>
        <v>0</v>
      </c>
      <c r="N132" s="313"/>
      <c r="O132" s="317" t="str">
        <f>IF(ISBLANK(N132),,IFERROR(
IF(IFERROR(SEARCH("SS:",N132),0) &gt; 0, 
VLOOKUP(SUBSTITUTE(N132,"SS: ",""),vote4SURGE!$A:$C , 3, FALSE) - 2,
VLOOKUP(SUBSTITUTE(N132,"S: ",""),vote4SURGE!$A:$C , 3, FALSE)
)
,
IF(IFERROR(SEARCH("SS:",N132),0) &gt; 0, 
VLOOKUP(C132,vote4SURGE!$A:$C , 3, FALSE) - 2,
VLOOKUP(C132,vote4SURGE!$A:$C , 3, FALSE)
)
))</f>
        <v/>
      </c>
      <c r="P132" s="318"/>
      <c r="Q132" s="317" t="str">
        <f>IF(ISBLANK(P132),,IFERROR(
IF(IFERROR(SEARCH("SS:",P132),0) &gt; 0, 
VLOOKUP(SUBSTITUTE(P132,"SS: ",""),vote4SURGE!$A:$C , 3, FALSE) - 2,
VLOOKUP(SUBSTITUTE(P132,"S: ",""),vote4SURGE!$A:$C , 3, FALSE)
)
,
IF(IFERROR(SEARCH("SS:",P132),0) &gt; 0, 
VLOOKUP(C132,vote4SURGE!$A:$C , 3, FALSE) - 2,
VLOOKUP(C132,vote4SURGE!$A:$C , 3, FALSE)
)
))</f>
        <v/>
      </c>
      <c r="R132" s="318"/>
      <c r="S132" s="319" t="str">
        <f>IF(ISBLANK(R132),,IFERROR(
IF(IFERROR(SEARCH("SS:",R132),0) &gt; 0, 
VLOOKUP(SUBSTITUTE(R132,"SS: ",""),vote4SURGE!$A:$C , 3, FALSE) - 2,
VLOOKUP(SUBSTITUTE(R132,"S: ",""),vote4SURGE!$A:$C , 3, FALSE)
)
,
IF(IFERROR(SEARCH("SS:",R132),0) &gt; 0, 
VLOOKUP(C132,vote4SURGE!$A:$C , 3, FALSE) - 2,
VLOOKUP(C132,vote4SURGE!$A:$C , 3, FALSE)
)
))</f>
        <v/>
      </c>
      <c r="T132" s="320">
        <f t="shared" si="2"/>
        <v>0</v>
      </c>
      <c r="U132" s="320">
        <f>IFERROR(__xludf.DUMMYFUNCTION("ROUND(
IF(ISBLANK(G132),,
SWITCH(
LEN(G132) - LEN(SUBSTITUTE(G132,"","","""")),
0 , VLOOKUP(G132, Variables!$A:$C, 3, FALSE),
1 , VLOOKUP(index(split(G132 ,"", "", FALSE),1,1), Variables!$A:$C , 3, FALSE) + VLOOKUP(index(split(G132 ,"", "", FALSE),1,2), V"&amp;"ariables!$A:$C , 3, FALSE),
2 , VLOOKUP(index(split(G132 ,"", "", FALSE),1,1), Variables!$A:$C , 3, FALSE) + VLOOKUP(index(split(G132 ,"", "", FALSE),1,2), Variables!$A:$C , 3, FALSE) + VLOOKUP(index(split(G132 ,"", "", FALSE),1,3), Variables!$A:$C , 3, F"&amp;"ALSE),
3 , VLOOKUP(index(split(G132 ,"", "", FALSE),1,1), Variables!$A:$C , 3, FALSE) + VLOOKUP(index(split(G132 ,"", "", FALSE),1,2), Variables!$A:$C , 3, FALSE) + VLOOKUP(index(split(G132 ,"", "", FALSE),1,3), Variables!$A:$C , 3, FALSE) + VLOOKUP(index"&amp;"(split(G132 ,"", "", FALSE),1,4), Variables!$A:$C , 3, FALSE),
)
)
)"),0.0)</f>
        <v>0</v>
      </c>
      <c r="V132" s="317">
        <f t="shared" si="3"/>
        <v>0</v>
      </c>
      <c r="W132" s="321">
        <f t="shared" si="4"/>
        <v>4.5</v>
      </c>
      <c r="X132" s="118"/>
      <c r="Y132" s="118"/>
      <c r="Z132" s="118"/>
      <c r="AA132" s="118"/>
      <c r="AB132" s="118"/>
      <c r="AC132" s="118"/>
      <c r="AD132" s="118"/>
      <c r="AE132" s="118"/>
    </row>
    <row r="133" hidden="1">
      <c r="A133" s="310">
        <v>1.0</v>
      </c>
      <c r="B133" s="93">
        <f t="shared" si="1"/>
        <v>1</v>
      </c>
      <c r="C133" s="310" t="s">
        <v>810</v>
      </c>
      <c r="D133" s="310">
        <v>125.0</v>
      </c>
      <c r="E133" s="310" t="s">
        <v>1629</v>
      </c>
      <c r="F133" s="310"/>
      <c r="G133" s="313"/>
      <c r="H133" s="312" t="str">
        <f>IFERROR(__xludf.DUMMYFUNCTION(" IF(ISBLANK(G133),,
SWITCH(
LEN(G133) - LEN(SUBSTITUTE(G133,"","","""")),
0 , VLOOKUP(G133, Variables!$A:$B, 2, FALSE),
1 , VLOOKUP(index(split(G133 ,"", "", FALSE),1,1), Variables!$A:$B , 2, FALSE) + VLOOKUP(index(split(G133 ,"", "", FALSE),1,2), Variabl"&amp;"es!$A:$B , 2, FALSE),
2 , VLOOKUP(index(split(G133 ,"", "", FALSE),1,1), Variables!$A:$B , 2, FALSE) + VLOOKUP(index(split(G133 ,"", "", FALSE),1,2), Variables!$A:$B , 2, FALSE) + VLOOKUP(index(split(G133 ,"", "", FALSE),1,3), Variables!$A:$B , 2, FALSE),"&amp;"
3 , VLOOKUP(index(split(G133 ,"", "", FALSE),1,1), Variables!$A:$B , 2, FALSE) + VLOOKUP(index(split(G133 ,"", "", FALSE),1,2), Variables!$A:$B , 2, FALSE) + VLOOKUP(index(split(G133 ,"", "", FALSE),1,3), Variables!$A:$B , 2, FALSE) + VLOOKUP(index(split"&amp;"(G133 ,"", "", FALSE),1,4), Variables!$A:$B , 2, FALSE),
)
)"),"")</f>
        <v/>
      </c>
      <c r="I133" s="310" t="s">
        <v>1673</v>
      </c>
      <c r="J133" s="313" t="s">
        <v>811</v>
      </c>
      <c r="K133" s="314">
        <f>IFERROR(VLOOKUP(C133,vote4ITEMS!$A:$C, 3, FALSE),)</f>
        <v>4.5</v>
      </c>
      <c r="L133" s="313"/>
      <c r="M133" s="314">
        <f>SUM(
IF(IFERROR(SEARCH("Aura 1",L133),0) &gt; 0 , VLOOKUP("Aura 1", vote4TRAITS!A:C , 3, FALSE), ),
IF(IFERROR(SEARCH("Backswing",L133),0) &gt; 0 , VLOOKUP("Backswing", vote4TRAITS!A:C , 3, FALSE), ),
IF(IFERROR(SEARCH("Blast",L133),0) &gt; 0 , VLOOKUP("Blast", vote4TRAITS!A:C , 3, FALSE), ),
IF(IFERROR(SEARCH("Combustible",L133),0) &gt; 0 , VLOOKUP("Combustible", vote4TRAITS!A:C , 3, FALSE), ),
IF(IFERROR(SEARCH("Command",L133),0) &gt; 0 , VLOOKUP("Command", vote4TRAITS!A:C , 3, FALSE), ),
IF(IFERROR(SEARCH("Cowardly",L133),0) &gt; 0 , VLOOKUP("Cowardly", vote4TRAITS!A:C , 3, FALSE), ),
IF(IFERROR(SEARCH("Death Wish",L133),0) &gt; 0 , VLOOKUP("Death Wish", vote4TRAITS!A:C , 3, FALSE), ),
IF(IFERROR(SEARCH("Entomb",L133),0) &gt; 0 , VLOOKUP("Entomb", vote4TRAITS!A:C , 3, FALSE), ),
IF(IFERROR(SEARCH("Ethereal Hold",L133),0) &gt; 0 , VLOOKUP("Ethereal Hold", vote4TRAITS!A:C , 3, FALSE), ),
IF(IFERROR(SEARCH("Extend",L133),0) &gt; 0 , VLOOKUP("Extend", vote4TRAITS!A:C , 3, FALSE), ),
IF(IFERROR(SEARCH("Filthy Murk",L133),0) &gt; 0 , VLOOKUP("Filthy Murk", vote4TRAITS!A:C , 3, FALSE), ),
IF(IFERROR(SEARCH("Flame Fiend",L133),0) &gt; 0 , VLOOKUP("Flame Fiend", vote4TRAITS!A:C , 3, FALSE), ),
IF(IFERROR(SEARCH("Fleshmonger",L133),0) &gt; 0 , VLOOKUP("Fleshmonger", vote4TRAITS!A:C , 3, FALSE), ),
IF(IFERROR(SEARCH("Fly",L133),0) &gt; 0 , VLOOKUP("Fly", vote4TRAITS!A:C , 3, FALSE), ),
IF(IFERROR(SEARCH("Freezing",L133),0) &gt; 0 , VLOOKUP("Freezing", vote4TRAITS!A:C , 3, FALSE), ),
IF(IFERROR(SEARCH("Lithesome",L133),0) &gt; 0 , VLOOKUP("Lithesome", vote4TRAITS!A:C , 3, FALSE), ),
IF(IFERROR(SEARCH("Harrowing",L133),0) &gt; 0 , VLOOKUP("Harrowing", vote4TRAITS!A:C , 3, FALSE), ),
IF(IFERROR(SEARCH("Hideous Laughter",L133),0) &gt; 0 , VLOOKUP("Hideous Laughter", vote4TRAITS!A:C , 3, FALSE), ),
IF(IFERROR(SEARCH("Hive Defense",L133),0) &gt; 0 , VLOOKUP("Hive Defense", vote4TRAITS!A:C , 3, FALSE), ),
IF(IFERROR(SEARCH("Horrifying",L133),0) &gt; 0 , VLOOKUP("Horrifying", vote4TRAITS!A:C , 3, FALSE), ),
IF(IFERROR(SEARCH("Ironskin",L133),0) &gt; 0 , VLOOKUP("Ironskin", vote4TRAITS!A:C , 3, FALSE), ),
IF(IFERROR(SEARCH("Unmovable",L133),0) &gt; 0 , VLOOKUP("Unmovable", vote4TRAITS!A:C , 3, FALSE), ),
IF(IFERROR(SEARCH("Lifethirst 1",L133),0) &gt; 0 , VLOOKUP("Lifethirst 1", vote4TRAITS!A:C , 3, FALSE), ),
IF(IFERROR(SEARCH("Lifethirst 2",L133),0) &gt; 0 , VLOOKUP("Lifethirst 2", vote4TRAITS!A:C , 3, FALSE), ),
IF(IFERROR(SEARCH("Morph",L133),0) &gt; 0 , VLOOKUP("Morph", vote4TRAITS!A:C , 3, FALSE), ),
IF(IFERROR(SEARCH("Night Stalker",L133),0) &gt; 0 , VLOOKUP("Night Stalker", vote4TRAITS!A:C , 3, FALSE), ),
IF(IFERROR(SEARCH("Overflowing",L133),0) &gt; 0 , VLOOKUP("Overflowing", vote4TRAITS!A:C , 3, FALSE), ),
IF(IFERROR(SEARCH("Pestilence",L133),0) &gt; 0 , VLOOKUP("Pestilence", vote4TRAITS!A:C , 3, FALSE), ),
IF(IFERROR(SEARCH("Phalanx",L133),0) &gt; 0 , VLOOKUP("Phalanx", vote4TRAITS!A:C , 3, FALSE), ),
IF(IFERROR(SEARCH("Plagued",L133),0) &gt; 0 , VLOOKUP("Plagued", vote4TRAITS!A:C , 3, FALSE), ),
IF(IFERROR(SEARCH("Prey on the Weak",L133),0) &gt; 0 , VLOOKUP("Prey on the Weak", vote4TRAITS!A:C , 3, FALSE), ),
IF(IFERROR(SEARCH("Protect",L133),0) &gt; 0 , VLOOKUP("Protect", vote4TRAITS!A:C , 3, FALSE), ),
IF(IFERROR(SEARCH("Puncture",L133),0) &gt; 0 , VLOOKUP("Puncture", vote4TRAITS!A:C , 3, FALSE), ),
IF(IFERROR(SEARCH("Putrid Boils",L133),0) &gt; 0 , VLOOKUP("Putrid Boils", vote4TRAITS!A:C , 3, FALSE), ),
IF(IFERROR(SEARCH("Ravage",L133),0) &gt; 0 , VLOOKUP("Ravage", vote4TRAITS!A:C , 3, FALSE), ),
IF(IFERROR(SEARCH("Ravenous",L133),0) &gt; 0 , VLOOKUP("Ravenous", vote4TRAITS!A:C , 3, FALSE), ),
IF(IFERROR(SEARCH("Reach",L133),0) &gt; 0 , VLOOKUP("Reach", vote4TRAITS!A:C , 3, FALSE), ),
IF(IFERROR(SEARCH("Reanimation",L133),0) &gt; 0 , VLOOKUP("Reanimation", vote4TRAITS!A:C , 3, FALSE), ),
IF(IFERROR(SEARCH("Reaper",L133),0) &gt; 0 , VLOOKUP("Reaper", vote4TRAITS!A:C , 3, FALSE), ),
IF(IFERROR(SEARCH("Riposte",L133),0) &gt; 0 , VLOOKUP("Riposte", vote4TRAITS!A:C , 3, FALSE)),
IF(IFERROR(SEARCH("Scamper",L133),0) &gt; 0 , VLOOKUP("Scamper", vote4TRAITS!A:C , 3, FALSE), ),
IF(IFERROR(SEARCH("Small Beginnings",L133),0) &gt; 0 , VLOOKUP("Small Beginnings", vote4TRAITS!A:C , 3, FALSE), ),
IF(IFERROR(SEARCH("Spawner",L133),0) &gt; 0 , VLOOKUP("Spawner", vote4TRAITS!A:C , 3,FALSE), ),
IF(IFERROR(SEARCH("Shadowr",L133),0) &gt; 0 , VLOOKUP("Shadow", vote4TRAITS!A:C , 3,FALSE), ),
IF(IFERROR(SEARCH("Shadow Step",L133),0) &gt; 0 , VLOOKUP("Shadow Step", vote4TRAITS!A:C , 3,FALSE), ),
IF(IFERROR(SEARCH("Shambling",L133),0) &gt; 0 , VLOOKUP("Shambling", vote4TRAITS!A:C , 3,FALSE), ),
IF(IFERROR(SEARCH("Stealthy",L133),0) &gt; 0 , VLOOKUP("Stealthy", vote4TRAITS!A:C , 3, FALSE), ),
IF(IFERROR(SEARCH("Web",L133),0) &gt; 0 , VLOOKUP("Web", vote4TRAITS!A:C , 3, FALSE), ),
IF(IFERROR(SEARCH("+1 Willpower",L133),0) &gt; 0 , VLOOKUP("+1 Willpower", vote4TRAITS!A:C , 3, FALSE), ),
IF(IFERROR(SEARCH("+1 Might",L133),0) &gt; 0 , VLOOKUP("+1 Might", vote4TRAITS!A:C , 3, FALSE), ),
IF(IFERROR(SEARCH("+1 Knowledge",L133),0) &gt; 0 , VLOOKUP("+1 Knowledge", vote4TRAITS!A:C , 3, FALSE), ),
IF(IFERROR(SEARCH("+1 Awareness",L133),0) &gt; 0 , VLOOKUP("+1 Awareness", vote4TRAITS!A:C , 3, FALSE), ),
IF(IFERROR(SEARCH("-1 Willpower",L133),0) &gt; 0 , VLOOKUP("-1 Willpower", vote4TRAITS!A:C , 3, FALSE), ),
IF(IFERROR(SEARCH("+1 Health",L133),0) &gt; 0 , VLOOKUP("+1 Health", vote4TRAITS!A:C , 3, FALSE), ),
IF(IFERROR(SEARCH("+2 Health",L133),0) &gt; 0 , VLOOKUP("+2 Health", vote4TRAITS!A:C , 3, FALSE), ),
IF(IFERROR(SEARCH("+1 Stamina",L133),0) &gt; 0 , VLOOKUP("+1 Stamina", vote4TRAITS!A:C , 3, FALSE), ),
IF(IFERROR(SEARCH("+2 Stamina",L133),0) &gt; 0 , VLOOKUP("+2 Stamina", vote4TRAITS!A:C , 3, FALSE), ),
IFS(
IFERROR(SEARCH("+1 Range", L133),) &gt; 0 ,VLOOKUP("+1 Range", vote4TRAITS!A:C , 3, FALSE),
IFERROR(SEARCH("+2 Range", L133),) &gt; 0 ,VLOOKUP("+2 Range", vote4TRAITS!A:C , 3, FALSE),
IFERROR(SEARCH("+3 Range", L133),) &gt; 0,VLOOKUP("+3 Range", vote4TRAITS!A:C , 3, FALSE),
0=0,0)
,
IFS(
IFERROR(SEARCH("Sorcery 1", L133),) &gt; 0 ,VLOOKUP("Sorcery 1", vote4TRAITS!A:C , 3, FALSE),
IFERROR(SEARCH("Sorcery 2", L133),) &gt; 0 ,VLOOKUP("Sorcery 2", vote4TRAITS!A:C , 3, FALSE),
IFERROR(SEARCH("Sorcery 3", L133),) &gt; 0,VLOOKUP("Sorcery 3", vote4TRAITS!A:C , 3, FALSE),
0=0,0)
,
IFS(
IFERROR(SEARCH("Pierce 1", L133),) &gt; 0 ,VLOOKUP("Pierce 1", vote4TRAITS!A:C , 3, FALSE),
IFERROR(SEARCH("Pierce 2", L133),) &gt; 0 ,VLOOKUP("Pierce 2", vote4TRAITS!A:C , 3, FALSE),
IFERROR(SEARCH("Pierce 3", L133),) &gt; 0,VLOOKUP("Pierce 3", vote4TRAITS!A:C , 3, FALSE),
IFERROR(SEARCH("Pierce 4", L133),) &gt; 0 ,VLOOKUP("Pierce 4", vote4TRAITS!A:C , 3, FALSE),
0=0,0)
,
IFS(
IFERROR(SEARCH("+1 Health", L133),) &gt; 0 ,VLOOKUP("+1 Health", vote4TRAITS!A:C , 3, FALSE),
IFERROR(SEARCH("+2 Health", L133),) &gt; 0 ,VLOOKUP("+2 Health", vote4TRAITS!A:C , 3, FALSE),
IFERROR(SEARCH("+3 Health", L133),) &gt; 0 ,VLOOKUP("+3 Health", vote4TRAITS!A:C , 3, FALSE),
IFERROR(SEARCH("+4 Health", L133),) &gt; 0 ,VLOOKUP("+4 Health", vote4TRAITS!A:C , 3, FALSE),
0=0,0)
,
IFS(
IFERROR(SEARCH("Soul Shackle 1", L133),) &gt; 0 ,VLOOKUP("Soul Shackle 1", vote4TRAITS!A:C , 3, FALSE),
IFERROR(SEARCH("Soul Shackle 2", L133),) &gt; 0 ,VLOOKUP("Soul Shackle 2", vote4TRAITS!A:C , 3, FALSE),
IFERROR(SEARCH("Soul Shackle 3", L133),) &gt; 0,VLOOKUP("Soul Shackle 3", vote4TRAITS!A:C , 3, FALSE),
0=0,0)
)</f>
        <v>0</v>
      </c>
      <c r="N133" s="313"/>
      <c r="O133" s="317" t="str">
        <f>IF(ISBLANK(N133),,IFERROR(
IF(IFERROR(SEARCH("SS:",N133),0) &gt; 0, 
VLOOKUP(SUBSTITUTE(N133,"SS: ",""),vote4SURGE!$A:$C , 3, FALSE) - 2,
VLOOKUP(SUBSTITUTE(N133,"S: ",""),vote4SURGE!$A:$C , 3, FALSE)
)
,
IF(IFERROR(SEARCH("SS:",N133),0) &gt; 0, 
VLOOKUP(C133,vote4SURGE!$A:$C , 3, FALSE) - 2,
VLOOKUP(C133,vote4SURGE!$A:$C , 3, FALSE)
)
))</f>
        <v/>
      </c>
      <c r="P133" s="318"/>
      <c r="Q133" s="317" t="str">
        <f>IF(ISBLANK(P133),,IFERROR(
IF(IFERROR(SEARCH("SS:",P133),0) &gt; 0, 
VLOOKUP(SUBSTITUTE(P133,"SS: ",""),vote4SURGE!$A:$C , 3, FALSE) - 2,
VLOOKUP(SUBSTITUTE(P133,"S: ",""),vote4SURGE!$A:$C , 3, FALSE)
)
,
IF(IFERROR(SEARCH("SS:",P133),0) &gt; 0, 
VLOOKUP(C133,vote4SURGE!$A:$C , 3, FALSE) - 2,
VLOOKUP(C133,vote4SURGE!$A:$C , 3, FALSE)
)
))</f>
        <v/>
      </c>
      <c r="R133" s="318"/>
      <c r="S133" s="319" t="str">
        <f>IF(ISBLANK(R133),,IFERROR(
IF(IFERROR(SEARCH("SS:",R133),0) &gt; 0, 
VLOOKUP(SUBSTITUTE(R133,"SS: ",""),vote4SURGE!$A:$C , 3, FALSE) - 2,
VLOOKUP(SUBSTITUTE(R133,"S: ",""),vote4SURGE!$A:$C , 3, FALSE)
)
,
IF(IFERROR(SEARCH("SS:",R133),0) &gt; 0, 
VLOOKUP(C133,vote4SURGE!$A:$C , 3, FALSE) - 2,
VLOOKUP(C133,vote4SURGE!$A:$C , 3, FALSE)
)
))</f>
        <v/>
      </c>
      <c r="T133" s="320">
        <f t="shared" si="2"/>
        <v>0</v>
      </c>
      <c r="U133" s="320">
        <f>IFERROR(__xludf.DUMMYFUNCTION("ROUND(
IF(ISBLANK(G133),,
SWITCH(
LEN(G133) - LEN(SUBSTITUTE(G133,"","","""")),
0 , VLOOKUP(G133, Variables!$A:$C, 3, FALSE),
1 , VLOOKUP(index(split(G133 ,"", "", FALSE),1,1), Variables!$A:$C , 3, FALSE) + VLOOKUP(index(split(G133 ,"", "", FALSE),1,2), V"&amp;"ariables!$A:$C , 3, FALSE),
2 , VLOOKUP(index(split(G133 ,"", "", FALSE),1,1), Variables!$A:$C , 3, FALSE) + VLOOKUP(index(split(G133 ,"", "", FALSE),1,2), Variables!$A:$C , 3, FALSE) + VLOOKUP(index(split(G133 ,"", "", FALSE),1,3), Variables!$A:$C , 3, F"&amp;"ALSE),
3 , VLOOKUP(index(split(G133 ,"", "", FALSE),1,1), Variables!$A:$C , 3, FALSE) + VLOOKUP(index(split(G133 ,"", "", FALSE),1,2), Variables!$A:$C , 3, FALSE) + VLOOKUP(index(split(G133 ,"", "", FALSE),1,3), Variables!$A:$C , 3, FALSE) + VLOOKUP(index"&amp;"(split(G133 ,"", "", FALSE),1,4), Variables!$A:$C , 3, FALSE),
)
)
)"),0.0)</f>
        <v>0</v>
      </c>
      <c r="V133" s="317">
        <f t="shared" si="3"/>
        <v>0</v>
      </c>
      <c r="W133" s="321">
        <f t="shared" si="4"/>
        <v>4.5</v>
      </c>
      <c r="X133" s="118"/>
      <c r="Y133" s="118"/>
      <c r="Z133" s="118"/>
      <c r="AA133" s="118"/>
      <c r="AB133" s="118"/>
      <c r="AC133" s="118"/>
      <c r="AD133" s="118"/>
      <c r="AE133" s="118"/>
    </row>
    <row r="134" hidden="1">
      <c r="A134" s="310" t="s">
        <v>1556</v>
      </c>
      <c r="B134" s="93" t="str">
        <f t="shared" si="1"/>
        <v/>
      </c>
      <c r="C134" s="310" t="s">
        <v>872</v>
      </c>
      <c r="D134" s="323">
        <v>0.0</v>
      </c>
      <c r="E134" s="310" t="s">
        <v>1527</v>
      </c>
      <c r="F134" s="310"/>
      <c r="G134" s="313"/>
      <c r="H134" s="312" t="str">
        <f>IFERROR(__xludf.DUMMYFUNCTION(" IF(ISBLANK(G134),,
SWITCH(
LEN(G134) - LEN(SUBSTITUTE(G134,"","","""")),
0 , VLOOKUP(G134, Variables!$A:$B, 2, FALSE),
1 , VLOOKUP(index(split(G134 ,"", "", FALSE),1,1), Variables!$A:$B , 2, FALSE) + VLOOKUP(index(split(G134 ,"", "", FALSE),1,2), Variabl"&amp;"es!$A:$B , 2, FALSE),
2 , VLOOKUP(index(split(G134 ,"", "", FALSE),1,1), Variables!$A:$B , 2, FALSE) + VLOOKUP(index(split(G134 ,"", "", FALSE),1,2), Variables!$A:$B , 2, FALSE) + VLOOKUP(index(split(G134 ,"", "", FALSE),1,3), Variables!$A:$B , 2, FALSE),"&amp;"
3 , VLOOKUP(index(split(G134 ,"", "", FALSE),1,1), Variables!$A:$B , 2, FALSE) + VLOOKUP(index(split(G134 ,"", "", FALSE),1,2), Variables!$A:$B , 2, FALSE) + VLOOKUP(index(split(G134 ,"", "", FALSE),1,3), Variables!$A:$B , 2, FALSE) + VLOOKUP(index(split"&amp;"(G134 ,"", "", FALSE),1,4), Variables!$A:$B , 2, FALSE),
)
)"),"")</f>
        <v/>
      </c>
      <c r="I134" s="310" t="s">
        <v>1672</v>
      </c>
      <c r="J134" s="313" t="s">
        <v>873</v>
      </c>
      <c r="K134" s="314">
        <f>IFERROR(VLOOKUP(C134,vote4ITEMS!$A:$C, 3, FALSE),)</f>
        <v>4.333333333</v>
      </c>
      <c r="L134" s="324"/>
      <c r="M134" s="314">
        <f>SUM(
IF(IFERROR(SEARCH("Aura 1",L134),0) &gt; 0 , VLOOKUP("Aura 1", vote4TRAITS!A:C , 3, FALSE), ),
IF(IFERROR(SEARCH("Backswing",L134),0) &gt; 0 , VLOOKUP("Backswing", vote4TRAITS!A:C , 3, FALSE), ),
IF(IFERROR(SEARCH("Blast",L134),0) &gt; 0 , VLOOKUP("Blast", vote4TRAITS!A:C , 3, FALSE), ),
IF(IFERROR(SEARCH("Combustible",L134),0) &gt; 0 , VLOOKUP("Combustible", vote4TRAITS!A:C , 3, FALSE), ),
IF(IFERROR(SEARCH("Command",L134),0) &gt; 0 , VLOOKUP("Command", vote4TRAITS!A:C , 3, FALSE), ),
IF(IFERROR(SEARCH("Cowardly",L134),0) &gt; 0 , VLOOKUP("Cowardly", vote4TRAITS!A:C , 3, FALSE), ),
IF(IFERROR(SEARCH("Death Wish",L134),0) &gt; 0 , VLOOKUP("Death Wish", vote4TRAITS!A:C , 3, FALSE), ),
IF(IFERROR(SEARCH("Entomb",L134),0) &gt; 0 , VLOOKUP("Entomb", vote4TRAITS!A:C , 3, FALSE), ),
IF(IFERROR(SEARCH("Ethereal Hold",L134),0) &gt; 0 , VLOOKUP("Ethereal Hold", vote4TRAITS!A:C , 3, FALSE), ),
IF(IFERROR(SEARCH("Extend",L134),0) &gt; 0 , VLOOKUP("Extend", vote4TRAITS!A:C , 3, FALSE), ),
IF(IFERROR(SEARCH("Filthy Murk",L134),0) &gt; 0 , VLOOKUP("Filthy Murk", vote4TRAITS!A:C , 3, FALSE), ),
IF(IFERROR(SEARCH("Flame Fiend",L134),0) &gt; 0 , VLOOKUP("Flame Fiend", vote4TRAITS!A:C , 3, FALSE), ),
IF(IFERROR(SEARCH("Fleshmonger",L134),0) &gt; 0 , VLOOKUP("Fleshmonger", vote4TRAITS!A:C , 3, FALSE), ),
IF(IFERROR(SEARCH("Fly",L134),0) &gt; 0 , VLOOKUP("Fly", vote4TRAITS!A:C , 3, FALSE), ),
IF(IFERROR(SEARCH("Freezing",L134),0) &gt; 0 , VLOOKUP("Freezing", vote4TRAITS!A:C , 3, FALSE), ),
IF(IFERROR(SEARCH("Lithesome",L134),0) &gt; 0 , VLOOKUP("Lithesome", vote4TRAITS!A:C , 3, FALSE), ),
IF(IFERROR(SEARCH("Harrowing",L134),0) &gt; 0 , VLOOKUP("Harrowing", vote4TRAITS!A:C , 3, FALSE), ),
IF(IFERROR(SEARCH("Hideous Laughter",L134),0) &gt; 0 , VLOOKUP("Hideous Laughter", vote4TRAITS!A:C , 3, FALSE), ),
IF(IFERROR(SEARCH("Hive Defense",L134),0) &gt; 0 , VLOOKUP("Hive Defense", vote4TRAITS!A:C , 3, FALSE), ),
IF(IFERROR(SEARCH("Horrifying",L134),0) &gt; 0 , VLOOKUP("Horrifying", vote4TRAITS!A:C , 3, FALSE), ),
IF(IFERROR(SEARCH("Ironskin",L134),0) &gt; 0 , VLOOKUP("Ironskin", vote4TRAITS!A:C , 3, FALSE), ),
IF(IFERROR(SEARCH("Unmovable",L134),0) &gt; 0 , VLOOKUP("Unmovable", vote4TRAITS!A:C , 3, FALSE), ),
IF(IFERROR(SEARCH("Lifethirst 1",L134),0) &gt; 0 , VLOOKUP("Lifethirst 1", vote4TRAITS!A:C , 3, FALSE), ),
IF(IFERROR(SEARCH("Lifethirst 2",L134),0) &gt; 0 , VLOOKUP("Lifethirst 2", vote4TRAITS!A:C , 3, FALSE), ),
IF(IFERROR(SEARCH("Morph",L134),0) &gt; 0 , VLOOKUP("Morph", vote4TRAITS!A:C , 3, FALSE), ),
IF(IFERROR(SEARCH("Night Stalker",L134),0) &gt; 0 , VLOOKUP("Night Stalker", vote4TRAITS!A:C , 3, FALSE), ),
IF(IFERROR(SEARCH("Overflowing",L134),0) &gt; 0 , VLOOKUP("Overflowing", vote4TRAITS!A:C , 3, FALSE), ),
IF(IFERROR(SEARCH("Pestilence",L134),0) &gt; 0 , VLOOKUP("Pestilence", vote4TRAITS!A:C , 3, FALSE), ),
IF(IFERROR(SEARCH("Phalanx",L134),0) &gt; 0 , VLOOKUP("Phalanx", vote4TRAITS!A:C , 3, FALSE), ),
IF(IFERROR(SEARCH("Plagued",L134),0) &gt; 0 , VLOOKUP("Plagued", vote4TRAITS!A:C , 3, FALSE), ),
IF(IFERROR(SEARCH("Prey on the Weak",L134),0) &gt; 0 , VLOOKUP("Prey on the Weak", vote4TRAITS!A:C , 3, FALSE), ),
IF(IFERROR(SEARCH("Protect",L134),0) &gt; 0 , VLOOKUP("Protect", vote4TRAITS!A:C , 3, FALSE), ),
IF(IFERROR(SEARCH("Puncture",L134),0) &gt; 0 , VLOOKUP("Puncture", vote4TRAITS!A:C , 3, FALSE), ),
IF(IFERROR(SEARCH("Putrid Boils",L134),0) &gt; 0 , VLOOKUP("Putrid Boils", vote4TRAITS!A:C , 3, FALSE), ),
IF(IFERROR(SEARCH("Ravage",L134),0) &gt; 0 , VLOOKUP("Ravage", vote4TRAITS!A:C , 3, FALSE), ),
IF(IFERROR(SEARCH("Ravenous",L134),0) &gt; 0 , VLOOKUP("Ravenous", vote4TRAITS!A:C , 3, FALSE), ),
IF(IFERROR(SEARCH("Reach",L134),0) &gt; 0 , VLOOKUP("Reach", vote4TRAITS!A:C , 3, FALSE), ),
IF(IFERROR(SEARCH("Reanimation",L134),0) &gt; 0 , VLOOKUP("Reanimation", vote4TRAITS!A:C , 3, FALSE), ),
IF(IFERROR(SEARCH("Reaper",L134),0) &gt; 0 , VLOOKUP("Reaper", vote4TRAITS!A:C , 3, FALSE), ),
IF(IFERROR(SEARCH("Riposte",L134),0) &gt; 0 , VLOOKUP("Riposte", vote4TRAITS!A:C , 3, FALSE)),
IF(IFERROR(SEARCH("Scamper",L134),0) &gt; 0 , VLOOKUP("Scamper", vote4TRAITS!A:C , 3, FALSE), ),
IF(IFERROR(SEARCH("Small Beginnings",L134),0) &gt; 0 , VLOOKUP("Small Beginnings", vote4TRAITS!A:C , 3, FALSE), ),
IF(IFERROR(SEARCH("Spawner",L134),0) &gt; 0 , VLOOKUP("Spawner", vote4TRAITS!A:C , 3,FALSE), ),
IF(IFERROR(SEARCH("Shadowr",L134),0) &gt; 0 , VLOOKUP("Shadow", vote4TRAITS!A:C , 3,FALSE), ),
IF(IFERROR(SEARCH("Shadow Step",L134),0) &gt; 0 , VLOOKUP("Shadow Step", vote4TRAITS!A:C , 3,FALSE), ),
IF(IFERROR(SEARCH("Shambling",L134),0) &gt; 0 , VLOOKUP("Shambling", vote4TRAITS!A:C , 3,FALSE), ),
IF(IFERROR(SEARCH("Stealthy",L134),0) &gt; 0 , VLOOKUP("Stealthy", vote4TRAITS!A:C , 3, FALSE), ),
IF(IFERROR(SEARCH("Web",L134),0) &gt; 0 , VLOOKUP("Web", vote4TRAITS!A:C , 3, FALSE), ),
IF(IFERROR(SEARCH("+1 Willpower",L134),0) &gt; 0 , VLOOKUP("+1 Willpower", vote4TRAITS!A:C , 3, FALSE), ),
IF(IFERROR(SEARCH("+1 Might",L134),0) &gt; 0 , VLOOKUP("+1 Might", vote4TRAITS!A:C , 3, FALSE), ),
IF(IFERROR(SEARCH("+1 Knowledge",L134),0) &gt; 0 , VLOOKUP("+1 Knowledge", vote4TRAITS!A:C , 3, FALSE), ),
IF(IFERROR(SEARCH("+1 Awareness",L134),0) &gt; 0 , VLOOKUP("+1 Awareness", vote4TRAITS!A:C , 3, FALSE), ),
IF(IFERROR(SEARCH("-1 Willpower",L134),0) &gt; 0 , VLOOKUP("-1 Willpower", vote4TRAITS!A:C , 3, FALSE), ),
IF(IFERROR(SEARCH("+1 Health",L134),0) &gt; 0 , VLOOKUP("+1 Health", vote4TRAITS!A:C , 3, FALSE), ),
IF(IFERROR(SEARCH("+2 Health",L134),0) &gt; 0 , VLOOKUP("+2 Health", vote4TRAITS!A:C , 3, FALSE), ),
IF(IFERROR(SEARCH("+1 Stamina",L134),0) &gt; 0 , VLOOKUP("+1 Stamina", vote4TRAITS!A:C , 3, FALSE), ),
IF(IFERROR(SEARCH("+2 Stamina",L134),0) &gt; 0 , VLOOKUP("+2 Stamina", vote4TRAITS!A:C , 3, FALSE), ),
IFS(
IFERROR(SEARCH("+1 Range", L134),) &gt; 0 ,VLOOKUP("+1 Range", vote4TRAITS!A:C , 3, FALSE),
IFERROR(SEARCH("+2 Range", L134),) &gt; 0 ,VLOOKUP("+2 Range", vote4TRAITS!A:C , 3, FALSE),
IFERROR(SEARCH("+3 Range", L134),) &gt; 0,VLOOKUP("+3 Range", vote4TRAITS!A:C , 3, FALSE),
0=0,0)
,
IFS(
IFERROR(SEARCH("Sorcery 1", L134),) &gt; 0 ,VLOOKUP("Sorcery 1", vote4TRAITS!A:C , 3, FALSE),
IFERROR(SEARCH("Sorcery 2", L134),) &gt; 0 ,VLOOKUP("Sorcery 2", vote4TRAITS!A:C , 3, FALSE),
IFERROR(SEARCH("Sorcery 3", L134),) &gt; 0,VLOOKUP("Sorcery 3", vote4TRAITS!A:C , 3, FALSE),
0=0,0)
,
IFS(
IFERROR(SEARCH("Pierce 1", L134),) &gt; 0 ,VLOOKUP("Pierce 1", vote4TRAITS!A:C , 3, FALSE),
IFERROR(SEARCH("Pierce 2", L134),) &gt; 0 ,VLOOKUP("Pierce 2", vote4TRAITS!A:C , 3, FALSE),
IFERROR(SEARCH("Pierce 3", L134),) &gt; 0,VLOOKUP("Pierce 3", vote4TRAITS!A:C , 3, FALSE),
IFERROR(SEARCH("Pierce 4", L134),) &gt; 0 ,VLOOKUP("Pierce 4", vote4TRAITS!A:C , 3, FALSE),
0=0,0)
,
IFS(
IFERROR(SEARCH("+1 Health", L134),) &gt; 0 ,VLOOKUP("+1 Health", vote4TRAITS!A:C , 3, FALSE),
IFERROR(SEARCH("+2 Health", L134),) &gt; 0 ,VLOOKUP("+2 Health", vote4TRAITS!A:C , 3, FALSE),
IFERROR(SEARCH("+3 Health", L134),) &gt; 0 ,VLOOKUP("+3 Health", vote4TRAITS!A:C , 3, FALSE),
IFERROR(SEARCH("+4 Health", L134),) &gt; 0 ,VLOOKUP("+4 Health", vote4TRAITS!A:C , 3, FALSE),
0=0,0)
,
IFS(
IFERROR(SEARCH("Soul Shackle 1", L134),) &gt; 0 ,VLOOKUP("Soul Shackle 1", vote4TRAITS!A:C , 3, FALSE),
IFERROR(SEARCH("Soul Shackle 2", L134),) &gt; 0 ,VLOOKUP("Soul Shackle 2", vote4TRAITS!A:C , 3, FALSE),
IFERROR(SEARCH("Soul Shackle 3", L134),) &gt; 0,VLOOKUP("Soul Shackle 3", vote4TRAITS!A:C , 3, FALSE),
0=0,0)
)</f>
        <v>0</v>
      </c>
      <c r="N134" s="330"/>
      <c r="O134" s="317" t="str">
        <f>IF(ISBLANK(N134),,IFERROR(
IF(IFERROR(SEARCH("SS:",N134),0) &gt; 0, 
VLOOKUP(SUBSTITUTE(N134,"SS: ",""),vote4SURGE!$A:$C , 3, FALSE) - 2,
VLOOKUP(SUBSTITUTE(N134,"S: ",""),vote4SURGE!$A:$C , 3, FALSE)
)
,
IF(IFERROR(SEARCH("SS:",N134),0) &gt; 0, 
VLOOKUP(C134,vote4SURGE!$A:$C , 3, FALSE) - 2,
VLOOKUP(C134,vote4SURGE!$A:$C , 3, FALSE)
)
))</f>
        <v/>
      </c>
      <c r="P134" s="318"/>
      <c r="Q134" s="317" t="str">
        <f>IF(ISBLANK(P134),,IFERROR(
IF(IFERROR(SEARCH("SS:",P134),0) &gt; 0, 
VLOOKUP(SUBSTITUTE(P134,"SS: ",""),vote4SURGE!$A:$C , 3, FALSE) - 2,
VLOOKUP(SUBSTITUTE(P134,"S: ",""),vote4SURGE!$A:$C , 3, FALSE)
)
,
IF(IFERROR(SEARCH("SS:",P134),0) &gt; 0, 
VLOOKUP(C134,vote4SURGE!$A:$C , 3, FALSE) - 2,
VLOOKUP(C134,vote4SURGE!$A:$C , 3, FALSE)
)
))</f>
        <v/>
      </c>
      <c r="R134" s="318"/>
      <c r="S134" s="319" t="str">
        <f>IF(ISBLANK(R134),,IFERROR(
IF(IFERROR(SEARCH("SS:",R134),0) &gt; 0, 
VLOOKUP(SUBSTITUTE(R134,"SS: ",""),vote4SURGE!$A:$C , 3, FALSE) - 2,
VLOOKUP(SUBSTITUTE(R134,"S: ",""),vote4SURGE!$A:$C , 3, FALSE)
)
,
IF(IFERROR(SEARCH("SS:",R134),0) &gt; 0, 
VLOOKUP(C134,vote4SURGE!$A:$C , 3, FALSE) - 2,
VLOOKUP(C134,vote4SURGE!$A:$C , 3, FALSE)
)
))</f>
        <v/>
      </c>
      <c r="T134" s="320">
        <f t="shared" si="2"/>
        <v>0</v>
      </c>
      <c r="U134" s="320">
        <f>IFERROR(__xludf.DUMMYFUNCTION("ROUND(
IF(ISBLANK(G134),,
SWITCH(
LEN(G134) - LEN(SUBSTITUTE(G134,"","","""")),
0 , VLOOKUP(G134, Variables!$A:$C, 3, FALSE),
1 , VLOOKUP(index(split(G134 ,"", "", FALSE),1,1), Variables!$A:$C , 3, FALSE) + VLOOKUP(index(split(G134 ,"", "", FALSE),1,2), V"&amp;"ariables!$A:$C , 3, FALSE),
2 , VLOOKUP(index(split(G134 ,"", "", FALSE),1,1), Variables!$A:$C , 3, FALSE) + VLOOKUP(index(split(G134 ,"", "", FALSE),1,2), Variables!$A:$C , 3, FALSE) + VLOOKUP(index(split(G134 ,"", "", FALSE),1,3), Variables!$A:$C , 3, F"&amp;"ALSE),
3 , VLOOKUP(index(split(G134 ,"", "", FALSE),1,1), Variables!$A:$C , 3, FALSE) + VLOOKUP(index(split(G134 ,"", "", FALSE),1,2), Variables!$A:$C , 3, FALSE) + VLOOKUP(index(split(G134 ,"", "", FALSE),1,3), Variables!$A:$C , 3, FALSE) + VLOOKUP(index"&amp;"(split(G134 ,"", "", FALSE),1,4), Variables!$A:$C , 3, FALSE),
)
)
)"),0.0)</f>
        <v>0</v>
      </c>
      <c r="V134" s="317">
        <f t="shared" si="3"/>
        <v>0</v>
      </c>
      <c r="W134" s="321">
        <f t="shared" si="4"/>
        <v>4.333333333</v>
      </c>
      <c r="X134" s="118"/>
      <c r="Y134" s="118"/>
      <c r="Z134" s="118"/>
      <c r="AA134" s="118"/>
      <c r="AB134" s="118"/>
      <c r="AC134" s="118"/>
      <c r="AD134" s="118"/>
      <c r="AE134" s="118"/>
    </row>
    <row r="135" hidden="1">
      <c r="A135" s="310">
        <v>2.0</v>
      </c>
      <c r="B135" s="93">
        <f t="shared" si="1"/>
        <v>6</v>
      </c>
      <c r="C135" s="310" t="s">
        <v>777</v>
      </c>
      <c r="D135" s="310">
        <v>150.0</v>
      </c>
      <c r="E135" s="310" t="s">
        <v>1527</v>
      </c>
      <c r="F135" s="310"/>
      <c r="G135" s="311" t="s">
        <v>1663</v>
      </c>
      <c r="H135" s="312">
        <f>IFERROR(__xludf.DUMMYFUNCTION(" IF(ISBLANK(G135),,
SWITCH(
LEN(G135) - LEN(SUBSTITUTE(G135,"","","""")),
0 , VLOOKUP(G135, Variables!$A:$B, 2, FALSE),
1 , VLOOKUP(index(split(G135 ,"", "", FALSE),1,1), Variables!$A:$B , 2, FALSE) + VLOOKUP(index(split(G135 ,"", "", FALSE),1,2), Variabl"&amp;"es!$A:$B , 2, FALSE),
2 , VLOOKUP(index(split(G135 ,"", "", FALSE),1,1), Variables!$A:$B , 2, FALSE) + VLOOKUP(index(split(G135 ,"", "", FALSE),1,2), Variables!$A:$B , 2, FALSE) + VLOOKUP(index(split(G135 ,"", "", FALSE),1,3), Variables!$A:$B , 2, FALSE),"&amp;"
3 , VLOOKUP(index(split(G135 ,"", "", FALSE),1,1), Variables!$A:$B , 2, FALSE) + VLOOKUP(index(split(G135 ,"", "", FALSE),1,2), Variables!$A:$B , 2, FALSE) + VLOOKUP(index(split(G135 ,"", "", FALSE),1,3), Variables!$A:$B , 2, FALSE) + VLOOKUP(index(split"&amp;"(G135 ,"", "", FALSE),1,4), Variables!$A:$B , 2, FALSE),
)
)"),1.3333333333333333)</f>
        <v>1.333333333</v>
      </c>
      <c r="I135" s="310" t="s">
        <v>1672</v>
      </c>
      <c r="J135" s="311" t="s">
        <v>778</v>
      </c>
      <c r="K135" s="314">
        <f>IFERROR(VLOOKUP(C135,vote4ITEMS!$A:$C, 3, FALSE),)</f>
        <v>3</v>
      </c>
      <c r="L135" s="313"/>
      <c r="M135" s="314">
        <f>SUM(
IF(IFERROR(SEARCH("Aura 1",L135),0) &gt; 0 , VLOOKUP("Aura 1", vote4TRAITS!A:C , 3, FALSE), ),
IF(IFERROR(SEARCH("Backswing",L135),0) &gt; 0 , VLOOKUP("Backswing", vote4TRAITS!A:C , 3, FALSE), ),
IF(IFERROR(SEARCH("Blast",L135),0) &gt; 0 , VLOOKUP("Blast", vote4TRAITS!A:C , 3, FALSE), ),
IF(IFERROR(SEARCH("Combustible",L135),0) &gt; 0 , VLOOKUP("Combustible", vote4TRAITS!A:C , 3, FALSE), ),
IF(IFERROR(SEARCH("Command",L135),0) &gt; 0 , VLOOKUP("Command", vote4TRAITS!A:C , 3, FALSE), ),
IF(IFERROR(SEARCH("Cowardly",L135),0) &gt; 0 , VLOOKUP("Cowardly", vote4TRAITS!A:C , 3, FALSE), ),
IF(IFERROR(SEARCH("Death Wish",L135),0) &gt; 0 , VLOOKUP("Death Wish", vote4TRAITS!A:C , 3, FALSE), ),
IF(IFERROR(SEARCH("Entomb",L135),0) &gt; 0 , VLOOKUP("Entomb", vote4TRAITS!A:C , 3, FALSE), ),
IF(IFERROR(SEARCH("Ethereal Hold",L135),0) &gt; 0 , VLOOKUP("Ethereal Hold", vote4TRAITS!A:C , 3, FALSE), ),
IF(IFERROR(SEARCH("Extend",L135),0) &gt; 0 , VLOOKUP("Extend", vote4TRAITS!A:C , 3, FALSE), ),
IF(IFERROR(SEARCH("Filthy Murk",L135),0) &gt; 0 , VLOOKUP("Filthy Murk", vote4TRAITS!A:C , 3, FALSE), ),
IF(IFERROR(SEARCH("Flame Fiend",L135),0) &gt; 0 , VLOOKUP("Flame Fiend", vote4TRAITS!A:C , 3, FALSE), ),
IF(IFERROR(SEARCH("Fleshmonger",L135),0) &gt; 0 , VLOOKUP("Fleshmonger", vote4TRAITS!A:C , 3, FALSE), ),
IF(IFERROR(SEARCH("Fly",L135),0) &gt; 0 , VLOOKUP("Fly", vote4TRAITS!A:C , 3, FALSE), ),
IF(IFERROR(SEARCH("Freezing",L135),0) &gt; 0 , VLOOKUP("Freezing", vote4TRAITS!A:C , 3, FALSE), ),
IF(IFERROR(SEARCH("Lithesome",L135),0) &gt; 0 , VLOOKUP("Lithesome", vote4TRAITS!A:C , 3, FALSE), ),
IF(IFERROR(SEARCH("Harrowing",L135),0) &gt; 0 , VLOOKUP("Harrowing", vote4TRAITS!A:C , 3, FALSE), ),
IF(IFERROR(SEARCH("Hideous Laughter",L135),0) &gt; 0 , VLOOKUP("Hideous Laughter", vote4TRAITS!A:C , 3, FALSE), ),
IF(IFERROR(SEARCH("Hive Defense",L135),0) &gt; 0 , VLOOKUP("Hive Defense", vote4TRAITS!A:C , 3, FALSE), ),
IF(IFERROR(SEARCH("Horrifying",L135),0) &gt; 0 , VLOOKUP("Horrifying", vote4TRAITS!A:C , 3, FALSE), ),
IF(IFERROR(SEARCH("Ironskin",L135),0) &gt; 0 , VLOOKUP("Ironskin", vote4TRAITS!A:C , 3, FALSE), ),
IF(IFERROR(SEARCH("Unmovable",L135),0) &gt; 0 , VLOOKUP("Unmovable", vote4TRAITS!A:C , 3, FALSE), ),
IF(IFERROR(SEARCH("Lifethirst 1",L135),0) &gt; 0 , VLOOKUP("Lifethirst 1", vote4TRAITS!A:C , 3, FALSE), ),
IF(IFERROR(SEARCH("Lifethirst 2",L135),0) &gt; 0 , VLOOKUP("Lifethirst 2", vote4TRAITS!A:C , 3, FALSE), ),
IF(IFERROR(SEARCH("Morph",L135),0) &gt; 0 , VLOOKUP("Morph", vote4TRAITS!A:C , 3, FALSE), ),
IF(IFERROR(SEARCH("Night Stalker",L135),0) &gt; 0 , VLOOKUP("Night Stalker", vote4TRAITS!A:C , 3, FALSE), ),
IF(IFERROR(SEARCH("Overflowing",L135),0) &gt; 0 , VLOOKUP("Overflowing", vote4TRAITS!A:C , 3, FALSE), ),
IF(IFERROR(SEARCH("Pestilence",L135),0) &gt; 0 , VLOOKUP("Pestilence", vote4TRAITS!A:C , 3, FALSE), ),
IF(IFERROR(SEARCH("Phalanx",L135),0) &gt; 0 , VLOOKUP("Phalanx", vote4TRAITS!A:C , 3, FALSE), ),
IF(IFERROR(SEARCH("Plagued",L135),0) &gt; 0 , VLOOKUP("Plagued", vote4TRAITS!A:C , 3, FALSE), ),
IF(IFERROR(SEARCH("Prey on the Weak",L135),0) &gt; 0 , VLOOKUP("Prey on the Weak", vote4TRAITS!A:C , 3, FALSE), ),
IF(IFERROR(SEARCH("Protect",L135),0) &gt; 0 , VLOOKUP("Protect", vote4TRAITS!A:C , 3, FALSE), ),
IF(IFERROR(SEARCH("Puncture",L135),0) &gt; 0 , VLOOKUP("Puncture", vote4TRAITS!A:C , 3, FALSE), ),
IF(IFERROR(SEARCH("Putrid Boils",L135),0) &gt; 0 , VLOOKUP("Putrid Boils", vote4TRAITS!A:C , 3, FALSE), ),
IF(IFERROR(SEARCH("Ravage",L135),0) &gt; 0 , VLOOKUP("Ravage", vote4TRAITS!A:C , 3, FALSE), ),
IF(IFERROR(SEARCH("Ravenous",L135),0) &gt; 0 , VLOOKUP("Ravenous", vote4TRAITS!A:C , 3, FALSE), ),
IF(IFERROR(SEARCH("Reach",L135),0) &gt; 0 , VLOOKUP("Reach", vote4TRAITS!A:C , 3, FALSE), ),
IF(IFERROR(SEARCH("Reanimation",L135),0) &gt; 0 , VLOOKUP("Reanimation", vote4TRAITS!A:C , 3, FALSE), ),
IF(IFERROR(SEARCH("Reaper",L135),0) &gt; 0 , VLOOKUP("Reaper", vote4TRAITS!A:C , 3, FALSE), ),
IF(IFERROR(SEARCH("Riposte",L135),0) &gt; 0 , VLOOKUP("Riposte", vote4TRAITS!A:C , 3, FALSE)),
IF(IFERROR(SEARCH("Scamper",L135),0) &gt; 0 , VLOOKUP("Scamper", vote4TRAITS!A:C , 3, FALSE), ),
IF(IFERROR(SEARCH("Small Beginnings",L135),0) &gt; 0 , VLOOKUP("Small Beginnings", vote4TRAITS!A:C , 3, FALSE), ),
IF(IFERROR(SEARCH("Spawner",L135),0) &gt; 0 , VLOOKUP("Spawner", vote4TRAITS!A:C , 3,FALSE), ),
IF(IFERROR(SEARCH("Shadowr",L135),0) &gt; 0 , VLOOKUP("Shadow", vote4TRAITS!A:C , 3,FALSE), ),
IF(IFERROR(SEARCH("Shadow Step",L135),0) &gt; 0 , VLOOKUP("Shadow Step", vote4TRAITS!A:C , 3,FALSE), ),
IF(IFERROR(SEARCH("Shambling",L135),0) &gt; 0 , VLOOKUP("Shambling", vote4TRAITS!A:C , 3,FALSE), ),
IF(IFERROR(SEARCH("Stealthy",L135),0) &gt; 0 , VLOOKUP("Stealthy", vote4TRAITS!A:C , 3, FALSE), ),
IF(IFERROR(SEARCH("Web",L135),0) &gt; 0 , VLOOKUP("Web", vote4TRAITS!A:C , 3, FALSE), ),
IF(IFERROR(SEARCH("+1 Willpower",L135),0) &gt; 0 , VLOOKUP("+1 Willpower", vote4TRAITS!A:C , 3, FALSE), ),
IF(IFERROR(SEARCH("+1 Might",L135),0) &gt; 0 , VLOOKUP("+1 Might", vote4TRAITS!A:C , 3, FALSE), ),
IF(IFERROR(SEARCH("+1 Knowledge",L135),0) &gt; 0 , VLOOKUP("+1 Knowledge", vote4TRAITS!A:C , 3, FALSE), ),
IF(IFERROR(SEARCH("+1 Awareness",L135),0) &gt; 0 , VLOOKUP("+1 Awareness", vote4TRAITS!A:C , 3, FALSE), ),
IF(IFERROR(SEARCH("-1 Willpower",L135),0) &gt; 0 , VLOOKUP("-1 Willpower", vote4TRAITS!A:C , 3, FALSE), ),
IF(IFERROR(SEARCH("+1 Health",L135),0) &gt; 0 , VLOOKUP("+1 Health", vote4TRAITS!A:C , 3, FALSE), ),
IF(IFERROR(SEARCH("+2 Health",L135),0) &gt; 0 , VLOOKUP("+2 Health", vote4TRAITS!A:C , 3, FALSE), ),
IF(IFERROR(SEARCH("+1 Stamina",L135),0) &gt; 0 , VLOOKUP("+1 Stamina", vote4TRAITS!A:C , 3, FALSE), ),
IF(IFERROR(SEARCH("+2 Stamina",L135),0) &gt; 0 , VLOOKUP("+2 Stamina", vote4TRAITS!A:C , 3, FALSE), ),
IFS(
IFERROR(SEARCH("+1 Range", L135),) &gt; 0 ,VLOOKUP("+1 Range", vote4TRAITS!A:C , 3, FALSE),
IFERROR(SEARCH("+2 Range", L135),) &gt; 0 ,VLOOKUP("+2 Range", vote4TRAITS!A:C , 3, FALSE),
IFERROR(SEARCH("+3 Range", L135),) &gt; 0,VLOOKUP("+3 Range", vote4TRAITS!A:C , 3, FALSE),
0=0,0)
,
IFS(
IFERROR(SEARCH("Sorcery 1", L135),) &gt; 0 ,VLOOKUP("Sorcery 1", vote4TRAITS!A:C , 3, FALSE),
IFERROR(SEARCH("Sorcery 2", L135),) &gt; 0 ,VLOOKUP("Sorcery 2", vote4TRAITS!A:C , 3, FALSE),
IFERROR(SEARCH("Sorcery 3", L135),) &gt; 0,VLOOKUP("Sorcery 3", vote4TRAITS!A:C , 3, FALSE),
0=0,0)
,
IFS(
IFERROR(SEARCH("Pierce 1", L135),) &gt; 0 ,VLOOKUP("Pierce 1", vote4TRAITS!A:C , 3, FALSE),
IFERROR(SEARCH("Pierce 2", L135),) &gt; 0 ,VLOOKUP("Pierce 2", vote4TRAITS!A:C , 3, FALSE),
IFERROR(SEARCH("Pierce 3", L135),) &gt; 0,VLOOKUP("Pierce 3", vote4TRAITS!A:C , 3, FALSE),
IFERROR(SEARCH("Pierce 4", L135),) &gt; 0 ,VLOOKUP("Pierce 4", vote4TRAITS!A:C , 3, FALSE),
0=0,0)
,
IFS(
IFERROR(SEARCH("+1 Health", L135),) &gt; 0 ,VLOOKUP("+1 Health", vote4TRAITS!A:C , 3, FALSE),
IFERROR(SEARCH("+2 Health", L135),) &gt; 0 ,VLOOKUP("+2 Health", vote4TRAITS!A:C , 3, FALSE),
IFERROR(SEARCH("+3 Health", L135),) &gt; 0 ,VLOOKUP("+3 Health", vote4TRAITS!A:C , 3, FALSE),
IFERROR(SEARCH("+4 Health", L135),) &gt; 0 ,VLOOKUP("+4 Health", vote4TRAITS!A:C , 3, FALSE),
0=0,0)
,
IFS(
IFERROR(SEARCH("Soul Shackle 1", L135),) &gt; 0 ,VLOOKUP("Soul Shackle 1", vote4TRAITS!A:C , 3, FALSE),
IFERROR(SEARCH("Soul Shackle 2", L135),) &gt; 0 ,VLOOKUP("Soul Shackle 2", vote4TRAITS!A:C , 3, FALSE),
IFERROR(SEARCH("Soul Shackle 3", L135),) &gt; 0,VLOOKUP("Soul Shackle 3", vote4TRAITS!A:C , 3, FALSE),
0=0,0)
)</f>
        <v>0</v>
      </c>
      <c r="N135" s="313"/>
      <c r="O135" s="317" t="str">
        <f>IF(ISBLANK(N135),,IFERROR(
IF(IFERROR(SEARCH("SS:",N135),0) &gt; 0, 
VLOOKUP(SUBSTITUTE(N135,"SS: ",""),vote4SURGE!$A:$C , 3, FALSE) - 2,
VLOOKUP(SUBSTITUTE(N135,"S: ",""),vote4SURGE!$A:$C , 3, FALSE)
)
,
IF(IFERROR(SEARCH("SS:",N135),0) &gt; 0, 
VLOOKUP(C135,vote4SURGE!$A:$C , 3, FALSE) - 2,
VLOOKUP(C135,vote4SURGE!$A:$C , 3, FALSE)
)
))</f>
        <v/>
      </c>
      <c r="P135" s="318"/>
      <c r="Q135" s="317" t="str">
        <f>IF(ISBLANK(P135),,IFERROR(
IF(IFERROR(SEARCH("SS:",P135),0) &gt; 0, 
VLOOKUP(SUBSTITUTE(P135,"SS: ",""),vote4SURGE!$A:$C , 3, FALSE) - 2,
VLOOKUP(SUBSTITUTE(P135,"S: ",""),vote4SURGE!$A:$C , 3, FALSE)
)
,
IF(IFERROR(SEARCH("SS:",P135),0) &gt; 0, 
VLOOKUP(C135,vote4SURGE!$A:$C , 3, FALSE) - 2,
VLOOKUP(C135,vote4SURGE!$A:$C , 3, FALSE)
)
))</f>
        <v/>
      </c>
      <c r="R135" s="318"/>
      <c r="S135" s="319" t="str">
        <f>IF(ISBLANK(R135),,IFERROR(
IF(IFERROR(SEARCH("SS:",R135),0) &gt; 0, 
VLOOKUP(SUBSTITUTE(R135,"SS: ",""),vote4SURGE!$A:$C , 3, FALSE) - 2,
VLOOKUP(SUBSTITUTE(R135,"S: ",""),vote4SURGE!$A:$C , 3, FALSE)
)
,
IF(IFERROR(SEARCH("SS:",R135),0) &gt; 0, 
VLOOKUP(C135,vote4SURGE!$A:$C , 3, FALSE) - 2,
VLOOKUP(C135,vote4SURGE!$A:$C , 3, FALSE)
)
))</f>
        <v/>
      </c>
      <c r="T135" s="320">
        <f t="shared" si="2"/>
        <v>0</v>
      </c>
      <c r="U135" s="320">
        <f>IFERROR(__xludf.DUMMYFUNCTION("ROUND(
IF(ISBLANK(G135),,
SWITCH(
LEN(G135) - LEN(SUBSTITUTE(G135,"","","""")),
0 , VLOOKUP(G135, Variables!$A:$C, 3, FALSE),
1 , VLOOKUP(index(split(G135 ,"", "", FALSE),1,1), Variables!$A:$C , 3, FALSE) + VLOOKUP(index(split(G135 ,"", "", FALSE),1,2), V"&amp;"ariables!$A:$C , 3, FALSE),
2 , VLOOKUP(index(split(G135 ,"", "", FALSE),1,1), Variables!$A:$C , 3, FALSE) + VLOOKUP(index(split(G135 ,"", "", FALSE),1,2), Variables!$A:$C , 3, FALSE) + VLOOKUP(index(split(G135 ,"", "", FALSE),1,3), Variables!$A:$C , 3, F"&amp;"ALSE),
3 , VLOOKUP(index(split(G135 ,"", "", FALSE),1,1), Variables!$A:$C , 3, FALSE) + VLOOKUP(index(split(G135 ,"", "", FALSE),1,2), Variables!$A:$C , 3, FALSE) + VLOOKUP(index(split(G135 ,"", "", FALSE),1,3), Variables!$A:$C , 3, FALSE) + VLOOKUP(index"&amp;"(split(G135 ,"", "", FALSE),1,4), Variables!$A:$C , 3, FALSE),
)
)
)"),0.0)</f>
        <v>0</v>
      </c>
      <c r="V135" s="317">
        <f t="shared" si="3"/>
        <v>0</v>
      </c>
      <c r="W135" s="321">
        <f t="shared" si="4"/>
        <v>4.333333333</v>
      </c>
      <c r="X135" s="118"/>
      <c r="Y135" s="118"/>
      <c r="Z135" s="118"/>
      <c r="AA135" s="118"/>
      <c r="AB135" s="118"/>
      <c r="AC135" s="118"/>
      <c r="AD135" s="118"/>
      <c r="AE135" s="118"/>
    </row>
    <row r="136" hidden="1">
      <c r="A136" s="310">
        <v>1.0</v>
      </c>
      <c r="B136" s="93">
        <f t="shared" si="1"/>
        <v>1</v>
      </c>
      <c r="C136" s="310" t="s">
        <v>727</v>
      </c>
      <c r="D136" s="310">
        <v>50.0</v>
      </c>
      <c r="E136" s="310" t="s">
        <v>1527</v>
      </c>
      <c r="F136" s="310"/>
      <c r="G136" s="313"/>
      <c r="H136" s="312" t="str">
        <f>IFERROR(__xludf.DUMMYFUNCTION(" IF(ISBLANK(G136),,
SWITCH(
LEN(G136) - LEN(SUBSTITUTE(G136,"","","""")),
0 , VLOOKUP(G136, Variables!$A:$B, 2, FALSE),
1 , VLOOKUP(index(split(G136 ,"", "", FALSE),1,1), Variables!$A:$B , 2, FALSE) + VLOOKUP(index(split(G136 ,"", "", FALSE),1,2), Variabl"&amp;"es!$A:$B , 2, FALSE),
2 , VLOOKUP(index(split(G136 ,"", "", FALSE),1,1), Variables!$A:$B , 2, FALSE) + VLOOKUP(index(split(G136 ,"", "", FALSE),1,2), Variables!$A:$B , 2, FALSE) + VLOOKUP(index(split(G136 ,"", "", FALSE),1,3), Variables!$A:$B , 2, FALSE),"&amp;"
3 , VLOOKUP(index(split(G136 ,"", "", FALSE),1,1), Variables!$A:$B , 2, FALSE) + VLOOKUP(index(split(G136 ,"", "", FALSE),1,2), Variables!$A:$B , 2, FALSE) + VLOOKUP(index(split(G136 ,"", "", FALSE),1,3), Variables!$A:$B , 2, FALSE) + VLOOKUP(index(split"&amp;"(G136 ,"", "", FALSE),1,4), Variables!$A:$B , 2, FALSE),
)
)"),"")</f>
        <v/>
      </c>
      <c r="I136" s="310" t="s">
        <v>1672</v>
      </c>
      <c r="J136" s="313" t="s">
        <v>728</v>
      </c>
      <c r="K136" s="314">
        <f>IFERROR(VLOOKUP(C136,vote4ITEMS!$A:$C, 3, FALSE),)</f>
        <v>4</v>
      </c>
      <c r="L136" s="313"/>
      <c r="M136" s="314">
        <f>SUM(
IF(IFERROR(SEARCH("Aura 1",L136),0) &gt; 0 , VLOOKUP("Aura 1", vote4TRAITS!A:C , 3, FALSE), ),
IF(IFERROR(SEARCH("Backswing",L136),0) &gt; 0 , VLOOKUP("Backswing", vote4TRAITS!A:C , 3, FALSE), ),
IF(IFERROR(SEARCH("Blast",L136),0) &gt; 0 , VLOOKUP("Blast", vote4TRAITS!A:C , 3, FALSE), ),
IF(IFERROR(SEARCH("Combustible",L136),0) &gt; 0 , VLOOKUP("Combustible", vote4TRAITS!A:C , 3, FALSE), ),
IF(IFERROR(SEARCH("Command",L136),0) &gt; 0 , VLOOKUP("Command", vote4TRAITS!A:C , 3, FALSE), ),
IF(IFERROR(SEARCH("Cowardly",L136),0) &gt; 0 , VLOOKUP("Cowardly", vote4TRAITS!A:C , 3, FALSE), ),
IF(IFERROR(SEARCH("Death Wish",L136),0) &gt; 0 , VLOOKUP("Death Wish", vote4TRAITS!A:C , 3, FALSE), ),
IF(IFERROR(SEARCH("Entomb",L136),0) &gt; 0 , VLOOKUP("Entomb", vote4TRAITS!A:C , 3, FALSE), ),
IF(IFERROR(SEARCH("Ethereal Hold",L136),0) &gt; 0 , VLOOKUP("Ethereal Hold", vote4TRAITS!A:C , 3, FALSE), ),
IF(IFERROR(SEARCH("Extend",L136),0) &gt; 0 , VLOOKUP("Extend", vote4TRAITS!A:C , 3, FALSE), ),
IF(IFERROR(SEARCH("Filthy Murk",L136),0) &gt; 0 , VLOOKUP("Filthy Murk", vote4TRAITS!A:C , 3, FALSE), ),
IF(IFERROR(SEARCH("Flame Fiend",L136),0) &gt; 0 , VLOOKUP("Flame Fiend", vote4TRAITS!A:C , 3, FALSE), ),
IF(IFERROR(SEARCH("Fleshmonger",L136),0) &gt; 0 , VLOOKUP("Fleshmonger", vote4TRAITS!A:C , 3, FALSE), ),
IF(IFERROR(SEARCH("Fly",L136),0) &gt; 0 , VLOOKUP("Fly", vote4TRAITS!A:C , 3, FALSE), ),
IF(IFERROR(SEARCH("Freezing",L136),0) &gt; 0 , VLOOKUP("Freezing", vote4TRAITS!A:C , 3, FALSE), ),
IF(IFERROR(SEARCH("Lithesome",L136),0) &gt; 0 , VLOOKUP("Lithesome", vote4TRAITS!A:C , 3, FALSE), ),
IF(IFERROR(SEARCH("Harrowing",L136),0) &gt; 0 , VLOOKUP("Harrowing", vote4TRAITS!A:C , 3, FALSE), ),
IF(IFERROR(SEARCH("Hideous Laughter",L136),0) &gt; 0 , VLOOKUP("Hideous Laughter", vote4TRAITS!A:C , 3, FALSE), ),
IF(IFERROR(SEARCH("Hive Defense",L136),0) &gt; 0 , VLOOKUP("Hive Defense", vote4TRAITS!A:C , 3, FALSE), ),
IF(IFERROR(SEARCH("Horrifying",L136),0) &gt; 0 , VLOOKUP("Horrifying", vote4TRAITS!A:C , 3, FALSE), ),
IF(IFERROR(SEARCH("Ironskin",L136),0) &gt; 0 , VLOOKUP("Ironskin", vote4TRAITS!A:C , 3, FALSE), ),
IF(IFERROR(SEARCH("Unmovable",L136),0) &gt; 0 , VLOOKUP("Unmovable", vote4TRAITS!A:C , 3, FALSE), ),
IF(IFERROR(SEARCH("Lifethirst 1",L136),0) &gt; 0 , VLOOKUP("Lifethirst 1", vote4TRAITS!A:C , 3, FALSE), ),
IF(IFERROR(SEARCH("Lifethirst 2",L136),0) &gt; 0 , VLOOKUP("Lifethirst 2", vote4TRAITS!A:C , 3, FALSE), ),
IF(IFERROR(SEARCH("Morph",L136),0) &gt; 0 , VLOOKUP("Morph", vote4TRAITS!A:C , 3, FALSE), ),
IF(IFERROR(SEARCH("Night Stalker",L136),0) &gt; 0 , VLOOKUP("Night Stalker", vote4TRAITS!A:C , 3, FALSE), ),
IF(IFERROR(SEARCH("Overflowing",L136),0) &gt; 0 , VLOOKUP("Overflowing", vote4TRAITS!A:C , 3, FALSE), ),
IF(IFERROR(SEARCH("Pestilence",L136),0) &gt; 0 , VLOOKUP("Pestilence", vote4TRAITS!A:C , 3, FALSE), ),
IF(IFERROR(SEARCH("Phalanx",L136),0) &gt; 0 , VLOOKUP("Phalanx", vote4TRAITS!A:C , 3, FALSE), ),
IF(IFERROR(SEARCH("Plagued",L136),0) &gt; 0 , VLOOKUP("Plagued", vote4TRAITS!A:C , 3, FALSE), ),
IF(IFERROR(SEARCH("Prey on the Weak",L136),0) &gt; 0 , VLOOKUP("Prey on the Weak", vote4TRAITS!A:C , 3, FALSE), ),
IF(IFERROR(SEARCH("Protect",L136),0) &gt; 0 , VLOOKUP("Protect", vote4TRAITS!A:C , 3, FALSE), ),
IF(IFERROR(SEARCH("Puncture",L136),0) &gt; 0 , VLOOKUP("Puncture", vote4TRAITS!A:C , 3, FALSE), ),
IF(IFERROR(SEARCH("Putrid Boils",L136),0) &gt; 0 , VLOOKUP("Putrid Boils", vote4TRAITS!A:C , 3, FALSE), ),
IF(IFERROR(SEARCH("Ravage",L136),0) &gt; 0 , VLOOKUP("Ravage", vote4TRAITS!A:C , 3, FALSE), ),
IF(IFERROR(SEARCH("Ravenous",L136),0) &gt; 0 , VLOOKUP("Ravenous", vote4TRAITS!A:C , 3, FALSE), ),
IF(IFERROR(SEARCH("Reach",L136),0) &gt; 0 , VLOOKUP("Reach", vote4TRAITS!A:C , 3, FALSE), ),
IF(IFERROR(SEARCH("Reanimation",L136),0) &gt; 0 , VLOOKUP("Reanimation", vote4TRAITS!A:C , 3, FALSE), ),
IF(IFERROR(SEARCH("Reaper",L136),0) &gt; 0 , VLOOKUP("Reaper", vote4TRAITS!A:C , 3, FALSE), ),
IF(IFERROR(SEARCH("Riposte",L136),0) &gt; 0 , VLOOKUP("Riposte", vote4TRAITS!A:C , 3, FALSE)),
IF(IFERROR(SEARCH("Scamper",L136),0) &gt; 0 , VLOOKUP("Scamper", vote4TRAITS!A:C , 3, FALSE), ),
IF(IFERROR(SEARCH("Small Beginnings",L136),0) &gt; 0 , VLOOKUP("Small Beginnings", vote4TRAITS!A:C , 3, FALSE), ),
IF(IFERROR(SEARCH("Spawner",L136),0) &gt; 0 , VLOOKUP("Spawner", vote4TRAITS!A:C , 3,FALSE), ),
IF(IFERROR(SEARCH("Shadowr",L136),0) &gt; 0 , VLOOKUP("Shadow", vote4TRAITS!A:C , 3,FALSE), ),
IF(IFERROR(SEARCH("Shadow Step",L136),0) &gt; 0 , VLOOKUP("Shadow Step", vote4TRAITS!A:C , 3,FALSE), ),
IF(IFERROR(SEARCH("Shambling",L136),0) &gt; 0 , VLOOKUP("Shambling", vote4TRAITS!A:C , 3,FALSE), ),
IF(IFERROR(SEARCH("Stealthy",L136),0) &gt; 0 , VLOOKUP("Stealthy", vote4TRAITS!A:C , 3, FALSE), ),
IF(IFERROR(SEARCH("Web",L136),0) &gt; 0 , VLOOKUP("Web", vote4TRAITS!A:C , 3, FALSE), ),
IF(IFERROR(SEARCH("+1 Willpower",L136),0) &gt; 0 , VLOOKUP("+1 Willpower", vote4TRAITS!A:C , 3, FALSE), ),
IF(IFERROR(SEARCH("+1 Might",L136),0) &gt; 0 , VLOOKUP("+1 Might", vote4TRAITS!A:C , 3, FALSE), ),
IF(IFERROR(SEARCH("+1 Knowledge",L136),0) &gt; 0 , VLOOKUP("+1 Knowledge", vote4TRAITS!A:C , 3, FALSE), ),
IF(IFERROR(SEARCH("+1 Awareness",L136),0) &gt; 0 , VLOOKUP("+1 Awareness", vote4TRAITS!A:C , 3, FALSE), ),
IF(IFERROR(SEARCH("-1 Willpower",L136),0) &gt; 0 , VLOOKUP("-1 Willpower", vote4TRAITS!A:C , 3, FALSE), ),
IF(IFERROR(SEARCH("+1 Health",L136),0) &gt; 0 , VLOOKUP("+1 Health", vote4TRAITS!A:C , 3, FALSE), ),
IF(IFERROR(SEARCH("+2 Health",L136),0) &gt; 0 , VLOOKUP("+2 Health", vote4TRAITS!A:C , 3, FALSE), ),
IF(IFERROR(SEARCH("+1 Stamina",L136),0) &gt; 0 , VLOOKUP("+1 Stamina", vote4TRAITS!A:C , 3, FALSE), ),
IF(IFERROR(SEARCH("+2 Stamina",L136),0) &gt; 0 , VLOOKUP("+2 Stamina", vote4TRAITS!A:C , 3, FALSE), ),
IFS(
IFERROR(SEARCH("+1 Range", L136),) &gt; 0 ,VLOOKUP("+1 Range", vote4TRAITS!A:C , 3, FALSE),
IFERROR(SEARCH("+2 Range", L136),) &gt; 0 ,VLOOKUP("+2 Range", vote4TRAITS!A:C , 3, FALSE),
IFERROR(SEARCH("+3 Range", L136),) &gt; 0,VLOOKUP("+3 Range", vote4TRAITS!A:C , 3, FALSE),
0=0,0)
,
IFS(
IFERROR(SEARCH("Sorcery 1", L136),) &gt; 0 ,VLOOKUP("Sorcery 1", vote4TRAITS!A:C , 3, FALSE),
IFERROR(SEARCH("Sorcery 2", L136),) &gt; 0 ,VLOOKUP("Sorcery 2", vote4TRAITS!A:C , 3, FALSE),
IFERROR(SEARCH("Sorcery 3", L136),) &gt; 0,VLOOKUP("Sorcery 3", vote4TRAITS!A:C , 3, FALSE),
0=0,0)
,
IFS(
IFERROR(SEARCH("Pierce 1", L136),) &gt; 0 ,VLOOKUP("Pierce 1", vote4TRAITS!A:C , 3, FALSE),
IFERROR(SEARCH("Pierce 2", L136),) &gt; 0 ,VLOOKUP("Pierce 2", vote4TRAITS!A:C , 3, FALSE),
IFERROR(SEARCH("Pierce 3", L136),) &gt; 0,VLOOKUP("Pierce 3", vote4TRAITS!A:C , 3, FALSE),
IFERROR(SEARCH("Pierce 4", L136),) &gt; 0 ,VLOOKUP("Pierce 4", vote4TRAITS!A:C , 3, FALSE),
0=0,0)
,
IFS(
IFERROR(SEARCH("+1 Health", L136),) &gt; 0 ,VLOOKUP("+1 Health", vote4TRAITS!A:C , 3, FALSE),
IFERROR(SEARCH("+2 Health", L136),) &gt; 0 ,VLOOKUP("+2 Health", vote4TRAITS!A:C , 3, FALSE),
IFERROR(SEARCH("+3 Health", L136),) &gt; 0 ,VLOOKUP("+3 Health", vote4TRAITS!A:C , 3, FALSE),
IFERROR(SEARCH("+4 Health", L136),) &gt; 0 ,VLOOKUP("+4 Health", vote4TRAITS!A:C , 3, FALSE),
0=0,0)
,
IFS(
IFERROR(SEARCH("Soul Shackle 1", L136),) &gt; 0 ,VLOOKUP("Soul Shackle 1", vote4TRAITS!A:C , 3, FALSE),
IFERROR(SEARCH("Soul Shackle 2", L136),) &gt; 0 ,VLOOKUP("Soul Shackle 2", vote4TRAITS!A:C , 3, FALSE),
IFERROR(SEARCH("Soul Shackle 3", L136),) &gt; 0,VLOOKUP("Soul Shackle 3", vote4TRAITS!A:C , 3, FALSE),
0=0,0)
)</f>
        <v>0</v>
      </c>
      <c r="N136" s="313"/>
      <c r="O136" s="317" t="str">
        <f>IF(ISBLANK(N136),,IFERROR(
IF(IFERROR(SEARCH("SS:",N136),0) &gt; 0, 
VLOOKUP(SUBSTITUTE(N136,"SS: ",""),vote4SURGE!$A:$C , 3, FALSE) - 2,
VLOOKUP(SUBSTITUTE(N136,"S: ",""),vote4SURGE!$A:$C , 3, FALSE)
)
,
IF(IFERROR(SEARCH("SS:",N136),0) &gt; 0, 
VLOOKUP(C136,vote4SURGE!$A:$C , 3, FALSE) - 2,
VLOOKUP(C136,vote4SURGE!$A:$C , 3, FALSE)
)
))</f>
        <v/>
      </c>
      <c r="P136" s="318"/>
      <c r="Q136" s="317" t="str">
        <f>IF(ISBLANK(P136),,IFERROR(
IF(IFERROR(SEARCH("SS:",P136),0) &gt; 0, 
VLOOKUP(SUBSTITUTE(P136,"SS: ",""),vote4SURGE!$A:$C , 3, FALSE) - 2,
VLOOKUP(SUBSTITUTE(P136,"S: ",""),vote4SURGE!$A:$C , 3, FALSE)
)
,
IF(IFERROR(SEARCH("SS:",P136),0) &gt; 0, 
VLOOKUP(C136,vote4SURGE!$A:$C , 3, FALSE) - 2,
VLOOKUP(C136,vote4SURGE!$A:$C , 3, FALSE)
)
))</f>
        <v/>
      </c>
      <c r="R136" s="318"/>
      <c r="S136" s="319" t="str">
        <f>IF(ISBLANK(R136),,IFERROR(
IF(IFERROR(SEARCH("SS:",R136),0) &gt; 0, 
VLOOKUP(SUBSTITUTE(R136,"SS: ",""),vote4SURGE!$A:$C , 3, FALSE) - 2,
VLOOKUP(SUBSTITUTE(R136,"S: ",""),vote4SURGE!$A:$C , 3, FALSE)
)
,
IF(IFERROR(SEARCH("SS:",R136),0) &gt; 0, 
VLOOKUP(C136,vote4SURGE!$A:$C , 3, FALSE) - 2,
VLOOKUP(C136,vote4SURGE!$A:$C , 3, FALSE)
)
))</f>
        <v/>
      </c>
      <c r="T136" s="320">
        <f t="shared" si="2"/>
        <v>0</v>
      </c>
      <c r="U136" s="320">
        <f>IFERROR(__xludf.DUMMYFUNCTION("ROUND(
IF(ISBLANK(G136),,
SWITCH(
LEN(G136) - LEN(SUBSTITUTE(G136,"","","""")),
0 , VLOOKUP(G136, Variables!$A:$C, 3, FALSE),
1 , VLOOKUP(index(split(G136 ,"", "", FALSE),1,1), Variables!$A:$C , 3, FALSE) + VLOOKUP(index(split(G136 ,"", "", FALSE),1,2), V"&amp;"ariables!$A:$C , 3, FALSE),
2 , VLOOKUP(index(split(G136 ,"", "", FALSE),1,1), Variables!$A:$C , 3, FALSE) + VLOOKUP(index(split(G136 ,"", "", FALSE),1,2), Variables!$A:$C , 3, FALSE) + VLOOKUP(index(split(G136 ,"", "", FALSE),1,3), Variables!$A:$C , 3, F"&amp;"ALSE),
3 , VLOOKUP(index(split(G136 ,"", "", FALSE),1,1), Variables!$A:$C , 3, FALSE) + VLOOKUP(index(split(G136 ,"", "", FALSE),1,2), Variables!$A:$C , 3, FALSE) + VLOOKUP(index(split(G136 ,"", "", FALSE),1,3), Variables!$A:$C , 3, FALSE) + VLOOKUP(index"&amp;"(split(G136 ,"", "", FALSE),1,4), Variables!$A:$C , 3, FALSE),
)
)
)"),0.0)</f>
        <v>0</v>
      </c>
      <c r="V136" s="317">
        <f t="shared" si="3"/>
        <v>0</v>
      </c>
      <c r="W136" s="321">
        <f t="shared" si="4"/>
        <v>4</v>
      </c>
      <c r="X136" s="118"/>
      <c r="Y136" s="118"/>
      <c r="Z136" s="118"/>
      <c r="AA136" s="118"/>
      <c r="AB136" s="118"/>
      <c r="AC136" s="118"/>
      <c r="AD136" s="118"/>
      <c r="AE136" s="118"/>
    </row>
    <row r="137" hidden="1">
      <c r="A137" s="310">
        <v>2.0</v>
      </c>
      <c r="B137" s="93">
        <f t="shared" si="1"/>
        <v>5</v>
      </c>
      <c r="C137" s="310" t="s">
        <v>820</v>
      </c>
      <c r="D137" s="310">
        <v>100.0</v>
      </c>
      <c r="E137" s="310" t="s">
        <v>1629</v>
      </c>
      <c r="F137" s="310"/>
      <c r="G137" s="313"/>
      <c r="H137" s="312" t="str">
        <f>IFERROR(__xludf.DUMMYFUNCTION(" IF(ISBLANK(G137),,
SWITCH(
LEN(G137) - LEN(SUBSTITUTE(G137,"","","""")),
0 , VLOOKUP(G137, Variables!$A:$B, 2, FALSE),
1 , VLOOKUP(index(split(G137 ,"", "", FALSE),1,1), Variables!$A:$B , 2, FALSE) + VLOOKUP(index(split(G137 ,"", "", FALSE),1,2), Variabl"&amp;"es!$A:$B , 2, FALSE),
2 , VLOOKUP(index(split(G137 ,"", "", FALSE),1,1), Variables!$A:$B , 2, FALSE) + VLOOKUP(index(split(G137 ,"", "", FALSE),1,2), Variables!$A:$B , 2, FALSE) + VLOOKUP(index(split(G137 ,"", "", FALSE),1,3), Variables!$A:$B , 2, FALSE),"&amp;"
3 , VLOOKUP(index(split(G137 ,"", "", FALSE),1,1), Variables!$A:$B , 2, FALSE) + VLOOKUP(index(split(G137 ,"", "", FALSE),1,2), Variables!$A:$B , 2, FALSE) + VLOOKUP(index(split(G137 ,"", "", FALSE),1,3), Variables!$A:$B , 2, FALSE) + VLOOKUP(index(split"&amp;"(G137 ,"", "", FALSE),1,4), Variables!$A:$B , 2, FALSE),
)
)"),"")</f>
        <v/>
      </c>
      <c r="I137" s="310" t="s">
        <v>1666</v>
      </c>
      <c r="J137" s="313" t="s">
        <v>821</v>
      </c>
      <c r="K137" s="314">
        <f>IFERROR(VLOOKUP(C137,vote4ITEMS!$A:$C, 3, FALSE),)</f>
        <v>4</v>
      </c>
      <c r="L137" s="313"/>
      <c r="M137" s="314">
        <f>SUM(
IF(IFERROR(SEARCH("Aura 1",L137),0) &gt; 0 , VLOOKUP("Aura 1", vote4TRAITS!A:C , 3, FALSE), ),
IF(IFERROR(SEARCH("Backswing",L137),0) &gt; 0 , VLOOKUP("Backswing", vote4TRAITS!A:C , 3, FALSE), ),
IF(IFERROR(SEARCH("Blast",L137),0) &gt; 0 , VLOOKUP("Blast", vote4TRAITS!A:C , 3, FALSE), ),
IF(IFERROR(SEARCH("Combustible",L137),0) &gt; 0 , VLOOKUP("Combustible", vote4TRAITS!A:C , 3, FALSE), ),
IF(IFERROR(SEARCH("Command",L137),0) &gt; 0 , VLOOKUP("Command", vote4TRAITS!A:C , 3, FALSE), ),
IF(IFERROR(SEARCH("Cowardly",L137),0) &gt; 0 , VLOOKUP("Cowardly", vote4TRAITS!A:C , 3, FALSE), ),
IF(IFERROR(SEARCH("Death Wish",L137),0) &gt; 0 , VLOOKUP("Death Wish", vote4TRAITS!A:C , 3, FALSE), ),
IF(IFERROR(SEARCH("Entomb",L137),0) &gt; 0 , VLOOKUP("Entomb", vote4TRAITS!A:C , 3, FALSE), ),
IF(IFERROR(SEARCH("Ethereal Hold",L137),0) &gt; 0 , VLOOKUP("Ethereal Hold", vote4TRAITS!A:C , 3, FALSE), ),
IF(IFERROR(SEARCH("Extend",L137),0) &gt; 0 , VLOOKUP("Extend", vote4TRAITS!A:C , 3, FALSE), ),
IF(IFERROR(SEARCH("Filthy Murk",L137),0) &gt; 0 , VLOOKUP("Filthy Murk", vote4TRAITS!A:C , 3, FALSE), ),
IF(IFERROR(SEARCH("Flame Fiend",L137),0) &gt; 0 , VLOOKUP("Flame Fiend", vote4TRAITS!A:C , 3, FALSE), ),
IF(IFERROR(SEARCH("Fleshmonger",L137),0) &gt; 0 , VLOOKUP("Fleshmonger", vote4TRAITS!A:C , 3, FALSE), ),
IF(IFERROR(SEARCH("Fly",L137),0) &gt; 0 , VLOOKUP("Fly", vote4TRAITS!A:C , 3, FALSE), ),
IF(IFERROR(SEARCH("Freezing",L137),0) &gt; 0 , VLOOKUP("Freezing", vote4TRAITS!A:C , 3, FALSE), ),
IF(IFERROR(SEARCH("Lithesome",L137),0) &gt; 0 , VLOOKUP("Lithesome", vote4TRAITS!A:C , 3, FALSE), ),
IF(IFERROR(SEARCH("Harrowing",L137),0) &gt; 0 , VLOOKUP("Harrowing", vote4TRAITS!A:C , 3, FALSE), ),
IF(IFERROR(SEARCH("Hideous Laughter",L137),0) &gt; 0 , VLOOKUP("Hideous Laughter", vote4TRAITS!A:C , 3, FALSE), ),
IF(IFERROR(SEARCH("Hive Defense",L137),0) &gt; 0 , VLOOKUP("Hive Defense", vote4TRAITS!A:C , 3, FALSE), ),
IF(IFERROR(SEARCH("Horrifying",L137),0) &gt; 0 , VLOOKUP("Horrifying", vote4TRAITS!A:C , 3, FALSE), ),
IF(IFERROR(SEARCH("Ironskin",L137),0) &gt; 0 , VLOOKUP("Ironskin", vote4TRAITS!A:C , 3, FALSE), ),
IF(IFERROR(SEARCH("Unmovable",L137),0) &gt; 0 , VLOOKUP("Unmovable", vote4TRAITS!A:C , 3, FALSE), ),
IF(IFERROR(SEARCH("Lifethirst 1",L137),0) &gt; 0 , VLOOKUP("Lifethirst 1", vote4TRAITS!A:C , 3, FALSE), ),
IF(IFERROR(SEARCH("Lifethirst 2",L137),0) &gt; 0 , VLOOKUP("Lifethirst 2", vote4TRAITS!A:C , 3, FALSE), ),
IF(IFERROR(SEARCH("Morph",L137),0) &gt; 0 , VLOOKUP("Morph", vote4TRAITS!A:C , 3, FALSE), ),
IF(IFERROR(SEARCH("Night Stalker",L137),0) &gt; 0 , VLOOKUP("Night Stalker", vote4TRAITS!A:C , 3, FALSE), ),
IF(IFERROR(SEARCH("Overflowing",L137),0) &gt; 0 , VLOOKUP("Overflowing", vote4TRAITS!A:C , 3, FALSE), ),
IF(IFERROR(SEARCH("Pestilence",L137),0) &gt; 0 , VLOOKUP("Pestilence", vote4TRAITS!A:C , 3, FALSE), ),
IF(IFERROR(SEARCH("Phalanx",L137),0) &gt; 0 , VLOOKUP("Phalanx", vote4TRAITS!A:C , 3, FALSE), ),
IF(IFERROR(SEARCH("Plagued",L137),0) &gt; 0 , VLOOKUP("Plagued", vote4TRAITS!A:C , 3, FALSE), ),
IF(IFERROR(SEARCH("Prey on the Weak",L137),0) &gt; 0 , VLOOKUP("Prey on the Weak", vote4TRAITS!A:C , 3, FALSE), ),
IF(IFERROR(SEARCH("Protect",L137),0) &gt; 0 , VLOOKUP("Protect", vote4TRAITS!A:C , 3, FALSE), ),
IF(IFERROR(SEARCH("Puncture",L137),0) &gt; 0 , VLOOKUP("Puncture", vote4TRAITS!A:C , 3, FALSE), ),
IF(IFERROR(SEARCH("Putrid Boils",L137),0) &gt; 0 , VLOOKUP("Putrid Boils", vote4TRAITS!A:C , 3, FALSE), ),
IF(IFERROR(SEARCH("Ravage",L137),0) &gt; 0 , VLOOKUP("Ravage", vote4TRAITS!A:C , 3, FALSE), ),
IF(IFERROR(SEARCH("Ravenous",L137),0) &gt; 0 , VLOOKUP("Ravenous", vote4TRAITS!A:C , 3, FALSE), ),
IF(IFERROR(SEARCH("Reach",L137),0) &gt; 0 , VLOOKUP("Reach", vote4TRAITS!A:C , 3, FALSE), ),
IF(IFERROR(SEARCH("Reanimation",L137),0) &gt; 0 , VLOOKUP("Reanimation", vote4TRAITS!A:C , 3, FALSE), ),
IF(IFERROR(SEARCH("Reaper",L137),0) &gt; 0 , VLOOKUP("Reaper", vote4TRAITS!A:C , 3, FALSE), ),
IF(IFERROR(SEARCH("Riposte",L137),0) &gt; 0 , VLOOKUP("Riposte", vote4TRAITS!A:C , 3, FALSE)),
IF(IFERROR(SEARCH("Scamper",L137),0) &gt; 0 , VLOOKUP("Scamper", vote4TRAITS!A:C , 3, FALSE), ),
IF(IFERROR(SEARCH("Small Beginnings",L137),0) &gt; 0 , VLOOKUP("Small Beginnings", vote4TRAITS!A:C , 3, FALSE), ),
IF(IFERROR(SEARCH("Spawner",L137),0) &gt; 0 , VLOOKUP("Spawner", vote4TRAITS!A:C , 3,FALSE), ),
IF(IFERROR(SEARCH("Shadowr",L137),0) &gt; 0 , VLOOKUP("Shadow", vote4TRAITS!A:C , 3,FALSE), ),
IF(IFERROR(SEARCH("Shadow Step",L137),0) &gt; 0 , VLOOKUP("Shadow Step", vote4TRAITS!A:C , 3,FALSE), ),
IF(IFERROR(SEARCH("Shambling",L137),0) &gt; 0 , VLOOKUP("Shambling", vote4TRAITS!A:C , 3,FALSE), ),
IF(IFERROR(SEARCH("Stealthy",L137),0) &gt; 0 , VLOOKUP("Stealthy", vote4TRAITS!A:C , 3, FALSE), ),
IF(IFERROR(SEARCH("Web",L137),0) &gt; 0 , VLOOKUP("Web", vote4TRAITS!A:C , 3, FALSE), ),
IF(IFERROR(SEARCH("+1 Willpower",L137),0) &gt; 0 , VLOOKUP("+1 Willpower", vote4TRAITS!A:C , 3, FALSE), ),
IF(IFERROR(SEARCH("+1 Might",L137),0) &gt; 0 , VLOOKUP("+1 Might", vote4TRAITS!A:C , 3, FALSE), ),
IF(IFERROR(SEARCH("+1 Knowledge",L137),0) &gt; 0 , VLOOKUP("+1 Knowledge", vote4TRAITS!A:C , 3, FALSE), ),
IF(IFERROR(SEARCH("+1 Awareness",L137),0) &gt; 0 , VLOOKUP("+1 Awareness", vote4TRAITS!A:C , 3, FALSE), ),
IF(IFERROR(SEARCH("-1 Willpower",L137),0) &gt; 0 , VLOOKUP("-1 Willpower", vote4TRAITS!A:C , 3, FALSE), ),
IF(IFERROR(SEARCH("+1 Health",L137),0) &gt; 0 , VLOOKUP("+1 Health", vote4TRAITS!A:C , 3, FALSE), ),
IF(IFERROR(SEARCH("+2 Health",L137),0) &gt; 0 , VLOOKUP("+2 Health", vote4TRAITS!A:C , 3, FALSE), ),
IF(IFERROR(SEARCH("+1 Stamina",L137),0) &gt; 0 , VLOOKUP("+1 Stamina", vote4TRAITS!A:C , 3, FALSE), ),
IF(IFERROR(SEARCH("+2 Stamina",L137),0) &gt; 0 , VLOOKUP("+2 Stamina", vote4TRAITS!A:C , 3, FALSE), ),
IFS(
IFERROR(SEARCH("+1 Range", L137),) &gt; 0 ,VLOOKUP("+1 Range", vote4TRAITS!A:C , 3, FALSE),
IFERROR(SEARCH("+2 Range", L137),) &gt; 0 ,VLOOKUP("+2 Range", vote4TRAITS!A:C , 3, FALSE),
IFERROR(SEARCH("+3 Range", L137),) &gt; 0,VLOOKUP("+3 Range", vote4TRAITS!A:C , 3, FALSE),
0=0,0)
,
IFS(
IFERROR(SEARCH("Sorcery 1", L137),) &gt; 0 ,VLOOKUP("Sorcery 1", vote4TRAITS!A:C , 3, FALSE),
IFERROR(SEARCH("Sorcery 2", L137),) &gt; 0 ,VLOOKUP("Sorcery 2", vote4TRAITS!A:C , 3, FALSE),
IFERROR(SEARCH("Sorcery 3", L137),) &gt; 0,VLOOKUP("Sorcery 3", vote4TRAITS!A:C , 3, FALSE),
0=0,0)
,
IFS(
IFERROR(SEARCH("Pierce 1", L137),) &gt; 0 ,VLOOKUP("Pierce 1", vote4TRAITS!A:C , 3, FALSE),
IFERROR(SEARCH("Pierce 2", L137),) &gt; 0 ,VLOOKUP("Pierce 2", vote4TRAITS!A:C , 3, FALSE),
IFERROR(SEARCH("Pierce 3", L137),) &gt; 0,VLOOKUP("Pierce 3", vote4TRAITS!A:C , 3, FALSE),
IFERROR(SEARCH("Pierce 4", L137),) &gt; 0 ,VLOOKUP("Pierce 4", vote4TRAITS!A:C , 3, FALSE),
0=0,0)
,
IFS(
IFERROR(SEARCH("+1 Health", L137),) &gt; 0 ,VLOOKUP("+1 Health", vote4TRAITS!A:C , 3, FALSE),
IFERROR(SEARCH("+2 Health", L137),) &gt; 0 ,VLOOKUP("+2 Health", vote4TRAITS!A:C , 3, FALSE),
IFERROR(SEARCH("+3 Health", L137),) &gt; 0 ,VLOOKUP("+3 Health", vote4TRAITS!A:C , 3, FALSE),
IFERROR(SEARCH("+4 Health", L137),) &gt; 0 ,VLOOKUP("+4 Health", vote4TRAITS!A:C , 3, FALSE),
0=0,0)
,
IFS(
IFERROR(SEARCH("Soul Shackle 1", L137),) &gt; 0 ,VLOOKUP("Soul Shackle 1", vote4TRAITS!A:C , 3, FALSE),
IFERROR(SEARCH("Soul Shackle 2", L137),) &gt; 0 ,VLOOKUP("Soul Shackle 2", vote4TRAITS!A:C , 3, FALSE),
IFERROR(SEARCH("Soul Shackle 3", L137),) &gt; 0,VLOOKUP("Soul Shackle 3", vote4TRAITS!A:C , 3, FALSE),
0=0,0)
)</f>
        <v>0</v>
      </c>
      <c r="N137" s="313"/>
      <c r="O137" s="317" t="str">
        <f>IF(ISBLANK(N137),,IFERROR(
IF(IFERROR(SEARCH("SS:",N137),0) &gt; 0, 
VLOOKUP(SUBSTITUTE(N137,"SS: ",""),vote4SURGE!$A:$C , 3, FALSE) - 2,
VLOOKUP(SUBSTITUTE(N137,"S: ",""),vote4SURGE!$A:$C , 3, FALSE)
)
,
IF(IFERROR(SEARCH("SS:",N137),0) &gt; 0, 
VLOOKUP(C137,vote4SURGE!$A:$C , 3, FALSE) - 2,
VLOOKUP(C137,vote4SURGE!$A:$C , 3, FALSE)
)
))</f>
        <v/>
      </c>
      <c r="P137" s="318"/>
      <c r="Q137" s="317" t="str">
        <f>IF(ISBLANK(P137),,IFERROR(
IF(IFERROR(SEARCH("SS:",P137),0) &gt; 0, 
VLOOKUP(SUBSTITUTE(P137,"SS: ",""),vote4SURGE!$A:$C , 3, FALSE) - 2,
VLOOKUP(SUBSTITUTE(P137,"S: ",""),vote4SURGE!$A:$C , 3, FALSE)
)
,
IF(IFERROR(SEARCH("SS:",P137),0) &gt; 0, 
VLOOKUP(C137,vote4SURGE!$A:$C , 3, FALSE) - 2,
VLOOKUP(C137,vote4SURGE!$A:$C , 3, FALSE)
)
))</f>
        <v/>
      </c>
      <c r="R137" s="318"/>
      <c r="S137" s="319" t="str">
        <f>IF(ISBLANK(R137),,IFERROR(
IF(IFERROR(SEARCH("SS:",R137),0) &gt; 0, 
VLOOKUP(SUBSTITUTE(R137,"SS: ",""),vote4SURGE!$A:$C , 3, FALSE) - 2,
VLOOKUP(SUBSTITUTE(R137,"S: ",""),vote4SURGE!$A:$C , 3, FALSE)
)
,
IF(IFERROR(SEARCH("SS:",R137),0) &gt; 0, 
VLOOKUP(C137,vote4SURGE!$A:$C , 3, FALSE) - 2,
VLOOKUP(C137,vote4SURGE!$A:$C , 3, FALSE)
)
))</f>
        <v/>
      </c>
      <c r="T137" s="320">
        <f t="shared" si="2"/>
        <v>0</v>
      </c>
      <c r="U137" s="320">
        <f>IFERROR(__xludf.DUMMYFUNCTION("ROUND(
IF(ISBLANK(G137),,
SWITCH(
LEN(G137) - LEN(SUBSTITUTE(G137,"","","""")),
0 , VLOOKUP(G137, Variables!$A:$C, 3, FALSE),
1 , VLOOKUP(index(split(G137 ,"", "", FALSE),1,1), Variables!$A:$C , 3, FALSE) + VLOOKUP(index(split(G137 ,"", "", FALSE),1,2), V"&amp;"ariables!$A:$C , 3, FALSE),
2 , VLOOKUP(index(split(G137 ,"", "", FALSE),1,1), Variables!$A:$C , 3, FALSE) + VLOOKUP(index(split(G137 ,"", "", FALSE),1,2), Variables!$A:$C , 3, FALSE) + VLOOKUP(index(split(G137 ,"", "", FALSE),1,3), Variables!$A:$C , 3, F"&amp;"ALSE),
3 , VLOOKUP(index(split(G137 ,"", "", FALSE),1,1), Variables!$A:$C , 3, FALSE) + VLOOKUP(index(split(G137 ,"", "", FALSE),1,2), Variables!$A:$C , 3, FALSE) + VLOOKUP(index(split(G137 ,"", "", FALSE),1,3), Variables!$A:$C , 3, FALSE) + VLOOKUP(index"&amp;"(split(G137 ,"", "", FALSE),1,4), Variables!$A:$C , 3, FALSE),
)
)
)"),0.0)</f>
        <v>0</v>
      </c>
      <c r="V137" s="317">
        <f t="shared" si="3"/>
        <v>0</v>
      </c>
      <c r="W137" s="321">
        <f t="shared" si="4"/>
        <v>4</v>
      </c>
      <c r="X137" s="118"/>
      <c r="Y137" s="118"/>
      <c r="Z137" s="118"/>
      <c r="AA137" s="118"/>
      <c r="AB137" s="118"/>
      <c r="AC137" s="118"/>
      <c r="AD137" s="118"/>
      <c r="AE137" s="118"/>
    </row>
    <row r="138" hidden="1">
      <c r="A138" s="310">
        <v>2.0</v>
      </c>
      <c r="B138" s="93">
        <f t="shared" si="1"/>
        <v>5</v>
      </c>
      <c r="C138" s="310" t="s">
        <v>1674</v>
      </c>
      <c r="D138" s="310">
        <v>150.0</v>
      </c>
      <c r="E138" s="310" t="s">
        <v>1629</v>
      </c>
      <c r="F138" s="310"/>
      <c r="G138" s="313"/>
      <c r="H138" s="312" t="str">
        <f>IFERROR(__xludf.DUMMYFUNCTION(" IF(ISBLANK(G138),,
SWITCH(
LEN(G138) - LEN(SUBSTITUTE(G138,"","","""")),
0 , VLOOKUP(G138, Variables!$A:$B, 2, FALSE),
1 , VLOOKUP(index(split(G138 ,"", "", FALSE),1,1), Variables!$A:$B , 2, FALSE) + VLOOKUP(index(split(G138 ,"", "", FALSE),1,2), Variabl"&amp;"es!$A:$B , 2, FALSE),
2 , VLOOKUP(index(split(G138 ,"", "", FALSE),1,1), Variables!$A:$B , 2, FALSE) + VLOOKUP(index(split(G138 ,"", "", FALSE),1,2), Variables!$A:$B , 2, FALSE) + VLOOKUP(index(split(G138 ,"", "", FALSE),1,3), Variables!$A:$B , 2, FALSE),"&amp;"
3 , VLOOKUP(index(split(G138 ,"", "", FALSE),1,1), Variables!$A:$B , 2, FALSE) + VLOOKUP(index(split(G138 ,"", "", FALSE),1,2), Variables!$A:$B , 2, FALSE) + VLOOKUP(index(split(G138 ,"", "", FALSE),1,3), Variables!$A:$B , 2, FALSE) + VLOOKUP(index(split"&amp;"(G138 ,"", "", FALSE),1,4), Variables!$A:$B , 2, FALSE),
)
)"),"")</f>
        <v/>
      </c>
      <c r="I138" s="310" t="s">
        <v>1635</v>
      </c>
      <c r="J138" s="313"/>
      <c r="K138" s="314" t="str">
        <f>IFERROR(VLOOKUP(C138,vote4ITEMS!$A:$C, 3, FALSE),)</f>
        <v/>
      </c>
      <c r="L138" s="311" t="s">
        <v>1675</v>
      </c>
      <c r="M138" s="314">
        <f>SUM(
IF(IFERROR(SEARCH("Aura 1",L138),0) &gt; 0 , VLOOKUP("Aura 1", vote4TRAITS!A:C , 3, FALSE), ),
IF(IFERROR(SEARCH("Backswing",L138),0) &gt; 0 , VLOOKUP("Backswing", vote4TRAITS!A:C , 3, FALSE), ),
IF(IFERROR(SEARCH("Blast",L138),0) &gt; 0 , VLOOKUP("Blast", vote4TRAITS!A:C , 3, FALSE), ),
IF(IFERROR(SEARCH("Combustible",L138),0) &gt; 0 , VLOOKUP("Combustible", vote4TRAITS!A:C , 3, FALSE), ),
IF(IFERROR(SEARCH("Command",L138),0) &gt; 0 , VLOOKUP("Command", vote4TRAITS!A:C , 3, FALSE), ),
IF(IFERROR(SEARCH("Cowardly",L138),0) &gt; 0 , VLOOKUP("Cowardly", vote4TRAITS!A:C , 3, FALSE), ),
IF(IFERROR(SEARCH("Death Wish",L138),0) &gt; 0 , VLOOKUP("Death Wish", vote4TRAITS!A:C , 3, FALSE), ),
IF(IFERROR(SEARCH("Entomb",L138),0) &gt; 0 , VLOOKUP("Entomb", vote4TRAITS!A:C , 3, FALSE), ),
IF(IFERROR(SEARCH("Ethereal Hold",L138),0) &gt; 0 , VLOOKUP("Ethereal Hold", vote4TRAITS!A:C , 3, FALSE), ),
IF(IFERROR(SEARCH("Extend",L138),0) &gt; 0 , VLOOKUP("Extend", vote4TRAITS!A:C , 3, FALSE), ),
IF(IFERROR(SEARCH("Filthy Murk",L138),0) &gt; 0 , VLOOKUP("Filthy Murk", vote4TRAITS!A:C , 3, FALSE), ),
IF(IFERROR(SEARCH("Flame Fiend",L138),0) &gt; 0 , VLOOKUP("Flame Fiend", vote4TRAITS!A:C , 3, FALSE), ),
IF(IFERROR(SEARCH("Fleshmonger",L138),0) &gt; 0 , VLOOKUP("Fleshmonger", vote4TRAITS!A:C , 3, FALSE), ),
IF(IFERROR(SEARCH("Fly",L138),0) &gt; 0 , VLOOKUP("Fly", vote4TRAITS!A:C , 3, FALSE), ),
IF(IFERROR(SEARCH("Freezing",L138),0) &gt; 0 , VLOOKUP("Freezing", vote4TRAITS!A:C , 3, FALSE), ),
IF(IFERROR(SEARCH("Lithesome",L138),0) &gt; 0 , VLOOKUP("Lithesome", vote4TRAITS!A:C , 3, FALSE), ),
IF(IFERROR(SEARCH("Harrowing",L138),0) &gt; 0 , VLOOKUP("Harrowing", vote4TRAITS!A:C , 3, FALSE), ),
IF(IFERROR(SEARCH("Hideous Laughter",L138),0) &gt; 0 , VLOOKUP("Hideous Laughter", vote4TRAITS!A:C , 3, FALSE), ),
IF(IFERROR(SEARCH("Hive Defense",L138),0) &gt; 0 , VLOOKUP("Hive Defense", vote4TRAITS!A:C , 3, FALSE), ),
IF(IFERROR(SEARCH("Horrifying",L138),0) &gt; 0 , VLOOKUP("Horrifying", vote4TRAITS!A:C , 3, FALSE), ),
IF(IFERROR(SEARCH("Ironskin",L138),0) &gt; 0 , VLOOKUP("Ironskin", vote4TRAITS!A:C , 3, FALSE), ),
IF(IFERROR(SEARCH("Unmovable",L138),0) &gt; 0 , VLOOKUP("Unmovable", vote4TRAITS!A:C , 3, FALSE), ),
IF(IFERROR(SEARCH("Lifethirst 1",L138),0) &gt; 0 , VLOOKUP("Lifethirst 1", vote4TRAITS!A:C , 3, FALSE), ),
IF(IFERROR(SEARCH("Lifethirst 2",L138),0) &gt; 0 , VLOOKUP("Lifethirst 2", vote4TRAITS!A:C , 3, FALSE), ),
IF(IFERROR(SEARCH("Morph",L138),0) &gt; 0 , VLOOKUP("Morph", vote4TRAITS!A:C , 3, FALSE), ),
IF(IFERROR(SEARCH("Night Stalker",L138),0) &gt; 0 , VLOOKUP("Night Stalker", vote4TRAITS!A:C , 3, FALSE), ),
IF(IFERROR(SEARCH("Overflowing",L138),0) &gt; 0 , VLOOKUP("Overflowing", vote4TRAITS!A:C , 3, FALSE), ),
IF(IFERROR(SEARCH("Pestilence",L138),0) &gt; 0 , VLOOKUP("Pestilence", vote4TRAITS!A:C , 3, FALSE), ),
IF(IFERROR(SEARCH("Phalanx",L138),0) &gt; 0 , VLOOKUP("Phalanx", vote4TRAITS!A:C , 3, FALSE), ),
IF(IFERROR(SEARCH("Plagued",L138),0) &gt; 0 , VLOOKUP("Plagued", vote4TRAITS!A:C , 3, FALSE), ),
IF(IFERROR(SEARCH("Prey on the Weak",L138),0) &gt; 0 , VLOOKUP("Prey on the Weak", vote4TRAITS!A:C , 3, FALSE), ),
IF(IFERROR(SEARCH("Protect",L138),0) &gt; 0 , VLOOKUP("Protect", vote4TRAITS!A:C , 3, FALSE), ),
IF(IFERROR(SEARCH("Puncture",L138),0) &gt; 0 , VLOOKUP("Puncture", vote4TRAITS!A:C , 3, FALSE), ),
IF(IFERROR(SEARCH("Putrid Boils",L138),0) &gt; 0 , VLOOKUP("Putrid Boils", vote4TRAITS!A:C , 3, FALSE), ),
IF(IFERROR(SEARCH("Ravage",L138),0) &gt; 0 , VLOOKUP("Ravage", vote4TRAITS!A:C , 3, FALSE), ),
IF(IFERROR(SEARCH("Ravenous",L138),0) &gt; 0 , VLOOKUP("Ravenous", vote4TRAITS!A:C , 3, FALSE), ),
IF(IFERROR(SEARCH("Reach",L138),0) &gt; 0 , VLOOKUP("Reach", vote4TRAITS!A:C , 3, FALSE), ),
IF(IFERROR(SEARCH("Reanimation",L138),0) &gt; 0 , VLOOKUP("Reanimation", vote4TRAITS!A:C , 3, FALSE), ),
IF(IFERROR(SEARCH("Reaper",L138),0) &gt; 0 , VLOOKUP("Reaper", vote4TRAITS!A:C , 3, FALSE), ),
IF(IFERROR(SEARCH("Riposte",L138),0) &gt; 0 , VLOOKUP("Riposte", vote4TRAITS!A:C , 3, FALSE)),
IF(IFERROR(SEARCH("Scamper",L138),0) &gt; 0 , VLOOKUP("Scamper", vote4TRAITS!A:C , 3, FALSE), ),
IF(IFERROR(SEARCH("Small Beginnings",L138),0) &gt; 0 , VLOOKUP("Small Beginnings", vote4TRAITS!A:C , 3, FALSE), ),
IF(IFERROR(SEARCH("Spawner",L138),0) &gt; 0 , VLOOKUP("Spawner", vote4TRAITS!A:C , 3,FALSE), ),
IF(IFERROR(SEARCH("Shadowr",L138),0) &gt; 0 , VLOOKUP("Shadow", vote4TRAITS!A:C , 3,FALSE), ),
IF(IFERROR(SEARCH("Shadow Step",L138),0) &gt; 0 , VLOOKUP("Shadow Step", vote4TRAITS!A:C , 3,FALSE), ),
IF(IFERROR(SEARCH("Shambling",L138),0) &gt; 0 , VLOOKUP("Shambling", vote4TRAITS!A:C , 3,FALSE), ),
IF(IFERROR(SEARCH("Stealthy",L138),0) &gt; 0 , VLOOKUP("Stealthy", vote4TRAITS!A:C , 3, FALSE), ),
IF(IFERROR(SEARCH("Web",L138),0) &gt; 0 , VLOOKUP("Web", vote4TRAITS!A:C , 3, FALSE), ),
IF(IFERROR(SEARCH("+1 Willpower",L138),0) &gt; 0 , VLOOKUP("+1 Willpower", vote4TRAITS!A:C , 3, FALSE), ),
IF(IFERROR(SEARCH("+1 Might",L138),0) &gt; 0 , VLOOKUP("+1 Might", vote4TRAITS!A:C , 3, FALSE), ),
IF(IFERROR(SEARCH("+1 Knowledge",L138),0) &gt; 0 , VLOOKUP("+1 Knowledge", vote4TRAITS!A:C , 3, FALSE), ),
IF(IFERROR(SEARCH("+1 Awareness",L138),0) &gt; 0 , VLOOKUP("+1 Awareness", vote4TRAITS!A:C , 3, FALSE), ),
IF(IFERROR(SEARCH("-1 Willpower",L138),0) &gt; 0 , VLOOKUP("-1 Willpower", vote4TRAITS!A:C , 3, FALSE), ),
IF(IFERROR(SEARCH("+1 Health",L138),0) &gt; 0 , VLOOKUP("+1 Health", vote4TRAITS!A:C , 3, FALSE), ),
IF(IFERROR(SEARCH("+2 Health",L138),0) &gt; 0 , VLOOKUP("+2 Health", vote4TRAITS!A:C , 3, FALSE), ),
IF(IFERROR(SEARCH("+1 Stamina",L138),0) &gt; 0 , VLOOKUP("+1 Stamina", vote4TRAITS!A:C , 3, FALSE), ),
IF(IFERROR(SEARCH("+2 Stamina",L138),0) &gt; 0 , VLOOKUP("+2 Stamina", vote4TRAITS!A:C , 3, FALSE), ),
IFS(
IFERROR(SEARCH("+1 Range", L138),) &gt; 0 ,VLOOKUP("+1 Range", vote4TRAITS!A:C , 3, FALSE),
IFERROR(SEARCH("+2 Range", L138),) &gt; 0 ,VLOOKUP("+2 Range", vote4TRAITS!A:C , 3, FALSE),
IFERROR(SEARCH("+3 Range", L138),) &gt; 0,VLOOKUP("+3 Range", vote4TRAITS!A:C , 3, FALSE),
0=0,0)
,
IFS(
IFERROR(SEARCH("Sorcery 1", L138),) &gt; 0 ,VLOOKUP("Sorcery 1", vote4TRAITS!A:C , 3, FALSE),
IFERROR(SEARCH("Sorcery 2", L138),) &gt; 0 ,VLOOKUP("Sorcery 2", vote4TRAITS!A:C , 3, FALSE),
IFERROR(SEARCH("Sorcery 3", L138),) &gt; 0,VLOOKUP("Sorcery 3", vote4TRAITS!A:C , 3, FALSE),
0=0,0)
,
IFS(
IFERROR(SEARCH("Pierce 1", L138),) &gt; 0 ,VLOOKUP("Pierce 1", vote4TRAITS!A:C , 3, FALSE),
IFERROR(SEARCH("Pierce 2", L138),) &gt; 0 ,VLOOKUP("Pierce 2", vote4TRAITS!A:C , 3, FALSE),
IFERROR(SEARCH("Pierce 3", L138),) &gt; 0,VLOOKUP("Pierce 3", vote4TRAITS!A:C , 3, FALSE),
IFERROR(SEARCH("Pierce 4", L138),) &gt; 0 ,VLOOKUP("Pierce 4", vote4TRAITS!A:C , 3, FALSE),
0=0,0)
,
IFS(
IFERROR(SEARCH("+1 Health", L138),) &gt; 0 ,VLOOKUP("+1 Health", vote4TRAITS!A:C , 3, FALSE),
IFERROR(SEARCH("+2 Health", L138),) &gt; 0 ,VLOOKUP("+2 Health", vote4TRAITS!A:C , 3, FALSE),
IFERROR(SEARCH("+3 Health", L138),) &gt; 0 ,VLOOKUP("+3 Health", vote4TRAITS!A:C , 3, FALSE),
IFERROR(SEARCH("+4 Health", L138),) &gt; 0 ,VLOOKUP("+4 Health", vote4TRAITS!A:C , 3, FALSE),
0=0,0)
,
IFS(
IFERROR(SEARCH("Soul Shackle 1", L138),) &gt; 0 ,VLOOKUP("Soul Shackle 1", vote4TRAITS!A:C , 3, FALSE),
IFERROR(SEARCH("Soul Shackle 2", L138),) &gt; 0 ,VLOOKUP("Soul Shackle 2", vote4TRAITS!A:C , 3, FALSE),
IFERROR(SEARCH("Soul Shackle 3", L138),) &gt; 0,VLOOKUP("Soul Shackle 3", vote4TRAITS!A:C , 3, FALSE),
0=0,0)
)</f>
        <v>4</v>
      </c>
      <c r="N138" s="313"/>
      <c r="O138" s="317" t="str">
        <f>IF(ISBLANK(N138),,IFERROR(
IF(IFERROR(SEARCH("SS:",N138),0) &gt; 0, 
VLOOKUP(SUBSTITUTE(N138,"SS: ",""),vote4SURGE!$A:$C , 3, FALSE) - 2,
VLOOKUP(SUBSTITUTE(N138,"S: ",""),vote4SURGE!$A:$C , 3, FALSE)
)
,
IF(IFERROR(SEARCH("SS:",N138),0) &gt; 0, 
VLOOKUP(C138,vote4SURGE!$A:$C , 3, FALSE) - 2,
VLOOKUP(C138,vote4SURGE!$A:$C , 3, FALSE)
)
))</f>
        <v/>
      </c>
      <c r="P138" s="318"/>
      <c r="Q138" s="317" t="str">
        <f>IF(ISBLANK(P138),,IFERROR(
IF(IFERROR(SEARCH("SS:",P138),0) &gt; 0, 
VLOOKUP(SUBSTITUTE(P138,"SS: ",""),vote4SURGE!$A:$C , 3, FALSE) - 2,
VLOOKUP(SUBSTITUTE(P138,"S: ",""),vote4SURGE!$A:$C , 3, FALSE)
)
,
IF(IFERROR(SEARCH("SS:",P138),0) &gt; 0, 
VLOOKUP(C138,vote4SURGE!$A:$C , 3, FALSE) - 2,
VLOOKUP(C138,vote4SURGE!$A:$C , 3, FALSE)
)
))</f>
        <v/>
      </c>
      <c r="R138" s="318"/>
      <c r="S138" s="319" t="str">
        <f>IF(ISBLANK(R138),,IFERROR(
IF(IFERROR(SEARCH("SS:",R138),0) &gt; 0, 
VLOOKUP(SUBSTITUTE(R138,"SS: ",""),vote4SURGE!$A:$C , 3, FALSE) - 2,
VLOOKUP(SUBSTITUTE(R138,"S: ",""),vote4SURGE!$A:$C , 3, FALSE)
)
,
IF(IFERROR(SEARCH("SS:",R138),0) &gt; 0, 
VLOOKUP(C138,vote4SURGE!$A:$C , 3, FALSE) - 2,
VLOOKUP(C138,vote4SURGE!$A:$C , 3, FALSE)
)
))</f>
        <v/>
      </c>
      <c r="T138" s="320">
        <f t="shared" si="2"/>
        <v>0</v>
      </c>
      <c r="U138" s="320">
        <f>IFERROR(__xludf.DUMMYFUNCTION("ROUND(
IF(ISBLANK(G138),,
SWITCH(
LEN(G138) - LEN(SUBSTITUTE(G138,"","","""")),
0 , VLOOKUP(G138, Variables!$A:$C, 3, FALSE),
1 , VLOOKUP(index(split(G138 ,"", "", FALSE),1,1), Variables!$A:$C , 3, FALSE) + VLOOKUP(index(split(G138 ,"", "", FALSE),1,2), V"&amp;"ariables!$A:$C , 3, FALSE),
2 , VLOOKUP(index(split(G138 ,"", "", FALSE),1,1), Variables!$A:$C , 3, FALSE) + VLOOKUP(index(split(G138 ,"", "", FALSE),1,2), Variables!$A:$C , 3, FALSE) + VLOOKUP(index(split(G138 ,"", "", FALSE),1,3), Variables!$A:$C , 3, F"&amp;"ALSE),
3 , VLOOKUP(index(split(G138 ,"", "", FALSE),1,1), Variables!$A:$C , 3, FALSE) + VLOOKUP(index(split(G138 ,"", "", FALSE),1,2), Variables!$A:$C , 3, FALSE) + VLOOKUP(index(split(G138 ,"", "", FALSE),1,3), Variables!$A:$C , 3, FALSE) + VLOOKUP(index"&amp;"(split(G138 ,"", "", FALSE),1,4), Variables!$A:$C , 3, FALSE),
)
)
)"),0.0)</f>
        <v>0</v>
      </c>
      <c r="V138" s="317">
        <f t="shared" si="3"/>
        <v>0</v>
      </c>
      <c r="W138" s="321">
        <f t="shared" si="4"/>
        <v>4</v>
      </c>
      <c r="X138" s="118"/>
      <c r="Y138" s="118"/>
      <c r="Z138" s="118"/>
      <c r="AA138" s="118"/>
      <c r="AB138" s="118"/>
      <c r="AC138" s="118"/>
      <c r="AD138" s="118"/>
      <c r="AE138" s="118"/>
    </row>
    <row r="139" hidden="1">
      <c r="A139" s="310">
        <v>1.0</v>
      </c>
      <c r="B139" s="93">
        <f t="shared" si="1"/>
        <v>1</v>
      </c>
      <c r="C139" s="310" t="s">
        <v>781</v>
      </c>
      <c r="D139" s="310">
        <v>75.0</v>
      </c>
      <c r="E139" s="310" t="s">
        <v>1629</v>
      </c>
      <c r="F139" s="310"/>
      <c r="G139" s="313"/>
      <c r="H139" s="312" t="str">
        <f>IFERROR(__xludf.DUMMYFUNCTION(" IF(ISBLANK(G139),,
SWITCH(
LEN(G139) - LEN(SUBSTITUTE(G139,"","","""")),
0 , VLOOKUP(G139, Variables!$A:$B, 2, FALSE),
1 , VLOOKUP(index(split(G139 ,"", "", FALSE),1,1), Variables!$A:$B , 2, FALSE) + VLOOKUP(index(split(G139 ,"", "", FALSE),1,2), Variabl"&amp;"es!$A:$B , 2, FALSE),
2 , VLOOKUP(index(split(G139 ,"", "", FALSE),1,1), Variables!$A:$B , 2, FALSE) + VLOOKUP(index(split(G139 ,"", "", FALSE),1,2), Variables!$A:$B , 2, FALSE) + VLOOKUP(index(split(G139 ,"", "", FALSE),1,3), Variables!$A:$B , 2, FALSE),"&amp;"
3 , VLOOKUP(index(split(G139 ,"", "", FALSE),1,1), Variables!$A:$B , 2, FALSE) + VLOOKUP(index(split(G139 ,"", "", FALSE),1,2), Variables!$A:$B , 2, FALSE) + VLOOKUP(index(split(G139 ,"", "", FALSE),1,3), Variables!$A:$B , 2, FALSE) + VLOOKUP(index(split"&amp;"(G139 ,"", "", FALSE),1,4), Variables!$A:$B , 2, FALSE),
)
)"),"")</f>
        <v/>
      </c>
      <c r="I139" s="310" t="s">
        <v>1641</v>
      </c>
      <c r="J139" s="313" t="s">
        <v>782</v>
      </c>
      <c r="K139" s="314">
        <f>IFERROR(VLOOKUP(C139,vote4ITEMS!$A:$C, 3, FALSE),)</f>
        <v>4</v>
      </c>
      <c r="L139" s="313"/>
      <c r="M139" s="314">
        <f>SUM(
IF(IFERROR(SEARCH("Aura 1",L139),0) &gt; 0 , VLOOKUP("Aura 1", vote4TRAITS!A:C , 3, FALSE), ),
IF(IFERROR(SEARCH("Backswing",L139),0) &gt; 0 , VLOOKUP("Backswing", vote4TRAITS!A:C , 3, FALSE), ),
IF(IFERROR(SEARCH("Blast",L139),0) &gt; 0 , VLOOKUP("Blast", vote4TRAITS!A:C , 3, FALSE), ),
IF(IFERROR(SEARCH("Combustible",L139),0) &gt; 0 , VLOOKUP("Combustible", vote4TRAITS!A:C , 3, FALSE), ),
IF(IFERROR(SEARCH("Command",L139),0) &gt; 0 , VLOOKUP("Command", vote4TRAITS!A:C , 3, FALSE), ),
IF(IFERROR(SEARCH("Cowardly",L139),0) &gt; 0 , VLOOKUP("Cowardly", vote4TRAITS!A:C , 3, FALSE), ),
IF(IFERROR(SEARCH("Death Wish",L139),0) &gt; 0 , VLOOKUP("Death Wish", vote4TRAITS!A:C , 3, FALSE), ),
IF(IFERROR(SEARCH("Entomb",L139),0) &gt; 0 , VLOOKUP("Entomb", vote4TRAITS!A:C , 3, FALSE), ),
IF(IFERROR(SEARCH("Ethereal Hold",L139),0) &gt; 0 , VLOOKUP("Ethereal Hold", vote4TRAITS!A:C , 3, FALSE), ),
IF(IFERROR(SEARCH("Extend",L139),0) &gt; 0 , VLOOKUP("Extend", vote4TRAITS!A:C , 3, FALSE), ),
IF(IFERROR(SEARCH("Filthy Murk",L139),0) &gt; 0 , VLOOKUP("Filthy Murk", vote4TRAITS!A:C , 3, FALSE), ),
IF(IFERROR(SEARCH("Flame Fiend",L139),0) &gt; 0 , VLOOKUP("Flame Fiend", vote4TRAITS!A:C , 3, FALSE), ),
IF(IFERROR(SEARCH("Fleshmonger",L139),0) &gt; 0 , VLOOKUP("Fleshmonger", vote4TRAITS!A:C , 3, FALSE), ),
IF(IFERROR(SEARCH("Fly",L139),0) &gt; 0 , VLOOKUP("Fly", vote4TRAITS!A:C , 3, FALSE), ),
IF(IFERROR(SEARCH("Freezing",L139),0) &gt; 0 , VLOOKUP("Freezing", vote4TRAITS!A:C , 3, FALSE), ),
IF(IFERROR(SEARCH("Lithesome",L139),0) &gt; 0 , VLOOKUP("Lithesome", vote4TRAITS!A:C , 3, FALSE), ),
IF(IFERROR(SEARCH("Harrowing",L139),0) &gt; 0 , VLOOKUP("Harrowing", vote4TRAITS!A:C , 3, FALSE), ),
IF(IFERROR(SEARCH("Hideous Laughter",L139),0) &gt; 0 , VLOOKUP("Hideous Laughter", vote4TRAITS!A:C , 3, FALSE), ),
IF(IFERROR(SEARCH("Hive Defense",L139),0) &gt; 0 , VLOOKUP("Hive Defense", vote4TRAITS!A:C , 3, FALSE), ),
IF(IFERROR(SEARCH("Horrifying",L139),0) &gt; 0 , VLOOKUP("Horrifying", vote4TRAITS!A:C , 3, FALSE), ),
IF(IFERROR(SEARCH("Ironskin",L139),0) &gt; 0 , VLOOKUP("Ironskin", vote4TRAITS!A:C , 3, FALSE), ),
IF(IFERROR(SEARCH("Unmovable",L139),0) &gt; 0 , VLOOKUP("Unmovable", vote4TRAITS!A:C , 3, FALSE), ),
IF(IFERROR(SEARCH("Lifethirst 1",L139),0) &gt; 0 , VLOOKUP("Lifethirst 1", vote4TRAITS!A:C , 3, FALSE), ),
IF(IFERROR(SEARCH("Lifethirst 2",L139),0) &gt; 0 , VLOOKUP("Lifethirst 2", vote4TRAITS!A:C , 3, FALSE), ),
IF(IFERROR(SEARCH("Morph",L139),0) &gt; 0 , VLOOKUP("Morph", vote4TRAITS!A:C , 3, FALSE), ),
IF(IFERROR(SEARCH("Night Stalker",L139),0) &gt; 0 , VLOOKUP("Night Stalker", vote4TRAITS!A:C , 3, FALSE), ),
IF(IFERROR(SEARCH("Overflowing",L139),0) &gt; 0 , VLOOKUP("Overflowing", vote4TRAITS!A:C , 3, FALSE), ),
IF(IFERROR(SEARCH("Pestilence",L139),0) &gt; 0 , VLOOKUP("Pestilence", vote4TRAITS!A:C , 3, FALSE), ),
IF(IFERROR(SEARCH("Phalanx",L139),0) &gt; 0 , VLOOKUP("Phalanx", vote4TRAITS!A:C , 3, FALSE), ),
IF(IFERROR(SEARCH("Plagued",L139),0) &gt; 0 , VLOOKUP("Plagued", vote4TRAITS!A:C , 3, FALSE), ),
IF(IFERROR(SEARCH("Prey on the Weak",L139),0) &gt; 0 , VLOOKUP("Prey on the Weak", vote4TRAITS!A:C , 3, FALSE), ),
IF(IFERROR(SEARCH("Protect",L139),0) &gt; 0 , VLOOKUP("Protect", vote4TRAITS!A:C , 3, FALSE), ),
IF(IFERROR(SEARCH("Puncture",L139),0) &gt; 0 , VLOOKUP("Puncture", vote4TRAITS!A:C , 3, FALSE), ),
IF(IFERROR(SEARCH("Putrid Boils",L139),0) &gt; 0 , VLOOKUP("Putrid Boils", vote4TRAITS!A:C , 3, FALSE), ),
IF(IFERROR(SEARCH("Ravage",L139),0) &gt; 0 , VLOOKUP("Ravage", vote4TRAITS!A:C , 3, FALSE), ),
IF(IFERROR(SEARCH("Ravenous",L139),0) &gt; 0 , VLOOKUP("Ravenous", vote4TRAITS!A:C , 3, FALSE), ),
IF(IFERROR(SEARCH("Reach",L139),0) &gt; 0 , VLOOKUP("Reach", vote4TRAITS!A:C , 3, FALSE), ),
IF(IFERROR(SEARCH("Reanimation",L139),0) &gt; 0 , VLOOKUP("Reanimation", vote4TRAITS!A:C , 3, FALSE), ),
IF(IFERROR(SEARCH("Reaper",L139),0) &gt; 0 , VLOOKUP("Reaper", vote4TRAITS!A:C , 3, FALSE), ),
IF(IFERROR(SEARCH("Riposte",L139),0) &gt; 0 , VLOOKUP("Riposte", vote4TRAITS!A:C , 3, FALSE)),
IF(IFERROR(SEARCH("Scamper",L139),0) &gt; 0 , VLOOKUP("Scamper", vote4TRAITS!A:C , 3, FALSE), ),
IF(IFERROR(SEARCH("Small Beginnings",L139),0) &gt; 0 , VLOOKUP("Small Beginnings", vote4TRAITS!A:C , 3, FALSE), ),
IF(IFERROR(SEARCH("Spawner",L139),0) &gt; 0 , VLOOKUP("Spawner", vote4TRAITS!A:C , 3,FALSE), ),
IF(IFERROR(SEARCH("Shadowr",L139),0) &gt; 0 , VLOOKUP("Shadow", vote4TRAITS!A:C , 3,FALSE), ),
IF(IFERROR(SEARCH("Shadow Step",L139),0) &gt; 0 , VLOOKUP("Shadow Step", vote4TRAITS!A:C , 3,FALSE), ),
IF(IFERROR(SEARCH("Shambling",L139),0) &gt; 0 , VLOOKUP("Shambling", vote4TRAITS!A:C , 3,FALSE), ),
IF(IFERROR(SEARCH("Stealthy",L139),0) &gt; 0 , VLOOKUP("Stealthy", vote4TRAITS!A:C , 3, FALSE), ),
IF(IFERROR(SEARCH("Web",L139),0) &gt; 0 , VLOOKUP("Web", vote4TRAITS!A:C , 3, FALSE), ),
IF(IFERROR(SEARCH("+1 Willpower",L139),0) &gt; 0 , VLOOKUP("+1 Willpower", vote4TRAITS!A:C , 3, FALSE), ),
IF(IFERROR(SEARCH("+1 Might",L139),0) &gt; 0 , VLOOKUP("+1 Might", vote4TRAITS!A:C , 3, FALSE), ),
IF(IFERROR(SEARCH("+1 Knowledge",L139),0) &gt; 0 , VLOOKUP("+1 Knowledge", vote4TRAITS!A:C , 3, FALSE), ),
IF(IFERROR(SEARCH("+1 Awareness",L139),0) &gt; 0 , VLOOKUP("+1 Awareness", vote4TRAITS!A:C , 3, FALSE), ),
IF(IFERROR(SEARCH("-1 Willpower",L139),0) &gt; 0 , VLOOKUP("-1 Willpower", vote4TRAITS!A:C , 3, FALSE), ),
IF(IFERROR(SEARCH("+1 Health",L139),0) &gt; 0 , VLOOKUP("+1 Health", vote4TRAITS!A:C , 3, FALSE), ),
IF(IFERROR(SEARCH("+2 Health",L139),0) &gt; 0 , VLOOKUP("+2 Health", vote4TRAITS!A:C , 3, FALSE), ),
IF(IFERROR(SEARCH("+1 Stamina",L139),0) &gt; 0 , VLOOKUP("+1 Stamina", vote4TRAITS!A:C , 3, FALSE), ),
IF(IFERROR(SEARCH("+2 Stamina",L139),0) &gt; 0 , VLOOKUP("+2 Stamina", vote4TRAITS!A:C , 3, FALSE), ),
IFS(
IFERROR(SEARCH("+1 Range", L139),) &gt; 0 ,VLOOKUP("+1 Range", vote4TRAITS!A:C , 3, FALSE),
IFERROR(SEARCH("+2 Range", L139),) &gt; 0 ,VLOOKUP("+2 Range", vote4TRAITS!A:C , 3, FALSE),
IFERROR(SEARCH("+3 Range", L139),) &gt; 0,VLOOKUP("+3 Range", vote4TRAITS!A:C , 3, FALSE),
0=0,0)
,
IFS(
IFERROR(SEARCH("Sorcery 1", L139),) &gt; 0 ,VLOOKUP("Sorcery 1", vote4TRAITS!A:C , 3, FALSE),
IFERROR(SEARCH("Sorcery 2", L139),) &gt; 0 ,VLOOKUP("Sorcery 2", vote4TRAITS!A:C , 3, FALSE),
IFERROR(SEARCH("Sorcery 3", L139),) &gt; 0,VLOOKUP("Sorcery 3", vote4TRAITS!A:C , 3, FALSE),
0=0,0)
,
IFS(
IFERROR(SEARCH("Pierce 1", L139),) &gt; 0 ,VLOOKUP("Pierce 1", vote4TRAITS!A:C , 3, FALSE),
IFERROR(SEARCH("Pierce 2", L139),) &gt; 0 ,VLOOKUP("Pierce 2", vote4TRAITS!A:C , 3, FALSE),
IFERROR(SEARCH("Pierce 3", L139),) &gt; 0,VLOOKUP("Pierce 3", vote4TRAITS!A:C , 3, FALSE),
IFERROR(SEARCH("Pierce 4", L139),) &gt; 0 ,VLOOKUP("Pierce 4", vote4TRAITS!A:C , 3, FALSE),
0=0,0)
,
IFS(
IFERROR(SEARCH("+1 Health", L139),) &gt; 0 ,VLOOKUP("+1 Health", vote4TRAITS!A:C , 3, FALSE),
IFERROR(SEARCH("+2 Health", L139),) &gt; 0 ,VLOOKUP("+2 Health", vote4TRAITS!A:C , 3, FALSE),
IFERROR(SEARCH("+3 Health", L139),) &gt; 0 ,VLOOKUP("+3 Health", vote4TRAITS!A:C , 3, FALSE),
IFERROR(SEARCH("+4 Health", L139),) &gt; 0 ,VLOOKUP("+4 Health", vote4TRAITS!A:C , 3, FALSE),
0=0,0)
,
IFS(
IFERROR(SEARCH("Soul Shackle 1", L139),) &gt; 0 ,VLOOKUP("Soul Shackle 1", vote4TRAITS!A:C , 3, FALSE),
IFERROR(SEARCH("Soul Shackle 2", L139),) &gt; 0 ,VLOOKUP("Soul Shackle 2", vote4TRAITS!A:C , 3, FALSE),
IFERROR(SEARCH("Soul Shackle 3", L139),) &gt; 0,VLOOKUP("Soul Shackle 3", vote4TRAITS!A:C , 3, FALSE),
0=0,0)
)</f>
        <v>0</v>
      </c>
      <c r="N139" s="313"/>
      <c r="O139" s="317" t="str">
        <f>IF(ISBLANK(N139),,IFERROR(
IF(IFERROR(SEARCH("SS:",N139),0) &gt; 0, 
VLOOKUP(SUBSTITUTE(N139,"SS: ",""),vote4SURGE!$A:$C , 3, FALSE) - 2,
VLOOKUP(SUBSTITUTE(N139,"S: ",""),vote4SURGE!$A:$C , 3, FALSE)
)
,
IF(IFERROR(SEARCH("SS:",N139),0) &gt; 0, 
VLOOKUP(C139,vote4SURGE!$A:$C , 3, FALSE) - 2,
VLOOKUP(C139,vote4SURGE!$A:$C , 3, FALSE)
)
))</f>
        <v/>
      </c>
      <c r="P139" s="318"/>
      <c r="Q139" s="317" t="str">
        <f>IF(ISBLANK(P139),,IFERROR(
IF(IFERROR(SEARCH("SS:",P139),0) &gt; 0, 
VLOOKUP(SUBSTITUTE(P139,"SS: ",""),vote4SURGE!$A:$C , 3, FALSE) - 2,
VLOOKUP(SUBSTITUTE(P139,"S: ",""),vote4SURGE!$A:$C , 3, FALSE)
)
,
IF(IFERROR(SEARCH("SS:",P139),0) &gt; 0, 
VLOOKUP(C139,vote4SURGE!$A:$C , 3, FALSE) - 2,
VLOOKUP(C139,vote4SURGE!$A:$C , 3, FALSE)
)
))</f>
        <v/>
      </c>
      <c r="R139" s="318"/>
      <c r="S139" s="319" t="str">
        <f>IF(ISBLANK(R139),,IFERROR(
IF(IFERROR(SEARCH("SS:",R139),0) &gt; 0, 
VLOOKUP(SUBSTITUTE(R139,"SS: ",""),vote4SURGE!$A:$C , 3, FALSE) - 2,
VLOOKUP(SUBSTITUTE(R139,"S: ",""),vote4SURGE!$A:$C , 3, FALSE)
)
,
IF(IFERROR(SEARCH("SS:",R139),0) &gt; 0, 
VLOOKUP(C139,vote4SURGE!$A:$C , 3, FALSE) - 2,
VLOOKUP(C139,vote4SURGE!$A:$C , 3, FALSE)
)
))</f>
        <v/>
      </c>
      <c r="T139" s="320">
        <f t="shared" si="2"/>
        <v>0</v>
      </c>
      <c r="U139" s="320">
        <f>IFERROR(__xludf.DUMMYFUNCTION("ROUND(
IF(ISBLANK(G139),,
SWITCH(
LEN(G139) - LEN(SUBSTITUTE(G139,"","","""")),
0 , VLOOKUP(G139, Variables!$A:$C, 3, FALSE),
1 , VLOOKUP(index(split(G139 ,"", "", FALSE),1,1), Variables!$A:$C , 3, FALSE) + VLOOKUP(index(split(G139 ,"", "", FALSE),1,2), V"&amp;"ariables!$A:$C , 3, FALSE),
2 , VLOOKUP(index(split(G139 ,"", "", FALSE),1,1), Variables!$A:$C , 3, FALSE) + VLOOKUP(index(split(G139 ,"", "", FALSE),1,2), Variables!$A:$C , 3, FALSE) + VLOOKUP(index(split(G139 ,"", "", FALSE),1,3), Variables!$A:$C , 3, F"&amp;"ALSE),
3 , VLOOKUP(index(split(G139 ,"", "", FALSE),1,1), Variables!$A:$C , 3, FALSE) + VLOOKUP(index(split(G139 ,"", "", FALSE),1,2), Variables!$A:$C , 3, FALSE) + VLOOKUP(index(split(G139 ,"", "", FALSE),1,3), Variables!$A:$C , 3, FALSE) + VLOOKUP(index"&amp;"(split(G139 ,"", "", FALSE),1,4), Variables!$A:$C , 3, FALSE),
)
)
)"),0.0)</f>
        <v>0</v>
      </c>
      <c r="V139" s="317">
        <f t="shared" si="3"/>
        <v>0</v>
      </c>
      <c r="W139" s="321">
        <f t="shared" si="4"/>
        <v>4</v>
      </c>
      <c r="X139" s="118"/>
      <c r="Y139" s="118"/>
      <c r="Z139" s="118"/>
      <c r="AA139" s="118"/>
      <c r="AB139" s="118"/>
      <c r="AC139" s="118"/>
      <c r="AD139" s="118"/>
      <c r="AE139" s="118"/>
    </row>
    <row r="140" hidden="1">
      <c r="A140" s="310">
        <v>2.0</v>
      </c>
      <c r="B140" s="93">
        <f t="shared" si="1"/>
        <v>5</v>
      </c>
      <c r="C140" s="310" t="s">
        <v>854</v>
      </c>
      <c r="D140" s="310">
        <v>225.0</v>
      </c>
      <c r="E140" s="310" t="s">
        <v>1620</v>
      </c>
      <c r="F140" s="310"/>
      <c r="G140" s="311" t="s">
        <v>1663</v>
      </c>
      <c r="H140" s="312">
        <f>IFERROR(__xludf.DUMMYFUNCTION(" IF(ISBLANK(G140),,
SWITCH(
LEN(G140) - LEN(SUBSTITUTE(G140,"","","""")),
0 , VLOOKUP(G140, Variables!$A:$B, 2, FALSE),
1 , VLOOKUP(index(split(G140 ,"", "", FALSE),1,1), Variables!$A:$B , 2, FALSE) + VLOOKUP(index(split(G140 ,"", "", FALSE),1,2), Variabl"&amp;"es!$A:$B , 2, FALSE),
2 , VLOOKUP(index(split(G140 ,"", "", FALSE),1,1), Variables!$A:$B , 2, FALSE) + VLOOKUP(index(split(G140 ,"", "", FALSE),1,2), Variables!$A:$B , 2, FALSE) + VLOOKUP(index(split(G140 ,"", "", FALSE),1,3), Variables!$A:$B , 2, FALSE),"&amp;"
3 , VLOOKUP(index(split(G140 ,"", "", FALSE),1,1), Variables!$A:$B , 2, FALSE) + VLOOKUP(index(split(G140 ,"", "", FALSE),1,2), Variables!$A:$B , 2, FALSE) + VLOOKUP(index(split(G140 ,"", "", FALSE),1,3), Variables!$A:$B , 2, FALSE) + VLOOKUP(index(split"&amp;"(G140 ,"", "", FALSE),1,4), Variables!$A:$B , 2, FALSE),
)
)"),1.3333333333333333)</f>
        <v>1.333333333</v>
      </c>
      <c r="I140" s="310" t="s">
        <v>1664</v>
      </c>
      <c r="J140" s="313" t="s">
        <v>855</v>
      </c>
      <c r="K140" s="314">
        <f>IFERROR(VLOOKUP(C140,vote4ITEMS!$A:$C, 3, FALSE),)</f>
        <v>2.333333333</v>
      </c>
      <c r="L140" s="313"/>
      <c r="M140" s="314">
        <f>SUM(
IF(IFERROR(SEARCH("Aura 1",L140),0) &gt; 0 , VLOOKUP("Aura 1", vote4TRAITS!A:C , 3, FALSE), ),
IF(IFERROR(SEARCH("Backswing",L140),0) &gt; 0 , VLOOKUP("Backswing", vote4TRAITS!A:C , 3, FALSE), ),
IF(IFERROR(SEARCH("Blast",L140),0) &gt; 0 , VLOOKUP("Blast", vote4TRAITS!A:C , 3, FALSE), ),
IF(IFERROR(SEARCH("Combustible",L140),0) &gt; 0 , VLOOKUP("Combustible", vote4TRAITS!A:C , 3, FALSE), ),
IF(IFERROR(SEARCH("Command",L140),0) &gt; 0 , VLOOKUP("Command", vote4TRAITS!A:C , 3, FALSE), ),
IF(IFERROR(SEARCH("Cowardly",L140),0) &gt; 0 , VLOOKUP("Cowardly", vote4TRAITS!A:C , 3, FALSE), ),
IF(IFERROR(SEARCH("Death Wish",L140),0) &gt; 0 , VLOOKUP("Death Wish", vote4TRAITS!A:C , 3, FALSE), ),
IF(IFERROR(SEARCH("Entomb",L140),0) &gt; 0 , VLOOKUP("Entomb", vote4TRAITS!A:C , 3, FALSE), ),
IF(IFERROR(SEARCH("Ethereal Hold",L140),0) &gt; 0 , VLOOKUP("Ethereal Hold", vote4TRAITS!A:C , 3, FALSE), ),
IF(IFERROR(SEARCH("Extend",L140),0) &gt; 0 , VLOOKUP("Extend", vote4TRAITS!A:C , 3, FALSE), ),
IF(IFERROR(SEARCH("Filthy Murk",L140),0) &gt; 0 , VLOOKUP("Filthy Murk", vote4TRAITS!A:C , 3, FALSE), ),
IF(IFERROR(SEARCH("Flame Fiend",L140),0) &gt; 0 , VLOOKUP("Flame Fiend", vote4TRAITS!A:C , 3, FALSE), ),
IF(IFERROR(SEARCH("Fleshmonger",L140),0) &gt; 0 , VLOOKUP("Fleshmonger", vote4TRAITS!A:C , 3, FALSE), ),
IF(IFERROR(SEARCH("Fly",L140),0) &gt; 0 , VLOOKUP("Fly", vote4TRAITS!A:C , 3, FALSE), ),
IF(IFERROR(SEARCH("Freezing",L140),0) &gt; 0 , VLOOKUP("Freezing", vote4TRAITS!A:C , 3, FALSE), ),
IF(IFERROR(SEARCH("Lithesome",L140),0) &gt; 0 , VLOOKUP("Lithesome", vote4TRAITS!A:C , 3, FALSE), ),
IF(IFERROR(SEARCH("Harrowing",L140),0) &gt; 0 , VLOOKUP("Harrowing", vote4TRAITS!A:C , 3, FALSE), ),
IF(IFERROR(SEARCH("Hideous Laughter",L140),0) &gt; 0 , VLOOKUP("Hideous Laughter", vote4TRAITS!A:C , 3, FALSE), ),
IF(IFERROR(SEARCH("Hive Defense",L140),0) &gt; 0 , VLOOKUP("Hive Defense", vote4TRAITS!A:C , 3, FALSE), ),
IF(IFERROR(SEARCH("Horrifying",L140),0) &gt; 0 , VLOOKUP("Horrifying", vote4TRAITS!A:C , 3, FALSE), ),
IF(IFERROR(SEARCH("Ironskin",L140),0) &gt; 0 , VLOOKUP("Ironskin", vote4TRAITS!A:C , 3, FALSE), ),
IF(IFERROR(SEARCH("Unmovable",L140),0) &gt; 0 , VLOOKUP("Unmovable", vote4TRAITS!A:C , 3, FALSE), ),
IF(IFERROR(SEARCH("Lifethirst 1",L140),0) &gt; 0 , VLOOKUP("Lifethirst 1", vote4TRAITS!A:C , 3, FALSE), ),
IF(IFERROR(SEARCH("Lifethirst 2",L140),0) &gt; 0 , VLOOKUP("Lifethirst 2", vote4TRAITS!A:C , 3, FALSE), ),
IF(IFERROR(SEARCH("Morph",L140),0) &gt; 0 , VLOOKUP("Morph", vote4TRAITS!A:C , 3, FALSE), ),
IF(IFERROR(SEARCH("Night Stalker",L140),0) &gt; 0 , VLOOKUP("Night Stalker", vote4TRAITS!A:C , 3, FALSE), ),
IF(IFERROR(SEARCH("Overflowing",L140),0) &gt; 0 , VLOOKUP("Overflowing", vote4TRAITS!A:C , 3, FALSE), ),
IF(IFERROR(SEARCH("Pestilence",L140),0) &gt; 0 , VLOOKUP("Pestilence", vote4TRAITS!A:C , 3, FALSE), ),
IF(IFERROR(SEARCH("Phalanx",L140),0) &gt; 0 , VLOOKUP("Phalanx", vote4TRAITS!A:C , 3, FALSE), ),
IF(IFERROR(SEARCH("Plagued",L140),0) &gt; 0 , VLOOKUP("Plagued", vote4TRAITS!A:C , 3, FALSE), ),
IF(IFERROR(SEARCH("Prey on the Weak",L140),0) &gt; 0 , VLOOKUP("Prey on the Weak", vote4TRAITS!A:C , 3, FALSE), ),
IF(IFERROR(SEARCH("Protect",L140),0) &gt; 0 , VLOOKUP("Protect", vote4TRAITS!A:C , 3, FALSE), ),
IF(IFERROR(SEARCH("Puncture",L140),0) &gt; 0 , VLOOKUP("Puncture", vote4TRAITS!A:C , 3, FALSE), ),
IF(IFERROR(SEARCH("Putrid Boils",L140),0) &gt; 0 , VLOOKUP("Putrid Boils", vote4TRAITS!A:C , 3, FALSE), ),
IF(IFERROR(SEARCH("Ravage",L140),0) &gt; 0 , VLOOKUP("Ravage", vote4TRAITS!A:C , 3, FALSE), ),
IF(IFERROR(SEARCH("Ravenous",L140),0) &gt; 0 , VLOOKUP("Ravenous", vote4TRAITS!A:C , 3, FALSE), ),
IF(IFERROR(SEARCH("Reach",L140),0) &gt; 0 , VLOOKUP("Reach", vote4TRAITS!A:C , 3, FALSE), ),
IF(IFERROR(SEARCH("Reanimation",L140),0) &gt; 0 , VLOOKUP("Reanimation", vote4TRAITS!A:C , 3, FALSE), ),
IF(IFERROR(SEARCH("Reaper",L140),0) &gt; 0 , VLOOKUP("Reaper", vote4TRAITS!A:C , 3, FALSE), ),
IF(IFERROR(SEARCH("Riposte",L140),0) &gt; 0 , VLOOKUP("Riposte", vote4TRAITS!A:C , 3, FALSE)),
IF(IFERROR(SEARCH("Scamper",L140),0) &gt; 0 , VLOOKUP("Scamper", vote4TRAITS!A:C , 3, FALSE), ),
IF(IFERROR(SEARCH("Small Beginnings",L140),0) &gt; 0 , VLOOKUP("Small Beginnings", vote4TRAITS!A:C , 3, FALSE), ),
IF(IFERROR(SEARCH("Spawner",L140),0) &gt; 0 , VLOOKUP("Spawner", vote4TRAITS!A:C , 3,FALSE), ),
IF(IFERROR(SEARCH("Shadowr",L140),0) &gt; 0 , VLOOKUP("Shadow", vote4TRAITS!A:C , 3,FALSE), ),
IF(IFERROR(SEARCH("Shadow Step",L140),0) &gt; 0 , VLOOKUP("Shadow Step", vote4TRAITS!A:C , 3,FALSE), ),
IF(IFERROR(SEARCH("Shambling",L140),0) &gt; 0 , VLOOKUP("Shambling", vote4TRAITS!A:C , 3,FALSE), ),
IF(IFERROR(SEARCH("Stealthy",L140),0) &gt; 0 , VLOOKUP("Stealthy", vote4TRAITS!A:C , 3, FALSE), ),
IF(IFERROR(SEARCH("Web",L140),0) &gt; 0 , VLOOKUP("Web", vote4TRAITS!A:C , 3, FALSE), ),
IF(IFERROR(SEARCH("+1 Willpower",L140),0) &gt; 0 , VLOOKUP("+1 Willpower", vote4TRAITS!A:C , 3, FALSE), ),
IF(IFERROR(SEARCH("+1 Might",L140),0) &gt; 0 , VLOOKUP("+1 Might", vote4TRAITS!A:C , 3, FALSE), ),
IF(IFERROR(SEARCH("+1 Knowledge",L140),0) &gt; 0 , VLOOKUP("+1 Knowledge", vote4TRAITS!A:C , 3, FALSE), ),
IF(IFERROR(SEARCH("+1 Awareness",L140),0) &gt; 0 , VLOOKUP("+1 Awareness", vote4TRAITS!A:C , 3, FALSE), ),
IF(IFERROR(SEARCH("-1 Willpower",L140),0) &gt; 0 , VLOOKUP("-1 Willpower", vote4TRAITS!A:C , 3, FALSE), ),
IF(IFERROR(SEARCH("+1 Health",L140),0) &gt; 0 , VLOOKUP("+1 Health", vote4TRAITS!A:C , 3, FALSE), ),
IF(IFERROR(SEARCH("+2 Health",L140),0) &gt; 0 , VLOOKUP("+2 Health", vote4TRAITS!A:C , 3, FALSE), ),
IF(IFERROR(SEARCH("+1 Stamina",L140),0) &gt; 0 , VLOOKUP("+1 Stamina", vote4TRAITS!A:C , 3, FALSE), ),
IF(IFERROR(SEARCH("+2 Stamina",L140),0) &gt; 0 , VLOOKUP("+2 Stamina", vote4TRAITS!A:C , 3, FALSE), ),
IFS(
IFERROR(SEARCH("+1 Range", L140),) &gt; 0 ,VLOOKUP("+1 Range", vote4TRAITS!A:C , 3, FALSE),
IFERROR(SEARCH("+2 Range", L140),) &gt; 0 ,VLOOKUP("+2 Range", vote4TRAITS!A:C , 3, FALSE),
IFERROR(SEARCH("+3 Range", L140),) &gt; 0,VLOOKUP("+3 Range", vote4TRAITS!A:C , 3, FALSE),
0=0,0)
,
IFS(
IFERROR(SEARCH("Sorcery 1", L140),) &gt; 0 ,VLOOKUP("Sorcery 1", vote4TRAITS!A:C , 3, FALSE),
IFERROR(SEARCH("Sorcery 2", L140),) &gt; 0 ,VLOOKUP("Sorcery 2", vote4TRAITS!A:C , 3, FALSE),
IFERROR(SEARCH("Sorcery 3", L140),) &gt; 0,VLOOKUP("Sorcery 3", vote4TRAITS!A:C , 3, FALSE),
0=0,0)
,
IFS(
IFERROR(SEARCH("Pierce 1", L140),) &gt; 0 ,VLOOKUP("Pierce 1", vote4TRAITS!A:C , 3, FALSE),
IFERROR(SEARCH("Pierce 2", L140),) &gt; 0 ,VLOOKUP("Pierce 2", vote4TRAITS!A:C , 3, FALSE),
IFERROR(SEARCH("Pierce 3", L140),) &gt; 0,VLOOKUP("Pierce 3", vote4TRAITS!A:C , 3, FALSE),
IFERROR(SEARCH("Pierce 4", L140),) &gt; 0 ,VLOOKUP("Pierce 4", vote4TRAITS!A:C , 3, FALSE),
0=0,0)
,
IFS(
IFERROR(SEARCH("+1 Health", L140),) &gt; 0 ,VLOOKUP("+1 Health", vote4TRAITS!A:C , 3, FALSE),
IFERROR(SEARCH("+2 Health", L140),) &gt; 0 ,VLOOKUP("+2 Health", vote4TRAITS!A:C , 3, FALSE),
IFERROR(SEARCH("+3 Health", L140),) &gt; 0 ,VLOOKUP("+3 Health", vote4TRAITS!A:C , 3, FALSE),
IFERROR(SEARCH("+4 Health", L140),) &gt; 0 ,VLOOKUP("+4 Health", vote4TRAITS!A:C , 3, FALSE),
0=0,0)
,
IFS(
IFERROR(SEARCH("Soul Shackle 1", L140),) &gt; 0 ,VLOOKUP("Soul Shackle 1", vote4TRAITS!A:C , 3, FALSE),
IFERROR(SEARCH("Soul Shackle 2", L140),) &gt; 0 ,VLOOKUP("Soul Shackle 2", vote4TRAITS!A:C , 3, FALSE),
IFERROR(SEARCH("Soul Shackle 3", L140),) &gt; 0,VLOOKUP("Soul Shackle 3", vote4TRAITS!A:C , 3, FALSE),
0=0,0)
)</f>
        <v>0</v>
      </c>
      <c r="N140" s="313"/>
      <c r="O140" s="317" t="str">
        <f>IF(ISBLANK(N140),,IFERROR(
IF(IFERROR(SEARCH("SS:",N140),0) &gt; 0, 
VLOOKUP(SUBSTITUTE(N140,"SS: ",""),vote4SURGE!$A:$C , 3, FALSE) - 2,
VLOOKUP(SUBSTITUTE(N140,"S: ",""),vote4SURGE!$A:$C , 3, FALSE)
)
,
IF(IFERROR(SEARCH("SS:",N140),0) &gt; 0, 
VLOOKUP(C140,vote4SURGE!$A:$C , 3, FALSE) - 2,
VLOOKUP(C140,vote4SURGE!$A:$C , 3, FALSE)
)
))</f>
        <v/>
      </c>
      <c r="P140" s="318"/>
      <c r="Q140" s="317" t="str">
        <f>IF(ISBLANK(P140),,IFERROR(
IF(IFERROR(SEARCH("SS:",P140),0) &gt; 0, 
VLOOKUP(SUBSTITUTE(P140,"SS: ",""),vote4SURGE!$A:$C , 3, FALSE) - 2,
VLOOKUP(SUBSTITUTE(P140,"S: ",""),vote4SURGE!$A:$C , 3, FALSE)
)
,
IF(IFERROR(SEARCH("SS:",P140),0) &gt; 0, 
VLOOKUP(C140,vote4SURGE!$A:$C , 3, FALSE) - 2,
VLOOKUP(C140,vote4SURGE!$A:$C , 3, FALSE)
)
))</f>
        <v/>
      </c>
      <c r="R140" s="318"/>
      <c r="S140" s="319" t="str">
        <f>IF(ISBLANK(R140),,IFERROR(
IF(IFERROR(SEARCH("SS:",R140),0) &gt; 0, 
VLOOKUP(SUBSTITUTE(R140,"SS: ",""),vote4SURGE!$A:$C , 3, FALSE) - 2,
VLOOKUP(SUBSTITUTE(R140,"S: ",""),vote4SURGE!$A:$C , 3, FALSE)
)
,
IF(IFERROR(SEARCH("SS:",R140),0) &gt; 0, 
VLOOKUP(C140,vote4SURGE!$A:$C , 3, FALSE) - 2,
VLOOKUP(C140,vote4SURGE!$A:$C , 3, FALSE)
)
))</f>
        <v/>
      </c>
      <c r="T140" s="320">
        <f t="shared" si="2"/>
        <v>0</v>
      </c>
      <c r="U140" s="320">
        <f>IFERROR(__xludf.DUMMYFUNCTION("ROUND(
IF(ISBLANK(G140),,
SWITCH(
LEN(G140) - LEN(SUBSTITUTE(G140,"","","""")),
0 , VLOOKUP(G140, Variables!$A:$C, 3, FALSE),
1 , VLOOKUP(index(split(G140 ,"", "", FALSE),1,1), Variables!$A:$C , 3, FALSE) + VLOOKUP(index(split(G140 ,"", "", FALSE),1,2), V"&amp;"ariables!$A:$C , 3, FALSE),
2 , VLOOKUP(index(split(G140 ,"", "", FALSE),1,1), Variables!$A:$C , 3, FALSE) + VLOOKUP(index(split(G140 ,"", "", FALSE),1,2), Variables!$A:$C , 3, FALSE) + VLOOKUP(index(split(G140 ,"", "", FALSE),1,3), Variables!$A:$C , 3, F"&amp;"ALSE),
3 , VLOOKUP(index(split(G140 ,"", "", FALSE),1,1), Variables!$A:$C , 3, FALSE) + VLOOKUP(index(split(G140 ,"", "", FALSE),1,2), Variables!$A:$C , 3, FALSE) + VLOOKUP(index(split(G140 ,"", "", FALSE),1,3), Variables!$A:$C , 3, FALSE) + VLOOKUP(index"&amp;"(split(G140 ,"", "", FALSE),1,4), Variables!$A:$C , 3, FALSE),
)
)
)"),0.0)</f>
        <v>0</v>
      </c>
      <c r="V140" s="317">
        <f t="shared" si="3"/>
        <v>0</v>
      </c>
      <c r="W140" s="321">
        <f t="shared" si="4"/>
        <v>3.666666667</v>
      </c>
      <c r="X140" s="118"/>
      <c r="Y140" s="118"/>
      <c r="Z140" s="118"/>
      <c r="AA140" s="118"/>
      <c r="AB140" s="118"/>
      <c r="AC140" s="118"/>
      <c r="AD140" s="118"/>
      <c r="AE140" s="118"/>
    </row>
    <row r="141" hidden="1">
      <c r="A141" s="310">
        <v>1.0</v>
      </c>
      <c r="B141" s="93">
        <f t="shared" si="1"/>
        <v>1</v>
      </c>
      <c r="C141" s="310" t="s">
        <v>870</v>
      </c>
      <c r="D141" s="310">
        <v>75.0</v>
      </c>
      <c r="E141" s="310" t="s">
        <v>1527</v>
      </c>
      <c r="F141" s="310"/>
      <c r="G141" s="313"/>
      <c r="H141" s="312" t="str">
        <f>IFERROR(__xludf.DUMMYFUNCTION(" IF(ISBLANK(G141),,
SWITCH(
LEN(G141) - LEN(SUBSTITUTE(G141,"","","""")),
0 , VLOOKUP(G141, Variables!$A:$B, 2, FALSE),
1 , VLOOKUP(index(split(G141 ,"", "", FALSE),1,1), Variables!$A:$B , 2, FALSE) + VLOOKUP(index(split(G141 ,"", "", FALSE),1,2), Variabl"&amp;"es!$A:$B , 2, FALSE),
2 , VLOOKUP(index(split(G141 ,"", "", FALSE),1,1), Variables!$A:$B , 2, FALSE) + VLOOKUP(index(split(G141 ,"", "", FALSE),1,2), Variables!$A:$B , 2, FALSE) + VLOOKUP(index(split(G141 ,"", "", FALSE),1,3), Variables!$A:$B , 2, FALSE),"&amp;"
3 , VLOOKUP(index(split(G141 ,"", "", FALSE),1,1), Variables!$A:$B , 2, FALSE) + VLOOKUP(index(split(G141 ,"", "", FALSE),1,2), Variables!$A:$B , 2, FALSE) + VLOOKUP(index(split(G141 ,"", "", FALSE),1,3), Variables!$A:$B , 2, FALSE) + VLOOKUP(index(split"&amp;"(G141 ,"", "", FALSE),1,4), Variables!$A:$B , 2, FALSE),
)
)"),"")</f>
        <v/>
      </c>
      <c r="I141" s="310" t="s">
        <v>1672</v>
      </c>
      <c r="J141" s="313" t="s">
        <v>871</v>
      </c>
      <c r="K141" s="314">
        <f>IFERROR(VLOOKUP(C141,vote4ITEMS!$A:$C, 3, FALSE),)</f>
        <v>3.666666667</v>
      </c>
      <c r="L141" s="313"/>
      <c r="M141" s="314">
        <f>SUM(
IF(IFERROR(SEARCH("Aura 1",L141),0) &gt; 0 , VLOOKUP("Aura 1", vote4TRAITS!A:C , 3, FALSE), ),
IF(IFERROR(SEARCH("Backswing",L141),0) &gt; 0 , VLOOKUP("Backswing", vote4TRAITS!A:C , 3, FALSE), ),
IF(IFERROR(SEARCH("Blast",L141),0) &gt; 0 , VLOOKUP("Blast", vote4TRAITS!A:C , 3, FALSE), ),
IF(IFERROR(SEARCH("Combustible",L141),0) &gt; 0 , VLOOKUP("Combustible", vote4TRAITS!A:C , 3, FALSE), ),
IF(IFERROR(SEARCH("Command",L141),0) &gt; 0 , VLOOKUP("Command", vote4TRAITS!A:C , 3, FALSE), ),
IF(IFERROR(SEARCH("Cowardly",L141),0) &gt; 0 , VLOOKUP("Cowardly", vote4TRAITS!A:C , 3, FALSE), ),
IF(IFERROR(SEARCH("Death Wish",L141),0) &gt; 0 , VLOOKUP("Death Wish", vote4TRAITS!A:C , 3, FALSE), ),
IF(IFERROR(SEARCH("Entomb",L141),0) &gt; 0 , VLOOKUP("Entomb", vote4TRAITS!A:C , 3, FALSE), ),
IF(IFERROR(SEARCH("Ethereal Hold",L141),0) &gt; 0 , VLOOKUP("Ethereal Hold", vote4TRAITS!A:C , 3, FALSE), ),
IF(IFERROR(SEARCH("Extend",L141),0) &gt; 0 , VLOOKUP("Extend", vote4TRAITS!A:C , 3, FALSE), ),
IF(IFERROR(SEARCH("Filthy Murk",L141),0) &gt; 0 , VLOOKUP("Filthy Murk", vote4TRAITS!A:C , 3, FALSE), ),
IF(IFERROR(SEARCH("Flame Fiend",L141),0) &gt; 0 , VLOOKUP("Flame Fiend", vote4TRAITS!A:C , 3, FALSE), ),
IF(IFERROR(SEARCH("Fleshmonger",L141),0) &gt; 0 , VLOOKUP("Fleshmonger", vote4TRAITS!A:C , 3, FALSE), ),
IF(IFERROR(SEARCH("Fly",L141),0) &gt; 0 , VLOOKUP("Fly", vote4TRAITS!A:C , 3, FALSE), ),
IF(IFERROR(SEARCH("Freezing",L141),0) &gt; 0 , VLOOKUP("Freezing", vote4TRAITS!A:C , 3, FALSE), ),
IF(IFERROR(SEARCH("Lithesome",L141),0) &gt; 0 , VLOOKUP("Lithesome", vote4TRAITS!A:C , 3, FALSE), ),
IF(IFERROR(SEARCH("Harrowing",L141),0) &gt; 0 , VLOOKUP("Harrowing", vote4TRAITS!A:C , 3, FALSE), ),
IF(IFERROR(SEARCH("Hideous Laughter",L141),0) &gt; 0 , VLOOKUP("Hideous Laughter", vote4TRAITS!A:C , 3, FALSE), ),
IF(IFERROR(SEARCH("Hive Defense",L141),0) &gt; 0 , VLOOKUP("Hive Defense", vote4TRAITS!A:C , 3, FALSE), ),
IF(IFERROR(SEARCH("Horrifying",L141),0) &gt; 0 , VLOOKUP("Horrifying", vote4TRAITS!A:C , 3, FALSE), ),
IF(IFERROR(SEARCH("Ironskin",L141),0) &gt; 0 , VLOOKUP("Ironskin", vote4TRAITS!A:C , 3, FALSE), ),
IF(IFERROR(SEARCH("Unmovable",L141),0) &gt; 0 , VLOOKUP("Unmovable", vote4TRAITS!A:C , 3, FALSE), ),
IF(IFERROR(SEARCH("Lifethirst 1",L141),0) &gt; 0 , VLOOKUP("Lifethirst 1", vote4TRAITS!A:C , 3, FALSE), ),
IF(IFERROR(SEARCH("Lifethirst 2",L141),0) &gt; 0 , VLOOKUP("Lifethirst 2", vote4TRAITS!A:C , 3, FALSE), ),
IF(IFERROR(SEARCH("Morph",L141),0) &gt; 0 , VLOOKUP("Morph", vote4TRAITS!A:C , 3, FALSE), ),
IF(IFERROR(SEARCH("Night Stalker",L141),0) &gt; 0 , VLOOKUP("Night Stalker", vote4TRAITS!A:C , 3, FALSE), ),
IF(IFERROR(SEARCH("Overflowing",L141),0) &gt; 0 , VLOOKUP("Overflowing", vote4TRAITS!A:C , 3, FALSE), ),
IF(IFERROR(SEARCH("Pestilence",L141),0) &gt; 0 , VLOOKUP("Pestilence", vote4TRAITS!A:C , 3, FALSE), ),
IF(IFERROR(SEARCH("Phalanx",L141),0) &gt; 0 , VLOOKUP("Phalanx", vote4TRAITS!A:C , 3, FALSE), ),
IF(IFERROR(SEARCH("Plagued",L141),0) &gt; 0 , VLOOKUP("Plagued", vote4TRAITS!A:C , 3, FALSE), ),
IF(IFERROR(SEARCH("Prey on the Weak",L141),0) &gt; 0 , VLOOKUP("Prey on the Weak", vote4TRAITS!A:C , 3, FALSE), ),
IF(IFERROR(SEARCH("Protect",L141),0) &gt; 0 , VLOOKUP("Protect", vote4TRAITS!A:C , 3, FALSE), ),
IF(IFERROR(SEARCH("Puncture",L141),0) &gt; 0 , VLOOKUP("Puncture", vote4TRAITS!A:C , 3, FALSE), ),
IF(IFERROR(SEARCH("Putrid Boils",L141),0) &gt; 0 , VLOOKUP("Putrid Boils", vote4TRAITS!A:C , 3, FALSE), ),
IF(IFERROR(SEARCH("Ravage",L141),0) &gt; 0 , VLOOKUP("Ravage", vote4TRAITS!A:C , 3, FALSE), ),
IF(IFERROR(SEARCH("Ravenous",L141),0) &gt; 0 , VLOOKUP("Ravenous", vote4TRAITS!A:C , 3, FALSE), ),
IF(IFERROR(SEARCH("Reach",L141),0) &gt; 0 , VLOOKUP("Reach", vote4TRAITS!A:C , 3, FALSE), ),
IF(IFERROR(SEARCH("Reanimation",L141),0) &gt; 0 , VLOOKUP("Reanimation", vote4TRAITS!A:C , 3, FALSE), ),
IF(IFERROR(SEARCH("Reaper",L141),0) &gt; 0 , VLOOKUP("Reaper", vote4TRAITS!A:C , 3, FALSE), ),
IF(IFERROR(SEARCH("Riposte",L141),0) &gt; 0 , VLOOKUP("Riposte", vote4TRAITS!A:C , 3, FALSE)),
IF(IFERROR(SEARCH("Scamper",L141),0) &gt; 0 , VLOOKUP("Scamper", vote4TRAITS!A:C , 3, FALSE), ),
IF(IFERROR(SEARCH("Small Beginnings",L141),0) &gt; 0 , VLOOKUP("Small Beginnings", vote4TRAITS!A:C , 3, FALSE), ),
IF(IFERROR(SEARCH("Spawner",L141),0) &gt; 0 , VLOOKUP("Spawner", vote4TRAITS!A:C , 3,FALSE), ),
IF(IFERROR(SEARCH("Shadowr",L141),0) &gt; 0 , VLOOKUP("Shadow", vote4TRAITS!A:C , 3,FALSE), ),
IF(IFERROR(SEARCH("Shadow Step",L141),0) &gt; 0 , VLOOKUP("Shadow Step", vote4TRAITS!A:C , 3,FALSE), ),
IF(IFERROR(SEARCH("Shambling",L141),0) &gt; 0 , VLOOKUP("Shambling", vote4TRAITS!A:C , 3,FALSE), ),
IF(IFERROR(SEARCH("Stealthy",L141),0) &gt; 0 , VLOOKUP("Stealthy", vote4TRAITS!A:C , 3, FALSE), ),
IF(IFERROR(SEARCH("Web",L141),0) &gt; 0 , VLOOKUP("Web", vote4TRAITS!A:C , 3, FALSE), ),
IF(IFERROR(SEARCH("+1 Willpower",L141),0) &gt; 0 , VLOOKUP("+1 Willpower", vote4TRAITS!A:C , 3, FALSE), ),
IF(IFERROR(SEARCH("+1 Might",L141),0) &gt; 0 , VLOOKUP("+1 Might", vote4TRAITS!A:C , 3, FALSE), ),
IF(IFERROR(SEARCH("+1 Knowledge",L141),0) &gt; 0 , VLOOKUP("+1 Knowledge", vote4TRAITS!A:C , 3, FALSE), ),
IF(IFERROR(SEARCH("+1 Awareness",L141),0) &gt; 0 , VLOOKUP("+1 Awareness", vote4TRAITS!A:C , 3, FALSE), ),
IF(IFERROR(SEARCH("-1 Willpower",L141),0) &gt; 0 , VLOOKUP("-1 Willpower", vote4TRAITS!A:C , 3, FALSE), ),
IF(IFERROR(SEARCH("+1 Health",L141),0) &gt; 0 , VLOOKUP("+1 Health", vote4TRAITS!A:C , 3, FALSE), ),
IF(IFERROR(SEARCH("+2 Health",L141),0) &gt; 0 , VLOOKUP("+2 Health", vote4TRAITS!A:C , 3, FALSE), ),
IF(IFERROR(SEARCH("+1 Stamina",L141),0) &gt; 0 , VLOOKUP("+1 Stamina", vote4TRAITS!A:C , 3, FALSE), ),
IF(IFERROR(SEARCH("+2 Stamina",L141),0) &gt; 0 , VLOOKUP("+2 Stamina", vote4TRAITS!A:C , 3, FALSE), ),
IFS(
IFERROR(SEARCH("+1 Range", L141),) &gt; 0 ,VLOOKUP("+1 Range", vote4TRAITS!A:C , 3, FALSE),
IFERROR(SEARCH("+2 Range", L141),) &gt; 0 ,VLOOKUP("+2 Range", vote4TRAITS!A:C , 3, FALSE),
IFERROR(SEARCH("+3 Range", L141),) &gt; 0,VLOOKUP("+3 Range", vote4TRAITS!A:C , 3, FALSE),
0=0,0)
,
IFS(
IFERROR(SEARCH("Sorcery 1", L141),) &gt; 0 ,VLOOKUP("Sorcery 1", vote4TRAITS!A:C , 3, FALSE),
IFERROR(SEARCH("Sorcery 2", L141),) &gt; 0 ,VLOOKUP("Sorcery 2", vote4TRAITS!A:C , 3, FALSE),
IFERROR(SEARCH("Sorcery 3", L141),) &gt; 0,VLOOKUP("Sorcery 3", vote4TRAITS!A:C , 3, FALSE),
0=0,0)
,
IFS(
IFERROR(SEARCH("Pierce 1", L141),) &gt; 0 ,VLOOKUP("Pierce 1", vote4TRAITS!A:C , 3, FALSE),
IFERROR(SEARCH("Pierce 2", L141),) &gt; 0 ,VLOOKUP("Pierce 2", vote4TRAITS!A:C , 3, FALSE),
IFERROR(SEARCH("Pierce 3", L141),) &gt; 0,VLOOKUP("Pierce 3", vote4TRAITS!A:C , 3, FALSE),
IFERROR(SEARCH("Pierce 4", L141),) &gt; 0 ,VLOOKUP("Pierce 4", vote4TRAITS!A:C , 3, FALSE),
0=0,0)
,
IFS(
IFERROR(SEARCH("+1 Health", L141),) &gt; 0 ,VLOOKUP("+1 Health", vote4TRAITS!A:C , 3, FALSE),
IFERROR(SEARCH("+2 Health", L141),) &gt; 0 ,VLOOKUP("+2 Health", vote4TRAITS!A:C , 3, FALSE),
IFERROR(SEARCH("+3 Health", L141),) &gt; 0 ,VLOOKUP("+3 Health", vote4TRAITS!A:C , 3, FALSE),
IFERROR(SEARCH("+4 Health", L141),) &gt; 0 ,VLOOKUP("+4 Health", vote4TRAITS!A:C , 3, FALSE),
0=0,0)
,
IFS(
IFERROR(SEARCH("Soul Shackle 1", L141),) &gt; 0 ,VLOOKUP("Soul Shackle 1", vote4TRAITS!A:C , 3, FALSE),
IFERROR(SEARCH("Soul Shackle 2", L141),) &gt; 0 ,VLOOKUP("Soul Shackle 2", vote4TRAITS!A:C , 3, FALSE),
IFERROR(SEARCH("Soul Shackle 3", L141),) &gt; 0,VLOOKUP("Soul Shackle 3", vote4TRAITS!A:C , 3, FALSE),
0=0,0)
)</f>
        <v>0</v>
      </c>
      <c r="N141" s="313"/>
      <c r="O141" s="317" t="str">
        <f>IF(ISBLANK(N141),,IFERROR(
IF(IFERROR(SEARCH("SS:",N141),0) &gt; 0, 
VLOOKUP(SUBSTITUTE(N141,"SS: ",""),vote4SURGE!$A:$C , 3, FALSE) - 2,
VLOOKUP(SUBSTITUTE(N141,"S: ",""),vote4SURGE!$A:$C , 3, FALSE)
)
,
IF(IFERROR(SEARCH("SS:",N141),0) &gt; 0, 
VLOOKUP(C141,vote4SURGE!$A:$C , 3, FALSE) - 2,
VLOOKUP(C141,vote4SURGE!$A:$C , 3, FALSE)
)
))</f>
        <v/>
      </c>
      <c r="P141" s="318"/>
      <c r="Q141" s="317" t="str">
        <f>IF(ISBLANK(P141),,IFERROR(
IF(IFERROR(SEARCH("SS:",P141),0) &gt; 0, 
VLOOKUP(SUBSTITUTE(P141,"SS: ",""),vote4SURGE!$A:$C , 3, FALSE) - 2,
VLOOKUP(SUBSTITUTE(P141,"S: ",""),vote4SURGE!$A:$C , 3, FALSE)
)
,
IF(IFERROR(SEARCH("SS:",P141),0) &gt; 0, 
VLOOKUP(C141,vote4SURGE!$A:$C , 3, FALSE) - 2,
VLOOKUP(C141,vote4SURGE!$A:$C , 3, FALSE)
)
))</f>
        <v/>
      </c>
      <c r="R141" s="318"/>
      <c r="S141" s="319" t="str">
        <f>IF(ISBLANK(R141),,IFERROR(
IF(IFERROR(SEARCH("SS:",R141),0) &gt; 0, 
VLOOKUP(SUBSTITUTE(R141,"SS: ",""),vote4SURGE!$A:$C , 3, FALSE) - 2,
VLOOKUP(SUBSTITUTE(R141,"S: ",""),vote4SURGE!$A:$C , 3, FALSE)
)
,
IF(IFERROR(SEARCH("SS:",R141),0) &gt; 0, 
VLOOKUP(C141,vote4SURGE!$A:$C , 3, FALSE) - 2,
VLOOKUP(C141,vote4SURGE!$A:$C , 3, FALSE)
)
))</f>
        <v/>
      </c>
      <c r="T141" s="320">
        <f t="shared" si="2"/>
        <v>0</v>
      </c>
      <c r="U141" s="320">
        <f>IFERROR(__xludf.DUMMYFUNCTION("ROUND(
IF(ISBLANK(G141),,
SWITCH(
LEN(G141) - LEN(SUBSTITUTE(G141,"","","""")),
0 , VLOOKUP(G141, Variables!$A:$C, 3, FALSE),
1 , VLOOKUP(index(split(G141 ,"", "", FALSE),1,1), Variables!$A:$C , 3, FALSE) + VLOOKUP(index(split(G141 ,"", "", FALSE),1,2), V"&amp;"ariables!$A:$C , 3, FALSE),
2 , VLOOKUP(index(split(G141 ,"", "", FALSE),1,1), Variables!$A:$C , 3, FALSE) + VLOOKUP(index(split(G141 ,"", "", FALSE),1,2), Variables!$A:$C , 3, FALSE) + VLOOKUP(index(split(G141 ,"", "", FALSE),1,3), Variables!$A:$C , 3, F"&amp;"ALSE),
3 , VLOOKUP(index(split(G141 ,"", "", FALSE),1,1), Variables!$A:$C , 3, FALSE) + VLOOKUP(index(split(G141 ,"", "", FALSE),1,2), Variables!$A:$C , 3, FALSE) + VLOOKUP(index(split(G141 ,"", "", FALSE),1,3), Variables!$A:$C , 3, FALSE) + VLOOKUP(index"&amp;"(split(G141 ,"", "", FALSE),1,4), Variables!$A:$C , 3, FALSE),
)
)
)"),0.0)</f>
        <v>0</v>
      </c>
      <c r="V141" s="317">
        <f t="shared" si="3"/>
        <v>0</v>
      </c>
      <c r="W141" s="321">
        <f t="shared" si="4"/>
        <v>3.666666667</v>
      </c>
      <c r="X141" s="118"/>
      <c r="Y141" s="118"/>
      <c r="Z141" s="118"/>
      <c r="AA141" s="118"/>
      <c r="AB141" s="118"/>
      <c r="AC141" s="118"/>
      <c r="AD141" s="118"/>
      <c r="AE141" s="118"/>
    </row>
    <row r="142" hidden="1">
      <c r="A142" s="310" t="s">
        <v>1556</v>
      </c>
      <c r="B142" s="93" t="str">
        <f t="shared" si="1"/>
        <v/>
      </c>
      <c r="C142" s="310" t="s">
        <v>942</v>
      </c>
      <c r="D142" s="323">
        <v>0.0</v>
      </c>
      <c r="E142" s="310" t="s">
        <v>1629</v>
      </c>
      <c r="F142" s="310"/>
      <c r="G142" s="313"/>
      <c r="H142" s="312" t="str">
        <f>IFERROR(__xludf.DUMMYFUNCTION(" IF(ISBLANK(G142),,
SWITCH(
LEN(G142) - LEN(SUBSTITUTE(G142,"","","""")),
0 , VLOOKUP(G142, Variables!$A:$B, 2, FALSE),
1 , VLOOKUP(index(split(G142 ,"", "", FALSE),1,1), Variables!$A:$B , 2, FALSE) + VLOOKUP(index(split(G142 ,"", "", FALSE),1,2), Variabl"&amp;"es!$A:$B , 2, FALSE),
2 , VLOOKUP(index(split(G142 ,"", "", FALSE),1,1), Variables!$A:$B , 2, FALSE) + VLOOKUP(index(split(G142 ,"", "", FALSE),1,2), Variables!$A:$B , 2, FALSE) + VLOOKUP(index(split(G142 ,"", "", FALSE),1,3), Variables!$A:$B , 2, FALSE),"&amp;"
3 , VLOOKUP(index(split(G142 ,"", "", FALSE),1,1), Variables!$A:$B , 2, FALSE) + VLOOKUP(index(split(G142 ,"", "", FALSE),1,2), Variables!$A:$B , 2, FALSE) + VLOOKUP(index(split(G142 ,"", "", FALSE),1,3), Variables!$A:$B , 2, FALSE) + VLOOKUP(index(split"&amp;"(G142 ,"", "", FALSE),1,4), Variables!$A:$B , 2, FALSE),
)
)"),"")</f>
        <v/>
      </c>
      <c r="I142" s="310" t="s">
        <v>1641</v>
      </c>
      <c r="J142" s="313" t="s">
        <v>943</v>
      </c>
      <c r="K142" s="314">
        <f>IFERROR(VLOOKUP(C142,vote4ITEMS!$A:$C, 3, FALSE),)</f>
        <v>3.666666667</v>
      </c>
      <c r="L142" s="324"/>
      <c r="M142" s="314">
        <f>SUM(
IF(IFERROR(SEARCH("Aura 1",L142),0) &gt; 0 , VLOOKUP("Aura 1", vote4TRAITS!A:C , 3, FALSE), ),
IF(IFERROR(SEARCH("Backswing",L142),0) &gt; 0 , VLOOKUP("Backswing", vote4TRAITS!A:C , 3, FALSE), ),
IF(IFERROR(SEARCH("Blast",L142),0) &gt; 0 , VLOOKUP("Blast", vote4TRAITS!A:C , 3, FALSE), ),
IF(IFERROR(SEARCH("Combustible",L142),0) &gt; 0 , VLOOKUP("Combustible", vote4TRAITS!A:C , 3, FALSE), ),
IF(IFERROR(SEARCH("Command",L142),0) &gt; 0 , VLOOKUP("Command", vote4TRAITS!A:C , 3, FALSE), ),
IF(IFERROR(SEARCH("Cowardly",L142),0) &gt; 0 , VLOOKUP("Cowardly", vote4TRAITS!A:C , 3, FALSE), ),
IF(IFERROR(SEARCH("Death Wish",L142),0) &gt; 0 , VLOOKUP("Death Wish", vote4TRAITS!A:C , 3, FALSE), ),
IF(IFERROR(SEARCH("Entomb",L142),0) &gt; 0 , VLOOKUP("Entomb", vote4TRAITS!A:C , 3, FALSE), ),
IF(IFERROR(SEARCH("Ethereal Hold",L142),0) &gt; 0 , VLOOKUP("Ethereal Hold", vote4TRAITS!A:C , 3, FALSE), ),
IF(IFERROR(SEARCH("Extend",L142),0) &gt; 0 , VLOOKUP("Extend", vote4TRAITS!A:C , 3, FALSE), ),
IF(IFERROR(SEARCH("Filthy Murk",L142),0) &gt; 0 , VLOOKUP("Filthy Murk", vote4TRAITS!A:C , 3, FALSE), ),
IF(IFERROR(SEARCH("Flame Fiend",L142),0) &gt; 0 , VLOOKUP("Flame Fiend", vote4TRAITS!A:C , 3, FALSE), ),
IF(IFERROR(SEARCH("Fleshmonger",L142),0) &gt; 0 , VLOOKUP("Fleshmonger", vote4TRAITS!A:C , 3, FALSE), ),
IF(IFERROR(SEARCH("Fly",L142),0) &gt; 0 , VLOOKUP("Fly", vote4TRAITS!A:C , 3, FALSE), ),
IF(IFERROR(SEARCH("Freezing",L142),0) &gt; 0 , VLOOKUP("Freezing", vote4TRAITS!A:C , 3, FALSE), ),
IF(IFERROR(SEARCH("Lithesome",L142),0) &gt; 0 , VLOOKUP("Lithesome", vote4TRAITS!A:C , 3, FALSE), ),
IF(IFERROR(SEARCH("Harrowing",L142),0) &gt; 0 , VLOOKUP("Harrowing", vote4TRAITS!A:C , 3, FALSE), ),
IF(IFERROR(SEARCH("Hideous Laughter",L142),0) &gt; 0 , VLOOKUP("Hideous Laughter", vote4TRAITS!A:C , 3, FALSE), ),
IF(IFERROR(SEARCH("Hive Defense",L142),0) &gt; 0 , VLOOKUP("Hive Defense", vote4TRAITS!A:C , 3, FALSE), ),
IF(IFERROR(SEARCH("Horrifying",L142),0) &gt; 0 , VLOOKUP("Horrifying", vote4TRAITS!A:C , 3, FALSE), ),
IF(IFERROR(SEARCH("Ironskin",L142),0) &gt; 0 , VLOOKUP("Ironskin", vote4TRAITS!A:C , 3, FALSE), ),
IF(IFERROR(SEARCH("Unmovable",L142),0) &gt; 0 , VLOOKUP("Unmovable", vote4TRAITS!A:C , 3, FALSE), ),
IF(IFERROR(SEARCH("Lifethirst 1",L142),0) &gt; 0 , VLOOKUP("Lifethirst 1", vote4TRAITS!A:C , 3, FALSE), ),
IF(IFERROR(SEARCH("Lifethirst 2",L142),0) &gt; 0 , VLOOKUP("Lifethirst 2", vote4TRAITS!A:C , 3, FALSE), ),
IF(IFERROR(SEARCH("Morph",L142),0) &gt; 0 , VLOOKUP("Morph", vote4TRAITS!A:C , 3, FALSE), ),
IF(IFERROR(SEARCH("Night Stalker",L142),0) &gt; 0 , VLOOKUP("Night Stalker", vote4TRAITS!A:C , 3, FALSE), ),
IF(IFERROR(SEARCH("Overflowing",L142),0) &gt; 0 , VLOOKUP("Overflowing", vote4TRAITS!A:C , 3, FALSE), ),
IF(IFERROR(SEARCH("Pestilence",L142),0) &gt; 0 , VLOOKUP("Pestilence", vote4TRAITS!A:C , 3, FALSE), ),
IF(IFERROR(SEARCH("Phalanx",L142),0) &gt; 0 , VLOOKUP("Phalanx", vote4TRAITS!A:C , 3, FALSE), ),
IF(IFERROR(SEARCH("Plagued",L142),0) &gt; 0 , VLOOKUP("Plagued", vote4TRAITS!A:C , 3, FALSE), ),
IF(IFERROR(SEARCH("Prey on the Weak",L142),0) &gt; 0 , VLOOKUP("Prey on the Weak", vote4TRAITS!A:C , 3, FALSE), ),
IF(IFERROR(SEARCH("Protect",L142),0) &gt; 0 , VLOOKUP("Protect", vote4TRAITS!A:C , 3, FALSE), ),
IF(IFERROR(SEARCH("Puncture",L142),0) &gt; 0 , VLOOKUP("Puncture", vote4TRAITS!A:C , 3, FALSE), ),
IF(IFERROR(SEARCH("Putrid Boils",L142),0) &gt; 0 , VLOOKUP("Putrid Boils", vote4TRAITS!A:C , 3, FALSE), ),
IF(IFERROR(SEARCH("Ravage",L142),0) &gt; 0 , VLOOKUP("Ravage", vote4TRAITS!A:C , 3, FALSE), ),
IF(IFERROR(SEARCH("Ravenous",L142),0) &gt; 0 , VLOOKUP("Ravenous", vote4TRAITS!A:C , 3, FALSE), ),
IF(IFERROR(SEARCH("Reach",L142),0) &gt; 0 , VLOOKUP("Reach", vote4TRAITS!A:C , 3, FALSE), ),
IF(IFERROR(SEARCH("Reanimation",L142),0) &gt; 0 , VLOOKUP("Reanimation", vote4TRAITS!A:C , 3, FALSE), ),
IF(IFERROR(SEARCH("Reaper",L142),0) &gt; 0 , VLOOKUP("Reaper", vote4TRAITS!A:C , 3, FALSE), ),
IF(IFERROR(SEARCH("Riposte",L142),0) &gt; 0 , VLOOKUP("Riposte", vote4TRAITS!A:C , 3, FALSE)),
IF(IFERROR(SEARCH("Scamper",L142),0) &gt; 0 , VLOOKUP("Scamper", vote4TRAITS!A:C , 3, FALSE), ),
IF(IFERROR(SEARCH("Small Beginnings",L142),0) &gt; 0 , VLOOKUP("Small Beginnings", vote4TRAITS!A:C , 3, FALSE), ),
IF(IFERROR(SEARCH("Spawner",L142),0) &gt; 0 , VLOOKUP("Spawner", vote4TRAITS!A:C , 3,FALSE), ),
IF(IFERROR(SEARCH("Shadowr",L142),0) &gt; 0 , VLOOKUP("Shadow", vote4TRAITS!A:C , 3,FALSE), ),
IF(IFERROR(SEARCH("Shadow Step",L142),0) &gt; 0 , VLOOKUP("Shadow Step", vote4TRAITS!A:C , 3,FALSE), ),
IF(IFERROR(SEARCH("Shambling",L142),0) &gt; 0 , VLOOKUP("Shambling", vote4TRAITS!A:C , 3,FALSE), ),
IF(IFERROR(SEARCH("Stealthy",L142),0) &gt; 0 , VLOOKUP("Stealthy", vote4TRAITS!A:C , 3, FALSE), ),
IF(IFERROR(SEARCH("Web",L142),0) &gt; 0 , VLOOKUP("Web", vote4TRAITS!A:C , 3, FALSE), ),
IF(IFERROR(SEARCH("+1 Willpower",L142),0) &gt; 0 , VLOOKUP("+1 Willpower", vote4TRAITS!A:C , 3, FALSE), ),
IF(IFERROR(SEARCH("+1 Might",L142),0) &gt; 0 , VLOOKUP("+1 Might", vote4TRAITS!A:C , 3, FALSE), ),
IF(IFERROR(SEARCH("+1 Knowledge",L142),0) &gt; 0 , VLOOKUP("+1 Knowledge", vote4TRAITS!A:C , 3, FALSE), ),
IF(IFERROR(SEARCH("+1 Awareness",L142),0) &gt; 0 , VLOOKUP("+1 Awareness", vote4TRAITS!A:C , 3, FALSE), ),
IF(IFERROR(SEARCH("-1 Willpower",L142),0) &gt; 0 , VLOOKUP("-1 Willpower", vote4TRAITS!A:C , 3, FALSE), ),
IF(IFERROR(SEARCH("+1 Health",L142),0) &gt; 0 , VLOOKUP("+1 Health", vote4TRAITS!A:C , 3, FALSE), ),
IF(IFERROR(SEARCH("+2 Health",L142),0) &gt; 0 , VLOOKUP("+2 Health", vote4TRAITS!A:C , 3, FALSE), ),
IF(IFERROR(SEARCH("+1 Stamina",L142),0) &gt; 0 , VLOOKUP("+1 Stamina", vote4TRAITS!A:C , 3, FALSE), ),
IF(IFERROR(SEARCH("+2 Stamina",L142),0) &gt; 0 , VLOOKUP("+2 Stamina", vote4TRAITS!A:C , 3, FALSE), ),
IFS(
IFERROR(SEARCH("+1 Range", L142),) &gt; 0 ,VLOOKUP("+1 Range", vote4TRAITS!A:C , 3, FALSE),
IFERROR(SEARCH("+2 Range", L142),) &gt; 0 ,VLOOKUP("+2 Range", vote4TRAITS!A:C , 3, FALSE),
IFERROR(SEARCH("+3 Range", L142),) &gt; 0,VLOOKUP("+3 Range", vote4TRAITS!A:C , 3, FALSE),
0=0,0)
,
IFS(
IFERROR(SEARCH("Sorcery 1", L142),) &gt; 0 ,VLOOKUP("Sorcery 1", vote4TRAITS!A:C , 3, FALSE),
IFERROR(SEARCH("Sorcery 2", L142),) &gt; 0 ,VLOOKUP("Sorcery 2", vote4TRAITS!A:C , 3, FALSE),
IFERROR(SEARCH("Sorcery 3", L142),) &gt; 0,VLOOKUP("Sorcery 3", vote4TRAITS!A:C , 3, FALSE),
0=0,0)
,
IFS(
IFERROR(SEARCH("Pierce 1", L142),) &gt; 0 ,VLOOKUP("Pierce 1", vote4TRAITS!A:C , 3, FALSE),
IFERROR(SEARCH("Pierce 2", L142),) &gt; 0 ,VLOOKUP("Pierce 2", vote4TRAITS!A:C , 3, FALSE),
IFERROR(SEARCH("Pierce 3", L142),) &gt; 0,VLOOKUP("Pierce 3", vote4TRAITS!A:C , 3, FALSE),
IFERROR(SEARCH("Pierce 4", L142),) &gt; 0 ,VLOOKUP("Pierce 4", vote4TRAITS!A:C , 3, FALSE),
0=0,0)
,
IFS(
IFERROR(SEARCH("+1 Health", L142),) &gt; 0 ,VLOOKUP("+1 Health", vote4TRAITS!A:C , 3, FALSE),
IFERROR(SEARCH("+2 Health", L142),) &gt; 0 ,VLOOKUP("+2 Health", vote4TRAITS!A:C , 3, FALSE),
IFERROR(SEARCH("+3 Health", L142),) &gt; 0 ,VLOOKUP("+3 Health", vote4TRAITS!A:C , 3, FALSE),
IFERROR(SEARCH("+4 Health", L142),) &gt; 0 ,VLOOKUP("+4 Health", vote4TRAITS!A:C , 3, FALSE),
0=0,0)
,
IFS(
IFERROR(SEARCH("Soul Shackle 1", L142),) &gt; 0 ,VLOOKUP("Soul Shackle 1", vote4TRAITS!A:C , 3, FALSE),
IFERROR(SEARCH("Soul Shackle 2", L142),) &gt; 0 ,VLOOKUP("Soul Shackle 2", vote4TRAITS!A:C , 3, FALSE),
IFERROR(SEARCH("Soul Shackle 3", L142),) &gt; 0,VLOOKUP("Soul Shackle 3", vote4TRAITS!A:C , 3, FALSE),
0=0,0)
)</f>
        <v>0</v>
      </c>
      <c r="N142" s="330"/>
      <c r="O142" s="317" t="str">
        <f>IF(ISBLANK(N142),,IFERROR(
IF(IFERROR(SEARCH("SS:",N142),0) &gt; 0, 
VLOOKUP(SUBSTITUTE(N142,"SS: ",""),vote4SURGE!$A:$C , 3, FALSE) - 2,
VLOOKUP(SUBSTITUTE(N142,"S: ",""),vote4SURGE!$A:$C , 3, FALSE)
)
,
IF(IFERROR(SEARCH("SS:",N142),0) &gt; 0, 
VLOOKUP(C142,vote4SURGE!$A:$C , 3, FALSE) - 2,
VLOOKUP(C142,vote4SURGE!$A:$C , 3, FALSE)
)
))</f>
        <v/>
      </c>
      <c r="P142" s="318"/>
      <c r="Q142" s="317" t="str">
        <f>IF(ISBLANK(P142),,IFERROR(
IF(IFERROR(SEARCH("SS:",P142),0) &gt; 0, 
VLOOKUP(SUBSTITUTE(P142,"SS: ",""),vote4SURGE!$A:$C , 3, FALSE) - 2,
VLOOKUP(SUBSTITUTE(P142,"S: ",""),vote4SURGE!$A:$C , 3, FALSE)
)
,
IF(IFERROR(SEARCH("SS:",P142),0) &gt; 0, 
VLOOKUP(C142,vote4SURGE!$A:$C , 3, FALSE) - 2,
VLOOKUP(C142,vote4SURGE!$A:$C , 3, FALSE)
)
))</f>
        <v/>
      </c>
      <c r="R142" s="318"/>
      <c r="S142" s="319" t="str">
        <f>IF(ISBLANK(R142),,IFERROR(
IF(IFERROR(SEARCH("SS:",R142),0) &gt; 0, 
VLOOKUP(SUBSTITUTE(R142,"SS: ",""),vote4SURGE!$A:$C , 3, FALSE) - 2,
VLOOKUP(SUBSTITUTE(R142,"S: ",""),vote4SURGE!$A:$C , 3, FALSE)
)
,
IF(IFERROR(SEARCH("SS:",R142),0) &gt; 0, 
VLOOKUP(C142,vote4SURGE!$A:$C , 3, FALSE) - 2,
VLOOKUP(C142,vote4SURGE!$A:$C , 3, FALSE)
)
))</f>
        <v/>
      </c>
      <c r="T142" s="320">
        <f t="shared" si="2"/>
        <v>0</v>
      </c>
      <c r="U142" s="320">
        <f>IFERROR(__xludf.DUMMYFUNCTION("ROUND(
IF(ISBLANK(G142),,
SWITCH(
LEN(G142) - LEN(SUBSTITUTE(G142,"","","""")),
0 , VLOOKUP(G142, Variables!$A:$C, 3, FALSE),
1 , VLOOKUP(index(split(G142 ,"", "", FALSE),1,1), Variables!$A:$C , 3, FALSE) + VLOOKUP(index(split(G142 ,"", "", FALSE),1,2), V"&amp;"ariables!$A:$C , 3, FALSE),
2 , VLOOKUP(index(split(G142 ,"", "", FALSE),1,1), Variables!$A:$C , 3, FALSE) + VLOOKUP(index(split(G142 ,"", "", FALSE),1,2), Variables!$A:$C , 3, FALSE) + VLOOKUP(index(split(G142 ,"", "", FALSE),1,3), Variables!$A:$C , 3, F"&amp;"ALSE),
3 , VLOOKUP(index(split(G142 ,"", "", FALSE),1,1), Variables!$A:$C , 3, FALSE) + VLOOKUP(index(split(G142 ,"", "", FALSE),1,2), Variables!$A:$C , 3, FALSE) + VLOOKUP(index(split(G142 ,"", "", FALSE),1,3), Variables!$A:$C , 3, FALSE) + VLOOKUP(index"&amp;"(split(G142 ,"", "", FALSE),1,4), Variables!$A:$C , 3, FALSE),
)
)
)"),0.0)</f>
        <v>0</v>
      </c>
      <c r="V142" s="317">
        <f t="shared" si="3"/>
        <v>0</v>
      </c>
      <c r="W142" s="321">
        <f t="shared" si="4"/>
        <v>3.666666667</v>
      </c>
      <c r="X142" s="118"/>
      <c r="Y142" s="118"/>
      <c r="Z142" s="118"/>
      <c r="AA142" s="118"/>
      <c r="AB142" s="118"/>
      <c r="AC142" s="118"/>
      <c r="AD142" s="118"/>
      <c r="AE142" s="118"/>
    </row>
    <row r="143" hidden="1">
      <c r="A143" s="310" t="s">
        <v>1556</v>
      </c>
      <c r="B143" s="93" t="str">
        <f t="shared" si="1"/>
        <v/>
      </c>
      <c r="C143" s="310" t="s">
        <v>898</v>
      </c>
      <c r="D143" s="323">
        <v>0.0</v>
      </c>
      <c r="E143" s="310" t="s">
        <v>1629</v>
      </c>
      <c r="F143" s="310"/>
      <c r="G143" s="313"/>
      <c r="H143" s="312" t="str">
        <f>IFERROR(__xludf.DUMMYFUNCTION(" IF(ISBLANK(G143),,
SWITCH(
LEN(G143) - LEN(SUBSTITUTE(G143,"","","""")),
0 , VLOOKUP(G143, Variables!$A:$B, 2, FALSE),
1 , VLOOKUP(index(split(G143 ,"", "", FALSE),1,1), Variables!$A:$B , 2, FALSE) + VLOOKUP(index(split(G143 ,"", "", FALSE),1,2), Variabl"&amp;"es!$A:$B , 2, FALSE),
2 , VLOOKUP(index(split(G143 ,"", "", FALSE),1,1), Variables!$A:$B , 2, FALSE) + VLOOKUP(index(split(G143 ,"", "", FALSE),1,2), Variables!$A:$B , 2, FALSE) + VLOOKUP(index(split(G143 ,"", "", FALSE),1,3), Variables!$A:$B , 2, FALSE),"&amp;"
3 , VLOOKUP(index(split(G143 ,"", "", FALSE),1,1), Variables!$A:$B , 2, FALSE) + VLOOKUP(index(split(G143 ,"", "", FALSE),1,2), Variables!$A:$B , 2, FALSE) + VLOOKUP(index(split(G143 ,"", "", FALSE),1,3), Variables!$A:$B , 2, FALSE) + VLOOKUP(index(split"&amp;"(G143 ,"", "", FALSE),1,4), Variables!$A:$B , 2, FALSE),
)
)"),"")</f>
        <v/>
      </c>
      <c r="I143" s="310" t="s">
        <v>1641</v>
      </c>
      <c r="J143" s="313" t="s">
        <v>899</v>
      </c>
      <c r="K143" s="314">
        <f>IFERROR(VLOOKUP(C143,vote4ITEMS!$A:$C, 3, FALSE),)</f>
        <v>3.666666667</v>
      </c>
      <c r="L143" s="324"/>
      <c r="M143" s="314">
        <f>SUM(
IF(IFERROR(SEARCH("Aura 1",L143),0) &gt; 0 , VLOOKUP("Aura 1", vote4TRAITS!A:C , 3, FALSE), ),
IF(IFERROR(SEARCH("Backswing",L143),0) &gt; 0 , VLOOKUP("Backswing", vote4TRAITS!A:C , 3, FALSE), ),
IF(IFERROR(SEARCH("Blast",L143),0) &gt; 0 , VLOOKUP("Blast", vote4TRAITS!A:C , 3, FALSE), ),
IF(IFERROR(SEARCH("Combustible",L143),0) &gt; 0 , VLOOKUP("Combustible", vote4TRAITS!A:C , 3, FALSE), ),
IF(IFERROR(SEARCH("Command",L143),0) &gt; 0 , VLOOKUP("Command", vote4TRAITS!A:C , 3, FALSE), ),
IF(IFERROR(SEARCH("Cowardly",L143),0) &gt; 0 , VLOOKUP("Cowardly", vote4TRAITS!A:C , 3, FALSE), ),
IF(IFERROR(SEARCH("Death Wish",L143),0) &gt; 0 , VLOOKUP("Death Wish", vote4TRAITS!A:C , 3, FALSE), ),
IF(IFERROR(SEARCH("Entomb",L143),0) &gt; 0 , VLOOKUP("Entomb", vote4TRAITS!A:C , 3, FALSE), ),
IF(IFERROR(SEARCH("Ethereal Hold",L143),0) &gt; 0 , VLOOKUP("Ethereal Hold", vote4TRAITS!A:C , 3, FALSE), ),
IF(IFERROR(SEARCH("Extend",L143),0) &gt; 0 , VLOOKUP("Extend", vote4TRAITS!A:C , 3, FALSE), ),
IF(IFERROR(SEARCH("Filthy Murk",L143),0) &gt; 0 , VLOOKUP("Filthy Murk", vote4TRAITS!A:C , 3, FALSE), ),
IF(IFERROR(SEARCH("Flame Fiend",L143),0) &gt; 0 , VLOOKUP("Flame Fiend", vote4TRAITS!A:C , 3, FALSE), ),
IF(IFERROR(SEARCH("Fleshmonger",L143),0) &gt; 0 , VLOOKUP("Fleshmonger", vote4TRAITS!A:C , 3, FALSE), ),
IF(IFERROR(SEARCH("Fly",L143),0) &gt; 0 , VLOOKUP("Fly", vote4TRAITS!A:C , 3, FALSE), ),
IF(IFERROR(SEARCH("Freezing",L143),0) &gt; 0 , VLOOKUP("Freezing", vote4TRAITS!A:C , 3, FALSE), ),
IF(IFERROR(SEARCH("Lithesome",L143),0) &gt; 0 , VLOOKUP("Lithesome", vote4TRAITS!A:C , 3, FALSE), ),
IF(IFERROR(SEARCH("Harrowing",L143),0) &gt; 0 , VLOOKUP("Harrowing", vote4TRAITS!A:C , 3, FALSE), ),
IF(IFERROR(SEARCH("Hideous Laughter",L143),0) &gt; 0 , VLOOKUP("Hideous Laughter", vote4TRAITS!A:C , 3, FALSE), ),
IF(IFERROR(SEARCH("Hive Defense",L143),0) &gt; 0 , VLOOKUP("Hive Defense", vote4TRAITS!A:C , 3, FALSE), ),
IF(IFERROR(SEARCH("Horrifying",L143),0) &gt; 0 , VLOOKUP("Horrifying", vote4TRAITS!A:C , 3, FALSE), ),
IF(IFERROR(SEARCH("Ironskin",L143),0) &gt; 0 , VLOOKUP("Ironskin", vote4TRAITS!A:C , 3, FALSE), ),
IF(IFERROR(SEARCH("Unmovable",L143),0) &gt; 0 , VLOOKUP("Unmovable", vote4TRAITS!A:C , 3, FALSE), ),
IF(IFERROR(SEARCH("Lifethirst 1",L143),0) &gt; 0 , VLOOKUP("Lifethirst 1", vote4TRAITS!A:C , 3, FALSE), ),
IF(IFERROR(SEARCH("Lifethirst 2",L143),0) &gt; 0 , VLOOKUP("Lifethirst 2", vote4TRAITS!A:C , 3, FALSE), ),
IF(IFERROR(SEARCH("Morph",L143),0) &gt; 0 , VLOOKUP("Morph", vote4TRAITS!A:C , 3, FALSE), ),
IF(IFERROR(SEARCH("Night Stalker",L143),0) &gt; 0 , VLOOKUP("Night Stalker", vote4TRAITS!A:C , 3, FALSE), ),
IF(IFERROR(SEARCH("Overflowing",L143),0) &gt; 0 , VLOOKUP("Overflowing", vote4TRAITS!A:C , 3, FALSE), ),
IF(IFERROR(SEARCH("Pestilence",L143),0) &gt; 0 , VLOOKUP("Pestilence", vote4TRAITS!A:C , 3, FALSE), ),
IF(IFERROR(SEARCH("Phalanx",L143),0) &gt; 0 , VLOOKUP("Phalanx", vote4TRAITS!A:C , 3, FALSE), ),
IF(IFERROR(SEARCH("Plagued",L143),0) &gt; 0 , VLOOKUP("Plagued", vote4TRAITS!A:C , 3, FALSE), ),
IF(IFERROR(SEARCH("Prey on the Weak",L143),0) &gt; 0 , VLOOKUP("Prey on the Weak", vote4TRAITS!A:C , 3, FALSE), ),
IF(IFERROR(SEARCH("Protect",L143),0) &gt; 0 , VLOOKUP("Protect", vote4TRAITS!A:C , 3, FALSE), ),
IF(IFERROR(SEARCH("Puncture",L143),0) &gt; 0 , VLOOKUP("Puncture", vote4TRAITS!A:C , 3, FALSE), ),
IF(IFERROR(SEARCH("Putrid Boils",L143),0) &gt; 0 , VLOOKUP("Putrid Boils", vote4TRAITS!A:C , 3, FALSE), ),
IF(IFERROR(SEARCH("Ravage",L143),0) &gt; 0 , VLOOKUP("Ravage", vote4TRAITS!A:C , 3, FALSE), ),
IF(IFERROR(SEARCH("Ravenous",L143),0) &gt; 0 , VLOOKUP("Ravenous", vote4TRAITS!A:C , 3, FALSE), ),
IF(IFERROR(SEARCH("Reach",L143),0) &gt; 0 , VLOOKUP("Reach", vote4TRAITS!A:C , 3, FALSE), ),
IF(IFERROR(SEARCH("Reanimation",L143),0) &gt; 0 , VLOOKUP("Reanimation", vote4TRAITS!A:C , 3, FALSE), ),
IF(IFERROR(SEARCH("Reaper",L143),0) &gt; 0 , VLOOKUP("Reaper", vote4TRAITS!A:C , 3, FALSE), ),
IF(IFERROR(SEARCH("Riposte",L143),0) &gt; 0 , VLOOKUP("Riposte", vote4TRAITS!A:C , 3, FALSE)),
IF(IFERROR(SEARCH("Scamper",L143),0) &gt; 0 , VLOOKUP("Scamper", vote4TRAITS!A:C , 3, FALSE), ),
IF(IFERROR(SEARCH("Small Beginnings",L143),0) &gt; 0 , VLOOKUP("Small Beginnings", vote4TRAITS!A:C , 3, FALSE), ),
IF(IFERROR(SEARCH("Spawner",L143),0) &gt; 0 , VLOOKUP("Spawner", vote4TRAITS!A:C , 3,FALSE), ),
IF(IFERROR(SEARCH("Shadowr",L143),0) &gt; 0 , VLOOKUP("Shadow", vote4TRAITS!A:C , 3,FALSE), ),
IF(IFERROR(SEARCH("Shadow Step",L143),0) &gt; 0 , VLOOKUP("Shadow Step", vote4TRAITS!A:C , 3,FALSE), ),
IF(IFERROR(SEARCH("Shambling",L143),0) &gt; 0 , VLOOKUP("Shambling", vote4TRAITS!A:C , 3,FALSE), ),
IF(IFERROR(SEARCH("Stealthy",L143),0) &gt; 0 , VLOOKUP("Stealthy", vote4TRAITS!A:C , 3, FALSE), ),
IF(IFERROR(SEARCH("Web",L143),0) &gt; 0 , VLOOKUP("Web", vote4TRAITS!A:C , 3, FALSE), ),
IF(IFERROR(SEARCH("+1 Willpower",L143),0) &gt; 0 , VLOOKUP("+1 Willpower", vote4TRAITS!A:C , 3, FALSE), ),
IF(IFERROR(SEARCH("+1 Might",L143),0) &gt; 0 , VLOOKUP("+1 Might", vote4TRAITS!A:C , 3, FALSE), ),
IF(IFERROR(SEARCH("+1 Knowledge",L143),0) &gt; 0 , VLOOKUP("+1 Knowledge", vote4TRAITS!A:C , 3, FALSE), ),
IF(IFERROR(SEARCH("+1 Awareness",L143),0) &gt; 0 , VLOOKUP("+1 Awareness", vote4TRAITS!A:C , 3, FALSE), ),
IF(IFERROR(SEARCH("-1 Willpower",L143),0) &gt; 0 , VLOOKUP("-1 Willpower", vote4TRAITS!A:C , 3, FALSE), ),
IF(IFERROR(SEARCH("+1 Health",L143),0) &gt; 0 , VLOOKUP("+1 Health", vote4TRAITS!A:C , 3, FALSE), ),
IF(IFERROR(SEARCH("+2 Health",L143),0) &gt; 0 , VLOOKUP("+2 Health", vote4TRAITS!A:C , 3, FALSE), ),
IF(IFERROR(SEARCH("+1 Stamina",L143),0) &gt; 0 , VLOOKUP("+1 Stamina", vote4TRAITS!A:C , 3, FALSE), ),
IF(IFERROR(SEARCH("+2 Stamina",L143),0) &gt; 0 , VLOOKUP("+2 Stamina", vote4TRAITS!A:C , 3, FALSE), ),
IFS(
IFERROR(SEARCH("+1 Range", L143),) &gt; 0 ,VLOOKUP("+1 Range", vote4TRAITS!A:C , 3, FALSE),
IFERROR(SEARCH("+2 Range", L143),) &gt; 0 ,VLOOKUP("+2 Range", vote4TRAITS!A:C , 3, FALSE),
IFERROR(SEARCH("+3 Range", L143),) &gt; 0,VLOOKUP("+3 Range", vote4TRAITS!A:C , 3, FALSE),
0=0,0)
,
IFS(
IFERROR(SEARCH("Sorcery 1", L143),) &gt; 0 ,VLOOKUP("Sorcery 1", vote4TRAITS!A:C , 3, FALSE),
IFERROR(SEARCH("Sorcery 2", L143),) &gt; 0 ,VLOOKUP("Sorcery 2", vote4TRAITS!A:C , 3, FALSE),
IFERROR(SEARCH("Sorcery 3", L143),) &gt; 0,VLOOKUP("Sorcery 3", vote4TRAITS!A:C , 3, FALSE),
0=0,0)
,
IFS(
IFERROR(SEARCH("Pierce 1", L143),) &gt; 0 ,VLOOKUP("Pierce 1", vote4TRAITS!A:C , 3, FALSE),
IFERROR(SEARCH("Pierce 2", L143),) &gt; 0 ,VLOOKUP("Pierce 2", vote4TRAITS!A:C , 3, FALSE),
IFERROR(SEARCH("Pierce 3", L143),) &gt; 0,VLOOKUP("Pierce 3", vote4TRAITS!A:C , 3, FALSE),
IFERROR(SEARCH("Pierce 4", L143),) &gt; 0 ,VLOOKUP("Pierce 4", vote4TRAITS!A:C , 3, FALSE),
0=0,0)
,
IFS(
IFERROR(SEARCH("+1 Health", L143),) &gt; 0 ,VLOOKUP("+1 Health", vote4TRAITS!A:C , 3, FALSE),
IFERROR(SEARCH("+2 Health", L143),) &gt; 0 ,VLOOKUP("+2 Health", vote4TRAITS!A:C , 3, FALSE),
IFERROR(SEARCH("+3 Health", L143),) &gt; 0 ,VLOOKUP("+3 Health", vote4TRAITS!A:C , 3, FALSE),
IFERROR(SEARCH("+4 Health", L143),) &gt; 0 ,VLOOKUP("+4 Health", vote4TRAITS!A:C , 3, FALSE),
0=0,0)
,
IFS(
IFERROR(SEARCH("Soul Shackle 1", L143),) &gt; 0 ,VLOOKUP("Soul Shackle 1", vote4TRAITS!A:C , 3, FALSE),
IFERROR(SEARCH("Soul Shackle 2", L143),) &gt; 0 ,VLOOKUP("Soul Shackle 2", vote4TRAITS!A:C , 3, FALSE),
IFERROR(SEARCH("Soul Shackle 3", L143),) &gt; 0,VLOOKUP("Soul Shackle 3", vote4TRAITS!A:C , 3, FALSE),
0=0,0)
)</f>
        <v>0</v>
      </c>
      <c r="N143" s="330"/>
      <c r="O143" s="317" t="str">
        <f>IF(ISBLANK(N143),,IFERROR(
IF(IFERROR(SEARCH("SS:",N143),0) &gt; 0, 
VLOOKUP(SUBSTITUTE(N143,"SS: ",""),vote4SURGE!$A:$C , 3, FALSE) - 2,
VLOOKUP(SUBSTITUTE(N143,"S: ",""),vote4SURGE!$A:$C , 3, FALSE)
)
,
IF(IFERROR(SEARCH("SS:",N143),0) &gt; 0, 
VLOOKUP(C143,vote4SURGE!$A:$C , 3, FALSE) - 2,
VLOOKUP(C143,vote4SURGE!$A:$C , 3, FALSE)
)
))</f>
        <v/>
      </c>
      <c r="P143" s="318"/>
      <c r="Q143" s="317" t="str">
        <f>IF(ISBLANK(P143),,IFERROR(
IF(IFERROR(SEARCH("SS:",P143),0) &gt; 0, 
VLOOKUP(SUBSTITUTE(P143,"SS: ",""),vote4SURGE!$A:$C , 3, FALSE) - 2,
VLOOKUP(SUBSTITUTE(P143,"S: ",""),vote4SURGE!$A:$C , 3, FALSE)
)
,
IF(IFERROR(SEARCH("SS:",P143),0) &gt; 0, 
VLOOKUP(C143,vote4SURGE!$A:$C , 3, FALSE) - 2,
VLOOKUP(C143,vote4SURGE!$A:$C , 3, FALSE)
)
))</f>
        <v/>
      </c>
      <c r="R143" s="318"/>
      <c r="S143" s="319" t="str">
        <f>IF(ISBLANK(R143),,IFERROR(
IF(IFERROR(SEARCH("SS:",R143),0) &gt; 0, 
VLOOKUP(SUBSTITUTE(R143,"SS: ",""),vote4SURGE!$A:$C , 3, FALSE) - 2,
VLOOKUP(SUBSTITUTE(R143,"S: ",""),vote4SURGE!$A:$C , 3, FALSE)
)
,
IF(IFERROR(SEARCH("SS:",R143),0) &gt; 0, 
VLOOKUP(C143,vote4SURGE!$A:$C , 3, FALSE) - 2,
VLOOKUP(C143,vote4SURGE!$A:$C , 3, FALSE)
)
))</f>
        <v/>
      </c>
      <c r="T143" s="320">
        <f t="shared" si="2"/>
        <v>0</v>
      </c>
      <c r="U143" s="320">
        <f>IFERROR(__xludf.DUMMYFUNCTION("ROUND(
IF(ISBLANK(G143),,
SWITCH(
LEN(G143) - LEN(SUBSTITUTE(G143,"","","""")),
0 , VLOOKUP(G143, Variables!$A:$C, 3, FALSE),
1 , VLOOKUP(index(split(G143 ,"", "", FALSE),1,1), Variables!$A:$C , 3, FALSE) + VLOOKUP(index(split(G143 ,"", "", FALSE),1,2), V"&amp;"ariables!$A:$C , 3, FALSE),
2 , VLOOKUP(index(split(G143 ,"", "", FALSE),1,1), Variables!$A:$C , 3, FALSE) + VLOOKUP(index(split(G143 ,"", "", FALSE),1,2), Variables!$A:$C , 3, FALSE) + VLOOKUP(index(split(G143 ,"", "", FALSE),1,3), Variables!$A:$C , 3, F"&amp;"ALSE),
3 , VLOOKUP(index(split(G143 ,"", "", FALSE),1,1), Variables!$A:$C , 3, FALSE) + VLOOKUP(index(split(G143 ,"", "", FALSE),1,2), Variables!$A:$C , 3, FALSE) + VLOOKUP(index(split(G143 ,"", "", FALSE),1,3), Variables!$A:$C , 3, FALSE) + VLOOKUP(index"&amp;"(split(G143 ,"", "", FALSE),1,4), Variables!$A:$C , 3, FALSE),
)
)
)"),0.0)</f>
        <v>0</v>
      </c>
      <c r="V143" s="317">
        <f t="shared" si="3"/>
        <v>0</v>
      </c>
      <c r="W143" s="321">
        <f t="shared" si="4"/>
        <v>3.666666667</v>
      </c>
      <c r="X143" s="118"/>
      <c r="Y143" s="118"/>
      <c r="Z143" s="118"/>
      <c r="AA143" s="118"/>
      <c r="AB143" s="118"/>
      <c r="AC143" s="118"/>
      <c r="AD143" s="118"/>
      <c r="AE143" s="118"/>
    </row>
    <row r="144" hidden="1">
      <c r="A144" s="310">
        <v>2.0</v>
      </c>
      <c r="B144" s="93">
        <f t="shared" si="1"/>
        <v>5</v>
      </c>
      <c r="C144" s="310" t="s">
        <v>896</v>
      </c>
      <c r="D144" s="310">
        <v>225.0</v>
      </c>
      <c r="E144" s="310" t="s">
        <v>1620</v>
      </c>
      <c r="F144" s="310"/>
      <c r="G144" s="313" t="s">
        <v>1676</v>
      </c>
      <c r="H144" s="312">
        <f>IFERROR(__xludf.DUMMYFUNCTION(" IF(ISBLANK(G144),,
SWITCH(
LEN(G144) - LEN(SUBSTITUTE(G144,"","","""")),
0 , VLOOKUP(G144, Variables!$A:$B, 2, FALSE),
1 , VLOOKUP(index(split(G144 ,"", "", FALSE),1,1), Variables!$A:$B , 2, FALSE) + VLOOKUP(index(split(G144 ,"", "", FALSE),1,2), Variabl"&amp;"es!$A:$B , 2, FALSE),
2 , VLOOKUP(index(split(G144 ,"", "", FALSE),1,1), Variables!$A:$B , 2, FALSE) + VLOOKUP(index(split(G144 ,"", "", FALSE),1,2), Variables!$A:$B , 2, FALSE) + VLOOKUP(index(split(G144 ,"", "", FALSE),1,3), Variables!$A:$B , 2, FALSE),"&amp;"
3 , VLOOKUP(index(split(G144 ,"", "", FALSE),1,1), Variables!$A:$B , 2, FALSE) + VLOOKUP(index(split(G144 ,"", "", FALSE),1,2), Variables!$A:$B , 2, FALSE) + VLOOKUP(index(split(G144 ,"", "", FALSE),1,3), Variables!$A:$B , 2, FALSE) + VLOOKUP(index(split"&amp;"(G144 ,"", "", FALSE),1,4), Variables!$A:$B , 2, FALSE),
)
)"),4.333333333333333)</f>
        <v>4.333333333</v>
      </c>
      <c r="I144" s="310" t="s">
        <v>1664</v>
      </c>
      <c r="J144" s="313" t="s">
        <v>897</v>
      </c>
      <c r="K144" s="314">
        <f>IFERROR(VLOOKUP(C144,vote4ITEMS!$A:$C, 3, FALSE),)</f>
        <v>-0.6666666667</v>
      </c>
      <c r="L144" s="313"/>
      <c r="M144" s="314">
        <f>SUM(
IF(IFERROR(SEARCH("Aura 1",L144),0) &gt; 0 , VLOOKUP("Aura 1", vote4TRAITS!A:C , 3, FALSE), ),
IF(IFERROR(SEARCH("Backswing",L144),0) &gt; 0 , VLOOKUP("Backswing", vote4TRAITS!A:C , 3, FALSE), ),
IF(IFERROR(SEARCH("Blast",L144),0) &gt; 0 , VLOOKUP("Blast", vote4TRAITS!A:C , 3, FALSE), ),
IF(IFERROR(SEARCH("Combustible",L144),0) &gt; 0 , VLOOKUP("Combustible", vote4TRAITS!A:C , 3, FALSE), ),
IF(IFERROR(SEARCH("Command",L144),0) &gt; 0 , VLOOKUP("Command", vote4TRAITS!A:C , 3, FALSE), ),
IF(IFERROR(SEARCH("Cowardly",L144),0) &gt; 0 , VLOOKUP("Cowardly", vote4TRAITS!A:C , 3, FALSE), ),
IF(IFERROR(SEARCH("Death Wish",L144),0) &gt; 0 , VLOOKUP("Death Wish", vote4TRAITS!A:C , 3, FALSE), ),
IF(IFERROR(SEARCH("Entomb",L144),0) &gt; 0 , VLOOKUP("Entomb", vote4TRAITS!A:C , 3, FALSE), ),
IF(IFERROR(SEARCH("Ethereal Hold",L144),0) &gt; 0 , VLOOKUP("Ethereal Hold", vote4TRAITS!A:C , 3, FALSE), ),
IF(IFERROR(SEARCH("Extend",L144),0) &gt; 0 , VLOOKUP("Extend", vote4TRAITS!A:C , 3, FALSE), ),
IF(IFERROR(SEARCH("Filthy Murk",L144),0) &gt; 0 , VLOOKUP("Filthy Murk", vote4TRAITS!A:C , 3, FALSE), ),
IF(IFERROR(SEARCH("Flame Fiend",L144),0) &gt; 0 , VLOOKUP("Flame Fiend", vote4TRAITS!A:C , 3, FALSE), ),
IF(IFERROR(SEARCH("Fleshmonger",L144),0) &gt; 0 , VLOOKUP("Fleshmonger", vote4TRAITS!A:C , 3, FALSE), ),
IF(IFERROR(SEARCH("Fly",L144),0) &gt; 0 , VLOOKUP("Fly", vote4TRAITS!A:C , 3, FALSE), ),
IF(IFERROR(SEARCH("Freezing",L144),0) &gt; 0 , VLOOKUP("Freezing", vote4TRAITS!A:C , 3, FALSE), ),
IF(IFERROR(SEARCH("Lithesome",L144),0) &gt; 0 , VLOOKUP("Lithesome", vote4TRAITS!A:C , 3, FALSE), ),
IF(IFERROR(SEARCH("Harrowing",L144),0) &gt; 0 , VLOOKUP("Harrowing", vote4TRAITS!A:C , 3, FALSE), ),
IF(IFERROR(SEARCH("Hideous Laughter",L144),0) &gt; 0 , VLOOKUP("Hideous Laughter", vote4TRAITS!A:C , 3, FALSE), ),
IF(IFERROR(SEARCH("Hive Defense",L144),0) &gt; 0 , VLOOKUP("Hive Defense", vote4TRAITS!A:C , 3, FALSE), ),
IF(IFERROR(SEARCH("Horrifying",L144),0) &gt; 0 , VLOOKUP("Horrifying", vote4TRAITS!A:C , 3, FALSE), ),
IF(IFERROR(SEARCH("Ironskin",L144),0) &gt; 0 , VLOOKUP("Ironskin", vote4TRAITS!A:C , 3, FALSE), ),
IF(IFERROR(SEARCH("Unmovable",L144),0) &gt; 0 , VLOOKUP("Unmovable", vote4TRAITS!A:C , 3, FALSE), ),
IF(IFERROR(SEARCH("Lifethirst 1",L144),0) &gt; 0 , VLOOKUP("Lifethirst 1", vote4TRAITS!A:C , 3, FALSE), ),
IF(IFERROR(SEARCH("Lifethirst 2",L144),0) &gt; 0 , VLOOKUP("Lifethirst 2", vote4TRAITS!A:C , 3, FALSE), ),
IF(IFERROR(SEARCH("Morph",L144),0) &gt; 0 , VLOOKUP("Morph", vote4TRAITS!A:C , 3, FALSE), ),
IF(IFERROR(SEARCH("Night Stalker",L144),0) &gt; 0 , VLOOKUP("Night Stalker", vote4TRAITS!A:C , 3, FALSE), ),
IF(IFERROR(SEARCH("Overflowing",L144),0) &gt; 0 , VLOOKUP("Overflowing", vote4TRAITS!A:C , 3, FALSE), ),
IF(IFERROR(SEARCH("Pestilence",L144),0) &gt; 0 , VLOOKUP("Pestilence", vote4TRAITS!A:C , 3, FALSE), ),
IF(IFERROR(SEARCH("Phalanx",L144),0) &gt; 0 , VLOOKUP("Phalanx", vote4TRAITS!A:C , 3, FALSE), ),
IF(IFERROR(SEARCH("Plagued",L144),0) &gt; 0 , VLOOKUP("Plagued", vote4TRAITS!A:C , 3, FALSE), ),
IF(IFERROR(SEARCH("Prey on the Weak",L144),0) &gt; 0 , VLOOKUP("Prey on the Weak", vote4TRAITS!A:C , 3, FALSE), ),
IF(IFERROR(SEARCH("Protect",L144),0) &gt; 0 , VLOOKUP("Protect", vote4TRAITS!A:C , 3, FALSE), ),
IF(IFERROR(SEARCH("Puncture",L144),0) &gt; 0 , VLOOKUP("Puncture", vote4TRAITS!A:C , 3, FALSE), ),
IF(IFERROR(SEARCH("Putrid Boils",L144),0) &gt; 0 , VLOOKUP("Putrid Boils", vote4TRAITS!A:C , 3, FALSE), ),
IF(IFERROR(SEARCH("Ravage",L144),0) &gt; 0 , VLOOKUP("Ravage", vote4TRAITS!A:C , 3, FALSE), ),
IF(IFERROR(SEARCH("Ravenous",L144),0) &gt; 0 , VLOOKUP("Ravenous", vote4TRAITS!A:C , 3, FALSE), ),
IF(IFERROR(SEARCH("Reach",L144),0) &gt; 0 , VLOOKUP("Reach", vote4TRAITS!A:C , 3, FALSE), ),
IF(IFERROR(SEARCH("Reanimation",L144),0) &gt; 0 , VLOOKUP("Reanimation", vote4TRAITS!A:C , 3, FALSE), ),
IF(IFERROR(SEARCH("Reaper",L144),0) &gt; 0 , VLOOKUP("Reaper", vote4TRAITS!A:C , 3, FALSE), ),
IF(IFERROR(SEARCH("Riposte",L144),0) &gt; 0 , VLOOKUP("Riposte", vote4TRAITS!A:C , 3, FALSE)),
IF(IFERROR(SEARCH("Scamper",L144),0) &gt; 0 , VLOOKUP("Scamper", vote4TRAITS!A:C , 3, FALSE), ),
IF(IFERROR(SEARCH("Small Beginnings",L144),0) &gt; 0 , VLOOKUP("Small Beginnings", vote4TRAITS!A:C , 3, FALSE), ),
IF(IFERROR(SEARCH("Spawner",L144),0) &gt; 0 , VLOOKUP("Spawner", vote4TRAITS!A:C , 3,FALSE), ),
IF(IFERROR(SEARCH("Shadowr",L144),0) &gt; 0 , VLOOKUP("Shadow", vote4TRAITS!A:C , 3,FALSE), ),
IF(IFERROR(SEARCH("Shadow Step",L144),0) &gt; 0 , VLOOKUP("Shadow Step", vote4TRAITS!A:C , 3,FALSE), ),
IF(IFERROR(SEARCH("Shambling",L144),0) &gt; 0 , VLOOKUP("Shambling", vote4TRAITS!A:C , 3,FALSE), ),
IF(IFERROR(SEARCH("Stealthy",L144),0) &gt; 0 , VLOOKUP("Stealthy", vote4TRAITS!A:C , 3, FALSE), ),
IF(IFERROR(SEARCH("Web",L144),0) &gt; 0 , VLOOKUP("Web", vote4TRAITS!A:C , 3, FALSE), ),
IF(IFERROR(SEARCH("+1 Willpower",L144),0) &gt; 0 , VLOOKUP("+1 Willpower", vote4TRAITS!A:C , 3, FALSE), ),
IF(IFERROR(SEARCH("+1 Might",L144),0) &gt; 0 , VLOOKUP("+1 Might", vote4TRAITS!A:C , 3, FALSE), ),
IF(IFERROR(SEARCH("+1 Knowledge",L144),0) &gt; 0 , VLOOKUP("+1 Knowledge", vote4TRAITS!A:C , 3, FALSE), ),
IF(IFERROR(SEARCH("+1 Awareness",L144),0) &gt; 0 , VLOOKUP("+1 Awareness", vote4TRAITS!A:C , 3, FALSE), ),
IF(IFERROR(SEARCH("-1 Willpower",L144),0) &gt; 0 , VLOOKUP("-1 Willpower", vote4TRAITS!A:C , 3, FALSE), ),
IF(IFERROR(SEARCH("+1 Health",L144),0) &gt; 0 , VLOOKUP("+1 Health", vote4TRAITS!A:C , 3, FALSE), ),
IF(IFERROR(SEARCH("+2 Health",L144),0) &gt; 0 , VLOOKUP("+2 Health", vote4TRAITS!A:C , 3, FALSE), ),
IF(IFERROR(SEARCH("+1 Stamina",L144),0) &gt; 0 , VLOOKUP("+1 Stamina", vote4TRAITS!A:C , 3, FALSE), ),
IF(IFERROR(SEARCH("+2 Stamina",L144),0) &gt; 0 , VLOOKUP("+2 Stamina", vote4TRAITS!A:C , 3, FALSE), ),
IFS(
IFERROR(SEARCH("+1 Range", L144),) &gt; 0 ,VLOOKUP("+1 Range", vote4TRAITS!A:C , 3, FALSE),
IFERROR(SEARCH("+2 Range", L144),) &gt; 0 ,VLOOKUP("+2 Range", vote4TRAITS!A:C , 3, FALSE),
IFERROR(SEARCH("+3 Range", L144),) &gt; 0,VLOOKUP("+3 Range", vote4TRAITS!A:C , 3, FALSE),
0=0,0)
,
IFS(
IFERROR(SEARCH("Sorcery 1", L144),) &gt; 0 ,VLOOKUP("Sorcery 1", vote4TRAITS!A:C , 3, FALSE),
IFERROR(SEARCH("Sorcery 2", L144),) &gt; 0 ,VLOOKUP("Sorcery 2", vote4TRAITS!A:C , 3, FALSE),
IFERROR(SEARCH("Sorcery 3", L144),) &gt; 0,VLOOKUP("Sorcery 3", vote4TRAITS!A:C , 3, FALSE),
0=0,0)
,
IFS(
IFERROR(SEARCH("Pierce 1", L144),) &gt; 0 ,VLOOKUP("Pierce 1", vote4TRAITS!A:C , 3, FALSE),
IFERROR(SEARCH("Pierce 2", L144),) &gt; 0 ,VLOOKUP("Pierce 2", vote4TRAITS!A:C , 3, FALSE),
IFERROR(SEARCH("Pierce 3", L144),) &gt; 0,VLOOKUP("Pierce 3", vote4TRAITS!A:C , 3, FALSE),
IFERROR(SEARCH("Pierce 4", L144),) &gt; 0 ,VLOOKUP("Pierce 4", vote4TRAITS!A:C , 3, FALSE),
0=0,0)
,
IFS(
IFERROR(SEARCH("+1 Health", L144),) &gt; 0 ,VLOOKUP("+1 Health", vote4TRAITS!A:C , 3, FALSE),
IFERROR(SEARCH("+2 Health", L144),) &gt; 0 ,VLOOKUP("+2 Health", vote4TRAITS!A:C , 3, FALSE),
IFERROR(SEARCH("+3 Health", L144),) &gt; 0 ,VLOOKUP("+3 Health", vote4TRAITS!A:C , 3, FALSE),
IFERROR(SEARCH("+4 Health", L144),) &gt; 0 ,VLOOKUP("+4 Health", vote4TRAITS!A:C , 3, FALSE),
0=0,0)
,
IFS(
IFERROR(SEARCH("Soul Shackle 1", L144),) &gt; 0 ,VLOOKUP("Soul Shackle 1", vote4TRAITS!A:C , 3, FALSE),
IFERROR(SEARCH("Soul Shackle 2", L144),) &gt; 0 ,VLOOKUP("Soul Shackle 2", vote4TRAITS!A:C , 3, FALSE),
IFERROR(SEARCH("Soul Shackle 3", L144),) &gt; 0,VLOOKUP("Soul Shackle 3", vote4TRAITS!A:C , 3, FALSE),
0=0,0)
)</f>
        <v>0</v>
      </c>
      <c r="N144" s="313"/>
      <c r="O144" s="317" t="str">
        <f>IF(ISBLANK(N144),,IFERROR(
IF(IFERROR(SEARCH("SS:",N144),0) &gt; 0, 
VLOOKUP(SUBSTITUTE(N144,"SS: ",""),vote4SURGE!$A:$C , 3, FALSE) - 2,
VLOOKUP(SUBSTITUTE(N144,"S: ",""),vote4SURGE!$A:$C , 3, FALSE)
)
,
IF(IFERROR(SEARCH("SS:",N144),0) &gt; 0, 
VLOOKUP(C144,vote4SURGE!$A:$C , 3, FALSE) - 2,
VLOOKUP(C144,vote4SURGE!$A:$C , 3, FALSE)
)
))</f>
        <v/>
      </c>
      <c r="P144" s="318"/>
      <c r="Q144" s="317" t="str">
        <f>IF(ISBLANK(P144),,IFERROR(
IF(IFERROR(SEARCH("SS:",P144),0) &gt; 0, 
VLOOKUP(SUBSTITUTE(P144,"SS: ",""),vote4SURGE!$A:$C , 3, FALSE) - 2,
VLOOKUP(SUBSTITUTE(P144,"S: ",""),vote4SURGE!$A:$C , 3, FALSE)
)
,
IF(IFERROR(SEARCH("SS:",P144),0) &gt; 0, 
VLOOKUP(C144,vote4SURGE!$A:$C , 3, FALSE) - 2,
VLOOKUP(C144,vote4SURGE!$A:$C , 3, FALSE)
)
))</f>
        <v/>
      </c>
      <c r="R144" s="318"/>
      <c r="S144" s="319" t="str">
        <f>IF(ISBLANK(R144),,IFERROR(
IF(IFERROR(SEARCH("SS:",R144),0) &gt; 0, 
VLOOKUP(SUBSTITUTE(R144,"SS: ",""),vote4SURGE!$A:$C , 3, FALSE) - 2,
VLOOKUP(SUBSTITUTE(R144,"S: ",""),vote4SURGE!$A:$C , 3, FALSE)
)
,
IF(IFERROR(SEARCH("SS:",R144),0) &gt; 0, 
VLOOKUP(C144,vote4SURGE!$A:$C , 3, FALSE) - 2,
VLOOKUP(C144,vote4SURGE!$A:$C , 3, FALSE)
)
))</f>
        <v/>
      </c>
      <c r="T144" s="320">
        <f t="shared" si="2"/>
        <v>0</v>
      </c>
      <c r="U144" s="320">
        <f>IFERROR(__xludf.DUMMYFUNCTION("ROUND(
IF(ISBLANK(G144),,
SWITCH(
LEN(G144) - LEN(SUBSTITUTE(G144,"","","""")),
0 , VLOOKUP(G144, Variables!$A:$C, 3, FALSE),
1 , VLOOKUP(index(split(G144 ,"", "", FALSE),1,1), Variables!$A:$C , 3, FALSE) + VLOOKUP(index(split(G144 ,"", "", FALSE),1,2), V"&amp;"ariables!$A:$C , 3, FALSE),
2 , VLOOKUP(index(split(G144 ,"", "", FALSE),1,1), Variables!$A:$C , 3, FALSE) + VLOOKUP(index(split(G144 ,"", "", FALSE),1,2), Variables!$A:$C , 3, FALSE) + VLOOKUP(index(split(G144 ,"", "", FALSE),1,3), Variables!$A:$C , 3, F"&amp;"ALSE),
3 , VLOOKUP(index(split(G144 ,"", "", FALSE),1,1), Variables!$A:$C , 3, FALSE) + VLOOKUP(index(split(G144 ,"", "", FALSE),1,2), Variables!$A:$C , 3, FALSE) + VLOOKUP(index(split(G144 ,"", "", FALSE),1,3), Variables!$A:$C , 3, FALSE) + VLOOKUP(index"&amp;"(split(G144 ,"", "", FALSE),1,4), Variables!$A:$C , 3, FALSE),
)
)
)"),0.0)</f>
        <v>0</v>
      </c>
      <c r="V144" s="317">
        <f t="shared" si="3"/>
        <v>0</v>
      </c>
      <c r="W144" s="321">
        <f t="shared" si="4"/>
        <v>3.666666667</v>
      </c>
      <c r="X144" s="118"/>
      <c r="Y144" s="118"/>
      <c r="Z144" s="118"/>
      <c r="AA144" s="118"/>
      <c r="AB144" s="118"/>
      <c r="AC144" s="118"/>
      <c r="AD144" s="118"/>
      <c r="AE144" s="118"/>
    </row>
    <row r="145" hidden="1">
      <c r="A145" s="310" t="s">
        <v>1556</v>
      </c>
      <c r="B145" s="93" t="str">
        <f t="shared" si="1"/>
        <v/>
      </c>
      <c r="C145" s="310" t="s">
        <v>677</v>
      </c>
      <c r="D145" s="323">
        <v>0.0</v>
      </c>
      <c r="E145" s="310" t="s">
        <v>1620</v>
      </c>
      <c r="F145" s="310"/>
      <c r="G145" s="313" t="s">
        <v>1671</v>
      </c>
      <c r="H145" s="312">
        <f>IFERROR(__xludf.DUMMYFUNCTION(" IF(ISBLANK(G145),,
SWITCH(
LEN(G145) - LEN(SUBSTITUTE(G145,"","","""")),
0 , VLOOKUP(G145, Variables!$A:$B, 2, FALSE),
1 , VLOOKUP(index(split(G145 ,"", "", FALSE),1,1), Variables!$A:$B , 2, FALSE) + VLOOKUP(index(split(G145 ,"", "", FALSE),1,2), Variabl"&amp;"es!$A:$B , 2, FALSE),
2 , VLOOKUP(index(split(G145 ,"", "", FALSE),1,1), Variables!$A:$B , 2, FALSE) + VLOOKUP(index(split(G145 ,"", "", FALSE),1,2), Variables!$A:$B , 2, FALSE) + VLOOKUP(index(split(G145 ,"", "", FALSE),1,3), Variables!$A:$B , 2, FALSE),"&amp;"
3 , VLOOKUP(index(split(G145 ,"", "", FALSE),1,1), Variables!$A:$B , 2, FALSE) + VLOOKUP(index(split(G145 ,"", "", FALSE),1,2), Variables!$A:$B , 2, FALSE) + VLOOKUP(index(split(G145 ,"", "", FALSE),1,3), Variables!$A:$B , 2, FALSE) + VLOOKUP(index(split"&amp;"(G145 ,"", "", FALSE),1,4), Variables!$A:$B , 2, FALSE),
)
)"),2.1666666666666665)</f>
        <v>2.166666667</v>
      </c>
      <c r="I145" s="310" t="s">
        <v>1664</v>
      </c>
      <c r="J145" s="313" t="s">
        <v>678</v>
      </c>
      <c r="K145" s="314">
        <f>IFERROR(VLOOKUP(C145,vote4ITEMS!$A:$C, 3, FALSE),)</f>
        <v>1.333333333</v>
      </c>
      <c r="L145" s="324"/>
      <c r="M145" s="314">
        <f>SUM(
IF(IFERROR(SEARCH("Aura 1",L145),0) &gt; 0 , VLOOKUP("Aura 1", vote4TRAITS!A:C , 3, FALSE), ),
IF(IFERROR(SEARCH("Backswing",L145),0) &gt; 0 , VLOOKUP("Backswing", vote4TRAITS!A:C , 3, FALSE), ),
IF(IFERROR(SEARCH("Blast",L145),0) &gt; 0 , VLOOKUP("Blast", vote4TRAITS!A:C , 3, FALSE), ),
IF(IFERROR(SEARCH("Combustible",L145),0) &gt; 0 , VLOOKUP("Combustible", vote4TRAITS!A:C , 3, FALSE), ),
IF(IFERROR(SEARCH("Command",L145),0) &gt; 0 , VLOOKUP("Command", vote4TRAITS!A:C , 3, FALSE), ),
IF(IFERROR(SEARCH("Cowardly",L145),0) &gt; 0 , VLOOKUP("Cowardly", vote4TRAITS!A:C , 3, FALSE), ),
IF(IFERROR(SEARCH("Death Wish",L145),0) &gt; 0 , VLOOKUP("Death Wish", vote4TRAITS!A:C , 3, FALSE), ),
IF(IFERROR(SEARCH("Entomb",L145),0) &gt; 0 , VLOOKUP("Entomb", vote4TRAITS!A:C , 3, FALSE), ),
IF(IFERROR(SEARCH("Ethereal Hold",L145),0) &gt; 0 , VLOOKUP("Ethereal Hold", vote4TRAITS!A:C , 3, FALSE), ),
IF(IFERROR(SEARCH("Extend",L145),0) &gt; 0 , VLOOKUP("Extend", vote4TRAITS!A:C , 3, FALSE), ),
IF(IFERROR(SEARCH("Filthy Murk",L145),0) &gt; 0 , VLOOKUP("Filthy Murk", vote4TRAITS!A:C , 3, FALSE), ),
IF(IFERROR(SEARCH("Flame Fiend",L145),0) &gt; 0 , VLOOKUP("Flame Fiend", vote4TRAITS!A:C , 3, FALSE), ),
IF(IFERROR(SEARCH("Fleshmonger",L145),0) &gt; 0 , VLOOKUP("Fleshmonger", vote4TRAITS!A:C , 3, FALSE), ),
IF(IFERROR(SEARCH("Fly",L145),0) &gt; 0 , VLOOKUP("Fly", vote4TRAITS!A:C , 3, FALSE), ),
IF(IFERROR(SEARCH("Freezing",L145),0) &gt; 0 , VLOOKUP("Freezing", vote4TRAITS!A:C , 3, FALSE), ),
IF(IFERROR(SEARCH("Lithesome",L145),0) &gt; 0 , VLOOKUP("Lithesome", vote4TRAITS!A:C , 3, FALSE), ),
IF(IFERROR(SEARCH("Harrowing",L145),0) &gt; 0 , VLOOKUP("Harrowing", vote4TRAITS!A:C , 3, FALSE), ),
IF(IFERROR(SEARCH("Hideous Laughter",L145),0) &gt; 0 , VLOOKUP("Hideous Laughter", vote4TRAITS!A:C , 3, FALSE), ),
IF(IFERROR(SEARCH("Hive Defense",L145),0) &gt; 0 , VLOOKUP("Hive Defense", vote4TRAITS!A:C , 3, FALSE), ),
IF(IFERROR(SEARCH("Horrifying",L145),0) &gt; 0 , VLOOKUP("Horrifying", vote4TRAITS!A:C , 3, FALSE), ),
IF(IFERROR(SEARCH("Ironskin",L145),0) &gt; 0 , VLOOKUP("Ironskin", vote4TRAITS!A:C , 3, FALSE), ),
IF(IFERROR(SEARCH("Unmovable",L145),0) &gt; 0 , VLOOKUP("Unmovable", vote4TRAITS!A:C , 3, FALSE), ),
IF(IFERROR(SEARCH("Lifethirst 1",L145),0) &gt; 0 , VLOOKUP("Lifethirst 1", vote4TRAITS!A:C , 3, FALSE), ),
IF(IFERROR(SEARCH("Lifethirst 2",L145),0) &gt; 0 , VLOOKUP("Lifethirst 2", vote4TRAITS!A:C , 3, FALSE), ),
IF(IFERROR(SEARCH("Morph",L145),0) &gt; 0 , VLOOKUP("Morph", vote4TRAITS!A:C , 3, FALSE), ),
IF(IFERROR(SEARCH("Night Stalker",L145),0) &gt; 0 , VLOOKUP("Night Stalker", vote4TRAITS!A:C , 3, FALSE), ),
IF(IFERROR(SEARCH("Overflowing",L145),0) &gt; 0 , VLOOKUP("Overflowing", vote4TRAITS!A:C , 3, FALSE), ),
IF(IFERROR(SEARCH("Pestilence",L145),0) &gt; 0 , VLOOKUP("Pestilence", vote4TRAITS!A:C , 3, FALSE), ),
IF(IFERROR(SEARCH("Phalanx",L145),0) &gt; 0 , VLOOKUP("Phalanx", vote4TRAITS!A:C , 3, FALSE), ),
IF(IFERROR(SEARCH("Plagued",L145),0) &gt; 0 , VLOOKUP("Plagued", vote4TRAITS!A:C , 3, FALSE), ),
IF(IFERROR(SEARCH("Prey on the Weak",L145),0) &gt; 0 , VLOOKUP("Prey on the Weak", vote4TRAITS!A:C , 3, FALSE), ),
IF(IFERROR(SEARCH("Protect",L145),0) &gt; 0 , VLOOKUP("Protect", vote4TRAITS!A:C , 3, FALSE), ),
IF(IFERROR(SEARCH("Puncture",L145),0) &gt; 0 , VLOOKUP("Puncture", vote4TRAITS!A:C , 3, FALSE), ),
IF(IFERROR(SEARCH("Putrid Boils",L145),0) &gt; 0 , VLOOKUP("Putrid Boils", vote4TRAITS!A:C , 3, FALSE), ),
IF(IFERROR(SEARCH("Ravage",L145),0) &gt; 0 , VLOOKUP("Ravage", vote4TRAITS!A:C , 3, FALSE), ),
IF(IFERROR(SEARCH("Ravenous",L145),0) &gt; 0 , VLOOKUP("Ravenous", vote4TRAITS!A:C , 3, FALSE), ),
IF(IFERROR(SEARCH("Reach",L145),0) &gt; 0 , VLOOKUP("Reach", vote4TRAITS!A:C , 3, FALSE), ),
IF(IFERROR(SEARCH("Reanimation",L145),0) &gt; 0 , VLOOKUP("Reanimation", vote4TRAITS!A:C , 3, FALSE), ),
IF(IFERROR(SEARCH("Reaper",L145),0) &gt; 0 , VLOOKUP("Reaper", vote4TRAITS!A:C , 3, FALSE), ),
IF(IFERROR(SEARCH("Riposte",L145),0) &gt; 0 , VLOOKUP("Riposte", vote4TRAITS!A:C , 3, FALSE)),
IF(IFERROR(SEARCH("Scamper",L145),0) &gt; 0 , VLOOKUP("Scamper", vote4TRAITS!A:C , 3, FALSE), ),
IF(IFERROR(SEARCH("Small Beginnings",L145),0) &gt; 0 , VLOOKUP("Small Beginnings", vote4TRAITS!A:C , 3, FALSE), ),
IF(IFERROR(SEARCH("Spawner",L145),0) &gt; 0 , VLOOKUP("Spawner", vote4TRAITS!A:C , 3,FALSE), ),
IF(IFERROR(SEARCH("Shadowr",L145),0) &gt; 0 , VLOOKUP("Shadow", vote4TRAITS!A:C , 3,FALSE), ),
IF(IFERROR(SEARCH("Shadow Step",L145),0) &gt; 0 , VLOOKUP("Shadow Step", vote4TRAITS!A:C , 3,FALSE), ),
IF(IFERROR(SEARCH("Shambling",L145),0) &gt; 0 , VLOOKUP("Shambling", vote4TRAITS!A:C , 3,FALSE), ),
IF(IFERROR(SEARCH("Stealthy",L145),0) &gt; 0 , VLOOKUP("Stealthy", vote4TRAITS!A:C , 3, FALSE), ),
IF(IFERROR(SEARCH("Web",L145),0) &gt; 0 , VLOOKUP("Web", vote4TRAITS!A:C , 3, FALSE), ),
IF(IFERROR(SEARCH("+1 Willpower",L145),0) &gt; 0 , VLOOKUP("+1 Willpower", vote4TRAITS!A:C , 3, FALSE), ),
IF(IFERROR(SEARCH("+1 Might",L145),0) &gt; 0 , VLOOKUP("+1 Might", vote4TRAITS!A:C , 3, FALSE), ),
IF(IFERROR(SEARCH("+1 Knowledge",L145),0) &gt; 0 , VLOOKUP("+1 Knowledge", vote4TRAITS!A:C , 3, FALSE), ),
IF(IFERROR(SEARCH("+1 Awareness",L145),0) &gt; 0 , VLOOKUP("+1 Awareness", vote4TRAITS!A:C , 3, FALSE), ),
IF(IFERROR(SEARCH("-1 Willpower",L145),0) &gt; 0 , VLOOKUP("-1 Willpower", vote4TRAITS!A:C , 3, FALSE), ),
IF(IFERROR(SEARCH("+1 Health",L145),0) &gt; 0 , VLOOKUP("+1 Health", vote4TRAITS!A:C , 3, FALSE), ),
IF(IFERROR(SEARCH("+2 Health",L145),0) &gt; 0 , VLOOKUP("+2 Health", vote4TRAITS!A:C , 3, FALSE), ),
IF(IFERROR(SEARCH("+1 Stamina",L145),0) &gt; 0 , VLOOKUP("+1 Stamina", vote4TRAITS!A:C , 3, FALSE), ),
IF(IFERROR(SEARCH("+2 Stamina",L145),0) &gt; 0 , VLOOKUP("+2 Stamina", vote4TRAITS!A:C , 3, FALSE), ),
IFS(
IFERROR(SEARCH("+1 Range", L145),) &gt; 0 ,VLOOKUP("+1 Range", vote4TRAITS!A:C , 3, FALSE),
IFERROR(SEARCH("+2 Range", L145),) &gt; 0 ,VLOOKUP("+2 Range", vote4TRAITS!A:C , 3, FALSE),
IFERROR(SEARCH("+3 Range", L145),) &gt; 0,VLOOKUP("+3 Range", vote4TRAITS!A:C , 3, FALSE),
0=0,0)
,
IFS(
IFERROR(SEARCH("Sorcery 1", L145),) &gt; 0 ,VLOOKUP("Sorcery 1", vote4TRAITS!A:C , 3, FALSE),
IFERROR(SEARCH("Sorcery 2", L145),) &gt; 0 ,VLOOKUP("Sorcery 2", vote4TRAITS!A:C , 3, FALSE),
IFERROR(SEARCH("Sorcery 3", L145),) &gt; 0,VLOOKUP("Sorcery 3", vote4TRAITS!A:C , 3, FALSE),
0=0,0)
,
IFS(
IFERROR(SEARCH("Pierce 1", L145),) &gt; 0 ,VLOOKUP("Pierce 1", vote4TRAITS!A:C , 3, FALSE),
IFERROR(SEARCH("Pierce 2", L145),) &gt; 0 ,VLOOKUP("Pierce 2", vote4TRAITS!A:C , 3, FALSE),
IFERROR(SEARCH("Pierce 3", L145),) &gt; 0,VLOOKUP("Pierce 3", vote4TRAITS!A:C , 3, FALSE),
IFERROR(SEARCH("Pierce 4", L145),) &gt; 0 ,VLOOKUP("Pierce 4", vote4TRAITS!A:C , 3, FALSE),
0=0,0)
,
IFS(
IFERROR(SEARCH("+1 Health", L145),) &gt; 0 ,VLOOKUP("+1 Health", vote4TRAITS!A:C , 3, FALSE),
IFERROR(SEARCH("+2 Health", L145),) &gt; 0 ,VLOOKUP("+2 Health", vote4TRAITS!A:C , 3, FALSE),
IFERROR(SEARCH("+3 Health", L145),) &gt; 0 ,VLOOKUP("+3 Health", vote4TRAITS!A:C , 3, FALSE),
IFERROR(SEARCH("+4 Health", L145),) &gt; 0 ,VLOOKUP("+4 Health", vote4TRAITS!A:C , 3, FALSE),
0=0,0)
,
IFS(
IFERROR(SEARCH("Soul Shackle 1", L145),) &gt; 0 ,VLOOKUP("Soul Shackle 1", vote4TRAITS!A:C , 3, FALSE),
IFERROR(SEARCH("Soul Shackle 2", L145),) &gt; 0 ,VLOOKUP("Soul Shackle 2", vote4TRAITS!A:C , 3, FALSE),
IFERROR(SEARCH("Soul Shackle 3", L145),) &gt; 0,VLOOKUP("Soul Shackle 3", vote4TRAITS!A:C , 3, FALSE),
0=0,0)
)</f>
        <v>0</v>
      </c>
      <c r="N145" s="330"/>
      <c r="O145" s="317" t="str">
        <f>IF(ISBLANK(N145),,IFERROR(
IF(IFERROR(SEARCH("SS:",N145),0) &gt; 0, 
VLOOKUP(SUBSTITUTE(N145,"SS: ",""),vote4SURGE!$A:$C , 3, FALSE) - 2,
VLOOKUP(SUBSTITUTE(N145,"S: ",""),vote4SURGE!$A:$C , 3, FALSE)
)
,
IF(IFERROR(SEARCH("SS:",N145),0) &gt; 0, 
VLOOKUP(C145,vote4SURGE!$A:$C , 3, FALSE) - 2,
VLOOKUP(C145,vote4SURGE!$A:$C , 3, FALSE)
)
))</f>
        <v/>
      </c>
      <c r="P145" s="318"/>
      <c r="Q145" s="317" t="str">
        <f>IF(ISBLANK(P145),,IFERROR(
IF(IFERROR(SEARCH("SS:",P145),0) &gt; 0, 
VLOOKUP(SUBSTITUTE(P145,"SS: ",""),vote4SURGE!$A:$C , 3, FALSE) - 2,
VLOOKUP(SUBSTITUTE(P145,"S: ",""),vote4SURGE!$A:$C , 3, FALSE)
)
,
IF(IFERROR(SEARCH("SS:",P145),0) &gt; 0, 
VLOOKUP(C145,vote4SURGE!$A:$C , 3, FALSE) - 2,
VLOOKUP(C145,vote4SURGE!$A:$C , 3, FALSE)
)
))</f>
        <v/>
      </c>
      <c r="R145" s="318"/>
      <c r="S145" s="319" t="str">
        <f>IF(ISBLANK(R145),,IFERROR(
IF(IFERROR(SEARCH("SS:",R145),0) &gt; 0, 
VLOOKUP(SUBSTITUTE(R145,"SS: ",""),vote4SURGE!$A:$C , 3, FALSE) - 2,
VLOOKUP(SUBSTITUTE(R145,"S: ",""),vote4SURGE!$A:$C , 3, FALSE)
)
,
IF(IFERROR(SEARCH("SS:",R145),0) &gt; 0, 
VLOOKUP(C145,vote4SURGE!$A:$C , 3, FALSE) - 2,
VLOOKUP(C145,vote4SURGE!$A:$C , 3, FALSE)
)
))</f>
        <v/>
      </c>
      <c r="T145" s="320">
        <f t="shared" si="2"/>
        <v>0</v>
      </c>
      <c r="U145" s="320">
        <f>IFERROR(__xludf.DUMMYFUNCTION("ROUND(
IF(ISBLANK(G145),,
SWITCH(
LEN(G145) - LEN(SUBSTITUTE(G145,"","","""")),
0 , VLOOKUP(G145, Variables!$A:$C, 3, FALSE),
1 , VLOOKUP(index(split(G145 ,"", "", FALSE),1,1), Variables!$A:$C , 3, FALSE) + VLOOKUP(index(split(G145 ,"", "", FALSE),1,2), V"&amp;"ariables!$A:$C , 3, FALSE),
2 , VLOOKUP(index(split(G145 ,"", "", FALSE),1,1), Variables!$A:$C , 3, FALSE) + VLOOKUP(index(split(G145 ,"", "", FALSE),1,2), Variables!$A:$C , 3, FALSE) + VLOOKUP(index(split(G145 ,"", "", FALSE),1,3), Variables!$A:$C , 3, F"&amp;"ALSE),
3 , VLOOKUP(index(split(G145 ,"", "", FALSE),1,1), Variables!$A:$C , 3, FALSE) + VLOOKUP(index(split(G145 ,"", "", FALSE),1,2), Variables!$A:$C , 3, FALSE) + VLOOKUP(index(split(G145 ,"", "", FALSE),1,3), Variables!$A:$C , 3, FALSE) + VLOOKUP(index"&amp;"(split(G145 ,"", "", FALSE),1,4), Variables!$A:$C , 3, FALSE),
)
)
)"),0.0)</f>
        <v>0</v>
      </c>
      <c r="V145" s="317">
        <f t="shared" si="3"/>
        <v>0</v>
      </c>
      <c r="W145" s="321">
        <f t="shared" si="4"/>
        <v>3.5</v>
      </c>
      <c r="X145" s="118"/>
      <c r="Y145" s="118"/>
      <c r="Z145" s="118"/>
      <c r="AA145" s="118"/>
      <c r="AB145" s="118"/>
      <c r="AC145" s="118"/>
      <c r="AD145" s="118"/>
      <c r="AE145" s="118"/>
    </row>
    <row r="146" hidden="1">
      <c r="A146" s="310">
        <v>1.0</v>
      </c>
      <c r="B146" s="93">
        <f t="shared" si="1"/>
        <v>1</v>
      </c>
      <c r="C146" s="310" t="s">
        <v>737</v>
      </c>
      <c r="D146" s="310">
        <v>50.0</v>
      </c>
      <c r="E146" s="310" t="s">
        <v>1629</v>
      </c>
      <c r="F146" s="310"/>
      <c r="G146" s="313"/>
      <c r="H146" s="312" t="str">
        <f>IFERROR(__xludf.DUMMYFUNCTION(" IF(ISBLANK(G146),,
SWITCH(
LEN(G146) - LEN(SUBSTITUTE(G146,"","","""")),
0 , VLOOKUP(G146, Variables!$A:$B, 2, FALSE),
1 , VLOOKUP(index(split(G146 ,"", "", FALSE),1,1), Variables!$A:$B , 2, FALSE) + VLOOKUP(index(split(G146 ,"", "", FALSE),1,2), Variabl"&amp;"es!$A:$B , 2, FALSE),
2 , VLOOKUP(index(split(G146 ,"", "", FALSE),1,1), Variables!$A:$B , 2, FALSE) + VLOOKUP(index(split(G146 ,"", "", FALSE),1,2), Variables!$A:$B , 2, FALSE) + VLOOKUP(index(split(G146 ,"", "", FALSE),1,3), Variables!$A:$B , 2, FALSE),"&amp;"
3 , VLOOKUP(index(split(G146 ,"", "", FALSE),1,1), Variables!$A:$B , 2, FALSE) + VLOOKUP(index(split(G146 ,"", "", FALSE),1,2), Variables!$A:$B , 2, FALSE) + VLOOKUP(index(split(G146 ,"", "", FALSE),1,3), Variables!$A:$B , 2, FALSE) + VLOOKUP(index(split"&amp;"(G146 ,"", "", FALSE),1,4), Variables!$A:$B , 2, FALSE),
)
)"),"")</f>
        <v/>
      </c>
      <c r="I146" s="310" t="s">
        <v>1666</v>
      </c>
      <c r="J146" s="313" t="s">
        <v>738</v>
      </c>
      <c r="K146" s="314">
        <f>IFERROR(VLOOKUP(C146,vote4ITEMS!$A:$C, 3, FALSE),)</f>
        <v>3.5</v>
      </c>
      <c r="L146" s="313"/>
      <c r="M146" s="314">
        <f>SUM(
IF(IFERROR(SEARCH("Aura 1",L146),0) &gt; 0 , VLOOKUP("Aura 1", vote4TRAITS!A:C , 3, FALSE), ),
IF(IFERROR(SEARCH("Backswing",L146),0) &gt; 0 , VLOOKUP("Backswing", vote4TRAITS!A:C , 3, FALSE), ),
IF(IFERROR(SEARCH("Blast",L146),0) &gt; 0 , VLOOKUP("Blast", vote4TRAITS!A:C , 3, FALSE), ),
IF(IFERROR(SEARCH("Combustible",L146),0) &gt; 0 , VLOOKUP("Combustible", vote4TRAITS!A:C , 3, FALSE), ),
IF(IFERROR(SEARCH("Command",L146),0) &gt; 0 , VLOOKUP("Command", vote4TRAITS!A:C , 3, FALSE), ),
IF(IFERROR(SEARCH("Cowardly",L146),0) &gt; 0 , VLOOKUP("Cowardly", vote4TRAITS!A:C , 3, FALSE), ),
IF(IFERROR(SEARCH("Death Wish",L146),0) &gt; 0 , VLOOKUP("Death Wish", vote4TRAITS!A:C , 3, FALSE), ),
IF(IFERROR(SEARCH("Entomb",L146),0) &gt; 0 , VLOOKUP("Entomb", vote4TRAITS!A:C , 3, FALSE), ),
IF(IFERROR(SEARCH("Ethereal Hold",L146),0) &gt; 0 , VLOOKUP("Ethereal Hold", vote4TRAITS!A:C , 3, FALSE), ),
IF(IFERROR(SEARCH("Extend",L146),0) &gt; 0 , VLOOKUP("Extend", vote4TRAITS!A:C , 3, FALSE), ),
IF(IFERROR(SEARCH("Filthy Murk",L146),0) &gt; 0 , VLOOKUP("Filthy Murk", vote4TRAITS!A:C , 3, FALSE), ),
IF(IFERROR(SEARCH("Flame Fiend",L146),0) &gt; 0 , VLOOKUP("Flame Fiend", vote4TRAITS!A:C , 3, FALSE), ),
IF(IFERROR(SEARCH("Fleshmonger",L146),0) &gt; 0 , VLOOKUP("Fleshmonger", vote4TRAITS!A:C , 3, FALSE), ),
IF(IFERROR(SEARCH("Fly",L146),0) &gt; 0 , VLOOKUP("Fly", vote4TRAITS!A:C , 3, FALSE), ),
IF(IFERROR(SEARCH("Freezing",L146),0) &gt; 0 , VLOOKUP("Freezing", vote4TRAITS!A:C , 3, FALSE), ),
IF(IFERROR(SEARCH("Lithesome",L146),0) &gt; 0 , VLOOKUP("Lithesome", vote4TRAITS!A:C , 3, FALSE), ),
IF(IFERROR(SEARCH("Harrowing",L146),0) &gt; 0 , VLOOKUP("Harrowing", vote4TRAITS!A:C , 3, FALSE), ),
IF(IFERROR(SEARCH("Hideous Laughter",L146),0) &gt; 0 , VLOOKUP("Hideous Laughter", vote4TRAITS!A:C , 3, FALSE), ),
IF(IFERROR(SEARCH("Hive Defense",L146),0) &gt; 0 , VLOOKUP("Hive Defense", vote4TRAITS!A:C , 3, FALSE), ),
IF(IFERROR(SEARCH("Horrifying",L146),0) &gt; 0 , VLOOKUP("Horrifying", vote4TRAITS!A:C , 3, FALSE), ),
IF(IFERROR(SEARCH("Ironskin",L146),0) &gt; 0 , VLOOKUP("Ironskin", vote4TRAITS!A:C , 3, FALSE), ),
IF(IFERROR(SEARCH("Unmovable",L146),0) &gt; 0 , VLOOKUP("Unmovable", vote4TRAITS!A:C , 3, FALSE), ),
IF(IFERROR(SEARCH("Lifethirst 1",L146),0) &gt; 0 , VLOOKUP("Lifethirst 1", vote4TRAITS!A:C , 3, FALSE), ),
IF(IFERROR(SEARCH("Lifethirst 2",L146),0) &gt; 0 , VLOOKUP("Lifethirst 2", vote4TRAITS!A:C , 3, FALSE), ),
IF(IFERROR(SEARCH("Morph",L146),0) &gt; 0 , VLOOKUP("Morph", vote4TRAITS!A:C , 3, FALSE), ),
IF(IFERROR(SEARCH("Night Stalker",L146),0) &gt; 0 , VLOOKUP("Night Stalker", vote4TRAITS!A:C , 3, FALSE), ),
IF(IFERROR(SEARCH("Overflowing",L146),0) &gt; 0 , VLOOKUP("Overflowing", vote4TRAITS!A:C , 3, FALSE), ),
IF(IFERROR(SEARCH("Pestilence",L146),0) &gt; 0 , VLOOKUP("Pestilence", vote4TRAITS!A:C , 3, FALSE), ),
IF(IFERROR(SEARCH("Phalanx",L146),0) &gt; 0 , VLOOKUP("Phalanx", vote4TRAITS!A:C , 3, FALSE), ),
IF(IFERROR(SEARCH("Plagued",L146),0) &gt; 0 , VLOOKUP("Plagued", vote4TRAITS!A:C , 3, FALSE), ),
IF(IFERROR(SEARCH("Prey on the Weak",L146),0) &gt; 0 , VLOOKUP("Prey on the Weak", vote4TRAITS!A:C , 3, FALSE), ),
IF(IFERROR(SEARCH("Protect",L146),0) &gt; 0 , VLOOKUP("Protect", vote4TRAITS!A:C , 3, FALSE), ),
IF(IFERROR(SEARCH("Puncture",L146),0) &gt; 0 , VLOOKUP("Puncture", vote4TRAITS!A:C , 3, FALSE), ),
IF(IFERROR(SEARCH("Putrid Boils",L146),0) &gt; 0 , VLOOKUP("Putrid Boils", vote4TRAITS!A:C , 3, FALSE), ),
IF(IFERROR(SEARCH("Ravage",L146),0) &gt; 0 , VLOOKUP("Ravage", vote4TRAITS!A:C , 3, FALSE), ),
IF(IFERROR(SEARCH("Ravenous",L146),0) &gt; 0 , VLOOKUP("Ravenous", vote4TRAITS!A:C , 3, FALSE), ),
IF(IFERROR(SEARCH("Reach",L146),0) &gt; 0 , VLOOKUP("Reach", vote4TRAITS!A:C , 3, FALSE), ),
IF(IFERROR(SEARCH("Reanimation",L146),0) &gt; 0 , VLOOKUP("Reanimation", vote4TRAITS!A:C , 3, FALSE), ),
IF(IFERROR(SEARCH("Reaper",L146),0) &gt; 0 , VLOOKUP("Reaper", vote4TRAITS!A:C , 3, FALSE), ),
IF(IFERROR(SEARCH("Riposte",L146),0) &gt; 0 , VLOOKUP("Riposte", vote4TRAITS!A:C , 3, FALSE)),
IF(IFERROR(SEARCH("Scamper",L146),0) &gt; 0 , VLOOKUP("Scamper", vote4TRAITS!A:C , 3, FALSE), ),
IF(IFERROR(SEARCH("Small Beginnings",L146),0) &gt; 0 , VLOOKUP("Small Beginnings", vote4TRAITS!A:C , 3, FALSE), ),
IF(IFERROR(SEARCH("Spawner",L146),0) &gt; 0 , VLOOKUP("Spawner", vote4TRAITS!A:C , 3,FALSE), ),
IF(IFERROR(SEARCH("Shadowr",L146),0) &gt; 0 , VLOOKUP("Shadow", vote4TRAITS!A:C , 3,FALSE), ),
IF(IFERROR(SEARCH("Shadow Step",L146),0) &gt; 0 , VLOOKUP("Shadow Step", vote4TRAITS!A:C , 3,FALSE), ),
IF(IFERROR(SEARCH("Shambling",L146),0) &gt; 0 , VLOOKUP("Shambling", vote4TRAITS!A:C , 3,FALSE), ),
IF(IFERROR(SEARCH("Stealthy",L146),0) &gt; 0 , VLOOKUP("Stealthy", vote4TRAITS!A:C , 3, FALSE), ),
IF(IFERROR(SEARCH("Web",L146),0) &gt; 0 , VLOOKUP("Web", vote4TRAITS!A:C , 3, FALSE), ),
IF(IFERROR(SEARCH("+1 Willpower",L146),0) &gt; 0 , VLOOKUP("+1 Willpower", vote4TRAITS!A:C , 3, FALSE), ),
IF(IFERROR(SEARCH("+1 Might",L146),0) &gt; 0 , VLOOKUP("+1 Might", vote4TRAITS!A:C , 3, FALSE), ),
IF(IFERROR(SEARCH("+1 Knowledge",L146),0) &gt; 0 , VLOOKUP("+1 Knowledge", vote4TRAITS!A:C , 3, FALSE), ),
IF(IFERROR(SEARCH("+1 Awareness",L146),0) &gt; 0 , VLOOKUP("+1 Awareness", vote4TRAITS!A:C , 3, FALSE), ),
IF(IFERROR(SEARCH("-1 Willpower",L146),0) &gt; 0 , VLOOKUP("-1 Willpower", vote4TRAITS!A:C , 3, FALSE), ),
IF(IFERROR(SEARCH("+1 Health",L146),0) &gt; 0 , VLOOKUP("+1 Health", vote4TRAITS!A:C , 3, FALSE), ),
IF(IFERROR(SEARCH("+2 Health",L146),0) &gt; 0 , VLOOKUP("+2 Health", vote4TRAITS!A:C , 3, FALSE), ),
IF(IFERROR(SEARCH("+1 Stamina",L146),0) &gt; 0 , VLOOKUP("+1 Stamina", vote4TRAITS!A:C , 3, FALSE), ),
IF(IFERROR(SEARCH("+2 Stamina",L146),0) &gt; 0 , VLOOKUP("+2 Stamina", vote4TRAITS!A:C , 3, FALSE), ),
IFS(
IFERROR(SEARCH("+1 Range", L146),) &gt; 0 ,VLOOKUP("+1 Range", vote4TRAITS!A:C , 3, FALSE),
IFERROR(SEARCH("+2 Range", L146),) &gt; 0 ,VLOOKUP("+2 Range", vote4TRAITS!A:C , 3, FALSE),
IFERROR(SEARCH("+3 Range", L146),) &gt; 0,VLOOKUP("+3 Range", vote4TRAITS!A:C , 3, FALSE),
0=0,0)
,
IFS(
IFERROR(SEARCH("Sorcery 1", L146),) &gt; 0 ,VLOOKUP("Sorcery 1", vote4TRAITS!A:C , 3, FALSE),
IFERROR(SEARCH("Sorcery 2", L146),) &gt; 0 ,VLOOKUP("Sorcery 2", vote4TRAITS!A:C , 3, FALSE),
IFERROR(SEARCH("Sorcery 3", L146),) &gt; 0,VLOOKUP("Sorcery 3", vote4TRAITS!A:C , 3, FALSE),
0=0,0)
,
IFS(
IFERROR(SEARCH("Pierce 1", L146),) &gt; 0 ,VLOOKUP("Pierce 1", vote4TRAITS!A:C , 3, FALSE),
IFERROR(SEARCH("Pierce 2", L146),) &gt; 0 ,VLOOKUP("Pierce 2", vote4TRAITS!A:C , 3, FALSE),
IFERROR(SEARCH("Pierce 3", L146),) &gt; 0,VLOOKUP("Pierce 3", vote4TRAITS!A:C , 3, FALSE),
IFERROR(SEARCH("Pierce 4", L146),) &gt; 0 ,VLOOKUP("Pierce 4", vote4TRAITS!A:C , 3, FALSE),
0=0,0)
,
IFS(
IFERROR(SEARCH("+1 Health", L146),) &gt; 0 ,VLOOKUP("+1 Health", vote4TRAITS!A:C , 3, FALSE),
IFERROR(SEARCH("+2 Health", L146),) &gt; 0 ,VLOOKUP("+2 Health", vote4TRAITS!A:C , 3, FALSE),
IFERROR(SEARCH("+3 Health", L146),) &gt; 0 ,VLOOKUP("+3 Health", vote4TRAITS!A:C , 3, FALSE),
IFERROR(SEARCH("+4 Health", L146),) &gt; 0 ,VLOOKUP("+4 Health", vote4TRAITS!A:C , 3, FALSE),
0=0,0)
,
IFS(
IFERROR(SEARCH("Soul Shackle 1", L146),) &gt; 0 ,VLOOKUP("Soul Shackle 1", vote4TRAITS!A:C , 3, FALSE),
IFERROR(SEARCH("Soul Shackle 2", L146),) &gt; 0 ,VLOOKUP("Soul Shackle 2", vote4TRAITS!A:C , 3, FALSE),
IFERROR(SEARCH("Soul Shackle 3", L146),) &gt; 0,VLOOKUP("Soul Shackle 3", vote4TRAITS!A:C , 3, FALSE),
0=0,0)
)</f>
        <v>0</v>
      </c>
      <c r="N146" s="313"/>
      <c r="O146" s="317" t="str">
        <f>IF(ISBLANK(N146),,IFERROR(
IF(IFERROR(SEARCH("SS:",N146),0) &gt; 0, 
VLOOKUP(SUBSTITUTE(N146,"SS: ",""),vote4SURGE!$A:$C , 3, FALSE) - 2,
VLOOKUP(SUBSTITUTE(N146,"S: ",""),vote4SURGE!$A:$C , 3, FALSE)
)
,
IF(IFERROR(SEARCH("SS:",N146),0) &gt; 0, 
VLOOKUP(C146,vote4SURGE!$A:$C , 3, FALSE) - 2,
VLOOKUP(C146,vote4SURGE!$A:$C , 3, FALSE)
)
))</f>
        <v/>
      </c>
      <c r="P146" s="318"/>
      <c r="Q146" s="317" t="str">
        <f>IF(ISBLANK(P146),,IFERROR(
IF(IFERROR(SEARCH("SS:",P146),0) &gt; 0, 
VLOOKUP(SUBSTITUTE(P146,"SS: ",""),vote4SURGE!$A:$C , 3, FALSE) - 2,
VLOOKUP(SUBSTITUTE(P146,"S: ",""),vote4SURGE!$A:$C , 3, FALSE)
)
,
IF(IFERROR(SEARCH("SS:",P146),0) &gt; 0, 
VLOOKUP(C146,vote4SURGE!$A:$C , 3, FALSE) - 2,
VLOOKUP(C146,vote4SURGE!$A:$C , 3, FALSE)
)
))</f>
        <v/>
      </c>
      <c r="R146" s="318"/>
      <c r="S146" s="319" t="str">
        <f>IF(ISBLANK(R146),,IFERROR(
IF(IFERROR(SEARCH("SS:",R146),0) &gt; 0, 
VLOOKUP(SUBSTITUTE(R146,"SS: ",""),vote4SURGE!$A:$C , 3, FALSE) - 2,
VLOOKUP(SUBSTITUTE(R146,"S: ",""),vote4SURGE!$A:$C , 3, FALSE)
)
,
IF(IFERROR(SEARCH("SS:",R146),0) &gt; 0, 
VLOOKUP(C146,vote4SURGE!$A:$C , 3, FALSE) - 2,
VLOOKUP(C146,vote4SURGE!$A:$C , 3, FALSE)
)
))</f>
        <v/>
      </c>
      <c r="T146" s="320">
        <f t="shared" si="2"/>
        <v>0</v>
      </c>
      <c r="U146" s="320">
        <f>IFERROR(__xludf.DUMMYFUNCTION("ROUND(
IF(ISBLANK(G146),,
SWITCH(
LEN(G146) - LEN(SUBSTITUTE(G146,"","","""")),
0 , VLOOKUP(G146, Variables!$A:$C, 3, FALSE),
1 , VLOOKUP(index(split(G146 ,"", "", FALSE),1,1), Variables!$A:$C , 3, FALSE) + VLOOKUP(index(split(G146 ,"", "", FALSE),1,2), V"&amp;"ariables!$A:$C , 3, FALSE),
2 , VLOOKUP(index(split(G146 ,"", "", FALSE),1,1), Variables!$A:$C , 3, FALSE) + VLOOKUP(index(split(G146 ,"", "", FALSE),1,2), Variables!$A:$C , 3, FALSE) + VLOOKUP(index(split(G146 ,"", "", FALSE),1,3), Variables!$A:$C , 3, F"&amp;"ALSE),
3 , VLOOKUP(index(split(G146 ,"", "", FALSE),1,1), Variables!$A:$C , 3, FALSE) + VLOOKUP(index(split(G146 ,"", "", FALSE),1,2), Variables!$A:$C , 3, FALSE) + VLOOKUP(index(split(G146 ,"", "", FALSE),1,3), Variables!$A:$C , 3, FALSE) + VLOOKUP(index"&amp;"(split(G146 ,"", "", FALSE),1,4), Variables!$A:$C , 3, FALSE),
)
)
)"),0.0)</f>
        <v>0</v>
      </c>
      <c r="V146" s="317">
        <f t="shared" si="3"/>
        <v>0</v>
      </c>
      <c r="W146" s="321">
        <f t="shared" si="4"/>
        <v>3.5</v>
      </c>
      <c r="X146" s="118"/>
      <c r="Y146" s="118"/>
      <c r="Z146" s="118"/>
      <c r="AA146" s="118"/>
      <c r="AB146" s="118"/>
      <c r="AC146" s="118"/>
      <c r="AD146" s="118"/>
      <c r="AE146" s="118"/>
    </row>
    <row r="147" hidden="1">
      <c r="A147" s="310" t="s">
        <v>1556</v>
      </c>
      <c r="B147" s="93" t="str">
        <f t="shared" si="1"/>
        <v/>
      </c>
      <c r="C147" s="310" t="s">
        <v>932</v>
      </c>
      <c r="D147" s="323">
        <v>0.0</v>
      </c>
      <c r="E147" s="310" t="s">
        <v>1629</v>
      </c>
      <c r="F147" s="310"/>
      <c r="G147" s="313"/>
      <c r="H147" s="312" t="str">
        <f>IFERROR(__xludf.DUMMYFUNCTION(" IF(ISBLANK(G147),,
SWITCH(
LEN(G147) - LEN(SUBSTITUTE(G147,"","","""")),
0 , VLOOKUP(G147, Variables!$A:$B, 2, FALSE),
1 , VLOOKUP(index(split(G147 ,"", "", FALSE),1,1), Variables!$A:$B , 2, FALSE) + VLOOKUP(index(split(G147 ,"", "", FALSE),1,2), Variabl"&amp;"es!$A:$B , 2, FALSE),
2 , VLOOKUP(index(split(G147 ,"", "", FALSE),1,1), Variables!$A:$B , 2, FALSE) + VLOOKUP(index(split(G147 ,"", "", FALSE),1,2), Variables!$A:$B , 2, FALSE) + VLOOKUP(index(split(G147 ,"", "", FALSE),1,3), Variables!$A:$B , 2, FALSE),"&amp;"
3 , VLOOKUP(index(split(G147 ,"", "", FALSE),1,1), Variables!$A:$B , 2, FALSE) + VLOOKUP(index(split(G147 ,"", "", FALSE),1,2), Variables!$A:$B , 2, FALSE) + VLOOKUP(index(split(G147 ,"", "", FALSE),1,3), Variables!$A:$B , 2, FALSE) + VLOOKUP(index(split"&amp;"(G147 ,"", "", FALSE),1,4), Variables!$A:$B , 2, FALSE),
)
)"),"")</f>
        <v/>
      </c>
      <c r="I147" s="310" t="s">
        <v>1673</v>
      </c>
      <c r="J147" s="313" t="s">
        <v>933</v>
      </c>
      <c r="K147" s="314">
        <f>IFERROR(VLOOKUP(C147,vote4ITEMS!$A:$C, 3, FALSE),)</f>
        <v>3.333333333</v>
      </c>
      <c r="L147" s="324"/>
      <c r="M147" s="314">
        <f>SUM(
IF(IFERROR(SEARCH("Aura 1",L147),0) &gt; 0 , VLOOKUP("Aura 1", vote4TRAITS!A:C , 3, FALSE), ),
IF(IFERROR(SEARCH("Backswing",L147),0) &gt; 0 , VLOOKUP("Backswing", vote4TRAITS!A:C , 3, FALSE), ),
IF(IFERROR(SEARCH("Blast",L147),0) &gt; 0 , VLOOKUP("Blast", vote4TRAITS!A:C , 3, FALSE), ),
IF(IFERROR(SEARCH("Combustible",L147),0) &gt; 0 , VLOOKUP("Combustible", vote4TRAITS!A:C , 3, FALSE), ),
IF(IFERROR(SEARCH("Command",L147),0) &gt; 0 , VLOOKUP("Command", vote4TRAITS!A:C , 3, FALSE), ),
IF(IFERROR(SEARCH("Cowardly",L147),0) &gt; 0 , VLOOKUP("Cowardly", vote4TRAITS!A:C , 3, FALSE), ),
IF(IFERROR(SEARCH("Death Wish",L147),0) &gt; 0 , VLOOKUP("Death Wish", vote4TRAITS!A:C , 3, FALSE), ),
IF(IFERROR(SEARCH("Entomb",L147),0) &gt; 0 , VLOOKUP("Entomb", vote4TRAITS!A:C , 3, FALSE), ),
IF(IFERROR(SEARCH("Ethereal Hold",L147),0) &gt; 0 , VLOOKUP("Ethereal Hold", vote4TRAITS!A:C , 3, FALSE), ),
IF(IFERROR(SEARCH("Extend",L147),0) &gt; 0 , VLOOKUP("Extend", vote4TRAITS!A:C , 3, FALSE), ),
IF(IFERROR(SEARCH("Filthy Murk",L147),0) &gt; 0 , VLOOKUP("Filthy Murk", vote4TRAITS!A:C , 3, FALSE), ),
IF(IFERROR(SEARCH("Flame Fiend",L147),0) &gt; 0 , VLOOKUP("Flame Fiend", vote4TRAITS!A:C , 3, FALSE), ),
IF(IFERROR(SEARCH("Fleshmonger",L147),0) &gt; 0 , VLOOKUP("Fleshmonger", vote4TRAITS!A:C , 3, FALSE), ),
IF(IFERROR(SEARCH("Fly",L147),0) &gt; 0 , VLOOKUP("Fly", vote4TRAITS!A:C , 3, FALSE), ),
IF(IFERROR(SEARCH("Freezing",L147),0) &gt; 0 , VLOOKUP("Freezing", vote4TRAITS!A:C , 3, FALSE), ),
IF(IFERROR(SEARCH("Lithesome",L147),0) &gt; 0 , VLOOKUP("Lithesome", vote4TRAITS!A:C , 3, FALSE), ),
IF(IFERROR(SEARCH("Harrowing",L147),0) &gt; 0 , VLOOKUP("Harrowing", vote4TRAITS!A:C , 3, FALSE), ),
IF(IFERROR(SEARCH("Hideous Laughter",L147),0) &gt; 0 , VLOOKUP("Hideous Laughter", vote4TRAITS!A:C , 3, FALSE), ),
IF(IFERROR(SEARCH("Hive Defense",L147),0) &gt; 0 , VLOOKUP("Hive Defense", vote4TRAITS!A:C , 3, FALSE), ),
IF(IFERROR(SEARCH("Horrifying",L147),0) &gt; 0 , VLOOKUP("Horrifying", vote4TRAITS!A:C , 3, FALSE), ),
IF(IFERROR(SEARCH("Ironskin",L147),0) &gt; 0 , VLOOKUP("Ironskin", vote4TRAITS!A:C , 3, FALSE), ),
IF(IFERROR(SEARCH("Unmovable",L147),0) &gt; 0 , VLOOKUP("Unmovable", vote4TRAITS!A:C , 3, FALSE), ),
IF(IFERROR(SEARCH("Lifethirst 1",L147),0) &gt; 0 , VLOOKUP("Lifethirst 1", vote4TRAITS!A:C , 3, FALSE), ),
IF(IFERROR(SEARCH("Lifethirst 2",L147),0) &gt; 0 , VLOOKUP("Lifethirst 2", vote4TRAITS!A:C , 3, FALSE), ),
IF(IFERROR(SEARCH("Morph",L147),0) &gt; 0 , VLOOKUP("Morph", vote4TRAITS!A:C , 3, FALSE), ),
IF(IFERROR(SEARCH("Night Stalker",L147),0) &gt; 0 , VLOOKUP("Night Stalker", vote4TRAITS!A:C , 3, FALSE), ),
IF(IFERROR(SEARCH("Overflowing",L147),0) &gt; 0 , VLOOKUP("Overflowing", vote4TRAITS!A:C , 3, FALSE), ),
IF(IFERROR(SEARCH("Pestilence",L147),0) &gt; 0 , VLOOKUP("Pestilence", vote4TRAITS!A:C , 3, FALSE), ),
IF(IFERROR(SEARCH("Phalanx",L147),0) &gt; 0 , VLOOKUP("Phalanx", vote4TRAITS!A:C , 3, FALSE), ),
IF(IFERROR(SEARCH("Plagued",L147),0) &gt; 0 , VLOOKUP("Plagued", vote4TRAITS!A:C , 3, FALSE), ),
IF(IFERROR(SEARCH("Prey on the Weak",L147),0) &gt; 0 , VLOOKUP("Prey on the Weak", vote4TRAITS!A:C , 3, FALSE), ),
IF(IFERROR(SEARCH("Protect",L147),0) &gt; 0 , VLOOKUP("Protect", vote4TRAITS!A:C , 3, FALSE), ),
IF(IFERROR(SEARCH("Puncture",L147),0) &gt; 0 , VLOOKUP("Puncture", vote4TRAITS!A:C , 3, FALSE), ),
IF(IFERROR(SEARCH("Putrid Boils",L147),0) &gt; 0 , VLOOKUP("Putrid Boils", vote4TRAITS!A:C , 3, FALSE), ),
IF(IFERROR(SEARCH("Ravage",L147),0) &gt; 0 , VLOOKUP("Ravage", vote4TRAITS!A:C , 3, FALSE), ),
IF(IFERROR(SEARCH("Ravenous",L147),0) &gt; 0 , VLOOKUP("Ravenous", vote4TRAITS!A:C , 3, FALSE), ),
IF(IFERROR(SEARCH("Reach",L147),0) &gt; 0 , VLOOKUP("Reach", vote4TRAITS!A:C , 3, FALSE), ),
IF(IFERROR(SEARCH("Reanimation",L147),0) &gt; 0 , VLOOKUP("Reanimation", vote4TRAITS!A:C , 3, FALSE), ),
IF(IFERROR(SEARCH("Reaper",L147),0) &gt; 0 , VLOOKUP("Reaper", vote4TRAITS!A:C , 3, FALSE), ),
IF(IFERROR(SEARCH("Riposte",L147),0) &gt; 0 , VLOOKUP("Riposte", vote4TRAITS!A:C , 3, FALSE)),
IF(IFERROR(SEARCH("Scamper",L147),0) &gt; 0 , VLOOKUP("Scamper", vote4TRAITS!A:C , 3, FALSE), ),
IF(IFERROR(SEARCH("Small Beginnings",L147),0) &gt; 0 , VLOOKUP("Small Beginnings", vote4TRAITS!A:C , 3, FALSE), ),
IF(IFERROR(SEARCH("Spawner",L147),0) &gt; 0 , VLOOKUP("Spawner", vote4TRAITS!A:C , 3,FALSE), ),
IF(IFERROR(SEARCH("Shadowr",L147),0) &gt; 0 , VLOOKUP("Shadow", vote4TRAITS!A:C , 3,FALSE), ),
IF(IFERROR(SEARCH("Shadow Step",L147),0) &gt; 0 , VLOOKUP("Shadow Step", vote4TRAITS!A:C , 3,FALSE), ),
IF(IFERROR(SEARCH("Shambling",L147),0) &gt; 0 , VLOOKUP("Shambling", vote4TRAITS!A:C , 3,FALSE), ),
IF(IFERROR(SEARCH("Stealthy",L147),0) &gt; 0 , VLOOKUP("Stealthy", vote4TRAITS!A:C , 3, FALSE), ),
IF(IFERROR(SEARCH("Web",L147),0) &gt; 0 , VLOOKUP("Web", vote4TRAITS!A:C , 3, FALSE), ),
IF(IFERROR(SEARCH("+1 Willpower",L147),0) &gt; 0 , VLOOKUP("+1 Willpower", vote4TRAITS!A:C , 3, FALSE), ),
IF(IFERROR(SEARCH("+1 Might",L147),0) &gt; 0 , VLOOKUP("+1 Might", vote4TRAITS!A:C , 3, FALSE), ),
IF(IFERROR(SEARCH("+1 Knowledge",L147),0) &gt; 0 , VLOOKUP("+1 Knowledge", vote4TRAITS!A:C , 3, FALSE), ),
IF(IFERROR(SEARCH("+1 Awareness",L147),0) &gt; 0 , VLOOKUP("+1 Awareness", vote4TRAITS!A:C , 3, FALSE), ),
IF(IFERROR(SEARCH("-1 Willpower",L147),0) &gt; 0 , VLOOKUP("-1 Willpower", vote4TRAITS!A:C , 3, FALSE), ),
IF(IFERROR(SEARCH("+1 Health",L147),0) &gt; 0 , VLOOKUP("+1 Health", vote4TRAITS!A:C , 3, FALSE), ),
IF(IFERROR(SEARCH("+2 Health",L147),0) &gt; 0 , VLOOKUP("+2 Health", vote4TRAITS!A:C , 3, FALSE), ),
IF(IFERROR(SEARCH("+1 Stamina",L147),0) &gt; 0 , VLOOKUP("+1 Stamina", vote4TRAITS!A:C , 3, FALSE), ),
IF(IFERROR(SEARCH("+2 Stamina",L147),0) &gt; 0 , VLOOKUP("+2 Stamina", vote4TRAITS!A:C , 3, FALSE), ),
IFS(
IFERROR(SEARCH("+1 Range", L147),) &gt; 0 ,VLOOKUP("+1 Range", vote4TRAITS!A:C , 3, FALSE),
IFERROR(SEARCH("+2 Range", L147),) &gt; 0 ,VLOOKUP("+2 Range", vote4TRAITS!A:C , 3, FALSE),
IFERROR(SEARCH("+3 Range", L147),) &gt; 0,VLOOKUP("+3 Range", vote4TRAITS!A:C , 3, FALSE),
0=0,0)
,
IFS(
IFERROR(SEARCH("Sorcery 1", L147),) &gt; 0 ,VLOOKUP("Sorcery 1", vote4TRAITS!A:C , 3, FALSE),
IFERROR(SEARCH("Sorcery 2", L147),) &gt; 0 ,VLOOKUP("Sorcery 2", vote4TRAITS!A:C , 3, FALSE),
IFERROR(SEARCH("Sorcery 3", L147),) &gt; 0,VLOOKUP("Sorcery 3", vote4TRAITS!A:C , 3, FALSE),
0=0,0)
,
IFS(
IFERROR(SEARCH("Pierce 1", L147),) &gt; 0 ,VLOOKUP("Pierce 1", vote4TRAITS!A:C , 3, FALSE),
IFERROR(SEARCH("Pierce 2", L147),) &gt; 0 ,VLOOKUP("Pierce 2", vote4TRAITS!A:C , 3, FALSE),
IFERROR(SEARCH("Pierce 3", L147),) &gt; 0,VLOOKUP("Pierce 3", vote4TRAITS!A:C , 3, FALSE),
IFERROR(SEARCH("Pierce 4", L147),) &gt; 0 ,VLOOKUP("Pierce 4", vote4TRAITS!A:C , 3, FALSE),
0=0,0)
,
IFS(
IFERROR(SEARCH("+1 Health", L147),) &gt; 0 ,VLOOKUP("+1 Health", vote4TRAITS!A:C , 3, FALSE),
IFERROR(SEARCH("+2 Health", L147),) &gt; 0 ,VLOOKUP("+2 Health", vote4TRAITS!A:C , 3, FALSE),
IFERROR(SEARCH("+3 Health", L147),) &gt; 0 ,VLOOKUP("+3 Health", vote4TRAITS!A:C , 3, FALSE),
IFERROR(SEARCH("+4 Health", L147),) &gt; 0 ,VLOOKUP("+4 Health", vote4TRAITS!A:C , 3, FALSE),
0=0,0)
,
IFS(
IFERROR(SEARCH("Soul Shackle 1", L147),) &gt; 0 ,VLOOKUP("Soul Shackle 1", vote4TRAITS!A:C , 3, FALSE),
IFERROR(SEARCH("Soul Shackle 2", L147),) &gt; 0 ,VLOOKUP("Soul Shackle 2", vote4TRAITS!A:C , 3, FALSE),
IFERROR(SEARCH("Soul Shackle 3", L147),) &gt; 0,VLOOKUP("Soul Shackle 3", vote4TRAITS!A:C , 3, FALSE),
0=0,0)
)</f>
        <v>0</v>
      </c>
      <c r="N147" s="330"/>
      <c r="O147" s="317" t="str">
        <f>IF(ISBLANK(N147),,IFERROR(
IF(IFERROR(SEARCH("SS:",N147),0) &gt; 0, 
VLOOKUP(SUBSTITUTE(N147,"SS: ",""),vote4SURGE!$A:$C , 3, FALSE) - 2,
VLOOKUP(SUBSTITUTE(N147,"S: ",""),vote4SURGE!$A:$C , 3, FALSE)
)
,
IF(IFERROR(SEARCH("SS:",N147),0) &gt; 0, 
VLOOKUP(C147,vote4SURGE!$A:$C , 3, FALSE) - 2,
VLOOKUP(C147,vote4SURGE!$A:$C , 3, FALSE)
)
))</f>
        <v/>
      </c>
      <c r="P147" s="318"/>
      <c r="Q147" s="317" t="str">
        <f>IF(ISBLANK(P147),,IFERROR(
IF(IFERROR(SEARCH("SS:",P147),0) &gt; 0, 
VLOOKUP(SUBSTITUTE(P147,"SS: ",""),vote4SURGE!$A:$C , 3, FALSE) - 2,
VLOOKUP(SUBSTITUTE(P147,"S: ",""),vote4SURGE!$A:$C , 3, FALSE)
)
,
IF(IFERROR(SEARCH("SS:",P147),0) &gt; 0, 
VLOOKUP(C147,vote4SURGE!$A:$C , 3, FALSE) - 2,
VLOOKUP(C147,vote4SURGE!$A:$C , 3, FALSE)
)
))</f>
        <v/>
      </c>
      <c r="R147" s="318"/>
      <c r="S147" s="319" t="str">
        <f>IF(ISBLANK(R147),,IFERROR(
IF(IFERROR(SEARCH("SS:",R147),0) &gt; 0, 
VLOOKUP(SUBSTITUTE(R147,"SS: ",""),vote4SURGE!$A:$C , 3, FALSE) - 2,
VLOOKUP(SUBSTITUTE(R147,"S: ",""),vote4SURGE!$A:$C , 3, FALSE)
)
,
IF(IFERROR(SEARCH("SS:",R147),0) &gt; 0, 
VLOOKUP(C147,vote4SURGE!$A:$C , 3, FALSE) - 2,
VLOOKUP(C147,vote4SURGE!$A:$C , 3, FALSE)
)
))</f>
        <v/>
      </c>
      <c r="T147" s="320">
        <f t="shared" si="2"/>
        <v>0</v>
      </c>
      <c r="U147" s="320">
        <f>IFERROR(__xludf.DUMMYFUNCTION("ROUND(
IF(ISBLANK(G147),,
SWITCH(
LEN(G147) - LEN(SUBSTITUTE(G147,"","","""")),
0 , VLOOKUP(G147, Variables!$A:$C, 3, FALSE),
1 , VLOOKUP(index(split(G147 ,"", "", FALSE),1,1), Variables!$A:$C , 3, FALSE) + VLOOKUP(index(split(G147 ,"", "", FALSE),1,2), V"&amp;"ariables!$A:$C , 3, FALSE),
2 , VLOOKUP(index(split(G147 ,"", "", FALSE),1,1), Variables!$A:$C , 3, FALSE) + VLOOKUP(index(split(G147 ,"", "", FALSE),1,2), Variables!$A:$C , 3, FALSE) + VLOOKUP(index(split(G147 ,"", "", FALSE),1,3), Variables!$A:$C , 3, F"&amp;"ALSE),
3 , VLOOKUP(index(split(G147 ,"", "", FALSE),1,1), Variables!$A:$C , 3, FALSE) + VLOOKUP(index(split(G147 ,"", "", FALSE),1,2), Variables!$A:$C , 3, FALSE) + VLOOKUP(index(split(G147 ,"", "", FALSE),1,3), Variables!$A:$C , 3, FALSE) + VLOOKUP(index"&amp;"(split(G147 ,"", "", FALSE),1,4), Variables!$A:$C , 3, FALSE),
)
)
)"),0.0)</f>
        <v>0</v>
      </c>
      <c r="V147" s="317">
        <f t="shared" si="3"/>
        <v>0</v>
      </c>
      <c r="W147" s="321">
        <f t="shared" si="4"/>
        <v>3.333333333</v>
      </c>
      <c r="X147" s="118"/>
      <c r="Y147" s="118"/>
      <c r="Z147" s="118"/>
      <c r="AA147" s="118"/>
      <c r="AB147" s="118"/>
      <c r="AC147" s="118"/>
      <c r="AD147" s="118"/>
      <c r="AE147" s="118"/>
    </row>
    <row r="148" hidden="1">
      <c r="A148" s="310">
        <v>1.0</v>
      </c>
      <c r="B148" s="93">
        <f t="shared" si="1"/>
        <v>1</v>
      </c>
      <c r="C148" s="310" t="s">
        <v>936</v>
      </c>
      <c r="D148" s="310">
        <v>150.0</v>
      </c>
      <c r="E148" s="310" t="s">
        <v>1620</v>
      </c>
      <c r="F148" s="310"/>
      <c r="G148" s="313" t="s">
        <v>1621</v>
      </c>
      <c r="H148" s="312">
        <f>IFERROR(__xludf.DUMMYFUNCTION(" IF(ISBLANK(G148),,
SWITCH(
LEN(G148) - LEN(SUBSTITUTE(G148,"","","""")),
0 , VLOOKUP(G148, Variables!$A:$B, 2, FALSE),
1 , VLOOKUP(index(split(G148 ,"", "", FALSE),1,1), Variables!$A:$B , 2, FALSE) + VLOOKUP(index(split(G148 ,"", "", FALSE),1,2), Variabl"&amp;"es!$A:$B , 2, FALSE),
2 , VLOOKUP(index(split(G148 ,"", "", FALSE),1,1), Variables!$A:$B , 2, FALSE) + VLOOKUP(index(split(G148 ,"", "", FALSE),1,2), Variables!$A:$B , 2, FALSE) + VLOOKUP(index(split(G148 ,"", "", FALSE),1,3), Variables!$A:$B , 2, FALSE),"&amp;"
3 , VLOOKUP(index(split(G148 ,"", "", FALSE),1,1), Variables!$A:$B , 2, FALSE) + VLOOKUP(index(split(G148 ,"", "", FALSE),1,2), Variables!$A:$B , 2, FALSE) + VLOOKUP(index(split(G148 ,"", "", FALSE),1,3), Variables!$A:$B , 2, FALSE) + VLOOKUP(index(split"&amp;"(G148 ,"", "", FALSE),1,4), Variables!$A:$B , 2, FALSE),
)
)"),0.6666666666666666)</f>
        <v>0.6666666667</v>
      </c>
      <c r="I148" s="310" t="s">
        <v>1622</v>
      </c>
      <c r="J148" s="313" t="s">
        <v>937</v>
      </c>
      <c r="K148" s="314">
        <f>IFERROR(VLOOKUP(C148,vote4ITEMS!$A:$C, 3, FALSE),)</f>
        <v>2.666666667</v>
      </c>
      <c r="L148" s="313"/>
      <c r="M148" s="314">
        <f>SUM(
IF(IFERROR(SEARCH("Aura 1",L148),0) &gt; 0 , VLOOKUP("Aura 1", vote4TRAITS!A:C , 3, FALSE), ),
IF(IFERROR(SEARCH("Backswing",L148),0) &gt; 0 , VLOOKUP("Backswing", vote4TRAITS!A:C , 3, FALSE), ),
IF(IFERROR(SEARCH("Blast",L148),0) &gt; 0 , VLOOKUP("Blast", vote4TRAITS!A:C , 3, FALSE), ),
IF(IFERROR(SEARCH("Combustible",L148),0) &gt; 0 , VLOOKUP("Combustible", vote4TRAITS!A:C , 3, FALSE), ),
IF(IFERROR(SEARCH("Command",L148),0) &gt; 0 , VLOOKUP("Command", vote4TRAITS!A:C , 3, FALSE), ),
IF(IFERROR(SEARCH("Cowardly",L148),0) &gt; 0 , VLOOKUP("Cowardly", vote4TRAITS!A:C , 3, FALSE), ),
IF(IFERROR(SEARCH("Death Wish",L148),0) &gt; 0 , VLOOKUP("Death Wish", vote4TRAITS!A:C , 3, FALSE), ),
IF(IFERROR(SEARCH("Entomb",L148),0) &gt; 0 , VLOOKUP("Entomb", vote4TRAITS!A:C , 3, FALSE), ),
IF(IFERROR(SEARCH("Ethereal Hold",L148),0) &gt; 0 , VLOOKUP("Ethereal Hold", vote4TRAITS!A:C , 3, FALSE), ),
IF(IFERROR(SEARCH("Extend",L148),0) &gt; 0 , VLOOKUP("Extend", vote4TRAITS!A:C , 3, FALSE), ),
IF(IFERROR(SEARCH("Filthy Murk",L148),0) &gt; 0 , VLOOKUP("Filthy Murk", vote4TRAITS!A:C , 3, FALSE), ),
IF(IFERROR(SEARCH("Flame Fiend",L148),0) &gt; 0 , VLOOKUP("Flame Fiend", vote4TRAITS!A:C , 3, FALSE), ),
IF(IFERROR(SEARCH("Fleshmonger",L148),0) &gt; 0 , VLOOKUP("Fleshmonger", vote4TRAITS!A:C , 3, FALSE), ),
IF(IFERROR(SEARCH("Fly",L148),0) &gt; 0 , VLOOKUP("Fly", vote4TRAITS!A:C , 3, FALSE), ),
IF(IFERROR(SEARCH("Freezing",L148),0) &gt; 0 , VLOOKUP("Freezing", vote4TRAITS!A:C , 3, FALSE), ),
IF(IFERROR(SEARCH("Lithesome",L148),0) &gt; 0 , VLOOKUP("Lithesome", vote4TRAITS!A:C , 3, FALSE), ),
IF(IFERROR(SEARCH("Harrowing",L148),0) &gt; 0 , VLOOKUP("Harrowing", vote4TRAITS!A:C , 3, FALSE), ),
IF(IFERROR(SEARCH("Hideous Laughter",L148),0) &gt; 0 , VLOOKUP("Hideous Laughter", vote4TRAITS!A:C , 3, FALSE), ),
IF(IFERROR(SEARCH("Hive Defense",L148),0) &gt; 0 , VLOOKUP("Hive Defense", vote4TRAITS!A:C , 3, FALSE), ),
IF(IFERROR(SEARCH("Horrifying",L148),0) &gt; 0 , VLOOKUP("Horrifying", vote4TRAITS!A:C , 3, FALSE), ),
IF(IFERROR(SEARCH("Ironskin",L148),0) &gt; 0 , VLOOKUP("Ironskin", vote4TRAITS!A:C , 3, FALSE), ),
IF(IFERROR(SEARCH("Unmovable",L148),0) &gt; 0 , VLOOKUP("Unmovable", vote4TRAITS!A:C , 3, FALSE), ),
IF(IFERROR(SEARCH("Lifethirst 1",L148),0) &gt; 0 , VLOOKUP("Lifethirst 1", vote4TRAITS!A:C , 3, FALSE), ),
IF(IFERROR(SEARCH("Lifethirst 2",L148),0) &gt; 0 , VLOOKUP("Lifethirst 2", vote4TRAITS!A:C , 3, FALSE), ),
IF(IFERROR(SEARCH("Morph",L148),0) &gt; 0 , VLOOKUP("Morph", vote4TRAITS!A:C , 3, FALSE), ),
IF(IFERROR(SEARCH("Night Stalker",L148),0) &gt; 0 , VLOOKUP("Night Stalker", vote4TRAITS!A:C , 3, FALSE), ),
IF(IFERROR(SEARCH("Overflowing",L148),0) &gt; 0 , VLOOKUP("Overflowing", vote4TRAITS!A:C , 3, FALSE), ),
IF(IFERROR(SEARCH("Pestilence",L148),0) &gt; 0 , VLOOKUP("Pestilence", vote4TRAITS!A:C , 3, FALSE), ),
IF(IFERROR(SEARCH("Phalanx",L148),0) &gt; 0 , VLOOKUP("Phalanx", vote4TRAITS!A:C , 3, FALSE), ),
IF(IFERROR(SEARCH("Plagued",L148),0) &gt; 0 , VLOOKUP("Plagued", vote4TRAITS!A:C , 3, FALSE), ),
IF(IFERROR(SEARCH("Prey on the Weak",L148),0) &gt; 0 , VLOOKUP("Prey on the Weak", vote4TRAITS!A:C , 3, FALSE), ),
IF(IFERROR(SEARCH("Protect",L148),0) &gt; 0 , VLOOKUP("Protect", vote4TRAITS!A:C , 3, FALSE), ),
IF(IFERROR(SEARCH("Puncture",L148),0) &gt; 0 , VLOOKUP("Puncture", vote4TRAITS!A:C , 3, FALSE), ),
IF(IFERROR(SEARCH("Putrid Boils",L148),0) &gt; 0 , VLOOKUP("Putrid Boils", vote4TRAITS!A:C , 3, FALSE), ),
IF(IFERROR(SEARCH("Ravage",L148),0) &gt; 0 , VLOOKUP("Ravage", vote4TRAITS!A:C , 3, FALSE), ),
IF(IFERROR(SEARCH("Ravenous",L148),0) &gt; 0 , VLOOKUP("Ravenous", vote4TRAITS!A:C , 3, FALSE), ),
IF(IFERROR(SEARCH("Reach",L148),0) &gt; 0 , VLOOKUP("Reach", vote4TRAITS!A:C , 3, FALSE), ),
IF(IFERROR(SEARCH("Reanimation",L148),0) &gt; 0 , VLOOKUP("Reanimation", vote4TRAITS!A:C , 3, FALSE), ),
IF(IFERROR(SEARCH("Reaper",L148),0) &gt; 0 , VLOOKUP("Reaper", vote4TRAITS!A:C , 3, FALSE), ),
IF(IFERROR(SEARCH("Riposte",L148),0) &gt; 0 , VLOOKUP("Riposte", vote4TRAITS!A:C , 3, FALSE)),
IF(IFERROR(SEARCH("Scamper",L148),0) &gt; 0 , VLOOKUP("Scamper", vote4TRAITS!A:C , 3, FALSE), ),
IF(IFERROR(SEARCH("Small Beginnings",L148),0) &gt; 0 , VLOOKUP("Small Beginnings", vote4TRAITS!A:C , 3, FALSE), ),
IF(IFERROR(SEARCH("Spawner",L148),0) &gt; 0 , VLOOKUP("Spawner", vote4TRAITS!A:C , 3,FALSE), ),
IF(IFERROR(SEARCH("Shadowr",L148),0) &gt; 0 , VLOOKUP("Shadow", vote4TRAITS!A:C , 3,FALSE), ),
IF(IFERROR(SEARCH("Shadow Step",L148),0) &gt; 0 , VLOOKUP("Shadow Step", vote4TRAITS!A:C , 3,FALSE), ),
IF(IFERROR(SEARCH("Shambling",L148),0) &gt; 0 , VLOOKUP("Shambling", vote4TRAITS!A:C , 3,FALSE), ),
IF(IFERROR(SEARCH("Stealthy",L148),0) &gt; 0 , VLOOKUP("Stealthy", vote4TRAITS!A:C , 3, FALSE), ),
IF(IFERROR(SEARCH("Web",L148),0) &gt; 0 , VLOOKUP("Web", vote4TRAITS!A:C , 3, FALSE), ),
IF(IFERROR(SEARCH("+1 Willpower",L148),0) &gt; 0 , VLOOKUP("+1 Willpower", vote4TRAITS!A:C , 3, FALSE), ),
IF(IFERROR(SEARCH("+1 Might",L148),0) &gt; 0 , VLOOKUP("+1 Might", vote4TRAITS!A:C , 3, FALSE), ),
IF(IFERROR(SEARCH("+1 Knowledge",L148),0) &gt; 0 , VLOOKUP("+1 Knowledge", vote4TRAITS!A:C , 3, FALSE), ),
IF(IFERROR(SEARCH("+1 Awareness",L148),0) &gt; 0 , VLOOKUP("+1 Awareness", vote4TRAITS!A:C , 3, FALSE), ),
IF(IFERROR(SEARCH("-1 Willpower",L148),0) &gt; 0 , VLOOKUP("-1 Willpower", vote4TRAITS!A:C , 3, FALSE), ),
IF(IFERROR(SEARCH("+1 Health",L148),0) &gt; 0 , VLOOKUP("+1 Health", vote4TRAITS!A:C , 3, FALSE), ),
IF(IFERROR(SEARCH("+2 Health",L148),0) &gt; 0 , VLOOKUP("+2 Health", vote4TRAITS!A:C , 3, FALSE), ),
IF(IFERROR(SEARCH("+1 Stamina",L148),0) &gt; 0 , VLOOKUP("+1 Stamina", vote4TRAITS!A:C , 3, FALSE), ),
IF(IFERROR(SEARCH("+2 Stamina",L148),0) &gt; 0 , VLOOKUP("+2 Stamina", vote4TRAITS!A:C , 3, FALSE), ),
IFS(
IFERROR(SEARCH("+1 Range", L148),) &gt; 0 ,VLOOKUP("+1 Range", vote4TRAITS!A:C , 3, FALSE),
IFERROR(SEARCH("+2 Range", L148),) &gt; 0 ,VLOOKUP("+2 Range", vote4TRAITS!A:C , 3, FALSE),
IFERROR(SEARCH("+3 Range", L148),) &gt; 0,VLOOKUP("+3 Range", vote4TRAITS!A:C , 3, FALSE),
0=0,0)
,
IFS(
IFERROR(SEARCH("Sorcery 1", L148),) &gt; 0 ,VLOOKUP("Sorcery 1", vote4TRAITS!A:C , 3, FALSE),
IFERROR(SEARCH("Sorcery 2", L148),) &gt; 0 ,VLOOKUP("Sorcery 2", vote4TRAITS!A:C , 3, FALSE),
IFERROR(SEARCH("Sorcery 3", L148),) &gt; 0,VLOOKUP("Sorcery 3", vote4TRAITS!A:C , 3, FALSE),
0=0,0)
,
IFS(
IFERROR(SEARCH("Pierce 1", L148),) &gt; 0 ,VLOOKUP("Pierce 1", vote4TRAITS!A:C , 3, FALSE),
IFERROR(SEARCH("Pierce 2", L148),) &gt; 0 ,VLOOKUP("Pierce 2", vote4TRAITS!A:C , 3, FALSE),
IFERROR(SEARCH("Pierce 3", L148),) &gt; 0,VLOOKUP("Pierce 3", vote4TRAITS!A:C , 3, FALSE),
IFERROR(SEARCH("Pierce 4", L148),) &gt; 0 ,VLOOKUP("Pierce 4", vote4TRAITS!A:C , 3, FALSE),
0=0,0)
,
IFS(
IFERROR(SEARCH("+1 Health", L148),) &gt; 0 ,VLOOKUP("+1 Health", vote4TRAITS!A:C , 3, FALSE),
IFERROR(SEARCH("+2 Health", L148),) &gt; 0 ,VLOOKUP("+2 Health", vote4TRAITS!A:C , 3, FALSE),
IFERROR(SEARCH("+3 Health", L148),) &gt; 0 ,VLOOKUP("+3 Health", vote4TRAITS!A:C , 3, FALSE),
IFERROR(SEARCH("+4 Health", L148),) &gt; 0 ,VLOOKUP("+4 Health", vote4TRAITS!A:C , 3, FALSE),
0=0,0)
,
IFS(
IFERROR(SEARCH("Soul Shackle 1", L148),) &gt; 0 ,VLOOKUP("Soul Shackle 1", vote4TRAITS!A:C , 3, FALSE),
IFERROR(SEARCH("Soul Shackle 2", L148),) &gt; 0 ,VLOOKUP("Soul Shackle 2", vote4TRAITS!A:C , 3, FALSE),
IFERROR(SEARCH("Soul Shackle 3", L148),) &gt; 0,VLOOKUP("Soul Shackle 3", vote4TRAITS!A:C , 3, FALSE),
0=0,0)
)</f>
        <v>0</v>
      </c>
      <c r="N148" s="313"/>
      <c r="O148" s="317" t="str">
        <f>IF(ISBLANK(N148),,IFERROR(
IF(IFERROR(SEARCH("SS:",N148),0) &gt; 0, 
VLOOKUP(SUBSTITUTE(N148,"SS: ",""),vote4SURGE!$A:$C , 3, FALSE) - 2,
VLOOKUP(SUBSTITUTE(N148,"S: ",""),vote4SURGE!$A:$C , 3, FALSE)
)
,
IF(IFERROR(SEARCH("SS:",N148),0) &gt; 0, 
VLOOKUP(C148,vote4SURGE!$A:$C , 3, FALSE) - 2,
VLOOKUP(C148,vote4SURGE!$A:$C , 3, FALSE)
)
))</f>
        <v/>
      </c>
      <c r="P148" s="318"/>
      <c r="Q148" s="317" t="str">
        <f>IF(ISBLANK(P148),,IFERROR(
IF(IFERROR(SEARCH("SS:",P148),0) &gt; 0, 
VLOOKUP(SUBSTITUTE(P148,"SS: ",""),vote4SURGE!$A:$C , 3, FALSE) - 2,
VLOOKUP(SUBSTITUTE(P148,"S: ",""),vote4SURGE!$A:$C , 3, FALSE)
)
,
IF(IFERROR(SEARCH("SS:",P148),0) &gt; 0, 
VLOOKUP(C148,vote4SURGE!$A:$C , 3, FALSE) - 2,
VLOOKUP(C148,vote4SURGE!$A:$C , 3, FALSE)
)
))</f>
        <v/>
      </c>
      <c r="R148" s="318"/>
      <c r="S148" s="319" t="str">
        <f>IF(ISBLANK(R148),,IFERROR(
IF(IFERROR(SEARCH("SS:",R148),0) &gt; 0, 
VLOOKUP(SUBSTITUTE(R148,"SS: ",""),vote4SURGE!$A:$C , 3, FALSE) - 2,
VLOOKUP(SUBSTITUTE(R148,"S: ",""),vote4SURGE!$A:$C , 3, FALSE)
)
,
IF(IFERROR(SEARCH("SS:",R148),0) &gt; 0, 
VLOOKUP(C148,vote4SURGE!$A:$C , 3, FALSE) - 2,
VLOOKUP(C148,vote4SURGE!$A:$C , 3, FALSE)
)
))</f>
        <v/>
      </c>
      <c r="T148" s="320">
        <f t="shared" si="2"/>
        <v>0</v>
      </c>
      <c r="U148" s="320">
        <f>IFERROR(__xludf.DUMMYFUNCTION("ROUND(
IF(ISBLANK(G148),,
SWITCH(
LEN(G148) - LEN(SUBSTITUTE(G148,"","","""")),
0 , VLOOKUP(G148, Variables!$A:$C, 3, FALSE),
1 , VLOOKUP(index(split(G148 ,"", "", FALSE),1,1), Variables!$A:$C , 3, FALSE) + VLOOKUP(index(split(G148 ,"", "", FALSE),1,2), V"&amp;"ariables!$A:$C , 3, FALSE),
2 , VLOOKUP(index(split(G148 ,"", "", FALSE),1,1), Variables!$A:$C , 3, FALSE) + VLOOKUP(index(split(G148 ,"", "", FALSE),1,2), Variables!$A:$C , 3, FALSE) + VLOOKUP(index(split(G148 ,"", "", FALSE),1,3), Variables!$A:$C , 3, F"&amp;"ALSE),
3 , VLOOKUP(index(split(G148 ,"", "", FALSE),1,1), Variables!$A:$C , 3, FALSE) + VLOOKUP(index(split(G148 ,"", "", FALSE),1,2), Variables!$A:$C , 3, FALSE) + VLOOKUP(index(split(G148 ,"", "", FALSE),1,3), Variables!$A:$C , 3, FALSE) + VLOOKUP(index"&amp;"(split(G148 ,"", "", FALSE),1,4), Variables!$A:$C , 3, FALSE),
)
)
)"),0.0)</f>
        <v>0</v>
      </c>
      <c r="V148" s="317">
        <f t="shared" si="3"/>
        <v>0</v>
      </c>
      <c r="W148" s="321">
        <f t="shared" si="4"/>
        <v>3.333333333</v>
      </c>
      <c r="X148" s="118"/>
      <c r="Y148" s="118"/>
      <c r="Z148" s="118"/>
      <c r="AA148" s="118"/>
      <c r="AB148" s="118"/>
      <c r="AC148" s="118"/>
      <c r="AD148" s="118"/>
      <c r="AE148" s="118"/>
    </row>
    <row r="149" hidden="1">
      <c r="A149" s="310">
        <v>2.0</v>
      </c>
      <c r="B149" s="93">
        <f t="shared" si="1"/>
        <v>5</v>
      </c>
      <c r="C149" s="310" t="s">
        <v>794</v>
      </c>
      <c r="D149" s="310">
        <v>200.0</v>
      </c>
      <c r="E149" s="310" t="s">
        <v>1527</v>
      </c>
      <c r="F149" s="310"/>
      <c r="G149" s="311" t="s">
        <v>1663</v>
      </c>
      <c r="H149" s="312">
        <f>IFERROR(__xludf.DUMMYFUNCTION(" IF(ISBLANK(G149),,
SWITCH(
LEN(G149) - LEN(SUBSTITUTE(G149,"","","""")),
0 , VLOOKUP(G149, Variables!$A:$B, 2, FALSE),
1 , VLOOKUP(index(split(G149 ,"", "", FALSE),1,1), Variables!$A:$B , 2, FALSE) + VLOOKUP(index(split(G149 ,"", "", FALSE),1,2), Variabl"&amp;"es!$A:$B , 2, FALSE),
2 , VLOOKUP(index(split(G149 ,"", "", FALSE),1,1), Variables!$A:$B , 2, FALSE) + VLOOKUP(index(split(G149 ,"", "", FALSE),1,2), Variables!$A:$B , 2, FALSE) + VLOOKUP(index(split(G149 ,"", "", FALSE),1,3), Variables!$A:$B , 2, FALSE),"&amp;"
3 , VLOOKUP(index(split(G149 ,"", "", FALSE),1,1), Variables!$A:$B , 2, FALSE) + VLOOKUP(index(split(G149 ,"", "", FALSE),1,2), Variables!$A:$B , 2, FALSE) + VLOOKUP(index(split(G149 ,"", "", FALSE),1,3), Variables!$A:$B , 2, FALSE) + VLOOKUP(index(split"&amp;"(G149 ,"", "", FALSE),1,4), Variables!$A:$B , 2, FALSE),
)
)"),1.3333333333333333)</f>
        <v>1.333333333</v>
      </c>
      <c r="I149" s="310" t="s">
        <v>1672</v>
      </c>
      <c r="J149" s="313" t="s">
        <v>795</v>
      </c>
      <c r="K149" s="314">
        <f>IFERROR(VLOOKUP(C149,vote4ITEMS!$A:$C, 3, FALSE),)</f>
        <v>2</v>
      </c>
      <c r="L149" s="313"/>
      <c r="M149" s="314">
        <f>SUM(
IF(IFERROR(SEARCH("Aura 1",L149),0) &gt; 0 , VLOOKUP("Aura 1", vote4TRAITS!A:C , 3, FALSE), ),
IF(IFERROR(SEARCH("Backswing",L149),0) &gt; 0 , VLOOKUP("Backswing", vote4TRAITS!A:C , 3, FALSE), ),
IF(IFERROR(SEARCH("Blast",L149),0) &gt; 0 , VLOOKUP("Blast", vote4TRAITS!A:C , 3, FALSE), ),
IF(IFERROR(SEARCH("Combustible",L149),0) &gt; 0 , VLOOKUP("Combustible", vote4TRAITS!A:C , 3, FALSE), ),
IF(IFERROR(SEARCH("Command",L149),0) &gt; 0 , VLOOKUP("Command", vote4TRAITS!A:C , 3, FALSE), ),
IF(IFERROR(SEARCH("Cowardly",L149),0) &gt; 0 , VLOOKUP("Cowardly", vote4TRAITS!A:C , 3, FALSE), ),
IF(IFERROR(SEARCH("Death Wish",L149),0) &gt; 0 , VLOOKUP("Death Wish", vote4TRAITS!A:C , 3, FALSE), ),
IF(IFERROR(SEARCH("Entomb",L149),0) &gt; 0 , VLOOKUP("Entomb", vote4TRAITS!A:C , 3, FALSE), ),
IF(IFERROR(SEARCH("Ethereal Hold",L149),0) &gt; 0 , VLOOKUP("Ethereal Hold", vote4TRAITS!A:C , 3, FALSE), ),
IF(IFERROR(SEARCH("Extend",L149),0) &gt; 0 , VLOOKUP("Extend", vote4TRAITS!A:C , 3, FALSE), ),
IF(IFERROR(SEARCH("Filthy Murk",L149),0) &gt; 0 , VLOOKUP("Filthy Murk", vote4TRAITS!A:C , 3, FALSE), ),
IF(IFERROR(SEARCH("Flame Fiend",L149),0) &gt; 0 , VLOOKUP("Flame Fiend", vote4TRAITS!A:C , 3, FALSE), ),
IF(IFERROR(SEARCH("Fleshmonger",L149),0) &gt; 0 , VLOOKUP("Fleshmonger", vote4TRAITS!A:C , 3, FALSE), ),
IF(IFERROR(SEARCH("Fly",L149),0) &gt; 0 , VLOOKUP("Fly", vote4TRAITS!A:C , 3, FALSE), ),
IF(IFERROR(SEARCH("Freezing",L149),0) &gt; 0 , VLOOKUP("Freezing", vote4TRAITS!A:C , 3, FALSE), ),
IF(IFERROR(SEARCH("Lithesome",L149),0) &gt; 0 , VLOOKUP("Lithesome", vote4TRAITS!A:C , 3, FALSE), ),
IF(IFERROR(SEARCH("Harrowing",L149),0) &gt; 0 , VLOOKUP("Harrowing", vote4TRAITS!A:C , 3, FALSE), ),
IF(IFERROR(SEARCH("Hideous Laughter",L149),0) &gt; 0 , VLOOKUP("Hideous Laughter", vote4TRAITS!A:C , 3, FALSE), ),
IF(IFERROR(SEARCH("Hive Defense",L149),0) &gt; 0 , VLOOKUP("Hive Defense", vote4TRAITS!A:C , 3, FALSE), ),
IF(IFERROR(SEARCH("Horrifying",L149),0) &gt; 0 , VLOOKUP("Horrifying", vote4TRAITS!A:C , 3, FALSE), ),
IF(IFERROR(SEARCH("Ironskin",L149),0) &gt; 0 , VLOOKUP("Ironskin", vote4TRAITS!A:C , 3, FALSE), ),
IF(IFERROR(SEARCH("Unmovable",L149),0) &gt; 0 , VLOOKUP("Unmovable", vote4TRAITS!A:C , 3, FALSE), ),
IF(IFERROR(SEARCH("Lifethirst 1",L149),0) &gt; 0 , VLOOKUP("Lifethirst 1", vote4TRAITS!A:C , 3, FALSE), ),
IF(IFERROR(SEARCH("Lifethirst 2",L149),0) &gt; 0 , VLOOKUP("Lifethirst 2", vote4TRAITS!A:C , 3, FALSE), ),
IF(IFERROR(SEARCH("Morph",L149),0) &gt; 0 , VLOOKUP("Morph", vote4TRAITS!A:C , 3, FALSE), ),
IF(IFERROR(SEARCH("Night Stalker",L149),0) &gt; 0 , VLOOKUP("Night Stalker", vote4TRAITS!A:C , 3, FALSE), ),
IF(IFERROR(SEARCH("Overflowing",L149),0) &gt; 0 , VLOOKUP("Overflowing", vote4TRAITS!A:C , 3, FALSE), ),
IF(IFERROR(SEARCH("Pestilence",L149),0) &gt; 0 , VLOOKUP("Pestilence", vote4TRAITS!A:C , 3, FALSE), ),
IF(IFERROR(SEARCH("Phalanx",L149),0) &gt; 0 , VLOOKUP("Phalanx", vote4TRAITS!A:C , 3, FALSE), ),
IF(IFERROR(SEARCH("Plagued",L149),0) &gt; 0 , VLOOKUP("Plagued", vote4TRAITS!A:C , 3, FALSE), ),
IF(IFERROR(SEARCH("Prey on the Weak",L149),0) &gt; 0 , VLOOKUP("Prey on the Weak", vote4TRAITS!A:C , 3, FALSE), ),
IF(IFERROR(SEARCH("Protect",L149),0) &gt; 0 , VLOOKUP("Protect", vote4TRAITS!A:C , 3, FALSE), ),
IF(IFERROR(SEARCH("Puncture",L149),0) &gt; 0 , VLOOKUP("Puncture", vote4TRAITS!A:C , 3, FALSE), ),
IF(IFERROR(SEARCH("Putrid Boils",L149),0) &gt; 0 , VLOOKUP("Putrid Boils", vote4TRAITS!A:C , 3, FALSE), ),
IF(IFERROR(SEARCH("Ravage",L149),0) &gt; 0 , VLOOKUP("Ravage", vote4TRAITS!A:C , 3, FALSE), ),
IF(IFERROR(SEARCH("Ravenous",L149),0) &gt; 0 , VLOOKUP("Ravenous", vote4TRAITS!A:C , 3, FALSE), ),
IF(IFERROR(SEARCH("Reach",L149),0) &gt; 0 , VLOOKUP("Reach", vote4TRAITS!A:C , 3, FALSE), ),
IF(IFERROR(SEARCH("Reanimation",L149),0) &gt; 0 , VLOOKUP("Reanimation", vote4TRAITS!A:C , 3, FALSE), ),
IF(IFERROR(SEARCH("Reaper",L149),0) &gt; 0 , VLOOKUP("Reaper", vote4TRAITS!A:C , 3, FALSE), ),
IF(IFERROR(SEARCH("Riposte",L149),0) &gt; 0 , VLOOKUP("Riposte", vote4TRAITS!A:C , 3, FALSE)),
IF(IFERROR(SEARCH("Scamper",L149),0) &gt; 0 , VLOOKUP("Scamper", vote4TRAITS!A:C , 3, FALSE), ),
IF(IFERROR(SEARCH("Small Beginnings",L149),0) &gt; 0 , VLOOKUP("Small Beginnings", vote4TRAITS!A:C , 3, FALSE), ),
IF(IFERROR(SEARCH("Spawner",L149),0) &gt; 0 , VLOOKUP("Spawner", vote4TRAITS!A:C , 3,FALSE), ),
IF(IFERROR(SEARCH("Shadowr",L149),0) &gt; 0 , VLOOKUP("Shadow", vote4TRAITS!A:C , 3,FALSE), ),
IF(IFERROR(SEARCH("Shadow Step",L149),0) &gt; 0 , VLOOKUP("Shadow Step", vote4TRAITS!A:C , 3,FALSE), ),
IF(IFERROR(SEARCH("Shambling",L149),0) &gt; 0 , VLOOKUP("Shambling", vote4TRAITS!A:C , 3,FALSE), ),
IF(IFERROR(SEARCH("Stealthy",L149),0) &gt; 0 , VLOOKUP("Stealthy", vote4TRAITS!A:C , 3, FALSE), ),
IF(IFERROR(SEARCH("Web",L149),0) &gt; 0 , VLOOKUP("Web", vote4TRAITS!A:C , 3, FALSE), ),
IF(IFERROR(SEARCH("+1 Willpower",L149),0) &gt; 0 , VLOOKUP("+1 Willpower", vote4TRAITS!A:C , 3, FALSE), ),
IF(IFERROR(SEARCH("+1 Might",L149),0) &gt; 0 , VLOOKUP("+1 Might", vote4TRAITS!A:C , 3, FALSE), ),
IF(IFERROR(SEARCH("+1 Knowledge",L149),0) &gt; 0 , VLOOKUP("+1 Knowledge", vote4TRAITS!A:C , 3, FALSE), ),
IF(IFERROR(SEARCH("+1 Awareness",L149),0) &gt; 0 , VLOOKUP("+1 Awareness", vote4TRAITS!A:C , 3, FALSE), ),
IF(IFERROR(SEARCH("-1 Willpower",L149),0) &gt; 0 , VLOOKUP("-1 Willpower", vote4TRAITS!A:C , 3, FALSE), ),
IF(IFERROR(SEARCH("+1 Health",L149),0) &gt; 0 , VLOOKUP("+1 Health", vote4TRAITS!A:C , 3, FALSE), ),
IF(IFERROR(SEARCH("+2 Health",L149),0) &gt; 0 , VLOOKUP("+2 Health", vote4TRAITS!A:C , 3, FALSE), ),
IF(IFERROR(SEARCH("+1 Stamina",L149),0) &gt; 0 , VLOOKUP("+1 Stamina", vote4TRAITS!A:C , 3, FALSE), ),
IF(IFERROR(SEARCH("+2 Stamina",L149),0) &gt; 0 , VLOOKUP("+2 Stamina", vote4TRAITS!A:C , 3, FALSE), ),
IFS(
IFERROR(SEARCH("+1 Range", L149),) &gt; 0 ,VLOOKUP("+1 Range", vote4TRAITS!A:C , 3, FALSE),
IFERROR(SEARCH("+2 Range", L149),) &gt; 0 ,VLOOKUP("+2 Range", vote4TRAITS!A:C , 3, FALSE),
IFERROR(SEARCH("+3 Range", L149),) &gt; 0,VLOOKUP("+3 Range", vote4TRAITS!A:C , 3, FALSE),
0=0,0)
,
IFS(
IFERROR(SEARCH("Sorcery 1", L149),) &gt; 0 ,VLOOKUP("Sorcery 1", vote4TRAITS!A:C , 3, FALSE),
IFERROR(SEARCH("Sorcery 2", L149),) &gt; 0 ,VLOOKUP("Sorcery 2", vote4TRAITS!A:C , 3, FALSE),
IFERROR(SEARCH("Sorcery 3", L149),) &gt; 0,VLOOKUP("Sorcery 3", vote4TRAITS!A:C , 3, FALSE),
0=0,0)
,
IFS(
IFERROR(SEARCH("Pierce 1", L149),) &gt; 0 ,VLOOKUP("Pierce 1", vote4TRAITS!A:C , 3, FALSE),
IFERROR(SEARCH("Pierce 2", L149),) &gt; 0 ,VLOOKUP("Pierce 2", vote4TRAITS!A:C , 3, FALSE),
IFERROR(SEARCH("Pierce 3", L149),) &gt; 0,VLOOKUP("Pierce 3", vote4TRAITS!A:C , 3, FALSE),
IFERROR(SEARCH("Pierce 4", L149),) &gt; 0 ,VLOOKUP("Pierce 4", vote4TRAITS!A:C , 3, FALSE),
0=0,0)
,
IFS(
IFERROR(SEARCH("+1 Health", L149),) &gt; 0 ,VLOOKUP("+1 Health", vote4TRAITS!A:C , 3, FALSE),
IFERROR(SEARCH("+2 Health", L149),) &gt; 0 ,VLOOKUP("+2 Health", vote4TRAITS!A:C , 3, FALSE),
IFERROR(SEARCH("+3 Health", L149),) &gt; 0 ,VLOOKUP("+3 Health", vote4TRAITS!A:C , 3, FALSE),
IFERROR(SEARCH("+4 Health", L149),) &gt; 0 ,VLOOKUP("+4 Health", vote4TRAITS!A:C , 3, FALSE),
0=0,0)
,
IFS(
IFERROR(SEARCH("Soul Shackle 1", L149),) &gt; 0 ,VLOOKUP("Soul Shackle 1", vote4TRAITS!A:C , 3, FALSE),
IFERROR(SEARCH("Soul Shackle 2", L149),) &gt; 0 ,VLOOKUP("Soul Shackle 2", vote4TRAITS!A:C , 3, FALSE),
IFERROR(SEARCH("Soul Shackle 3", L149),) &gt; 0,VLOOKUP("Soul Shackle 3", vote4TRAITS!A:C , 3, FALSE),
0=0,0)
)</f>
        <v>0</v>
      </c>
      <c r="N149" s="313"/>
      <c r="O149" s="317" t="str">
        <f>IF(ISBLANK(N149),,IFERROR(
IF(IFERROR(SEARCH("SS:",N149),0) &gt; 0, 
VLOOKUP(SUBSTITUTE(N149,"SS: ",""),vote4SURGE!$A:$C , 3, FALSE) - 2,
VLOOKUP(SUBSTITUTE(N149,"S: ",""),vote4SURGE!$A:$C , 3, FALSE)
)
,
IF(IFERROR(SEARCH("SS:",N149),0) &gt; 0, 
VLOOKUP(C149,vote4SURGE!$A:$C , 3, FALSE) - 2,
VLOOKUP(C149,vote4SURGE!$A:$C , 3, FALSE)
)
))</f>
        <v/>
      </c>
      <c r="P149" s="318"/>
      <c r="Q149" s="317" t="str">
        <f>IF(ISBLANK(P149),,IFERROR(
IF(IFERROR(SEARCH("SS:",P149),0) &gt; 0, 
VLOOKUP(SUBSTITUTE(P149,"SS: ",""),vote4SURGE!$A:$C , 3, FALSE) - 2,
VLOOKUP(SUBSTITUTE(P149,"S: ",""),vote4SURGE!$A:$C , 3, FALSE)
)
,
IF(IFERROR(SEARCH("SS:",P149),0) &gt; 0, 
VLOOKUP(C149,vote4SURGE!$A:$C , 3, FALSE) - 2,
VLOOKUP(C149,vote4SURGE!$A:$C , 3, FALSE)
)
))</f>
        <v/>
      </c>
      <c r="R149" s="318"/>
      <c r="S149" s="319" t="str">
        <f>IF(ISBLANK(R149),,IFERROR(
IF(IFERROR(SEARCH("SS:",R149),0) &gt; 0, 
VLOOKUP(SUBSTITUTE(R149,"SS: ",""),vote4SURGE!$A:$C , 3, FALSE) - 2,
VLOOKUP(SUBSTITUTE(R149,"S: ",""),vote4SURGE!$A:$C , 3, FALSE)
)
,
IF(IFERROR(SEARCH("SS:",R149),0) &gt; 0, 
VLOOKUP(C149,vote4SURGE!$A:$C , 3, FALSE) - 2,
VLOOKUP(C149,vote4SURGE!$A:$C , 3, FALSE)
)
))</f>
        <v/>
      </c>
      <c r="T149" s="320">
        <f t="shared" si="2"/>
        <v>0</v>
      </c>
      <c r="U149" s="320">
        <f>IFERROR(__xludf.DUMMYFUNCTION("ROUND(
IF(ISBLANK(G149),,
SWITCH(
LEN(G149) - LEN(SUBSTITUTE(G149,"","","""")),
0 , VLOOKUP(G149, Variables!$A:$C, 3, FALSE),
1 , VLOOKUP(index(split(G149 ,"", "", FALSE),1,1), Variables!$A:$C , 3, FALSE) + VLOOKUP(index(split(G149 ,"", "", FALSE),1,2), V"&amp;"ariables!$A:$C , 3, FALSE),
2 , VLOOKUP(index(split(G149 ,"", "", FALSE),1,1), Variables!$A:$C , 3, FALSE) + VLOOKUP(index(split(G149 ,"", "", FALSE),1,2), Variables!$A:$C , 3, FALSE) + VLOOKUP(index(split(G149 ,"", "", FALSE),1,3), Variables!$A:$C , 3, F"&amp;"ALSE),
3 , VLOOKUP(index(split(G149 ,"", "", FALSE),1,1), Variables!$A:$C , 3, FALSE) + VLOOKUP(index(split(G149 ,"", "", FALSE),1,2), Variables!$A:$C , 3, FALSE) + VLOOKUP(index(split(G149 ,"", "", FALSE),1,3), Variables!$A:$C , 3, FALSE) + VLOOKUP(index"&amp;"(split(G149 ,"", "", FALSE),1,4), Variables!$A:$C , 3, FALSE),
)
)
)"),0.0)</f>
        <v>0</v>
      </c>
      <c r="V149" s="317">
        <f t="shared" si="3"/>
        <v>0</v>
      </c>
      <c r="W149" s="321">
        <f t="shared" si="4"/>
        <v>3.333333333</v>
      </c>
      <c r="X149" s="118"/>
      <c r="Y149" s="118"/>
      <c r="Z149" s="118"/>
      <c r="AA149" s="118"/>
      <c r="AB149" s="118"/>
      <c r="AC149" s="118"/>
      <c r="AD149" s="118"/>
      <c r="AE149" s="118"/>
    </row>
    <row r="150" hidden="1">
      <c r="A150" s="310">
        <v>1.0</v>
      </c>
      <c r="B150" s="93">
        <f t="shared" si="1"/>
        <v>1</v>
      </c>
      <c r="C150" s="310" t="s">
        <v>832</v>
      </c>
      <c r="D150" s="310">
        <v>50.0</v>
      </c>
      <c r="E150" s="310" t="s">
        <v>1629</v>
      </c>
      <c r="F150" s="310"/>
      <c r="G150" s="313"/>
      <c r="H150" s="312" t="str">
        <f>IFERROR(__xludf.DUMMYFUNCTION(" IF(ISBLANK(G150),,
SWITCH(
LEN(G150) - LEN(SUBSTITUTE(G150,"","","""")),
0 , VLOOKUP(G150, Variables!$A:$B, 2, FALSE),
1 , VLOOKUP(index(split(G150 ,"", "", FALSE),1,1), Variables!$A:$B , 2, FALSE) + VLOOKUP(index(split(G150 ,"", "", FALSE),1,2), Variabl"&amp;"es!$A:$B , 2, FALSE),
2 , VLOOKUP(index(split(G150 ,"", "", FALSE),1,1), Variables!$A:$B , 2, FALSE) + VLOOKUP(index(split(G150 ,"", "", FALSE),1,2), Variables!$A:$B , 2, FALSE) + VLOOKUP(index(split(G150 ,"", "", FALSE),1,3), Variables!$A:$B , 2, FALSE),"&amp;"
3 , VLOOKUP(index(split(G150 ,"", "", FALSE),1,1), Variables!$A:$B , 2, FALSE) + VLOOKUP(index(split(G150 ,"", "", FALSE),1,2), Variables!$A:$B , 2, FALSE) + VLOOKUP(index(split(G150 ,"", "", FALSE),1,3), Variables!$A:$B , 2, FALSE) + VLOOKUP(index(split"&amp;"(G150 ,"", "", FALSE),1,4), Variables!$A:$B , 2, FALSE),
)
)"),"")</f>
        <v/>
      </c>
      <c r="I150" s="310" t="s">
        <v>1641</v>
      </c>
      <c r="J150" s="313" t="s">
        <v>833</v>
      </c>
      <c r="K150" s="314">
        <f>IFERROR(VLOOKUP(C150,vote4ITEMS!$A:$C, 3, FALSE),)</f>
        <v>3</v>
      </c>
      <c r="L150" s="313"/>
      <c r="M150" s="314">
        <f>SUM(
IF(IFERROR(SEARCH("Aura 1",L150),0) &gt; 0 , VLOOKUP("Aura 1", vote4TRAITS!A:C , 3, FALSE), ),
IF(IFERROR(SEARCH("Backswing",L150),0) &gt; 0 , VLOOKUP("Backswing", vote4TRAITS!A:C , 3, FALSE), ),
IF(IFERROR(SEARCH("Blast",L150),0) &gt; 0 , VLOOKUP("Blast", vote4TRAITS!A:C , 3, FALSE), ),
IF(IFERROR(SEARCH("Combustible",L150),0) &gt; 0 , VLOOKUP("Combustible", vote4TRAITS!A:C , 3, FALSE), ),
IF(IFERROR(SEARCH("Command",L150),0) &gt; 0 , VLOOKUP("Command", vote4TRAITS!A:C , 3, FALSE), ),
IF(IFERROR(SEARCH("Cowardly",L150),0) &gt; 0 , VLOOKUP("Cowardly", vote4TRAITS!A:C , 3, FALSE), ),
IF(IFERROR(SEARCH("Death Wish",L150),0) &gt; 0 , VLOOKUP("Death Wish", vote4TRAITS!A:C , 3, FALSE), ),
IF(IFERROR(SEARCH("Entomb",L150),0) &gt; 0 , VLOOKUP("Entomb", vote4TRAITS!A:C , 3, FALSE), ),
IF(IFERROR(SEARCH("Ethereal Hold",L150),0) &gt; 0 , VLOOKUP("Ethereal Hold", vote4TRAITS!A:C , 3, FALSE), ),
IF(IFERROR(SEARCH("Extend",L150),0) &gt; 0 , VLOOKUP("Extend", vote4TRAITS!A:C , 3, FALSE), ),
IF(IFERROR(SEARCH("Filthy Murk",L150),0) &gt; 0 , VLOOKUP("Filthy Murk", vote4TRAITS!A:C , 3, FALSE), ),
IF(IFERROR(SEARCH("Flame Fiend",L150),0) &gt; 0 , VLOOKUP("Flame Fiend", vote4TRAITS!A:C , 3, FALSE), ),
IF(IFERROR(SEARCH("Fleshmonger",L150),0) &gt; 0 , VLOOKUP("Fleshmonger", vote4TRAITS!A:C , 3, FALSE), ),
IF(IFERROR(SEARCH("Fly",L150),0) &gt; 0 , VLOOKUP("Fly", vote4TRAITS!A:C , 3, FALSE), ),
IF(IFERROR(SEARCH("Freezing",L150),0) &gt; 0 , VLOOKUP("Freezing", vote4TRAITS!A:C , 3, FALSE), ),
IF(IFERROR(SEARCH("Lithesome",L150),0) &gt; 0 , VLOOKUP("Lithesome", vote4TRAITS!A:C , 3, FALSE), ),
IF(IFERROR(SEARCH("Harrowing",L150),0) &gt; 0 , VLOOKUP("Harrowing", vote4TRAITS!A:C , 3, FALSE), ),
IF(IFERROR(SEARCH("Hideous Laughter",L150),0) &gt; 0 , VLOOKUP("Hideous Laughter", vote4TRAITS!A:C , 3, FALSE), ),
IF(IFERROR(SEARCH("Hive Defense",L150),0) &gt; 0 , VLOOKUP("Hive Defense", vote4TRAITS!A:C , 3, FALSE), ),
IF(IFERROR(SEARCH("Horrifying",L150),0) &gt; 0 , VLOOKUP("Horrifying", vote4TRAITS!A:C , 3, FALSE), ),
IF(IFERROR(SEARCH("Ironskin",L150),0) &gt; 0 , VLOOKUP("Ironskin", vote4TRAITS!A:C , 3, FALSE), ),
IF(IFERROR(SEARCH("Unmovable",L150),0) &gt; 0 , VLOOKUP("Unmovable", vote4TRAITS!A:C , 3, FALSE), ),
IF(IFERROR(SEARCH("Lifethirst 1",L150),0) &gt; 0 , VLOOKUP("Lifethirst 1", vote4TRAITS!A:C , 3, FALSE), ),
IF(IFERROR(SEARCH("Lifethirst 2",L150),0) &gt; 0 , VLOOKUP("Lifethirst 2", vote4TRAITS!A:C , 3, FALSE), ),
IF(IFERROR(SEARCH("Morph",L150),0) &gt; 0 , VLOOKUP("Morph", vote4TRAITS!A:C , 3, FALSE), ),
IF(IFERROR(SEARCH("Night Stalker",L150),0) &gt; 0 , VLOOKUP("Night Stalker", vote4TRAITS!A:C , 3, FALSE), ),
IF(IFERROR(SEARCH("Overflowing",L150),0) &gt; 0 , VLOOKUP("Overflowing", vote4TRAITS!A:C , 3, FALSE), ),
IF(IFERROR(SEARCH("Pestilence",L150),0) &gt; 0 , VLOOKUP("Pestilence", vote4TRAITS!A:C , 3, FALSE), ),
IF(IFERROR(SEARCH("Phalanx",L150),0) &gt; 0 , VLOOKUP("Phalanx", vote4TRAITS!A:C , 3, FALSE), ),
IF(IFERROR(SEARCH("Plagued",L150),0) &gt; 0 , VLOOKUP("Plagued", vote4TRAITS!A:C , 3, FALSE), ),
IF(IFERROR(SEARCH("Prey on the Weak",L150),0) &gt; 0 , VLOOKUP("Prey on the Weak", vote4TRAITS!A:C , 3, FALSE), ),
IF(IFERROR(SEARCH("Protect",L150),0) &gt; 0 , VLOOKUP("Protect", vote4TRAITS!A:C , 3, FALSE), ),
IF(IFERROR(SEARCH("Puncture",L150),0) &gt; 0 , VLOOKUP("Puncture", vote4TRAITS!A:C , 3, FALSE), ),
IF(IFERROR(SEARCH("Putrid Boils",L150),0) &gt; 0 , VLOOKUP("Putrid Boils", vote4TRAITS!A:C , 3, FALSE), ),
IF(IFERROR(SEARCH("Ravage",L150),0) &gt; 0 , VLOOKUP("Ravage", vote4TRAITS!A:C , 3, FALSE), ),
IF(IFERROR(SEARCH("Ravenous",L150),0) &gt; 0 , VLOOKUP("Ravenous", vote4TRAITS!A:C , 3, FALSE), ),
IF(IFERROR(SEARCH("Reach",L150),0) &gt; 0 , VLOOKUP("Reach", vote4TRAITS!A:C , 3, FALSE), ),
IF(IFERROR(SEARCH("Reanimation",L150),0) &gt; 0 , VLOOKUP("Reanimation", vote4TRAITS!A:C , 3, FALSE), ),
IF(IFERROR(SEARCH("Reaper",L150),0) &gt; 0 , VLOOKUP("Reaper", vote4TRAITS!A:C , 3, FALSE), ),
IF(IFERROR(SEARCH("Riposte",L150),0) &gt; 0 , VLOOKUP("Riposte", vote4TRAITS!A:C , 3, FALSE)),
IF(IFERROR(SEARCH("Scamper",L150),0) &gt; 0 , VLOOKUP("Scamper", vote4TRAITS!A:C , 3, FALSE), ),
IF(IFERROR(SEARCH("Small Beginnings",L150),0) &gt; 0 , VLOOKUP("Small Beginnings", vote4TRAITS!A:C , 3, FALSE), ),
IF(IFERROR(SEARCH("Spawner",L150),0) &gt; 0 , VLOOKUP("Spawner", vote4TRAITS!A:C , 3,FALSE), ),
IF(IFERROR(SEARCH("Shadowr",L150),0) &gt; 0 , VLOOKUP("Shadow", vote4TRAITS!A:C , 3,FALSE), ),
IF(IFERROR(SEARCH("Shadow Step",L150),0) &gt; 0 , VLOOKUP("Shadow Step", vote4TRAITS!A:C , 3,FALSE), ),
IF(IFERROR(SEARCH("Shambling",L150),0) &gt; 0 , VLOOKUP("Shambling", vote4TRAITS!A:C , 3,FALSE), ),
IF(IFERROR(SEARCH("Stealthy",L150),0) &gt; 0 , VLOOKUP("Stealthy", vote4TRAITS!A:C , 3, FALSE), ),
IF(IFERROR(SEARCH("Web",L150),0) &gt; 0 , VLOOKUP("Web", vote4TRAITS!A:C , 3, FALSE), ),
IF(IFERROR(SEARCH("+1 Willpower",L150),0) &gt; 0 , VLOOKUP("+1 Willpower", vote4TRAITS!A:C , 3, FALSE), ),
IF(IFERROR(SEARCH("+1 Might",L150),0) &gt; 0 , VLOOKUP("+1 Might", vote4TRAITS!A:C , 3, FALSE), ),
IF(IFERROR(SEARCH("+1 Knowledge",L150),0) &gt; 0 , VLOOKUP("+1 Knowledge", vote4TRAITS!A:C , 3, FALSE), ),
IF(IFERROR(SEARCH("+1 Awareness",L150),0) &gt; 0 , VLOOKUP("+1 Awareness", vote4TRAITS!A:C , 3, FALSE), ),
IF(IFERROR(SEARCH("-1 Willpower",L150),0) &gt; 0 , VLOOKUP("-1 Willpower", vote4TRAITS!A:C , 3, FALSE), ),
IF(IFERROR(SEARCH("+1 Health",L150),0) &gt; 0 , VLOOKUP("+1 Health", vote4TRAITS!A:C , 3, FALSE), ),
IF(IFERROR(SEARCH("+2 Health",L150),0) &gt; 0 , VLOOKUP("+2 Health", vote4TRAITS!A:C , 3, FALSE), ),
IF(IFERROR(SEARCH("+1 Stamina",L150),0) &gt; 0 , VLOOKUP("+1 Stamina", vote4TRAITS!A:C , 3, FALSE), ),
IF(IFERROR(SEARCH("+2 Stamina",L150),0) &gt; 0 , VLOOKUP("+2 Stamina", vote4TRAITS!A:C , 3, FALSE), ),
IFS(
IFERROR(SEARCH("+1 Range", L150),) &gt; 0 ,VLOOKUP("+1 Range", vote4TRAITS!A:C , 3, FALSE),
IFERROR(SEARCH("+2 Range", L150),) &gt; 0 ,VLOOKUP("+2 Range", vote4TRAITS!A:C , 3, FALSE),
IFERROR(SEARCH("+3 Range", L150),) &gt; 0,VLOOKUP("+3 Range", vote4TRAITS!A:C , 3, FALSE),
0=0,0)
,
IFS(
IFERROR(SEARCH("Sorcery 1", L150),) &gt; 0 ,VLOOKUP("Sorcery 1", vote4TRAITS!A:C , 3, FALSE),
IFERROR(SEARCH("Sorcery 2", L150),) &gt; 0 ,VLOOKUP("Sorcery 2", vote4TRAITS!A:C , 3, FALSE),
IFERROR(SEARCH("Sorcery 3", L150),) &gt; 0,VLOOKUP("Sorcery 3", vote4TRAITS!A:C , 3, FALSE),
0=0,0)
,
IFS(
IFERROR(SEARCH("Pierce 1", L150),) &gt; 0 ,VLOOKUP("Pierce 1", vote4TRAITS!A:C , 3, FALSE),
IFERROR(SEARCH("Pierce 2", L150),) &gt; 0 ,VLOOKUP("Pierce 2", vote4TRAITS!A:C , 3, FALSE),
IFERROR(SEARCH("Pierce 3", L150),) &gt; 0,VLOOKUP("Pierce 3", vote4TRAITS!A:C , 3, FALSE),
IFERROR(SEARCH("Pierce 4", L150),) &gt; 0 ,VLOOKUP("Pierce 4", vote4TRAITS!A:C , 3, FALSE),
0=0,0)
,
IFS(
IFERROR(SEARCH("+1 Health", L150),) &gt; 0 ,VLOOKUP("+1 Health", vote4TRAITS!A:C , 3, FALSE),
IFERROR(SEARCH("+2 Health", L150),) &gt; 0 ,VLOOKUP("+2 Health", vote4TRAITS!A:C , 3, FALSE),
IFERROR(SEARCH("+3 Health", L150),) &gt; 0 ,VLOOKUP("+3 Health", vote4TRAITS!A:C , 3, FALSE),
IFERROR(SEARCH("+4 Health", L150),) &gt; 0 ,VLOOKUP("+4 Health", vote4TRAITS!A:C , 3, FALSE),
0=0,0)
,
IFS(
IFERROR(SEARCH("Soul Shackle 1", L150),) &gt; 0 ,VLOOKUP("Soul Shackle 1", vote4TRAITS!A:C , 3, FALSE),
IFERROR(SEARCH("Soul Shackle 2", L150),) &gt; 0 ,VLOOKUP("Soul Shackle 2", vote4TRAITS!A:C , 3, FALSE),
IFERROR(SEARCH("Soul Shackle 3", L150),) &gt; 0,VLOOKUP("Soul Shackle 3", vote4TRAITS!A:C , 3, FALSE),
0=0,0)
)</f>
        <v>0</v>
      </c>
      <c r="N150" s="313"/>
      <c r="O150" s="317" t="str">
        <f>IF(ISBLANK(N150),,IFERROR(
IF(IFERROR(SEARCH("SS:",N150),0) &gt; 0, 
VLOOKUP(SUBSTITUTE(N150,"SS: ",""),vote4SURGE!$A:$C , 3, FALSE) - 2,
VLOOKUP(SUBSTITUTE(N150,"S: ",""),vote4SURGE!$A:$C , 3, FALSE)
)
,
IF(IFERROR(SEARCH("SS:",N150),0) &gt; 0, 
VLOOKUP(C150,vote4SURGE!$A:$C , 3, FALSE) - 2,
VLOOKUP(C150,vote4SURGE!$A:$C , 3, FALSE)
)
))</f>
        <v/>
      </c>
      <c r="P150" s="318"/>
      <c r="Q150" s="317" t="str">
        <f>IF(ISBLANK(P150),,IFERROR(
IF(IFERROR(SEARCH("SS:",P150),0) &gt; 0, 
VLOOKUP(SUBSTITUTE(P150,"SS: ",""),vote4SURGE!$A:$C , 3, FALSE) - 2,
VLOOKUP(SUBSTITUTE(P150,"S: ",""),vote4SURGE!$A:$C , 3, FALSE)
)
,
IF(IFERROR(SEARCH("SS:",P150),0) &gt; 0, 
VLOOKUP(C150,vote4SURGE!$A:$C , 3, FALSE) - 2,
VLOOKUP(C150,vote4SURGE!$A:$C , 3, FALSE)
)
))</f>
        <v/>
      </c>
      <c r="R150" s="318"/>
      <c r="S150" s="319" t="str">
        <f>IF(ISBLANK(R150),,IFERROR(
IF(IFERROR(SEARCH("SS:",R150),0) &gt; 0, 
VLOOKUP(SUBSTITUTE(R150,"SS: ",""),vote4SURGE!$A:$C , 3, FALSE) - 2,
VLOOKUP(SUBSTITUTE(R150,"S: ",""),vote4SURGE!$A:$C , 3, FALSE)
)
,
IF(IFERROR(SEARCH("SS:",R150),0) &gt; 0, 
VLOOKUP(C150,vote4SURGE!$A:$C , 3, FALSE) - 2,
VLOOKUP(C150,vote4SURGE!$A:$C , 3, FALSE)
)
))</f>
        <v/>
      </c>
      <c r="T150" s="320">
        <f t="shared" si="2"/>
        <v>0</v>
      </c>
      <c r="U150" s="320">
        <f>IFERROR(__xludf.DUMMYFUNCTION("ROUND(
IF(ISBLANK(G150),,
SWITCH(
LEN(G150) - LEN(SUBSTITUTE(G150,"","","""")),
0 , VLOOKUP(G150, Variables!$A:$C, 3, FALSE),
1 , VLOOKUP(index(split(G150 ,"", "", FALSE),1,1), Variables!$A:$C , 3, FALSE) + VLOOKUP(index(split(G150 ,"", "", FALSE),1,2), V"&amp;"ariables!$A:$C , 3, FALSE),
2 , VLOOKUP(index(split(G150 ,"", "", FALSE),1,1), Variables!$A:$C , 3, FALSE) + VLOOKUP(index(split(G150 ,"", "", FALSE),1,2), Variables!$A:$C , 3, FALSE) + VLOOKUP(index(split(G150 ,"", "", FALSE),1,3), Variables!$A:$C , 3, F"&amp;"ALSE),
3 , VLOOKUP(index(split(G150 ,"", "", FALSE),1,1), Variables!$A:$C , 3, FALSE) + VLOOKUP(index(split(G150 ,"", "", FALSE),1,2), Variables!$A:$C , 3, FALSE) + VLOOKUP(index(split(G150 ,"", "", FALSE),1,3), Variables!$A:$C , 3, FALSE) + VLOOKUP(index"&amp;"(split(G150 ,"", "", FALSE),1,4), Variables!$A:$C , 3, FALSE),
)
)
)"),0.0)</f>
        <v>0</v>
      </c>
      <c r="V150" s="317">
        <f t="shared" si="3"/>
        <v>0</v>
      </c>
      <c r="W150" s="321">
        <f t="shared" si="4"/>
        <v>3</v>
      </c>
      <c r="X150" s="118"/>
      <c r="Y150" s="118"/>
      <c r="Z150" s="118"/>
      <c r="AA150" s="118"/>
      <c r="AB150" s="118"/>
      <c r="AC150" s="118"/>
      <c r="AD150" s="118"/>
      <c r="AE150" s="118"/>
    </row>
    <row r="151" hidden="1">
      <c r="A151" s="310">
        <v>2.0</v>
      </c>
      <c r="B151" s="93">
        <f t="shared" si="1"/>
        <v>5</v>
      </c>
      <c r="C151" s="310" t="s">
        <v>783</v>
      </c>
      <c r="D151" s="310">
        <v>225.0</v>
      </c>
      <c r="E151" s="310" t="s">
        <v>1620</v>
      </c>
      <c r="F151" s="310"/>
      <c r="G151" s="313"/>
      <c r="H151" s="312" t="str">
        <f>IFERROR(__xludf.DUMMYFUNCTION(" IF(ISBLANK(G151),,
SWITCH(
LEN(G151) - LEN(SUBSTITUTE(G151,"","","""")),
0 , VLOOKUP(G151, Variables!$A:$B, 2, FALSE),
1 , VLOOKUP(index(split(G151 ,"", "", FALSE),1,1), Variables!$A:$B , 2, FALSE) + VLOOKUP(index(split(G151 ,"", "", FALSE),1,2), Variabl"&amp;"es!$A:$B , 2, FALSE),
2 , VLOOKUP(index(split(G151 ,"", "", FALSE),1,1), Variables!$A:$B , 2, FALSE) + VLOOKUP(index(split(G151 ,"", "", FALSE),1,2), Variables!$A:$B , 2, FALSE) + VLOOKUP(index(split(G151 ,"", "", FALSE),1,3), Variables!$A:$B , 2, FALSE),"&amp;"
3 , VLOOKUP(index(split(G151 ,"", "", FALSE),1,1), Variables!$A:$B , 2, FALSE) + VLOOKUP(index(split(G151 ,"", "", FALSE),1,2), Variables!$A:$B , 2, FALSE) + VLOOKUP(index(split(G151 ,"", "", FALSE),1,3), Variables!$A:$B , 2, FALSE) + VLOOKUP(index(split"&amp;"(G151 ,"", "", FALSE),1,4), Variables!$A:$B , 2, FALSE),
)
)"),"")</f>
        <v/>
      </c>
      <c r="I151" s="310" t="s">
        <v>1622</v>
      </c>
      <c r="J151" s="313" t="s">
        <v>784</v>
      </c>
      <c r="K151" s="314">
        <f>IFERROR(VLOOKUP(C151,vote4ITEMS!$A:$C, 3, FALSE),)</f>
        <v>3</v>
      </c>
      <c r="L151" s="313"/>
      <c r="M151" s="314">
        <f>SUM(
IF(IFERROR(SEARCH("Aura 1",L151),0) &gt; 0 , VLOOKUP("Aura 1", vote4TRAITS!A:C , 3, FALSE), ),
IF(IFERROR(SEARCH("Backswing",L151),0) &gt; 0 , VLOOKUP("Backswing", vote4TRAITS!A:C , 3, FALSE), ),
IF(IFERROR(SEARCH("Blast",L151),0) &gt; 0 , VLOOKUP("Blast", vote4TRAITS!A:C , 3, FALSE), ),
IF(IFERROR(SEARCH("Combustible",L151),0) &gt; 0 , VLOOKUP("Combustible", vote4TRAITS!A:C , 3, FALSE), ),
IF(IFERROR(SEARCH("Command",L151),0) &gt; 0 , VLOOKUP("Command", vote4TRAITS!A:C , 3, FALSE), ),
IF(IFERROR(SEARCH("Cowardly",L151),0) &gt; 0 , VLOOKUP("Cowardly", vote4TRAITS!A:C , 3, FALSE), ),
IF(IFERROR(SEARCH("Death Wish",L151),0) &gt; 0 , VLOOKUP("Death Wish", vote4TRAITS!A:C , 3, FALSE), ),
IF(IFERROR(SEARCH("Entomb",L151),0) &gt; 0 , VLOOKUP("Entomb", vote4TRAITS!A:C , 3, FALSE), ),
IF(IFERROR(SEARCH("Ethereal Hold",L151),0) &gt; 0 , VLOOKUP("Ethereal Hold", vote4TRAITS!A:C , 3, FALSE), ),
IF(IFERROR(SEARCH("Extend",L151),0) &gt; 0 , VLOOKUP("Extend", vote4TRAITS!A:C , 3, FALSE), ),
IF(IFERROR(SEARCH("Filthy Murk",L151),0) &gt; 0 , VLOOKUP("Filthy Murk", vote4TRAITS!A:C , 3, FALSE), ),
IF(IFERROR(SEARCH("Flame Fiend",L151),0) &gt; 0 , VLOOKUP("Flame Fiend", vote4TRAITS!A:C , 3, FALSE), ),
IF(IFERROR(SEARCH("Fleshmonger",L151),0) &gt; 0 , VLOOKUP("Fleshmonger", vote4TRAITS!A:C , 3, FALSE), ),
IF(IFERROR(SEARCH("Fly",L151),0) &gt; 0 , VLOOKUP("Fly", vote4TRAITS!A:C , 3, FALSE), ),
IF(IFERROR(SEARCH("Freezing",L151),0) &gt; 0 , VLOOKUP("Freezing", vote4TRAITS!A:C , 3, FALSE), ),
IF(IFERROR(SEARCH("Lithesome",L151),0) &gt; 0 , VLOOKUP("Lithesome", vote4TRAITS!A:C , 3, FALSE), ),
IF(IFERROR(SEARCH("Harrowing",L151),0) &gt; 0 , VLOOKUP("Harrowing", vote4TRAITS!A:C , 3, FALSE), ),
IF(IFERROR(SEARCH("Hideous Laughter",L151),0) &gt; 0 , VLOOKUP("Hideous Laughter", vote4TRAITS!A:C , 3, FALSE), ),
IF(IFERROR(SEARCH("Hive Defense",L151),0) &gt; 0 , VLOOKUP("Hive Defense", vote4TRAITS!A:C , 3, FALSE), ),
IF(IFERROR(SEARCH("Horrifying",L151),0) &gt; 0 , VLOOKUP("Horrifying", vote4TRAITS!A:C , 3, FALSE), ),
IF(IFERROR(SEARCH("Ironskin",L151),0) &gt; 0 , VLOOKUP("Ironskin", vote4TRAITS!A:C , 3, FALSE), ),
IF(IFERROR(SEARCH("Unmovable",L151),0) &gt; 0 , VLOOKUP("Unmovable", vote4TRAITS!A:C , 3, FALSE), ),
IF(IFERROR(SEARCH("Lifethirst 1",L151),0) &gt; 0 , VLOOKUP("Lifethirst 1", vote4TRAITS!A:C , 3, FALSE), ),
IF(IFERROR(SEARCH("Lifethirst 2",L151),0) &gt; 0 , VLOOKUP("Lifethirst 2", vote4TRAITS!A:C , 3, FALSE), ),
IF(IFERROR(SEARCH("Morph",L151),0) &gt; 0 , VLOOKUP("Morph", vote4TRAITS!A:C , 3, FALSE), ),
IF(IFERROR(SEARCH("Night Stalker",L151),0) &gt; 0 , VLOOKUP("Night Stalker", vote4TRAITS!A:C , 3, FALSE), ),
IF(IFERROR(SEARCH("Overflowing",L151),0) &gt; 0 , VLOOKUP("Overflowing", vote4TRAITS!A:C , 3, FALSE), ),
IF(IFERROR(SEARCH("Pestilence",L151),0) &gt; 0 , VLOOKUP("Pestilence", vote4TRAITS!A:C , 3, FALSE), ),
IF(IFERROR(SEARCH("Phalanx",L151),0) &gt; 0 , VLOOKUP("Phalanx", vote4TRAITS!A:C , 3, FALSE), ),
IF(IFERROR(SEARCH("Plagued",L151),0) &gt; 0 , VLOOKUP("Plagued", vote4TRAITS!A:C , 3, FALSE), ),
IF(IFERROR(SEARCH("Prey on the Weak",L151),0) &gt; 0 , VLOOKUP("Prey on the Weak", vote4TRAITS!A:C , 3, FALSE), ),
IF(IFERROR(SEARCH("Protect",L151),0) &gt; 0 , VLOOKUP("Protect", vote4TRAITS!A:C , 3, FALSE), ),
IF(IFERROR(SEARCH("Puncture",L151),0) &gt; 0 , VLOOKUP("Puncture", vote4TRAITS!A:C , 3, FALSE), ),
IF(IFERROR(SEARCH("Putrid Boils",L151),0) &gt; 0 , VLOOKUP("Putrid Boils", vote4TRAITS!A:C , 3, FALSE), ),
IF(IFERROR(SEARCH("Ravage",L151),0) &gt; 0 , VLOOKUP("Ravage", vote4TRAITS!A:C , 3, FALSE), ),
IF(IFERROR(SEARCH("Ravenous",L151),0) &gt; 0 , VLOOKUP("Ravenous", vote4TRAITS!A:C , 3, FALSE), ),
IF(IFERROR(SEARCH("Reach",L151),0) &gt; 0 , VLOOKUP("Reach", vote4TRAITS!A:C , 3, FALSE), ),
IF(IFERROR(SEARCH("Reanimation",L151),0) &gt; 0 , VLOOKUP("Reanimation", vote4TRAITS!A:C , 3, FALSE), ),
IF(IFERROR(SEARCH("Reaper",L151),0) &gt; 0 , VLOOKUP("Reaper", vote4TRAITS!A:C , 3, FALSE), ),
IF(IFERROR(SEARCH("Riposte",L151),0) &gt; 0 , VLOOKUP("Riposte", vote4TRAITS!A:C , 3, FALSE)),
IF(IFERROR(SEARCH("Scamper",L151),0) &gt; 0 , VLOOKUP("Scamper", vote4TRAITS!A:C , 3, FALSE), ),
IF(IFERROR(SEARCH("Small Beginnings",L151),0) &gt; 0 , VLOOKUP("Small Beginnings", vote4TRAITS!A:C , 3, FALSE), ),
IF(IFERROR(SEARCH("Spawner",L151),0) &gt; 0 , VLOOKUP("Spawner", vote4TRAITS!A:C , 3,FALSE), ),
IF(IFERROR(SEARCH("Shadowr",L151),0) &gt; 0 , VLOOKUP("Shadow", vote4TRAITS!A:C , 3,FALSE), ),
IF(IFERROR(SEARCH("Shadow Step",L151),0) &gt; 0 , VLOOKUP("Shadow Step", vote4TRAITS!A:C , 3,FALSE), ),
IF(IFERROR(SEARCH("Shambling",L151),0) &gt; 0 , VLOOKUP("Shambling", vote4TRAITS!A:C , 3,FALSE), ),
IF(IFERROR(SEARCH("Stealthy",L151),0) &gt; 0 , VLOOKUP("Stealthy", vote4TRAITS!A:C , 3, FALSE), ),
IF(IFERROR(SEARCH("Web",L151),0) &gt; 0 , VLOOKUP("Web", vote4TRAITS!A:C , 3, FALSE), ),
IF(IFERROR(SEARCH("+1 Willpower",L151),0) &gt; 0 , VLOOKUP("+1 Willpower", vote4TRAITS!A:C , 3, FALSE), ),
IF(IFERROR(SEARCH("+1 Might",L151),0) &gt; 0 , VLOOKUP("+1 Might", vote4TRAITS!A:C , 3, FALSE), ),
IF(IFERROR(SEARCH("+1 Knowledge",L151),0) &gt; 0 , VLOOKUP("+1 Knowledge", vote4TRAITS!A:C , 3, FALSE), ),
IF(IFERROR(SEARCH("+1 Awareness",L151),0) &gt; 0 , VLOOKUP("+1 Awareness", vote4TRAITS!A:C , 3, FALSE), ),
IF(IFERROR(SEARCH("-1 Willpower",L151),0) &gt; 0 , VLOOKUP("-1 Willpower", vote4TRAITS!A:C , 3, FALSE), ),
IF(IFERROR(SEARCH("+1 Health",L151),0) &gt; 0 , VLOOKUP("+1 Health", vote4TRAITS!A:C , 3, FALSE), ),
IF(IFERROR(SEARCH("+2 Health",L151),0) &gt; 0 , VLOOKUP("+2 Health", vote4TRAITS!A:C , 3, FALSE), ),
IF(IFERROR(SEARCH("+1 Stamina",L151),0) &gt; 0 , VLOOKUP("+1 Stamina", vote4TRAITS!A:C , 3, FALSE), ),
IF(IFERROR(SEARCH("+2 Stamina",L151),0) &gt; 0 , VLOOKUP("+2 Stamina", vote4TRAITS!A:C , 3, FALSE), ),
IFS(
IFERROR(SEARCH("+1 Range", L151),) &gt; 0 ,VLOOKUP("+1 Range", vote4TRAITS!A:C , 3, FALSE),
IFERROR(SEARCH("+2 Range", L151),) &gt; 0 ,VLOOKUP("+2 Range", vote4TRAITS!A:C , 3, FALSE),
IFERROR(SEARCH("+3 Range", L151),) &gt; 0,VLOOKUP("+3 Range", vote4TRAITS!A:C , 3, FALSE),
0=0,0)
,
IFS(
IFERROR(SEARCH("Sorcery 1", L151),) &gt; 0 ,VLOOKUP("Sorcery 1", vote4TRAITS!A:C , 3, FALSE),
IFERROR(SEARCH("Sorcery 2", L151),) &gt; 0 ,VLOOKUP("Sorcery 2", vote4TRAITS!A:C , 3, FALSE),
IFERROR(SEARCH("Sorcery 3", L151),) &gt; 0,VLOOKUP("Sorcery 3", vote4TRAITS!A:C , 3, FALSE),
0=0,0)
,
IFS(
IFERROR(SEARCH("Pierce 1", L151),) &gt; 0 ,VLOOKUP("Pierce 1", vote4TRAITS!A:C , 3, FALSE),
IFERROR(SEARCH("Pierce 2", L151),) &gt; 0 ,VLOOKUP("Pierce 2", vote4TRAITS!A:C , 3, FALSE),
IFERROR(SEARCH("Pierce 3", L151),) &gt; 0,VLOOKUP("Pierce 3", vote4TRAITS!A:C , 3, FALSE),
IFERROR(SEARCH("Pierce 4", L151),) &gt; 0 ,VLOOKUP("Pierce 4", vote4TRAITS!A:C , 3, FALSE),
0=0,0)
,
IFS(
IFERROR(SEARCH("+1 Health", L151),) &gt; 0 ,VLOOKUP("+1 Health", vote4TRAITS!A:C , 3, FALSE),
IFERROR(SEARCH("+2 Health", L151),) &gt; 0 ,VLOOKUP("+2 Health", vote4TRAITS!A:C , 3, FALSE),
IFERROR(SEARCH("+3 Health", L151),) &gt; 0 ,VLOOKUP("+3 Health", vote4TRAITS!A:C , 3, FALSE),
IFERROR(SEARCH("+4 Health", L151),) &gt; 0 ,VLOOKUP("+4 Health", vote4TRAITS!A:C , 3, FALSE),
0=0,0)
,
IFS(
IFERROR(SEARCH("Soul Shackle 1", L151),) &gt; 0 ,VLOOKUP("Soul Shackle 1", vote4TRAITS!A:C , 3, FALSE),
IFERROR(SEARCH("Soul Shackle 2", L151),) &gt; 0 ,VLOOKUP("Soul Shackle 2", vote4TRAITS!A:C , 3, FALSE),
IFERROR(SEARCH("Soul Shackle 3", L151),) &gt; 0,VLOOKUP("Soul Shackle 3", vote4TRAITS!A:C , 3, FALSE),
0=0,0)
)</f>
        <v>0</v>
      </c>
      <c r="N151" s="313"/>
      <c r="O151" s="317" t="str">
        <f>IF(ISBLANK(N151),,IFERROR(
IF(IFERROR(SEARCH("SS:",N151),0) &gt; 0, 
VLOOKUP(SUBSTITUTE(N151,"SS: ",""),vote4SURGE!$A:$C , 3, FALSE) - 2,
VLOOKUP(SUBSTITUTE(N151,"S: ",""),vote4SURGE!$A:$C , 3, FALSE)
)
,
IF(IFERROR(SEARCH("SS:",N151),0) &gt; 0, 
VLOOKUP(C151,vote4SURGE!$A:$C , 3, FALSE) - 2,
VLOOKUP(C151,vote4SURGE!$A:$C , 3, FALSE)
)
))</f>
        <v/>
      </c>
      <c r="P151" s="318"/>
      <c r="Q151" s="317" t="str">
        <f>IF(ISBLANK(P151),,IFERROR(
IF(IFERROR(SEARCH("SS:",P151),0) &gt; 0, 
VLOOKUP(SUBSTITUTE(P151,"SS: ",""),vote4SURGE!$A:$C , 3, FALSE) - 2,
VLOOKUP(SUBSTITUTE(P151,"S: ",""),vote4SURGE!$A:$C , 3, FALSE)
)
,
IF(IFERROR(SEARCH("SS:",P151),0) &gt; 0, 
VLOOKUP(C151,vote4SURGE!$A:$C , 3, FALSE) - 2,
VLOOKUP(C151,vote4SURGE!$A:$C , 3, FALSE)
)
))</f>
        <v/>
      </c>
      <c r="R151" s="318"/>
      <c r="S151" s="319" t="str">
        <f>IF(ISBLANK(R151),,IFERROR(
IF(IFERROR(SEARCH("SS:",R151),0) &gt; 0, 
VLOOKUP(SUBSTITUTE(R151,"SS: ",""),vote4SURGE!$A:$C , 3, FALSE) - 2,
VLOOKUP(SUBSTITUTE(R151,"S: ",""),vote4SURGE!$A:$C , 3, FALSE)
)
,
IF(IFERROR(SEARCH("SS:",R151),0) &gt; 0, 
VLOOKUP(C151,vote4SURGE!$A:$C , 3, FALSE) - 2,
VLOOKUP(C151,vote4SURGE!$A:$C , 3, FALSE)
)
))</f>
        <v/>
      </c>
      <c r="T151" s="320">
        <f t="shared" si="2"/>
        <v>0</v>
      </c>
      <c r="U151" s="320">
        <f>IFERROR(__xludf.DUMMYFUNCTION("ROUND(
IF(ISBLANK(G151),,
SWITCH(
LEN(G151) - LEN(SUBSTITUTE(G151,"","","""")),
0 , VLOOKUP(G151, Variables!$A:$C, 3, FALSE),
1 , VLOOKUP(index(split(G151 ,"", "", FALSE),1,1), Variables!$A:$C , 3, FALSE) + VLOOKUP(index(split(G151 ,"", "", FALSE),1,2), V"&amp;"ariables!$A:$C , 3, FALSE),
2 , VLOOKUP(index(split(G151 ,"", "", FALSE),1,1), Variables!$A:$C , 3, FALSE) + VLOOKUP(index(split(G151 ,"", "", FALSE),1,2), Variables!$A:$C , 3, FALSE) + VLOOKUP(index(split(G151 ,"", "", FALSE),1,3), Variables!$A:$C , 3, F"&amp;"ALSE),
3 , VLOOKUP(index(split(G151 ,"", "", FALSE),1,1), Variables!$A:$C , 3, FALSE) + VLOOKUP(index(split(G151 ,"", "", FALSE),1,2), Variables!$A:$C , 3, FALSE) + VLOOKUP(index(split(G151 ,"", "", FALSE),1,3), Variables!$A:$C , 3, FALSE) + VLOOKUP(index"&amp;"(split(G151 ,"", "", FALSE),1,4), Variables!$A:$C , 3, FALSE),
)
)
)"),0.0)</f>
        <v>0</v>
      </c>
      <c r="V151" s="317">
        <f t="shared" si="3"/>
        <v>0</v>
      </c>
      <c r="W151" s="321">
        <f t="shared" si="4"/>
        <v>3</v>
      </c>
      <c r="X151" s="118"/>
      <c r="Y151" s="118"/>
      <c r="Z151" s="118"/>
      <c r="AA151" s="118"/>
      <c r="AB151" s="118"/>
      <c r="AC151" s="118"/>
      <c r="AD151" s="118"/>
      <c r="AE151" s="118"/>
    </row>
    <row r="152" hidden="1">
      <c r="A152" s="310">
        <v>1.0</v>
      </c>
      <c r="B152" s="93">
        <f t="shared" si="1"/>
        <v>1</v>
      </c>
      <c r="C152" s="310" t="s">
        <v>788</v>
      </c>
      <c r="D152" s="310">
        <v>50.0</v>
      </c>
      <c r="E152" s="310" t="s">
        <v>1527</v>
      </c>
      <c r="F152" s="310"/>
      <c r="G152" s="313"/>
      <c r="H152" s="312" t="str">
        <f>IFERROR(__xludf.DUMMYFUNCTION(" IF(ISBLANK(G152),,
SWITCH(
LEN(G152) - LEN(SUBSTITUTE(G152,"","","""")),
0 , VLOOKUP(G152, Variables!$A:$B, 2, FALSE),
1 , VLOOKUP(index(split(G152 ,"", "", FALSE),1,1), Variables!$A:$B , 2, FALSE) + VLOOKUP(index(split(G152 ,"", "", FALSE),1,2), Variabl"&amp;"es!$A:$B , 2, FALSE),
2 , VLOOKUP(index(split(G152 ,"", "", FALSE),1,1), Variables!$A:$B , 2, FALSE) + VLOOKUP(index(split(G152 ,"", "", FALSE),1,2), Variables!$A:$B , 2, FALSE) + VLOOKUP(index(split(G152 ,"", "", FALSE),1,3), Variables!$A:$B , 2, FALSE),"&amp;"
3 , VLOOKUP(index(split(G152 ,"", "", FALSE),1,1), Variables!$A:$B , 2, FALSE) + VLOOKUP(index(split(G152 ,"", "", FALSE),1,2), Variables!$A:$B , 2, FALSE) + VLOOKUP(index(split(G152 ,"", "", FALSE),1,3), Variables!$A:$B , 2, FALSE) + VLOOKUP(index(split"&amp;"(G152 ,"", "", FALSE),1,4), Variables!$A:$B , 2, FALSE),
)
)"),"")</f>
        <v/>
      </c>
      <c r="I152" s="310" t="s">
        <v>1672</v>
      </c>
      <c r="J152" s="313" t="s">
        <v>789</v>
      </c>
      <c r="K152" s="314">
        <f>IFERROR(VLOOKUP(C152,vote4ITEMS!$A:$C, 3, FALSE),)</f>
        <v>3</v>
      </c>
      <c r="L152" s="313"/>
      <c r="M152" s="314">
        <f>SUM(
IF(IFERROR(SEARCH("Aura 1",L152),0) &gt; 0 , VLOOKUP("Aura 1", vote4TRAITS!A:C , 3, FALSE), ),
IF(IFERROR(SEARCH("Backswing",L152),0) &gt; 0 , VLOOKUP("Backswing", vote4TRAITS!A:C , 3, FALSE), ),
IF(IFERROR(SEARCH("Blast",L152),0) &gt; 0 , VLOOKUP("Blast", vote4TRAITS!A:C , 3, FALSE), ),
IF(IFERROR(SEARCH("Combustible",L152),0) &gt; 0 , VLOOKUP("Combustible", vote4TRAITS!A:C , 3, FALSE), ),
IF(IFERROR(SEARCH("Command",L152),0) &gt; 0 , VLOOKUP("Command", vote4TRAITS!A:C , 3, FALSE), ),
IF(IFERROR(SEARCH("Cowardly",L152),0) &gt; 0 , VLOOKUP("Cowardly", vote4TRAITS!A:C , 3, FALSE), ),
IF(IFERROR(SEARCH("Death Wish",L152),0) &gt; 0 , VLOOKUP("Death Wish", vote4TRAITS!A:C , 3, FALSE), ),
IF(IFERROR(SEARCH("Entomb",L152),0) &gt; 0 , VLOOKUP("Entomb", vote4TRAITS!A:C , 3, FALSE), ),
IF(IFERROR(SEARCH("Ethereal Hold",L152),0) &gt; 0 , VLOOKUP("Ethereal Hold", vote4TRAITS!A:C , 3, FALSE), ),
IF(IFERROR(SEARCH("Extend",L152),0) &gt; 0 , VLOOKUP("Extend", vote4TRAITS!A:C , 3, FALSE), ),
IF(IFERROR(SEARCH("Filthy Murk",L152),0) &gt; 0 , VLOOKUP("Filthy Murk", vote4TRAITS!A:C , 3, FALSE), ),
IF(IFERROR(SEARCH("Flame Fiend",L152),0) &gt; 0 , VLOOKUP("Flame Fiend", vote4TRAITS!A:C , 3, FALSE), ),
IF(IFERROR(SEARCH("Fleshmonger",L152),0) &gt; 0 , VLOOKUP("Fleshmonger", vote4TRAITS!A:C , 3, FALSE), ),
IF(IFERROR(SEARCH("Fly",L152),0) &gt; 0 , VLOOKUP("Fly", vote4TRAITS!A:C , 3, FALSE), ),
IF(IFERROR(SEARCH("Freezing",L152),0) &gt; 0 , VLOOKUP("Freezing", vote4TRAITS!A:C , 3, FALSE), ),
IF(IFERROR(SEARCH("Lithesome",L152),0) &gt; 0 , VLOOKUP("Lithesome", vote4TRAITS!A:C , 3, FALSE), ),
IF(IFERROR(SEARCH("Harrowing",L152),0) &gt; 0 , VLOOKUP("Harrowing", vote4TRAITS!A:C , 3, FALSE), ),
IF(IFERROR(SEARCH("Hideous Laughter",L152),0) &gt; 0 , VLOOKUP("Hideous Laughter", vote4TRAITS!A:C , 3, FALSE), ),
IF(IFERROR(SEARCH("Hive Defense",L152),0) &gt; 0 , VLOOKUP("Hive Defense", vote4TRAITS!A:C , 3, FALSE), ),
IF(IFERROR(SEARCH("Horrifying",L152),0) &gt; 0 , VLOOKUP("Horrifying", vote4TRAITS!A:C , 3, FALSE), ),
IF(IFERROR(SEARCH("Ironskin",L152),0) &gt; 0 , VLOOKUP("Ironskin", vote4TRAITS!A:C , 3, FALSE), ),
IF(IFERROR(SEARCH("Unmovable",L152),0) &gt; 0 , VLOOKUP("Unmovable", vote4TRAITS!A:C , 3, FALSE), ),
IF(IFERROR(SEARCH("Lifethirst 1",L152),0) &gt; 0 , VLOOKUP("Lifethirst 1", vote4TRAITS!A:C , 3, FALSE), ),
IF(IFERROR(SEARCH("Lifethirst 2",L152),0) &gt; 0 , VLOOKUP("Lifethirst 2", vote4TRAITS!A:C , 3, FALSE), ),
IF(IFERROR(SEARCH("Morph",L152),0) &gt; 0 , VLOOKUP("Morph", vote4TRAITS!A:C , 3, FALSE), ),
IF(IFERROR(SEARCH("Night Stalker",L152),0) &gt; 0 , VLOOKUP("Night Stalker", vote4TRAITS!A:C , 3, FALSE), ),
IF(IFERROR(SEARCH("Overflowing",L152),0) &gt; 0 , VLOOKUP("Overflowing", vote4TRAITS!A:C , 3, FALSE), ),
IF(IFERROR(SEARCH("Pestilence",L152),0) &gt; 0 , VLOOKUP("Pestilence", vote4TRAITS!A:C , 3, FALSE), ),
IF(IFERROR(SEARCH("Phalanx",L152),0) &gt; 0 , VLOOKUP("Phalanx", vote4TRAITS!A:C , 3, FALSE), ),
IF(IFERROR(SEARCH("Plagued",L152),0) &gt; 0 , VLOOKUP("Plagued", vote4TRAITS!A:C , 3, FALSE), ),
IF(IFERROR(SEARCH("Prey on the Weak",L152),0) &gt; 0 , VLOOKUP("Prey on the Weak", vote4TRAITS!A:C , 3, FALSE), ),
IF(IFERROR(SEARCH("Protect",L152),0) &gt; 0 , VLOOKUP("Protect", vote4TRAITS!A:C , 3, FALSE), ),
IF(IFERROR(SEARCH("Puncture",L152),0) &gt; 0 , VLOOKUP("Puncture", vote4TRAITS!A:C , 3, FALSE), ),
IF(IFERROR(SEARCH("Putrid Boils",L152),0) &gt; 0 , VLOOKUP("Putrid Boils", vote4TRAITS!A:C , 3, FALSE), ),
IF(IFERROR(SEARCH("Ravage",L152),0) &gt; 0 , VLOOKUP("Ravage", vote4TRAITS!A:C , 3, FALSE), ),
IF(IFERROR(SEARCH("Ravenous",L152),0) &gt; 0 , VLOOKUP("Ravenous", vote4TRAITS!A:C , 3, FALSE), ),
IF(IFERROR(SEARCH("Reach",L152),0) &gt; 0 , VLOOKUP("Reach", vote4TRAITS!A:C , 3, FALSE), ),
IF(IFERROR(SEARCH("Reanimation",L152),0) &gt; 0 , VLOOKUP("Reanimation", vote4TRAITS!A:C , 3, FALSE), ),
IF(IFERROR(SEARCH("Reaper",L152),0) &gt; 0 , VLOOKUP("Reaper", vote4TRAITS!A:C , 3, FALSE), ),
IF(IFERROR(SEARCH("Riposte",L152),0) &gt; 0 , VLOOKUP("Riposte", vote4TRAITS!A:C , 3, FALSE)),
IF(IFERROR(SEARCH("Scamper",L152),0) &gt; 0 , VLOOKUP("Scamper", vote4TRAITS!A:C , 3, FALSE), ),
IF(IFERROR(SEARCH("Small Beginnings",L152),0) &gt; 0 , VLOOKUP("Small Beginnings", vote4TRAITS!A:C , 3, FALSE), ),
IF(IFERROR(SEARCH("Spawner",L152),0) &gt; 0 , VLOOKUP("Spawner", vote4TRAITS!A:C , 3,FALSE), ),
IF(IFERROR(SEARCH("Shadowr",L152),0) &gt; 0 , VLOOKUP("Shadow", vote4TRAITS!A:C , 3,FALSE), ),
IF(IFERROR(SEARCH("Shadow Step",L152),0) &gt; 0 , VLOOKUP("Shadow Step", vote4TRAITS!A:C , 3,FALSE), ),
IF(IFERROR(SEARCH("Shambling",L152),0) &gt; 0 , VLOOKUP("Shambling", vote4TRAITS!A:C , 3,FALSE), ),
IF(IFERROR(SEARCH("Stealthy",L152),0) &gt; 0 , VLOOKUP("Stealthy", vote4TRAITS!A:C , 3, FALSE), ),
IF(IFERROR(SEARCH("Web",L152),0) &gt; 0 , VLOOKUP("Web", vote4TRAITS!A:C , 3, FALSE), ),
IF(IFERROR(SEARCH("+1 Willpower",L152),0) &gt; 0 , VLOOKUP("+1 Willpower", vote4TRAITS!A:C , 3, FALSE), ),
IF(IFERROR(SEARCH("+1 Might",L152),0) &gt; 0 , VLOOKUP("+1 Might", vote4TRAITS!A:C , 3, FALSE), ),
IF(IFERROR(SEARCH("+1 Knowledge",L152),0) &gt; 0 , VLOOKUP("+1 Knowledge", vote4TRAITS!A:C , 3, FALSE), ),
IF(IFERROR(SEARCH("+1 Awareness",L152),0) &gt; 0 , VLOOKUP("+1 Awareness", vote4TRAITS!A:C , 3, FALSE), ),
IF(IFERROR(SEARCH("-1 Willpower",L152),0) &gt; 0 , VLOOKUP("-1 Willpower", vote4TRAITS!A:C , 3, FALSE), ),
IF(IFERROR(SEARCH("+1 Health",L152),0) &gt; 0 , VLOOKUP("+1 Health", vote4TRAITS!A:C , 3, FALSE), ),
IF(IFERROR(SEARCH("+2 Health",L152),0) &gt; 0 , VLOOKUP("+2 Health", vote4TRAITS!A:C , 3, FALSE), ),
IF(IFERROR(SEARCH("+1 Stamina",L152),0) &gt; 0 , VLOOKUP("+1 Stamina", vote4TRAITS!A:C , 3, FALSE), ),
IF(IFERROR(SEARCH("+2 Stamina",L152),0) &gt; 0 , VLOOKUP("+2 Stamina", vote4TRAITS!A:C , 3, FALSE), ),
IFS(
IFERROR(SEARCH("+1 Range", L152),) &gt; 0 ,VLOOKUP("+1 Range", vote4TRAITS!A:C , 3, FALSE),
IFERROR(SEARCH("+2 Range", L152),) &gt; 0 ,VLOOKUP("+2 Range", vote4TRAITS!A:C , 3, FALSE),
IFERROR(SEARCH("+3 Range", L152),) &gt; 0,VLOOKUP("+3 Range", vote4TRAITS!A:C , 3, FALSE),
0=0,0)
,
IFS(
IFERROR(SEARCH("Sorcery 1", L152),) &gt; 0 ,VLOOKUP("Sorcery 1", vote4TRAITS!A:C , 3, FALSE),
IFERROR(SEARCH("Sorcery 2", L152),) &gt; 0 ,VLOOKUP("Sorcery 2", vote4TRAITS!A:C , 3, FALSE),
IFERROR(SEARCH("Sorcery 3", L152),) &gt; 0,VLOOKUP("Sorcery 3", vote4TRAITS!A:C , 3, FALSE),
0=0,0)
,
IFS(
IFERROR(SEARCH("Pierce 1", L152),) &gt; 0 ,VLOOKUP("Pierce 1", vote4TRAITS!A:C , 3, FALSE),
IFERROR(SEARCH("Pierce 2", L152),) &gt; 0 ,VLOOKUP("Pierce 2", vote4TRAITS!A:C , 3, FALSE),
IFERROR(SEARCH("Pierce 3", L152),) &gt; 0,VLOOKUP("Pierce 3", vote4TRAITS!A:C , 3, FALSE),
IFERROR(SEARCH("Pierce 4", L152),) &gt; 0 ,VLOOKUP("Pierce 4", vote4TRAITS!A:C , 3, FALSE),
0=0,0)
,
IFS(
IFERROR(SEARCH("+1 Health", L152),) &gt; 0 ,VLOOKUP("+1 Health", vote4TRAITS!A:C , 3, FALSE),
IFERROR(SEARCH("+2 Health", L152),) &gt; 0 ,VLOOKUP("+2 Health", vote4TRAITS!A:C , 3, FALSE),
IFERROR(SEARCH("+3 Health", L152),) &gt; 0 ,VLOOKUP("+3 Health", vote4TRAITS!A:C , 3, FALSE),
IFERROR(SEARCH("+4 Health", L152),) &gt; 0 ,VLOOKUP("+4 Health", vote4TRAITS!A:C , 3, FALSE),
0=0,0)
,
IFS(
IFERROR(SEARCH("Soul Shackle 1", L152),) &gt; 0 ,VLOOKUP("Soul Shackle 1", vote4TRAITS!A:C , 3, FALSE),
IFERROR(SEARCH("Soul Shackle 2", L152),) &gt; 0 ,VLOOKUP("Soul Shackle 2", vote4TRAITS!A:C , 3, FALSE),
IFERROR(SEARCH("Soul Shackle 3", L152),) &gt; 0,VLOOKUP("Soul Shackle 3", vote4TRAITS!A:C , 3, FALSE),
0=0,0)
)</f>
        <v>0</v>
      </c>
      <c r="N152" s="313"/>
      <c r="O152" s="317" t="str">
        <f>IF(ISBLANK(N152),,IFERROR(
IF(IFERROR(SEARCH("SS:",N152),0) &gt; 0, 
VLOOKUP(SUBSTITUTE(N152,"SS: ",""),vote4SURGE!$A:$C , 3, FALSE) - 2,
VLOOKUP(SUBSTITUTE(N152,"S: ",""),vote4SURGE!$A:$C , 3, FALSE)
)
,
IF(IFERROR(SEARCH("SS:",N152),0) &gt; 0, 
VLOOKUP(C152,vote4SURGE!$A:$C , 3, FALSE) - 2,
VLOOKUP(C152,vote4SURGE!$A:$C , 3, FALSE)
)
))</f>
        <v/>
      </c>
      <c r="P152" s="318"/>
      <c r="Q152" s="317" t="str">
        <f>IF(ISBLANK(P152),,IFERROR(
IF(IFERROR(SEARCH("SS:",P152),0) &gt; 0, 
VLOOKUP(SUBSTITUTE(P152,"SS: ",""),vote4SURGE!$A:$C , 3, FALSE) - 2,
VLOOKUP(SUBSTITUTE(P152,"S: ",""),vote4SURGE!$A:$C , 3, FALSE)
)
,
IF(IFERROR(SEARCH("SS:",P152),0) &gt; 0, 
VLOOKUP(C152,vote4SURGE!$A:$C , 3, FALSE) - 2,
VLOOKUP(C152,vote4SURGE!$A:$C , 3, FALSE)
)
))</f>
        <v/>
      </c>
      <c r="R152" s="318"/>
      <c r="S152" s="319" t="str">
        <f>IF(ISBLANK(R152),,IFERROR(
IF(IFERROR(SEARCH("SS:",R152),0) &gt; 0, 
VLOOKUP(SUBSTITUTE(R152,"SS: ",""),vote4SURGE!$A:$C , 3, FALSE) - 2,
VLOOKUP(SUBSTITUTE(R152,"S: ",""),vote4SURGE!$A:$C , 3, FALSE)
)
,
IF(IFERROR(SEARCH("SS:",R152),0) &gt; 0, 
VLOOKUP(C152,vote4SURGE!$A:$C , 3, FALSE) - 2,
VLOOKUP(C152,vote4SURGE!$A:$C , 3, FALSE)
)
))</f>
        <v/>
      </c>
      <c r="T152" s="320">
        <f t="shared" si="2"/>
        <v>0</v>
      </c>
      <c r="U152" s="320">
        <f>IFERROR(__xludf.DUMMYFUNCTION("ROUND(
IF(ISBLANK(G152),,
SWITCH(
LEN(G152) - LEN(SUBSTITUTE(G152,"","","""")),
0 , VLOOKUP(G152, Variables!$A:$C, 3, FALSE),
1 , VLOOKUP(index(split(G152 ,"", "", FALSE),1,1), Variables!$A:$C , 3, FALSE) + VLOOKUP(index(split(G152 ,"", "", FALSE),1,2), V"&amp;"ariables!$A:$C , 3, FALSE),
2 , VLOOKUP(index(split(G152 ,"", "", FALSE),1,1), Variables!$A:$C , 3, FALSE) + VLOOKUP(index(split(G152 ,"", "", FALSE),1,2), Variables!$A:$C , 3, FALSE) + VLOOKUP(index(split(G152 ,"", "", FALSE),1,3), Variables!$A:$C , 3, F"&amp;"ALSE),
3 , VLOOKUP(index(split(G152 ,"", "", FALSE),1,1), Variables!$A:$C , 3, FALSE) + VLOOKUP(index(split(G152 ,"", "", FALSE),1,2), Variables!$A:$C , 3, FALSE) + VLOOKUP(index(split(G152 ,"", "", FALSE),1,3), Variables!$A:$C , 3, FALSE) + VLOOKUP(index"&amp;"(split(G152 ,"", "", FALSE),1,4), Variables!$A:$C , 3, FALSE),
)
)
)"),0.0)</f>
        <v>0</v>
      </c>
      <c r="V152" s="317">
        <f t="shared" si="3"/>
        <v>0</v>
      </c>
      <c r="W152" s="321">
        <f t="shared" si="4"/>
        <v>3</v>
      </c>
      <c r="X152" s="118"/>
      <c r="Y152" s="118"/>
      <c r="Z152" s="118"/>
      <c r="AA152" s="118"/>
      <c r="AB152" s="118"/>
      <c r="AC152" s="118"/>
      <c r="AD152" s="118"/>
      <c r="AE152" s="118"/>
    </row>
    <row r="153" hidden="1">
      <c r="A153" s="310">
        <v>2.0</v>
      </c>
      <c r="B153" s="93">
        <f t="shared" si="1"/>
        <v>5</v>
      </c>
      <c r="C153" s="310" t="s">
        <v>816</v>
      </c>
      <c r="D153" s="310">
        <v>75.0</v>
      </c>
      <c r="E153" s="310" t="s">
        <v>1629</v>
      </c>
      <c r="F153" s="310"/>
      <c r="G153" s="313"/>
      <c r="H153" s="312" t="str">
        <f>IFERROR(__xludf.DUMMYFUNCTION(" IF(ISBLANK(G153),,
SWITCH(
LEN(G153) - LEN(SUBSTITUTE(G153,"","","""")),
0 , VLOOKUP(G153, Variables!$A:$B, 2, FALSE),
1 , VLOOKUP(index(split(G153 ,"", "", FALSE),1,1), Variables!$A:$B , 2, FALSE) + VLOOKUP(index(split(G153 ,"", "", FALSE),1,2), Variabl"&amp;"es!$A:$B , 2, FALSE),
2 , VLOOKUP(index(split(G153 ,"", "", FALSE),1,1), Variables!$A:$B , 2, FALSE) + VLOOKUP(index(split(G153 ,"", "", FALSE),1,2), Variables!$A:$B , 2, FALSE) + VLOOKUP(index(split(G153 ,"", "", FALSE),1,3), Variables!$A:$B , 2, FALSE),"&amp;"
3 , VLOOKUP(index(split(G153 ,"", "", FALSE),1,1), Variables!$A:$B , 2, FALSE) + VLOOKUP(index(split(G153 ,"", "", FALSE),1,2), Variables!$A:$B , 2, FALSE) + VLOOKUP(index(split(G153 ,"", "", FALSE),1,3), Variables!$A:$B , 2, FALSE) + VLOOKUP(index(split"&amp;"(G153 ,"", "", FALSE),1,4), Variables!$A:$B , 2, FALSE),
)
)"),"")</f>
        <v/>
      </c>
      <c r="I153" s="310" t="s">
        <v>1635</v>
      </c>
      <c r="J153" s="313" t="s">
        <v>817</v>
      </c>
      <c r="K153" s="314">
        <f>IFERROR(VLOOKUP(C153,vote4ITEMS!$A:$C, 3, FALSE),)</f>
        <v>3</v>
      </c>
      <c r="L153" s="313"/>
      <c r="M153" s="314">
        <f>SUM(
IF(IFERROR(SEARCH("Aura 1",L153),0) &gt; 0 , VLOOKUP("Aura 1", vote4TRAITS!A:C , 3, FALSE), ),
IF(IFERROR(SEARCH("Backswing",L153),0) &gt; 0 , VLOOKUP("Backswing", vote4TRAITS!A:C , 3, FALSE), ),
IF(IFERROR(SEARCH("Blast",L153),0) &gt; 0 , VLOOKUP("Blast", vote4TRAITS!A:C , 3, FALSE), ),
IF(IFERROR(SEARCH("Combustible",L153),0) &gt; 0 , VLOOKUP("Combustible", vote4TRAITS!A:C , 3, FALSE), ),
IF(IFERROR(SEARCH("Command",L153),0) &gt; 0 , VLOOKUP("Command", vote4TRAITS!A:C , 3, FALSE), ),
IF(IFERROR(SEARCH("Cowardly",L153),0) &gt; 0 , VLOOKUP("Cowardly", vote4TRAITS!A:C , 3, FALSE), ),
IF(IFERROR(SEARCH("Death Wish",L153),0) &gt; 0 , VLOOKUP("Death Wish", vote4TRAITS!A:C , 3, FALSE), ),
IF(IFERROR(SEARCH("Entomb",L153),0) &gt; 0 , VLOOKUP("Entomb", vote4TRAITS!A:C , 3, FALSE), ),
IF(IFERROR(SEARCH("Ethereal Hold",L153),0) &gt; 0 , VLOOKUP("Ethereal Hold", vote4TRAITS!A:C , 3, FALSE), ),
IF(IFERROR(SEARCH("Extend",L153),0) &gt; 0 , VLOOKUP("Extend", vote4TRAITS!A:C , 3, FALSE), ),
IF(IFERROR(SEARCH("Filthy Murk",L153),0) &gt; 0 , VLOOKUP("Filthy Murk", vote4TRAITS!A:C , 3, FALSE), ),
IF(IFERROR(SEARCH("Flame Fiend",L153),0) &gt; 0 , VLOOKUP("Flame Fiend", vote4TRAITS!A:C , 3, FALSE), ),
IF(IFERROR(SEARCH("Fleshmonger",L153),0) &gt; 0 , VLOOKUP("Fleshmonger", vote4TRAITS!A:C , 3, FALSE), ),
IF(IFERROR(SEARCH("Fly",L153),0) &gt; 0 , VLOOKUP("Fly", vote4TRAITS!A:C , 3, FALSE), ),
IF(IFERROR(SEARCH("Freezing",L153),0) &gt; 0 , VLOOKUP("Freezing", vote4TRAITS!A:C , 3, FALSE), ),
IF(IFERROR(SEARCH("Lithesome",L153),0) &gt; 0 , VLOOKUP("Lithesome", vote4TRAITS!A:C , 3, FALSE), ),
IF(IFERROR(SEARCH("Harrowing",L153),0) &gt; 0 , VLOOKUP("Harrowing", vote4TRAITS!A:C , 3, FALSE), ),
IF(IFERROR(SEARCH("Hideous Laughter",L153),0) &gt; 0 , VLOOKUP("Hideous Laughter", vote4TRAITS!A:C , 3, FALSE), ),
IF(IFERROR(SEARCH("Hive Defense",L153),0) &gt; 0 , VLOOKUP("Hive Defense", vote4TRAITS!A:C , 3, FALSE), ),
IF(IFERROR(SEARCH("Horrifying",L153),0) &gt; 0 , VLOOKUP("Horrifying", vote4TRAITS!A:C , 3, FALSE), ),
IF(IFERROR(SEARCH("Ironskin",L153),0) &gt; 0 , VLOOKUP("Ironskin", vote4TRAITS!A:C , 3, FALSE), ),
IF(IFERROR(SEARCH("Unmovable",L153),0) &gt; 0 , VLOOKUP("Unmovable", vote4TRAITS!A:C , 3, FALSE), ),
IF(IFERROR(SEARCH("Lifethirst 1",L153),0) &gt; 0 , VLOOKUP("Lifethirst 1", vote4TRAITS!A:C , 3, FALSE), ),
IF(IFERROR(SEARCH("Lifethirst 2",L153),0) &gt; 0 , VLOOKUP("Lifethirst 2", vote4TRAITS!A:C , 3, FALSE), ),
IF(IFERROR(SEARCH("Morph",L153),0) &gt; 0 , VLOOKUP("Morph", vote4TRAITS!A:C , 3, FALSE), ),
IF(IFERROR(SEARCH("Night Stalker",L153),0) &gt; 0 , VLOOKUP("Night Stalker", vote4TRAITS!A:C , 3, FALSE), ),
IF(IFERROR(SEARCH("Overflowing",L153),0) &gt; 0 , VLOOKUP("Overflowing", vote4TRAITS!A:C , 3, FALSE), ),
IF(IFERROR(SEARCH("Pestilence",L153),0) &gt; 0 , VLOOKUP("Pestilence", vote4TRAITS!A:C , 3, FALSE), ),
IF(IFERROR(SEARCH("Phalanx",L153),0) &gt; 0 , VLOOKUP("Phalanx", vote4TRAITS!A:C , 3, FALSE), ),
IF(IFERROR(SEARCH("Plagued",L153),0) &gt; 0 , VLOOKUP("Plagued", vote4TRAITS!A:C , 3, FALSE), ),
IF(IFERROR(SEARCH("Prey on the Weak",L153),0) &gt; 0 , VLOOKUP("Prey on the Weak", vote4TRAITS!A:C , 3, FALSE), ),
IF(IFERROR(SEARCH("Protect",L153),0) &gt; 0 , VLOOKUP("Protect", vote4TRAITS!A:C , 3, FALSE), ),
IF(IFERROR(SEARCH("Puncture",L153),0) &gt; 0 , VLOOKUP("Puncture", vote4TRAITS!A:C , 3, FALSE), ),
IF(IFERROR(SEARCH("Putrid Boils",L153),0) &gt; 0 , VLOOKUP("Putrid Boils", vote4TRAITS!A:C , 3, FALSE), ),
IF(IFERROR(SEARCH("Ravage",L153),0) &gt; 0 , VLOOKUP("Ravage", vote4TRAITS!A:C , 3, FALSE), ),
IF(IFERROR(SEARCH("Ravenous",L153),0) &gt; 0 , VLOOKUP("Ravenous", vote4TRAITS!A:C , 3, FALSE), ),
IF(IFERROR(SEARCH("Reach",L153),0) &gt; 0 , VLOOKUP("Reach", vote4TRAITS!A:C , 3, FALSE), ),
IF(IFERROR(SEARCH("Reanimation",L153),0) &gt; 0 , VLOOKUP("Reanimation", vote4TRAITS!A:C , 3, FALSE), ),
IF(IFERROR(SEARCH("Reaper",L153),0) &gt; 0 , VLOOKUP("Reaper", vote4TRAITS!A:C , 3, FALSE), ),
IF(IFERROR(SEARCH("Riposte",L153),0) &gt; 0 , VLOOKUP("Riposte", vote4TRAITS!A:C , 3, FALSE)),
IF(IFERROR(SEARCH("Scamper",L153),0) &gt; 0 , VLOOKUP("Scamper", vote4TRAITS!A:C , 3, FALSE), ),
IF(IFERROR(SEARCH("Small Beginnings",L153),0) &gt; 0 , VLOOKUP("Small Beginnings", vote4TRAITS!A:C , 3, FALSE), ),
IF(IFERROR(SEARCH("Spawner",L153),0) &gt; 0 , VLOOKUP("Spawner", vote4TRAITS!A:C , 3,FALSE), ),
IF(IFERROR(SEARCH("Shadowr",L153),0) &gt; 0 , VLOOKUP("Shadow", vote4TRAITS!A:C , 3,FALSE), ),
IF(IFERROR(SEARCH("Shadow Step",L153),0) &gt; 0 , VLOOKUP("Shadow Step", vote4TRAITS!A:C , 3,FALSE), ),
IF(IFERROR(SEARCH("Shambling",L153),0) &gt; 0 , VLOOKUP("Shambling", vote4TRAITS!A:C , 3,FALSE), ),
IF(IFERROR(SEARCH("Stealthy",L153),0) &gt; 0 , VLOOKUP("Stealthy", vote4TRAITS!A:C , 3, FALSE), ),
IF(IFERROR(SEARCH("Web",L153),0) &gt; 0 , VLOOKUP("Web", vote4TRAITS!A:C , 3, FALSE), ),
IF(IFERROR(SEARCH("+1 Willpower",L153),0) &gt; 0 , VLOOKUP("+1 Willpower", vote4TRAITS!A:C , 3, FALSE), ),
IF(IFERROR(SEARCH("+1 Might",L153),0) &gt; 0 , VLOOKUP("+1 Might", vote4TRAITS!A:C , 3, FALSE), ),
IF(IFERROR(SEARCH("+1 Knowledge",L153),0) &gt; 0 , VLOOKUP("+1 Knowledge", vote4TRAITS!A:C , 3, FALSE), ),
IF(IFERROR(SEARCH("+1 Awareness",L153),0) &gt; 0 , VLOOKUP("+1 Awareness", vote4TRAITS!A:C , 3, FALSE), ),
IF(IFERROR(SEARCH("-1 Willpower",L153),0) &gt; 0 , VLOOKUP("-1 Willpower", vote4TRAITS!A:C , 3, FALSE), ),
IF(IFERROR(SEARCH("+1 Health",L153),0) &gt; 0 , VLOOKUP("+1 Health", vote4TRAITS!A:C , 3, FALSE), ),
IF(IFERROR(SEARCH("+2 Health",L153),0) &gt; 0 , VLOOKUP("+2 Health", vote4TRAITS!A:C , 3, FALSE), ),
IF(IFERROR(SEARCH("+1 Stamina",L153),0) &gt; 0 , VLOOKUP("+1 Stamina", vote4TRAITS!A:C , 3, FALSE), ),
IF(IFERROR(SEARCH("+2 Stamina",L153),0) &gt; 0 , VLOOKUP("+2 Stamina", vote4TRAITS!A:C , 3, FALSE), ),
IFS(
IFERROR(SEARCH("+1 Range", L153),) &gt; 0 ,VLOOKUP("+1 Range", vote4TRAITS!A:C , 3, FALSE),
IFERROR(SEARCH("+2 Range", L153),) &gt; 0 ,VLOOKUP("+2 Range", vote4TRAITS!A:C , 3, FALSE),
IFERROR(SEARCH("+3 Range", L153),) &gt; 0,VLOOKUP("+3 Range", vote4TRAITS!A:C , 3, FALSE),
0=0,0)
,
IFS(
IFERROR(SEARCH("Sorcery 1", L153),) &gt; 0 ,VLOOKUP("Sorcery 1", vote4TRAITS!A:C , 3, FALSE),
IFERROR(SEARCH("Sorcery 2", L153),) &gt; 0 ,VLOOKUP("Sorcery 2", vote4TRAITS!A:C , 3, FALSE),
IFERROR(SEARCH("Sorcery 3", L153),) &gt; 0,VLOOKUP("Sorcery 3", vote4TRAITS!A:C , 3, FALSE),
0=0,0)
,
IFS(
IFERROR(SEARCH("Pierce 1", L153),) &gt; 0 ,VLOOKUP("Pierce 1", vote4TRAITS!A:C , 3, FALSE),
IFERROR(SEARCH("Pierce 2", L153),) &gt; 0 ,VLOOKUP("Pierce 2", vote4TRAITS!A:C , 3, FALSE),
IFERROR(SEARCH("Pierce 3", L153),) &gt; 0,VLOOKUP("Pierce 3", vote4TRAITS!A:C , 3, FALSE),
IFERROR(SEARCH("Pierce 4", L153),) &gt; 0 ,VLOOKUP("Pierce 4", vote4TRAITS!A:C , 3, FALSE),
0=0,0)
,
IFS(
IFERROR(SEARCH("+1 Health", L153),) &gt; 0 ,VLOOKUP("+1 Health", vote4TRAITS!A:C , 3, FALSE),
IFERROR(SEARCH("+2 Health", L153),) &gt; 0 ,VLOOKUP("+2 Health", vote4TRAITS!A:C , 3, FALSE),
IFERROR(SEARCH("+3 Health", L153),) &gt; 0 ,VLOOKUP("+3 Health", vote4TRAITS!A:C , 3, FALSE),
IFERROR(SEARCH("+4 Health", L153),) &gt; 0 ,VLOOKUP("+4 Health", vote4TRAITS!A:C , 3, FALSE),
0=0,0)
,
IFS(
IFERROR(SEARCH("Soul Shackle 1", L153),) &gt; 0 ,VLOOKUP("Soul Shackle 1", vote4TRAITS!A:C , 3, FALSE),
IFERROR(SEARCH("Soul Shackle 2", L153),) &gt; 0 ,VLOOKUP("Soul Shackle 2", vote4TRAITS!A:C , 3, FALSE),
IFERROR(SEARCH("Soul Shackle 3", L153),) &gt; 0,VLOOKUP("Soul Shackle 3", vote4TRAITS!A:C , 3, FALSE),
0=0,0)
)</f>
        <v>0</v>
      </c>
      <c r="N153" s="313"/>
      <c r="O153" s="317" t="str">
        <f>IF(ISBLANK(N153),,IFERROR(
IF(IFERROR(SEARCH("SS:",N153),0) &gt; 0, 
VLOOKUP(SUBSTITUTE(N153,"SS: ",""),vote4SURGE!$A:$C , 3, FALSE) - 2,
VLOOKUP(SUBSTITUTE(N153,"S: ",""),vote4SURGE!$A:$C , 3, FALSE)
)
,
IF(IFERROR(SEARCH("SS:",N153),0) &gt; 0, 
VLOOKUP(C153,vote4SURGE!$A:$C , 3, FALSE) - 2,
VLOOKUP(C153,vote4SURGE!$A:$C , 3, FALSE)
)
))</f>
        <v/>
      </c>
      <c r="P153" s="318"/>
      <c r="Q153" s="317" t="str">
        <f>IF(ISBLANK(P153),,IFERROR(
IF(IFERROR(SEARCH("SS:",P153),0) &gt; 0, 
VLOOKUP(SUBSTITUTE(P153,"SS: ",""),vote4SURGE!$A:$C , 3, FALSE) - 2,
VLOOKUP(SUBSTITUTE(P153,"S: ",""),vote4SURGE!$A:$C , 3, FALSE)
)
,
IF(IFERROR(SEARCH("SS:",P153),0) &gt; 0, 
VLOOKUP(C153,vote4SURGE!$A:$C , 3, FALSE) - 2,
VLOOKUP(C153,vote4SURGE!$A:$C , 3, FALSE)
)
))</f>
        <v/>
      </c>
      <c r="R153" s="318"/>
      <c r="S153" s="319" t="str">
        <f>IF(ISBLANK(R153),,IFERROR(
IF(IFERROR(SEARCH("SS:",R153),0) &gt; 0, 
VLOOKUP(SUBSTITUTE(R153,"SS: ",""),vote4SURGE!$A:$C , 3, FALSE) - 2,
VLOOKUP(SUBSTITUTE(R153,"S: ",""),vote4SURGE!$A:$C , 3, FALSE)
)
,
IF(IFERROR(SEARCH("SS:",R153),0) &gt; 0, 
VLOOKUP(C153,vote4SURGE!$A:$C , 3, FALSE) - 2,
VLOOKUP(C153,vote4SURGE!$A:$C , 3, FALSE)
)
))</f>
        <v/>
      </c>
      <c r="T153" s="320">
        <f t="shared" si="2"/>
        <v>0</v>
      </c>
      <c r="U153" s="320">
        <f>IFERROR(__xludf.DUMMYFUNCTION("ROUND(
IF(ISBLANK(G153),,
SWITCH(
LEN(G153) - LEN(SUBSTITUTE(G153,"","","""")),
0 , VLOOKUP(G153, Variables!$A:$C, 3, FALSE),
1 , VLOOKUP(index(split(G153 ,"", "", FALSE),1,1), Variables!$A:$C , 3, FALSE) + VLOOKUP(index(split(G153 ,"", "", FALSE),1,2), V"&amp;"ariables!$A:$C , 3, FALSE),
2 , VLOOKUP(index(split(G153 ,"", "", FALSE),1,1), Variables!$A:$C , 3, FALSE) + VLOOKUP(index(split(G153 ,"", "", FALSE),1,2), Variables!$A:$C , 3, FALSE) + VLOOKUP(index(split(G153 ,"", "", FALSE),1,3), Variables!$A:$C , 3, F"&amp;"ALSE),
3 , VLOOKUP(index(split(G153 ,"", "", FALSE),1,1), Variables!$A:$C , 3, FALSE) + VLOOKUP(index(split(G153 ,"", "", FALSE),1,2), Variables!$A:$C , 3, FALSE) + VLOOKUP(index(split(G153 ,"", "", FALSE),1,3), Variables!$A:$C , 3, FALSE) + VLOOKUP(index"&amp;"(split(G153 ,"", "", FALSE),1,4), Variables!$A:$C , 3, FALSE),
)
)
)"),0.0)</f>
        <v>0</v>
      </c>
      <c r="V153" s="317">
        <f t="shared" si="3"/>
        <v>0</v>
      </c>
      <c r="W153" s="321">
        <f t="shared" si="4"/>
        <v>3</v>
      </c>
      <c r="X153" s="118"/>
      <c r="Y153" s="118"/>
      <c r="Z153" s="118"/>
      <c r="AA153" s="118"/>
      <c r="AB153" s="118"/>
      <c r="AC153" s="118"/>
      <c r="AD153" s="118"/>
      <c r="AE153" s="118"/>
    </row>
    <row r="154" hidden="1">
      <c r="A154" s="310">
        <v>1.0</v>
      </c>
      <c r="B154" s="93" t="str">
        <f t="shared" si="1"/>
        <v/>
      </c>
      <c r="C154" s="310" t="s">
        <v>850</v>
      </c>
      <c r="D154" s="323">
        <v>0.0</v>
      </c>
      <c r="E154" s="310" t="s">
        <v>1629</v>
      </c>
      <c r="F154" s="310"/>
      <c r="G154" s="313"/>
      <c r="H154" s="312" t="str">
        <f>IFERROR(__xludf.DUMMYFUNCTION(" IF(ISBLANK(G154),,
SWITCH(
LEN(G154) - LEN(SUBSTITUTE(G154,"","","""")),
0 , VLOOKUP(G154, Variables!$A:$B, 2, FALSE),
1 , VLOOKUP(index(split(G154 ,"", "", FALSE),1,1), Variables!$A:$B , 2, FALSE) + VLOOKUP(index(split(G154 ,"", "", FALSE),1,2), Variabl"&amp;"es!$A:$B , 2, FALSE),
2 , VLOOKUP(index(split(G154 ,"", "", FALSE),1,1), Variables!$A:$B , 2, FALSE) + VLOOKUP(index(split(G154 ,"", "", FALSE),1,2), Variables!$A:$B , 2, FALSE) + VLOOKUP(index(split(G154 ,"", "", FALSE),1,3), Variables!$A:$B , 2, FALSE),"&amp;"
3 , VLOOKUP(index(split(G154 ,"", "", FALSE),1,1), Variables!$A:$B , 2, FALSE) + VLOOKUP(index(split(G154 ,"", "", FALSE),1,2), Variables!$A:$B , 2, FALSE) + VLOOKUP(index(split(G154 ,"", "", FALSE),1,3), Variables!$A:$B , 2, FALSE) + VLOOKUP(index(split"&amp;"(G154 ,"", "", FALSE),1,4), Variables!$A:$B , 2, FALSE),
)
)"),"")</f>
        <v/>
      </c>
      <c r="I154" s="310" t="s">
        <v>1677</v>
      </c>
      <c r="J154" s="313" t="s">
        <v>851</v>
      </c>
      <c r="K154" s="314">
        <f>IFERROR(VLOOKUP(C154,vote4ITEMS!$A:$C, 3, FALSE),)</f>
        <v>3</v>
      </c>
      <c r="L154" s="313"/>
      <c r="M154" s="314">
        <f>SUM(
IF(IFERROR(SEARCH("Aura 1",L154),0) &gt; 0 , VLOOKUP("Aura 1", vote4TRAITS!A:C , 3, FALSE), ),
IF(IFERROR(SEARCH("Backswing",L154),0) &gt; 0 , VLOOKUP("Backswing", vote4TRAITS!A:C , 3, FALSE), ),
IF(IFERROR(SEARCH("Blast",L154),0) &gt; 0 , VLOOKUP("Blast", vote4TRAITS!A:C , 3, FALSE), ),
IF(IFERROR(SEARCH("Combustible",L154),0) &gt; 0 , VLOOKUP("Combustible", vote4TRAITS!A:C , 3, FALSE), ),
IF(IFERROR(SEARCH("Command",L154),0) &gt; 0 , VLOOKUP("Command", vote4TRAITS!A:C , 3, FALSE), ),
IF(IFERROR(SEARCH("Cowardly",L154),0) &gt; 0 , VLOOKUP("Cowardly", vote4TRAITS!A:C , 3, FALSE), ),
IF(IFERROR(SEARCH("Death Wish",L154),0) &gt; 0 , VLOOKUP("Death Wish", vote4TRAITS!A:C , 3, FALSE), ),
IF(IFERROR(SEARCH("Entomb",L154),0) &gt; 0 , VLOOKUP("Entomb", vote4TRAITS!A:C , 3, FALSE), ),
IF(IFERROR(SEARCH("Ethereal Hold",L154),0) &gt; 0 , VLOOKUP("Ethereal Hold", vote4TRAITS!A:C , 3, FALSE), ),
IF(IFERROR(SEARCH("Extend",L154),0) &gt; 0 , VLOOKUP("Extend", vote4TRAITS!A:C , 3, FALSE), ),
IF(IFERROR(SEARCH("Filthy Murk",L154),0) &gt; 0 , VLOOKUP("Filthy Murk", vote4TRAITS!A:C , 3, FALSE), ),
IF(IFERROR(SEARCH("Flame Fiend",L154),0) &gt; 0 , VLOOKUP("Flame Fiend", vote4TRAITS!A:C , 3, FALSE), ),
IF(IFERROR(SEARCH("Fleshmonger",L154),0) &gt; 0 , VLOOKUP("Fleshmonger", vote4TRAITS!A:C , 3, FALSE), ),
IF(IFERROR(SEARCH("Fly",L154),0) &gt; 0 , VLOOKUP("Fly", vote4TRAITS!A:C , 3, FALSE), ),
IF(IFERROR(SEARCH("Freezing",L154),0) &gt; 0 , VLOOKUP("Freezing", vote4TRAITS!A:C , 3, FALSE), ),
IF(IFERROR(SEARCH("Lithesome",L154),0) &gt; 0 , VLOOKUP("Lithesome", vote4TRAITS!A:C , 3, FALSE), ),
IF(IFERROR(SEARCH("Harrowing",L154),0) &gt; 0 , VLOOKUP("Harrowing", vote4TRAITS!A:C , 3, FALSE), ),
IF(IFERROR(SEARCH("Hideous Laughter",L154),0) &gt; 0 , VLOOKUP("Hideous Laughter", vote4TRAITS!A:C , 3, FALSE), ),
IF(IFERROR(SEARCH("Hive Defense",L154),0) &gt; 0 , VLOOKUP("Hive Defense", vote4TRAITS!A:C , 3, FALSE), ),
IF(IFERROR(SEARCH("Horrifying",L154),0) &gt; 0 , VLOOKUP("Horrifying", vote4TRAITS!A:C , 3, FALSE), ),
IF(IFERROR(SEARCH("Ironskin",L154),0) &gt; 0 , VLOOKUP("Ironskin", vote4TRAITS!A:C , 3, FALSE), ),
IF(IFERROR(SEARCH("Unmovable",L154),0) &gt; 0 , VLOOKUP("Unmovable", vote4TRAITS!A:C , 3, FALSE), ),
IF(IFERROR(SEARCH("Lifethirst 1",L154),0) &gt; 0 , VLOOKUP("Lifethirst 1", vote4TRAITS!A:C , 3, FALSE), ),
IF(IFERROR(SEARCH("Lifethirst 2",L154),0) &gt; 0 , VLOOKUP("Lifethirst 2", vote4TRAITS!A:C , 3, FALSE), ),
IF(IFERROR(SEARCH("Morph",L154),0) &gt; 0 , VLOOKUP("Morph", vote4TRAITS!A:C , 3, FALSE), ),
IF(IFERROR(SEARCH("Night Stalker",L154),0) &gt; 0 , VLOOKUP("Night Stalker", vote4TRAITS!A:C , 3, FALSE), ),
IF(IFERROR(SEARCH("Overflowing",L154),0) &gt; 0 , VLOOKUP("Overflowing", vote4TRAITS!A:C , 3, FALSE), ),
IF(IFERROR(SEARCH("Pestilence",L154),0) &gt; 0 , VLOOKUP("Pestilence", vote4TRAITS!A:C , 3, FALSE), ),
IF(IFERROR(SEARCH("Phalanx",L154),0) &gt; 0 , VLOOKUP("Phalanx", vote4TRAITS!A:C , 3, FALSE), ),
IF(IFERROR(SEARCH("Plagued",L154),0) &gt; 0 , VLOOKUP("Plagued", vote4TRAITS!A:C , 3, FALSE), ),
IF(IFERROR(SEARCH("Prey on the Weak",L154),0) &gt; 0 , VLOOKUP("Prey on the Weak", vote4TRAITS!A:C , 3, FALSE), ),
IF(IFERROR(SEARCH("Protect",L154),0) &gt; 0 , VLOOKUP("Protect", vote4TRAITS!A:C , 3, FALSE), ),
IF(IFERROR(SEARCH("Puncture",L154),0) &gt; 0 , VLOOKUP("Puncture", vote4TRAITS!A:C , 3, FALSE), ),
IF(IFERROR(SEARCH("Putrid Boils",L154),0) &gt; 0 , VLOOKUP("Putrid Boils", vote4TRAITS!A:C , 3, FALSE), ),
IF(IFERROR(SEARCH("Ravage",L154),0) &gt; 0 , VLOOKUP("Ravage", vote4TRAITS!A:C , 3, FALSE), ),
IF(IFERROR(SEARCH("Ravenous",L154),0) &gt; 0 , VLOOKUP("Ravenous", vote4TRAITS!A:C , 3, FALSE), ),
IF(IFERROR(SEARCH("Reach",L154),0) &gt; 0 , VLOOKUP("Reach", vote4TRAITS!A:C , 3, FALSE), ),
IF(IFERROR(SEARCH("Reanimation",L154),0) &gt; 0 , VLOOKUP("Reanimation", vote4TRAITS!A:C , 3, FALSE), ),
IF(IFERROR(SEARCH("Reaper",L154),0) &gt; 0 , VLOOKUP("Reaper", vote4TRAITS!A:C , 3, FALSE), ),
IF(IFERROR(SEARCH("Riposte",L154),0) &gt; 0 , VLOOKUP("Riposte", vote4TRAITS!A:C , 3, FALSE)),
IF(IFERROR(SEARCH("Scamper",L154),0) &gt; 0 , VLOOKUP("Scamper", vote4TRAITS!A:C , 3, FALSE), ),
IF(IFERROR(SEARCH("Small Beginnings",L154),0) &gt; 0 , VLOOKUP("Small Beginnings", vote4TRAITS!A:C , 3, FALSE), ),
IF(IFERROR(SEARCH("Spawner",L154),0) &gt; 0 , VLOOKUP("Spawner", vote4TRAITS!A:C , 3,FALSE), ),
IF(IFERROR(SEARCH("Shadowr",L154),0) &gt; 0 , VLOOKUP("Shadow", vote4TRAITS!A:C , 3,FALSE), ),
IF(IFERROR(SEARCH("Shadow Step",L154),0) &gt; 0 , VLOOKUP("Shadow Step", vote4TRAITS!A:C , 3,FALSE), ),
IF(IFERROR(SEARCH("Shambling",L154),0) &gt; 0 , VLOOKUP("Shambling", vote4TRAITS!A:C , 3,FALSE), ),
IF(IFERROR(SEARCH("Stealthy",L154),0) &gt; 0 , VLOOKUP("Stealthy", vote4TRAITS!A:C , 3, FALSE), ),
IF(IFERROR(SEARCH("Web",L154),0) &gt; 0 , VLOOKUP("Web", vote4TRAITS!A:C , 3, FALSE), ),
IF(IFERROR(SEARCH("+1 Willpower",L154),0) &gt; 0 , VLOOKUP("+1 Willpower", vote4TRAITS!A:C , 3, FALSE), ),
IF(IFERROR(SEARCH("+1 Might",L154),0) &gt; 0 , VLOOKUP("+1 Might", vote4TRAITS!A:C , 3, FALSE), ),
IF(IFERROR(SEARCH("+1 Knowledge",L154),0) &gt; 0 , VLOOKUP("+1 Knowledge", vote4TRAITS!A:C , 3, FALSE), ),
IF(IFERROR(SEARCH("+1 Awareness",L154),0) &gt; 0 , VLOOKUP("+1 Awareness", vote4TRAITS!A:C , 3, FALSE), ),
IF(IFERROR(SEARCH("-1 Willpower",L154),0) &gt; 0 , VLOOKUP("-1 Willpower", vote4TRAITS!A:C , 3, FALSE), ),
IF(IFERROR(SEARCH("+1 Health",L154),0) &gt; 0 , VLOOKUP("+1 Health", vote4TRAITS!A:C , 3, FALSE), ),
IF(IFERROR(SEARCH("+2 Health",L154),0) &gt; 0 , VLOOKUP("+2 Health", vote4TRAITS!A:C , 3, FALSE), ),
IF(IFERROR(SEARCH("+1 Stamina",L154),0) &gt; 0 , VLOOKUP("+1 Stamina", vote4TRAITS!A:C , 3, FALSE), ),
IF(IFERROR(SEARCH("+2 Stamina",L154),0) &gt; 0 , VLOOKUP("+2 Stamina", vote4TRAITS!A:C , 3, FALSE), ),
IFS(
IFERROR(SEARCH("+1 Range", L154),) &gt; 0 ,VLOOKUP("+1 Range", vote4TRAITS!A:C , 3, FALSE),
IFERROR(SEARCH("+2 Range", L154),) &gt; 0 ,VLOOKUP("+2 Range", vote4TRAITS!A:C , 3, FALSE),
IFERROR(SEARCH("+3 Range", L154),) &gt; 0,VLOOKUP("+3 Range", vote4TRAITS!A:C , 3, FALSE),
0=0,0)
,
IFS(
IFERROR(SEARCH("Sorcery 1", L154),) &gt; 0 ,VLOOKUP("Sorcery 1", vote4TRAITS!A:C , 3, FALSE),
IFERROR(SEARCH("Sorcery 2", L154),) &gt; 0 ,VLOOKUP("Sorcery 2", vote4TRAITS!A:C , 3, FALSE),
IFERROR(SEARCH("Sorcery 3", L154),) &gt; 0,VLOOKUP("Sorcery 3", vote4TRAITS!A:C , 3, FALSE),
0=0,0)
,
IFS(
IFERROR(SEARCH("Pierce 1", L154),) &gt; 0 ,VLOOKUP("Pierce 1", vote4TRAITS!A:C , 3, FALSE),
IFERROR(SEARCH("Pierce 2", L154),) &gt; 0 ,VLOOKUP("Pierce 2", vote4TRAITS!A:C , 3, FALSE),
IFERROR(SEARCH("Pierce 3", L154),) &gt; 0,VLOOKUP("Pierce 3", vote4TRAITS!A:C , 3, FALSE),
IFERROR(SEARCH("Pierce 4", L154),) &gt; 0 ,VLOOKUP("Pierce 4", vote4TRAITS!A:C , 3, FALSE),
0=0,0)
,
IFS(
IFERROR(SEARCH("+1 Health", L154),) &gt; 0 ,VLOOKUP("+1 Health", vote4TRAITS!A:C , 3, FALSE),
IFERROR(SEARCH("+2 Health", L154),) &gt; 0 ,VLOOKUP("+2 Health", vote4TRAITS!A:C , 3, FALSE),
IFERROR(SEARCH("+3 Health", L154),) &gt; 0 ,VLOOKUP("+3 Health", vote4TRAITS!A:C , 3, FALSE),
IFERROR(SEARCH("+4 Health", L154),) &gt; 0 ,VLOOKUP("+4 Health", vote4TRAITS!A:C , 3, FALSE),
0=0,0)
,
IFS(
IFERROR(SEARCH("Soul Shackle 1", L154),) &gt; 0 ,VLOOKUP("Soul Shackle 1", vote4TRAITS!A:C , 3, FALSE),
IFERROR(SEARCH("Soul Shackle 2", L154),) &gt; 0 ,VLOOKUP("Soul Shackle 2", vote4TRAITS!A:C , 3, FALSE),
IFERROR(SEARCH("Soul Shackle 3", L154),) &gt; 0,VLOOKUP("Soul Shackle 3", vote4TRAITS!A:C , 3, FALSE),
0=0,0)
)</f>
        <v>0</v>
      </c>
      <c r="N154" s="313"/>
      <c r="O154" s="317" t="str">
        <f>IF(ISBLANK(N154),,IFERROR(
IF(IFERROR(SEARCH("SS:",N154),0) &gt; 0, 
VLOOKUP(SUBSTITUTE(N154,"SS: ",""),vote4SURGE!$A:$C , 3, FALSE) - 2,
VLOOKUP(SUBSTITUTE(N154,"S: ",""),vote4SURGE!$A:$C , 3, FALSE)
)
,
IF(IFERROR(SEARCH("SS:",N154),0) &gt; 0, 
VLOOKUP(C154,vote4SURGE!$A:$C , 3, FALSE) - 2,
VLOOKUP(C154,vote4SURGE!$A:$C , 3, FALSE)
)
))</f>
        <v/>
      </c>
      <c r="P154" s="318"/>
      <c r="Q154" s="317" t="str">
        <f>IF(ISBLANK(P154),,IFERROR(
IF(IFERROR(SEARCH("SS:",P154),0) &gt; 0, 
VLOOKUP(SUBSTITUTE(P154,"SS: ",""),vote4SURGE!$A:$C , 3, FALSE) - 2,
VLOOKUP(SUBSTITUTE(P154,"S: ",""),vote4SURGE!$A:$C , 3, FALSE)
)
,
IF(IFERROR(SEARCH("SS:",P154),0) &gt; 0, 
VLOOKUP(C154,vote4SURGE!$A:$C , 3, FALSE) - 2,
VLOOKUP(C154,vote4SURGE!$A:$C , 3, FALSE)
)
))</f>
        <v/>
      </c>
      <c r="R154" s="318"/>
      <c r="S154" s="319" t="str">
        <f>IF(ISBLANK(R154),,IFERROR(
IF(IFERROR(SEARCH("SS:",R154),0) &gt; 0, 
VLOOKUP(SUBSTITUTE(R154,"SS: ",""),vote4SURGE!$A:$C , 3, FALSE) - 2,
VLOOKUP(SUBSTITUTE(R154,"S: ",""),vote4SURGE!$A:$C , 3, FALSE)
)
,
IF(IFERROR(SEARCH("SS:",R154),0) &gt; 0, 
VLOOKUP(C154,vote4SURGE!$A:$C , 3, FALSE) - 2,
VLOOKUP(C154,vote4SURGE!$A:$C , 3, FALSE)
)
))</f>
        <v/>
      </c>
      <c r="T154" s="320">
        <f t="shared" si="2"/>
        <v>0</v>
      </c>
      <c r="U154" s="320">
        <f>IFERROR(__xludf.DUMMYFUNCTION("ROUND(
IF(ISBLANK(G154),,
SWITCH(
LEN(G154) - LEN(SUBSTITUTE(G154,"","","""")),
0 , VLOOKUP(G154, Variables!$A:$C, 3, FALSE),
1 , VLOOKUP(index(split(G154 ,"", "", FALSE),1,1), Variables!$A:$C , 3, FALSE) + VLOOKUP(index(split(G154 ,"", "", FALSE),1,2), V"&amp;"ariables!$A:$C , 3, FALSE),
2 , VLOOKUP(index(split(G154 ,"", "", FALSE),1,1), Variables!$A:$C , 3, FALSE) + VLOOKUP(index(split(G154 ,"", "", FALSE),1,2), Variables!$A:$C , 3, FALSE) + VLOOKUP(index(split(G154 ,"", "", FALSE),1,3), Variables!$A:$C , 3, F"&amp;"ALSE),
3 , VLOOKUP(index(split(G154 ,"", "", FALSE),1,1), Variables!$A:$C , 3, FALSE) + VLOOKUP(index(split(G154 ,"", "", FALSE),1,2), Variables!$A:$C , 3, FALSE) + VLOOKUP(index(split(G154 ,"", "", FALSE),1,3), Variables!$A:$C , 3, FALSE) + VLOOKUP(index"&amp;"(split(G154 ,"", "", FALSE),1,4), Variables!$A:$C , 3, FALSE),
)
)
)"),0.0)</f>
        <v>0</v>
      </c>
      <c r="V154" s="317">
        <f t="shared" si="3"/>
        <v>0</v>
      </c>
      <c r="W154" s="321">
        <f t="shared" si="4"/>
        <v>3</v>
      </c>
      <c r="X154" s="118"/>
      <c r="Y154" s="118"/>
      <c r="Z154" s="118"/>
      <c r="AA154" s="118"/>
      <c r="AB154" s="118"/>
      <c r="AC154" s="118"/>
      <c r="AD154" s="118"/>
      <c r="AE154" s="118"/>
    </row>
    <row r="155" hidden="1">
      <c r="A155" s="310" t="s">
        <v>1556</v>
      </c>
      <c r="B155" s="93" t="str">
        <f t="shared" si="1"/>
        <v/>
      </c>
      <c r="C155" s="310" t="s">
        <v>818</v>
      </c>
      <c r="D155" s="323">
        <v>0.0</v>
      </c>
      <c r="E155" s="310" t="s">
        <v>1629</v>
      </c>
      <c r="F155" s="310"/>
      <c r="G155" s="313"/>
      <c r="H155" s="312" t="str">
        <f>IFERROR(__xludf.DUMMYFUNCTION(" IF(ISBLANK(G155),,
SWITCH(
LEN(G155) - LEN(SUBSTITUTE(G155,"","","""")),
0 , VLOOKUP(G155, Variables!$A:$B, 2, FALSE),
1 , VLOOKUP(index(split(G155 ,"", "", FALSE),1,1), Variables!$A:$B , 2, FALSE) + VLOOKUP(index(split(G155 ,"", "", FALSE),1,2), Variabl"&amp;"es!$A:$B , 2, FALSE),
2 , VLOOKUP(index(split(G155 ,"", "", FALSE),1,1), Variables!$A:$B , 2, FALSE) + VLOOKUP(index(split(G155 ,"", "", FALSE),1,2), Variables!$A:$B , 2, FALSE) + VLOOKUP(index(split(G155 ,"", "", FALSE),1,3), Variables!$A:$B , 2, FALSE),"&amp;"
3 , VLOOKUP(index(split(G155 ,"", "", FALSE),1,1), Variables!$A:$B , 2, FALSE) + VLOOKUP(index(split(G155 ,"", "", FALSE),1,2), Variables!$A:$B , 2, FALSE) + VLOOKUP(index(split(G155 ,"", "", FALSE),1,3), Variables!$A:$B , 2, FALSE) + VLOOKUP(index(split"&amp;"(G155 ,"", "", FALSE),1,4), Variables!$A:$B , 2, FALSE),
)
)"),"")</f>
        <v/>
      </c>
      <c r="I155" s="310" t="s">
        <v>1641</v>
      </c>
      <c r="J155" s="313" t="s">
        <v>819</v>
      </c>
      <c r="K155" s="314">
        <f>IFERROR(VLOOKUP(C155,vote4ITEMS!$A:$C, 3, FALSE),)</f>
        <v>3</v>
      </c>
      <c r="L155" s="324"/>
      <c r="M155" s="314">
        <f>SUM(
IF(IFERROR(SEARCH("Aura 1",L155),0) &gt; 0 , VLOOKUP("Aura 1", vote4TRAITS!A:C , 3, FALSE), ),
IF(IFERROR(SEARCH("Backswing",L155),0) &gt; 0 , VLOOKUP("Backswing", vote4TRAITS!A:C , 3, FALSE), ),
IF(IFERROR(SEARCH("Blast",L155),0) &gt; 0 , VLOOKUP("Blast", vote4TRAITS!A:C , 3, FALSE), ),
IF(IFERROR(SEARCH("Combustible",L155),0) &gt; 0 , VLOOKUP("Combustible", vote4TRAITS!A:C , 3, FALSE), ),
IF(IFERROR(SEARCH("Command",L155),0) &gt; 0 , VLOOKUP("Command", vote4TRAITS!A:C , 3, FALSE), ),
IF(IFERROR(SEARCH("Cowardly",L155),0) &gt; 0 , VLOOKUP("Cowardly", vote4TRAITS!A:C , 3, FALSE), ),
IF(IFERROR(SEARCH("Death Wish",L155),0) &gt; 0 , VLOOKUP("Death Wish", vote4TRAITS!A:C , 3, FALSE), ),
IF(IFERROR(SEARCH("Entomb",L155),0) &gt; 0 , VLOOKUP("Entomb", vote4TRAITS!A:C , 3, FALSE), ),
IF(IFERROR(SEARCH("Ethereal Hold",L155),0) &gt; 0 , VLOOKUP("Ethereal Hold", vote4TRAITS!A:C , 3, FALSE), ),
IF(IFERROR(SEARCH("Extend",L155),0) &gt; 0 , VLOOKUP("Extend", vote4TRAITS!A:C , 3, FALSE), ),
IF(IFERROR(SEARCH("Filthy Murk",L155),0) &gt; 0 , VLOOKUP("Filthy Murk", vote4TRAITS!A:C , 3, FALSE), ),
IF(IFERROR(SEARCH("Flame Fiend",L155),0) &gt; 0 , VLOOKUP("Flame Fiend", vote4TRAITS!A:C , 3, FALSE), ),
IF(IFERROR(SEARCH("Fleshmonger",L155),0) &gt; 0 , VLOOKUP("Fleshmonger", vote4TRAITS!A:C , 3, FALSE), ),
IF(IFERROR(SEARCH("Fly",L155),0) &gt; 0 , VLOOKUP("Fly", vote4TRAITS!A:C , 3, FALSE), ),
IF(IFERROR(SEARCH("Freezing",L155),0) &gt; 0 , VLOOKUP("Freezing", vote4TRAITS!A:C , 3, FALSE), ),
IF(IFERROR(SEARCH("Lithesome",L155),0) &gt; 0 , VLOOKUP("Lithesome", vote4TRAITS!A:C , 3, FALSE), ),
IF(IFERROR(SEARCH("Harrowing",L155),0) &gt; 0 , VLOOKUP("Harrowing", vote4TRAITS!A:C , 3, FALSE), ),
IF(IFERROR(SEARCH("Hideous Laughter",L155),0) &gt; 0 , VLOOKUP("Hideous Laughter", vote4TRAITS!A:C , 3, FALSE), ),
IF(IFERROR(SEARCH("Hive Defense",L155),0) &gt; 0 , VLOOKUP("Hive Defense", vote4TRAITS!A:C , 3, FALSE), ),
IF(IFERROR(SEARCH("Horrifying",L155),0) &gt; 0 , VLOOKUP("Horrifying", vote4TRAITS!A:C , 3, FALSE), ),
IF(IFERROR(SEARCH("Ironskin",L155),0) &gt; 0 , VLOOKUP("Ironskin", vote4TRAITS!A:C , 3, FALSE), ),
IF(IFERROR(SEARCH("Unmovable",L155),0) &gt; 0 , VLOOKUP("Unmovable", vote4TRAITS!A:C , 3, FALSE), ),
IF(IFERROR(SEARCH("Lifethirst 1",L155),0) &gt; 0 , VLOOKUP("Lifethirst 1", vote4TRAITS!A:C , 3, FALSE), ),
IF(IFERROR(SEARCH("Lifethirst 2",L155),0) &gt; 0 , VLOOKUP("Lifethirst 2", vote4TRAITS!A:C , 3, FALSE), ),
IF(IFERROR(SEARCH("Morph",L155),0) &gt; 0 , VLOOKUP("Morph", vote4TRAITS!A:C , 3, FALSE), ),
IF(IFERROR(SEARCH("Night Stalker",L155),0) &gt; 0 , VLOOKUP("Night Stalker", vote4TRAITS!A:C , 3, FALSE), ),
IF(IFERROR(SEARCH("Overflowing",L155),0) &gt; 0 , VLOOKUP("Overflowing", vote4TRAITS!A:C , 3, FALSE), ),
IF(IFERROR(SEARCH("Pestilence",L155),0) &gt; 0 , VLOOKUP("Pestilence", vote4TRAITS!A:C , 3, FALSE), ),
IF(IFERROR(SEARCH("Phalanx",L155),0) &gt; 0 , VLOOKUP("Phalanx", vote4TRAITS!A:C , 3, FALSE), ),
IF(IFERROR(SEARCH("Plagued",L155),0) &gt; 0 , VLOOKUP("Plagued", vote4TRAITS!A:C , 3, FALSE), ),
IF(IFERROR(SEARCH("Prey on the Weak",L155),0) &gt; 0 , VLOOKUP("Prey on the Weak", vote4TRAITS!A:C , 3, FALSE), ),
IF(IFERROR(SEARCH("Protect",L155),0) &gt; 0 , VLOOKUP("Protect", vote4TRAITS!A:C , 3, FALSE), ),
IF(IFERROR(SEARCH("Puncture",L155),0) &gt; 0 , VLOOKUP("Puncture", vote4TRAITS!A:C , 3, FALSE), ),
IF(IFERROR(SEARCH("Putrid Boils",L155),0) &gt; 0 , VLOOKUP("Putrid Boils", vote4TRAITS!A:C , 3, FALSE), ),
IF(IFERROR(SEARCH("Ravage",L155),0) &gt; 0 , VLOOKUP("Ravage", vote4TRAITS!A:C , 3, FALSE), ),
IF(IFERROR(SEARCH("Ravenous",L155),0) &gt; 0 , VLOOKUP("Ravenous", vote4TRAITS!A:C , 3, FALSE), ),
IF(IFERROR(SEARCH("Reach",L155),0) &gt; 0 , VLOOKUP("Reach", vote4TRAITS!A:C , 3, FALSE), ),
IF(IFERROR(SEARCH("Reanimation",L155),0) &gt; 0 , VLOOKUP("Reanimation", vote4TRAITS!A:C , 3, FALSE), ),
IF(IFERROR(SEARCH("Reaper",L155),0) &gt; 0 , VLOOKUP("Reaper", vote4TRAITS!A:C , 3, FALSE), ),
IF(IFERROR(SEARCH("Riposte",L155),0) &gt; 0 , VLOOKUP("Riposte", vote4TRAITS!A:C , 3, FALSE)),
IF(IFERROR(SEARCH("Scamper",L155),0) &gt; 0 , VLOOKUP("Scamper", vote4TRAITS!A:C , 3, FALSE), ),
IF(IFERROR(SEARCH("Small Beginnings",L155),0) &gt; 0 , VLOOKUP("Small Beginnings", vote4TRAITS!A:C , 3, FALSE), ),
IF(IFERROR(SEARCH("Spawner",L155),0) &gt; 0 , VLOOKUP("Spawner", vote4TRAITS!A:C , 3,FALSE), ),
IF(IFERROR(SEARCH("Shadowr",L155),0) &gt; 0 , VLOOKUP("Shadow", vote4TRAITS!A:C , 3,FALSE), ),
IF(IFERROR(SEARCH("Shadow Step",L155),0) &gt; 0 , VLOOKUP("Shadow Step", vote4TRAITS!A:C , 3,FALSE), ),
IF(IFERROR(SEARCH("Shambling",L155),0) &gt; 0 , VLOOKUP("Shambling", vote4TRAITS!A:C , 3,FALSE), ),
IF(IFERROR(SEARCH("Stealthy",L155),0) &gt; 0 , VLOOKUP("Stealthy", vote4TRAITS!A:C , 3, FALSE), ),
IF(IFERROR(SEARCH("Web",L155),0) &gt; 0 , VLOOKUP("Web", vote4TRAITS!A:C , 3, FALSE), ),
IF(IFERROR(SEARCH("+1 Willpower",L155),0) &gt; 0 , VLOOKUP("+1 Willpower", vote4TRAITS!A:C , 3, FALSE), ),
IF(IFERROR(SEARCH("+1 Might",L155),0) &gt; 0 , VLOOKUP("+1 Might", vote4TRAITS!A:C , 3, FALSE), ),
IF(IFERROR(SEARCH("+1 Knowledge",L155),0) &gt; 0 , VLOOKUP("+1 Knowledge", vote4TRAITS!A:C , 3, FALSE), ),
IF(IFERROR(SEARCH("+1 Awareness",L155),0) &gt; 0 , VLOOKUP("+1 Awareness", vote4TRAITS!A:C , 3, FALSE), ),
IF(IFERROR(SEARCH("-1 Willpower",L155),0) &gt; 0 , VLOOKUP("-1 Willpower", vote4TRAITS!A:C , 3, FALSE), ),
IF(IFERROR(SEARCH("+1 Health",L155),0) &gt; 0 , VLOOKUP("+1 Health", vote4TRAITS!A:C , 3, FALSE), ),
IF(IFERROR(SEARCH("+2 Health",L155),0) &gt; 0 , VLOOKUP("+2 Health", vote4TRAITS!A:C , 3, FALSE), ),
IF(IFERROR(SEARCH("+1 Stamina",L155),0) &gt; 0 , VLOOKUP("+1 Stamina", vote4TRAITS!A:C , 3, FALSE), ),
IF(IFERROR(SEARCH("+2 Stamina",L155),0) &gt; 0 , VLOOKUP("+2 Stamina", vote4TRAITS!A:C , 3, FALSE), ),
IFS(
IFERROR(SEARCH("+1 Range", L155),) &gt; 0 ,VLOOKUP("+1 Range", vote4TRAITS!A:C , 3, FALSE),
IFERROR(SEARCH("+2 Range", L155),) &gt; 0 ,VLOOKUP("+2 Range", vote4TRAITS!A:C , 3, FALSE),
IFERROR(SEARCH("+3 Range", L155),) &gt; 0,VLOOKUP("+3 Range", vote4TRAITS!A:C , 3, FALSE),
0=0,0)
,
IFS(
IFERROR(SEARCH("Sorcery 1", L155),) &gt; 0 ,VLOOKUP("Sorcery 1", vote4TRAITS!A:C , 3, FALSE),
IFERROR(SEARCH("Sorcery 2", L155),) &gt; 0 ,VLOOKUP("Sorcery 2", vote4TRAITS!A:C , 3, FALSE),
IFERROR(SEARCH("Sorcery 3", L155),) &gt; 0,VLOOKUP("Sorcery 3", vote4TRAITS!A:C , 3, FALSE),
0=0,0)
,
IFS(
IFERROR(SEARCH("Pierce 1", L155),) &gt; 0 ,VLOOKUP("Pierce 1", vote4TRAITS!A:C , 3, FALSE),
IFERROR(SEARCH("Pierce 2", L155),) &gt; 0 ,VLOOKUP("Pierce 2", vote4TRAITS!A:C , 3, FALSE),
IFERROR(SEARCH("Pierce 3", L155),) &gt; 0,VLOOKUP("Pierce 3", vote4TRAITS!A:C , 3, FALSE),
IFERROR(SEARCH("Pierce 4", L155),) &gt; 0 ,VLOOKUP("Pierce 4", vote4TRAITS!A:C , 3, FALSE),
0=0,0)
,
IFS(
IFERROR(SEARCH("+1 Health", L155),) &gt; 0 ,VLOOKUP("+1 Health", vote4TRAITS!A:C , 3, FALSE),
IFERROR(SEARCH("+2 Health", L155),) &gt; 0 ,VLOOKUP("+2 Health", vote4TRAITS!A:C , 3, FALSE),
IFERROR(SEARCH("+3 Health", L155),) &gt; 0 ,VLOOKUP("+3 Health", vote4TRAITS!A:C , 3, FALSE),
IFERROR(SEARCH("+4 Health", L155),) &gt; 0 ,VLOOKUP("+4 Health", vote4TRAITS!A:C , 3, FALSE),
0=0,0)
,
IFS(
IFERROR(SEARCH("Soul Shackle 1", L155),) &gt; 0 ,VLOOKUP("Soul Shackle 1", vote4TRAITS!A:C , 3, FALSE),
IFERROR(SEARCH("Soul Shackle 2", L155),) &gt; 0 ,VLOOKUP("Soul Shackle 2", vote4TRAITS!A:C , 3, FALSE),
IFERROR(SEARCH("Soul Shackle 3", L155),) &gt; 0,VLOOKUP("Soul Shackle 3", vote4TRAITS!A:C , 3, FALSE),
0=0,0)
)</f>
        <v>0</v>
      </c>
      <c r="N155" s="330"/>
      <c r="O155" s="317" t="str">
        <f>IF(ISBLANK(N155),,IFERROR(
IF(IFERROR(SEARCH("SS:",N155),0) &gt; 0, 
VLOOKUP(SUBSTITUTE(N155,"SS: ",""),vote4SURGE!$A:$C , 3, FALSE) - 2,
VLOOKUP(SUBSTITUTE(N155,"S: ",""),vote4SURGE!$A:$C , 3, FALSE)
)
,
IF(IFERROR(SEARCH("SS:",N155),0) &gt; 0, 
VLOOKUP(C155,vote4SURGE!$A:$C , 3, FALSE) - 2,
VLOOKUP(C155,vote4SURGE!$A:$C , 3, FALSE)
)
))</f>
        <v/>
      </c>
      <c r="P155" s="318"/>
      <c r="Q155" s="317" t="str">
        <f>IF(ISBLANK(P155),,IFERROR(
IF(IFERROR(SEARCH("SS:",P155),0) &gt; 0, 
VLOOKUP(SUBSTITUTE(P155,"SS: ",""),vote4SURGE!$A:$C , 3, FALSE) - 2,
VLOOKUP(SUBSTITUTE(P155,"S: ",""),vote4SURGE!$A:$C , 3, FALSE)
)
,
IF(IFERROR(SEARCH("SS:",P155),0) &gt; 0, 
VLOOKUP(C155,vote4SURGE!$A:$C , 3, FALSE) - 2,
VLOOKUP(C155,vote4SURGE!$A:$C , 3, FALSE)
)
))</f>
        <v/>
      </c>
      <c r="R155" s="318"/>
      <c r="S155" s="319" t="str">
        <f>IF(ISBLANK(R155),,IFERROR(
IF(IFERROR(SEARCH("SS:",R155),0) &gt; 0, 
VLOOKUP(SUBSTITUTE(R155,"SS: ",""),vote4SURGE!$A:$C , 3, FALSE) - 2,
VLOOKUP(SUBSTITUTE(R155,"S: ",""),vote4SURGE!$A:$C , 3, FALSE)
)
,
IF(IFERROR(SEARCH("SS:",R155),0) &gt; 0, 
VLOOKUP(C155,vote4SURGE!$A:$C , 3, FALSE) - 2,
VLOOKUP(C155,vote4SURGE!$A:$C , 3, FALSE)
)
))</f>
        <v/>
      </c>
      <c r="T155" s="320">
        <f t="shared" si="2"/>
        <v>0</v>
      </c>
      <c r="U155" s="320">
        <f>IFERROR(__xludf.DUMMYFUNCTION("ROUND(
IF(ISBLANK(G155),,
SWITCH(
LEN(G155) - LEN(SUBSTITUTE(G155,"","","""")),
0 , VLOOKUP(G155, Variables!$A:$C, 3, FALSE),
1 , VLOOKUP(index(split(G155 ,"", "", FALSE),1,1), Variables!$A:$C , 3, FALSE) + VLOOKUP(index(split(G155 ,"", "", FALSE),1,2), V"&amp;"ariables!$A:$C , 3, FALSE),
2 , VLOOKUP(index(split(G155 ,"", "", FALSE),1,1), Variables!$A:$C , 3, FALSE) + VLOOKUP(index(split(G155 ,"", "", FALSE),1,2), Variables!$A:$C , 3, FALSE) + VLOOKUP(index(split(G155 ,"", "", FALSE),1,3), Variables!$A:$C , 3, F"&amp;"ALSE),
3 , VLOOKUP(index(split(G155 ,"", "", FALSE),1,1), Variables!$A:$C , 3, FALSE) + VLOOKUP(index(split(G155 ,"", "", FALSE),1,2), Variables!$A:$C , 3, FALSE) + VLOOKUP(index(split(G155 ,"", "", FALSE),1,3), Variables!$A:$C , 3, FALSE) + VLOOKUP(index"&amp;"(split(G155 ,"", "", FALSE),1,4), Variables!$A:$C , 3, FALSE),
)
)
)"),0.0)</f>
        <v>0</v>
      </c>
      <c r="V155" s="317">
        <f t="shared" si="3"/>
        <v>0</v>
      </c>
      <c r="W155" s="321">
        <f t="shared" si="4"/>
        <v>3</v>
      </c>
      <c r="X155" s="118"/>
      <c r="Y155" s="118"/>
      <c r="Z155" s="118"/>
      <c r="AA155" s="118"/>
      <c r="AB155" s="118"/>
      <c r="AC155" s="118"/>
      <c r="AD155" s="118"/>
      <c r="AE155" s="118"/>
    </row>
    <row r="156" hidden="1">
      <c r="A156" s="310">
        <v>1.0</v>
      </c>
      <c r="B156" s="93">
        <f t="shared" si="1"/>
        <v>1</v>
      </c>
      <c r="C156" s="310" t="s">
        <v>1458</v>
      </c>
      <c r="D156" s="310">
        <v>75.0</v>
      </c>
      <c r="E156" s="310" t="s">
        <v>1620</v>
      </c>
      <c r="F156" s="310"/>
      <c r="G156" s="313" t="s">
        <v>1621</v>
      </c>
      <c r="H156" s="312">
        <f>IFERROR(__xludf.DUMMYFUNCTION(" IF(ISBLANK(G156),,
SWITCH(
LEN(G156) - LEN(SUBSTITUTE(G156,"","","""")),
0 , VLOOKUP(G156, Variables!$A:$B, 2, FALSE),
1 , VLOOKUP(index(split(G156 ,"", "", FALSE),1,1), Variables!$A:$B , 2, FALSE) + VLOOKUP(index(split(G156 ,"", "", FALSE),1,2), Variabl"&amp;"es!$A:$B , 2, FALSE),
2 , VLOOKUP(index(split(G156 ,"", "", FALSE),1,1), Variables!$A:$B , 2, FALSE) + VLOOKUP(index(split(G156 ,"", "", FALSE),1,2), Variables!$A:$B , 2, FALSE) + VLOOKUP(index(split(G156 ,"", "", FALSE),1,3), Variables!$A:$B , 2, FALSE),"&amp;"
3 , VLOOKUP(index(split(G156 ,"", "", FALSE),1,1), Variables!$A:$B , 2, FALSE) + VLOOKUP(index(split(G156 ,"", "", FALSE),1,2), Variables!$A:$B , 2, FALSE) + VLOOKUP(index(split(G156 ,"", "", FALSE),1,3), Variables!$A:$B , 2, FALSE) + VLOOKUP(index(split"&amp;"(G156 ,"", "", FALSE),1,4), Variables!$A:$B , 2, FALSE),
)
)"),0.6666666666666666)</f>
        <v>0.6666666667</v>
      </c>
      <c r="I156" s="310" t="s">
        <v>1656</v>
      </c>
      <c r="J156" s="313"/>
      <c r="K156" s="314" t="str">
        <f>IFERROR(VLOOKUP(C156,vote4ITEMS!$A:$C, 3, FALSE),)</f>
        <v/>
      </c>
      <c r="L156" s="311" t="s">
        <v>1623</v>
      </c>
      <c r="M156" s="314">
        <f>SUM(
IF(IFERROR(SEARCH("Aura 1",L156),0) &gt; 0 , VLOOKUP("Aura 1", vote4TRAITS!A:C , 3, FALSE), ),
IF(IFERROR(SEARCH("Backswing",L156),0) &gt; 0 , VLOOKUP("Backswing", vote4TRAITS!A:C , 3, FALSE), ),
IF(IFERROR(SEARCH("Blast",L156),0) &gt; 0 , VLOOKUP("Blast", vote4TRAITS!A:C , 3, FALSE), ),
IF(IFERROR(SEARCH("Combustible",L156),0) &gt; 0 , VLOOKUP("Combustible", vote4TRAITS!A:C , 3, FALSE), ),
IF(IFERROR(SEARCH("Command",L156),0) &gt; 0 , VLOOKUP("Command", vote4TRAITS!A:C , 3, FALSE), ),
IF(IFERROR(SEARCH("Cowardly",L156),0) &gt; 0 , VLOOKUP("Cowardly", vote4TRAITS!A:C , 3, FALSE), ),
IF(IFERROR(SEARCH("Death Wish",L156),0) &gt; 0 , VLOOKUP("Death Wish", vote4TRAITS!A:C , 3, FALSE), ),
IF(IFERROR(SEARCH("Entomb",L156),0) &gt; 0 , VLOOKUP("Entomb", vote4TRAITS!A:C , 3, FALSE), ),
IF(IFERROR(SEARCH("Ethereal Hold",L156),0) &gt; 0 , VLOOKUP("Ethereal Hold", vote4TRAITS!A:C , 3, FALSE), ),
IF(IFERROR(SEARCH("Extend",L156),0) &gt; 0 , VLOOKUP("Extend", vote4TRAITS!A:C , 3, FALSE), ),
IF(IFERROR(SEARCH("Filthy Murk",L156),0) &gt; 0 , VLOOKUP("Filthy Murk", vote4TRAITS!A:C , 3, FALSE), ),
IF(IFERROR(SEARCH("Flame Fiend",L156),0) &gt; 0 , VLOOKUP("Flame Fiend", vote4TRAITS!A:C , 3, FALSE), ),
IF(IFERROR(SEARCH("Fleshmonger",L156),0) &gt; 0 , VLOOKUP("Fleshmonger", vote4TRAITS!A:C , 3, FALSE), ),
IF(IFERROR(SEARCH("Fly",L156),0) &gt; 0 , VLOOKUP("Fly", vote4TRAITS!A:C , 3, FALSE), ),
IF(IFERROR(SEARCH("Freezing",L156),0) &gt; 0 , VLOOKUP("Freezing", vote4TRAITS!A:C , 3, FALSE), ),
IF(IFERROR(SEARCH("Lithesome",L156),0) &gt; 0 , VLOOKUP("Lithesome", vote4TRAITS!A:C , 3, FALSE), ),
IF(IFERROR(SEARCH("Harrowing",L156),0) &gt; 0 , VLOOKUP("Harrowing", vote4TRAITS!A:C , 3, FALSE), ),
IF(IFERROR(SEARCH("Hideous Laughter",L156),0) &gt; 0 , VLOOKUP("Hideous Laughter", vote4TRAITS!A:C , 3, FALSE), ),
IF(IFERROR(SEARCH("Hive Defense",L156),0) &gt; 0 , VLOOKUP("Hive Defense", vote4TRAITS!A:C , 3, FALSE), ),
IF(IFERROR(SEARCH("Horrifying",L156),0) &gt; 0 , VLOOKUP("Horrifying", vote4TRAITS!A:C , 3, FALSE), ),
IF(IFERROR(SEARCH("Ironskin",L156),0) &gt; 0 , VLOOKUP("Ironskin", vote4TRAITS!A:C , 3, FALSE), ),
IF(IFERROR(SEARCH("Unmovable",L156),0) &gt; 0 , VLOOKUP("Unmovable", vote4TRAITS!A:C , 3, FALSE), ),
IF(IFERROR(SEARCH("Lifethirst 1",L156),0) &gt; 0 , VLOOKUP("Lifethirst 1", vote4TRAITS!A:C , 3, FALSE), ),
IF(IFERROR(SEARCH("Lifethirst 2",L156),0) &gt; 0 , VLOOKUP("Lifethirst 2", vote4TRAITS!A:C , 3, FALSE), ),
IF(IFERROR(SEARCH("Morph",L156),0) &gt; 0 , VLOOKUP("Morph", vote4TRAITS!A:C , 3, FALSE), ),
IF(IFERROR(SEARCH("Night Stalker",L156),0) &gt; 0 , VLOOKUP("Night Stalker", vote4TRAITS!A:C , 3, FALSE), ),
IF(IFERROR(SEARCH("Overflowing",L156),0) &gt; 0 , VLOOKUP("Overflowing", vote4TRAITS!A:C , 3, FALSE), ),
IF(IFERROR(SEARCH("Pestilence",L156),0) &gt; 0 , VLOOKUP("Pestilence", vote4TRAITS!A:C , 3, FALSE), ),
IF(IFERROR(SEARCH("Phalanx",L156),0) &gt; 0 , VLOOKUP("Phalanx", vote4TRAITS!A:C , 3, FALSE), ),
IF(IFERROR(SEARCH("Plagued",L156),0) &gt; 0 , VLOOKUP("Plagued", vote4TRAITS!A:C , 3, FALSE), ),
IF(IFERROR(SEARCH("Prey on the Weak",L156),0) &gt; 0 , VLOOKUP("Prey on the Weak", vote4TRAITS!A:C , 3, FALSE), ),
IF(IFERROR(SEARCH("Protect",L156),0) &gt; 0 , VLOOKUP("Protect", vote4TRAITS!A:C , 3, FALSE), ),
IF(IFERROR(SEARCH("Puncture",L156),0) &gt; 0 , VLOOKUP("Puncture", vote4TRAITS!A:C , 3, FALSE), ),
IF(IFERROR(SEARCH("Putrid Boils",L156),0) &gt; 0 , VLOOKUP("Putrid Boils", vote4TRAITS!A:C , 3, FALSE), ),
IF(IFERROR(SEARCH("Ravage",L156),0) &gt; 0 , VLOOKUP("Ravage", vote4TRAITS!A:C , 3, FALSE), ),
IF(IFERROR(SEARCH("Ravenous",L156),0) &gt; 0 , VLOOKUP("Ravenous", vote4TRAITS!A:C , 3, FALSE), ),
IF(IFERROR(SEARCH("Reach",L156),0) &gt; 0 , VLOOKUP("Reach", vote4TRAITS!A:C , 3, FALSE), ),
IF(IFERROR(SEARCH("Reanimation",L156),0) &gt; 0 , VLOOKUP("Reanimation", vote4TRAITS!A:C , 3, FALSE), ),
IF(IFERROR(SEARCH("Reaper",L156),0) &gt; 0 , VLOOKUP("Reaper", vote4TRAITS!A:C , 3, FALSE), ),
IF(IFERROR(SEARCH("Riposte",L156),0) &gt; 0 , VLOOKUP("Riposte", vote4TRAITS!A:C , 3, FALSE)),
IF(IFERROR(SEARCH("Scamper",L156),0) &gt; 0 , VLOOKUP("Scamper", vote4TRAITS!A:C , 3, FALSE), ),
IF(IFERROR(SEARCH("Small Beginnings",L156),0) &gt; 0 , VLOOKUP("Small Beginnings", vote4TRAITS!A:C , 3, FALSE), ),
IF(IFERROR(SEARCH("Spawner",L156),0) &gt; 0 , VLOOKUP("Spawner", vote4TRAITS!A:C , 3,FALSE), ),
IF(IFERROR(SEARCH("Shadowr",L156),0) &gt; 0 , VLOOKUP("Shadow", vote4TRAITS!A:C , 3,FALSE), ),
IF(IFERROR(SEARCH("Shadow Step",L156),0) &gt; 0 , VLOOKUP("Shadow Step", vote4TRAITS!A:C , 3,FALSE), ),
IF(IFERROR(SEARCH("Shambling",L156),0) &gt; 0 , VLOOKUP("Shambling", vote4TRAITS!A:C , 3,FALSE), ),
IF(IFERROR(SEARCH("Stealthy",L156),0) &gt; 0 , VLOOKUP("Stealthy", vote4TRAITS!A:C , 3, FALSE), ),
IF(IFERROR(SEARCH("Web",L156),0) &gt; 0 , VLOOKUP("Web", vote4TRAITS!A:C , 3, FALSE), ),
IF(IFERROR(SEARCH("+1 Willpower",L156),0) &gt; 0 , VLOOKUP("+1 Willpower", vote4TRAITS!A:C , 3, FALSE), ),
IF(IFERROR(SEARCH("+1 Might",L156),0) &gt; 0 , VLOOKUP("+1 Might", vote4TRAITS!A:C , 3, FALSE), ),
IF(IFERROR(SEARCH("+1 Knowledge",L156),0) &gt; 0 , VLOOKUP("+1 Knowledge", vote4TRAITS!A:C , 3, FALSE), ),
IF(IFERROR(SEARCH("+1 Awareness",L156),0) &gt; 0 , VLOOKUP("+1 Awareness", vote4TRAITS!A:C , 3, FALSE), ),
IF(IFERROR(SEARCH("-1 Willpower",L156),0) &gt; 0 , VLOOKUP("-1 Willpower", vote4TRAITS!A:C , 3, FALSE), ),
IF(IFERROR(SEARCH("+1 Health",L156),0) &gt; 0 , VLOOKUP("+1 Health", vote4TRAITS!A:C , 3, FALSE), ),
IF(IFERROR(SEARCH("+2 Health",L156),0) &gt; 0 , VLOOKUP("+2 Health", vote4TRAITS!A:C , 3, FALSE), ),
IF(IFERROR(SEARCH("+1 Stamina",L156),0) &gt; 0 , VLOOKUP("+1 Stamina", vote4TRAITS!A:C , 3, FALSE), ),
IF(IFERROR(SEARCH("+2 Stamina",L156),0) &gt; 0 , VLOOKUP("+2 Stamina", vote4TRAITS!A:C , 3, FALSE), ),
IFS(
IFERROR(SEARCH("+1 Range", L156),) &gt; 0 ,VLOOKUP("+1 Range", vote4TRAITS!A:C , 3, FALSE),
IFERROR(SEARCH("+2 Range", L156),) &gt; 0 ,VLOOKUP("+2 Range", vote4TRAITS!A:C , 3, FALSE),
IFERROR(SEARCH("+3 Range", L156),) &gt; 0,VLOOKUP("+3 Range", vote4TRAITS!A:C , 3, FALSE),
0=0,0)
,
IFS(
IFERROR(SEARCH("Sorcery 1", L156),) &gt; 0 ,VLOOKUP("Sorcery 1", vote4TRAITS!A:C , 3, FALSE),
IFERROR(SEARCH("Sorcery 2", L156),) &gt; 0 ,VLOOKUP("Sorcery 2", vote4TRAITS!A:C , 3, FALSE),
IFERROR(SEARCH("Sorcery 3", L156),) &gt; 0,VLOOKUP("Sorcery 3", vote4TRAITS!A:C , 3, FALSE),
0=0,0)
,
IFS(
IFERROR(SEARCH("Pierce 1", L156),) &gt; 0 ,VLOOKUP("Pierce 1", vote4TRAITS!A:C , 3, FALSE),
IFERROR(SEARCH("Pierce 2", L156),) &gt; 0 ,VLOOKUP("Pierce 2", vote4TRAITS!A:C , 3, FALSE),
IFERROR(SEARCH("Pierce 3", L156),) &gt; 0,VLOOKUP("Pierce 3", vote4TRAITS!A:C , 3, FALSE),
IFERROR(SEARCH("Pierce 4", L156),) &gt; 0 ,VLOOKUP("Pierce 4", vote4TRAITS!A:C , 3, FALSE),
0=0,0)
,
IFS(
IFERROR(SEARCH("+1 Health", L156),) &gt; 0 ,VLOOKUP("+1 Health", vote4TRAITS!A:C , 3, FALSE),
IFERROR(SEARCH("+2 Health", L156),) &gt; 0 ,VLOOKUP("+2 Health", vote4TRAITS!A:C , 3, FALSE),
IFERROR(SEARCH("+3 Health", L156),) &gt; 0 ,VLOOKUP("+3 Health", vote4TRAITS!A:C , 3, FALSE),
IFERROR(SEARCH("+4 Health", L156),) &gt; 0 ,VLOOKUP("+4 Health", vote4TRAITS!A:C , 3, FALSE),
0=0,0)
,
IFS(
IFERROR(SEARCH("Soul Shackle 1", L156),) &gt; 0 ,VLOOKUP("Soul Shackle 1", vote4TRAITS!A:C , 3, FALSE),
IFERROR(SEARCH("Soul Shackle 2", L156),) &gt; 0 ,VLOOKUP("Soul Shackle 2", vote4TRAITS!A:C , 3, FALSE),
IFERROR(SEARCH("Soul Shackle 3", L156),) &gt; 0,VLOOKUP("Soul Shackle 3", vote4TRAITS!A:C , 3, FALSE),
0=0,0)
)</f>
        <v>2</v>
      </c>
      <c r="N156" s="313"/>
      <c r="O156" s="317" t="str">
        <f>IF(ISBLANK(N156),,IFERROR(
IF(IFERROR(SEARCH("SS:",N156),0) &gt; 0, 
VLOOKUP(SUBSTITUTE(N156,"SS: ",""),vote4SURGE!$A:$C , 3, FALSE) - 2,
VLOOKUP(SUBSTITUTE(N156,"S: ",""),vote4SURGE!$A:$C , 3, FALSE)
)
,
IF(IFERROR(SEARCH("SS:",N156),0) &gt; 0, 
VLOOKUP(C156,vote4SURGE!$A:$C , 3, FALSE) - 2,
VLOOKUP(C156,vote4SURGE!$A:$C , 3, FALSE)
)
))</f>
        <v/>
      </c>
      <c r="P156" s="318"/>
      <c r="Q156" s="317" t="str">
        <f>IF(ISBLANK(P156),,IFERROR(
IF(IFERROR(SEARCH("SS:",P156),0) &gt; 0, 
VLOOKUP(SUBSTITUTE(P156,"SS: ",""),vote4SURGE!$A:$C , 3, FALSE) - 2,
VLOOKUP(SUBSTITUTE(P156,"S: ",""),vote4SURGE!$A:$C , 3, FALSE)
)
,
IF(IFERROR(SEARCH("SS:",P156),0) &gt; 0, 
VLOOKUP(C156,vote4SURGE!$A:$C , 3, FALSE) - 2,
VLOOKUP(C156,vote4SURGE!$A:$C , 3, FALSE)
)
))</f>
        <v/>
      </c>
      <c r="R156" s="318"/>
      <c r="S156" s="319" t="str">
        <f>IF(ISBLANK(R156),,IFERROR(
IF(IFERROR(SEARCH("SS:",R156),0) &gt; 0, 
VLOOKUP(SUBSTITUTE(R156,"SS: ",""),vote4SURGE!$A:$C , 3, FALSE) - 2,
VLOOKUP(SUBSTITUTE(R156,"S: ",""),vote4SURGE!$A:$C , 3, FALSE)
)
,
IF(IFERROR(SEARCH("SS:",R156),0) &gt; 0, 
VLOOKUP(C156,vote4SURGE!$A:$C , 3, FALSE) - 2,
VLOOKUP(C156,vote4SURGE!$A:$C , 3, FALSE)
)
))</f>
        <v/>
      </c>
      <c r="T156" s="320">
        <f t="shared" si="2"/>
        <v>0</v>
      </c>
      <c r="U156" s="320">
        <f>IFERROR(__xludf.DUMMYFUNCTION("ROUND(
IF(ISBLANK(G156),,
SWITCH(
LEN(G156) - LEN(SUBSTITUTE(G156,"","","""")),
0 , VLOOKUP(G156, Variables!$A:$C, 3, FALSE),
1 , VLOOKUP(index(split(G156 ,"", "", FALSE),1,1), Variables!$A:$C , 3, FALSE) + VLOOKUP(index(split(G156 ,"", "", FALSE),1,2), V"&amp;"ariables!$A:$C , 3, FALSE),
2 , VLOOKUP(index(split(G156 ,"", "", FALSE),1,1), Variables!$A:$C , 3, FALSE) + VLOOKUP(index(split(G156 ,"", "", FALSE),1,2), Variables!$A:$C , 3, FALSE) + VLOOKUP(index(split(G156 ,"", "", FALSE),1,3), Variables!$A:$C , 3, F"&amp;"ALSE),
3 , VLOOKUP(index(split(G156 ,"", "", FALSE),1,1), Variables!$A:$C , 3, FALSE) + VLOOKUP(index(split(G156 ,"", "", FALSE),1,2), Variables!$A:$C , 3, FALSE) + VLOOKUP(index(split(G156 ,"", "", FALSE),1,3), Variables!$A:$C , 3, FALSE) + VLOOKUP(index"&amp;"(split(G156 ,"", "", FALSE),1,4), Variables!$A:$C , 3, FALSE),
)
)
)"),0.0)</f>
        <v>0</v>
      </c>
      <c r="V156" s="317">
        <f t="shared" si="3"/>
        <v>0</v>
      </c>
      <c r="W156" s="321">
        <f t="shared" si="4"/>
        <v>2.666666667</v>
      </c>
      <c r="X156" s="118"/>
      <c r="Y156" s="118"/>
      <c r="Z156" s="118"/>
      <c r="AA156" s="118"/>
      <c r="AB156" s="118"/>
      <c r="AC156" s="118"/>
      <c r="AD156" s="118"/>
      <c r="AE156" s="118"/>
    </row>
    <row r="157" hidden="1">
      <c r="A157" s="310">
        <v>1.0</v>
      </c>
      <c r="B157" s="93">
        <f t="shared" si="1"/>
        <v>1</v>
      </c>
      <c r="C157" s="310" t="s">
        <v>1678</v>
      </c>
      <c r="D157" s="310">
        <v>100.0</v>
      </c>
      <c r="E157" s="310" t="s">
        <v>1620</v>
      </c>
      <c r="F157" s="310"/>
      <c r="G157" s="313" t="s">
        <v>1621</v>
      </c>
      <c r="H157" s="312">
        <f>IFERROR(__xludf.DUMMYFUNCTION(" IF(ISBLANK(G157),,
SWITCH(
LEN(G157) - LEN(SUBSTITUTE(G157,"","","""")),
0 , VLOOKUP(G157, Variables!$A:$B, 2, FALSE),
1 , VLOOKUP(index(split(G157 ,"", "", FALSE),1,1), Variables!$A:$B , 2, FALSE) + VLOOKUP(index(split(G157 ,"", "", FALSE),1,2), Variabl"&amp;"es!$A:$B , 2, FALSE),
2 , VLOOKUP(index(split(G157 ,"", "", FALSE),1,1), Variables!$A:$B , 2, FALSE) + VLOOKUP(index(split(G157 ,"", "", FALSE),1,2), Variables!$A:$B , 2, FALSE) + VLOOKUP(index(split(G157 ,"", "", FALSE),1,3), Variables!$A:$B , 2, FALSE),"&amp;"
3 , VLOOKUP(index(split(G157 ,"", "", FALSE),1,1), Variables!$A:$B , 2, FALSE) + VLOOKUP(index(split(G157 ,"", "", FALSE),1,2), Variables!$A:$B , 2, FALSE) + VLOOKUP(index(split(G157 ,"", "", FALSE),1,3), Variables!$A:$B , 2, FALSE) + VLOOKUP(index(split"&amp;"(G157 ,"", "", FALSE),1,4), Variables!$A:$B , 2, FALSE),
)
)"),0.6666666666666666)</f>
        <v>0.6666666667</v>
      </c>
      <c r="I157" s="310" t="s">
        <v>1656</v>
      </c>
      <c r="J157" s="313"/>
      <c r="K157" s="314" t="str">
        <f>IFERROR(VLOOKUP(C157,vote4ITEMS!$A:$C, 3, FALSE),)</f>
        <v/>
      </c>
      <c r="L157" s="313" t="s">
        <v>1679</v>
      </c>
      <c r="M157" s="314">
        <f>SUM(
IF(IFERROR(SEARCH("Aura 1",L157),0) &gt; 0 , VLOOKUP("Aura 1", vote4TRAITS!A:C , 3, FALSE), ),
IF(IFERROR(SEARCH("Backswing",L157),0) &gt; 0 , VLOOKUP("Backswing", vote4TRAITS!A:C , 3, FALSE), ),
IF(IFERROR(SEARCH("Blast",L157),0) &gt; 0 , VLOOKUP("Blast", vote4TRAITS!A:C , 3, FALSE), ),
IF(IFERROR(SEARCH("Combustible",L157),0) &gt; 0 , VLOOKUP("Combustible", vote4TRAITS!A:C , 3, FALSE), ),
IF(IFERROR(SEARCH("Command",L157),0) &gt; 0 , VLOOKUP("Command", vote4TRAITS!A:C , 3, FALSE), ),
IF(IFERROR(SEARCH("Cowardly",L157),0) &gt; 0 , VLOOKUP("Cowardly", vote4TRAITS!A:C , 3, FALSE), ),
IF(IFERROR(SEARCH("Death Wish",L157),0) &gt; 0 , VLOOKUP("Death Wish", vote4TRAITS!A:C , 3, FALSE), ),
IF(IFERROR(SEARCH("Entomb",L157),0) &gt; 0 , VLOOKUP("Entomb", vote4TRAITS!A:C , 3, FALSE), ),
IF(IFERROR(SEARCH("Ethereal Hold",L157),0) &gt; 0 , VLOOKUP("Ethereal Hold", vote4TRAITS!A:C , 3, FALSE), ),
IF(IFERROR(SEARCH("Extend",L157),0) &gt; 0 , VLOOKUP("Extend", vote4TRAITS!A:C , 3, FALSE), ),
IF(IFERROR(SEARCH("Filthy Murk",L157),0) &gt; 0 , VLOOKUP("Filthy Murk", vote4TRAITS!A:C , 3, FALSE), ),
IF(IFERROR(SEARCH("Flame Fiend",L157),0) &gt; 0 , VLOOKUP("Flame Fiend", vote4TRAITS!A:C , 3, FALSE), ),
IF(IFERROR(SEARCH("Fleshmonger",L157),0) &gt; 0 , VLOOKUP("Fleshmonger", vote4TRAITS!A:C , 3, FALSE), ),
IF(IFERROR(SEARCH("Fly",L157),0) &gt; 0 , VLOOKUP("Fly", vote4TRAITS!A:C , 3, FALSE), ),
IF(IFERROR(SEARCH("Freezing",L157),0) &gt; 0 , VLOOKUP("Freezing", vote4TRAITS!A:C , 3, FALSE), ),
IF(IFERROR(SEARCH("Lithesome",L157),0) &gt; 0 , VLOOKUP("Lithesome", vote4TRAITS!A:C , 3, FALSE), ),
IF(IFERROR(SEARCH("Harrowing",L157),0) &gt; 0 , VLOOKUP("Harrowing", vote4TRAITS!A:C , 3, FALSE), ),
IF(IFERROR(SEARCH("Hideous Laughter",L157),0) &gt; 0 , VLOOKUP("Hideous Laughter", vote4TRAITS!A:C , 3, FALSE), ),
IF(IFERROR(SEARCH("Hive Defense",L157),0) &gt; 0 , VLOOKUP("Hive Defense", vote4TRAITS!A:C , 3, FALSE), ),
IF(IFERROR(SEARCH("Horrifying",L157),0) &gt; 0 , VLOOKUP("Horrifying", vote4TRAITS!A:C , 3, FALSE), ),
IF(IFERROR(SEARCH("Ironskin",L157),0) &gt; 0 , VLOOKUP("Ironskin", vote4TRAITS!A:C , 3, FALSE), ),
IF(IFERROR(SEARCH("Unmovable",L157),0) &gt; 0 , VLOOKUP("Unmovable", vote4TRAITS!A:C , 3, FALSE), ),
IF(IFERROR(SEARCH("Lifethirst 1",L157),0) &gt; 0 , VLOOKUP("Lifethirst 1", vote4TRAITS!A:C , 3, FALSE), ),
IF(IFERROR(SEARCH("Lifethirst 2",L157),0) &gt; 0 , VLOOKUP("Lifethirst 2", vote4TRAITS!A:C , 3, FALSE), ),
IF(IFERROR(SEARCH("Morph",L157),0) &gt; 0 , VLOOKUP("Morph", vote4TRAITS!A:C , 3, FALSE), ),
IF(IFERROR(SEARCH("Night Stalker",L157),0) &gt; 0 , VLOOKUP("Night Stalker", vote4TRAITS!A:C , 3, FALSE), ),
IF(IFERROR(SEARCH("Overflowing",L157),0) &gt; 0 , VLOOKUP("Overflowing", vote4TRAITS!A:C , 3, FALSE), ),
IF(IFERROR(SEARCH("Pestilence",L157),0) &gt; 0 , VLOOKUP("Pestilence", vote4TRAITS!A:C , 3, FALSE), ),
IF(IFERROR(SEARCH("Phalanx",L157),0) &gt; 0 , VLOOKUP("Phalanx", vote4TRAITS!A:C , 3, FALSE), ),
IF(IFERROR(SEARCH("Plagued",L157),0) &gt; 0 , VLOOKUP("Plagued", vote4TRAITS!A:C , 3, FALSE), ),
IF(IFERROR(SEARCH("Prey on the Weak",L157),0) &gt; 0 , VLOOKUP("Prey on the Weak", vote4TRAITS!A:C , 3, FALSE), ),
IF(IFERROR(SEARCH("Protect",L157),0) &gt; 0 , VLOOKUP("Protect", vote4TRAITS!A:C , 3, FALSE), ),
IF(IFERROR(SEARCH("Puncture",L157),0) &gt; 0 , VLOOKUP("Puncture", vote4TRAITS!A:C , 3, FALSE), ),
IF(IFERROR(SEARCH("Putrid Boils",L157),0) &gt; 0 , VLOOKUP("Putrid Boils", vote4TRAITS!A:C , 3, FALSE), ),
IF(IFERROR(SEARCH("Ravage",L157),0) &gt; 0 , VLOOKUP("Ravage", vote4TRAITS!A:C , 3, FALSE), ),
IF(IFERROR(SEARCH("Ravenous",L157),0) &gt; 0 , VLOOKUP("Ravenous", vote4TRAITS!A:C , 3, FALSE), ),
IF(IFERROR(SEARCH("Reach",L157),0) &gt; 0 , VLOOKUP("Reach", vote4TRAITS!A:C , 3, FALSE), ),
IF(IFERROR(SEARCH("Reanimation",L157),0) &gt; 0 , VLOOKUP("Reanimation", vote4TRAITS!A:C , 3, FALSE), ),
IF(IFERROR(SEARCH("Reaper",L157),0) &gt; 0 , VLOOKUP("Reaper", vote4TRAITS!A:C , 3, FALSE), ),
IF(IFERROR(SEARCH("Riposte",L157),0) &gt; 0 , VLOOKUP("Riposte", vote4TRAITS!A:C , 3, FALSE)),
IF(IFERROR(SEARCH("Scamper",L157),0) &gt; 0 , VLOOKUP("Scamper", vote4TRAITS!A:C , 3, FALSE), ),
IF(IFERROR(SEARCH("Small Beginnings",L157),0) &gt; 0 , VLOOKUP("Small Beginnings", vote4TRAITS!A:C , 3, FALSE), ),
IF(IFERROR(SEARCH("Spawner",L157),0) &gt; 0 , VLOOKUP("Spawner", vote4TRAITS!A:C , 3,FALSE), ),
IF(IFERROR(SEARCH("Shadowr",L157),0) &gt; 0 , VLOOKUP("Shadow", vote4TRAITS!A:C , 3,FALSE), ),
IF(IFERROR(SEARCH("Shadow Step",L157),0) &gt; 0 , VLOOKUP("Shadow Step", vote4TRAITS!A:C , 3,FALSE), ),
IF(IFERROR(SEARCH("Shambling",L157),0) &gt; 0 , VLOOKUP("Shambling", vote4TRAITS!A:C , 3,FALSE), ),
IF(IFERROR(SEARCH("Stealthy",L157),0) &gt; 0 , VLOOKUP("Stealthy", vote4TRAITS!A:C , 3, FALSE), ),
IF(IFERROR(SEARCH("Web",L157),0) &gt; 0 , VLOOKUP("Web", vote4TRAITS!A:C , 3, FALSE), ),
IF(IFERROR(SEARCH("+1 Willpower",L157),0) &gt; 0 , VLOOKUP("+1 Willpower", vote4TRAITS!A:C , 3, FALSE), ),
IF(IFERROR(SEARCH("+1 Might",L157),0) &gt; 0 , VLOOKUP("+1 Might", vote4TRAITS!A:C , 3, FALSE), ),
IF(IFERROR(SEARCH("+1 Knowledge",L157),0) &gt; 0 , VLOOKUP("+1 Knowledge", vote4TRAITS!A:C , 3, FALSE), ),
IF(IFERROR(SEARCH("+1 Awareness",L157),0) &gt; 0 , VLOOKUP("+1 Awareness", vote4TRAITS!A:C , 3, FALSE), ),
IF(IFERROR(SEARCH("-1 Willpower",L157),0) &gt; 0 , VLOOKUP("-1 Willpower", vote4TRAITS!A:C , 3, FALSE), ),
IF(IFERROR(SEARCH("+1 Health",L157),0) &gt; 0 , VLOOKUP("+1 Health", vote4TRAITS!A:C , 3, FALSE), ),
IF(IFERROR(SEARCH("+2 Health",L157),0) &gt; 0 , VLOOKUP("+2 Health", vote4TRAITS!A:C , 3, FALSE), ),
IF(IFERROR(SEARCH("+1 Stamina",L157),0) &gt; 0 , VLOOKUP("+1 Stamina", vote4TRAITS!A:C , 3, FALSE), ),
IF(IFERROR(SEARCH("+2 Stamina",L157),0) &gt; 0 , VLOOKUP("+2 Stamina", vote4TRAITS!A:C , 3, FALSE), ),
IFS(
IFERROR(SEARCH("+1 Range", L157),) &gt; 0 ,VLOOKUP("+1 Range", vote4TRAITS!A:C , 3, FALSE),
IFERROR(SEARCH("+2 Range", L157),) &gt; 0 ,VLOOKUP("+2 Range", vote4TRAITS!A:C , 3, FALSE),
IFERROR(SEARCH("+3 Range", L157),) &gt; 0,VLOOKUP("+3 Range", vote4TRAITS!A:C , 3, FALSE),
0=0,0)
,
IFS(
IFERROR(SEARCH("Sorcery 1", L157),) &gt; 0 ,VLOOKUP("Sorcery 1", vote4TRAITS!A:C , 3, FALSE),
IFERROR(SEARCH("Sorcery 2", L157),) &gt; 0 ,VLOOKUP("Sorcery 2", vote4TRAITS!A:C , 3, FALSE),
IFERROR(SEARCH("Sorcery 3", L157),) &gt; 0,VLOOKUP("Sorcery 3", vote4TRAITS!A:C , 3, FALSE),
0=0,0)
,
IFS(
IFERROR(SEARCH("Pierce 1", L157),) &gt; 0 ,VLOOKUP("Pierce 1", vote4TRAITS!A:C , 3, FALSE),
IFERROR(SEARCH("Pierce 2", L157),) &gt; 0 ,VLOOKUP("Pierce 2", vote4TRAITS!A:C , 3, FALSE),
IFERROR(SEARCH("Pierce 3", L157),) &gt; 0,VLOOKUP("Pierce 3", vote4TRAITS!A:C , 3, FALSE),
IFERROR(SEARCH("Pierce 4", L157),) &gt; 0 ,VLOOKUP("Pierce 4", vote4TRAITS!A:C , 3, FALSE),
0=0,0)
,
IFS(
IFERROR(SEARCH("+1 Health", L157),) &gt; 0 ,VLOOKUP("+1 Health", vote4TRAITS!A:C , 3, FALSE),
IFERROR(SEARCH("+2 Health", L157),) &gt; 0 ,VLOOKUP("+2 Health", vote4TRAITS!A:C , 3, FALSE),
IFERROR(SEARCH("+3 Health", L157),) &gt; 0 ,VLOOKUP("+3 Health", vote4TRAITS!A:C , 3, FALSE),
IFERROR(SEARCH("+4 Health", L157),) &gt; 0 ,VLOOKUP("+4 Health", vote4TRAITS!A:C , 3, FALSE),
0=0,0)
,
IFS(
IFERROR(SEARCH("Soul Shackle 1", L157),) &gt; 0 ,VLOOKUP("Soul Shackle 1", vote4TRAITS!A:C , 3, FALSE),
IFERROR(SEARCH("Soul Shackle 2", L157),) &gt; 0 ,VLOOKUP("Soul Shackle 2", vote4TRAITS!A:C , 3, FALSE),
IFERROR(SEARCH("Soul Shackle 3", L157),) &gt; 0,VLOOKUP("Soul Shackle 3", vote4TRAITS!A:C , 3, FALSE),
0=0,0)
)</f>
        <v>2</v>
      </c>
      <c r="N157" s="313"/>
      <c r="O157" s="317" t="str">
        <f>IF(ISBLANK(N157),,IFERROR(
IF(IFERROR(SEARCH("SS:",N157),0) &gt; 0, 
VLOOKUP(SUBSTITUTE(N157,"SS: ",""),vote4SURGE!$A:$C , 3, FALSE) - 2,
VLOOKUP(SUBSTITUTE(N157,"S: ",""),vote4SURGE!$A:$C , 3, FALSE)
)
,
IF(IFERROR(SEARCH("SS:",N157),0) &gt; 0, 
VLOOKUP(C157,vote4SURGE!$A:$C , 3, FALSE) - 2,
VLOOKUP(C157,vote4SURGE!$A:$C , 3, FALSE)
)
))</f>
        <v/>
      </c>
      <c r="P157" s="318"/>
      <c r="Q157" s="317" t="str">
        <f>IF(ISBLANK(P157),,IFERROR(
IF(IFERROR(SEARCH("SS:",P157),0) &gt; 0, 
VLOOKUP(SUBSTITUTE(P157,"SS: ",""),vote4SURGE!$A:$C , 3, FALSE) - 2,
VLOOKUP(SUBSTITUTE(P157,"S: ",""),vote4SURGE!$A:$C , 3, FALSE)
)
,
IF(IFERROR(SEARCH("SS:",P157),0) &gt; 0, 
VLOOKUP(C157,vote4SURGE!$A:$C , 3, FALSE) - 2,
VLOOKUP(C157,vote4SURGE!$A:$C , 3, FALSE)
)
))</f>
        <v/>
      </c>
      <c r="R157" s="318"/>
      <c r="S157" s="319" t="str">
        <f>IF(ISBLANK(R157),,IFERROR(
IF(IFERROR(SEARCH("SS:",R157),0) &gt; 0, 
VLOOKUP(SUBSTITUTE(R157,"SS: ",""),vote4SURGE!$A:$C , 3, FALSE) - 2,
VLOOKUP(SUBSTITUTE(R157,"S: ",""),vote4SURGE!$A:$C , 3, FALSE)
)
,
IF(IFERROR(SEARCH("SS:",R157),0) &gt; 0, 
VLOOKUP(C157,vote4SURGE!$A:$C , 3, FALSE) - 2,
VLOOKUP(C157,vote4SURGE!$A:$C , 3, FALSE)
)
))</f>
        <v/>
      </c>
      <c r="T157" s="320">
        <f t="shared" si="2"/>
        <v>0</v>
      </c>
      <c r="U157" s="320">
        <f>IFERROR(__xludf.DUMMYFUNCTION("ROUND(
IF(ISBLANK(G157),,
SWITCH(
LEN(G157) - LEN(SUBSTITUTE(G157,"","","""")),
0 , VLOOKUP(G157, Variables!$A:$C, 3, FALSE),
1 , VLOOKUP(index(split(G157 ,"", "", FALSE),1,1), Variables!$A:$C , 3, FALSE) + VLOOKUP(index(split(G157 ,"", "", FALSE),1,2), V"&amp;"ariables!$A:$C , 3, FALSE),
2 , VLOOKUP(index(split(G157 ,"", "", FALSE),1,1), Variables!$A:$C , 3, FALSE) + VLOOKUP(index(split(G157 ,"", "", FALSE),1,2), Variables!$A:$C , 3, FALSE) + VLOOKUP(index(split(G157 ,"", "", FALSE),1,3), Variables!$A:$C , 3, F"&amp;"ALSE),
3 , VLOOKUP(index(split(G157 ,"", "", FALSE),1,1), Variables!$A:$C , 3, FALSE) + VLOOKUP(index(split(G157 ,"", "", FALSE),1,2), Variables!$A:$C , 3, FALSE) + VLOOKUP(index(split(G157 ,"", "", FALSE),1,3), Variables!$A:$C , 3, FALSE) + VLOOKUP(index"&amp;"(split(G157 ,"", "", FALSE),1,4), Variables!$A:$C , 3, FALSE),
)
)
)"),0.0)</f>
        <v>0</v>
      </c>
      <c r="V157" s="317">
        <f t="shared" si="3"/>
        <v>0</v>
      </c>
      <c r="W157" s="321">
        <f t="shared" si="4"/>
        <v>2.666666667</v>
      </c>
      <c r="X157" s="118"/>
      <c r="Y157" s="118"/>
      <c r="Z157" s="118"/>
      <c r="AA157" s="118"/>
      <c r="AB157" s="118"/>
      <c r="AC157" s="118"/>
      <c r="AD157" s="118"/>
      <c r="AE157" s="118"/>
    </row>
    <row r="158" hidden="1">
      <c r="A158" s="310">
        <v>2.0</v>
      </c>
      <c r="B158" s="93">
        <f t="shared" si="1"/>
        <v>5</v>
      </c>
      <c r="C158" s="310" t="s">
        <v>866</v>
      </c>
      <c r="D158" s="310">
        <v>75.0</v>
      </c>
      <c r="E158" s="310" t="s">
        <v>1629</v>
      </c>
      <c r="F158" s="310"/>
      <c r="G158" s="313"/>
      <c r="H158" s="312" t="str">
        <f>IFERROR(__xludf.DUMMYFUNCTION(" IF(ISBLANK(G158),,
SWITCH(
LEN(G158) - LEN(SUBSTITUTE(G158,"","","""")),
0 , VLOOKUP(G158, Variables!$A:$B, 2, FALSE),
1 , VLOOKUP(index(split(G158 ,"", "", FALSE),1,1), Variables!$A:$B , 2, FALSE) + VLOOKUP(index(split(G158 ,"", "", FALSE),1,2), Variabl"&amp;"es!$A:$B , 2, FALSE),
2 , VLOOKUP(index(split(G158 ,"", "", FALSE),1,1), Variables!$A:$B , 2, FALSE) + VLOOKUP(index(split(G158 ,"", "", FALSE),1,2), Variables!$A:$B , 2, FALSE) + VLOOKUP(index(split(G158 ,"", "", FALSE),1,3), Variables!$A:$B , 2, FALSE),"&amp;"
3 , VLOOKUP(index(split(G158 ,"", "", FALSE),1,1), Variables!$A:$B , 2, FALSE) + VLOOKUP(index(split(G158 ,"", "", FALSE),1,2), Variables!$A:$B , 2, FALSE) + VLOOKUP(index(split(G158 ,"", "", FALSE),1,3), Variables!$A:$B , 2, FALSE) + VLOOKUP(index(split"&amp;"(G158 ,"", "", FALSE),1,4), Variables!$A:$B , 2, FALSE),
)
)"),"")</f>
        <v/>
      </c>
      <c r="I158" s="310" t="s">
        <v>1677</v>
      </c>
      <c r="J158" s="313" t="s">
        <v>867</v>
      </c>
      <c r="K158" s="314">
        <f>IFERROR(VLOOKUP(C158,vote4ITEMS!$A:$C, 3, FALSE),)</f>
        <v>2.666666667</v>
      </c>
      <c r="L158" s="313"/>
      <c r="M158" s="314">
        <f>SUM(
IF(IFERROR(SEARCH("Aura 1",L158),0) &gt; 0 , VLOOKUP("Aura 1", vote4TRAITS!A:C , 3, FALSE), ),
IF(IFERROR(SEARCH("Backswing",L158),0) &gt; 0 , VLOOKUP("Backswing", vote4TRAITS!A:C , 3, FALSE), ),
IF(IFERROR(SEARCH("Blast",L158),0) &gt; 0 , VLOOKUP("Blast", vote4TRAITS!A:C , 3, FALSE), ),
IF(IFERROR(SEARCH("Combustible",L158),0) &gt; 0 , VLOOKUP("Combustible", vote4TRAITS!A:C , 3, FALSE), ),
IF(IFERROR(SEARCH("Command",L158),0) &gt; 0 , VLOOKUP("Command", vote4TRAITS!A:C , 3, FALSE), ),
IF(IFERROR(SEARCH("Cowardly",L158),0) &gt; 0 , VLOOKUP("Cowardly", vote4TRAITS!A:C , 3, FALSE), ),
IF(IFERROR(SEARCH("Death Wish",L158),0) &gt; 0 , VLOOKUP("Death Wish", vote4TRAITS!A:C , 3, FALSE), ),
IF(IFERROR(SEARCH("Entomb",L158),0) &gt; 0 , VLOOKUP("Entomb", vote4TRAITS!A:C , 3, FALSE), ),
IF(IFERROR(SEARCH("Ethereal Hold",L158),0) &gt; 0 , VLOOKUP("Ethereal Hold", vote4TRAITS!A:C , 3, FALSE), ),
IF(IFERROR(SEARCH("Extend",L158),0) &gt; 0 , VLOOKUP("Extend", vote4TRAITS!A:C , 3, FALSE), ),
IF(IFERROR(SEARCH("Filthy Murk",L158),0) &gt; 0 , VLOOKUP("Filthy Murk", vote4TRAITS!A:C , 3, FALSE), ),
IF(IFERROR(SEARCH("Flame Fiend",L158),0) &gt; 0 , VLOOKUP("Flame Fiend", vote4TRAITS!A:C , 3, FALSE), ),
IF(IFERROR(SEARCH("Fleshmonger",L158),0) &gt; 0 , VLOOKUP("Fleshmonger", vote4TRAITS!A:C , 3, FALSE), ),
IF(IFERROR(SEARCH("Fly",L158),0) &gt; 0 , VLOOKUP("Fly", vote4TRAITS!A:C , 3, FALSE), ),
IF(IFERROR(SEARCH("Freezing",L158),0) &gt; 0 , VLOOKUP("Freezing", vote4TRAITS!A:C , 3, FALSE), ),
IF(IFERROR(SEARCH("Lithesome",L158),0) &gt; 0 , VLOOKUP("Lithesome", vote4TRAITS!A:C , 3, FALSE), ),
IF(IFERROR(SEARCH("Harrowing",L158),0) &gt; 0 , VLOOKUP("Harrowing", vote4TRAITS!A:C , 3, FALSE), ),
IF(IFERROR(SEARCH("Hideous Laughter",L158),0) &gt; 0 , VLOOKUP("Hideous Laughter", vote4TRAITS!A:C , 3, FALSE), ),
IF(IFERROR(SEARCH("Hive Defense",L158),0) &gt; 0 , VLOOKUP("Hive Defense", vote4TRAITS!A:C , 3, FALSE), ),
IF(IFERROR(SEARCH("Horrifying",L158),0) &gt; 0 , VLOOKUP("Horrifying", vote4TRAITS!A:C , 3, FALSE), ),
IF(IFERROR(SEARCH("Ironskin",L158),0) &gt; 0 , VLOOKUP("Ironskin", vote4TRAITS!A:C , 3, FALSE), ),
IF(IFERROR(SEARCH("Unmovable",L158),0) &gt; 0 , VLOOKUP("Unmovable", vote4TRAITS!A:C , 3, FALSE), ),
IF(IFERROR(SEARCH("Lifethirst 1",L158),0) &gt; 0 , VLOOKUP("Lifethirst 1", vote4TRAITS!A:C , 3, FALSE), ),
IF(IFERROR(SEARCH("Lifethirst 2",L158),0) &gt; 0 , VLOOKUP("Lifethirst 2", vote4TRAITS!A:C , 3, FALSE), ),
IF(IFERROR(SEARCH("Morph",L158),0) &gt; 0 , VLOOKUP("Morph", vote4TRAITS!A:C , 3, FALSE), ),
IF(IFERROR(SEARCH("Night Stalker",L158),0) &gt; 0 , VLOOKUP("Night Stalker", vote4TRAITS!A:C , 3, FALSE), ),
IF(IFERROR(SEARCH("Overflowing",L158),0) &gt; 0 , VLOOKUP("Overflowing", vote4TRAITS!A:C , 3, FALSE), ),
IF(IFERROR(SEARCH("Pestilence",L158),0) &gt; 0 , VLOOKUP("Pestilence", vote4TRAITS!A:C , 3, FALSE), ),
IF(IFERROR(SEARCH("Phalanx",L158),0) &gt; 0 , VLOOKUP("Phalanx", vote4TRAITS!A:C , 3, FALSE), ),
IF(IFERROR(SEARCH("Plagued",L158),0) &gt; 0 , VLOOKUP("Plagued", vote4TRAITS!A:C , 3, FALSE), ),
IF(IFERROR(SEARCH("Prey on the Weak",L158),0) &gt; 0 , VLOOKUP("Prey on the Weak", vote4TRAITS!A:C , 3, FALSE), ),
IF(IFERROR(SEARCH("Protect",L158),0) &gt; 0 , VLOOKUP("Protect", vote4TRAITS!A:C , 3, FALSE), ),
IF(IFERROR(SEARCH("Puncture",L158),0) &gt; 0 , VLOOKUP("Puncture", vote4TRAITS!A:C , 3, FALSE), ),
IF(IFERROR(SEARCH("Putrid Boils",L158),0) &gt; 0 , VLOOKUP("Putrid Boils", vote4TRAITS!A:C , 3, FALSE), ),
IF(IFERROR(SEARCH("Ravage",L158),0) &gt; 0 , VLOOKUP("Ravage", vote4TRAITS!A:C , 3, FALSE), ),
IF(IFERROR(SEARCH("Ravenous",L158),0) &gt; 0 , VLOOKUP("Ravenous", vote4TRAITS!A:C , 3, FALSE), ),
IF(IFERROR(SEARCH("Reach",L158),0) &gt; 0 , VLOOKUP("Reach", vote4TRAITS!A:C , 3, FALSE), ),
IF(IFERROR(SEARCH("Reanimation",L158),0) &gt; 0 , VLOOKUP("Reanimation", vote4TRAITS!A:C , 3, FALSE), ),
IF(IFERROR(SEARCH("Reaper",L158),0) &gt; 0 , VLOOKUP("Reaper", vote4TRAITS!A:C , 3, FALSE), ),
IF(IFERROR(SEARCH("Riposte",L158),0) &gt; 0 , VLOOKUP("Riposte", vote4TRAITS!A:C , 3, FALSE)),
IF(IFERROR(SEARCH("Scamper",L158),0) &gt; 0 , VLOOKUP("Scamper", vote4TRAITS!A:C , 3, FALSE), ),
IF(IFERROR(SEARCH("Small Beginnings",L158),0) &gt; 0 , VLOOKUP("Small Beginnings", vote4TRAITS!A:C , 3, FALSE), ),
IF(IFERROR(SEARCH("Spawner",L158),0) &gt; 0 , VLOOKUP("Spawner", vote4TRAITS!A:C , 3,FALSE), ),
IF(IFERROR(SEARCH("Shadowr",L158),0) &gt; 0 , VLOOKUP("Shadow", vote4TRAITS!A:C , 3,FALSE), ),
IF(IFERROR(SEARCH("Shadow Step",L158),0) &gt; 0 , VLOOKUP("Shadow Step", vote4TRAITS!A:C , 3,FALSE), ),
IF(IFERROR(SEARCH("Shambling",L158),0) &gt; 0 , VLOOKUP("Shambling", vote4TRAITS!A:C , 3,FALSE), ),
IF(IFERROR(SEARCH("Stealthy",L158),0) &gt; 0 , VLOOKUP("Stealthy", vote4TRAITS!A:C , 3, FALSE), ),
IF(IFERROR(SEARCH("Web",L158),0) &gt; 0 , VLOOKUP("Web", vote4TRAITS!A:C , 3, FALSE), ),
IF(IFERROR(SEARCH("+1 Willpower",L158),0) &gt; 0 , VLOOKUP("+1 Willpower", vote4TRAITS!A:C , 3, FALSE), ),
IF(IFERROR(SEARCH("+1 Might",L158),0) &gt; 0 , VLOOKUP("+1 Might", vote4TRAITS!A:C , 3, FALSE), ),
IF(IFERROR(SEARCH("+1 Knowledge",L158),0) &gt; 0 , VLOOKUP("+1 Knowledge", vote4TRAITS!A:C , 3, FALSE), ),
IF(IFERROR(SEARCH("+1 Awareness",L158),0) &gt; 0 , VLOOKUP("+1 Awareness", vote4TRAITS!A:C , 3, FALSE), ),
IF(IFERROR(SEARCH("-1 Willpower",L158),0) &gt; 0 , VLOOKUP("-1 Willpower", vote4TRAITS!A:C , 3, FALSE), ),
IF(IFERROR(SEARCH("+1 Health",L158),0) &gt; 0 , VLOOKUP("+1 Health", vote4TRAITS!A:C , 3, FALSE), ),
IF(IFERROR(SEARCH("+2 Health",L158),0) &gt; 0 , VLOOKUP("+2 Health", vote4TRAITS!A:C , 3, FALSE), ),
IF(IFERROR(SEARCH("+1 Stamina",L158),0) &gt; 0 , VLOOKUP("+1 Stamina", vote4TRAITS!A:C , 3, FALSE), ),
IF(IFERROR(SEARCH("+2 Stamina",L158),0) &gt; 0 , VLOOKUP("+2 Stamina", vote4TRAITS!A:C , 3, FALSE), ),
IFS(
IFERROR(SEARCH("+1 Range", L158),) &gt; 0 ,VLOOKUP("+1 Range", vote4TRAITS!A:C , 3, FALSE),
IFERROR(SEARCH("+2 Range", L158),) &gt; 0 ,VLOOKUP("+2 Range", vote4TRAITS!A:C , 3, FALSE),
IFERROR(SEARCH("+3 Range", L158),) &gt; 0,VLOOKUP("+3 Range", vote4TRAITS!A:C , 3, FALSE),
0=0,0)
,
IFS(
IFERROR(SEARCH("Sorcery 1", L158),) &gt; 0 ,VLOOKUP("Sorcery 1", vote4TRAITS!A:C , 3, FALSE),
IFERROR(SEARCH("Sorcery 2", L158),) &gt; 0 ,VLOOKUP("Sorcery 2", vote4TRAITS!A:C , 3, FALSE),
IFERROR(SEARCH("Sorcery 3", L158),) &gt; 0,VLOOKUP("Sorcery 3", vote4TRAITS!A:C , 3, FALSE),
0=0,0)
,
IFS(
IFERROR(SEARCH("Pierce 1", L158),) &gt; 0 ,VLOOKUP("Pierce 1", vote4TRAITS!A:C , 3, FALSE),
IFERROR(SEARCH("Pierce 2", L158),) &gt; 0 ,VLOOKUP("Pierce 2", vote4TRAITS!A:C , 3, FALSE),
IFERROR(SEARCH("Pierce 3", L158),) &gt; 0,VLOOKUP("Pierce 3", vote4TRAITS!A:C , 3, FALSE),
IFERROR(SEARCH("Pierce 4", L158),) &gt; 0 ,VLOOKUP("Pierce 4", vote4TRAITS!A:C , 3, FALSE),
0=0,0)
,
IFS(
IFERROR(SEARCH("+1 Health", L158),) &gt; 0 ,VLOOKUP("+1 Health", vote4TRAITS!A:C , 3, FALSE),
IFERROR(SEARCH("+2 Health", L158),) &gt; 0 ,VLOOKUP("+2 Health", vote4TRAITS!A:C , 3, FALSE),
IFERROR(SEARCH("+3 Health", L158),) &gt; 0 ,VLOOKUP("+3 Health", vote4TRAITS!A:C , 3, FALSE),
IFERROR(SEARCH("+4 Health", L158),) &gt; 0 ,VLOOKUP("+4 Health", vote4TRAITS!A:C , 3, FALSE),
0=0,0)
,
IFS(
IFERROR(SEARCH("Soul Shackle 1", L158),) &gt; 0 ,VLOOKUP("Soul Shackle 1", vote4TRAITS!A:C , 3, FALSE),
IFERROR(SEARCH("Soul Shackle 2", L158),) &gt; 0 ,VLOOKUP("Soul Shackle 2", vote4TRAITS!A:C , 3, FALSE),
IFERROR(SEARCH("Soul Shackle 3", L158),) &gt; 0,VLOOKUP("Soul Shackle 3", vote4TRAITS!A:C , 3, FALSE),
0=0,0)
)</f>
        <v>0</v>
      </c>
      <c r="N158" s="313"/>
      <c r="O158" s="317" t="str">
        <f>IF(ISBLANK(N158),,IFERROR(
IF(IFERROR(SEARCH("SS:",N158),0) &gt; 0, 
VLOOKUP(SUBSTITUTE(N158,"SS: ",""),vote4SURGE!$A:$C , 3, FALSE) - 2,
VLOOKUP(SUBSTITUTE(N158,"S: ",""),vote4SURGE!$A:$C , 3, FALSE)
)
,
IF(IFERROR(SEARCH("SS:",N158),0) &gt; 0, 
VLOOKUP(C158,vote4SURGE!$A:$C , 3, FALSE) - 2,
VLOOKUP(C158,vote4SURGE!$A:$C , 3, FALSE)
)
))</f>
        <v/>
      </c>
      <c r="P158" s="318"/>
      <c r="Q158" s="317" t="str">
        <f>IF(ISBLANK(P158),,IFERROR(
IF(IFERROR(SEARCH("SS:",P158),0) &gt; 0, 
VLOOKUP(SUBSTITUTE(P158,"SS: ",""),vote4SURGE!$A:$C , 3, FALSE) - 2,
VLOOKUP(SUBSTITUTE(P158,"S: ",""),vote4SURGE!$A:$C , 3, FALSE)
)
,
IF(IFERROR(SEARCH("SS:",P158),0) &gt; 0, 
VLOOKUP(C158,vote4SURGE!$A:$C , 3, FALSE) - 2,
VLOOKUP(C158,vote4SURGE!$A:$C , 3, FALSE)
)
))</f>
        <v/>
      </c>
      <c r="R158" s="318"/>
      <c r="S158" s="319" t="str">
        <f>IF(ISBLANK(R158),,IFERROR(
IF(IFERROR(SEARCH("SS:",R158),0) &gt; 0, 
VLOOKUP(SUBSTITUTE(R158,"SS: ",""),vote4SURGE!$A:$C , 3, FALSE) - 2,
VLOOKUP(SUBSTITUTE(R158,"S: ",""),vote4SURGE!$A:$C , 3, FALSE)
)
,
IF(IFERROR(SEARCH("SS:",R158),0) &gt; 0, 
VLOOKUP(C158,vote4SURGE!$A:$C , 3, FALSE) - 2,
VLOOKUP(C158,vote4SURGE!$A:$C , 3, FALSE)
)
))</f>
        <v/>
      </c>
      <c r="T158" s="320">
        <f t="shared" si="2"/>
        <v>0</v>
      </c>
      <c r="U158" s="320">
        <f>IFERROR(__xludf.DUMMYFUNCTION("ROUND(
IF(ISBLANK(G158),,
SWITCH(
LEN(G158) - LEN(SUBSTITUTE(G158,"","","""")),
0 , VLOOKUP(G158, Variables!$A:$C, 3, FALSE),
1 , VLOOKUP(index(split(G158 ,"", "", FALSE),1,1), Variables!$A:$C , 3, FALSE) + VLOOKUP(index(split(G158 ,"", "", FALSE),1,2), V"&amp;"ariables!$A:$C , 3, FALSE),
2 , VLOOKUP(index(split(G158 ,"", "", FALSE),1,1), Variables!$A:$C , 3, FALSE) + VLOOKUP(index(split(G158 ,"", "", FALSE),1,2), Variables!$A:$C , 3, FALSE) + VLOOKUP(index(split(G158 ,"", "", FALSE),1,3), Variables!$A:$C , 3, F"&amp;"ALSE),
3 , VLOOKUP(index(split(G158 ,"", "", FALSE),1,1), Variables!$A:$C , 3, FALSE) + VLOOKUP(index(split(G158 ,"", "", FALSE),1,2), Variables!$A:$C , 3, FALSE) + VLOOKUP(index(split(G158 ,"", "", FALSE),1,3), Variables!$A:$C , 3, FALSE) + VLOOKUP(index"&amp;"(split(G158 ,"", "", FALSE),1,4), Variables!$A:$C , 3, FALSE),
)
)
)"),0.0)</f>
        <v>0</v>
      </c>
      <c r="V158" s="317">
        <f t="shared" si="3"/>
        <v>0</v>
      </c>
      <c r="W158" s="321">
        <f t="shared" si="4"/>
        <v>2.666666667</v>
      </c>
      <c r="X158" s="118"/>
      <c r="Y158" s="118"/>
      <c r="Z158" s="118"/>
      <c r="AA158" s="118"/>
      <c r="AB158" s="118"/>
      <c r="AC158" s="118"/>
      <c r="AD158" s="118"/>
      <c r="AE158" s="118"/>
    </row>
    <row r="159" hidden="1">
      <c r="A159" s="310">
        <v>1.0</v>
      </c>
      <c r="B159" s="93">
        <f t="shared" si="1"/>
        <v>1</v>
      </c>
      <c r="C159" s="310" t="s">
        <v>699</v>
      </c>
      <c r="D159" s="310">
        <v>100.0</v>
      </c>
      <c r="E159" s="310" t="s">
        <v>1527</v>
      </c>
      <c r="F159" s="310"/>
      <c r="G159" s="313"/>
      <c r="H159" s="312" t="str">
        <f>IFERROR(__xludf.DUMMYFUNCTION(" IF(ISBLANK(G159),,
SWITCH(
LEN(G159) - LEN(SUBSTITUTE(G159,"","","""")),
0 , VLOOKUP(G159, Variables!$A:$B, 2, FALSE),
1 , VLOOKUP(index(split(G159 ,"", "", FALSE),1,1), Variables!$A:$B , 2, FALSE) + VLOOKUP(index(split(G159 ,"", "", FALSE),1,2), Variabl"&amp;"es!$A:$B , 2, FALSE),
2 , VLOOKUP(index(split(G159 ,"", "", FALSE),1,1), Variables!$A:$B , 2, FALSE) + VLOOKUP(index(split(G159 ,"", "", FALSE),1,2), Variables!$A:$B , 2, FALSE) + VLOOKUP(index(split(G159 ,"", "", FALSE),1,3), Variables!$A:$B , 2, FALSE),"&amp;"
3 , VLOOKUP(index(split(G159 ,"", "", FALSE),1,1), Variables!$A:$B , 2, FALSE) + VLOOKUP(index(split(G159 ,"", "", FALSE),1,2), Variables!$A:$B , 2, FALSE) + VLOOKUP(index(split(G159 ,"", "", FALSE),1,3), Variables!$A:$B , 2, FALSE) + VLOOKUP(index(split"&amp;"(G159 ,"", "", FALSE),1,4), Variables!$A:$B , 2, FALSE),
)
)"),"")</f>
        <v/>
      </c>
      <c r="I159" s="310" t="s">
        <v>1672</v>
      </c>
      <c r="J159" s="313" t="s">
        <v>700</v>
      </c>
      <c r="K159" s="314">
        <f>IFERROR(VLOOKUP(C159,vote4ITEMS!$A:$C, 3, FALSE),)</f>
        <v>2.5</v>
      </c>
      <c r="L159" s="313"/>
      <c r="M159" s="314">
        <f>SUM(
IF(IFERROR(SEARCH("Aura 1",L159),0) &gt; 0 , VLOOKUP("Aura 1", vote4TRAITS!A:C , 3, FALSE), ),
IF(IFERROR(SEARCH("Backswing",L159),0) &gt; 0 , VLOOKUP("Backswing", vote4TRAITS!A:C , 3, FALSE), ),
IF(IFERROR(SEARCH("Blast",L159),0) &gt; 0 , VLOOKUP("Blast", vote4TRAITS!A:C , 3, FALSE), ),
IF(IFERROR(SEARCH("Combustible",L159),0) &gt; 0 , VLOOKUP("Combustible", vote4TRAITS!A:C , 3, FALSE), ),
IF(IFERROR(SEARCH("Command",L159),0) &gt; 0 , VLOOKUP("Command", vote4TRAITS!A:C , 3, FALSE), ),
IF(IFERROR(SEARCH("Cowardly",L159),0) &gt; 0 , VLOOKUP("Cowardly", vote4TRAITS!A:C , 3, FALSE), ),
IF(IFERROR(SEARCH("Death Wish",L159),0) &gt; 0 , VLOOKUP("Death Wish", vote4TRAITS!A:C , 3, FALSE), ),
IF(IFERROR(SEARCH("Entomb",L159),0) &gt; 0 , VLOOKUP("Entomb", vote4TRAITS!A:C , 3, FALSE), ),
IF(IFERROR(SEARCH("Ethereal Hold",L159),0) &gt; 0 , VLOOKUP("Ethereal Hold", vote4TRAITS!A:C , 3, FALSE), ),
IF(IFERROR(SEARCH("Extend",L159),0) &gt; 0 , VLOOKUP("Extend", vote4TRAITS!A:C , 3, FALSE), ),
IF(IFERROR(SEARCH("Filthy Murk",L159),0) &gt; 0 , VLOOKUP("Filthy Murk", vote4TRAITS!A:C , 3, FALSE), ),
IF(IFERROR(SEARCH("Flame Fiend",L159),0) &gt; 0 , VLOOKUP("Flame Fiend", vote4TRAITS!A:C , 3, FALSE), ),
IF(IFERROR(SEARCH("Fleshmonger",L159),0) &gt; 0 , VLOOKUP("Fleshmonger", vote4TRAITS!A:C , 3, FALSE), ),
IF(IFERROR(SEARCH("Fly",L159),0) &gt; 0 , VLOOKUP("Fly", vote4TRAITS!A:C , 3, FALSE), ),
IF(IFERROR(SEARCH("Freezing",L159),0) &gt; 0 , VLOOKUP("Freezing", vote4TRAITS!A:C , 3, FALSE), ),
IF(IFERROR(SEARCH("Lithesome",L159),0) &gt; 0 , VLOOKUP("Lithesome", vote4TRAITS!A:C , 3, FALSE), ),
IF(IFERROR(SEARCH("Harrowing",L159),0) &gt; 0 , VLOOKUP("Harrowing", vote4TRAITS!A:C , 3, FALSE), ),
IF(IFERROR(SEARCH("Hideous Laughter",L159),0) &gt; 0 , VLOOKUP("Hideous Laughter", vote4TRAITS!A:C , 3, FALSE), ),
IF(IFERROR(SEARCH("Hive Defense",L159),0) &gt; 0 , VLOOKUP("Hive Defense", vote4TRAITS!A:C , 3, FALSE), ),
IF(IFERROR(SEARCH("Horrifying",L159),0) &gt; 0 , VLOOKUP("Horrifying", vote4TRAITS!A:C , 3, FALSE), ),
IF(IFERROR(SEARCH("Ironskin",L159),0) &gt; 0 , VLOOKUP("Ironskin", vote4TRAITS!A:C , 3, FALSE), ),
IF(IFERROR(SEARCH("Unmovable",L159),0) &gt; 0 , VLOOKUP("Unmovable", vote4TRAITS!A:C , 3, FALSE), ),
IF(IFERROR(SEARCH("Lifethirst 1",L159),0) &gt; 0 , VLOOKUP("Lifethirst 1", vote4TRAITS!A:C , 3, FALSE), ),
IF(IFERROR(SEARCH("Lifethirst 2",L159),0) &gt; 0 , VLOOKUP("Lifethirst 2", vote4TRAITS!A:C , 3, FALSE), ),
IF(IFERROR(SEARCH("Morph",L159),0) &gt; 0 , VLOOKUP("Morph", vote4TRAITS!A:C , 3, FALSE), ),
IF(IFERROR(SEARCH("Night Stalker",L159),0) &gt; 0 , VLOOKUP("Night Stalker", vote4TRAITS!A:C , 3, FALSE), ),
IF(IFERROR(SEARCH("Overflowing",L159),0) &gt; 0 , VLOOKUP("Overflowing", vote4TRAITS!A:C , 3, FALSE), ),
IF(IFERROR(SEARCH("Pestilence",L159),0) &gt; 0 , VLOOKUP("Pestilence", vote4TRAITS!A:C , 3, FALSE), ),
IF(IFERROR(SEARCH("Phalanx",L159),0) &gt; 0 , VLOOKUP("Phalanx", vote4TRAITS!A:C , 3, FALSE), ),
IF(IFERROR(SEARCH("Plagued",L159),0) &gt; 0 , VLOOKUP("Plagued", vote4TRAITS!A:C , 3, FALSE), ),
IF(IFERROR(SEARCH("Prey on the Weak",L159),0) &gt; 0 , VLOOKUP("Prey on the Weak", vote4TRAITS!A:C , 3, FALSE), ),
IF(IFERROR(SEARCH("Protect",L159),0) &gt; 0 , VLOOKUP("Protect", vote4TRAITS!A:C , 3, FALSE), ),
IF(IFERROR(SEARCH("Puncture",L159),0) &gt; 0 , VLOOKUP("Puncture", vote4TRAITS!A:C , 3, FALSE), ),
IF(IFERROR(SEARCH("Putrid Boils",L159),0) &gt; 0 , VLOOKUP("Putrid Boils", vote4TRAITS!A:C , 3, FALSE), ),
IF(IFERROR(SEARCH("Ravage",L159),0) &gt; 0 , VLOOKUP("Ravage", vote4TRAITS!A:C , 3, FALSE), ),
IF(IFERROR(SEARCH("Ravenous",L159),0) &gt; 0 , VLOOKUP("Ravenous", vote4TRAITS!A:C , 3, FALSE), ),
IF(IFERROR(SEARCH("Reach",L159),0) &gt; 0 , VLOOKUP("Reach", vote4TRAITS!A:C , 3, FALSE), ),
IF(IFERROR(SEARCH("Reanimation",L159),0) &gt; 0 , VLOOKUP("Reanimation", vote4TRAITS!A:C , 3, FALSE), ),
IF(IFERROR(SEARCH("Reaper",L159),0) &gt; 0 , VLOOKUP("Reaper", vote4TRAITS!A:C , 3, FALSE), ),
IF(IFERROR(SEARCH("Riposte",L159),0) &gt; 0 , VLOOKUP("Riposte", vote4TRAITS!A:C , 3, FALSE)),
IF(IFERROR(SEARCH("Scamper",L159),0) &gt; 0 , VLOOKUP("Scamper", vote4TRAITS!A:C , 3, FALSE), ),
IF(IFERROR(SEARCH("Small Beginnings",L159),0) &gt; 0 , VLOOKUP("Small Beginnings", vote4TRAITS!A:C , 3, FALSE), ),
IF(IFERROR(SEARCH("Spawner",L159),0) &gt; 0 , VLOOKUP("Spawner", vote4TRAITS!A:C , 3,FALSE), ),
IF(IFERROR(SEARCH("Shadowr",L159),0) &gt; 0 , VLOOKUP("Shadow", vote4TRAITS!A:C , 3,FALSE), ),
IF(IFERROR(SEARCH("Shadow Step",L159),0) &gt; 0 , VLOOKUP("Shadow Step", vote4TRAITS!A:C , 3,FALSE), ),
IF(IFERROR(SEARCH("Shambling",L159),0) &gt; 0 , VLOOKUP("Shambling", vote4TRAITS!A:C , 3,FALSE), ),
IF(IFERROR(SEARCH("Stealthy",L159),0) &gt; 0 , VLOOKUP("Stealthy", vote4TRAITS!A:C , 3, FALSE), ),
IF(IFERROR(SEARCH("Web",L159),0) &gt; 0 , VLOOKUP("Web", vote4TRAITS!A:C , 3, FALSE), ),
IF(IFERROR(SEARCH("+1 Willpower",L159),0) &gt; 0 , VLOOKUP("+1 Willpower", vote4TRAITS!A:C , 3, FALSE), ),
IF(IFERROR(SEARCH("+1 Might",L159),0) &gt; 0 , VLOOKUP("+1 Might", vote4TRAITS!A:C , 3, FALSE), ),
IF(IFERROR(SEARCH("+1 Knowledge",L159),0) &gt; 0 , VLOOKUP("+1 Knowledge", vote4TRAITS!A:C , 3, FALSE), ),
IF(IFERROR(SEARCH("+1 Awareness",L159),0) &gt; 0 , VLOOKUP("+1 Awareness", vote4TRAITS!A:C , 3, FALSE), ),
IF(IFERROR(SEARCH("-1 Willpower",L159),0) &gt; 0 , VLOOKUP("-1 Willpower", vote4TRAITS!A:C , 3, FALSE), ),
IF(IFERROR(SEARCH("+1 Health",L159),0) &gt; 0 , VLOOKUP("+1 Health", vote4TRAITS!A:C , 3, FALSE), ),
IF(IFERROR(SEARCH("+2 Health",L159),0) &gt; 0 , VLOOKUP("+2 Health", vote4TRAITS!A:C , 3, FALSE), ),
IF(IFERROR(SEARCH("+1 Stamina",L159),0) &gt; 0 , VLOOKUP("+1 Stamina", vote4TRAITS!A:C , 3, FALSE), ),
IF(IFERROR(SEARCH("+2 Stamina",L159),0) &gt; 0 , VLOOKUP("+2 Stamina", vote4TRAITS!A:C , 3, FALSE), ),
IFS(
IFERROR(SEARCH("+1 Range", L159),) &gt; 0 ,VLOOKUP("+1 Range", vote4TRAITS!A:C , 3, FALSE),
IFERROR(SEARCH("+2 Range", L159),) &gt; 0 ,VLOOKUP("+2 Range", vote4TRAITS!A:C , 3, FALSE),
IFERROR(SEARCH("+3 Range", L159),) &gt; 0,VLOOKUP("+3 Range", vote4TRAITS!A:C , 3, FALSE),
0=0,0)
,
IFS(
IFERROR(SEARCH("Sorcery 1", L159),) &gt; 0 ,VLOOKUP("Sorcery 1", vote4TRAITS!A:C , 3, FALSE),
IFERROR(SEARCH("Sorcery 2", L159),) &gt; 0 ,VLOOKUP("Sorcery 2", vote4TRAITS!A:C , 3, FALSE),
IFERROR(SEARCH("Sorcery 3", L159),) &gt; 0,VLOOKUP("Sorcery 3", vote4TRAITS!A:C , 3, FALSE),
0=0,0)
,
IFS(
IFERROR(SEARCH("Pierce 1", L159),) &gt; 0 ,VLOOKUP("Pierce 1", vote4TRAITS!A:C , 3, FALSE),
IFERROR(SEARCH("Pierce 2", L159),) &gt; 0 ,VLOOKUP("Pierce 2", vote4TRAITS!A:C , 3, FALSE),
IFERROR(SEARCH("Pierce 3", L159),) &gt; 0,VLOOKUP("Pierce 3", vote4TRAITS!A:C , 3, FALSE),
IFERROR(SEARCH("Pierce 4", L159),) &gt; 0 ,VLOOKUP("Pierce 4", vote4TRAITS!A:C , 3, FALSE),
0=0,0)
,
IFS(
IFERROR(SEARCH("+1 Health", L159),) &gt; 0 ,VLOOKUP("+1 Health", vote4TRAITS!A:C , 3, FALSE),
IFERROR(SEARCH("+2 Health", L159),) &gt; 0 ,VLOOKUP("+2 Health", vote4TRAITS!A:C , 3, FALSE),
IFERROR(SEARCH("+3 Health", L159),) &gt; 0 ,VLOOKUP("+3 Health", vote4TRAITS!A:C , 3, FALSE),
IFERROR(SEARCH("+4 Health", L159),) &gt; 0 ,VLOOKUP("+4 Health", vote4TRAITS!A:C , 3, FALSE),
0=0,0)
,
IFS(
IFERROR(SEARCH("Soul Shackle 1", L159),) &gt; 0 ,VLOOKUP("Soul Shackle 1", vote4TRAITS!A:C , 3, FALSE),
IFERROR(SEARCH("Soul Shackle 2", L159),) &gt; 0 ,VLOOKUP("Soul Shackle 2", vote4TRAITS!A:C , 3, FALSE),
IFERROR(SEARCH("Soul Shackle 3", L159),) &gt; 0,VLOOKUP("Soul Shackle 3", vote4TRAITS!A:C , 3, FALSE),
0=0,0)
)</f>
        <v>0</v>
      </c>
      <c r="N159" s="313"/>
      <c r="O159" s="317" t="str">
        <f>IF(ISBLANK(N159),,IFERROR(
IF(IFERROR(SEARCH("SS:",N159),0) &gt; 0, 
VLOOKUP(SUBSTITUTE(N159,"SS: ",""),vote4SURGE!$A:$C , 3, FALSE) - 2,
VLOOKUP(SUBSTITUTE(N159,"S: ",""),vote4SURGE!$A:$C , 3, FALSE)
)
,
IF(IFERROR(SEARCH("SS:",N159),0) &gt; 0, 
VLOOKUP(C159,vote4SURGE!$A:$C , 3, FALSE) - 2,
VLOOKUP(C159,vote4SURGE!$A:$C , 3, FALSE)
)
))</f>
        <v/>
      </c>
      <c r="P159" s="318"/>
      <c r="Q159" s="317" t="str">
        <f>IF(ISBLANK(P159),,IFERROR(
IF(IFERROR(SEARCH("SS:",P159),0) &gt; 0, 
VLOOKUP(SUBSTITUTE(P159,"SS: ",""),vote4SURGE!$A:$C , 3, FALSE) - 2,
VLOOKUP(SUBSTITUTE(P159,"S: ",""),vote4SURGE!$A:$C , 3, FALSE)
)
,
IF(IFERROR(SEARCH("SS:",P159),0) &gt; 0, 
VLOOKUP(C159,vote4SURGE!$A:$C , 3, FALSE) - 2,
VLOOKUP(C159,vote4SURGE!$A:$C , 3, FALSE)
)
))</f>
        <v/>
      </c>
      <c r="R159" s="318"/>
      <c r="S159" s="319" t="str">
        <f>IF(ISBLANK(R159),,IFERROR(
IF(IFERROR(SEARCH("SS:",R159),0) &gt; 0, 
VLOOKUP(SUBSTITUTE(R159,"SS: ",""),vote4SURGE!$A:$C , 3, FALSE) - 2,
VLOOKUP(SUBSTITUTE(R159,"S: ",""),vote4SURGE!$A:$C , 3, FALSE)
)
,
IF(IFERROR(SEARCH("SS:",R159),0) &gt; 0, 
VLOOKUP(C159,vote4SURGE!$A:$C , 3, FALSE) - 2,
VLOOKUP(C159,vote4SURGE!$A:$C , 3, FALSE)
)
))</f>
        <v/>
      </c>
      <c r="T159" s="320">
        <f t="shared" si="2"/>
        <v>0</v>
      </c>
      <c r="U159" s="320">
        <f>IFERROR(__xludf.DUMMYFUNCTION("ROUND(
IF(ISBLANK(G159),,
SWITCH(
LEN(G159) - LEN(SUBSTITUTE(G159,"","","""")),
0 , VLOOKUP(G159, Variables!$A:$C, 3, FALSE),
1 , VLOOKUP(index(split(G159 ,"", "", FALSE),1,1), Variables!$A:$C , 3, FALSE) + VLOOKUP(index(split(G159 ,"", "", FALSE),1,2), V"&amp;"ariables!$A:$C , 3, FALSE),
2 , VLOOKUP(index(split(G159 ,"", "", FALSE),1,1), Variables!$A:$C , 3, FALSE) + VLOOKUP(index(split(G159 ,"", "", FALSE),1,2), Variables!$A:$C , 3, FALSE) + VLOOKUP(index(split(G159 ,"", "", FALSE),1,3), Variables!$A:$C , 3, F"&amp;"ALSE),
3 , VLOOKUP(index(split(G159 ,"", "", FALSE),1,1), Variables!$A:$C , 3, FALSE) + VLOOKUP(index(split(G159 ,"", "", FALSE),1,2), Variables!$A:$C , 3, FALSE) + VLOOKUP(index(split(G159 ,"", "", FALSE),1,3), Variables!$A:$C , 3, FALSE) + VLOOKUP(index"&amp;"(split(G159 ,"", "", FALSE),1,4), Variables!$A:$C , 3, FALSE),
)
)
)"),0.0)</f>
        <v>0</v>
      </c>
      <c r="V159" s="317">
        <f t="shared" si="3"/>
        <v>0</v>
      </c>
      <c r="W159" s="321">
        <f t="shared" si="4"/>
        <v>2.5</v>
      </c>
      <c r="X159" s="118"/>
      <c r="Y159" s="118"/>
      <c r="Z159" s="118"/>
      <c r="AA159" s="118"/>
      <c r="AB159" s="118"/>
      <c r="AC159" s="118"/>
      <c r="AD159" s="118"/>
      <c r="AE159" s="118"/>
    </row>
    <row r="160" hidden="1">
      <c r="A160" s="310">
        <v>2.0</v>
      </c>
      <c r="B160" s="93">
        <f t="shared" si="1"/>
        <v>5</v>
      </c>
      <c r="C160" s="310" t="s">
        <v>852</v>
      </c>
      <c r="D160" s="310">
        <v>75.0</v>
      </c>
      <c r="E160" s="310" t="s">
        <v>1629</v>
      </c>
      <c r="F160" s="310"/>
      <c r="G160" s="313"/>
      <c r="H160" s="312" t="str">
        <f>IFERROR(__xludf.DUMMYFUNCTION(" IF(ISBLANK(G160),,
SWITCH(
LEN(G160) - LEN(SUBSTITUTE(G160,"","","""")),
0 , VLOOKUP(G160, Variables!$A:$B, 2, FALSE),
1 , VLOOKUP(index(split(G160 ,"", "", FALSE),1,1), Variables!$A:$B , 2, FALSE) + VLOOKUP(index(split(G160 ,"", "", FALSE),1,2), Variabl"&amp;"es!$A:$B , 2, FALSE),
2 , VLOOKUP(index(split(G160 ,"", "", FALSE),1,1), Variables!$A:$B , 2, FALSE) + VLOOKUP(index(split(G160 ,"", "", FALSE),1,2), Variables!$A:$B , 2, FALSE) + VLOOKUP(index(split(G160 ,"", "", FALSE),1,3), Variables!$A:$B , 2, FALSE),"&amp;"
3 , VLOOKUP(index(split(G160 ,"", "", FALSE),1,1), Variables!$A:$B , 2, FALSE) + VLOOKUP(index(split(G160 ,"", "", FALSE),1,2), Variables!$A:$B , 2, FALSE) + VLOOKUP(index(split(G160 ,"", "", FALSE),1,3), Variables!$A:$B , 2, FALSE) + VLOOKUP(index(split"&amp;"(G160 ,"", "", FALSE),1,4), Variables!$A:$B , 2, FALSE),
)
)"),"")</f>
        <v/>
      </c>
      <c r="I160" s="310" t="s">
        <v>1659</v>
      </c>
      <c r="J160" s="313" t="s">
        <v>853</v>
      </c>
      <c r="K160" s="314">
        <f>IFERROR(VLOOKUP(C160,vote4ITEMS!$A:$C, 3, FALSE),)</f>
        <v>2.333333333</v>
      </c>
      <c r="L160" s="313"/>
      <c r="M160" s="314">
        <f>SUM(
IF(IFERROR(SEARCH("Aura 1",L160),0) &gt; 0 , VLOOKUP("Aura 1", vote4TRAITS!A:C , 3, FALSE), ),
IF(IFERROR(SEARCH("Backswing",L160),0) &gt; 0 , VLOOKUP("Backswing", vote4TRAITS!A:C , 3, FALSE), ),
IF(IFERROR(SEARCH("Blast",L160),0) &gt; 0 , VLOOKUP("Blast", vote4TRAITS!A:C , 3, FALSE), ),
IF(IFERROR(SEARCH("Combustible",L160),0) &gt; 0 , VLOOKUP("Combustible", vote4TRAITS!A:C , 3, FALSE), ),
IF(IFERROR(SEARCH("Command",L160),0) &gt; 0 , VLOOKUP("Command", vote4TRAITS!A:C , 3, FALSE), ),
IF(IFERROR(SEARCH("Cowardly",L160),0) &gt; 0 , VLOOKUP("Cowardly", vote4TRAITS!A:C , 3, FALSE), ),
IF(IFERROR(SEARCH("Death Wish",L160),0) &gt; 0 , VLOOKUP("Death Wish", vote4TRAITS!A:C , 3, FALSE), ),
IF(IFERROR(SEARCH("Entomb",L160),0) &gt; 0 , VLOOKUP("Entomb", vote4TRAITS!A:C , 3, FALSE), ),
IF(IFERROR(SEARCH("Ethereal Hold",L160),0) &gt; 0 , VLOOKUP("Ethereal Hold", vote4TRAITS!A:C , 3, FALSE), ),
IF(IFERROR(SEARCH("Extend",L160),0) &gt; 0 , VLOOKUP("Extend", vote4TRAITS!A:C , 3, FALSE), ),
IF(IFERROR(SEARCH("Filthy Murk",L160),0) &gt; 0 , VLOOKUP("Filthy Murk", vote4TRAITS!A:C , 3, FALSE), ),
IF(IFERROR(SEARCH("Flame Fiend",L160),0) &gt; 0 , VLOOKUP("Flame Fiend", vote4TRAITS!A:C , 3, FALSE), ),
IF(IFERROR(SEARCH("Fleshmonger",L160),0) &gt; 0 , VLOOKUP("Fleshmonger", vote4TRAITS!A:C , 3, FALSE), ),
IF(IFERROR(SEARCH("Fly",L160),0) &gt; 0 , VLOOKUP("Fly", vote4TRAITS!A:C , 3, FALSE), ),
IF(IFERROR(SEARCH("Freezing",L160),0) &gt; 0 , VLOOKUP("Freezing", vote4TRAITS!A:C , 3, FALSE), ),
IF(IFERROR(SEARCH("Lithesome",L160),0) &gt; 0 , VLOOKUP("Lithesome", vote4TRAITS!A:C , 3, FALSE), ),
IF(IFERROR(SEARCH("Harrowing",L160),0) &gt; 0 , VLOOKUP("Harrowing", vote4TRAITS!A:C , 3, FALSE), ),
IF(IFERROR(SEARCH("Hideous Laughter",L160),0) &gt; 0 , VLOOKUP("Hideous Laughter", vote4TRAITS!A:C , 3, FALSE), ),
IF(IFERROR(SEARCH("Hive Defense",L160),0) &gt; 0 , VLOOKUP("Hive Defense", vote4TRAITS!A:C , 3, FALSE), ),
IF(IFERROR(SEARCH("Horrifying",L160),0) &gt; 0 , VLOOKUP("Horrifying", vote4TRAITS!A:C , 3, FALSE), ),
IF(IFERROR(SEARCH("Ironskin",L160),0) &gt; 0 , VLOOKUP("Ironskin", vote4TRAITS!A:C , 3, FALSE), ),
IF(IFERROR(SEARCH("Unmovable",L160),0) &gt; 0 , VLOOKUP("Unmovable", vote4TRAITS!A:C , 3, FALSE), ),
IF(IFERROR(SEARCH("Lifethirst 1",L160),0) &gt; 0 , VLOOKUP("Lifethirst 1", vote4TRAITS!A:C , 3, FALSE), ),
IF(IFERROR(SEARCH("Lifethirst 2",L160),0) &gt; 0 , VLOOKUP("Lifethirst 2", vote4TRAITS!A:C , 3, FALSE), ),
IF(IFERROR(SEARCH("Morph",L160),0) &gt; 0 , VLOOKUP("Morph", vote4TRAITS!A:C , 3, FALSE), ),
IF(IFERROR(SEARCH("Night Stalker",L160),0) &gt; 0 , VLOOKUP("Night Stalker", vote4TRAITS!A:C , 3, FALSE), ),
IF(IFERROR(SEARCH("Overflowing",L160),0) &gt; 0 , VLOOKUP("Overflowing", vote4TRAITS!A:C , 3, FALSE), ),
IF(IFERROR(SEARCH("Pestilence",L160),0) &gt; 0 , VLOOKUP("Pestilence", vote4TRAITS!A:C , 3, FALSE), ),
IF(IFERROR(SEARCH("Phalanx",L160),0) &gt; 0 , VLOOKUP("Phalanx", vote4TRAITS!A:C , 3, FALSE), ),
IF(IFERROR(SEARCH("Plagued",L160),0) &gt; 0 , VLOOKUP("Plagued", vote4TRAITS!A:C , 3, FALSE), ),
IF(IFERROR(SEARCH("Prey on the Weak",L160),0) &gt; 0 , VLOOKUP("Prey on the Weak", vote4TRAITS!A:C , 3, FALSE), ),
IF(IFERROR(SEARCH("Protect",L160),0) &gt; 0 , VLOOKUP("Protect", vote4TRAITS!A:C , 3, FALSE), ),
IF(IFERROR(SEARCH("Puncture",L160),0) &gt; 0 , VLOOKUP("Puncture", vote4TRAITS!A:C , 3, FALSE), ),
IF(IFERROR(SEARCH("Putrid Boils",L160),0) &gt; 0 , VLOOKUP("Putrid Boils", vote4TRAITS!A:C , 3, FALSE), ),
IF(IFERROR(SEARCH("Ravage",L160),0) &gt; 0 , VLOOKUP("Ravage", vote4TRAITS!A:C , 3, FALSE), ),
IF(IFERROR(SEARCH("Ravenous",L160),0) &gt; 0 , VLOOKUP("Ravenous", vote4TRAITS!A:C , 3, FALSE), ),
IF(IFERROR(SEARCH("Reach",L160),0) &gt; 0 , VLOOKUP("Reach", vote4TRAITS!A:C , 3, FALSE), ),
IF(IFERROR(SEARCH("Reanimation",L160),0) &gt; 0 , VLOOKUP("Reanimation", vote4TRAITS!A:C , 3, FALSE), ),
IF(IFERROR(SEARCH("Reaper",L160),0) &gt; 0 , VLOOKUP("Reaper", vote4TRAITS!A:C , 3, FALSE), ),
IF(IFERROR(SEARCH("Riposte",L160),0) &gt; 0 , VLOOKUP("Riposte", vote4TRAITS!A:C , 3, FALSE)),
IF(IFERROR(SEARCH("Scamper",L160),0) &gt; 0 , VLOOKUP("Scamper", vote4TRAITS!A:C , 3, FALSE), ),
IF(IFERROR(SEARCH("Small Beginnings",L160),0) &gt; 0 , VLOOKUP("Small Beginnings", vote4TRAITS!A:C , 3, FALSE), ),
IF(IFERROR(SEARCH("Spawner",L160),0) &gt; 0 , VLOOKUP("Spawner", vote4TRAITS!A:C , 3,FALSE), ),
IF(IFERROR(SEARCH("Shadowr",L160),0) &gt; 0 , VLOOKUP("Shadow", vote4TRAITS!A:C , 3,FALSE), ),
IF(IFERROR(SEARCH("Shadow Step",L160),0) &gt; 0 , VLOOKUP("Shadow Step", vote4TRAITS!A:C , 3,FALSE), ),
IF(IFERROR(SEARCH("Shambling",L160),0) &gt; 0 , VLOOKUP("Shambling", vote4TRAITS!A:C , 3,FALSE), ),
IF(IFERROR(SEARCH("Stealthy",L160),0) &gt; 0 , VLOOKUP("Stealthy", vote4TRAITS!A:C , 3, FALSE), ),
IF(IFERROR(SEARCH("Web",L160),0) &gt; 0 , VLOOKUP("Web", vote4TRAITS!A:C , 3, FALSE), ),
IF(IFERROR(SEARCH("+1 Willpower",L160),0) &gt; 0 , VLOOKUP("+1 Willpower", vote4TRAITS!A:C , 3, FALSE), ),
IF(IFERROR(SEARCH("+1 Might",L160),0) &gt; 0 , VLOOKUP("+1 Might", vote4TRAITS!A:C , 3, FALSE), ),
IF(IFERROR(SEARCH("+1 Knowledge",L160),0) &gt; 0 , VLOOKUP("+1 Knowledge", vote4TRAITS!A:C , 3, FALSE), ),
IF(IFERROR(SEARCH("+1 Awareness",L160),0) &gt; 0 , VLOOKUP("+1 Awareness", vote4TRAITS!A:C , 3, FALSE), ),
IF(IFERROR(SEARCH("-1 Willpower",L160),0) &gt; 0 , VLOOKUP("-1 Willpower", vote4TRAITS!A:C , 3, FALSE), ),
IF(IFERROR(SEARCH("+1 Health",L160),0) &gt; 0 , VLOOKUP("+1 Health", vote4TRAITS!A:C , 3, FALSE), ),
IF(IFERROR(SEARCH("+2 Health",L160),0) &gt; 0 , VLOOKUP("+2 Health", vote4TRAITS!A:C , 3, FALSE), ),
IF(IFERROR(SEARCH("+1 Stamina",L160),0) &gt; 0 , VLOOKUP("+1 Stamina", vote4TRAITS!A:C , 3, FALSE), ),
IF(IFERROR(SEARCH("+2 Stamina",L160),0) &gt; 0 , VLOOKUP("+2 Stamina", vote4TRAITS!A:C , 3, FALSE), ),
IFS(
IFERROR(SEARCH("+1 Range", L160),) &gt; 0 ,VLOOKUP("+1 Range", vote4TRAITS!A:C , 3, FALSE),
IFERROR(SEARCH("+2 Range", L160),) &gt; 0 ,VLOOKUP("+2 Range", vote4TRAITS!A:C , 3, FALSE),
IFERROR(SEARCH("+3 Range", L160),) &gt; 0,VLOOKUP("+3 Range", vote4TRAITS!A:C , 3, FALSE),
0=0,0)
,
IFS(
IFERROR(SEARCH("Sorcery 1", L160),) &gt; 0 ,VLOOKUP("Sorcery 1", vote4TRAITS!A:C , 3, FALSE),
IFERROR(SEARCH("Sorcery 2", L160),) &gt; 0 ,VLOOKUP("Sorcery 2", vote4TRAITS!A:C , 3, FALSE),
IFERROR(SEARCH("Sorcery 3", L160),) &gt; 0,VLOOKUP("Sorcery 3", vote4TRAITS!A:C , 3, FALSE),
0=0,0)
,
IFS(
IFERROR(SEARCH("Pierce 1", L160),) &gt; 0 ,VLOOKUP("Pierce 1", vote4TRAITS!A:C , 3, FALSE),
IFERROR(SEARCH("Pierce 2", L160),) &gt; 0 ,VLOOKUP("Pierce 2", vote4TRAITS!A:C , 3, FALSE),
IFERROR(SEARCH("Pierce 3", L160),) &gt; 0,VLOOKUP("Pierce 3", vote4TRAITS!A:C , 3, FALSE),
IFERROR(SEARCH("Pierce 4", L160),) &gt; 0 ,VLOOKUP("Pierce 4", vote4TRAITS!A:C , 3, FALSE),
0=0,0)
,
IFS(
IFERROR(SEARCH("+1 Health", L160),) &gt; 0 ,VLOOKUP("+1 Health", vote4TRAITS!A:C , 3, FALSE),
IFERROR(SEARCH("+2 Health", L160),) &gt; 0 ,VLOOKUP("+2 Health", vote4TRAITS!A:C , 3, FALSE),
IFERROR(SEARCH("+3 Health", L160),) &gt; 0 ,VLOOKUP("+3 Health", vote4TRAITS!A:C , 3, FALSE),
IFERROR(SEARCH("+4 Health", L160),) &gt; 0 ,VLOOKUP("+4 Health", vote4TRAITS!A:C , 3, FALSE),
0=0,0)
,
IFS(
IFERROR(SEARCH("Soul Shackle 1", L160),) &gt; 0 ,VLOOKUP("Soul Shackle 1", vote4TRAITS!A:C , 3, FALSE),
IFERROR(SEARCH("Soul Shackle 2", L160),) &gt; 0 ,VLOOKUP("Soul Shackle 2", vote4TRAITS!A:C , 3, FALSE),
IFERROR(SEARCH("Soul Shackle 3", L160),) &gt; 0,VLOOKUP("Soul Shackle 3", vote4TRAITS!A:C , 3, FALSE),
0=0,0)
)</f>
        <v>0</v>
      </c>
      <c r="N160" s="313"/>
      <c r="O160" s="317" t="str">
        <f>IF(ISBLANK(N160),,IFERROR(
IF(IFERROR(SEARCH("SS:",N160),0) &gt; 0, 
VLOOKUP(SUBSTITUTE(N160,"SS: ",""),vote4SURGE!$A:$C , 3, FALSE) - 2,
VLOOKUP(SUBSTITUTE(N160,"S: ",""),vote4SURGE!$A:$C , 3, FALSE)
)
,
IF(IFERROR(SEARCH("SS:",N160),0) &gt; 0, 
VLOOKUP(C160,vote4SURGE!$A:$C , 3, FALSE) - 2,
VLOOKUP(C160,vote4SURGE!$A:$C , 3, FALSE)
)
))</f>
        <v/>
      </c>
      <c r="P160" s="318"/>
      <c r="Q160" s="317" t="str">
        <f>IF(ISBLANK(P160),,IFERROR(
IF(IFERROR(SEARCH("SS:",P160),0) &gt; 0, 
VLOOKUP(SUBSTITUTE(P160,"SS: ",""),vote4SURGE!$A:$C , 3, FALSE) - 2,
VLOOKUP(SUBSTITUTE(P160,"S: ",""),vote4SURGE!$A:$C , 3, FALSE)
)
,
IF(IFERROR(SEARCH("SS:",P160),0) &gt; 0, 
VLOOKUP(C160,vote4SURGE!$A:$C , 3, FALSE) - 2,
VLOOKUP(C160,vote4SURGE!$A:$C , 3, FALSE)
)
))</f>
        <v/>
      </c>
      <c r="R160" s="318"/>
      <c r="S160" s="319" t="str">
        <f>IF(ISBLANK(R160),,IFERROR(
IF(IFERROR(SEARCH("SS:",R160),0) &gt; 0, 
VLOOKUP(SUBSTITUTE(R160,"SS: ",""),vote4SURGE!$A:$C , 3, FALSE) - 2,
VLOOKUP(SUBSTITUTE(R160,"S: ",""),vote4SURGE!$A:$C , 3, FALSE)
)
,
IF(IFERROR(SEARCH("SS:",R160),0) &gt; 0, 
VLOOKUP(C160,vote4SURGE!$A:$C , 3, FALSE) - 2,
VLOOKUP(C160,vote4SURGE!$A:$C , 3, FALSE)
)
))</f>
        <v/>
      </c>
      <c r="T160" s="320">
        <f t="shared" si="2"/>
        <v>0</v>
      </c>
      <c r="U160" s="320">
        <f>IFERROR(__xludf.DUMMYFUNCTION("ROUND(
IF(ISBLANK(G160),,
SWITCH(
LEN(G160) - LEN(SUBSTITUTE(G160,"","","""")),
0 , VLOOKUP(G160, Variables!$A:$C, 3, FALSE),
1 , VLOOKUP(index(split(G160 ,"", "", FALSE),1,1), Variables!$A:$C , 3, FALSE) + VLOOKUP(index(split(G160 ,"", "", FALSE),1,2), V"&amp;"ariables!$A:$C , 3, FALSE),
2 , VLOOKUP(index(split(G160 ,"", "", FALSE),1,1), Variables!$A:$C , 3, FALSE) + VLOOKUP(index(split(G160 ,"", "", FALSE),1,2), Variables!$A:$C , 3, FALSE) + VLOOKUP(index(split(G160 ,"", "", FALSE),1,3), Variables!$A:$C , 3, F"&amp;"ALSE),
3 , VLOOKUP(index(split(G160 ,"", "", FALSE),1,1), Variables!$A:$C , 3, FALSE) + VLOOKUP(index(split(G160 ,"", "", FALSE),1,2), Variables!$A:$C , 3, FALSE) + VLOOKUP(index(split(G160 ,"", "", FALSE),1,3), Variables!$A:$C , 3, FALSE) + VLOOKUP(index"&amp;"(split(G160 ,"", "", FALSE),1,4), Variables!$A:$C , 3, FALSE),
)
)
)"),0.0)</f>
        <v>0</v>
      </c>
      <c r="V160" s="317">
        <f t="shared" si="3"/>
        <v>0</v>
      </c>
      <c r="W160" s="321">
        <f t="shared" si="4"/>
        <v>2.333333333</v>
      </c>
      <c r="X160" s="118"/>
      <c r="Y160" s="118"/>
      <c r="Z160" s="118"/>
      <c r="AA160" s="118"/>
      <c r="AB160" s="118"/>
      <c r="AC160" s="118"/>
      <c r="AD160" s="118"/>
      <c r="AE160" s="118"/>
    </row>
    <row r="161" hidden="1">
      <c r="A161" s="310">
        <v>1.0</v>
      </c>
      <c r="B161" s="93">
        <f t="shared" si="1"/>
        <v>1</v>
      </c>
      <c r="C161" s="310" t="s">
        <v>812</v>
      </c>
      <c r="D161" s="310">
        <v>50.0</v>
      </c>
      <c r="E161" s="310" t="s">
        <v>1629</v>
      </c>
      <c r="F161" s="310"/>
      <c r="G161" s="313"/>
      <c r="H161" s="312" t="str">
        <f>IFERROR(__xludf.DUMMYFUNCTION(" IF(ISBLANK(G161),,
SWITCH(
LEN(G161) - LEN(SUBSTITUTE(G161,"","","""")),
0 , VLOOKUP(G161, Variables!$A:$B, 2, FALSE),
1 , VLOOKUP(index(split(G161 ,"", "", FALSE),1,1), Variables!$A:$B , 2, FALSE) + VLOOKUP(index(split(G161 ,"", "", FALSE),1,2), Variabl"&amp;"es!$A:$B , 2, FALSE),
2 , VLOOKUP(index(split(G161 ,"", "", FALSE),1,1), Variables!$A:$B , 2, FALSE) + VLOOKUP(index(split(G161 ,"", "", FALSE),1,2), Variables!$A:$B , 2, FALSE) + VLOOKUP(index(split(G161 ,"", "", FALSE),1,3), Variables!$A:$B , 2, FALSE),"&amp;"
3 , VLOOKUP(index(split(G161 ,"", "", FALSE),1,1), Variables!$A:$B , 2, FALSE) + VLOOKUP(index(split(G161 ,"", "", FALSE),1,2), Variables!$A:$B , 2, FALSE) + VLOOKUP(index(split(G161 ,"", "", FALSE),1,3), Variables!$A:$B , 2, FALSE) + VLOOKUP(index(split"&amp;"(G161 ,"", "", FALSE),1,4), Variables!$A:$B , 2, FALSE),
)
)"),"")</f>
        <v/>
      </c>
      <c r="I161" s="310" t="s">
        <v>1641</v>
      </c>
      <c r="J161" s="313" t="s">
        <v>813</v>
      </c>
      <c r="K161" s="314">
        <f>IFERROR(VLOOKUP(C161,vote4ITEMS!$A:$C, 3, FALSE),)</f>
        <v>2</v>
      </c>
      <c r="L161" s="313"/>
      <c r="M161" s="314">
        <f>SUM(
IF(IFERROR(SEARCH("Aura 1",L161),0) &gt; 0 , VLOOKUP("Aura 1", vote4TRAITS!A:C , 3, FALSE), ),
IF(IFERROR(SEARCH("Backswing",L161),0) &gt; 0 , VLOOKUP("Backswing", vote4TRAITS!A:C , 3, FALSE), ),
IF(IFERROR(SEARCH("Blast",L161),0) &gt; 0 , VLOOKUP("Blast", vote4TRAITS!A:C , 3, FALSE), ),
IF(IFERROR(SEARCH("Combustible",L161),0) &gt; 0 , VLOOKUP("Combustible", vote4TRAITS!A:C , 3, FALSE), ),
IF(IFERROR(SEARCH("Command",L161),0) &gt; 0 , VLOOKUP("Command", vote4TRAITS!A:C , 3, FALSE), ),
IF(IFERROR(SEARCH("Cowardly",L161),0) &gt; 0 , VLOOKUP("Cowardly", vote4TRAITS!A:C , 3, FALSE), ),
IF(IFERROR(SEARCH("Death Wish",L161),0) &gt; 0 , VLOOKUP("Death Wish", vote4TRAITS!A:C , 3, FALSE), ),
IF(IFERROR(SEARCH("Entomb",L161),0) &gt; 0 , VLOOKUP("Entomb", vote4TRAITS!A:C , 3, FALSE), ),
IF(IFERROR(SEARCH("Ethereal Hold",L161),0) &gt; 0 , VLOOKUP("Ethereal Hold", vote4TRAITS!A:C , 3, FALSE), ),
IF(IFERROR(SEARCH("Extend",L161),0) &gt; 0 , VLOOKUP("Extend", vote4TRAITS!A:C , 3, FALSE), ),
IF(IFERROR(SEARCH("Filthy Murk",L161),0) &gt; 0 , VLOOKUP("Filthy Murk", vote4TRAITS!A:C , 3, FALSE), ),
IF(IFERROR(SEARCH("Flame Fiend",L161),0) &gt; 0 , VLOOKUP("Flame Fiend", vote4TRAITS!A:C , 3, FALSE), ),
IF(IFERROR(SEARCH("Fleshmonger",L161),0) &gt; 0 , VLOOKUP("Fleshmonger", vote4TRAITS!A:C , 3, FALSE), ),
IF(IFERROR(SEARCH("Fly",L161),0) &gt; 0 , VLOOKUP("Fly", vote4TRAITS!A:C , 3, FALSE), ),
IF(IFERROR(SEARCH("Freezing",L161),0) &gt; 0 , VLOOKUP("Freezing", vote4TRAITS!A:C , 3, FALSE), ),
IF(IFERROR(SEARCH("Lithesome",L161),0) &gt; 0 , VLOOKUP("Lithesome", vote4TRAITS!A:C , 3, FALSE), ),
IF(IFERROR(SEARCH("Harrowing",L161),0) &gt; 0 , VLOOKUP("Harrowing", vote4TRAITS!A:C , 3, FALSE), ),
IF(IFERROR(SEARCH("Hideous Laughter",L161),0) &gt; 0 , VLOOKUP("Hideous Laughter", vote4TRAITS!A:C , 3, FALSE), ),
IF(IFERROR(SEARCH("Hive Defense",L161),0) &gt; 0 , VLOOKUP("Hive Defense", vote4TRAITS!A:C , 3, FALSE), ),
IF(IFERROR(SEARCH("Horrifying",L161),0) &gt; 0 , VLOOKUP("Horrifying", vote4TRAITS!A:C , 3, FALSE), ),
IF(IFERROR(SEARCH("Ironskin",L161),0) &gt; 0 , VLOOKUP("Ironskin", vote4TRAITS!A:C , 3, FALSE), ),
IF(IFERROR(SEARCH("Unmovable",L161),0) &gt; 0 , VLOOKUP("Unmovable", vote4TRAITS!A:C , 3, FALSE), ),
IF(IFERROR(SEARCH("Lifethirst 1",L161),0) &gt; 0 , VLOOKUP("Lifethirst 1", vote4TRAITS!A:C , 3, FALSE), ),
IF(IFERROR(SEARCH("Lifethirst 2",L161),0) &gt; 0 , VLOOKUP("Lifethirst 2", vote4TRAITS!A:C , 3, FALSE), ),
IF(IFERROR(SEARCH("Morph",L161),0) &gt; 0 , VLOOKUP("Morph", vote4TRAITS!A:C , 3, FALSE), ),
IF(IFERROR(SEARCH("Night Stalker",L161),0) &gt; 0 , VLOOKUP("Night Stalker", vote4TRAITS!A:C , 3, FALSE), ),
IF(IFERROR(SEARCH("Overflowing",L161),0) &gt; 0 , VLOOKUP("Overflowing", vote4TRAITS!A:C , 3, FALSE), ),
IF(IFERROR(SEARCH("Pestilence",L161),0) &gt; 0 , VLOOKUP("Pestilence", vote4TRAITS!A:C , 3, FALSE), ),
IF(IFERROR(SEARCH("Phalanx",L161),0) &gt; 0 , VLOOKUP("Phalanx", vote4TRAITS!A:C , 3, FALSE), ),
IF(IFERROR(SEARCH("Plagued",L161),0) &gt; 0 , VLOOKUP("Plagued", vote4TRAITS!A:C , 3, FALSE), ),
IF(IFERROR(SEARCH("Prey on the Weak",L161),0) &gt; 0 , VLOOKUP("Prey on the Weak", vote4TRAITS!A:C , 3, FALSE), ),
IF(IFERROR(SEARCH("Protect",L161),0) &gt; 0 , VLOOKUP("Protect", vote4TRAITS!A:C , 3, FALSE), ),
IF(IFERROR(SEARCH("Puncture",L161),0) &gt; 0 , VLOOKUP("Puncture", vote4TRAITS!A:C , 3, FALSE), ),
IF(IFERROR(SEARCH("Putrid Boils",L161),0) &gt; 0 , VLOOKUP("Putrid Boils", vote4TRAITS!A:C , 3, FALSE), ),
IF(IFERROR(SEARCH("Ravage",L161),0) &gt; 0 , VLOOKUP("Ravage", vote4TRAITS!A:C , 3, FALSE), ),
IF(IFERROR(SEARCH("Ravenous",L161),0) &gt; 0 , VLOOKUP("Ravenous", vote4TRAITS!A:C , 3, FALSE), ),
IF(IFERROR(SEARCH("Reach",L161),0) &gt; 0 , VLOOKUP("Reach", vote4TRAITS!A:C , 3, FALSE), ),
IF(IFERROR(SEARCH("Reanimation",L161),0) &gt; 0 , VLOOKUP("Reanimation", vote4TRAITS!A:C , 3, FALSE), ),
IF(IFERROR(SEARCH("Reaper",L161),0) &gt; 0 , VLOOKUP("Reaper", vote4TRAITS!A:C , 3, FALSE), ),
IF(IFERROR(SEARCH("Riposte",L161),0) &gt; 0 , VLOOKUP("Riposte", vote4TRAITS!A:C , 3, FALSE)),
IF(IFERROR(SEARCH("Scamper",L161),0) &gt; 0 , VLOOKUP("Scamper", vote4TRAITS!A:C , 3, FALSE), ),
IF(IFERROR(SEARCH("Small Beginnings",L161),0) &gt; 0 , VLOOKUP("Small Beginnings", vote4TRAITS!A:C , 3, FALSE), ),
IF(IFERROR(SEARCH("Spawner",L161),0) &gt; 0 , VLOOKUP("Spawner", vote4TRAITS!A:C , 3,FALSE), ),
IF(IFERROR(SEARCH("Shadowr",L161),0) &gt; 0 , VLOOKUP("Shadow", vote4TRAITS!A:C , 3,FALSE), ),
IF(IFERROR(SEARCH("Shadow Step",L161),0) &gt; 0 , VLOOKUP("Shadow Step", vote4TRAITS!A:C , 3,FALSE), ),
IF(IFERROR(SEARCH("Shambling",L161),0) &gt; 0 , VLOOKUP("Shambling", vote4TRAITS!A:C , 3,FALSE), ),
IF(IFERROR(SEARCH("Stealthy",L161),0) &gt; 0 , VLOOKUP("Stealthy", vote4TRAITS!A:C , 3, FALSE), ),
IF(IFERROR(SEARCH("Web",L161),0) &gt; 0 , VLOOKUP("Web", vote4TRAITS!A:C , 3, FALSE), ),
IF(IFERROR(SEARCH("+1 Willpower",L161),0) &gt; 0 , VLOOKUP("+1 Willpower", vote4TRAITS!A:C , 3, FALSE), ),
IF(IFERROR(SEARCH("+1 Might",L161),0) &gt; 0 , VLOOKUP("+1 Might", vote4TRAITS!A:C , 3, FALSE), ),
IF(IFERROR(SEARCH("+1 Knowledge",L161),0) &gt; 0 , VLOOKUP("+1 Knowledge", vote4TRAITS!A:C , 3, FALSE), ),
IF(IFERROR(SEARCH("+1 Awareness",L161),0) &gt; 0 , VLOOKUP("+1 Awareness", vote4TRAITS!A:C , 3, FALSE), ),
IF(IFERROR(SEARCH("-1 Willpower",L161),0) &gt; 0 , VLOOKUP("-1 Willpower", vote4TRAITS!A:C , 3, FALSE), ),
IF(IFERROR(SEARCH("+1 Health",L161),0) &gt; 0 , VLOOKUP("+1 Health", vote4TRAITS!A:C , 3, FALSE), ),
IF(IFERROR(SEARCH("+2 Health",L161),0) &gt; 0 , VLOOKUP("+2 Health", vote4TRAITS!A:C , 3, FALSE), ),
IF(IFERROR(SEARCH("+1 Stamina",L161),0) &gt; 0 , VLOOKUP("+1 Stamina", vote4TRAITS!A:C , 3, FALSE), ),
IF(IFERROR(SEARCH("+2 Stamina",L161),0) &gt; 0 , VLOOKUP("+2 Stamina", vote4TRAITS!A:C , 3, FALSE), ),
IFS(
IFERROR(SEARCH("+1 Range", L161),) &gt; 0 ,VLOOKUP("+1 Range", vote4TRAITS!A:C , 3, FALSE),
IFERROR(SEARCH("+2 Range", L161),) &gt; 0 ,VLOOKUP("+2 Range", vote4TRAITS!A:C , 3, FALSE),
IFERROR(SEARCH("+3 Range", L161),) &gt; 0,VLOOKUP("+3 Range", vote4TRAITS!A:C , 3, FALSE),
0=0,0)
,
IFS(
IFERROR(SEARCH("Sorcery 1", L161),) &gt; 0 ,VLOOKUP("Sorcery 1", vote4TRAITS!A:C , 3, FALSE),
IFERROR(SEARCH("Sorcery 2", L161),) &gt; 0 ,VLOOKUP("Sorcery 2", vote4TRAITS!A:C , 3, FALSE),
IFERROR(SEARCH("Sorcery 3", L161),) &gt; 0,VLOOKUP("Sorcery 3", vote4TRAITS!A:C , 3, FALSE),
0=0,0)
,
IFS(
IFERROR(SEARCH("Pierce 1", L161),) &gt; 0 ,VLOOKUP("Pierce 1", vote4TRAITS!A:C , 3, FALSE),
IFERROR(SEARCH("Pierce 2", L161),) &gt; 0 ,VLOOKUP("Pierce 2", vote4TRAITS!A:C , 3, FALSE),
IFERROR(SEARCH("Pierce 3", L161),) &gt; 0,VLOOKUP("Pierce 3", vote4TRAITS!A:C , 3, FALSE),
IFERROR(SEARCH("Pierce 4", L161),) &gt; 0 ,VLOOKUP("Pierce 4", vote4TRAITS!A:C , 3, FALSE),
0=0,0)
,
IFS(
IFERROR(SEARCH("+1 Health", L161),) &gt; 0 ,VLOOKUP("+1 Health", vote4TRAITS!A:C , 3, FALSE),
IFERROR(SEARCH("+2 Health", L161),) &gt; 0 ,VLOOKUP("+2 Health", vote4TRAITS!A:C , 3, FALSE),
IFERROR(SEARCH("+3 Health", L161),) &gt; 0 ,VLOOKUP("+3 Health", vote4TRAITS!A:C , 3, FALSE),
IFERROR(SEARCH("+4 Health", L161),) &gt; 0 ,VLOOKUP("+4 Health", vote4TRAITS!A:C , 3, FALSE),
0=0,0)
,
IFS(
IFERROR(SEARCH("Soul Shackle 1", L161),) &gt; 0 ,VLOOKUP("Soul Shackle 1", vote4TRAITS!A:C , 3, FALSE),
IFERROR(SEARCH("Soul Shackle 2", L161),) &gt; 0 ,VLOOKUP("Soul Shackle 2", vote4TRAITS!A:C , 3, FALSE),
IFERROR(SEARCH("Soul Shackle 3", L161),) &gt; 0,VLOOKUP("Soul Shackle 3", vote4TRAITS!A:C , 3, FALSE),
0=0,0)
)</f>
        <v>0</v>
      </c>
      <c r="N161" s="313"/>
      <c r="O161" s="317" t="str">
        <f>IF(ISBLANK(N161),,IFERROR(
IF(IFERROR(SEARCH("SS:",N161),0) &gt; 0, 
VLOOKUP(SUBSTITUTE(N161,"SS: ",""),vote4SURGE!$A:$C , 3, FALSE) - 2,
VLOOKUP(SUBSTITUTE(N161,"S: ",""),vote4SURGE!$A:$C , 3, FALSE)
)
,
IF(IFERROR(SEARCH("SS:",N161),0) &gt; 0, 
VLOOKUP(C161,vote4SURGE!$A:$C , 3, FALSE) - 2,
VLOOKUP(C161,vote4SURGE!$A:$C , 3, FALSE)
)
))</f>
        <v/>
      </c>
      <c r="P161" s="318"/>
      <c r="Q161" s="317" t="str">
        <f>IF(ISBLANK(P161),,IFERROR(
IF(IFERROR(SEARCH("SS:",P161),0) &gt; 0, 
VLOOKUP(SUBSTITUTE(P161,"SS: ",""),vote4SURGE!$A:$C , 3, FALSE) - 2,
VLOOKUP(SUBSTITUTE(P161,"S: ",""),vote4SURGE!$A:$C , 3, FALSE)
)
,
IF(IFERROR(SEARCH("SS:",P161),0) &gt; 0, 
VLOOKUP(C161,vote4SURGE!$A:$C , 3, FALSE) - 2,
VLOOKUP(C161,vote4SURGE!$A:$C , 3, FALSE)
)
))</f>
        <v/>
      </c>
      <c r="R161" s="318"/>
      <c r="S161" s="319" t="str">
        <f>IF(ISBLANK(R161),,IFERROR(
IF(IFERROR(SEARCH("SS:",R161),0) &gt; 0, 
VLOOKUP(SUBSTITUTE(R161,"SS: ",""),vote4SURGE!$A:$C , 3, FALSE) - 2,
VLOOKUP(SUBSTITUTE(R161,"S: ",""),vote4SURGE!$A:$C , 3, FALSE)
)
,
IF(IFERROR(SEARCH("SS:",R161),0) &gt; 0, 
VLOOKUP(C161,vote4SURGE!$A:$C , 3, FALSE) - 2,
VLOOKUP(C161,vote4SURGE!$A:$C , 3, FALSE)
)
))</f>
        <v/>
      </c>
      <c r="T161" s="320">
        <f t="shared" si="2"/>
        <v>0</v>
      </c>
      <c r="U161" s="320">
        <f>IFERROR(__xludf.DUMMYFUNCTION("ROUND(
IF(ISBLANK(G161),,
SWITCH(
LEN(G161) - LEN(SUBSTITUTE(G161,"","","""")),
0 , VLOOKUP(G161, Variables!$A:$C, 3, FALSE),
1 , VLOOKUP(index(split(G161 ,"", "", FALSE),1,1), Variables!$A:$C , 3, FALSE) + VLOOKUP(index(split(G161 ,"", "", FALSE),1,2), V"&amp;"ariables!$A:$C , 3, FALSE),
2 , VLOOKUP(index(split(G161 ,"", "", FALSE),1,1), Variables!$A:$C , 3, FALSE) + VLOOKUP(index(split(G161 ,"", "", FALSE),1,2), Variables!$A:$C , 3, FALSE) + VLOOKUP(index(split(G161 ,"", "", FALSE),1,3), Variables!$A:$C , 3, F"&amp;"ALSE),
3 , VLOOKUP(index(split(G161 ,"", "", FALSE),1,1), Variables!$A:$C , 3, FALSE) + VLOOKUP(index(split(G161 ,"", "", FALSE),1,2), Variables!$A:$C , 3, FALSE) + VLOOKUP(index(split(G161 ,"", "", FALSE),1,3), Variables!$A:$C , 3, FALSE) + VLOOKUP(index"&amp;"(split(G161 ,"", "", FALSE),1,4), Variables!$A:$C , 3, FALSE),
)
)
)"),0.0)</f>
        <v>0</v>
      </c>
      <c r="V161" s="317">
        <f t="shared" si="3"/>
        <v>0</v>
      </c>
      <c r="W161" s="321">
        <f t="shared" si="4"/>
        <v>2</v>
      </c>
      <c r="X161" s="118"/>
      <c r="Y161" s="118"/>
      <c r="Z161" s="118"/>
      <c r="AA161" s="118"/>
      <c r="AB161" s="118"/>
      <c r="AC161" s="118"/>
      <c r="AD161" s="118"/>
      <c r="AE161" s="118"/>
    </row>
    <row r="162" hidden="1">
      <c r="A162" s="310">
        <v>1.0</v>
      </c>
      <c r="B162" s="93">
        <f t="shared" si="1"/>
        <v>1</v>
      </c>
      <c r="C162" s="310" t="s">
        <v>806</v>
      </c>
      <c r="D162" s="310">
        <v>100.0</v>
      </c>
      <c r="E162" s="310" t="s">
        <v>1629</v>
      </c>
      <c r="F162" s="310"/>
      <c r="G162" s="313"/>
      <c r="H162" s="312" t="str">
        <f>IFERROR(__xludf.DUMMYFUNCTION(" IF(ISBLANK(G162),,
SWITCH(
LEN(G162) - LEN(SUBSTITUTE(G162,"","","""")),
0 , VLOOKUP(G162, Variables!$A:$B, 2, FALSE),
1 , VLOOKUP(index(split(G162 ,"", "", FALSE),1,1), Variables!$A:$B , 2, FALSE) + VLOOKUP(index(split(G162 ,"", "", FALSE),1,2), Variabl"&amp;"es!$A:$B , 2, FALSE),
2 , VLOOKUP(index(split(G162 ,"", "", FALSE),1,1), Variables!$A:$B , 2, FALSE) + VLOOKUP(index(split(G162 ,"", "", FALSE),1,2), Variables!$A:$B , 2, FALSE) + VLOOKUP(index(split(G162 ,"", "", FALSE),1,3), Variables!$A:$B , 2, FALSE),"&amp;"
3 , VLOOKUP(index(split(G162 ,"", "", FALSE),1,1), Variables!$A:$B , 2, FALSE) + VLOOKUP(index(split(G162 ,"", "", FALSE),1,2), Variables!$A:$B , 2, FALSE) + VLOOKUP(index(split(G162 ,"", "", FALSE),1,3), Variables!$A:$B , 2, FALSE) + VLOOKUP(index(split"&amp;"(G162 ,"", "", FALSE),1,4), Variables!$A:$B , 2, FALSE),
)
)"),"")</f>
        <v/>
      </c>
      <c r="I162" s="310" t="s">
        <v>1641</v>
      </c>
      <c r="J162" s="313" t="s">
        <v>807</v>
      </c>
      <c r="K162" s="314">
        <f>IFERROR(VLOOKUP(C162,vote4ITEMS!$A:$C, 3, FALSE),)</f>
        <v>2</v>
      </c>
      <c r="L162" s="313"/>
      <c r="M162" s="314">
        <f>SUM(
IF(IFERROR(SEARCH("Aura 1",L162),0) &gt; 0 , VLOOKUP("Aura 1", vote4TRAITS!A:C , 3, FALSE), ),
IF(IFERROR(SEARCH("Backswing",L162),0) &gt; 0 , VLOOKUP("Backswing", vote4TRAITS!A:C , 3, FALSE), ),
IF(IFERROR(SEARCH("Blast",L162),0) &gt; 0 , VLOOKUP("Blast", vote4TRAITS!A:C , 3, FALSE), ),
IF(IFERROR(SEARCH("Combustible",L162),0) &gt; 0 , VLOOKUP("Combustible", vote4TRAITS!A:C , 3, FALSE), ),
IF(IFERROR(SEARCH("Command",L162),0) &gt; 0 , VLOOKUP("Command", vote4TRAITS!A:C , 3, FALSE), ),
IF(IFERROR(SEARCH("Cowardly",L162),0) &gt; 0 , VLOOKUP("Cowardly", vote4TRAITS!A:C , 3, FALSE), ),
IF(IFERROR(SEARCH("Death Wish",L162),0) &gt; 0 , VLOOKUP("Death Wish", vote4TRAITS!A:C , 3, FALSE), ),
IF(IFERROR(SEARCH("Entomb",L162),0) &gt; 0 , VLOOKUP("Entomb", vote4TRAITS!A:C , 3, FALSE), ),
IF(IFERROR(SEARCH("Ethereal Hold",L162),0) &gt; 0 , VLOOKUP("Ethereal Hold", vote4TRAITS!A:C , 3, FALSE), ),
IF(IFERROR(SEARCH("Extend",L162),0) &gt; 0 , VLOOKUP("Extend", vote4TRAITS!A:C , 3, FALSE), ),
IF(IFERROR(SEARCH("Filthy Murk",L162),0) &gt; 0 , VLOOKUP("Filthy Murk", vote4TRAITS!A:C , 3, FALSE), ),
IF(IFERROR(SEARCH("Flame Fiend",L162),0) &gt; 0 , VLOOKUP("Flame Fiend", vote4TRAITS!A:C , 3, FALSE), ),
IF(IFERROR(SEARCH("Fleshmonger",L162),0) &gt; 0 , VLOOKUP("Fleshmonger", vote4TRAITS!A:C , 3, FALSE), ),
IF(IFERROR(SEARCH("Fly",L162),0) &gt; 0 , VLOOKUP("Fly", vote4TRAITS!A:C , 3, FALSE), ),
IF(IFERROR(SEARCH("Freezing",L162),0) &gt; 0 , VLOOKUP("Freezing", vote4TRAITS!A:C , 3, FALSE), ),
IF(IFERROR(SEARCH("Lithesome",L162),0) &gt; 0 , VLOOKUP("Lithesome", vote4TRAITS!A:C , 3, FALSE), ),
IF(IFERROR(SEARCH("Harrowing",L162),0) &gt; 0 , VLOOKUP("Harrowing", vote4TRAITS!A:C , 3, FALSE), ),
IF(IFERROR(SEARCH("Hideous Laughter",L162),0) &gt; 0 , VLOOKUP("Hideous Laughter", vote4TRAITS!A:C , 3, FALSE), ),
IF(IFERROR(SEARCH("Hive Defense",L162),0) &gt; 0 , VLOOKUP("Hive Defense", vote4TRAITS!A:C , 3, FALSE), ),
IF(IFERROR(SEARCH("Horrifying",L162),0) &gt; 0 , VLOOKUP("Horrifying", vote4TRAITS!A:C , 3, FALSE), ),
IF(IFERROR(SEARCH("Ironskin",L162),0) &gt; 0 , VLOOKUP("Ironskin", vote4TRAITS!A:C , 3, FALSE), ),
IF(IFERROR(SEARCH("Unmovable",L162),0) &gt; 0 , VLOOKUP("Unmovable", vote4TRAITS!A:C , 3, FALSE), ),
IF(IFERROR(SEARCH("Lifethirst 1",L162),0) &gt; 0 , VLOOKUP("Lifethirst 1", vote4TRAITS!A:C , 3, FALSE), ),
IF(IFERROR(SEARCH("Lifethirst 2",L162),0) &gt; 0 , VLOOKUP("Lifethirst 2", vote4TRAITS!A:C , 3, FALSE), ),
IF(IFERROR(SEARCH("Morph",L162),0) &gt; 0 , VLOOKUP("Morph", vote4TRAITS!A:C , 3, FALSE), ),
IF(IFERROR(SEARCH("Night Stalker",L162),0) &gt; 0 , VLOOKUP("Night Stalker", vote4TRAITS!A:C , 3, FALSE), ),
IF(IFERROR(SEARCH("Overflowing",L162),0) &gt; 0 , VLOOKUP("Overflowing", vote4TRAITS!A:C , 3, FALSE), ),
IF(IFERROR(SEARCH("Pestilence",L162),0) &gt; 0 , VLOOKUP("Pestilence", vote4TRAITS!A:C , 3, FALSE), ),
IF(IFERROR(SEARCH("Phalanx",L162),0) &gt; 0 , VLOOKUP("Phalanx", vote4TRAITS!A:C , 3, FALSE), ),
IF(IFERROR(SEARCH("Plagued",L162),0) &gt; 0 , VLOOKUP("Plagued", vote4TRAITS!A:C , 3, FALSE), ),
IF(IFERROR(SEARCH("Prey on the Weak",L162),0) &gt; 0 , VLOOKUP("Prey on the Weak", vote4TRAITS!A:C , 3, FALSE), ),
IF(IFERROR(SEARCH("Protect",L162),0) &gt; 0 , VLOOKUP("Protect", vote4TRAITS!A:C , 3, FALSE), ),
IF(IFERROR(SEARCH("Puncture",L162),0) &gt; 0 , VLOOKUP("Puncture", vote4TRAITS!A:C , 3, FALSE), ),
IF(IFERROR(SEARCH("Putrid Boils",L162),0) &gt; 0 , VLOOKUP("Putrid Boils", vote4TRAITS!A:C , 3, FALSE), ),
IF(IFERROR(SEARCH("Ravage",L162),0) &gt; 0 , VLOOKUP("Ravage", vote4TRAITS!A:C , 3, FALSE), ),
IF(IFERROR(SEARCH("Ravenous",L162),0) &gt; 0 , VLOOKUP("Ravenous", vote4TRAITS!A:C , 3, FALSE), ),
IF(IFERROR(SEARCH("Reach",L162),0) &gt; 0 , VLOOKUP("Reach", vote4TRAITS!A:C , 3, FALSE), ),
IF(IFERROR(SEARCH("Reanimation",L162),0) &gt; 0 , VLOOKUP("Reanimation", vote4TRAITS!A:C , 3, FALSE), ),
IF(IFERROR(SEARCH("Reaper",L162),0) &gt; 0 , VLOOKUP("Reaper", vote4TRAITS!A:C , 3, FALSE), ),
IF(IFERROR(SEARCH("Riposte",L162),0) &gt; 0 , VLOOKUP("Riposte", vote4TRAITS!A:C , 3, FALSE)),
IF(IFERROR(SEARCH("Scamper",L162),0) &gt; 0 , VLOOKUP("Scamper", vote4TRAITS!A:C , 3, FALSE), ),
IF(IFERROR(SEARCH("Small Beginnings",L162),0) &gt; 0 , VLOOKUP("Small Beginnings", vote4TRAITS!A:C , 3, FALSE), ),
IF(IFERROR(SEARCH("Spawner",L162),0) &gt; 0 , VLOOKUP("Spawner", vote4TRAITS!A:C , 3,FALSE), ),
IF(IFERROR(SEARCH("Shadowr",L162),0) &gt; 0 , VLOOKUP("Shadow", vote4TRAITS!A:C , 3,FALSE), ),
IF(IFERROR(SEARCH("Shadow Step",L162),0) &gt; 0 , VLOOKUP("Shadow Step", vote4TRAITS!A:C , 3,FALSE), ),
IF(IFERROR(SEARCH("Shambling",L162),0) &gt; 0 , VLOOKUP("Shambling", vote4TRAITS!A:C , 3,FALSE), ),
IF(IFERROR(SEARCH("Stealthy",L162),0) &gt; 0 , VLOOKUP("Stealthy", vote4TRAITS!A:C , 3, FALSE), ),
IF(IFERROR(SEARCH("Web",L162),0) &gt; 0 , VLOOKUP("Web", vote4TRAITS!A:C , 3, FALSE), ),
IF(IFERROR(SEARCH("+1 Willpower",L162),0) &gt; 0 , VLOOKUP("+1 Willpower", vote4TRAITS!A:C , 3, FALSE), ),
IF(IFERROR(SEARCH("+1 Might",L162),0) &gt; 0 , VLOOKUP("+1 Might", vote4TRAITS!A:C , 3, FALSE), ),
IF(IFERROR(SEARCH("+1 Knowledge",L162),0) &gt; 0 , VLOOKUP("+1 Knowledge", vote4TRAITS!A:C , 3, FALSE), ),
IF(IFERROR(SEARCH("+1 Awareness",L162),0) &gt; 0 , VLOOKUP("+1 Awareness", vote4TRAITS!A:C , 3, FALSE), ),
IF(IFERROR(SEARCH("-1 Willpower",L162),0) &gt; 0 , VLOOKUP("-1 Willpower", vote4TRAITS!A:C , 3, FALSE), ),
IF(IFERROR(SEARCH("+1 Health",L162),0) &gt; 0 , VLOOKUP("+1 Health", vote4TRAITS!A:C , 3, FALSE), ),
IF(IFERROR(SEARCH("+2 Health",L162),0) &gt; 0 , VLOOKUP("+2 Health", vote4TRAITS!A:C , 3, FALSE), ),
IF(IFERROR(SEARCH("+1 Stamina",L162),0) &gt; 0 , VLOOKUP("+1 Stamina", vote4TRAITS!A:C , 3, FALSE), ),
IF(IFERROR(SEARCH("+2 Stamina",L162),0) &gt; 0 , VLOOKUP("+2 Stamina", vote4TRAITS!A:C , 3, FALSE), ),
IFS(
IFERROR(SEARCH("+1 Range", L162),) &gt; 0 ,VLOOKUP("+1 Range", vote4TRAITS!A:C , 3, FALSE),
IFERROR(SEARCH("+2 Range", L162),) &gt; 0 ,VLOOKUP("+2 Range", vote4TRAITS!A:C , 3, FALSE),
IFERROR(SEARCH("+3 Range", L162),) &gt; 0,VLOOKUP("+3 Range", vote4TRAITS!A:C , 3, FALSE),
0=0,0)
,
IFS(
IFERROR(SEARCH("Sorcery 1", L162),) &gt; 0 ,VLOOKUP("Sorcery 1", vote4TRAITS!A:C , 3, FALSE),
IFERROR(SEARCH("Sorcery 2", L162),) &gt; 0 ,VLOOKUP("Sorcery 2", vote4TRAITS!A:C , 3, FALSE),
IFERROR(SEARCH("Sorcery 3", L162),) &gt; 0,VLOOKUP("Sorcery 3", vote4TRAITS!A:C , 3, FALSE),
0=0,0)
,
IFS(
IFERROR(SEARCH("Pierce 1", L162),) &gt; 0 ,VLOOKUP("Pierce 1", vote4TRAITS!A:C , 3, FALSE),
IFERROR(SEARCH("Pierce 2", L162),) &gt; 0 ,VLOOKUP("Pierce 2", vote4TRAITS!A:C , 3, FALSE),
IFERROR(SEARCH("Pierce 3", L162),) &gt; 0,VLOOKUP("Pierce 3", vote4TRAITS!A:C , 3, FALSE),
IFERROR(SEARCH("Pierce 4", L162),) &gt; 0 ,VLOOKUP("Pierce 4", vote4TRAITS!A:C , 3, FALSE),
0=0,0)
,
IFS(
IFERROR(SEARCH("+1 Health", L162),) &gt; 0 ,VLOOKUP("+1 Health", vote4TRAITS!A:C , 3, FALSE),
IFERROR(SEARCH("+2 Health", L162),) &gt; 0 ,VLOOKUP("+2 Health", vote4TRAITS!A:C , 3, FALSE),
IFERROR(SEARCH("+3 Health", L162),) &gt; 0 ,VLOOKUP("+3 Health", vote4TRAITS!A:C , 3, FALSE),
IFERROR(SEARCH("+4 Health", L162),) &gt; 0 ,VLOOKUP("+4 Health", vote4TRAITS!A:C , 3, FALSE),
0=0,0)
,
IFS(
IFERROR(SEARCH("Soul Shackle 1", L162),) &gt; 0 ,VLOOKUP("Soul Shackle 1", vote4TRAITS!A:C , 3, FALSE),
IFERROR(SEARCH("Soul Shackle 2", L162),) &gt; 0 ,VLOOKUP("Soul Shackle 2", vote4TRAITS!A:C , 3, FALSE),
IFERROR(SEARCH("Soul Shackle 3", L162),) &gt; 0,VLOOKUP("Soul Shackle 3", vote4TRAITS!A:C , 3, FALSE),
0=0,0)
)</f>
        <v>0</v>
      </c>
      <c r="N162" s="313"/>
      <c r="O162" s="317" t="str">
        <f>IF(ISBLANK(N162),,IFERROR(
IF(IFERROR(SEARCH("SS:",N162),0) &gt; 0, 
VLOOKUP(SUBSTITUTE(N162,"SS: ",""),vote4SURGE!$A:$C , 3, FALSE) - 2,
VLOOKUP(SUBSTITUTE(N162,"S: ",""),vote4SURGE!$A:$C , 3, FALSE)
)
,
IF(IFERROR(SEARCH("SS:",N162),0) &gt; 0, 
VLOOKUP(C162,vote4SURGE!$A:$C , 3, FALSE) - 2,
VLOOKUP(C162,vote4SURGE!$A:$C , 3, FALSE)
)
))</f>
        <v/>
      </c>
      <c r="P162" s="318"/>
      <c r="Q162" s="317" t="str">
        <f>IF(ISBLANK(P162),,IFERROR(
IF(IFERROR(SEARCH("SS:",P162),0) &gt; 0, 
VLOOKUP(SUBSTITUTE(P162,"SS: ",""),vote4SURGE!$A:$C , 3, FALSE) - 2,
VLOOKUP(SUBSTITUTE(P162,"S: ",""),vote4SURGE!$A:$C , 3, FALSE)
)
,
IF(IFERROR(SEARCH("SS:",P162),0) &gt; 0, 
VLOOKUP(C162,vote4SURGE!$A:$C , 3, FALSE) - 2,
VLOOKUP(C162,vote4SURGE!$A:$C , 3, FALSE)
)
))</f>
        <v/>
      </c>
      <c r="R162" s="318"/>
      <c r="S162" s="319" t="str">
        <f>IF(ISBLANK(R162),,IFERROR(
IF(IFERROR(SEARCH("SS:",R162),0) &gt; 0, 
VLOOKUP(SUBSTITUTE(R162,"SS: ",""),vote4SURGE!$A:$C , 3, FALSE) - 2,
VLOOKUP(SUBSTITUTE(R162,"S: ",""),vote4SURGE!$A:$C , 3, FALSE)
)
,
IF(IFERROR(SEARCH("SS:",R162),0) &gt; 0, 
VLOOKUP(C162,vote4SURGE!$A:$C , 3, FALSE) - 2,
VLOOKUP(C162,vote4SURGE!$A:$C , 3, FALSE)
)
))</f>
        <v/>
      </c>
      <c r="T162" s="320">
        <f t="shared" si="2"/>
        <v>0</v>
      </c>
      <c r="U162" s="320">
        <f>IFERROR(__xludf.DUMMYFUNCTION("ROUND(
IF(ISBLANK(G162),,
SWITCH(
LEN(G162) - LEN(SUBSTITUTE(G162,"","","""")),
0 , VLOOKUP(G162, Variables!$A:$C, 3, FALSE),
1 , VLOOKUP(index(split(G162 ,"", "", FALSE),1,1), Variables!$A:$C , 3, FALSE) + VLOOKUP(index(split(G162 ,"", "", FALSE),1,2), V"&amp;"ariables!$A:$C , 3, FALSE),
2 , VLOOKUP(index(split(G162 ,"", "", FALSE),1,1), Variables!$A:$C , 3, FALSE) + VLOOKUP(index(split(G162 ,"", "", FALSE),1,2), Variables!$A:$C , 3, FALSE) + VLOOKUP(index(split(G162 ,"", "", FALSE),1,3), Variables!$A:$C , 3, F"&amp;"ALSE),
3 , VLOOKUP(index(split(G162 ,"", "", FALSE),1,1), Variables!$A:$C , 3, FALSE) + VLOOKUP(index(split(G162 ,"", "", FALSE),1,2), Variables!$A:$C , 3, FALSE) + VLOOKUP(index(split(G162 ,"", "", FALSE),1,3), Variables!$A:$C , 3, FALSE) + VLOOKUP(index"&amp;"(split(G162 ,"", "", FALSE),1,4), Variables!$A:$C , 3, FALSE),
)
)
)"),0.0)</f>
        <v>0</v>
      </c>
      <c r="V162" s="317">
        <f t="shared" si="3"/>
        <v>0</v>
      </c>
      <c r="W162" s="321">
        <f t="shared" si="4"/>
        <v>2</v>
      </c>
      <c r="X162" s="118"/>
      <c r="Y162" s="118"/>
      <c r="Z162" s="118"/>
      <c r="AA162" s="118"/>
      <c r="AB162" s="118"/>
      <c r="AC162" s="118"/>
      <c r="AD162" s="118"/>
      <c r="AE162" s="118"/>
    </row>
    <row r="163" hidden="1">
      <c r="A163" s="310">
        <v>1.0</v>
      </c>
      <c r="B163" s="93" t="str">
        <f t="shared" si="1"/>
        <v/>
      </c>
      <c r="C163" s="310" t="s">
        <v>808</v>
      </c>
      <c r="D163" s="323">
        <v>0.0</v>
      </c>
      <c r="E163" s="310" t="s">
        <v>1629</v>
      </c>
      <c r="F163" s="310"/>
      <c r="G163" s="313"/>
      <c r="H163" s="312" t="str">
        <f>IFERROR(__xludf.DUMMYFUNCTION(" IF(ISBLANK(G163),,
SWITCH(
LEN(G163) - LEN(SUBSTITUTE(G163,"","","""")),
0 , VLOOKUP(G163, Variables!$A:$B, 2, FALSE),
1 , VLOOKUP(index(split(G163 ,"", "", FALSE),1,1), Variables!$A:$B , 2, FALSE) + VLOOKUP(index(split(G163 ,"", "", FALSE),1,2), Variabl"&amp;"es!$A:$B , 2, FALSE),
2 , VLOOKUP(index(split(G163 ,"", "", FALSE),1,1), Variables!$A:$B , 2, FALSE) + VLOOKUP(index(split(G163 ,"", "", FALSE),1,2), Variables!$A:$B , 2, FALSE) + VLOOKUP(index(split(G163 ,"", "", FALSE),1,3), Variables!$A:$B , 2, FALSE),"&amp;"
3 , VLOOKUP(index(split(G163 ,"", "", FALSE),1,1), Variables!$A:$B , 2, FALSE) + VLOOKUP(index(split(G163 ,"", "", FALSE),1,2), Variables!$A:$B , 2, FALSE) + VLOOKUP(index(split(G163 ,"", "", FALSE),1,3), Variables!$A:$B , 2, FALSE) + VLOOKUP(index(split"&amp;"(G163 ,"", "", FALSE),1,4), Variables!$A:$B , 2, FALSE),
)
)"),"")</f>
        <v/>
      </c>
      <c r="I163" s="310" t="s">
        <v>1641</v>
      </c>
      <c r="J163" s="313" t="s">
        <v>809</v>
      </c>
      <c r="K163" s="314">
        <f>IFERROR(VLOOKUP(C163,vote4ITEMS!$A:$C, 3, FALSE),)</f>
        <v>2</v>
      </c>
      <c r="L163" s="313"/>
      <c r="M163" s="314">
        <f>SUM(
IF(IFERROR(SEARCH("Aura 1",L163),0) &gt; 0 , VLOOKUP("Aura 1", vote4TRAITS!A:C , 3, FALSE), ),
IF(IFERROR(SEARCH("Backswing",L163),0) &gt; 0 , VLOOKUP("Backswing", vote4TRAITS!A:C , 3, FALSE), ),
IF(IFERROR(SEARCH("Blast",L163),0) &gt; 0 , VLOOKUP("Blast", vote4TRAITS!A:C , 3, FALSE), ),
IF(IFERROR(SEARCH("Combustible",L163),0) &gt; 0 , VLOOKUP("Combustible", vote4TRAITS!A:C , 3, FALSE), ),
IF(IFERROR(SEARCH("Command",L163),0) &gt; 0 , VLOOKUP("Command", vote4TRAITS!A:C , 3, FALSE), ),
IF(IFERROR(SEARCH("Cowardly",L163),0) &gt; 0 , VLOOKUP("Cowardly", vote4TRAITS!A:C , 3, FALSE), ),
IF(IFERROR(SEARCH("Death Wish",L163),0) &gt; 0 , VLOOKUP("Death Wish", vote4TRAITS!A:C , 3, FALSE), ),
IF(IFERROR(SEARCH("Entomb",L163),0) &gt; 0 , VLOOKUP("Entomb", vote4TRAITS!A:C , 3, FALSE), ),
IF(IFERROR(SEARCH("Ethereal Hold",L163),0) &gt; 0 , VLOOKUP("Ethereal Hold", vote4TRAITS!A:C , 3, FALSE), ),
IF(IFERROR(SEARCH("Extend",L163),0) &gt; 0 , VLOOKUP("Extend", vote4TRAITS!A:C , 3, FALSE), ),
IF(IFERROR(SEARCH("Filthy Murk",L163),0) &gt; 0 , VLOOKUP("Filthy Murk", vote4TRAITS!A:C , 3, FALSE), ),
IF(IFERROR(SEARCH("Flame Fiend",L163),0) &gt; 0 , VLOOKUP("Flame Fiend", vote4TRAITS!A:C , 3, FALSE), ),
IF(IFERROR(SEARCH("Fleshmonger",L163),0) &gt; 0 , VLOOKUP("Fleshmonger", vote4TRAITS!A:C , 3, FALSE), ),
IF(IFERROR(SEARCH("Fly",L163),0) &gt; 0 , VLOOKUP("Fly", vote4TRAITS!A:C , 3, FALSE), ),
IF(IFERROR(SEARCH("Freezing",L163),0) &gt; 0 , VLOOKUP("Freezing", vote4TRAITS!A:C , 3, FALSE), ),
IF(IFERROR(SEARCH("Lithesome",L163),0) &gt; 0 , VLOOKUP("Lithesome", vote4TRAITS!A:C , 3, FALSE), ),
IF(IFERROR(SEARCH("Harrowing",L163),0) &gt; 0 , VLOOKUP("Harrowing", vote4TRAITS!A:C , 3, FALSE), ),
IF(IFERROR(SEARCH("Hideous Laughter",L163),0) &gt; 0 , VLOOKUP("Hideous Laughter", vote4TRAITS!A:C , 3, FALSE), ),
IF(IFERROR(SEARCH("Hive Defense",L163),0) &gt; 0 , VLOOKUP("Hive Defense", vote4TRAITS!A:C , 3, FALSE), ),
IF(IFERROR(SEARCH("Horrifying",L163),0) &gt; 0 , VLOOKUP("Horrifying", vote4TRAITS!A:C , 3, FALSE), ),
IF(IFERROR(SEARCH("Ironskin",L163),0) &gt; 0 , VLOOKUP("Ironskin", vote4TRAITS!A:C , 3, FALSE), ),
IF(IFERROR(SEARCH("Unmovable",L163),0) &gt; 0 , VLOOKUP("Unmovable", vote4TRAITS!A:C , 3, FALSE), ),
IF(IFERROR(SEARCH("Lifethirst 1",L163),0) &gt; 0 , VLOOKUP("Lifethirst 1", vote4TRAITS!A:C , 3, FALSE), ),
IF(IFERROR(SEARCH("Lifethirst 2",L163),0) &gt; 0 , VLOOKUP("Lifethirst 2", vote4TRAITS!A:C , 3, FALSE), ),
IF(IFERROR(SEARCH("Morph",L163),0) &gt; 0 , VLOOKUP("Morph", vote4TRAITS!A:C , 3, FALSE), ),
IF(IFERROR(SEARCH("Night Stalker",L163),0) &gt; 0 , VLOOKUP("Night Stalker", vote4TRAITS!A:C , 3, FALSE), ),
IF(IFERROR(SEARCH("Overflowing",L163),0) &gt; 0 , VLOOKUP("Overflowing", vote4TRAITS!A:C , 3, FALSE), ),
IF(IFERROR(SEARCH("Pestilence",L163),0) &gt; 0 , VLOOKUP("Pestilence", vote4TRAITS!A:C , 3, FALSE), ),
IF(IFERROR(SEARCH("Phalanx",L163),0) &gt; 0 , VLOOKUP("Phalanx", vote4TRAITS!A:C , 3, FALSE), ),
IF(IFERROR(SEARCH("Plagued",L163),0) &gt; 0 , VLOOKUP("Plagued", vote4TRAITS!A:C , 3, FALSE), ),
IF(IFERROR(SEARCH("Prey on the Weak",L163),0) &gt; 0 , VLOOKUP("Prey on the Weak", vote4TRAITS!A:C , 3, FALSE), ),
IF(IFERROR(SEARCH("Protect",L163),0) &gt; 0 , VLOOKUP("Protect", vote4TRAITS!A:C , 3, FALSE), ),
IF(IFERROR(SEARCH("Puncture",L163),0) &gt; 0 , VLOOKUP("Puncture", vote4TRAITS!A:C , 3, FALSE), ),
IF(IFERROR(SEARCH("Putrid Boils",L163),0) &gt; 0 , VLOOKUP("Putrid Boils", vote4TRAITS!A:C , 3, FALSE), ),
IF(IFERROR(SEARCH("Ravage",L163),0) &gt; 0 , VLOOKUP("Ravage", vote4TRAITS!A:C , 3, FALSE), ),
IF(IFERROR(SEARCH("Ravenous",L163),0) &gt; 0 , VLOOKUP("Ravenous", vote4TRAITS!A:C , 3, FALSE), ),
IF(IFERROR(SEARCH("Reach",L163),0) &gt; 0 , VLOOKUP("Reach", vote4TRAITS!A:C , 3, FALSE), ),
IF(IFERROR(SEARCH("Reanimation",L163),0) &gt; 0 , VLOOKUP("Reanimation", vote4TRAITS!A:C , 3, FALSE), ),
IF(IFERROR(SEARCH("Reaper",L163),0) &gt; 0 , VLOOKUP("Reaper", vote4TRAITS!A:C , 3, FALSE), ),
IF(IFERROR(SEARCH("Riposte",L163),0) &gt; 0 , VLOOKUP("Riposte", vote4TRAITS!A:C , 3, FALSE)),
IF(IFERROR(SEARCH("Scamper",L163),0) &gt; 0 , VLOOKUP("Scamper", vote4TRAITS!A:C , 3, FALSE), ),
IF(IFERROR(SEARCH("Small Beginnings",L163),0) &gt; 0 , VLOOKUP("Small Beginnings", vote4TRAITS!A:C , 3, FALSE), ),
IF(IFERROR(SEARCH("Spawner",L163),0) &gt; 0 , VLOOKUP("Spawner", vote4TRAITS!A:C , 3,FALSE), ),
IF(IFERROR(SEARCH("Shadowr",L163),0) &gt; 0 , VLOOKUP("Shadow", vote4TRAITS!A:C , 3,FALSE), ),
IF(IFERROR(SEARCH("Shadow Step",L163),0) &gt; 0 , VLOOKUP("Shadow Step", vote4TRAITS!A:C , 3,FALSE), ),
IF(IFERROR(SEARCH("Shambling",L163),0) &gt; 0 , VLOOKUP("Shambling", vote4TRAITS!A:C , 3,FALSE), ),
IF(IFERROR(SEARCH("Stealthy",L163),0) &gt; 0 , VLOOKUP("Stealthy", vote4TRAITS!A:C , 3, FALSE), ),
IF(IFERROR(SEARCH("Web",L163),0) &gt; 0 , VLOOKUP("Web", vote4TRAITS!A:C , 3, FALSE), ),
IF(IFERROR(SEARCH("+1 Willpower",L163),0) &gt; 0 , VLOOKUP("+1 Willpower", vote4TRAITS!A:C , 3, FALSE), ),
IF(IFERROR(SEARCH("+1 Might",L163),0) &gt; 0 , VLOOKUP("+1 Might", vote4TRAITS!A:C , 3, FALSE), ),
IF(IFERROR(SEARCH("+1 Knowledge",L163),0) &gt; 0 , VLOOKUP("+1 Knowledge", vote4TRAITS!A:C , 3, FALSE), ),
IF(IFERROR(SEARCH("+1 Awareness",L163),0) &gt; 0 , VLOOKUP("+1 Awareness", vote4TRAITS!A:C , 3, FALSE), ),
IF(IFERROR(SEARCH("-1 Willpower",L163),0) &gt; 0 , VLOOKUP("-1 Willpower", vote4TRAITS!A:C , 3, FALSE), ),
IF(IFERROR(SEARCH("+1 Health",L163),0) &gt; 0 , VLOOKUP("+1 Health", vote4TRAITS!A:C , 3, FALSE), ),
IF(IFERROR(SEARCH("+2 Health",L163),0) &gt; 0 , VLOOKUP("+2 Health", vote4TRAITS!A:C , 3, FALSE), ),
IF(IFERROR(SEARCH("+1 Stamina",L163),0) &gt; 0 , VLOOKUP("+1 Stamina", vote4TRAITS!A:C , 3, FALSE), ),
IF(IFERROR(SEARCH("+2 Stamina",L163),0) &gt; 0 , VLOOKUP("+2 Stamina", vote4TRAITS!A:C , 3, FALSE), ),
IFS(
IFERROR(SEARCH("+1 Range", L163),) &gt; 0 ,VLOOKUP("+1 Range", vote4TRAITS!A:C , 3, FALSE),
IFERROR(SEARCH("+2 Range", L163),) &gt; 0 ,VLOOKUP("+2 Range", vote4TRAITS!A:C , 3, FALSE),
IFERROR(SEARCH("+3 Range", L163),) &gt; 0,VLOOKUP("+3 Range", vote4TRAITS!A:C , 3, FALSE),
0=0,0)
,
IFS(
IFERROR(SEARCH("Sorcery 1", L163),) &gt; 0 ,VLOOKUP("Sorcery 1", vote4TRAITS!A:C , 3, FALSE),
IFERROR(SEARCH("Sorcery 2", L163),) &gt; 0 ,VLOOKUP("Sorcery 2", vote4TRAITS!A:C , 3, FALSE),
IFERROR(SEARCH("Sorcery 3", L163),) &gt; 0,VLOOKUP("Sorcery 3", vote4TRAITS!A:C , 3, FALSE),
0=0,0)
,
IFS(
IFERROR(SEARCH("Pierce 1", L163),) &gt; 0 ,VLOOKUP("Pierce 1", vote4TRAITS!A:C , 3, FALSE),
IFERROR(SEARCH("Pierce 2", L163),) &gt; 0 ,VLOOKUP("Pierce 2", vote4TRAITS!A:C , 3, FALSE),
IFERROR(SEARCH("Pierce 3", L163),) &gt; 0,VLOOKUP("Pierce 3", vote4TRAITS!A:C , 3, FALSE),
IFERROR(SEARCH("Pierce 4", L163),) &gt; 0 ,VLOOKUP("Pierce 4", vote4TRAITS!A:C , 3, FALSE),
0=0,0)
,
IFS(
IFERROR(SEARCH("+1 Health", L163),) &gt; 0 ,VLOOKUP("+1 Health", vote4TRAITS!A:C , 3, FALSE),
IFERROR(SEARCH("+2 Health", L163),) &gt; 0 ,VLOOKUP("+2 Health", vote4TRAITS!A:C , 3, FALSE),
IFERROR(SEARCH("+3 Health", L163),) &gt; 0 ,VLOOKUP("+3 Health", vote4TRAITS!A:C , 3, FALSE),
IFERROR(SEARCH("+4 Health", L163),) &gt; 0 ,VLOOKUP("+4 Health", vote4TRAITS!A:C , 3, FALSE),
0=0,0)
,
IFS(
IFERROR(SEARCH("Soul Shackle 1", L163),) &gt; 0 ,VLOOKUP("Soul Shackle 1", vote4TRAITS!A:C , 3, FALSE),
IFERROR(SEARCH("Soul Shackle 2", L163),) &gt; 0 ,VLOOKUP("Soul Shackle 2", vote4TRAITS!A:C , 3, FALSE),
IFERROR(SEARCH("Soul Shackle 3", L163),) &gt; 0,VLOOKUP("Soul Shackle 3", vote4TRAITS!A:C , 3, FALSE),
0=0,0)
)</f>
        <v>0</v>
      </c>
      <c r="N163" s="313"/>
      <c r="O163" s="317" t="str">
        <f>IF(ISBLANK(N163),,IFERROR(
IF(IFERROR(SEARCH("SS:",N163),0) &gt; 0, 
VLOOKUP(SUBSTITUTE(N163,"SS: ",""),vote4SURGE!$A:$C , 3, FALSE) - 2,
VLOOKUP(SUBSTITUTE(N163,"S: ",""),vote4SURGE!$A:$C , 3, FALSE)
)
,
IF(IFERROR(SEARCH("SS:",N163),0) &gt; 0, 
VLOOKUP(C163,vote4SURGE!$A:$C , 3, FALSE) - 2,
VLOOKUP(C163,vote4SURGE!$A:$C , 3, FALSE)
)
))</f>
        <v/>
      </c>
      <c r="P163" s="318"/>
      <c r="Q163" s="317" t="str">
        <f>IF(ISBLANK(P163),,IFERROR(
IF(IFERROR(SEARCH("SS:",P163),0) &gt; 0, 
VLOOKUP(SUBSTITUTE(P163,"SS: ",""),vote4SURGE!$A:$C , 3, FALSE) - 2,
VLOOKUP(SUBSTITUTE(P163,"S: ",""),vote4SURGE!$A:$C , 3, FALSE)
)
,
IF(IFERROR(SEARCH("SS:",P163),0) &gt; 0, 
VLOOKUP(C163,vote4SURGE!$A:$C , 3, FALSE) - 2,
VLOOKUP(C163,vote4SURGE!$A:$C , 3, FALSE)
)
))</f>
        <v/>
      </c>
      <c r="R163" s="318"/>
      <c r="S163" s="319" t="str">
        <f>IF(ISBLANK(R163),,IFERROR(
IF(IFERROR(SEARCH("SS:",R163),0) &gt; 0, 
VLOOKUP(SUBSTITUTE(R163,"SS: ",""),vote4SURGE!$A:$C , 3, FALSE) - 2,
VLOOKUP(SUBSTITUTE(R163,"S: ",""),vote4SURGE!$A:$C , 3, FALSE)
)
,
IF(IFERROR(SEARCH("SS:",R163),0) &gt; 0, 
VLOOKUP(C163,vote4SURGE!$A:$C , 3, FALSE) - 2,
VLOOKUP(C163,vote4SURGE!$A:$C , 3, FALSE)
)
))</f>
        <v/>
      </c>
      <c r="T163" s="320">
        <f t="shared" si="2"/>
        <v>0</v>
      </c>
      <c r="U163" s="320">
        <f>IFERROR(__xludf.DUMMYFUNCTION("ROUND(
IF(ISBLANK(G163),,
SWITCH(
LEN(G163) - LEN(SUBSTITUTE(G163,"","","""")),
0 , VLOOKUP(G163, Variables!$A:$C, 3, FALSE),
1 , VLOOKUP(index(split(G163 ,"", "", FALSE),1,1), Variables!$A:$C , 3, FALSE) + VLOOKUP(index(split(G163 ,"", "", FALSE),1,2), V"&amp;"ariables!$A:$C , 3, FALSE),
2 , VLOOKUP(index(split(G163 ,"", "", FALSE),1,1), Variables!$A:$C , 3, FALSE) + VLOOKUP(index(split(G163 ,"", "", FALSE),1,2), Variables!$A:$C , 3, FALSE) + VLOOKUP(index(split(G163 ,"", "", FALSE),1,3), Variables!$A:$C , 3, F"&amp;"ALSE),
3 , VLOOKUP(index(split(G163 ,"", "", FALSE),1,1), Variables!$A:$C , 3, FALSE) + VLOOKUP(index(split(G163 ,"", "", FALSE),1,2), Variables!$A:$C , 3, FALSE) + VLOOKUP(index(split(G163 ,"", "", FALSE),1,3), Variables!$A:$C , 3, FALSE) + VLOOKUP(index"&amp;"(split(G163 ,"", "", FALSE),1,4), Variables!$A:$C , 3, FALSE),
)
)
)"),0.0)</f>
        <v>0</v>
      </c>
      <c r="V163" s="317">
        <f t="shared" si="3"/>
        <v>0</v>
      </c>
      <c r="W163" s="321">
        <f t="shared" si="4"/>
        <v>2</v>
      </c>
      <c r="X163" s="118"/>
      <c r="Y163" s="118"/>
      <c r="Z163" s="118"/>
      <c r="AA163" s="118"/>
      <c r="AB163" s="118"/>
      <c r="AC163" s="118"/>
      <c r="AD163" s="118"/>
      <c r="AE163" s="118"/>
    </row>
    <row r="164" hidden="1">
      <c r="A164" s="310">
        <v>1.0</v>
      </c>
      <c r="B164" s="93" t="str">
        <f t="shared" si="1"/>
        <v/>
      </c>
      <c r="C164" s="310" t="s">
        <v>822</v>
      </c>
      <c r="D164" s="323">
        <v>0.0</v>
      </c>
      <c r="E164" s="310" t="s">
        <v>1629</v>
      </c>
      <c r="F164" s="310"/>
      <c r="G164" s="313"/>
      <c r="H164" s="312" t="str">
        <f>IFERROR(__xludf.DUMMYFUNCTION(" IF(ISBLANK(G164),,
SWITCH(
LEN(G164) - LEN(SUBSTITUTE(G164,"","","""")),
0 , VLOOKUP(G164, Variables!$A:$B, 2, FALSE),
1 , VLOOKUP(index(split(G164 ,"", "", FALSE),1,1), Variables!$A:$B , 2, FALSE) + VLOOKUP(index(split(G164 ,"", "", FALSE),1,2), Variabl"&amp;"es!$A:$B , 2, FALSE),
2 , VLOOKUP(index(split(G164 ,"", "", FALSE),1,1), Variables!$A:$B , 2, FALSE) + VLOOKUP(index(split(G164 ,"", "", FALSE),1,2), Variables!$A:$B , 2, FALSE) + VLOOKUP(index(split(G164 ,"", "", FALSE),1,3), Variables!$A:$B , 2, FALSE),"&amp;"
3 , VLOOKUP(index(split(G164 ,"", "", FALSE),1,1), Variables!$A:$B , 2, FALSE) + VLOOKUP(index(split(G164 ,"", "", FALSE),1,2), Variables!$A:$B , 2, FALSE) + VLOOKUP(index(split(G164 ,"", "", FALSE),1,3), Variables!$A:$B , 2, FALSE) + VLOOKUP(index(split"&amp;"(G164 ,"", "", FALSE),1,4), Variables!$A:$B , 2, FALSE),
)
)"),"")</f>
        <v/>
      </c>
      <c r="I164" s="310" t="s">
        <v>1641</v>
      </c>
      <c r="J164" s="313" t="s">
        <v>823</v>
      </c>
      <c r="K164" s="314">
        <f>IFERROR(VLOOKUP(C164,vote4ITEMS!$A:$C, 3, FALSE),)</f>
        <v>2</v>
      </c>
      <c r="L164" s="313"/>
      <c r="M164" s="314">
        <f>SUM(
IF(IFERROR(SEARCH("Aura 1",L164),0) &gt; 0 , VLOOKUP("Aura 1", vote4TRAITS!A:C , 3, FALSE), ),
IF(IFERROR(SEARCH("Backswing",L164),0) &gt; 0 , VLOOKUP("Backswing", vote4TRAITS!A:C , 3, FALSE), ),
IF(IFERROR(SEARCH("Blast",L164),0) &gt; 0 , VLOOKUP("Blast", vote4TRAITS!A:C , 3, FALSE), ),
IF(IFERROR(SEARCH("Combustible",L164),0) &gt; 0 , VLOOKUP("Combustible", vote4TRAITS!A:C , 3, FALSE), ),
IF(IFERROR(SEARCH("Command",L164),0) &gt; 0 , VLOOKUP("Command", vote4TRAITS!A:C , 3, FALSE), ),
IF(IFERROR(SEARCH("Cowardly",L164),0) &gt; 0 , VLOOKUP("Cowardly", vote4TRAITS!A:C , 3, FALSE), ),
IF(IFERROR(SEARCH("Death Wish",L164),0) &gt; 0 , VLOOKUP("Death Wish", vote4TRAITS!A:C , 3, FALSE), ),
IF(IFERROR(SEARCH("Entomb",L164),0) &gt; 0 , VLOOKUP("Entomb", vote4TRAITS!A:C , 3, FALSE), ),
IF(IFERROR(SEARCH("Ethereal Hold",L164),0) &gt; 0 , VLOOKUP("Ethereal Hold", vote4TRAITS!A:C , 3, FALSE), ),
IF(IFERROR(SEARCH("Extend",L164),0) &gt; 0 , VLOOKUP("Extend", vote4TRAITS!A:C , 3, FALSE), ),
IF(IFERROR(SEARCH("Filthy Murk",L164),0) &gt; 0 , VLOOKUP("Filthy Murk", vote4TRAITS!A:C , 3, FALSE), ),
IF(IFERROR(SEARCH("Flame Fiend",L164),0) &gt; 0 , VLOOKUP("Flame Fiend", vote4TRAITS!A:C , 3, FALSE), ),
IF(IFERROR(SEARCH("Fleshmonger",L164),0) &gt; 0 , VLOOKUP("Fleshmonger", vote4TRAITS!A:C , 3, FALSE), ),
IF(IFERROR(SEARCH("Fly",L164),0) &gt; 0 , VLOOKUP("Fly", vote4TRAITS!A:C , 3, FALSE), ),
IF(IFERROR(SEARCH("Freezing",L164),0) &gt; 0 , VLOOKUP("Freezing", vote4TRAITS!A:C , 3, FALSE), ),
IF(IFERROR(SEARCH("Lithesome",L164),0) &gt; 0 , VLOOKUP("Lithesome", vote4TRAITS!A:C , 3, FALSE), ),
IF(IFERROR(SEARCH("Harrowing",L164),0) &gt; 0 , VLOOKUP("Harrowing", vote4TRAITS!A:C , 3, FALSE), ),
IF(IFERROR(SEARCH("Hideous Laughter",L164),0) &gt; 0 , VLOOKUP("Hideous Laughter", vote4TRAITS!A:C , 3, FALSE), ),
IF(IFERROR(SEARCH("Hive Defense",L164),0) &gt; 0 , VLOOKUP("Hive Defense", vote4TRAITS!A:C , 3, FALSE), ),
IF(IFERROR(SEARCH("Horrifying",L164),0) &gt; 0 , VLOOKUP("Horrifying", vote4TRAITS!A:C , 3, FALSE), ),
IF(IFERROR(SEARCH("Ironskin",L164),0) &gt; 0 , VLOOKUP("Ironskin", vote4TRAITS!A:C , 3, FALSE), ),
IF(IFERROR(SEARCH("Unmovable",L164),0) &gt; 0 , VLOOKUP("Unmovable", vote4TRAITS!A:C , 3, FALSE), ),
IF(IFERROR(SEARCH("Lifethirst 1",L164),0) &gt; 0 , VLOOKUP("Lifethirst 1", vote4TRAITS!A:C , 3, FALSE), ),
IF(IFERROR(SEARCH("Lifethirst 2",L164),0) &gt; 0 , VLOOKUP("Lifethirst 2", vote4TRAITS!A:C , 3, FALSE), ),
IF(IFERROR(SEARCH("Morph",L164),0) &gt; 0 , VLOOKUP("Morph", vote4TRAITS!A:C , 3, FALSE), ),
IF(IFERROR(SEARCH("Night Stalker",L164),0) &gt; 0 , VLOOKUP("Night Stalker", vote4TRAITS!A:C , 3, FALSE), ),
IF(IFERROR(SEARCH("Overflowing",L164),0) &gt; 0 , VLOOKUP("Overflowing", vote4TRAITS!A:C , 3, FALSE), ),
IF(IFERROR(SEARCH("Pestilence",L164),0) &gt; 0 , VLOOKUP("Pestilence", vote4TRAITS!A:C , 3, FALSE), ),
IF(IFERROR(SEARCH("Phalanx",L164),0) &gt; 0 , VLOOKUP("Phalanx", vote4TRAITS!A:C , 3, FALSE), ),
IF(IFERROR(SEARCH("Plagued",L164),0) &gt; 0 , VLOOKUP("Plagued", vote4TRAITS!A:C , 3, FALSE), ),
IF(IFERROR(SEARCH("Prey on the Weak",L164),0) &gt; 0 , VLOOKUP("Prey on the Weak", vote4TRAITS!A:C , 3, FALSE), ),
IF(IFERROR(SEARCH("Protect",L164),0) &gt; 0 , VLOOKUP("Protect", vote4TRAITS!A:C , 3, FALSE), ),
IF(IFERROR(SEARCH("Puncture",L164),0) &gt; 0 , VLOOKUP("Puncture", vote4TRAITS!A:C , 3, FALSE), ),
IF(IFERROR(SEARCH("Putrid Boils",L164),0) &gt; 0 , VLOOKUP("Putrid Boils", vote4TRAITS!A:C , 3, FALSE), ),
IF(IFERROR(SEARCH("Ravage",L164),0) &gt; 0 , VLOOKUP("Ravage", vote4TRAITS!A:C , 3, FALSE), ),
IF(IFERROR(SEARCH("Ravenous",L164),0) &gt; 0 , VLOOKUP("Ravenous", vote4TRAITS!A:C , 3, FALSE), ),
IF(IFERROR(SEARCH("Reach",L164),0) &gt; 0 , VLOOKUP("Reach", vote4TRAITS!A:C , 3, FALSE), ),
IF(IFERROR(SEARCH("Reanimation",L164),0) &gt; 0 , VLOOKUP("Reanimation", vote4TRAITS!A:C , 3, FALSE), ),
IF(IFERROR(SEARCH("Reaper",L164),0) &gt; 0 , VLOOKUP("Reaper", vote4TRAITS!A:C , 3, FALSE), ),
IF(IFERROR(SEARCH("Riposte",L164),0) &gt; 0 , VLOOKUP("Riposte", vote4TRAITS!A:C , 3, FALSE)),
IF(IFERROR(SEARCH("Scamper",L164),0) &gt; 0 , VLOOKUP("Scamper", vote4TRAITS!A:C , 3, FALSE), ),
IF(IFERROR(SEARCH("Small Beginnings",L164),0) &gt; 0 , VLOOKUP("Small Beginnings", vote4TRAITS!A:C , 3, FALSE), ),
IF(IFERROR(SEARCH("Spawner",L164),0) &gt; 0 , VLOOKUP("Spawner", vote4TRAITS!A:C , 3,FALSE), ),
IF(IFERROR(SEARCH("Shadowr",L164),0) &gt; 0 , VLOOKUP("Shadow", vote4TRAITS!A:C , 3,FALSE), ),
IF(IFERROR(SEARCH("Shadow Step",L164),0) &gt; 0 , VLOOKUP("Shadow Step", vote4TRAITS!A:C , 3,FALSE), ),
IF(IFERROR(SEARCH("Shambling",L164),0) &gt; 0 , VLOOKUP("Shambling", vote4TRAITS!A:C , 3,FALSE), ),
IF(IFERROR(SEARCH("Stealthy",L164),0) &gt; 0 , VLOOKUP("Stealthy", vote4TRAITS!A:C , 3, FALSE), ),
IF(IFERROR(SEARCH("Web",L164),0) &gt; 0 , VLOOKUP("Web", vote4TRAITS!A:C , 3, FALSE), ),
IF(IFERROR(SEARCH("+1 Willpower",L164),0) &gt; 0 , VLOOKUP("+1 Willpower", vote4TRAITS!A:C , 3, FALSE), ),
IF(IFERROR(SEARCH("+1 Might",L164),0) &gt; 0 , VLOOKUP("+1 Might", vote4TRAITS!A:C , 3, FALSE), ),
IF(IFERROR(SEARCH("+1 Knowledge",L164),0) &gt; 0 , VLOOKUP("+1 Knowledge", vote4TRAITS!A:C , 3, FALSE), ),
IF(IFERROR(SEARCH("+1 Awareness",L164),0) &gt; 0 , VLOOKUP("+1 Awareness", vote4TRAITS!A:C , 3, FALSE), ),
IF(IFERROR(SEARCH("-1 Willpower",L164),0) &gt; 0 , VLOOKUP("-1 Willpower", vote4TRAITS!A:C , 3, FALSE), ),
IF(IFERROR(SEARCH("+1 Health",L164),0) &gt; 0 , VLOOKUP("+1 Health", vote4TRAITS!A:C , 3, FALSE), ),
IF(IFERROR(SEARCH("+2 Health",L164),0) &gt; 0 , VLOOKUP("+2 Health", vote4TRAITS!A:C , 3, FALSE), ),
IF(IFERROR(SEARCH("+1 Stamina",L164),0) &gt; 0 , VLOOKUP("+1 Stamina", vote4TRAITS!A:C , 3, FALSE), ),
IF(IFERROR(SEARCH("+2 Stamina",L164),0) &gt; 0 , VLOOKUP("+2 Stamina", vote4TRAITS!A:C , 3, FALSE), ),
IFS(
IFERROR(SEARCH("+1 Range", L164),) &gt; 0 ,VLOOKUP("+1 Range", vote4TRAITS!A:C , 3, FALSE),
IFERROR(SEARCH("+2 Range", L164),) &gt; 0 ,VLOOKUP("+2 Range", vote4TRAITS!A:C , 3, FALSE),
IFERROR(SEARCH("+3 Range", L164),) &gt; 0,VLOOKUP("+3 Range", vote4TRAITS!A:C , 3, FALSE),
0=0,0)
,
IFS(
IFERROR(SEARCH("Sorcery 1", L164),) &gt; 0 ,VLOOKUP("Sorcery 1", vote4TRAITS!A:C , 3, FALSE),
IFERROR(SEARCH("Sorcery 2", L164),) &gt; 0 ,VLOOKUP("Sorcery 2", vote4TRAITS!A:C , 3, FALSE),
IFERROR(SEARCH("Sorcery 3", L164),) &gt; 0,VLOOKUP("Sorcery 3", vote4TRAITS!A:C , 3, FALSE),
0=0,0)
,
IFS(
IFERROR(SEARCH("Pierce 1", L164),) &gt; 0 ,VLOOKUP("Pierce 1", vote4TRAITS!A:C , 3, FALSE),
IFERROR(SEARCH("Pierce 2", L164),) &gt; 0 ,VLOOKUP("Pierce 2", vote4TRAITS!A:C , 3, FALSE),
IFERROR(SEARCH("Pierce 3", L164),) &gt; 0,VLOOKUP("Pierce 3", vote4TRAITS!A:C , 3, FALSE),
IFERROR(SEARCH("Pierce 4", L164),) &gt; 0 ,VLOOKUP("Pierce 4", vote4TRAITS!A:C , 3, FALSE),
0=0,0)
,
IFS(
IFERROR(SEARCH("+1 Health", L164),) &gt; 0 ,VLOOKUP("+1 Health", vote4TRAITS!A:C , 3, FALSE),
IFERROR(SEARCH("+2 Health", L164),) &gt; 0 ,VLOOKUP("+2 Health", vote4TRAITS!A:C , 3, FALSE),
IFERROR(SEARCH("+3 Health", L164),) &gt; 0 ,VLOOKUP("+3 Health", vote4TRAITS!A:C , 3, FALSE),
IFERROR(SEARCH("+4 Health", L164),) &gt; 0 ,VLOOKUP("+4 Health", vote4TRAITS!A:C , 3, FALSE),
0=0,0)
,
IFS(
IFERROR(SEARCH("Soul Shackle 1", L164),) &gt; 0 ,VLOOKUP("Soul Shackle 1", vote4TRAITS!A:C , 3, FALSE),
IFERROR(SEARCH("Soul Shackle 2", L164),) &gt; 0 ,VLOOKUP("Soul Shackle 2", vote4TRAITS!A:C , 3, FALSE),
IFERROR(SEARCH("Soul Shackle 3", L164),) &gt; 0,VLOOKUP("Soul Shackle 3", vote4TRAITS!A:C , 3, FALSE),
0=0,0)
)</f>
        <v>0</v>
      </c>
      <c r="N164" s="313"/>
      <c r="O164" s="317" t="str">
        <f>IF(ISBLANK(N164),,IFERROR(
IF(IFERROR(SEARCH("SS:",N164),0) &gt; 0, 
VLOOKUP(SUBSTITUTE(N164,"SS: ",""),vote4SURGE!$A:$C , 3, FALSE) - 2,
VLOOKUP(SUBSTITUTE(N164,"S: ",""),vote4SURGE!$A:$C , 3, FALSE)
)
,
IF(IFERROR(SEARCH("SS:",N164),0) &gt; 0, 
VLOOKUP(C164,vote4SURGE!$A:$C , 3, FALSE) - 2,
VLOOKUP(C164,vote4SURGE!$A:$C , 3, FALSE)
)
))</f>
        <v/>
      </c>
      <c r="P164" s="318"/>
      <c r="Q164" s="317" t="str">
        <f>IF(ISBLANK(P164),,IFERROR(
IF(IFERROR(SEARCH("SS:",P164),0) &gt; 0, 
VLOOKUP(SUBSTITUTE(P164,"SS: ",""),vote4SURGE!$A:$C , 3, FALSE) - 2,
VLOOKUP(SUBSTITUTE(P164,"S: ",""),vote4SURGE!$A:$C , 3, FALSE)
)
,
IF(IFERROR(SEARCH("SS:",P164),0) &gt; 0, 
VLOOKUP(C164,vote4SURGE!$A:$C , 3, FALSE) - 2,
VLOOKUP(C164,vote4SURGE!$A:$C , 3, FALSE)
)
))</f>
        <v/>
      </c>
      <c r="R164" s="318"/>
      <c r="S164" s="319" t="str">
        <f>IF(ISBLANK(R164),,IFERROR(
IF(IFERROR(SEARCH("SS:",R164),0) &gt; 0, 
VLOOKUP(SUBSTITUTE(R164,"SS: ",""),vote4SURGE!$A:$C , 3, FALSE) - 2,
VLOOKUP(SUBSTITUTE(R164,"S: ",""),vote4SURGE!$A:$C , 3, FALSE)
)
,
IF(IFERROR(SEARCH("SS:",R164),0) &gt; 0, 
VLOOKUP(C164,vote4SURGE!$A:$C , 3, FALSE) - 2,
VLOOKUP(C164,vote4SURGE!$A:$C , 3, FALSE)
)
))</f>
        <v/>
      </c>
      <c r="T164" s="320">
        <f t="shared" si="2"/>
        <v>0</v>
      </c>
      <c r="U164" s="320">
        <f>IFERROR(__xludf.DUMMYFUNCTION("ROUND(
IF(ISBLANK(G164),,
SWITCH(
LEN(G164) - LEN(SUBSTITUTE(G164,"","","""")),
0 , VLOOKUP(G164, Variables!$A:$C, 3, FALSE),
1 , VLOOKUP(index(split(G164 ,"", "", FALSE),1,1), Variables!$A:$C , 3, FALSE) + VLOOKUP(index(split(G164 ,"", "", FALSE),1,2), V"&amp;"ariables!$A:$C , 3, FALSE),
2 , VLOOKUP(index(split(G164 ,"", "", FALSE),1,1), Variables!$A:$C , 3, FALSE) + VLOOKUP(index(split(G164 ,"", "", FALSE),1,2), Variables!$A:$C , 3, FALSE) + VLOOKUP(index(split(G164 ,"", "", FALSE),1,3), Variables!$A:$C , 3, F"&amp;"ALSE),
3 , VLOOKUP(index(split(G164 ,"", "", FALSE),1,1), Variables!$A:$C , 3, FALSE) + VLOOKUP(index(split(G164 ,"", "", FALSE),1,2), Variables!$A:$C , 3, FALSE) + VLOOKUP(index(split(G164 ,"", "", FALSE),1,3), Variables!$A:$C , 3, FALSE) + VLOOKUP(index"&amp;"(split(G164 ,"", "", FALSE),1,4), Variables!$A:$C , 3, FALSE),
)
)
)"),0.0)</f>
        <v>0</v>
      </c>
      <c r="V164" s="317">
        <f t="shared" si="3"/>
        <v>0</v>
      </c>
      <c r="W164" s="321">
        <f t="shared" si="4"/>
        <v>2</v>
      </c>
      <c r="X164" s="118"/>
      <c r="Y164" s="118"/>
      <c r="Z164" s="118"/>
      <c r="AA164" s="118"/>
      <c r="AB164" s="118"/>
      <c r="AC164" s="118"/>
      <c r="AD164" s="118"/>
      <c r="AE164" s="118"/>
    </row>
    <row r="165" hidden="1">
      <c r="A165" s="310">
        <v>1.0</v>
      </c>
      <c r="B165" s="93" t="str">
        <f t="shared" si="1"/>
        <v/>
      </c>
      <c r="C165" s="310" t="s">
        <v>874</v>
      </c>
      <c r="D165" s="323">
        <v>0.0</v>
      </c>
      <c r="E165" s="310" t="s">
        <v>1527</v>
      </c>
      <c r="F165" s="310"/>
      <c r="G165" s="313"/>
      <c r="H165" s="312" t="str">
        <f>IFERROR(__xludf.DUMMYFUNCTION(" IF(ISBLANK(G165),,
SWITCH(
LEN(G165) - LEN(SUBSTITUTE(G165,"","","""")),
0 , VLOOKUP(G165, Variables!$A:$B, 2, FALSE),
1 , VLOOKUP(index(split(G165 ,"", "", FALSE),1,1), Variables!$A:$B , 2, FALSE) + VLOOKUP(index(split(G165 ,"", "", FALSE),1,2), Variabl"&amp;"es!$A:$B , 2, FALSE),
2 , VLOOKUP(index(split(G165 ,"", "", FALSE),1,1), Variables!$A:$B , 2, FALSE) + VLOOKUP(index(split(G165 ,"", "", FALSE),1,2), Variables!$A:$B , 2, FALSE) + VLOOKUP(index(split(G165 ,"", "", FALSE),1,3), Variables!$A:$B , 2, FALSE),"&amp;"
3 , VLOOKUP(index(split(G165 ,"", "", FALSE),1,1), Variables!$A:$B , 2, FALSE) + VLOOKUP(index(split(G165 ,"", "", FALSE),1,2), Variables!$A:$B , 2, FALSE) + VLOOKUP(index(split(G165 ,"", "", FALSE),1,3), Variables!$A:$B , 2, FALSE) + VLOOKUP(index(split"&amp;"(G165 ,"", "", FALSE),1,4), Variables!$A:$B , 2, FALSE),
)
)"),"")</f>
        <v/>
      </c>
      <c r="I165" s="310" t="s">
        <v>1648</v>
      </c>
      <c r="J165" s="313" t="s">
        <v>875</v>
      </c>
      <c r="K165" s="314">
        <f>IFERROR(VLOOKUP(C165,vote4ITEMS!$A:$C, 3, FALSE),)</f>
        <v>2</v>
      </c>
      <c r="L165" s="313"/>
      <c r="M165" s="314">
        <f>SUM(
IF(IFERROR(SEARCH("Aura 1",L165),0) &gt; 0 , VLOOKUP("Aura 1", vote4TRAITS!A:C , 3, FALSE), ),
IF(IFERROR(SEARCH("Backswing",L165),0) &gt; 0 , VLOOKUP("Backswing", vote4TRAITS!A:C , 3, FALSE), ),
IF(IFERROR(SEARCH("Blast",L165),0) &gt; 0 , VLOOKUP("Blast", vote4TRAITS!A:C , 3, FALSE), ),
IF(IFERROR(SEARCH("Combustible",L165),0) &gt; 0 , VLOOKUP("Combustible", vote4TRAITS!A:C , 3, FALSE), ),
IF(IFERROR(SEARCH("Command",L165),0) &gt; 0 , VLOOKUP("Command", vote4TRAITS!A:C , 3, FALSE), ),
IF(IFERROR(SEARCH("Cowardly",L165),0) &gt; 0 , VLOOKUP("Cowardly", vote4TRAITS!A:C , 3, FALSE), ),
IF(IFERROR(SEARCH("Death Wish",L165),0) &gt; 0 , VLOOKUP("Death Wish", vote4TRAITS!A:C , 3, FALSE), ),
IF(IFERROR(SEARCH("Entomb",L165),0) &gt; 0 , VLOOKUP("Entomb", vote4TRAITS!A:C , 3, FALSE), ),
IF(IFERROR(SEARCH("Ethereal Hold",L165),0) &gt; 0 , VLOOKUP("Ethereal Hold", vote4TRAITS!A:C , 3, FALSE), ),
IF(IFERROR(SEARCH("Extend",L165),0) &gt; 0 , VLOOKUP("Extend", vote4TRAITS!A:C , 3, FALSE), ),
IF(IFERROR(SEARCH("Filthy Murk",L165),0) &gt; 0 , VLOOKUP("Filthy Murk", vote4TRAITS!A:C , 3, FALSE), ),
IF(IFERROR(SEARCH("Flame Fiend",L165),0) &gt; 0 , VLOOKUP("Flame Fiend", vote4TRAITS!A:C , 3, FALSE), ),
IF(IFERROR(SEARCH("Fleshmonger",L165),0) &gt; 0 , VLOOKUP("Fleshmonger", vote4TRAITS!A:C , 3, FALSE), ),
IF(IFERROR(SEARCH("Fly",L165),0) &gt; 0 , VLOOKUP("Fly", vote4TRAITS!A:C , 3, FALSE), ),
IF(IFERROR(SEARCH("Freezing",L165),0) &gt; 0 , VLOOKUP("Freezing", vote4TRAITS!A:C , 3, FALSE), ),
IF(IFERROR(SEARCH("Lithesome",L165),0) &gt; 0 , VLOOKUP("Lithesome", vote4TRAITS!A:C , 3, FALSE), ),
IF(IFERROR(SEARCH("Harrowing",L165),0) &gt; 0 , VLOOKUP("Harrowing", vote4TRAITS!A:C , 3, FALSE), ),
IF(IFERROR(SEARCH("Hideous Laughter",L165),0) &gt; 0 , VLOOKUP("Hideous Laughter", vote4TRAITS!A:C , 3, FALSE), ),
IF(IFERROR(SEARCH("Hive Defense",L165),0) &gt; 0 , VLOOKUP("Hive Defense", vote4TRAITS!A:C , 3, FALSE), ),
IF(IFERROR(SEARCH("Horrifying",L165),0) &gt; 0 , VLOOKUP("Horrifying", vote4TRAITS!A:C , 3, FALSE), ),
IF(IFERROR(SEARCH("Ironskin",L165),0) &gt; 0 , VLOOKUP("Ironskin", vote4TRAITS!A:C , 3, FALSE), ),
IF(IFERROR(SEARCH("Unmovable",L165),0) &gt; 0 , VLOOKUP("Unmovable", vote4TRAITS!A:C , 3, FALSE), ),
IF(IFERROR(SEARCH("Lifethirst 1",L165),0) &gt; 0 , VLOOKUP("Lifethirst 1", vote4TRAITS!A:C , 3, FALSE), ),
IF(IFERROR(SEARCH("Lifethirst 2",L165),0) &gt; 0 , VLOOKUP("Lifethirst 2", vote4TRAITS!A:C , 3, FALSE), ),
IF(IFERROR(SEARCH("Morph",L165),0) &gt; 0 , VLOOKUP("Morph", vote4TRAITS!A:C , 3, FALSE), ),
IF(IFERROR(SEARCH("Night Stalker",L165),0) &gt; 0 , VLOOKUP("Night Stalker", vote4TRAITS!A:C , 3, FALSE), ),
IF(IFERROR(SEARCH("Overflowing",L165),0) &gt; 0 , VLOOKUP("Overflowing", vote4TRAITS!A:C , 3, FALSE), ),
IF(IFERROR(SEARCH("Pestilence",L165),0) &gt; 0 , VLOOKUP("Pestilence", vote4TRAITS!A:C , 3, FALSE), ),
IF(IFERROR(SEARCH("Phalanx",L165),0) &gt; 0 , VLOOKUP("Phalanx", vote4TRAITS!A:C , 3, FALSE), ),
IF(IFERROR(SEARCH("Plagued",L165),0) &gt; 0 , VLOOKUP("Plagued", vote4TRAITS!A:C , 3, FALSE), ),
IF(IFERROR(SEARCH("Prey on the Weak",L165),0) &gt; 0 , VLOOKUP("Prey on the Weak", vote4TRAITS!A:C , 3, FALSE), ),
IF(IFERROR(SEARCH("Protect",L165),0) &gt; 0 , VLOOKUP("Protect", vote4TRAITS!A:C , 3, FALSE), ),
IF(IFERROR(SEARCH("Puncture",L165),0) &gt; 0 , VLOOKUP("Puncture", vote4TRAITS!A:C , 3, FALSE), ),
IF(IFERROR(SEARCH("Putrid Boils",L165),0) &gt; 0 , VLOOKUP("Putrid Boils", vote4TRAITS!A:C , 3, FALSE), ),
IF(IFERROR(SEARCH("Ravage",L165),0) &gt; 0 , VLOOKUP("Ravage", vote4TRAITS!A:C , 3, FALSE), ),
IF(IFERROR(SEARCH("Ravenous",L165),0) &gt; 0 , VLOOKUP("Ravenous", vote4TRAITS!A:C , 3, FALSE), ),
IF(IFERROR(SEARCH("Reach",L165),0) &gt; 0 , VLOOKUP("Reach", vote4TRAITS!A:C , 3, FALSE), ),
IF(IFERROR(SEARCH("Reanimation",L165),0) &gt; 0 , VLOOKUP("Reanimation", vote4TRAITS!A:C , 3, FALSE), ),
IF(IFERROR(SEARCH("Reaper",L165),0) &gt; 0 , VLOOKUP("Reaper", vote4TRAITS!A:C , 3, FALSE), ),
IF(IFERROR(SEARCH("Riposte",L165),0) &gt; 0 , VLOOKUP("Riposte", vote4TRAITS!A:C , 3, FALSE)),
IF(IFERROR(SEARCH("Scamper",L165),0) &gt; 0 , VLOOKUP("Scamper", vote4TRAITS!A:C , 3, FALSE), ),
IF(IFERROR(SEARCH("Small Beginnings",L165),0) &gt; 0 , VLOOKUP("Small Beginnings", vote4TRAITS!A:C , 3, FALSE), ),
IF(IFERROR(SEARCH("Spawner",L165),0) &gt; 0 , VLOOKUP("Spawner", vote4TRAITS!A:C , 3,FALSE), ),
IF(IFERROR(SEARCH("Shadowr",L165),0) &gt; 0 , VLOOKUP("Shadow", vote4TRAITS!A:C , 3,FALSE), ),
IF(IFERROR(SEARCH("Shadow Step",L165),0) &gt; 0 , VLOOKUP("Shadow Step", vote4TRAITS!A:C , 3,FALSE), ),
IF(IFERROR(SEARCH("Shambling",L165),0) &gt; 0 , VLOOKUP("Shambling", vote4TRAITS!A:C , 3,FALSE), ),
IF(IFERROR(SEARCH("Stealthy",L165),0) &gt; 0 , VLOOKUP("Stealthy", vote4TRAITS!A:C , 3, FALSE), ),
IF(IFERROR(SEARCH("Web",L165),0) &gt; 0 , VLOOKUP("Web", vote4TRAITS!A:C , 3, FALSE), ),
IF(IFERROR(SEARCH("+1 Willpower",L165),0) &gt; 0 , VLOOKUP("+1 Willpower", vote4TRAITS!A:C , 3, FALSE), ),
IF(IFERROR(SEARCH("+1 Might",L165),0) &gt; 0 , VLOOKUP("+1 Might", vote4TRAITS!A:C , 3, FALSE), ),
IF(IFERROR(SEARCH("+1 Knowledge",L165),0) &gt; 0 , VLOOKUP("+1 Knowledge", vote4TRAITS!A:C , 3, FALSE), ),
IF(IFERROR(SEARCH("+1 Awareness",L165),0) &gt; 0 , VLOOKUP("+1 Awareness", vote4TRAITS!A:C , 3, FALSE), ),
IF(IFERROR(SEARCH("-1 Willpower",L165),0) &gt; 0 , VLOOKUP("-1 Willpower", vote4TRAITS!A:C , 3, FALSE), ),
IF(IFERROR(SEARCH("+1 Health",L165),0) &gt; 0 , VLOOKUP("+1 Health", vote4TRAITS!A:C , 3, FALSE), ),
IF(IFERROR(SEARCH("+2 Health",L165),0) &gt; 0 , VLOOKUP("+2 Health", vote4TRAITS!A:C , 3, FALSE), ),
IF(IFERROR(SEARCH("+1 Stamina",L165),0) &gt; 0 , VLOOKUP("+1 Stamina", vote4TRAITS!A:C , 3, FALSE), ),
IF(IFERROR(SEARCH("+2 Stamina",L165),0) &gt; 0 , VLOOKUP("+2 Stamina", vote4TRAITS!A:C , 3, FALSE), ),
IFS(
IFERROR(SEARCH("+1 Range", L165),) &gt; 0 ,VLOOKUP("+1 Range", vote4TRAITS!A:C , 3, FALSE),
IFERROR(SEARCH("+2 Range", L165),) &gt; 0 ,VLOOKUP("+2 Range", vote4TRAITS!A:C , 3, FALSE),
IFERROR(SEARCH("+3 Range", L165),) &gt; 0,VLOOKUP("+3 Range", vote4TRAITS!A:C , 3, FALSE),
0=0,0)
,
IFS(
IFERROR(SEARCH("Sorcery 1", L165),) &gt; 0 ,VLOOKUP("Sorcery 1", vote4TRAITS!A:C , 3, FALSE),
IFERROR(SEARCH("Sorcery 2", L165),) &gt; 0 ,VLOOKUP("Sorcery 2", vote4TRAITS!A:C , 3, FALSE),
IFERROR(SEARCH("Sorcery 3", L165),) &gt; 0,VLOOKUP("Sorcery 3", vote4TRAITS!A:C , 3, FALSE),
0=0,0)
,
IFS(
IFERROR(SEARCH("Pierce 1", L165),) &gt; 0 ,VLOOKUP("Pierce 1", vote4TRAITS!A:C , 3, FALSE),
IFERROR(SEARCH("Pierce 2", L165),) &gt; 0 ,VLOOKUP("Pierce 2", vote4TRAITS!A:C , 3, FALSE),
IFERROR(SEARCH("Pierce 3", L165),) &gt; 0,VLOOKUP("Pierce 3", vote4TRAITS!A:C , 3, FALSE),
IFERROR(SEARCH("Pierce 4", L165),) &gt; 0 ,VLOOKUP("Pierce 4", vote4TRAITS!A:C , 3, FALSE),
0=0,0)
,
IFS(
IFERROR(SEARCH("+1 Health", L165),) &gt; 0 ,VLOOKUP("+1 Health", vote4TRAITS!A:C , 3, FALSE),
IFERROR(SEARCH("+2 Health", L165),) &gt; 0 ,VLOOKUP("+2 Health", vote4TRAITS!A:C , 3, FALSE),
IFERROR(SEARCH("+3 Health", L165),) &gt; 0 ,VLOOKUP("+3 Health", vote4TRAITS!A:C , 3, FALSE),
IFERROR(SEARCH("+4 Health", L165),) &gt; 0 ,VLOOKUP("+4 Health", vote4TRAITS!A:C , 3, FALSE),
0=0,0)
,
IFS(
IFERROR(SEARCH("Soul Shackle 1", L165),) &gt; 0 ,VLOOKUP("Soul Shackle 1", vote4TRAITS!A:C , 3, FALSE),
IFERROR(SEARCH("Soul Shackle 2", L165),) &gt; 0 ,VLOOKUP("Soul Shackle 2", vote4TRAITS!A:C , 3, FALSE),
IFERROR(SEARCH("Soul Shackle 3", L165),) &gt; 0,VLOOKUP("Soul Shackle 3", vote4TRAITS!A:C , 3, FALSE),
0=0,0)
)</f>
        <v>0</v>
      </c>
      <c r="N165" s="313"/>
      <c r="O165" s="317" t="str">
        <f>IF(ISBLANK(N165),,IFERROR(
IF(IFERROR(SEARCH("SS:",N165),0) &gt; 0, 
VLOOKUP(SUBSTITUTE(N165,"SS: ",""),vote4SURGE!$A:$C , 3, FALSE) - 2,
VLOOKUP(SUBSTITUTE(N165,"S: ",""),vote4SURGE!$A:$C , 3, FALSE)
)
,
IF(IFERROR(SEARCH("SS:",N165),0) &gt; 0, 
VLOOKUP(C165,vote4SURGE!$A:$C , 3, FALSE) - 2,
VLOOKUP(C165,vote4SURGE!$A:$C , 3, FALSE)
)
))</f>
        <v/>
      </c>
      <c r="P165" s="318"/>
      <c r="Q165" s="317" t="str">
        <f>IF(ISBLANK(P165),,IFERROR(
IF(IFERROR(SEARCH("SS:",P165),0) &gt; 0, 
VLOOKUP(SUBSTITUTE(P165,"SS: ",""),vote4SURGE!$A:$C , 3, FALSE) - 2,
VLOOKUP(SUBSTITUTE(P165,"S: ",""),vote4SURGE!$A:$C , 3, FALSE)
)
,
IF(IFERROR(SEARCH("SS:",P165),0) &gt; 0, 
VLOOKUP(C165,vote4SURGE!$A:$C , 3, FALSE) - 2,
VLOOKUP(C165,vote4SURGE!$A:$C , 3, FALSE)
)
))</f>
        <v/>
      </c>
      <c r="R165" s="318"/>
      <c r="S165" s="319" t="str">
        <f>IF(ISBLANK(R165),,IFERROR(
IF(IFERROR(SEARCH("SS:",R165),0) &gt; 0, 
VLOOKUP(SUBSTITUTE(R165,"SS: ",""),vote4SURGE!$A:$C , 3, FALSE) - 2,
VLOOKUP(SUBSTITUTE(R165,"S: ",""),vote4SURGE!$A:$C , 3, FALSE)
)
,
IF(IFERROR(SEARCH("SS:",R165),0) &gt; 0, 
VLOOKUP(C165,vote4SURGE!$A:$C , 3, FALSE) - 2,
VLOOKUP(C165,vote4SURGE!$A:$C , 3, FALSE)
)
))</f>
        <v/>
      </c>
      <c r="T165" s="320">
        <f t="shared" si="2"/>
        <v>0</v>
      </c>
      <c r="U165" s="320">
        <f>IFERROR(__xludf.DUMMYFUNCTION("ROUND(
IF(ISBLANK(G165),,
SWITCH(
LEN(G165) - LEN(SUBSTITUTE(G165,"","","""")),
0 , VLOOKUP(G165, Variables!$A:$C, 3, FALSE),
1 , VLOOKUP(index(split(G165 ,"", "", FALSE),1,1), Variables!$A:$C , 3, FALSE) + VLOOKUP(index(split(G165 ,"", "", FALSE),1,2), V"&amp;"ariables!$A:$C , 3, FALSE),
2 , VLOOKUP(index(split(G165 ,"", "", FALSE),1,1), Variables!$A:$C , 3, FALSE) + VLOOKUP(index(split(G165 ,"", "", FALSE),1,2), Variables!$A:$C , 3, FALSE) + VLOOKUP(index(split(G165 ,"", "", FALSE),1,3), Variables!$A:$C , 3, F"&amp;"ALSE),
3 , VLOOKUP(index(split(G165 ,"", "", FALSE),1,1), Variables!$A:$C , 3, FALSE) + VLOOKUP(index(split(G165 ,"", "", FALSE),1,2), Variables!$A:$C , 3, FALSE) + VLOOKUP(index(split(G165 ,"", "", FALSE),1,3), Variables!$A:$C , 3, FALSE) + VLOOKUP(index"&amp;"(split(G165 ,"", "", FALSE),1,4), Variables!$A:$C , 3, FALSE),
)
)
)"),0.0)</f>
        <v>0</v>
      </c>
      <c r="V165" s="317">
        <f t="shared" si="3"/>
        <v>0</v>
      </c>
      <c r="W165" s="321">
        <f t="shared" si="4"/>
        <v>2</v>
      </c>
      <c r="X165" s="118"/>
      <c r="Y165" s="118"/>
      <c r="Z165" s="118"/>
      <c r="AA165" s="118"/>
      <c r="AB165" s="118"/>
      <c r="AC165" s="118"/>
      <c r="AD165" s="118"/>
      <c r="AE165" s="118"/>
    </row>
    <row r="166" hidden="1">
      <c r="A166" s="310" t="s">
        <v>1556</v>
      </c>
      <c r="B166" s="93" t="str">
        <f t="shared" si="1"/>
        <v/>
      </c>
      <c r="C166" s="310" t="s">
        <v>904</v>
      </c>
      <c r="D166" s="323">
        <v>0.0</v>
      </c>
      <c r="E166" s="310" t="s">
        <v>1629</v>
      </c>
      <c r="F166" s="310"/>
      <c r="G166" s="313"/>
      <c r="H166" s="312" t="str">
        <f>IFERROR(__xludf.DUMMYFUNCTION(" IF(ISBLANK(G166),,
SWITCH(
LEN(G166) - LEN(SUBSTITUTE(G166,"","","""")),
0 , VLOOKUP(G166, Variables!$A:$B, 2, FALSE),
1 , VLOOKUP(index(split(G166 ,"", "", FALSE),1,1), Variables!$A:$B , 2, FALSE) + VLOOKUP(index(split(G166 ,"", "", FALSE),1,2), Variabl"&amp;"es!$A:$B , 2, FALSE),
2 , VLOOKUP(index(split(G166 ,"", "", FALSE),1,1), Variables!$A:$B , 2, FALSE) + VLOOKUP(index(split(G166 ,"", "", FALSE),1,2), Variables!$A:$B , 2, FALSE) + VLOOKUP(index(split(G166 ,"", "", FALSE),1,3), Variables!$A:$B , 2, FALSE),"&amp;"
3 , VLOOKUP(index(split(G166 ,"", "", FALSE),1,1), Variables!$A:$B , 2, FALSE) + VLOOKUP(index(split(G166 ,"", "", FALSE),1,2), Variables!$A:$B , 2, FALSE) + VLOOKUP(index(split(G166 ,"", "", FALSE),1,3), Variables!$A:$B , 2, FALSE) + VLOOKUP(index(split"&amp;"(G166 ,"", "", FALSE),1,4), Variables!$A:$B , 2, FALSE),
)
)"),"")</f>
        <v/>
      </c>
      <c r="I166" s="310" t="s">
        <v>1641</v>
      </c>
      <c r="J166" s="313" t="s">
        <v>905</v>
      </c>
      <c r="K166" s="314">
        <f>IFERROR(VLOOKUP(C166,vote4ITEMS!$A:$C, 3, FALSE),)</f>
        <v>1.666666667</v>
      </c>
      <c r="L166" s="324"/>
      <c r="M166" s="314">
        <f>SUM(
IF(IFERROR(SEARCH("Aura 1",L166),0) &gt; 0 , VLOOKUP("Aura 1", vote4TRAITS!A:C , 3, FALSE), ),
IF(IFERROR(SEARCH("Backswing",L166),0) &gt; 0 , VLOOKUP("Backswing", vote4TRAITS!A:C , 3, FALSE), ),
IF(IFERROR(SEARCH("Blast",L166),0) &gt; 0 , VLOOKUP("Blast", vote4TRAITS!A:C , 3, FALSE), ),
IF(IFERROR(SEARCH("Combustible",L166),0) &gt; 0 , VLOOKUP("Combustible", vote4TRAITS!A:C , 3, FALSE), ),
IF(IFERROR(SEARCH("Command",L166),0) &gt; 0 , VLOOKUP("Command", vote4TRAITS!A:C , 3, FALSE), ),
IF(IFERROR(SEARCH("Cowardly",L166),0) &gt; 0 , VLOOKUP("Cowardly", vote4TRAITS!A:C , 3, FALSE), ),
IF(IFERROR(SEARCH("Death Wish",L166),0) &gt; 0 , VLOOKUP("Death Wish", vote4TRAITS!A:C , 3, FALSE), ),
IF(IFERROR(SEARCH("Entomb",L166),0) &gt; 0 , VLOOKUP("Entomb", vote4TRAITS!A:C , 3, FALSE), ),
IF(IFERROR(SEARCH("Ethereal Hold",L166),0) &gt; 0 , VLOOKUP("Ethereal Hold", vote4TRAITS!A:C , 3, FALSE), ),
IF(IFERROR(SEARCH("Extend",L166),0) &gt; 0 , VLOOKUP("Extend", vote4TRAITS!A:C , 3, FALSE), ),
IF(IFERROR(SEARCH("Filthy Murk",L166),0) &gt; 0 , VLOOKUP("Filthy Murk", vote4TRAITS!A:C , 3, FALSE), ),
IF(IFERROR(SEARCH("Flame Fiend",L166),0) &gt; 0 , VLOOKUP("Flame Fiend", vote4TRAITS!A:C , 3, FALSE), ),
IF(IFERROR(SEARCH("Fleshmonger",L166),0) &gt; 0 , VLOOKUP("Fleshmonger", vote4TRAITS!A:C , 3, FALSE), ),
IF(IFERROR(SEARCH("Fly",L166),0) &gt; 0 , VLOOKUP("Fly", vote4TRAITS!A:C , 3, FALSE), ),
IF(IFERROR(SEARCH("Freezing",L166),0) &gt; 0 , VLOOKUP("Freezing", vote4TRAITS!A:C , 3, FALSE), ),
IF(IFERROR(SEARCH("Lithesome",L166),0) &gt; 0 , VLOOKUP("Lithesome", vote4TRAITS!A:C , 3, FALSE), ),
IF(IFERROR(SEARCH("Harrowing",L166),0) &gt; 0 , VLOOKUP("Harrowing", vote4TRAITS!A:C , 3, FALSE), ),
IF(IFERROR(SEARCH("Hideous Laughter",L166),0) &gt; 0 , VLOOKUP("Hideous Laughter", vote4TRAITS!A:C , 3, FALSE), ),
IF(IFERROR(SEARCH("Hive Defense",L166),0) &gt; 0 , VLOOKUP("Hive Defense", vote4TRAITS!A:C , 3, FALSE), ),
IF(IFERROR(SEARCH("Horrifying",L166),0) &gt; 0 , VLOOKUP("Horrifying", vote4TRAITS!A:C , 3, FALSE), ),
IF(IFERROR(SEARCH("Ironskin",L166),0) &gt; 0 , VLOOKUP("Ironskin", vote4TRAITS!A:C , 3, FALSE), ),
IF(IFERROR(SEARCH("Unmovable",L166),0) &gt; 0 , VLOOKUP("Unmovable", vote4TRAITS!A:C , 3, FALSE), ),
IF(IFERROR(SEARCH("Lifethirst 1",L166),0) &gt; 0 , VLOOKUP("Lifethirst 1", vote4TRAITS!A:C , 3, FALSE), ),
IF(IFERROR(SEARCH("Lifethirst 2",L166),0) &gt; 0 , VLOOKUP("Lifethirst 2", vote4TRAITS!A:C , 3, FALSE), ),
IF(IFERROR(SEARCH("Morph",L166),0) &gt; 0 , VLOOKUP("Morph", vote4TRAITS!A:C , 3, FALSE), ),
IF(IFERROR(SEARCH("Night Stalker",L166),0) &gt; 0 , VLOOKUP("Night Stalker", vote4TRAITS!A:C , 3, FALSE), ),
IF(IFERROR(SEARCH("Overflowing",L166),0) &gt; 0 , VLOOKUP("Overflowing", vote4TRAITS!A:C , 3, FALSE), ),
IF(IFERROR(SEARCH("Pestilence",L166),0) &gt; 0 , VLOOKUP("Pestilence", vote4TRAITS!A:C , 3, FALSE), ),
IF(IFERROR(SEARCH("Phalanx",L166),0) &gt; 0 , VLOOKUP("Phalanx", vote4TRAITS!A:C , 3, FALSE), ),
IF(IFERROR(SEARCH("Plagued",L166),0) &gt; 0 , VLOOKUP("Plagued", vote4TRAITS!A:C , 3, FALSE), ),
IF(IFERROR(SEARCH("Prey on the Weak",L166),0) &gt; 0 , VLOOKUP("Prey on the Weak", vote4TRAITS!A:C , 3, FALSE), ),
IF(IFERROR(SEARCH("Protect",L166),0) &gt; 0 , VLOOKUP("Protect", vote4TRAITS!A:C , 3, FALSE), ),
IF(IFERROR(SEARCH("Puncture",L166),0) &gt; 0 , VLOOKUP("Puncture", vote4TRAITS!A:C , 3, FALSE), ),
IF(IFERROR(SEARCH("Putrid Boils",L166),0) &gt; 0 , VLOOKUP("Putrid Boils", vote4TRAITS!A:C , 3, FALSE), ),
IF(IFERROR(SEARCH("Ravage",L166),0) &gt; 0 , VLOOKUP("Ravage", vote4TRAITS!A:C , 3, FALSE), ),
IF(IFERROR(SEARCH("Ravenous",L166),0) &gt; 0 , VLOOKUP("Ravenous", vote4TRAITS!A:C , 3, FALSE), ),
IF(IFERROR(SEARCH("Reach",L166),0) &gt; 0 , VLOOKUP("Reach", vote4TRAITS!A:C , 3, FALSE), ),
IF(IFERROR(SEARCH("Reanimation",L166),0) &gt; 0 , VLOOKUP("Reanimation", vote4TRAITS!A:C , 3, FALSE), ),
IF(IFERROR(SEARCH("Reaper",L166),0) &gt; 0 , VLOOKUP("Reaper", vote4TRAITS!A:C , 3, FALSE), ),
IF(IFERROR(SEARCH("Riposte",L166),0) &gt; 0 , VLOOKUP("Riposte", vote4TRAITS!A:C , 3, FALSE)),
IF(IFERROR(SEARCH("Scamper",L166),0) &gt; 0 , VLOOKUP("Scamper", vote4TRAITS!A:C , 3, FALSE), ),
IF(IFERROR(SEARCH("Small Beginnings",L166),0) &gt; 0 , VLOOKUP("Small Beginnings", vote4TRAITS!A:C , 3, FALSE), ),
IF(IFERROR(SEARCH("Spawner",L166),0) &gt; 0 , VLOOKUP("Spawner", vote4TRAITS!A:C , 3,FALSE), ),
IF(IFERROR(SEARCH("Shadowr",L166),0) &gt; 0 , VLOOKUP("Shadow", vote4TRAITS!A:C , 3,FALSE), ),
IF(IFERROR(SEARCH("Shadow Step",L166),0) &gt; 0 , VLOOKUP("Shadow Step", vote4TRAITS!A:C , 3,FALSE), ),
IF(IFERROR(SEARCH("Shambling",L166),0) &gt; 0 , VLOOKUP("Shambling", vote4TRAITS!A:C , 3,FALSE), ),
IF(IFERROR(SEARCH("Stealthy",L166),0) &gt; 0 , VLOOKUP("Stealthy", vote4TRAITS!A:C , 3, FALSE), ),
IF(IFERROR(SEARCH("Web",L166),0) &gt; 0 , VLOOKUP("Web", vote4TRAITS!A:C , 3, FALSE), ),
IF(IFERROR(SEARCH("+1 Willpower",L166),0) &gt; 0 , VLOOKUP("+1 Willpower", vote4TRAITS!A:C , 3, FALSE), ),
IF(IFERROR(SEARCH("+1 Might",L166),0) &gt; 0 , VLOOKUP("+1 Might", vote4TRAITS!A:C , 3, FALSE), ),
IF(IFERROR(SEARCH("+1 Knowledge",L166),0) &gt; 0 , VLOOKUP("+1 Knowledge", vote4TRAITS!A:C , 3, FALSE), ),
IF(IFERROR(SEARCH("+1 Awareness",L166),0) &gt; 0 , VLOOKUP("+1 Awareness", vote4TRAITS!A:C , 3, FALSE), ),
IF(IFERROR(SEARCH("-1 Willpower",L166),0) &gt; 0 , VLOOKUP("-1 Willpower", vote4TRAITS!A:C , 3, FALSE), ),
IF(IFERROR(SEARCH("+1 Health",L166),0) &gt; 0 , VLOOKUP("+1 Health", vote4TRAITS!A:C , 3, FALSE), ),
IF(IFERROR(SEARCH("+2 Health",L166),0) &gt; 0 , VLOOKUP("+2 Health", vote4TRAITS!A:C , 3, FALSE), ),
IF(IFERROR(SEARCH("+1 Stamina",L166),0) &gt; 0 , VLOOKUP("+1 Stamina", vote4TRAITS!A:C , 3, FALSE), ),
IF(IFERROR(SEARCH("+2 Stamina",L166),0) &gt; 0 , VLOOKUP("+2 Stamina", vote4TRAITS!A:C , 3, FALSE), ),
IFS(
IFERROR(SEARCH("+1 Range", L166),) &gt; 0 ,VLOOKUP("+1 Range", vote4TRAITS!A:C , 3, FALSE),
IFERROR(SEARCH("+2 Range", L166),) &gt; 0 ,VLOOKUP("+2 Range", vote4TRAITS!A:C , 3, FALSE),
IFERROR(SEARCH("+3 Range", L166),) &gt; 0,VLOOKUP("+3 Range", vote4TRAITS!A:C , 3, FALSE),
0=0,0)
,
IFS(
IFERROR(SEARCH("Sorcery 1", L166),) &gt; 0 ,VLOOKUP("Sorcery 1", vote4TRAITS!A:C , 3, FALSE),
IFERROR(SEARCH("Sorcery 2", L166),) &gt; 0 ,VLOOKUP("Sorcery 2", vote4TRAITS!A:C , 3, FALSE),
IFERROR(SEARCH("Sorcery 3", L166),) &gt; 0,VLOOKUP("Sorcery 3", vote4TRAITS!A:C , 3, FALSE),
0=0,0)
,
IFS(
IFERROR(SEARCH("Pierce 1", L166),) &gt; 0 ,VLOOKUP("Pierce 1", vote4TRAITS!A:C , 3, FALSE),
IFERROR(SEARCH("Pierce 2", L166),) &gt; 0 ,VLOOKUP("Pierce 2", vote4TRAITS!A:C , 3, FALSE),
IFERROR(SEARCH("Pierce 3", L166),) &gt; 0,VLOOKUP("Pierce 3", vote4TRAITS!A:C , 3, FALSE),
IFERROR(SEARCH("Pierce 4", L166),) &gt; 0 ,VLOOKUP("Pierce 4", vote4TRAITS!A:C , 3, FALSE),
0=0,0)
,
IFS(
IFERROR(SEARCH("+1 Health", L166),) &gt; 0 ,VLOOKUP("+1 Health", vote4TRAITS!A:C , 3, FALSE),
IFERROR(SEARCH("+2 Health", L166),) &gt; 0 ,VLOOKUP("+2 Health", vote4TRAITS!A:C , 3, FALSE),
IFERROR(SEARCH("+3 Health", L166),) &gt; 0 ,VLOOKUP("+3 Health", vote4TRAITS!A:C , 3, FALSE),
IFERROR(SEARCH("+4 Health", L166),) &gt; 0 ,VLOOKUP("+4 Health", vote4TRAITS!A:C , 3, FALSE),
0=0,0)
,
IFS(
IFERROR(SEARCH("Soul Shackle 1", L166),) &gt; 0 ,VLOOKUP("Soul Shackle 1", vote4TRAITS!A:C , 3, FALSE),
IFERROR(SEARCH("Soul Shackle 2", L166),) &gt; 0 ,VLOOKUP("Soul Shackle 2", vote4TRAITS!A:C , 3, FALSE),
IFERROR(SEARCH("Soul Shackle 3", L166),) &gt; 0,VLOOKUP("Soul Shackle 3", vote4TRAITS!A:C , 3, FALSE),
0=0,0)
)</f>
        <v>0</v>
      </c>
      <c r="N166" s="330"/>
      <c r="O166" s="317" t="str">
        <f>IF(ISBLANK(N166),,IFERROR(
IF(IFERROR(SEARCH("SS:",N166),0) &gt; 0, 
VLOOKUP(SUBSTITUTE(N166,"SS: ",""),vote4SURGE!$A:$C , 3, FALSE) - 2,
VLOOKUP(SUBSTITUTE(N166,"S: ",""),vote4SURGE!$A:$C , 3, FALSE)
)
,
IF(IFERROR(SEARCH("SS:",N166),0) &gt; 0, 
VLOOKUP(C166,vote4SURGE!$A:$C , 3, FALSE) - 2,
VLOOKUP(C166,vote4SURGE!$A:$C , 3, FALSE)
)
))</f>
        <v/>
      </c>
      <c r="P166" s="318"/>
      <c r="Q166" s="317" t="str">
        <f>IF(ISBLANK(P166),,IFERROR(
IF(IFERROR(SEARCH("SS:",P166),0) &gt; 0, 
VLOOKUP(SUBSTITUTE(P166,"SS: ",""),vote4SURGE!$A:$C , 3, FALSE) - 2,
VLOOKUP(SUBSTITUTE(P166,"S: ",""),vote4SURGE!$A:$C , 3, FALSE)
)
,
IF(IFERROR(SEARCH("SS:",P166),0) &gt; 0, 
VLOOKUP(C166,vote4SURGE!$A:$C , 3, FALSE) - 2,
VLOOKUP(C166,vote4SURGE!$A:$C , 3, FALSE)
)
))</f>
        <v/>
      </c>
      <c r="R166" s="318"/>
      <c r="S166" s="319" t="str">
        <f>IF(ISBLANK(R166),,IFERROR(
IF(IFERROR(SEARCH("SS:",R166),0) &gt; 0, 
VLOOKUP(SUBSTITUTE(R166,"SS: ",""),vote4SURGE!$A:$C , 3, FALSE) - 2,
VLOOKUP(SUBSTITUTE(R166,"S: ",""),vote4SURGE!$A:$C , 3, FALSE)
)
,
IF(IFERROR(SEARCH("SS:",R166),0) &gt; 0, 
VLOOKUP(C166,vote4SURGE!$A:$C , 3, FALSE) - 2,
VLOOKUP(C166,vote4SURGE!$A:$C , 3, FALSE)
)
))</f>
        <v/>
      </c>
      <c r="T166" s="320">
        <f t="shared" si="2"/>
        <v>0</v>
      </c>
      <c r="U166" s="320">
        <f>IFERROR(__xludf.DUMMYFUNCTION("ROUND(
IF(ISBLANK(G166),,
SWITCH(
LEN(G166) - LEN(SUBSTITUTE(G166,"","","""")),
0 , VLOOKUP(G166, Variables!$A:$C, 3, FALSE),
1 , VLOOKUP(index(split(G166 ,"", "", FALSE),1,1), Variables!$A:$C , 3, FALSE) + VLOOKUP(index(split(G166 ,"", "", FALSE),1,2), V"&amp;"ariables!$A:$C , 3, FALSE),
2 , VLOOKUP(index(split(G166 ,"", "", FALSE),1,1), Variables!$A:$C , 3, FALSE) + VLOOKUP(index(split(G166 ,"", "", FALSE),1,2), Variables!$A:$C , 3, FALSE) + VLOOKUP(index(split(G166 ,"", "", FALSE),1,3), Variables!$A:$C , 3, F"&amp;"ALSE),
3 , VLOOKUP(index(split(G166 ,"", "", FALSE),1,1), Variables!$A:$C , 3, FALSE) + VLOOKUP(index(split(G166 ,"", "", FALSE),1,2), Variables!$A:$C , 3, FALSE) + VLOOKUP(index(split(G166 ,"", "", FALSE),1,3), Variables!$A:$C , 3, FALSE) + VLOOKUP(index"&amp;"(split(G166 ,"", "", FALSE),1,4), Variables!$A:$C , 3, FALSE),
)
)
)"),0.0)</f>
        <v>0</v>
      </c>
      <c r="V166" s="317">
        <f t="shared" si="3"/>
        <v>0</v>
      </c>
      <c r="W166" s="321">
        <f t="shared" si="4"/>
        <v>1.666666667</v>
      </c>
      <c r="X166" s="118"/>
      <c r="Y166" s="118"/>
      <c r="Z166" s="118"/>
      <c r="AA166" s="118"/>
      <c r="AB166" s="118"/>
      <c r="AC166" s="118"/>
      <c r="AD166" s="118"/>
      <c r="AE166" s="118"/>
    </row>
    <row r="167" hidden="1">
      <c r="A167" s="310">
        <v>1.0</v>
      </c>
      <c r="B167" s="93" t="str">
        <f t="shared" si="1"/>
        <v/>
      </c>
      <c r="C167" s="310" t="s">
        <v>940</v>
      </c>
      <c r="D167" s="323">
        <v>0.0</v>
      </c>
      <c r="E167" s="310" t="s">
        <v>1527</v>
      </c>
      <c r="F167" s="310"/>
      <c r="G167" s="313"/>
      <c r="H167" s="312" t="str">
        <f>IFERROR(__xludf.DUMMYFUNCTION(" IF(ISBLANK(G167),,
SWITCH(
LEN(G167) - LEN(SUBSTITUTE(G167,"","","""")),
0 , VLOOKUP(G167, Variables!$A:$B, 2, FALSE),
1 , VLOOKUP(index(split(G167 ,"", "", FALSE),1,1), Variables!$A:$B , 2, FALSE) + VLOOKUP(index(split(G167 ,"", "", FALSE),1,2), Variabl"&amp;"es!$A:$B , 2, FALSE),
2 , VLOOKUP(index(split(G167 ,"", "", FALSE),1,1), Variables!$A:$B , 2, FALSE) + VLOOKUP(index(split(G167 ,"", "", FALSE),1,2), Variables!$A:$B , 2, FALSE) + VLOOKUP(index(split(G167 ,"", "", FALSE),1,3), Variables!$A:$B , 2, FALSE),"&amp;"
3 , VLOOKUP(index(split(G167 ,"", "", FALSE),1,1), Variables!$A:$B , 2, FALSE) + VLOOKUP(index(split(G167 ,"", "", FALSE),1,2), Variables!$A:$B , 2, FALSE) + VLOOKUP(index(split(G167 ,"", "", FALSE),1,3), Variables!$A:$B , 2, FALSE) + VLOOKUP(index(split"&amp;"(G167 ,"", "", FALSE),1,4), Variables!$A:$B , 2, FALSE),
)
)"),"")</f>
        <v/>
      </c>
      <c r="I167" s="310" t="s">
        <v>1672</v>
      </c>
      <c r="J167" s="313" t="s">
        <v>941</v>
      </c>
      <c r="K167" s="314">
        <f>IFERROR(VLOOKUP(C167,vote4ITEMS!$A:$C, 3, FALSE),)</f>
        <v>1.666666667</v>
      </c>
      <c r="L167" s="313"/>
      <c r="M167" s="314">
        <f>SUM(
IF(IFERROR(SEARCH("Aura 1",L167),0) &gt; 0 , VLOOKUP("Aura 1", vote4TRAITS!A:C , 3, FALSE), ),
IF(IFERROR(SEARCH("Backswing",L167),0) &gt; 0 , VLOOKUP("Backswing", vote4TRAITS!A:C , 3, FALSE), ),
IF(IFERROR(SEARCH("Blast",L167),0) &gt; 0 , VLOOKUP("Blast", vote4TRAITS!A:C , 3, FALSE), ),
IF(IFERROR(SEARCH("Combustible",L167),0) &gt; 0 , VLOOKUP("Combustible", vote4TRAITS!A:C , 3, FALSE), ),
IF(IFERROR(SEARCH("Command",L167),0) &gt; 0 , VLOOKUP("Command", vote4TRAITS!A:C , 3, FALSE), ),
IF(IFERROR(SEARCH("Cowardly",L167),0) &gt; 0 , VLOOKUP("Cowardly", vote4TRAITS!A:C , 3, FALSE), ),
IF(IFERROR(SEARCH("Death Wish",L167),0) &gt; 0 , VLOOKUP("Death Wish", vote4TRAITS!A:C , 3, FALSE), ),
IF(IFERROR(SEARCH("Entomb",L167),0) &gt; 0 , VLOOKUP("Entomb", vote4TRAITS!A:C , 3, FALSE), ),
IF(IFERROR(SEARCH("Ethereal Hold",L167),0) &gt; 0 , VLOOKUP("Ethereal Hold", vote4TRAITS!A:C , 3, FALSE), ),
IF(IFERROR(SEARCH("Extend",L167),0) &gt; 0 , VLOOKUP("Extend", vote4TRAITS!A:C , 3, FALSE), ),
IF(IFERROR(SEARCH("Filthy Murk",L167),0) &gt; 0 , VLOOKUP("Filthy Murk", vote4TRAITS!A:C , 3, FALSE), ),
IF(IFERROR(SEARCH("Flame Fiend",L167),0) &gt; 0 , VLOOKUP("Flame Fiend", vote4TRAITS!A:C , 3, FALSE), ),
IF(IFERROR(SEARCH("Fleshmonger",L167),0) &gt; 0 , VLOOKUP("Fleshmonger", vote4TRAITS!A:C , 3, FALSE), ),
IF(IFERROR(SEARCH("Fly",L167),0) &gt; 0 , VLOOKUP("Fly", vote4TRAITS!A:C , 3, FALSE), ),
IF(IFERROR(SEARCH("Freezing",L167),0) &gt; 0 , VLOOKUP("Freezing", vote4TRAITS!A:C , 3, FALSE), ),
IF(IFERROR(SEARCH("Lithesome",L167),0) &gt; 0 , VLOOKUP("Lithesome", vote4TRAITS!A:C , 3, FALSE), ),
IF(IFERROR(SEARCH("Harrowing",L167),0) &gt; 0 , VLOOKUP("Harrowing", vote4TRAITS!A:C , 3, FALSE), ),
IF(IFERROR(SEARCH("Hideous Laughter",L167),0) &gt; 0 , VLOOKUP("Hideous Laughter", vote4TRAITS!A:C , 3, FALSE), ),
IF(IFERROR(SEARCH("Hive Defense",L167),0) &gt; 0 , VLOOKUP("Hive Defense", vote4TRAITS!A:C , 3, FALSE), ),
IF(IFERROR(SEARCH("Horrifying",L167),0) &gt; 0 , VLOOKUP("Horrifying", vote4TRAITS!A:C , 3, FALSE), ),
IF(IFERROR(SEARCH("Ironskin",L167),0) &gt; 0 , VLOOKUP("Ironskin", vote4TRAITS!A:C , 3, FALSE), ),
IF(IFERROR(SEARCH("Unmovable",L167),0) &gt; 0 , VLOOKUP("Unmovable", vote4TRAITS!A:C , 3, FALSE), ),
IF(IFERROR(SEARCH("Lifethirst 1",L167),0) &gt; 0 , VLOOKUP("Lifethirst 1", vote4TRAITS!A:C , 3, FALSE), ),
IF(IFERROR(SEARCH("Lifethirst 2",L167),0) &gt; 0 , VLOOKUP("Lifethirst 2", vote4TRAITS!A:C , 3, FALSE), ),
IF(IFERROR(SEARCH("Morph",L167),0) &gt; 0 , VLOOKUP("Morph", vote4TRAITS!A:C , 3, FALSE), ),
IF(IFERROR(SEARCH("Night Stalker",L167),0) &gt; 0 , VLOOKUP("Night Stalker", vote4TRAITS!A:C , 3, FALSE), ),
IF(IFERROR(SEARCH("Overflowing",L167),0) &gt; 0 , VLOOKUP("Overflowing", vote4TRAITS!A:C , 3, FALSE), ),
IF(IFERROR(SEARCH("Pestilence",L167),0) &gt; 0 , VLOOKUP("Pestilence", vote4TRAITS!A:C , 3, FALSE), ),
IF(IFERROR(SEARCH("Phalanx",L167),0) &gt; 0 , VLOOKUP("Phalanx", vote4TRAITS!A:C , 3, FALSE), ),
IF(IFERROR(SEARCH("Plagued",L167),0) &gt; 0 , VLOOKUP("Plagued", vote4TRAITS!A:C , 3, FALSE), ),
IF(IFERROR(SEARCH("Prey on the Weak",L167),0) &gt; 0 , VLOOKUP("Prey on the Weak", vote4TRAITS!A:C , 3, FALSE), ),
IF(IFERROR(SEARCH("Protect",L167),0) &gt; 0 , VLOOKUP("Protect", vote4TRAITS!A:C , 3, FALSE), ),
IF(IFERROR(SEARCH("Puncture",L167),0) &gt; 0 , VLOOKUP("Puncture", vote4TRAITS!A:C , 3, FALSE), ),
IF(IFERROR(SEARCH("Putrid Boils",L167),0) &gt; 0 , VLOOKUP("Putrid Boils", vote4TRAITS!A:C , 3, FALSE), ),
IF(IFERROR(SEARCH("Ravage",L167),0) &gt; 0 , VLOOKUP("Ravage", vote4TRAITS!A:C , 3, FALSE), ),
IF(IFERROR(SEARCH("Ravenous",L167),0) &gt; 0 , VLOOKUP("Ravenous", vote4TRAITS!A:C , 3, FALSE), ),
IF(IFERROR(SEARCH("Reach",L167),0) &gt; 0 , VLOOKUP("Reach", vote4TRAITS!A:C , 3, FALSE), ),
IF(IFERROR(SEARCH("Reanimation",L167),0) &gt; 0 , VLOOKUP("Reanimation", vote4TRAITS!A:C , 3, FALSE), ),
IF(IFERROR(SEARCH("Reaper",L167),0) &gt; 0 , VLOOKUP("Reaper", vote4TRAITS!A:C , 3, FALSE), ),
IF(IFERROR(SEARCH("Riposte",L167),0) &gt; 0 , VLOOKUP("Riposte", vote4TRAITS!A:C , 3, FALSE)),
IF(IFERROR(SEARCH("Scamper",L167),0) &gt; 0 , VLOOKUP("Scamper", vote4TRAITS!A:C , 3, FALSE), ),
IF(IFERROR(SEARCH("Small Beginnings",L167),0) &gt; 0 , VLOOKUP("Small Beginnings", vote4TRAITS!A:C , 3, FALSE), ),
IF(IFERROR(SEARCH("Spawner",L167),0) &gt; 0 , VLOOKUP("Spawner", vote4TRAITS!A:C , 3,FALSE), ),
IF(IFERROR(SEARCH("Shadowr",L167),0) &gt; 0 , VLOOKUP("Shadow", vote4TRAITS!A:C , 3,FALSE), ),
IF(IFERROR(SEARCH("Shadow Step",L167),0) &gt; 0 , VLOOKUP("Shadow Step", vote4TRAITS!A:C , 3,FALSE), ),
IF(IFERROR(SEARCH("Shambling",L167),0) &gt; 0 , VLOOKUP("Shambling", vote4TRAITS!A:C , 3,FALSE), ),
IF(IFERROR(SEARCH("Stealthy",L167),0) &gt; 0 , VLOOKUP("Stealthy", vote4TRAITS!A:C , 3, FALSE), ),
IF(IFERROR(SEARCH("Web",L167),0) &gt; 0 , VLOOKUP("Web", vote4TRAITS!A:C , 3, FALSE), ),
IF(IFERROR(SEARCH("+1 Willpower",L167),0) &gt; 0 , VLOOKUP("+1 Willpower", vote4TRAITS!A:C , 3, FALSE), ),
IF(IFERROR(SEARCH("+1 Might",L167),0) &gt; 0 , VLOOKUP("+1 Might", vote4TRAITS!A:C , 3, FALSE), ),
IF(IFERROR(SEARCH("+1 Knowledge",L167),0) &gt; 0 , VLOOKUP("+1 Knowledge", vote4TRAITS!A:C , 3, FALSE), ),
IF(IFERROR(SEARCH("+1 Awareness",L167),0) &gt; 0 , VLOOKUP("+1 Awareness", vote4TRAITS!A:C , 3, FALSE), ),
IF(IFERROR(SEARCH("-1 Willpower",L167),0) &gt; 0 , VLOOKUP("-1 Willpower", vote4TRAITS!A:C , 3, FALSE), ),
IF(IFERROR(SEARCH("+1 Health",L167),0) &gt; 0 , VLOOKUP("+1 Health", vote4TRAITS!A:C , 3, FALSE), ),
IF(IFERROR(SEARCH("+2 Health",L167),0) &gt; 0 , VLOOKUP("+2 Health", vote4TRAITS!A:C , 3, FALSE), ),
IF(IFERROR(SEARCH("+1 Stamina",L167),0) &gt; 0 , VLOOKUP("+1 Stamina", vote4TRAITS!A:C , 3, FALSE), ),
IF(IFERROR(SEARCH("+2 Stamina",L167),0) &gt; 0 , VLOOKUP("+2 Stamina", vote4TRAITS!A:C , 3, FALSE), ),
IFS(
IFERROR(SEARCH("+1 Range", L167),) &gt; 0 ,VLOOKUP("+1 Range", vote4TRAITS!A:C , 3, FALSE),
IFERROR(SEARCH("+2 Range", L167),) &gt; 0 ,VLOOKUP("+2 Range", vote4TRAITS!A:C , 3, FALSE),
IFERROR(SEARCH("+3 Range", L167),) &gt; 0,VLOOKUP("+3 Range", vote4TRAITS!A:C , 3, FALSE),
0=0,0)
,
IFS(
IFERROR(SEARCH("Sorcery 1", L167),) &gt; 0 ,VLOOKUP("Sorcery 1", vote4TRAITS!A:C , 3, FALSE),
IFERROR(SEARCH("Sorcery 2", L167),) &gt; 0 ,VLOOKUP("Sorcery 2", vote4TRAITS!A:C , 3, FALSE),
IFERROR(SEARCH("Sorcery 3", L167),) &gt; 0,VLOOKUP("Sorcery 3", vote4TRAITS!A:C , 3, FALSE),
0=0,0)
,
IFS(
IFERROR(SEARCH("Pierce 1", L167),) &gt; 0 ,VLOOKUP("Pierce 1", vote4TRAITS!A:C , 3, FALSE),
IFERROR(SEARCH("Pierce 2", L167),) &gt; 0 ,VLOOKUP("Pierce 2", vote4TRAITS!A:C , 3, FALSE),
IFERROR(SEARCH("Pierce 3", L167),) &gt; 0,VLOOKUP("Pierce 3", vote4TRAITS!A:C , 3, FALSE),
IFERROR(SEARCH("Pierce 4", L167),) &gt; 0 ,VLOOKUP("Pierce 4", vote4TRAITS!A:C , 3, FALSE),
0=0,0)
,
IFS(
IFERROR(SEARCH("+1 Health", L167),) &gt; 0 ,VLOOKUP("+1 Health", vote4TRAITS!A:C , 3, FALSE),
IFERROR(SEARCH("+2 Health", L167),) &gt; 0 ,VLOOKUP("+2 Health", vote4TRAITS!A:C , 3, FALSE),
IFERROR(SEARCH("+3 Health", L167),) &gt; 0 ,VLOOKUP("+3 Health", vote4TRAITS!A:C , 3, FALSE),
IFERROR(SEARCH("+4 Health", L167),) &gt; 0 ,VLOOKUP("+4 Health", vote4TRAITS!A:C , 3, FALSE),
0=0,0)
,
IFS(
IFERROR(SEARCH("Soul Shackle 1", L167),) &gt; 0 ,VLOOKUP("Soul Shackle 1", vote4TRAITS!A:C , 3, FALSE),
IFERROR(SEARCH("Soul Shackle 2", L167),) &gt; 0 ,VLOOKUP("Soul Shackle 2", vote4TRAITS!A:C , 3, FALSE),
IFERROR(SEARCH("Soul Shackle 3", L167),) &gt; 0,VLOOKUP("Soul Shackle 3", vote4TRAITS!A:C , 3, FALSE),
0=0,0)
)</f>
        <v>0</v>
      </c>
      <c r="N167" s="313"/>
      <c r="O167" s="317" t="str">
        <f>IF(ISBLANK(N167),,IFERROR(
IF(IFERROR(SEARCH("SS:",N167),0) &gt; 0, 
VLOOKUP(SUBSTITUTE(N167,"SS: ",""),vote4SURGE!$A:$C , 3, FALSE) - 2,
VLOOKUP(SUBSTITUTE(N167,"S: ",""),vote4SURGE!$A:$C , 3, FALSE)
)
,
IF(IFERROR(SEARCH("SS:",N167),0) &gt; 0, 
VLOOKUP(C167,vote4SURGE!$A:$C , 3, FALSE) - 2,
VLOOKUP(C167,vote4SURGE!$A:$C , 3, FALSE)
)
))</f>
        <v/>
      </c>
      <c r="P167" s="318"/>
      <c r="Q167" s="317" t="str">
        <f>IF(ISBLANK(P167),,IFERROR(
IF(IFERROR(SEARCH("SS:",P167),0) &gt; 0, 
VLOOKUP(SUBSTITUTE(P167,"SS: ",""),vote4SURGE!$A:$C , 3, FALSE) - 2,
VLOOKUP(SUBSTITUTE(P167,"S: ",""),vote4SURGE!$A:$C , 3, FALSE)
)
,
IF(IFERROR(SEARCH("SS:",P167),0) &gt; 0, 
VLOOKUP(C167,vote4SURGE!$A:$C , 3, FALSE) - 2,
VLOOKUP(C167,vote4SURGE!$A:$C , 3, FALSE)
)
))</f>
        <v/>
      </c>
      <c r="R167" s="318"/>
      <c r="S167" s="319" t="str">
        <f>IF(ISBLANK(R167),,IFERROR(
IF(IFERROR(SEARCH("SS:",R167),0) &gt; 0, 
VLOOKUP(SUBSTITUTE(R167,"SS: ",""),vote4SURGE!$A:$C , 3, FALSE) - 2,
VLOOKUP(SUBSTITUTE(R167,"S: ",""),vote4SURGE!$A:$C , 3, FALSE)
)
,
IF(IFERROR(SEARCH("SS:",R167),0) &gt; 0, 
VLOOKUP(C167,vote4SURGE!$A:$C , 3, FALSE) - 2,
VLOOKUP(C167,vote4SURGE!$A:$C , 3, FALSE)
)
))</f>
        <v/>
      </c>
      <c r="T167" s="320">
        <f t="shared" si="2"/>
        <v>0</v>
      </c>
      <c r="U167" s="320">
        <f>IFERROR(__xludf.DUMMYFUNCTION("ROUND(
IF(ISBLANK(G167),,
SWITCH(
LEN(G167) - LEN(SUBSTITUTE(G167,"","","""")),
0 , VLOOKUP(G167, Variables!$A:$C, 3, FALSE),
1 , VLOOKUP(index(split(G167 ,"", "", FALSE),1,1), Variables!$A:$C , 3, FALSE) + VLOOKUP(index(split(G167 ,"", "", FALSE),1,2), V"&amp;"ariables!$A:$C , 3, FALSE),
2 , VLOOKUP(index(split(G167 ,"", "", FALSE),1,1), Variables!$A:$C , 3, FALSE) + VLOOKUP(index(split(G167 ,"", "", FALSE),1,2), Variables!$A:$C , 3, FALSE) + VLOOKUP(index(split(G167 ,"", "", FALSE),1,3), Variables!$A:$C , 3, F"&amp;"ALSE),
3 , VLOOKUP(index(split(G167 ,"", "", FALSE),1,1), Variables!$A:$C , 3, FALSE) + VLOOKUP(index(split(G167 ,"", "", FALSE),1,2), Variables!$A:$C , 3, FALSE) + VLOOKUP(index(split(G167 ,"", "", FALSE),1,3), Variables!$A:$C , 3, FALSE) + VLOOKUP(index"&amp;"(split(G167 ,"", "", FALSE),1,4), Variables!$A:$C , 3, FALSE),
)
)
)"),0.0)</f>
        <v>0</v>
      </c>
      <c r="V167" s="317">
        <f t="shared" si="3"/>
        <v>0</v>
      </c>
      <c r="W167" s="321">
        <f t="shared" si="4"/>
        <v>1.666666667</v>
      </c>
      <c r="X167" s="118"/>
      <c r="Y167" s="118"/>
      <c r="Z167" s="118"/>
      <c r="AA167" s="118"/>
      <c r="AB167" s="118"/>
      <c r="AC167" s="118"/>
      <c r="AD167" s="118"/>
      <c r="AE167" s="118"/>
    </row>
    <row r="168" hidden="1">
      <c r="A168" s="310">
        <v>2.0</v>
      </c>
      <c r="B168" s="93">
        <f t="shared" si="1"/>
        <v>5</v>
      </c>
      <c r="C168" s="310" t="s">
        <v>834</v>
      </c>
      <c r="D168" s="310">
        <v>250.0</v>
      </c>
      <c r="E168" s="310" t="s">
        <v>1620</v>
      </c>
      <c r="F168" s="310"/>
      <c r="G168" s="313" t="s">
        <v>1671</v>
      </c>
      <c r="H168" s="312">
        <f>IFERROR(__xludf.DUMMYFUNCTION(" IF(ISBLANK(G168),,
SWITCH(
LEN(G168) - LEN(SUBSTITUTE(G168,"","","""")),
0 , VLOOKUP(G168, Variables!$A:$B, 2, FALSE),
1 , VLOOKUP(index(split(G168 ,"", "", FALSE),1,1), Variables!$A:$B , 2, FALSE) + VLOOKUP(index(split(G168 ,"", "", FALSE),1,2), Variabl"&amp;"es!$A:$B , 2, FALSE),
2 , VLOOKUP(index(split(G168 ,"", "", FALSE),1,1), Variables!$A:$B , 2, FALSE) + VLOOKUP(index(split(G168 ,"", "", FALSE),1,2), Variables!$A:$B , 2, FALSE) + VLOOKUP(index(split(G168 ,"", "", FALSE),1,3), Variables!$A:$B , 2, FALSE),"&amp;"
3 , VLOOKUP(index(split(G168 ,"", "", FALSE),1,1), Variables!$A:$B , 2, FALSE) + VLOOKUP(index(split(G168 ,"", "", FALSE),1,2), Variables!$A:$B , 2, FALSE) + VLOOKUP(index(split(G168 ,"", "", FALSE),1,3), Variables!$A:$B , 2, FALSE) + VLOOKUP(index(split"&amp;"(G168 ,"", "", FALSE),1,4), Variables!$A:$B , 2, FALSE),
)
)"),2.1666666666666665)</f>
        <v>2.166666667</v>
      </c>
      <c r="I168" s="310" t="s">
        <v>1664</v>
      </c>
      <c r="J168" s="313" t="s">
        <v>835</v>
      </c>
      <c r="K168" s="314">
        <f>IFERROR(VLOOKUP(C168,vote4ITEMS!$A:$C, 3, FALSE),)</f>
        <v>-0.6666666667</v>
      </c>
      <c r="L168" s="313"/>
      <c r="M168" s="314">
        <f>SUM(
IF(IFERROR(SEARCH("Aura 1",L168),0) &gt; 0 , VLOOKUP("Aura 1", vote4TRAITS!A:C , 3, FALSE), ),
IF(IFERROR(SEARCH("Backswing",L168),0) &gt; 0 , VLOOKUP("Backswing", vote4TRAITS!A:C , 3, FALSE), ),
IF(IFERROR(SEARCH("Blast",L168),0) &gt; 0 , VLOOKUP("Blast", vote4TRAITS!A:C , 3, FALSE), ),
IF(IFERROR(SEARCH("Combustible",L168),0) &gt; 0 , VLOOKUP("Combustible", vote4TRAITS!A:C , 3, FALSE), ),
IF(IFERROR(SEARCH("Command",L168),0) &gt; 0 , VLOOKUP("Command", vote4TRAITS!A:C , 3, FALSE), ),
IF(IFERROR(SEARCH("Cowardly",L168),0) &gt; 0 , VLOOKUP("Cowardly", vote4TRAITS!A:C , 3, FALSE), ),
IF(IFERROR(SEARCH("Death Wish",L168),0) &gt; 0 , VLOOKUP("Death Wish", vote4TRAITS!A:C , 3, FALSE), ),
IF(IFERROR(SEARCH("Entomb",L168),0) &gt; 0 , VLOOKUP("Entomb", vote4TRAITS!A:C , 3, FALSE), ),
IF(IFERROR(SEARCH("Ethereal Hold",L168),0) &gt; 0 , VLOOKUP("Ethereal Hold", vote4TRAITS!A:C , 3, FALSE), ),
IF(IFERROR(SEARCH("Extend",L168),0) &gt; 0 , VLOOKUP("Extend", vote4TRAITS!A:C , 3, FALSE), ),
IF(IFERROR(SEARCH("Filthy Murk",L168),0) &gt; 0 , VLOOKUP("Filthy Murk", vote4TRAITS!A:C , 3, FALSE), ),
IF(IFERROR(SEARCH("Flame Fiend",L168),0) &gt; 0 , VLOOKUP("Flame Fiend", vote4TRAITS!A:C , 3, FALSE), ),
IF(IFERROR(SEARCH("Fleshmonger",L168),0) &gt; 0 , VLOOKUP("Fleshmonger", vote4TRAITS!A:C , 3, FALSE), ),
IF(IFERROR(SEARCH("Fly",L168),0) &gt; 0 , VLOOKUP("Fly", vote4TRAITS!A:C , 3, FALSE), ),
IF(IFERROR(SEARCH("Freezing",L168),0) &gt; 0 , VLOOKUP("Freezing", vote4TRAITS!A:C , 3, FALSE), ),
IF(IFERROR(SEARCH("Lithesome",L168),0) &gt; 0 , VLOOKUP("Lithesome", vote4TRAITS!A:C , 3, FALSE), ),
IF(IFERROR(SEARCH("Harrowing",L168),0) &gt; 0 , VLOOKUP("Harrowing", vote4TRAITS!A:C , 3, FALSE), ),
IF(IFERROR(SEARCH("Hideous Laughter",L168),0) &gt; 0 , VLOOKUP("Hideous Laughter", vote4TRAITS!A:C , 3, FALSE), ),
IF(IFERROR(SEARCH("Hive Defense",L168),0) &gt; 0 , VLOOKUP("Hive Defense", vote4TRAITS!A:C , 3, FALSE), ),
IF(IFERROR(SEARCH("Horrifying",L168),0) &gt; 0 , VLOOKUP("Horrifying", vote4TRAITS!A:C , 3, FALSE), ),
IF(IFERROR(SEARCH("Ironskin",L168),0) &gt; 0 , VLOOKUP("Ironskin", vote4TRAITS!A:C , 3, FALSE), ),
IF(IFERROR(SEARCH("Unmovable",L168),0) &gt; 0 , VLOOKUP("Unmovable", vote4TRAITS!A:C , 3, FALSE), ),
IF(IFERROR(SEARCH("Lifethirst 1",L168),0) &gt; 0 , VLOOKUP("Lifethirst 1", vote4TRAITS!A:C , 3, FALSE), ),
IF(IFERROR(SEARCH("Lifethirst 2",L168),0) &gt; 0 , VLOOKUP("Lifethirst 2", vote4TRAITS!A:C , 3, FALSE), ),
IF(IFERROR(SEARCH("Morph",L168),0) &gt; 0 , VLOOKUP("Morph", vote4TRAITS!A:C , 3, FALSE), ),
IF(IFERROR(SEARCH("Night Stalker",L168),0) &gt; 0 , VLOOKUP("Night Stalker", vote4TRAITS!A:C , 3, FALSE), ),
IF(IFERROR(SEARCH("Overflowing",L168),0) &gt; 0 , VLOOKUP("Overflowing", vote4TRAITS!A:C , 3, FALSE), ),
IF(IFERROR(SEARCH("Pestilence",L168),0) &gt; 0 , VLOOKUP("Pestilence", vote4TRAITS!A:C , 3, FALSE), ),
IF(IFERROR(SEARCH("Phalanx",L168),0) &gt; 0 , VLOOKUP("Phalanx", vote4TRAITS!A:C , 3, FALSE), ),
IF(IFERROR(SEARCH("Plagued",L168),0) &gt; 0 , VLOOKUP("Plagued", vote4TRAITS!A:C , 3, FALSE), ),
IF(IFERROR(SEARCH("Prey on the Weak",L168),0) &gt; 0 , VLOOKUP("Prey on the Weak", vote4TRAITS!A:C , 3, FALSE), ),
IF(IFERROR(SEARCH("Protect",L168),0) &gt; 0 , VLOOKUP("Protect", vote4TRAITS!A:C , 3, FALSE), ),
IF(IFERROR(SEARCH("Puncture",L168),0) &gt; 0 , VLOOKUP("Puncture", vote4TRAITS!A:C , 3, FALSE), ),
IF(IFERROR(SEARCH("Putrid Boils",L168),0) &gt; 0 , VLOOKUP("Putrid Boils", vote4TRAITS!A:C , 3, FALSE), ),
IF(IFERROR(SEARCH("Ravage",L168),0) &gt; 0 , VLOOKUP("Ravage", vote4TRAITS!A:C , 3, FALSE), ),
IF(IFERROR(SEARCH("Ravenous",L168),0) &gt; 0 , VLOOKUP("Ravenous", vote4TRAITS!A:C , 3, FALSE), ),
IF(IFERROR(SEARCH("Reach",L168),0) &gt; 0 , VLOOKUP("Reach", vote4TRAITS!A:C , 3, FALSE), ),
IF(IFERROR(SEARCH("Reanimation",L168),0) &gt; 0 , VLOOKUP("Reanimation", vote4TRAITS!A:C , 3, FALSE), ),
IF(IFERROR(SEARCH("Reaper",L168),0) &gt; 0 , VLOOKUP("Reaper", vote4TRAITS!A:C , 3, FALSE), ),
IF(IFERROR(SEARCH("Riposte",L168),0) &gt; 0 , VLOOKUP("Riposte", vote4TRAITS!A:C , 3, FALSE)),
IF(IFERROR(SEARCH("Scamper",L168),0) &gt; 0 , VLOOKUP("Scamper", vote4TRAITS!A:C , 3, FALSE), ),
IF(IFERROR(SEARCH("Small Beginnings",L168),0) &gt; 0 , VLOOKUP("Small Beginnings", vote4TRAITS!A:C , 3, FALSE), ),
IF(IFERROR(SEARCH("Spawner",L168),0) &gt; 0 , VLOOKUP("Spawner", vote4TRAITS!A:C , 3,FALSE), ),
IF(IFERROR(SEARCH("Shadowr",L168),0) &gt; 0 , VLOOKUP("Shadow", vote4TRAITS!A:C , 3,FALSE), ),
IF(IFERROR(SEARCH("Shadow Step",L168),0) &gt; 0 , VLOOKUP("Shadow Step", vote4TRAITS!A:C , 3,FALSE), ),
IF(IFERROR(SEARCH("Shambling",L168),0) &gt; 0 , VLOOKUP("Shambling", vote4TRAITS!A:C , 3,FALSE), ),
IF(IFERROR(SEARCH("Stealthy",L168),0) &gt; 0 , VLOOKUP("Stealthy", vote4TRAITS!A:C , 3, FALSE), ),
IF(IFERROR(SEARCH("Web",L168),0) &gt; 0 , VLOOKUP("Web", vote4TRAITS!A:C , 3, FALSE), ),
IF(IFERROR(SEARCH("+1 Willpower",L168),0) &gt; 0 , VLOOKUP("+1 Willpower", vote4TRAITS!A:C , 3, FALSE), ),
IF(IFERROR(SEARCH("+1 Might",L168),0) &gt; 0 , VLOOKUP("+1 Might", vote4TRAITS!A:C , 3, FALSE), ),
IF(IFERROR(SEARCH("+1 Knowledge",L168),0) &gt; 0 , VLOOKUP("+1 Knowledge", vote4TRAITS!A:C , 3, FALSE), ),
IF(IFERROR(SEARCH("+1 Awareness",L168),0) &gt; 0 , VLOOKUP("+1 Awareness", vote4TRAITS!A:C , 3, FALSE), ),
IF(IFERROR(SEARCH("-1 Willpower",L168),0) &gt; 0 , VLOOKUP("-1 Willpower", vote4TRAITS!A:C , 3, FALSE), ),
IF(IFERROR(SEARCH("+1 Health",L168),0) &gt; 0 , VLOOKUP("+1 Health", vote4TRAITS!A:C , 3, FALSE), ),
IF(IFERROR(SEARCH("+2 Health",L168),0) &gt; 0 , VLOOKUP("+2 Health", vote4TRAITS!A:C , 3, FALSE), ),
IF(IFERROR(SEARCH("+1 Stamina",L168),0) &gt; 0 , VLOOKUP("+1 Stamina", vote4TRAITS!A:C , 3, FALSE), ),
IF(IFERROR(SEARCH("+2 Stamina",L168),0) &gt; 0 , VLOOKUP("+2 Stamina", vote4TRAITS!A:C , 3, FALSE), ),
IFS(
IFERROR(SEARCH("+1 Range", L168),) &gt; 0 ,VLOOKUP("+1 Range", vote4TRAITS!A:C , 3, FALSE),
IFERROR(SEARCH("+2 Range", L168),) &gt; 0 ,VLOOKUP("+2 Range", vote4TRAITS!A:C , 3, FALSE),
IFERROR(SEARCH("+3 Range", L168),) &gt; 0,VLOOKUP("+3 Range", vote4TRAITS!A:C , 3, FALSE),
0=0,0)
,
IFS(
IFERROR(SEARCH("Sorcery 1", L168),) &gt; 0 ,VLOOKUP("Sorcery 1", vote4TRAITS!A:C , 3, FALSE),
IFERROR(SEARCH("Sorcery 2", L168),) &gt; 0 ,VLOOKUP("Sorcery 2", vote4TRAITS!A:C , 3, FALSE),
IFERROR(SEARCH("Sorcery 3", L168),) &gt; 0,VLOOKUP("Sorcery 3", vote4TRAITS!A:C , 3, FALSE),
0=0,0)
,
IFS(
IFERROR(SEARCH("Pierce 1", L168),) &gt; 0 ,VLOOKUP("Pierce 1", vote4TRAITS!A:C , 3, FALSE),
IFERROR(SEARCH("Pierce 2", L168),) &gt; 0 ,VLOOKUP("Pierce 2", vote4TRAITS!A:C , 3, FALSE),
IFERROR(SEARCH("Pierce 3", L168),) &gt; 0,VLOOKUP("Pierce 3", vote4TRAITS!A:C , 3, FALSE),
IFERROR(SEARCH("Pierce 4", L168),) &gt; 0 ,VLOOKUP("Pierce 4", vote4TRAITS!A:C , 3, FALSE),
0=0,0)
,
IFS(
IFERROR(SEARCH("+1 Health", L168),) &gt; 0 ,VLOOKUP("+1 Health", vote4TRAITS!A:C , 3, FALSE),
IFERROR(SEARCH("+2 Health", L168),) &gt; 0 ,VLOOKUP("+2 Health", vote4TRAITS!A:C , 3, FALSE),
IFERROR(SEARCH("+3 Health", L168),) &gt; 0 ,VLOOKUP("+3 Health", vote4TRAITS!A:C , 3, FALSE),
IFERROR(SEARCH("+4 Health", L168),) &gt; 0 ,VLOOKUP("+4 Health", vote4TRAITS!A:C , 3, FALSE),
0=0,0)
,
IFS(
IFERROR(SEARCH("Soul Shackle 1", L168),) &gt; 0 ,VLOOKUP("Soul Shackle 1", vote4TRAITS!A:C , 3, FALSE),
IFERROR(SEARCH("Soul Shackle 2", L168),) &gt; 0 ,VLOOKUP("Soul Shackle 2", vote4TRAITS!A:C , 3, FALSE),
IFERROR(SEARCH("Soul Shackle 3", L168),) &gt; 0,VLOOKUP("Soul Shackle 3", vote4TRAITS!A:C , 3, FALSE),
0=0,0)
)</f>
        <v>0</v>
      </c>
      <c r="N168" s="313"/>
      <c r="O168" s="317" t="str">
        <f>IF(ISBLANK(N168),,IFERROR(
IF(IFERROR(SEARCH("SS:",N168),0) &gt; 0, 
VLOOKUP(SUBSTITUTE(N168,"SS: ",""),vote4SURGE!$A:$C , 3, FALSE) - 2,
VLOOKUP(SUBSTITUTE(N168,"S: ",""),vote4SURGE!$A:$C , 3, FALSE)
)
,
IF(IFERROR(SEARCH("SS:",N168),0) &gt; 0, 
VLOOKUP(C168,vote4SURGE!$A:$C , 3, FALSE) - 2,
VLOOKUP(C168,vote4SURGE!$A:$C , 3, FALSE)
)
))</f>
        <v/>
      </c>
      <c r="P168" s="318"/>
      <c r="Q168" s="317" t="str">
        <f>IF(ISBLANK(P168),,IFERROR(
IF(IFERROR(SEARCH("SS:",P168),0) &gt; 0, 
VLOOKUP(SUBSTITUTE(P168,"SS: ",""),vote4SURGE!$A:$C , 3, FALSE) - 2,
VLOOKUP(SUBSTITUTE(P168,"S: ",""),vote4SURGE!$A:$C , 3, FALSE)
)
,
IF(IFERROR(SEARCH("SS:",P168),0) &gt; 0, 
VLOOKUP(C168,vote4SURGE!$A:$C , 3, FALSE) - 2,
VLOOKUP(C168,vote4SURGE!$A:$C , 3, FALSE)
)
))</f>
        <v/>
      </c>
      <c r="R168" s="318"/>
      <c r="S168" s="319" t="str">
        <f>IF(ISBLANK(R168),,IFERROR(
IF(IFERROR(SEARCH("SS:",R168),0) &gt; 0, 
VLOOKUP(SUBSTITUTE(R168,"SS: ",""),vote4SURGE!$A:$C , 3, FALSE) - 2,
VLOOKUP(SUBSTITUTE(R168,"S: ",""),vote4SURGE!$A:$C , 3, FALSE)
)
,
IF(IFERROR(SEARCH("SS:",R168),0) &gt; 0, 
VLOOKUP(C168,vote4SURGE!$A:$C , 3, FALSE) - 2,
VLOOKUP(C168,vote4SURGE!$A:$C , 3, FALSE)
)
))</f>
        <v/>
      </c>
      <c r="T168" s="320">
        <f t="shared" si="2"/>
        <v>0</v>
      </c>
      <c r="U168" s="320">
        <f>IFERROR(__xludf.DUMMYFUNCTION("ROUND(
IF(ISBLANK(G168),,
SWITCH(
LEN(G168) - LEN(SUBSTITUTE(G168,"","","""")),
0 , VLOOKUP(G168, Variables!$A:$C, 3, FALSE),
1 , VLOOKUP(index(split(G168 ,"", "", FALSE),1,1), Variables!$A:$C , 3, FALSE) + VLOOKUP(index(split(G168 ,"", "", FALSE),1,2), V"&amp;"ariables!$A:$C , 3, FALSE),
2 , VLOOKUP(index(split(G168 ,"", "", FALSE),1,1), Variables!$A:$C , 3, FALSE) + VLOOKUP(index(split(G168 ,"", "", FALSE),1,2), Variables!$A:$C , 3, FALSE) + VLOOKUP(index(split(G168 ,"", "", FALSE),1,3), Variables!$A:$C , 3, F"&amp;"ALSE),
3 , VLOOKUP(index(split(G168 ,"", "", FALSE),1,1), Variables!$A:$C , 3, FALSE) + VLOOKUP(index(split(G168 ,"", "", FALSE),1,2), Variables!$A:$C , 3, FALSE) + VLOOKUP(index(split(G168 ,"", "", FALSE),1,3), Variables!$A:$C , 3, FALSE) + VLOOKUP(index"&amp;"(split(G168 ,"", "", FALSE),1,4), Variables!$A:$C , 3, FALSE),
)
)
)"),0.0)</f>
        <v>0</v>
      </c>
      <c r="V168" s="317">
        <f t="shared" si="3"/>
        <v>0</v>
      </c>
      <c r="W168" s="321">
        <f t="shared" si="4"/>
        <v>1.5</v>
      </c>
      <c r="X168" s="118"/>
      <c r="Y168" s="118"/>
      <c r="Z168" s="118"/>
      <c r="AA168" s="118"/>
      <c r="AB168" s="118"/>
      <c r="AC168" s="118"/>
      <c r="AD168" s="118"/>
      <c r="AE168" s="118"/>
    </row>
    <row r="169" hidden="1">
      <c r="A169" s="310">
        <v>1.0</v>
      </c>
      <c r="B169" s="93">
        <f t="shared" si="1"/>
        <v>1</v>
      </c>
      <c r="C169" s="310" t="s">
        <v>717</v>
      </c>
      <c r="D169" s="310">
        <v>150.0</v>
      </c>
      <c r="E169" s="310" t="s">
        <v>1620</v>
      </c>
      <c r="F169" s="310"/>
      <c r="G169" s="311" t="s">
        <v>1663</v>
      </c>
      <c r="H169" s="312">
        <f>IFERROR(__xludf.DUMMYFUNCTION(" IF(ISBLANK(G169),,
SWITCH(
LEN(G169) - LEN(SUBSTITUTE(G169,"","","""")),
0 , VLOOKUP(G169, Variables!$A:$B, 2, FALSE),
1 , VLOOKUP(index(split(G169 ,"", "", FALSE),1,1), Variables!$A:$B , 2, FALSE) + VLOOKUP(index(split(G169 ,"", "", FALSE),1,2), Variabl"&amp;"es!$A:$B , 2, FALSE),
2 , VLOOKUP(index(split(G169 ,"", "", FALSE),1,1), Variables!$A:$B , 2, FALSE) + VLOOKUP(index(split(G169 ,"", "", FALSE),1,2), Variables!$A:$B , 2, FALSE) + VLOOKUP(index(split(G169 ,"", "", FALSE),1,3), Variables!$A:$B , 2, FALSE),"&amp;"
3 , VLOOKUP(index(split(G169 ,"", "", FALSE),1,1), Variables!$A:$B , 2, FALSE) + VLOOKUP(index(split(G169 ,"", "", FALSE),1,2), Variables!$A:$B , 2, FALSE) + VLOOKUP(index(split(G169 ,"", "", FALSE),1,3), Variables!$A:$B , 2, FALSE) + VLOOKUP(index(split"&amp;"(G169 ,"", "", FALSE),1,4), Variables!$A:$B , 2, FALSE),
)
)"),1.3333333333333333)</f>
        <v>1.333333333</v>
      </c>
      <c r="I169" s="310" t="s">
        <v>1664</v>
      </c>
      <c r="J169" s="313" t="s">
        <v>718</v>
      </c>
      <c r="K169" s="314">
        <f>IFERROR(VLOOKUP(C169,vote4ITEMS!$A:$C, 3, FALSE),)</f>
        <v>0</v>
      </c>
      <c r="L169" s="313"/>
      <c r="M169" s="314">
        <f>SUM(
IF(IFERROR(SEARCH("Aura 1",L169),0) &gt; 0 , VLOOKUP("Aura 1", vote4TRAITS!A:C , 3, FALSE), ),
IF(IFERROR(SEARCH("Backswing",L169),0) &gt; 0 , VLOOKUP("Backswing", vote4TRAITS!A:C , 3, FALSE), ),
IF(IFERROR(SEARCH("Blast",L169),0) &gt; 0 , VLOOKUP("Blast", vote4TRAITS!A:C , 3, FALSE), ),
IF(IFERROR(SEARCH("Combustible",L169),0) &gt; 0 , VLOOKUP("Combustible", vote4TRAITS!A:C , 3, FALSE), ),
IF(IFERROR(SEARCH("Command",L169),0) &gt; 0 , VLOOKUP("Command", vote4TRAITS!A:C , 3, FALSE), ),
IF(IFERROR(SEARCH("Cowardly",L169),0) &gt; 0 , VLOOKUP("Cowardly", vote4TRAITS!A:C , 3, FALSE), ),
IF(IFERROR(SEARCH("Death Wish",L169),0) &gt; 0 , VLOOKUP("Death Wish", vote4TRAITS!A:C , 3, FALSE), ),
IF(IFERROR(SEARCH("Entomb",L169),0) &gt; 0 , VLOOKUP("Entomb", vote4TRAITS!A:C , 3, FALSE), ),
IF(IFERROR(SEARCH("Ethereal Hold",L169),0) &gt; 0 , VLOOKUP("Ethereal Hold", vote4TRAITS!A:C , 3, FALSE), ),
IF(IFERROR(SEARCH("Extend",L169),0) &gt; 0 , VLOOKUP("Extend", vote4TRAITS!A:C , 3, FALSE), ),
IF(IFERROR(SEARCH("Filthy Murk",L169),0) &gt; 0 , VLOOKUP("Filthy Murk", vote4TRAITS!A:C , 3, FALSE), ),
IF(IFERROR(SEARCH("Flame Fiend",L169),0) &gt; 0 , VLOOKUP("Flame Fiend", vote4TRAITS!A:C , 3, FALSE), ),
IF(IFERROR(SEARCH("Fleshmonger",L169),0) &gt; 0 , VLOOKUP("Fleshmonger", vote4TRAITS!A:C , 3, FALSE), ),
IF(IFERROR(SEARCH("Fly",L169),0) &gt; 0 , VLOOKUP("Fly", vote4TRAITS!A:C , 3, FALSE), ),
IF(IFERROR(SEARCH("Freezing",L169),0) &gt; 0 , VLOOKUP("Freezing", vote4TRAITS!A:C , 3, FALSE), ),
IF(IFERROR(SEARCH("Lithesome",L169),0) &gt; 0 , VLOOKUP("Lithesome", vote4TRAITS!A:C , 3, FALSE), ),
IF(IFERROR(SEARCH("Harrowing",L169),0) &gt; 0 , VLOOKUP("Harrowing", vote4TRAITS!A:C , 3, FALSE), ),
IF(IFERROR(SEARCH("Hideous Laughter",L169),0) &gt; 0 , VLOOKUP("Hideous Laughter", vote4TRAITS!A:C , 3, FALSE), ),
IF(IFERROR(SEARCH("Hive Defense",L169),0) &gt; 0 , VLOOKUP("Hive Defense", vote4TRAITS!A:C , 3, FALSE), ),
IF(IFERROR(SEARCH("Horrifying",L169),0) &gt; 0 , VLOOKUP("Horrifying", vote4TRAITS!A:C , 3, FALSE), ),
IF(IFERROR(SEARCH("Ironskin",L169),0) &gt; 0 , VLOOKUP("Ironskin", vote4TRAITS!A:C , 3, FALSE), ),
IF(IFERROR(SEARCH("Unmovable",L169),0) &gt; 0 , VLOOKUP("Unmovable", vote4TRAITS!A:C , 3, FALSE), ),
IF(IFERROR(SEARCH("Lifethirst 1",L169),0) &gt; 0 , VLOOKUP("Lifethirst 1", vote4TRAITS!A:C , 3, FALSE), ),
IF(IFERROR(SEARCH("Lifethirst 2",L169),0) &gt; 0 , VLOOKUP("Lifethirst 2", vote4TRAITS!A:C , 3, FALSE), ),
IF(IFERROR(SEARCH("Morph",L169),0) &gt; 0 , VLOOKUP("Morph", vote4TRAITS!A:C , 3, FALSE), ),
IF(IFERROR(SEARCH("Night Stalker",L169),0) &gt; 0 , VLOOKUP("Night Stalker", vote4TRAITS!A:C , 3, FALSE), ),
IF(IFERROR(SEARCH("Overflowing",L169),0) &gt; 0 , VLOOKUP("Overflowing", vote4TRAITS!A:C , 3, FALSE), ),
IF(IFERROR(SEARCH("Pestilence",L169),0) &gt; 0 , VLOOKUP("Pestilence", vote4TRAITS!A:C , 3, FALSE), ),
IF(IFERROR(SEARCH("Phalanx",L169),0) &gt; 0 , VLOOKUP("Phalanx", vote4TRAITS!A:C , 3, FALSE), ),
IF(IFERROR(SEARCH("Plagued",L169),0) &gt; 0 , VLOOKUP("Plagued", vote4TRAITS!A:C , 3, FALSE), ),
IF(IFERROR(SEARCH("Prey on the Weak",L169),0) &gt; 0 , VLOOKUP("Prey on the Weak", vote4TRAITS!A:C , 3, FALSE), ),
IF(IFERROR(SEARCH("Protect",L169),0) &gt; 0 , VLOOKUP("Protect", vote4TRAITS!A:C , 3, FALSE), ),
IF(IFERROR(SEARCH("Puncture",L169),0) &gt; 0 , VLOOKUP("Puncture", vote4TRAITS!A:C , 3, FALSE), ),
IF(IFERROR(SEARCH("Putrid Boils",L169),0) &gt; 0 , VLOOKUP("Putrid Boils", vote4TRAITS!A:C , 3, FALSE), ),
IF(IFERROR(SEARCH("Ravage",L169),0) &gt; 0 , VLOOKUP("Ravage", vote4TRAITS!A:C , 3, FALSE), ),
IF(IFERROR(SEARCH("Ravenous",L169),0) &gt; 0 , VLOOKUP("Ravenous", vote4TRAITS!A:C , 3, FALSE), ),
IF(IFERROR(SEARCH("Reach",L169),0) &gt; 0 , VLOOKUP("Reach", vote4TRAITS!A:C , 3, FALSE), ),
IF(IFERROR(SEARCH("Reanimation",L169),0) &gt; 0 , VLOOKUP("Reanimation", vote4TRAITS!A:C , 3, FALSE), ),
IF(IFERROR(SEARCH("Reaper",L169),0) &gt; 0 , VLOOKUP("Reaper", vote4TRAITS!A:C , 3, FALSE), ),
IF(IFERROR(SEARCH("Riposte",L169),0) &gt; 0 , VLOOKUP("Riposte", vote4TRAITS!A:C , 3, FALSE)),
IF(IFERROR(SEARCH("Scamper",L169),0) &gt; 0 , VLOOKUP("Scamper", vote4TRAITS!A:C , 3, FALSE), ),
IF(IFERROR(SEARCH("Small Beginnings",L169),0) &gt; 0 , VLOOKUP("Small Beginnings", vote4TRAITS!A:C , 3, FALSE), ),
IF(IFERROR(SEARCH("Spawner",L169),0) &gt; 0 , VLOOKUP("Spawner", vote4TRAITS!A:C , 3,FALSE), ),
IF(IFERROR(SEARCH("Shadowr",L169),0) &gt; 0 , VLOOKUP("Shadow", vote4TRAITS!A:C , 3,FALSE), ),
IF(IFERROR(SEARCH("Shadow Step",L169),0) &gt; 0 , VLOOKUP("Shadow Step", vote4TRAITS!A:C , 3,FALSE), ),
IF(IFERROR(SEARCH("Shambling",L169),0) &gt; 0 , VLOOKUP("Shambling", vote4TRAITS!A:C , 3,FALSE), ),
IF(IFERROR(SEARCH("Stealthy",L169),0) &gt; 0 , VLOOKUP("Stealthy", vote4TRAITS!A:C , 3, FALSE), ),
IF(IFERROR(SEARCH("Web",L169),0) &gt; 0 , VLOOKUP("Web", vote4TRAITS!A:C , 3, FALSE), ),
IF(IFERROR(SEARCH("+1 Willpower",L169),0) &gt; 0 , VLOOKUP("+1 Willpower", vote4TRAITS!A:C , 3, FALSE), ),
IF(IFERROR(SEARCH("+1 Might",L169),0) &gt; 0 , VLOOKUP("+1 Might", vote4TRAITS!A:C , 3, FALSE), ),
IF(IFERROR(SEARCH("+1 Knowledge",L169),0) &gt; 0 , VLOOKUP("+1 Knowledge", vote4TRAITS!A:C , 3, FALSE), ),
IF(IFERROR(SEARCH("+1 Awareness",L169),0) &gt; 0 , VLOOKUP("+1 Awareness", vote4TRAITS!A:C , 3, FALSE), ),
IF(IFERROR(SEARCH("-1 Willpower",L169),0) &gt; 0 , VLOOKUP("-1 Willpower", vote4TRAITS!A:C , 3, FALSE), ),
IF(IFERROR(SEARCH("+1 Health",L169),0) &gt; 0 , VLOOKUP("+1 Health", vote4TRAITS!A:C , 3, FALSE), ),
IF(IFERROR(SEARCH("+2 Health",L169),0) &gt; 0 , VLOOKUP("+2 Health", vote4TRAITS!A:C , 3, FALSE), ),
IF(IFERROR(SEARCH("+1 Stamina",L169),0) &gt; 0 , VLOOKUP("+1 Stamina", vote4TRAITS!A:C , 3, FALSE), ),
IF(IFERROR(SEARCH("+2 Stamina",L169),0) &gt; 0 , VLOOKUP("+2 Stamina", vote4TRAITS!A:C , 3, FALSE), ),
IFS(
IFERROR(SEARCH("+1 Range", L169),) &gt; 0 ,VLOOKUP("+1 Range", vote4TRAITS!A:C , 3, FALSE),
IFERROR(SEARCH("+2 Range", L169),) &gt; 0 ,VLOOKUP("+2 Range", vote4TRAITS!A:C , 3, FALSE),
IFERROR(SEARCH("+3 Range", L169),) &gt; 0,VLOOKUP("+3 Range", vote4TRAITS!A:C , 3, FALSE),
0=0,0)
,
IFS(
IFERROR(SEARCH("Sorcery 1", L169),) &gt; 0 ,VLOOKUP("Sorcery 1", vote4TRAITS!A:C , 3, FALSE),
IFERROR(SEARCH("Sorcery 2", L169),) &gt; 0 ,VLOOKUP("Sorcery 2", vote4TRAITS!A:C , 3, FALSE),
IFERROR(SEARCH("Sorcery 3", L169),) &gt; 0,VLOOKUP("Sorcery 3", vote4TRAITS!A:C , 3, FALSE),
0=0,0)
,
IFS(
IFERROR(SEARCH("Pierce 1", L169),) &gt; 0 ,VLOOKUP("Pierce 1", vote4TRAITS!A:C , 3, FALSE),
IFERROR(SEARCH("Pierce 2", L169),) &gt; 0 ,VLOOKUP("Pierce 2", vote4TRAITS!A:C , 3, FALSE),
IFERROR(SEARCH("Pierce 3", L169),) &gt; 0,VLOOKUP("Pierce 3", vote4TRAITS!A:C , 3, FALSE),
IFERROR(SEARCH("Pierce 4", L169),) &gt; 0 ,VLOOKUP("Pierce 4", vote4TRAITS!A:C , 3, FALSE),
0=0,0)
,
IFS(
IFERROR(SEARCH("+1 Health", L169),) &gt; 0 ,VLOOKUP("+1 Health", vote4TRAITS!A:C , 3, FALSE),
IFERROR(SEARCH("+2 Health", L169),) &gt; 0 ,VLOOKUP("+2 Health", vote4TRAITS!A:C , 3, FALSE),
IFERROR(SEARCH("+3 Health", L169),) &gt; 0 ,VLOOKUP("+3 Health", vote4TRAITS!A:C , 3, FALSE),
IFERROR(SEARCH("+4 Health", L169),) &gt; 0 ,VLOOKUP("+4 Health", vote4TRAITS!A:C , 3, FALSE),
0=0,0)
,
IFS(
IFERROR(SEARCH("Soul Shackle 1", L169),) &gt; 0 ,VLOOKUP("Soul Shackle 1", vote4TRAITS!A:C , 3, FALSE),
IFERROR(SEARCH("Soul Shackle 2", L169),) &gt; 0 ,VLOOKUP("Soul Shackle 2", vote4TRAITS!A:C , 3, FALSE),
IFERROR(SEARCH("Soul Shackle 3", L169),) &gt; 0,VLOOKUP("Soul Shackle 3", vote4TRAITS!A:C , 3, FALSE),
0=0,0)
)</f>
        <v>0</v>
      </c>
      <c r="N169" s="313"/>
      <c r="O169" s="317" t="str">
        <f>IF(ISBLANK(N169),,IFERROR(
IF(IFERROR(SEARCH("SS:",N169),0) &gt; 0, 
VLOOKUP(SUBSTITUTE(N169,"SS: ",""),vote4SURGE!$A:$C , 3, FALSE) - 2,
VLOOKUP(SUBSTITUTE(N169,"S: ",""),vote4SURGE!$A:$C , 3, FALSE)
)
,
IF(IFERROR(SEARCH("SS:",N169),0) &gt; 0, 
VLOOKUP(C169,vote4SURGE!$A:$C , 3, FALSE) - 2,
VLOOKUP(C169,vote4SURGE!$A:$C , 3, FALSE)
)
))</f>
        <v/>
      </c>
      <c r="P169" s="318"/>
      <c r="Q169" s="317" t="str">
        <f>IF(ISBLANK(P169),,IFERROR(
IF(IFERROR(SEARCH("SS:",P169),0) &gt; 0, 
VLOOKUP(SUBSTITUTE(P169,"SS: ",""),vote4SURGE!$A:$C , 3, FALSE) - 2,
VLOOKUP(SUBSTITUTE(P169,"S: ",""),vote4SURGE!$A:$C , 3, FALSE)
)
,
IF(IFERROR(SEARCH("SS:",P169),0) &gt; 0, 
VLOOKUP(C169,vote4SURGE!$A:$C , 3, FALSE) - 2,
VLOOKUP(C169,vote4SURGE!$A:$C , 3, FALSE)
)
))</f>
        <v/>
      </c>
      <c r="R169" s="318"/>
      <c r="S169" s="319" t="str">
        <f>IF(ISBLANK(R169),,IFERROR(
IF(IFERROR(SEARCH("SS:",R169),0) &gt; 0, 
VLOOKUP(SUBSTITUTE(R169,"SS: ",""),vote4SURGE!$A:$C , 3, FALSE) - 2,
VLOOKUP(SUBSTITUTE(R169,"S: ",""),vote4SURGE!$A:$C , 3, FALSE)
)
,
IF(IFERROR(SEARCH("SS:",R169),0) &gt; 0, 
VLOOKUP(C169,vote4SURGE!$A:$C , 3, FALSE) - 2,
VLOOKUP(C169,vote4SURGE!$A:$C , 3, FALSE)
)
))</f>
        <v/>
      </c>
      <c r="T169" s="320">
        <f t="shared" si="2"/>
        <v>0</v>
      </c>
      <c r="U169" s="320">
        <f>IFERROR(__xludf.DUMMYFUNCTION("ROUND(
IF(ISBLANK(G169),,
SWITCH(
LEN(G169) - LEN(SUBSTITUTE(G169,"","","""")),
0 , VLOOKUP(G169, Variables!$A:$C, 3, FALSE),
1 , VLOOKUP(index(split(G169 ,"", "", FALSE),1,1), Variables!$A:$C , 3, FALSE) + VLOOKUP(index(split(G169 ,"", "", FALSE),1,2), V"&amp;"ariables!$A:$C , 3, FALSE),
2 , VLOOKUP(index(split(G169 ,"", "", FALSE),1,1), Variables!$A:$C , 3, FALSE) + VLOOKUP(index(split(G169 ,"", "", FALSE),1,2), Variables!$A:$C , 3, FALSE) + VLOOKUP(index(split(G169 ,"", "", FALSE),1,3), Variables!$A:$C , 3, F"&amp;"ALSE),
3 , VLOOKUP(index(split(G169 ,"", "", FALSE),1,1), Variables!$A:$C , 3, FALSE) + VLOOKUP(index(split(G169 ,"", "", FALSE),1,2), Variables!$A:$C , 3, FALSE) + VLOOKUP(index(split(G169 ,"", "", FALSE),1,3), Variables!$A:$C , 3, FALSE) + VLOOKUP(index"&amp;"(split(G169 ,"", "", FALSE),1,4), Variables!$A:$C , 3, FALSE),
)
)
)"),0.0)</f>
        <v>0</v>
      </c>
      <c r="V169" s="317">
        <f t="shared" si="3"/>
        <v>0</v>
      </c>
      <c r="W169" s="321">
        <f t="shared" si="4"/>
        <v>1.333333333</v>
      </c>
      <c r="X169" s="118"/>
      <c r="Y169" s="118"/>
      <c r="Z169" s="118"/>
      <c r="AA169" s="118"/>
      <c r="AB169" s="118"/>
      <c r="AC169" s="118"/>
      <c r="AD169" s="118"/>
      <c r="AE169" s="118"/>
    </row>
    <row r="170" hidden="1">
      <c r="A170" s="310">
        <v>2.0</v>
      </c>
      <c r="B170" s="93">
        <f t="shared" si="1"/>
        <v>5</v>
      </c>
      <c r="C170" s="310" t="s">
        <v>729</v>
      </c>
      <c r="D170" s="310">
        <v>200.0</v>
      </c>
      <c r="E170" s="310" t="s">
        <v>1620</v>
      </c>
      <c r="F170" s="310"/>
      <c r="G170" s="311" t="s">
        <v>1663</v>
      </c>
      <c r="H170" s="312">
        <f>IFERROR(__xludf.DUMMYFUNCTION(" IF(ISBLANK(G170),,
SWITCH(
LEN(G170) - LEN(SUBSTITUTE(G170,"","","""")),
0 , VLOOKUP(G170, Variables!$A:$B, 2, FALSE),
1 , VLOOKUP(index(split(G170 ,"", "", FALSE),1,1), Variables!$A:$B , 2, FALSE) + VLOOKUP(index(split(G170 ,"", "", FALSE),1,2), Variabl"&amp;"es!$A:$B , 2, FALSE),
2 , VLOOKUP(index(split(G170 ,"", "", FALSE),1,1), Variables!$A:$B , 2, FALSE) + VLOOKUP(index(split(G170 ,"", "", FALSE),1,2), Variables!$A:$B , 2, FALSE) + VLOOKUP(index(split(G170 ,"", "", FALSE),1,3), Variables!$A:$B , 2, FALSE),"&amp;"
3 , VLOOKUP(index(split(G170 ,"", "", FALSE),1,1), Variables!$A:$B , 2, FALSE) + VLOOKUP(index(split(G170 ,"", "", FALSE),1,2), Variables!$A:$B , 2, FALSE) + VLOOKUP(index(split(G170 ,"", "", FALSE),1,3), Variables!$A:$B , 2, FALSE) + VLOOKUP(index(split"&amp;"(G170 ,"", "", FALSE),1,4), Variables!$A:$B , 2, FALSE),
)
)"),1.3333333333333333)</f>
        <v>1.333333333</v>
      </c>
      <c r="I170" s="310" t="s">
        <v>1656</v>
      </c>
      <c r="J170" s="313" t="s">
        <v>730</v>
      </c>
      <c r="K170" s="314">
        <f>IFERROR(VLOOKUP(C170,vote4ITEMS!$A:$C, 3, FALSE),)</f>
        <v>0</v>
      </c>
      <c r="L170" s="313"/>
      <c r="M170" s="314">
        <f>SUM(
IF(IFERROR(SEARCH("Aura 1",L170),0) &gt; 0 , VLOOKUP("Aura 1", vote4TRAITS!A:C , 3, FALSE), ),
IF(IFERROR(SEARCH("Backswing",L170),0) &gt; 0 , VLOOKUP("Backswing", vote4TRAITS!A:C , 3, FALSE), ),
IF(IFERROR(SEARCH("Blast",L170),0) &gt; 0 , VLOOKUP("Blast", vote4TRAITS!A:C , 3, FALSE), ),
IF(IFERROR(SEARCH("Combustible",L170),0) &gt; 0 , VLOOKUP("Combustible", vote4TRAITS!A:C , 3, FALSE), ),
IF(IFERROR(SEARCH("Command",L170),0) &gt; 0 , VLOOKUP("Command", vote4TRAITS!A:C , 3, FALSE), ),
IF(IFERROR(SEARCH("Cowardly",L170),0) &gt; 0 , VLOOKUP("Cowardly", vote4TRAITS!A:C , 3, FALSE), ),
IF(IFERROR(SEARCH("Death Wish",L170),0) &gt; 0 , VLOOKUP("Death Wish", vote4TRAITS!A:C , 3, FALSE), ),
IF(IFERROR(SEARCH("Entomb",L170),0) &gt; 0 , VLOOKUP("Entomb", vote4TRAITS!A:C , 3, FALSE), ),
IF(IFERROR(SEARCH("Ethereal Hold",L170),0) &gt; 0 , VLOOKUP("Ethereal Hold", vote4TRAITS!A:C , 3, FALSE), ),
IF(IFERROR(SEARCH("Extend",L170),0) &gt; 0 , VLOOKUP("Extend", vote4TRAITS!A:C , 3, FALSE), ),
IF(IFERROR(SEARCH("Filthy Murk",L170),0) &gt; 0 , VLOOKUP("Filthy Murk", vote4TRAITS!A:C , 3, FALSE), ),
IF(IFERROR(SEARCH("Flame Fiend",L170),0) &gt; 0 , VLOOKUP("Flame Fiend", vote4TRAITS!A:C , 3, FALSE), ),
IF(IFERROR(SEARCH("Fleshmonger",L170),0) &gt; 0 , VLOOKUP("Fleshmonger", vote4TRAITS!A:C , 3, FALSE), ),
IF(IFERROR(SEARCH("Fly",L170),0) &gt; 0 , VLOOKUP("Fly", vote4TRAITS!A:C , 3, FALSE), ),
IF(IFERROR(SEARCH("Freezing",L170),0) &gt; 0 , VLOOKUP("Freezing", vote4TRAITS!A:C , 3, FALSE), ),
IF(IFERROR(SEARCH("Lithesome",L170),0) &gt; 0 , VLOOKUP("Lithesome", vote4TRAITS!A:C , 3, FALSE), ),
IF(IFERROR(SEARCH("Harrowing",L170),0) &gt; 0 , VLOOKUP("Harrowing", vote4TRAITS!A:C , 3, FALSE), ),
IF(IFERROR(SEARCH("Hideous Laughter",L170),0) &gt; 0 , VLOOKUP("Hideous Laughter", vote4TRAITS!A:C , 3, FALSE), ),
IF(IFERROR(SEARCH("Hive Defense",L170),0) &gt; 0 , VLOOKUP("Hive Defense", vote4TRAITS!A:C , 3, FALSE), ),
IF(IFERROR(SEARCH("Horrifying",L170),0) &gt; 0 , VLOOKUP("Horrifying", vote4TRAITS!A:C , 3, FALSE), ),
IF(IFERROR(SEARCH("Ironskin",L170),0) &gt; 0 , VLOOKUP("Ironskin", vote4TRAITS!A:C , 3, FALSE), ),
IF(IFERROR(SEARCH("Unmovable",L170),0) &gt; 0 , VLOOKUP("Unmovable", vote4TRAITS!A:C , 3, FALSE), ),
IF(IFERROR(SEARCH("Lifethirst 1",L170),0) &gt; 0 , VLOOKUP("Lifethirst 1", vote4TRAITS!A:C , 3, FALSE), ),
IF(IFERROR(SEARCH("Lifethirst 2",L170),0) &gt; 0 , VLOOKUP("Lifethirst 2", vote4TRAITS!A:C , 3, FALSE), ),
IF(IFERROR(SEARCH("Morph",L170),0) &gt; 0 , VLOOKUP("Morph", vote4TRAITS!A:C , 3, FALSE), ),
IF(IFERROR(SEARCH("Night Stalker",L170),0) &gt; 0 , VLOOKUP("Night Stalker", vote4TRAITS!A:C , 3, FALSE), ),
IF(IFERROR(SEARCH("Overflowing",L170),0) &gt; 0 , VLOOKUP("Overflowing", vote4TRAITS!A:C , 3, FALSE), ),
IF(IFERROR(SEARCH("Pestilence",L170),0) &gt; 0 , VLOOKUP("Pestilence", vote4TRAITS!A:C , 3, FALSE), ),
IF(IFERROR(SEARCH("Phalanx",L170),0) &gt; 0 , VLOOKUP("Phalanx", vote4TRAITS!A:C , 3, FALSE), ),
IF(IFERROR(SEARCH("Plagued",L170),0) &gt; 0 , VLOOKUP("Plagued", vote4TRAITS!A:C , 3, FALSE), ),
IF(IFERROR(SEARCH("Prey on the Weak",L170),0) &gt; 0 , VLOOKUP("Prey on the Weak", vote4TRAITS!A:C , 3, FALSE), ),
IF(IFERROR(SEARCH("Protect",L170),0) &gt; 0 , VLOOKUP("Protect", vote4TRAITS!A:C , 3, FALSE), ),
IF(IFERROR(SEARCH("Puncture",L170),0) &gt; 0 , VLOOKUP("Puncture", vote4TRAITS!A:C , 3, FALSE), ),
IF(IFERROR(SEARCH("Putrid Boils",L170),0) &gt; 0 , VLOOKUP("Putrid Boils", vote4TRAITS!A:C , 3, FALSE), ),
IF(IFERROR(SEARCH("Ravage",L170),0) &gt; 0 , VLOOKUP("Ravage", vote4TRAITS!A:C , 3, FALSE), ),
IF(IFERROR(SEARCH("Ravenous",L170),0) &gt; 0 , VLOOKUP("Ravenous", vote4TRAITS!A:C , 3, FALSE), ),
IF(IFERROR(SEARCH("Reach",L170),0) &gt; 0 , VLOOKUP("Reach", vote4TRAITS!A:C , 3, FALSE), ),
IF(IFERROR(SEARCH("Reanimation",L170),0) &gt; 0 , VLOOKUP("Reanimation", vote4TRAITS!A:C , 3, FALSE), ),
IF(IFERROR(SEARCH("Reaper",L170),0) &gt; 0 , VLOOKUP("Reaper", vote4TRAITS!A:C , 3, FALSE), ),
IF(IFERROR(SEARCH("Riposte",L170),0) &gt; 0 , VLOOKUP("Riposte", vote4TRAITS!A:C , 3, FALSE)),
IF(IFERROR(SEARCH("Scamper",L170),0) &gt; 0 , VLOOKUP("Scamper", vote4TRAITS!A:C , 3, FALSE), ),
IF(IFERROR(SEARCH("Small Beginnings",L170),0) &gt; 0 , VLOOKUP("Small Beginnings", vote4TRAITS!A:C , 3, FALSE), ),
IF(IFERROR(SEARCH("Spawner",L170),0) &gt; 0 , VLOOKUP("Spawner", vote4TRAITS!A:C , 3,FALSE), ),
IF(IFERROR(SEARCH("Shadowr",L170),0) &gt; 0 , VLOOKUP("Shadow", vote4TRAITS!A:C , 3,FALSE), ),
IF(IFERROR(SEARCH("Shadow Step",L170),0) &gt; 0 , VLOOKUP("Shadow Step", vote4TRAITS!A:C , 3,FALSE), ),
IF(IFERROR(SEARCH("Shambling",L170),0) &gt; 0 , VLOOKUP("Shambling", vote4TRAITS!A:C , 3,FALSE), ),
IF(IFERROR(SEARCH("Stealthy",L170),0) &gt; 0 , VLOOKUP("Stealthy", vote4TRAITS!A:C , 3, FALSE), ),
IF(IFERROR(SEARCH("Web",L170),0) &gt; 0 , VLOOKUP("Web", vote4TRAITS!A:C , 3, FALSE), ),
IF(IFERROR(SEARCH("+1 Willpower",L170),0) &gt; 0 , VLOOKUP("+1 Willpower", vote4TRAITS!A:C , 3, FALSE), ),
IF(IFERROR(SEARCH("+1 Might",L170),0) &gt; 0 , VLOOKUP("+1 Might", vote4TRAITS!A:C , 3, FALSE), ),
IF(IFERROR(SEARCH("+1 Knowledge",L170),0) &gt; 0 , VLOOKUP("+1 Knowledge", vote4TRAITS!A:C , 3, FALSE), ),
IF(IFERROR(SEARCH("+1 Awareness",L170),0) &gt; 0 , VLOOKUP("+1 Awareness", vote4TRAITS!A:C , 3, FALSE), ),
IF(IFERROR(SEARCH("-1 Willpower",L170),0) &gt; 0 , VLOOKUP("-1 Willpower", vote4TRAITS!A:C , 3, FALSE), ),
IF(IFERROR(SEARCH("+1 Health",L170),0) &gt; 0 , VLOOKUP("+1 Health", vote4TRAITS!A:C , 3, FALSE), ),
IF(IFERROR(SEARCH("+2 Health",L170),0) &gt; 0 , VLOOKUP("+2 Health", vote4TRAITS!A:C , 3, FALSE), ),
IF(IFERROR(SEARCH("+1 Stamina",L170),0) &gt; 0 , VLOOKUP("+1 Stamina", vote4TRAITS!A:C , 3, FALSE), ),
IF(IFERROR(SEARCH("+2 Stamina",L170),0) &gt; 0 , VLOOKUP("+2 Stamina", vote4TRAITS!A:C , 3, FALSE), ),
IFS(
IFERROR(SEARCH("+1 Range", L170),) &gt; 0 ,VLOOKUP("+1 Range", vote4TRAITS!A:C , 3, FALSE),
IFERROR(SEARCH("+2 Range", L170),) &gt; 0 ,VLOOKUP("+2 Range", vote4TRAITS!A:C , 3, FALSE),
IFERROR(SEARCH("+3 Range", L170),) &gt; 0,VLOOKUP("+3 Range", vote4TRAITS!A:C , 3, FALSE),
0=0,0)
,
IFS(
IFERROR(SEARCH("Sorcery 1", L170),) &gt; 0 ,VLOOKUP("Sorcery 1", vote4TRAITS!A:C , 3, FALSE),
IFERROR(SEARCH("Sorcery 2", L170),) &gt; 0 ,VLOOKUP("Sorcery 2", vote4TRAITS!A:C , 3, FALSE),
IFERROR(SEARCH("Sorcery 3", L170),) &gt; 0,VLOOKUP("Sorcery 3", vote4TRAITS!A:C , 3, FALSE),
0=0,0)
,
IFS(
IFERROR(SEARCH("Pierce 1", L170),) &gt; 0 ,VLOOKUP("Pierce 1", vote4TRAITS!A:C , 3, FALSE),
IFERROR(SEARCH("Pierce 2", L170),) &gt; 0 ,VLOOKUP("Pierce 2", vote4TRAITS!A:C , 3, FALSE),
IFERROR(SEARCH("Pierce 3", L170),) &gt; 0,VLOOKUP("Pierce 3", vote4TRAITS!A:C , 3, FALSE),
IFERROR(SEARCH("Pierce 4", L170),) &gt; 0 ,VLOOKUP("Pierce 4", vote4TRAITS!A:C , 3, FALSE),
0=0,0)
,
IFS(
IFERROR(SEARCH("+1 Health", L170),) &gt; 0 ,VLOOKUP("+1 Health", vote4TRAITS!A:C , 3, FALSE),
IFERROR(SEARCH("+2 Health", L170),) &gt; 0 ,VLOOKUP("+2 Health", vote4TRAITS!A:C , 3, FALSE),
IFERROR(SEARCH("+3 Health", L170),) &gt; 0 ,VLOOKUP("+3 Health", vote4TRAITS!A:C , 3, FALSE),
IFERROR(SEARCH("+4 Health", L170),) &gt; 0 ,VLOOKUP("+4 Health", vote4TRAITS!A:C , 3, FALSE),
0=0,0)
,
IFS(
IFERROR(SEARCH("Soul Shackle 1", L170),) &gt; 0 ,VLOOKUP("Soul Shackle 1", vote4TRAITS!A:C , 3, FALSE),
IFERROR(SEARCH("Soul Shackle 2", L170),) &gt; 0 ,VLOOKUP("Soul Shackle 2", vote4TRAITS!A:C , 3, FALSE),
IFERROR(SEARCH("Soul Shackle 3", L170),) &gt; 0,VLOOKUP("Soul Shackle 3", vote4TRAITS!A:C , 3, FALSE),
0=0,0)
)</f>
        <v>0</v>
      </c>
      <c r="N170" s="313"/>
      <c r="O170" s="317" t="str">
        <f>IF(ISBLANK(N170),,IFERROR(
IF(IFERROR(SEARCH("SS:",N170),0) &gt; 0, 
VLOOKUP(SUBSTITUTE(N170,"SS: ",""),vote4SURGE!$A:$C , 3, FALSE) - 2,
VLOOKUP(SUBSTITUTE(N170,"S: ",""),vote4SURGE!$A:$C , 3, FALSE)
)
,
IF(IFERROR(SEARCH("SS:",N170),0) &gt; 0, 
VLOOKUP(C170,vote4SURGE!$A:$C , 3, FALSE) - 2,
VLOOKUP(C170,vote4SURGE!$A:$C , 3, FALSE)
)
))</f>
        <v/>
      </c>
      <c r="P170" s="318"/>
      <c r="Q170" s="317" t="str">
        <f>IF(ISBLANK(P170),,IFERROR(
IF(IFERROR(SEARCH("SS:",P170),0) &gt; 0, 
VLOOKUP(SUBSTITUTE(P170,"SS: ",""),vote4SURGE!$A:$C , 3, FALSE) - 2,
VLOOKUP(SUBSTITUTE(P170,"S: ",""),vote4SURGE!$A:$C , 3, FALSE)
)
,
IF(IFERROR(SEARCH("SS:",P170),0) &gt; 0, 
VLOOKUP(C170,vote4SURGE!$A:$C , 3, FALSE) - 2,
VLOOKUP(C170,vote4SURGE!$A:$C , 3, FALSE)
)
))</f>
        <v/>
      </c>
      <c r="R170" s="318"/>
      <c r="S170" s="319" t="str">
        <f>IF(ISBLANK(R170),,IFERROR(
IF(IFERROR(SEARCH("SS:",R170),0) &gt; 0, 
VLOOKUP(SUBSTITUTE(R170,"SS: ",""),vote4SURGE!$A:$C , 3, FALSE) - 2,
VLOOKUP(SUBSTITUTE(R170,"S: ",""),vote4SURGE!$A:$C , 3, FALSE)
)
,
IF(IFERROR(SEARCH("SS:",R170),0) &gt; 0, 
VLOOKUP(C170,vote4SURGE!$A:$C , 3, FALSE) - 2,
VLOOKUP(C170,vote4SURGE!$A:$C , 3, FALSE)
)
))</f>
        <v/>
      </c>
      <c r="T170" s="320">
        <f t="shared" si="2"/>
        <v>0</v>
      </c>
      <c r="U170" s="320">
        <f>IFERROR(__xludf.DUMMYFUNCTION("ROUND(
IF(ISBLANK(G170),,
SWITCH(
LEN(G170) - LEN(SUBSTITUTE(G170,"","","""")),
0 , VLOOKUP(G170, Variables!$A:$C, 3, FALSE),
1 , VLOOKUP(index(split(G170 ,"", "", FALSE),1,1), Variables!$A:$C , 3, FALSE) + VLOOKUP(index(split(G170 ,"", "", FALSE),1,2), V"&amp;"ariables!$A:$C , 3, FALSE),
2 , VLOOKUP(index(split(G170 ,"", "", FALSE),1,1), Variables!$A:$C , 3, FALSE) + VLOOKUP(index(split(G170 ,"", "", FALSE),1,2), Variables!$A:$C , 3, FALSE) + VLOOKUP(index(split(G170 ,"", "", FALSE),1,3), Variables!$A:$C , 3, F"&amp;"ALSE),
3 , VLOOKUP(index(split(G170 ,"", "", FALSE),1,1), Variables!$A:$C , 3, FALSE) + VLOOKUP(index(split(G170 ,"", "", FALSE),1,2), Variables!$A:$C , 3, FALSE) + VLOOKUP(index(split(G170 ,"", "", FALSE),1,3), Variables!$A:$C , 3, FALSE) + VLOOKUP(index"&amp;"(split(G170 ,"", "", FALSE),1,4), Variables!$A:$C , 3, FALSE),
)
)
)"),0.0)</f>
        <v>0</v>
      </c>
      <c r="V170" s="317">
        <f t="shared" si="3"/>
        <v>0</v>
      </c>
      <c r="W170" s="321">
        <f t="shared" si="4"/>
        <v>1.333333333</v>
      </c>
      <c r="X170" s="118"/>
      <c r="Y170" s="118"/>
      <c r="Z170" s="118"/>
      <c r="AA170" s="118"/>
      <c r="AB170" s="118"/>
      <c r="AC170" s="118"/>
      <c r="AD170" s="118"/>
      <c r="AE170" s="118"/>
    </row>
    <row r="171" hidden="1">
      <c r="A171" s="310" t="s">
        <v>1556</v>
      </c>
      <c r="B171" s="93" t="str">
        <f t="shared" si="1"/>
        <v/>
      </c>
      <c r="C171" s="310" t="s">
        <v>709</v>
      </c>
      <c r="D171" s="323">
        <v>0.0</v>
      </c>
      <c r="E171" s="310" t="s">
        <v>1629</v>
      </c>
      <c r="F171" s="310"/>
      <c r="G171" s="313"/>
      <c r="H171" s="312" t="str">
        <f>IFERROR(__xludf.DUMMYFUNCTION(" IF(ISBLANK(G171),,
SWITCH(
LEN(G171) - LEN(SUBSTITUTE(G171,"","","""")),
0 , VLOOKUP(G171, Variables!$A:$B, 2, FALSE),
1 , VLOOKUP(index(split(G171 ,"", "", FALSE),1,1), Variables!$A:$B , 2, FALSE) + VLOOKUP(index(split(G171 ,"", "", FALSE),1,2), Variabl"&amp;"es!$A:$B , 2, FALSE),
2 , VLOOKUP(index(split(G171 ,"", "", FALSE),1,1), Variables!$A:$B , 2, FALSE) + VLOOKUP(index(split(G171 ,"", "", FALSE),1,2), Variables!$A:$B , 2, FALSE) + VLOOKUP(index(split(G171 ,"", "", FALSE),1,3), Variables!$A:$B , 2, FALSE),"&amp;"
3 , VLOOKUP(index(split(G171 ,"", "", FALSE),1,1), Variables!$A:$B , 2, FALSE) + VLOOKUP(index(split(G171 ,"", "", FALSE),1,2), Variables!$A:$B , 2, FALSE) + VLOOKUP(index(split(G171 ,"", "", FALSE),1,3), Variables!$A:$B , 2, FALSE) + VLOOKUP(index(split"&amp;"(G171 ,"", "", FALSE),1,4), Variables!$A:$B , 2, FALSE),
)
)"),"")</f>
        <v/>
      </c>
      <c r="I171" s="310" t="s">
        <v>1677</v>
      </c>
      <c r="J171" s="311" t="s">
        <v>710</v>
      </c>
      <c r="K171" s="314">
        <f>IFERROR(VLOOKUP(C171,vote4ITEMS!$A:$C, 3, FALSE),)</f>
        <v>0</v>
      </c>
      <c r="L171" s="324" t="s">
        <v>1680</v>
      </c>
      <c r="M171" s="314">
        <f>SUM(
IF(IFERROR(SEARCH("Aura 1",L171),0) &gt; 0 , VLOOKUP("Aura 1", vote4TRAITS!A:C , 3, FALSE), ),
IF(IFERROR(SEARCH("Backswing",L171),0) &gt; 0 , VLOOKUP("Backswing", vote4TRAITS!A:C , 3, FALSE), ),
IF(IFERROR(SEARCH("Blast",L171),0) &gt; 0 , VLOOKUP("Blast", vote4TRAITS!A:C , 3, FALSE), ),
IF(IFERROR(SEARCH("Combustible",L171),0) &gt; 0 , VLOOKUP("Combustible", vote4TRAITS!A:C , 3, FALSE), ),
IF(IFERROR(SEARCH("Command",L171),0) &gt; 0 , VLOOKUP("Command", vote4TRAITS!A:C , 3, FALSE), ),
IF(IFERROR(SEARCH("Cowardly",L171),0) &gt; 0 , VLOOKUP("Cowardly", vote4TRAITS!A:C , 3, FALSE), ),
IF(IFERROR(SEARCH("Death Wish",L171),0) &gt; 0 , VLOOKUP("Death Wish", vote4TRAITS!A:C , 3, FALSE), ),
IF(IFERROR(SEARCH("Entomb",L171),0) &gt; 0 , VLOOKUP("Entomb", vote4TRAITS!A:C , 3, FALSE), ),
IF(IFERROR(SEARCH("Ethereal Hold",L171),0) &gt; 0 , VLOOKUP("Ethereal Hold", vote4TRAITS!A:C , 3, FALSE), ),
IF(IFERROR(SEARCH("Extend",L171),0) &gt; 0 , VLOOKUP("Extend", vote4TRAITS!A:C , 3, FALSE), ),
IF(IFERROR(SEARCH("Filthy Murk",L171),0) &gt; 0 , VLOOKUP("Filthy Murk", vote4TRAITS!A:C , 3, FALSE), ),
IF(IFERROR(SEARCH("Flame Fiend",L171),0) &gt; 0 , VLOOKUP("Flame Fiend", vote4TRAITS!A:C , 3, FALSE), ),
IF(IFERROR(SEARCH("Fleshmonger",L171),0) &gt; 0 , VLOOKUP("Fleshmonger", vote4TRAITS!A:C , 3, FALSE), ),
IF(IFERROR(SEARCH("Fly",L171),0) &gt; 0 , VLOOKUP("Fly", vote4TRAITS!A:C , 3, FALSE), ),
IF(IFERROR(SEARCH("Freezing",L171),0) &gt; 0 , VLOOKUP("Freezing", vote4TRAITS!A:C , 3, FALSE), ),
IF(IFERROR(SEARCH("Lithesome",L171),0) &gt; 0 , VLOOKUP("Lithesome", vote4TRAITS!A:C , 3, FALSE), ),
IF(IFERROR(SEARCH("Harrowing",L171),0) &gt; 0 , VLOOKUP("Harrowing", vote4TRAITS!A:C , 3, FALSE), ),
IF(IFERROR(SEARCH("Hideous Laughter",L171),0) &gt; 0 , VLOOKUP("Hideous Laughter", vote4TRAITS!A:C , 3, FALSE), ),
IF(IFERROR(SEARCH("Hive Defense",L171),0) &gt; 0 , VLOOKUP("Hive Defense", vote4TRAITS!A:C , 3, FALSE), ),
IF(IFERROR(SEARCH("Horrifying",L171),0) &gt; 0 , VLOOKUP("Horrifying", vote4TRAITS!A:C , 3, FALSE), ),
IF(IFERROR(SEARCH("Ironskin",L171),0) &gt; 0 , VLOOKUP("Ironskin", vote4TRAITS!A:C , 3, FALSE), ),
IF(IFERROR(SEARCH("Unmovable",L171),0) &gt; 0 , VLOOKUP("Unmovable", vote4TRAITS!A:C , 3, FALSE), ),
IF(IFERROR(SEARCH("Lifethirst 1",L171),0) &gt; 0 , VLOOKUP("Lifethirst 1", vote4TRAITS!A:C , 3, FALSE), ),
IF(IFERROR(SEARCH("Lifethirst 2",L171),0) &gt; 0 , VLOOKUP("Lifethirst 2", vote4TRAITS!A:C , 3, FALSE), ),
IF(IFERROR(SEARCH("Morph",L171),0) &gt; 0 , VLOOKUP("Morph", vote4TRAITS!A:C , 3, FALSE), ),
IF(IFERROR(SEARCH("Night Stalker",L171),0) &gt; 0 , VLOOKUP("Night Stalker", vote4TRAITS!A:C , 3, FALSE), ),
IF(IFERROR(SEARCH("Overflowing",L171),0) &gt; 0 , VLOOKUP("Overflowing", vote4TRAITS!A:C , 3, FALSE), ),
IF(IFERROR(SEARCH("Pestilence",L171),0) &gt; 0 , VLOOKUP("Pestilence", vote4TRAITS!A:C , 3, FALSE), ),
IF(IFERROR(SEARCH("Phalanx",L171),0) &gt; 0 , VLOOKUP("Phalanx", vote4TRAITS!A:C , 3, FALSE), ),
IF(IFERROR(SEARCH("Plagued",L171),0) &gt; 0 , VLOOKUP("Plagued", vote4TRAITS!A:C , 3, FALSE), ),
IF(IFERROR(SEARCH("Prey on the Weak",L171),0) &gt; 0 , VLOOKUP("Prey on the Weak", vote4TRAITS!A:C , 3, FALSE), ),
IF(IFERROR(SEARCH("Protect",L171),0) &gt; 0 , VLOOKUP("Protect", vote4TRAITS!A:C , 3, FALSE), ),
IF(IFERROR(SEARCH("Puncture",L171),0) &gt; 0 , VLOOKUP("Puncture", vote4TRAITS!A:C , 3, FALSE), ),
IF(IFERROR(SEARCH("Putrid Boils",L171),0) &gt; 0 , VLOOKUP("Putrid Boils", vote4TRAITS!A:C , 3, FALSE), ),
IF(IFERROR(SEARCH("Ravage",L171),0) &gt; 0 , VLOOKUP("Ravage", vote4TRAITS!A:C , 3, FALSE), ),
IF(IFERROR(SEARCH("Ravenous",L171),0) &gt; 0 , VLOOKUP("Ravenous", vote4TRAITS!A:C , 3, FALSE), ),
IF(IFERROR(SEARCH("Reach",L171),0) &gt; 0 , VLOOKUP("Reach", vote4TRAITS!A:C , 3, FALSE), ),
IF(IFERROR(SEARCH("Reanimation",L171),0) &gt; 0 , VLOOKUP("Reanimation", vote4TRAITS!A:C , 3, FALSE), ),
IF(IFERROR(SEARCH("Reaper",L171),0) &gt; 0 , VLOOKUP("Reaper", vote4TRAITS!A:C , 3, FALSE), ),
IF(IFERROR(SEARCH("Riposte",L171),0) &gt; 0 , VLOOKUP("Riposte", vote4TRAITS!A:C , 3, FALSE)),
IF(IFERROR(SEARCH("Scamper",L171),0) &gt; 0 , VLOOKUP("Scamper", vote4TRAITS!A:C , 3, FALSE), ),
IF(IFERROR(SEARCH("Small Beginnings",L171),0) &gt; 0 , VLOOKUP("Small Beginnings", vote4TRAITS!A:C , 3, FALSE), ),
IF(IFERROR(SEARCH("Spawner",L171),0) &gt; 0 , VLOOKUP("Spawner", vote4TRAITS!A:C , 3,FALSE), ),
IF(IFERROR(SEARCH("Shadowr",L171),0) &gt; 0 , VLOOKUP("Shadow", vote4TRAITS!A:C , 3,FALSE), ),
IF(IFERROR(SEARCH("Shadow Step",L171),0) &gt; 0 , VLOOKUP("Shadow Step", vote4TRAITS!A:C , 3,FALSE), ),
IF(IFERROR(SEARCH("Shambling",L171),0) &gt; 0 , VLOOKUP("Shambling", vote4TRAITS!A:C , 3,FALSE), ),
IF(IFERROR(SEARCH("Stealthy",L171),0) &gt; 0 , VLOOKUP("Stealthy", vote4TRAITS!A:C , 3, FALSE), ),
IF(IFERROR(SEARCH("Web",L171),0) &gt; 0 , VLOOKUP("Web", vote4TRAITS!A:C , 3, FALSE), ),
IF(IFERROR(SEARCH("+1 Willpower",L171),0) &gt; 0 , VLOOKUP("+1 Willpower", vote4TRAITS!A:C , 3, FALSE), ),
IF(IFERROR(SEARCH("+1 Might",L171),0) &gt; 0 , VLOOKUP("+1 Might", vote4TRAITS!A:C , 3, FALSE), ),
IF(IFERROR(SEARCH("+1 Knowledge",L171),0) &gt; 0 , VLOOKUP("+1 Knowledge", vote4TRAITS!A:C , 3, FALSE), ),
IF(IFERROR(SEARCH("+1 Awareness",L171),0) &gt; 0 , VLOOKUP("+1 Awareness", vote4TRAITS!A:C , 3, FALSE), ),
IF(IFERROR(SEARCH("-1 Willpower",L171),0) &gt; 0 , VLOOKUP("-1 Willpower", vote4TRAITS!A:C , 3, FALSE), ),
IF(IFERROR(SEARCH("+1 Health",L171),0) &gt; 0 , VLOOKUP("+1 Health", vote4TRAITS!A:C , 3, FALSE), ),
IF(IFERROR(SEARCH("+2 Health",L171),0) &gt; 0 , VLOOKUP("+2 Health", vote4TRAITS!A:C , 3, FALSE), ),
IF(IFERROR(SEARCH("+1 Stamina",L171),0) &gt; 0 , VLOOKUP("+1 Stamina", vote4TRAITS!A:C , 3, FALSE), ),
IF(IFERROR(SEARCH("+2 Stamina",L171),0) &gt; 0 , VLOOKUP("+2 Stamina", vote4TRAITS!A:C , 3, FALSE), ),
IFS(
IFERROR(SEARCH("+1 Range", L171),) &gt; 0 ,VLOOKUP("+1 Range", vote4TRAITS!A:C , 3, FALSE),
IFERROR(SEARCH("+2 Range", L171),) &gt; 0 ,VLOOKUP("+2 Range", vote4TRAITS!A:C , 3, FALSE),
IFERROR(SEARCH("+3 Range", L171),) &gt; 0,VLOOKUP("+3 Range", vote4TRAITS!A:C , 3, FALSE),
0=0,0)
,
IFS(
IFERROR(SEARCH("Sorcery 1", L171),) &gt; 0 ,VLOOKUP("Sorcery 1", vote4TRAITS!A:C , 3, FALSE),
IFERROR(SEARCH("Sorcery 2", L171),) &gt; 0 ,VLOOKUP("Sorcery 2", vote4TRAITS!A:C , 3, FALSE),
IFERROR(SEARCH("Sorcery 3", L171),) &gt; 0,VLOOKUP("Sorcery 3", vote4TRAITS!A:C , 3, FALSE),
0=0,0)
,
IFS(
IFERROR(SEARCH("Pierce 1", L171),) &gt; 0 ,VLOOKUP("Pierce 1", vote4TRAITS!A:C , 3, FALSE),
IFERROR(SEARCH("Pierce 2", L171),) &gt; 0 ,VLOOKUP("Pierce 2", vote4TRAITS!A:C , 3, FALSE),
IFERROR(SEARCH("Pierce 3", L171),) &gt; 0,VLOOKUP("Pierce 3", vote4TRAITS!A:C , 3, FALSE),
IFERROR(SEARCH("Pierce 4", L171),) &gt; 0 ,VLOOKUP("Pierce 4", vote4TRAITS!A:C , 3, FALSE),
0=0,0)
,
IFS(
IFERROR(SEARCH("+1 Health", L171),) &gt; 0 ,VLOOKUP("+1 Health", vote4TRAITS!A:C , 3, FALSE),
IFERROR(SEARCH("+2 Health", L171),) &gt; 0 ,VLOOKUP("+2 Health", vote4TRAITS!A:C , 3, FALSE),
IFERROR(SEARCH("+3 Health", L171),) &gt; 0 ,VLOOKUP("+3 Health", vote4TRAITS!A:C , 3, FALSE),
IFERROR(SEARCH("+4 Health", L171),) &gt; 0 ,VLOOKUP("+4 Health", vote4TRAITS!A:C , 3, FALSE),
0=0,0)
,
IFS(
IFERROR(SEARCH("Soul Shackle 1", L171),) &gt; 0 ,VLOOKUP("Soul Shackle 1", vote4TRAITS!A:C , 3, FALSE),
IFERROR(SEARCH("Soul Shackle 2", L171),) &gt; 0 ,VLOOKUP("Soul Shackle 2", vote4TRAITS!A:C , 3, FALSE),
IFERROR(SEARCH("Soul Shackle 3", L171),) &gt; 0,VLOOKUP("Soul Shackle 3", vote4TRAITS!A:C , 3, FALSE),
0=0,0)
)</f>
        <v>1</v>
      </c>
      <c r="N171" s="330"/>
      <c r="O171" s="317" t="str">
        <f>IF(ISBLANK(N171),,IFERROR(
IF(IFERROR(SEARCH("SS:",N171),0) &gt; 0, 
VLOOKUP(SUBSTITUTE(N171,"SS: ",""),vote4SURGE!$A:$C , 3, FALSE) - 2,
VLOOKUP(SUBSTITUTE(N171,"S: ",""),vote4SURGE!$A:$C , 3, FALSE)
)
,
IF(IFERROR(SEARCH("SS:",N171),0) &gt; 0, 
VLOOKUP(C171,vote4SURGE!$A:$C , 3, FALSE) - 2,
VLOOKUP(C171,vote4SURGE!$A:$C , 3, FALSE)
)
))</f>
        <v/>
      </c>
      <c r="P171" s="318"/>
      <c r="Q171" s="317" t="str">
        <f>IF(ISBLANK(P171),,IFERROR(
IF(IFERROR(SEARCH("SS:",P171),0) &gt; 0, 
VLOOKUP(SUBSTITUTE(P171,"SS: ",""),vote4SURGE!$A:$C , 3, FALSE) - 2,
VLOOKUP(SUBSTITUTE(P171,"S: ",""),vote4SURGE!$A:$C , 3, FALSE)
)
,
IF(IFERROR(SEARCH("SS:",P171),0) &gt; 0, 
VLOOKUP(C171,vote4SURGE!$A:$C , 3, FALSE) - 2,
VLOOKUP(C171,vote4SURGE!$A:$C , 3, FALSE)
)
))</f>
        <v/>
      </c>
      <c r="R171" s="318"/>
      <c r="S171" s="319" t="str">
        <f>IF(ISBLANK(R171),,IFERROR(
IF(IFERROR(SEARCH("SS:",R171),0) &gt; 0, 
VLOOKUP(SUBSTITUTE(R171,"SS: ",""),vote4SURGE!$A:$C , 3, FALSE) - 2,
VLOOKUP(SUBSTITUTE(R171,"S: ",""),vote4SURGE!$A:$C , 3, FALSE)
)
,
IF(IFERROR(SEARCH("SS:",R171),0) &gt; 0, 
VLOOKUP(C171,vote4SURGE!$A:$C , 3, FALSE) - 2,
VLOOKUP(C171,vote4SURGE!$A:$C , 3, FALSE)
)
))</f>
        <v/>
      </c>
      <c r="T171" s="320">
        <f t="shared" si="2"/>
        <v>0</v>
      </c>
      <c r="U171" s="320">
        <f>IFERROR(__xludf.DUMMYFUNCTION("ROUND(
IF(ISBLANK(G171),,
SWITCH(
LEN(G171) - LEN(SUBSTITUTE(G171,"","","""")),
0 , VLOOKUP(G171, Variables!$A:$C, 3, FALSE),
1 , VLOOKUP(index(split(G171 ,"", "", FALSE),1,1), Variables!$A:$C , 3, FALSE) + VLOOKUP(index(split(G171 ,"", "", FALSE),1,2), V"&amp;"ariables!$A:$C , 3, FALSE),
2 , VLOOKUP(index(split(G171 ,"", "", FALSE),1,1), Variables!$A:$C , 3, FALSE) + VLOOKUP(index(split(G171 ,"", "", FALSE),1,2), Variables!$A:$C , 3, FALSE) + VLOOKUP(index(split(G171 ,"", "", FALSE),1,3), Variables!$A:$C , 3, F"&amp;"ALSE),
3 , VLOOKUP(index(split(G171 ,"", "", FALSE),1,1), Variables!$A:$C , 3, FALSE) + VLOOKUP(index(split(G171 ,"", "", FALSE),1,2), Variables!$A:$C , 3, FALSE) + VLOOKUP(index(split(G171 ,"", "", FALSE),1,3), Variables!$A:$C , 3, FALSE) + VLOOKUP(index"&amp;"(split(G171 ,"", "", FALSE),1,4), Variables!$A:$C , 3, FALSE),
)
)
)"),0.0)</f>
        <v>0</v>
      </c>
      <c r="V171" s="317">
        <f t="shared" si="3"/>
        <v>0</v>
      </c>
      <c r="W171" s="321">
        <f t="shared" si="4"/>
        <v>1</v>
      </c>
      <c r="X171" s="118"/>
      <c r="Y171" s="118"/>
      <c r="Z171" s="118"/>
      <c r="AA171" s="118"/>
      <c r="AB171" s="118"/>
      <c r="AC171" s="118"/>
      <c r="AD171" s="118"/>
      <c r="AE171" s="118"/>
    </row>
    <row r="172" hidden="1">
      <c r="A172" s="310">
        <v>1.0</v>
      </c>
      <c r="B172" s="93">
        <f t="shared" si="1"/>
        <v>1</v>
      </c>
      <c r="C172" s="310" t="s">
        <v>1681</v>
      </c>
      <c r="D172" s="310">
        <v>150.0</v>
      </c>
      <c r="E172" s="310" t="s">
        <v>1629</v>
      </c>
      <c r="F172" s="310"/>
      <c r="G172" s="313"/>
      <c r="H172" s="312" t="str">
        <f>IFERROR(__xludf.DUMMYFUNCTION(" IF(ISBLANK(G172),,
SWITCH(
LEN(G172) - LEN(SUBSTITUTE(G172,"","","""")),
0 , VLOOKUP(G172, Variables!$A:$B, 2, FALSE),
1 , VLOOKUP(index(split(G172 ,"", "", FALSE),1,1), Variables!$A:$B , 2, FALSE) + VLOOKUP(index(split(G172 ,"", "", FALSE),1,2), Variabl"&amp;"es!$A:$B , 2, FALSE),
2 , VLOOKUP(index(split(G172 ,"", "", FALSE),1,1), Variables!$A:$B , 2, FALSE) + VLOOKUP(index(split(G172 ,"", "", FALSE),1,2), Variables!$A:$B , 2, FALSE) + VLOOKUP(index(split(G172 ,"", "", FALSE),1,3), Variables!$A:$B , 2, FALSE),"&amp;"
3 , VLOOKUP(index(split(G172 ,"", "", FALSE),1,1), Variables!$A:$B , 2, FALSE) + VLOOKUP(index(split(G172 ,"", "", FALSE),1,2), Variables!$A:$B , 2, FALSE) + VLOOKUP(index(split(G172 ,"", "", FALSE),1,3), Variables!$A:$B , 2, FALSE) + VLOOKUP(index(split"&amp;"(G172 ,"", "", FALSE),1,4), Variables!$A:$B , 2, FALSE),
)
)"),"")</f>
        <v/>
      </c>
      <c r="I172" s="310" t="s">
        <v>1648</v>
      </c>
      <c r="J172" s="313"/>
      <c r="K172" s="314" t="str">
        <f>IFERROR(VLOOKUP(C172,vote4ITEMS!$A:$C, 3, FALSE),)</f>
        <v/>
      </c>
      <c r="L172" s="311" t="s">
        <v>1682</v>
      </c>
      <c r="M172" s="314">
        <f>SUM(
IF(IFERROR(SEARCH("Aura 1",L172),0) &gt; 0 , VLOOKUP("Aura 1", vote4TRAITS!A:C , 3, FALSE), ),
IF(IFERROR(SEARCH("Backswing",L172),0) &gt; 0 , VLOOKUP("Backswing", vote4TRAITS!A:C , 3, FALSE), ),
IF(IFERROR(SEARCH("Blast",L172),0) &gt; 0 , VLOOKUP("Blast", vote4TRAITS!A:C , 3, FALSE), ),
IF(IFERROR(SEARCH("Combustible",L172),0) &gt; 0 , VLOOKUP("Combustible", vote4TRAITS!A:C , 3, FALSE), ),
IF(IFERROR(SEARCH("Command",L172),0) &gt; 0 , VLOOKUP("Command", vote4TRAITS!A:C , 3, FALSE), ),
IF(IFERROR(SEARCH("Cowardly",L172),0) &gt; 0 , VLOOKUP("Cowardly", vote4TRAITS!A:C , 3, FALSE), ),
IF(IFERROR(SEARCH("Death Wish",L172),0) &gt; 0 , VLOOKUP("Death Wish", vote4TRAITS!A:C , 3, FALSE), ),
IF(IFERROR(SEARCH("Entomb",L172),0) &gt; 0 , VLOOKUP("Entomb", vote4TRAITS!A:C , 3, FALSE), ),
IF(IFERROR(SEARCH("Ethereal Hold",L172),0) &gt; 0 , VLOOKUP("Ethereal Hold", vote4TRAITS!A:C , 3, FALSE), ),
IF(IFERROR(SEARCH("Extend",L172),0) &gt; 0 , VLOOKUP("Extend", vote4TRAITS!A:C , 3, FALSE), ),
IF(IFERROR(SEARCH("Filthy Murk",L172),0) &gt; 0 , VLOOKUP("Filthy Murk", vote4TRAITS!A:C , 3, FALSE), ),
IF(IFERROR(SEARCH("Flame Fiend",L172),0) &gt; 0 , VLOOKUP("Flame Fiend", vote4TRAITS!A:C , 3, FALSE), ),
IF(IFERROR(SEARCH("Fleshmonger",L172),0) &gt; 0 , VLOOKUP("Fleshmonger", vote4TRAITS!A:C , 3, FALSE), ),
IF(IFERROR(SEARCH("Fly",L172),0) &gt; 0 , VLOOKUP("Fly", vote4TRAITS!A:C , 3, FALSE), ),
IF(IFERROR(SEARCH("Freezing",L172),0) &gt; 0 , VLOOKUP("Freezing", vote4TRAITS!A:C , 3, FALSE), ),
IF(IFERROR(SEARCH("Lithesome",L172),0) &gt; 0 , VLOOKUP("Lithesome", vote4TRAITS!A:C , 3, FALSE), ),
IF(IFERROR(SEARCH("Harrowing",L172),0) &gt; 0 , VLOOKUP("Harrowing", vote4TRAITS!A:C , 3, FALSE), ),
IF(IFERROR(SEARCH("Hideous Laughter",L172),0) &gt; 0 , VLOOKUP("Hideous Laughter", vote4TRAITS!A:C , 3, FALSE), ),
IF(IFERROR(SEARCH("Hive Defense",L172),0) &gt; 0 , VLOOKUP("Hive Defense", vote4TRAITS!A:C , 3, FALSE), ),
IF(IFERROR(SEARCH("Horrifying",L172),0) &gt; 0 , VLOOKUP("Horrifying", vote4TRAITS!A:C , 3, FALSE), ),
IF(IFERROR(SEARCH("Ironskin",L172),0) &gt; 0 , VLOOKUP("Ironskin", vote4TRAITS!A:C , 3, FALSE), ),
IF(IFERROR(SEARCH("Unmovable",L172),0) &gt; 0 , VLOOKUP("Unmovable", vote4TRAITS!A:C , 3, FALSE), ),
IF(IFERROR(SEARCH("Lifethirst 1",L172),0) &gt; 0 , VLOOKUP("Lifethirst 1", vote4TRAITS!A:C , 3, FALSE), ),
IF(IFERROR(SEARCH("Lifethirst 2",L172),0) &gt; 0 , VLOOKUP("Lifethirst 2", vote4TRAITS!A:C , 3, FALSE), ),
IF(IFERROR(SEARCH("Morph",L172),0) &gt; 0 , VLOOKUP("Morph", vote4TRAITS!A:C , 3, FALSE), ),
IF(IFERROR(SEARCH("Night Stalker",L172),0) &gt; 0 , VLOOKUP("Night Stalker", vote4TRAITS!A:C , 3, FALSE), ),
IF(IFERROR(SEARCH("Overflowing",L172),0) &gt; 0 , VLOOKUP("Overflowing", vote4TRAITS!A:C , 3, FALSE), ),
IF(IFERROR(SEARCH("Pestilence",L172),0) &gt; 0 , VLOOKUP("Pestilence", vote4TRAITS!A:C , 3, FALSE), ),
IF(IFERROR(SEARCH("Phalanx",L172),0) &gt; 0 , VLOOKUP("Phalanx", vote4TRAITS!A:C , 3, FALSE), ),
IF(IFERROR(SEARCH("Plagued",L172),0) &gt; 0 , VLOOKUP("Plagued", vote4TRAITS!A:C , 3, FALSE), ),
IF(IFERROR(SEARCH("Prey on the Weak",L172),0) &gt; 0 , VLOOKUP("Prey on the Weak", vote4TRAITS!A:C , 3, FALSE), ),
IF(IFERROR(SEARCH("Protect",L172),0) &gt; 0 , VLOOKUP("Protect", vote4TRAITS!A:C , 3, FALSE), ),
IF(IFERROR(SEARCH("Puncture",L172),0) &gt; 0 , VLOOKUP("Puncture", vote4TRAITS!A:C , 3, FALSE), ),
IF(IFERROR(SEARCH("Putrid Boils",L172),0) &gt; 0 , VLOOKUP("Putrid Boils", vote4TRAITS!A:C , 3, FALSE), ),
IF(IFERROR(SEARCH("Ravage",L172),0) &gt; 0 , VLOOKUP("Ravage", vote4TRAITS!A:C , 3, FALSE), ),
IF(IFERROR(SEARCH("Ravenous",L172),0) &gt; 0 , VLOOKUP("Ravenous", vote4TRAITS!A:C , 3, FALSE), ),
IF(IFERROR(SEARCH("Reach",L172),0) &gt; 0 , VLOOKUP("Reach", vote4TRAITS!A:C , 3, FALSE), ),
IF(IFERROR(SEARCH("Reanimation",L172),0) &gt; 0 , VLOOKUP("Reanimation", vote4TRAITS!A:C , 3, FALSE), ),
IF(IFERROR(SEARCH("Reaper",L172),0) &gt; 0 , VLOOKUP("Reaper", vote4TRAITS!A:C , 3, FALSE), ),
IF(IFERROR(SEARCH("Riposte",L172),0) &gt; 0 , VLOOKUP("Riposte", vote4TRAITS!A:C , 3, FALSE)),
IF(IFERROR(SEARCH("Scamper",L172),0) &gt; 0 , VLOOKUP("Scamper", vote4TRAITS!A:C , 3, FALSE), ),
IF(IFERROR(SEARCH("Small Beginnings",L172),0) &gt; 0 , VLOOKUP("Small Beginnings", vote4TRAITS!A:C , 3, FALSE), ),
IF(IFERROR(SEARCH("Spawner",L172),0) &gt; 0 , VLOOKUP("Spawner", vote4TRAITS!A:C , 3,FALSE), ),
IF(IFERROR(SEARCH("Shadowr",L172),0) &gt; 0 , VLOOKUP("Shadow", vote4TRAITS!A:C , 3,FALSE), ),
IF(IFERROR(SEARCH("Shadow Step",L172),0) &gt; 0 , VLOOKUP("Shadow Step", vote4TRAITS!A:C , 3,FALSE), ),
IF(IFERROR(SEARCH("Shambling",L172),0) &gt; 0 , VLOOKUP("Shambling", vote4TRAITS!A:C , 3,FALSE), ),
IF(IFERROR(SEARCH("Stealthy",L172),0) &gt; 0 , VLOOKUP("Stealthy", vote4TRAITS!A:C , 3, FALSE), ),
IF(IFERROR(SEARCH("Web",L172),0) &gt; 0 , VLOOKUP("Web", vote4TRAITS!A:C , 3, FALSE), ),
IF(IFERROR(SEARCH("+1 Willpower",L172),0) &gt; 0 , VLOOKUP("+1 Willpower", vote4TRAITS!A:C , 3, FALSE), ),
IF(IFERROR(SEARCH("+1 Might",L172),0) &gt; 0 , VLOOKUP("+1 Might", vote4TRAITS!A:C , 3, FALSE), ),
IF(IFERROR(SEARCH("+1 Knowledge",L172),0) &gt; 0 , VLOOKUP("+1 Knowledge", vote4TRAITS!A:C , 3, FALSE), ),
IF(IFERROR(SEARCH("+1 Awareness",L172),0) &gt; 0 , VLOOKUP("+1 Awareness", vote4TRAITS!A:C , 3, FALSE), ),
IF(IFERROR(SEARCH("-1 Willpower",L172),0) &gt; 0 , VLOOKUP("-1 Willpower", vote4TRAITS!A:C , 3, FALSE), ),
IF(IFERROR(SEARCH("+1 Health",L172),0) &gt; 0 , VLOOKUP("+1 Health", vote4TRAITS!A:C , 3, FALSE), ),
IF(IFERROR(SEARCH("+2 Health",L172),0) &gt; 0 , VLOOKUP("+2 Health", vote4TRAITS!A:C , 3, FALSE), ),
IF(IFERROR(SEARCH("+1 Stamina",L172),0) &gt; 0 , VLOOKUP("+1 Stamina", vote4TRAITS!A:C , 3, FALSE), ),
IF(IFERROR(SEARCH("+2 Stamina",L172),0) &gt; 0 , VLOOKUP("+2 Stamina", vote4TRAITS!A:C , 3, FALSE), ),
IFS(
IFERROR(SEARCH("+1 Range", L172),) &gt; 0 ,VLOOKUP("+1 Range", vote4TRAITS!A:C , 3, FALSE),
IFERROR(SEARCH("+2 Range", L172),) &gt; 0 ,VLOOKUP("+2 Range", vote4TRAITS!A:C , 3, FALSE),
IFERROR(SEARCH("+3 Range", L172),) &gt; 0,VLOOKUP("+3 Range", vote4TRAITS!A:C , 3, FALSE),
0=0,0)
,
IFS(
IFERROR(SEARCH("Sorcery 1", L172),) &gt; 0 ,VLOOKUP("Sorcery 1", vote4TRAITS!A:C , 3, FALSE),
IFERROR(SEARCH("Sorcery 2", L172),) &gt; 0 ,VLOOKUP("Sorcery 2", vote4TRAITS!A:C , 3, FALSE),
IFERROR(SEARCH("Sorcery 3", L172),) &gt; 0,VLOOKUP("Sorcery 3", vote4TRAITS!A:C , 3, FALSE),
0=0,0)
,
IFS(
IFERROR(SEARCH("Pierce 1", L172),) &gt; 0 ,VLOOKUP("Pierce 1", vote4TRAITS!A:C , 3, FALSE),
IFERROR(SEARCH("Pierce 2", L172),) &gt; 0 ,VLOOKUP("Pierce 2", vote4TRAITS!A:C , 3, FALSE),
IFERROR(SEARCH("Pierce 3", L172),) &gt; 0,VLOOKUP("Pierce 3", vote4TRAITS!A:C , 3, FALSE),
IFERROR(SEARCH("Pierce 4", L172),) &gt; 0 ,VLOOKUP("Pierce 4", vote4TRAITS!A:C , 3, FALSE),
0=0,0)
,
IFS(
IFERROR(SEARCH("+1 Health", L172),) &gt; 0 ,VLOOKUP("+1 Health", vote4TRAITS!A:C , 3, FALSE),
IFERROR(SEARCH("+2 Health", L172),) &gt; 0 ,VLOOKUP("+2 Health", vote4TRAITS!A:C , 3, FALSE),
IFERROR(SEARCH("+3 Health", L172),) &gt; 0 ,VLOOKUP("+3 Health", vote4TRAITS!A:C , 3, FALSE),
IFERROR(SEARCH("+4 Health", L172),) &gt; 0 ,VLOOKUP("+4 Health", vote4TRAITS!A:C , 3, FALSE),
0=0,0)
,
IFS(
IFERROR(SEARCH("Soul Shackle 1", L172),) &gt; 0 ,VLOOKUP("Soul Shackle 1", vote4TRAITS!A:C , 3, FALSE),
IFERROR(SEARCH("Soul Shackle 2", L172),) &gt; 0 ,VLOOKUP("Soul Shackle 2", vote4TRAITS!A:C , 3, FALSE),
IFERROR(SEARCH("Soul Shackle 3", L172),) &gt; 0,VLOOKUP("Soul Shackle 3", vote4TRAITS!A:C , 3, FALSE),
0=0,0)
)</f>
        <v>1</v>
      </c>
      <c r="N172" s="313"/>
      <c r="O172" s="317" t="str">
        <f>IF(ISBLANK(N172),,IFERROR(
IF(IFERROR(SEARCH("SS:",N172),0) &gt; 0, 
VLOOKUP(SUBSTITUTE(N172,"SS: ",""),vote4SURGE!$A:$C , 3, FALSE) - 2,
VLOOKUP(SUBSTITUTE(N172,"S: ",""),vote4SURGE!$A:$C , 3, FALSE)
)
,
IF(IFERROR(SEARCH("SS:",N172),0) &gt; 0, 
VLOOKUP(C172,vote4SURGE!$A:$C , 3, FALSE) - 2,
VLOOKUP(C172,vote4SURGE!$A:$C , 3, FALSE)
)
))</f>
        <v/>
      </c>
      <c r="P172" s="318"/>
      <c r="Q172" s="317" t="str">
        <f>IF(ISBLANK(P172),,IFERROR(
IF(IFERROR(SEARCH("SS:",P172),0) &gt; 0, 
VLOOKUP(SUBSTITUTE(P172,"SS: ",""),vote4SURGE!$A:$C , 3, FALSE) - 2,
VLOOKUP(SUBSTITUTE(P172,"S: ",""),vote4SURGE!$A:$C , 3, FALSE)
)
,
IF(IFERROR(SEARCH("SS:",P172),0) &gt; 0, 
VLOOKUP(C172,vote4SURGE!$A:$C , 3, FALSE) - 2,
VLOOKUP(C172,vote4SURGE!$A:$C , 3, FALSE)
)
))</f>
        <v/>
      </c>
      <c r="R172" s="318"/>
      <c r="S172" s="319" t="str">
        <f>IF(ISBLANK(R172),,IFERROR(
IF(IFERROR(SEARCH("SS:",R172),0) &gt; 0, 
VLOOKUP(SUBSTITUTE(R172,"SS: ",""),vote4SURGE!$A:$C , 3, FALSE) - 2,
VLOOKUP(SUBSTITUTE(R172,"S: ",""),vote4SURGE!$A:$C , 3, FALSE)
)
,
IF(IFERROR(SEARCH("SS:",R172),0) &gt; 0, 
VLOOKUP(C172,vote4SURGE!$A:$C , 3, FALSE) - 2,
VLOOKUP(C172,vote4SURGE!$A:$C , 3, FALSE)
)
))</f>
        <v/>
      </c>
      <c r="T172" s="320">
        <f t="shared" si="2"/>
        <v>0</v>
      </c>
      <c r="U172" s="320">
        <f>IFERROR(__xludf.DUMMYFUNCTION("ROUND(
IF(ISBLANK(G172),,
SWITCH(
LEN(G172) - LEN(SUBSTITUTE(G172,"","","""")),
0 , VLOOKUP(G172, Variables!$A:$C, 3, FALSE),
1 , VLOOKUP(index(split(G172 ,"", "", FALSE),1,1), Variables!$A:$C , 3, FALSE) + VLOOKUP(index(split(G172 ,"", "", FALSE),1,2), V"&amp;"ariables!$A:$C , 3, FALSE),
2 , VLOOKUP(index(split(G172 ,"", "", FALSE),1,1), Variables!$A:$C , 3, FALSE) + VLOOKUP(index(split(G172 ,"", "", FALSE),1,2), Variables!$A:$C , 3, FALSE) + VLOOKUP(index(split(G172 ,"", "", FALSE),1,3), Variables!$A:$C , 3, F"&amp;"ALSE),
3 , VLOOKUP(index(split(G172 ,"", "", FALSE),1,1), Variables!$A:$C , 3, FALSE) + VLOOKUP(index(split(G172 ,"", "", FALSE),1,2), Variables!$A:$C , 3, FALSE) + VLOOKUP(index(split(G172 ,"", "", FALSE),1,3), Variables!$A:$C , 3, FALSE) + VLOOKUP(index"&amp;"(split(G172 ,"", "", FALSE),1,4), Variables!$A:$C , 3, FALSE),
)
)
)"),0.0)</f>
        <v>0</v>
      </c>
      <c r="V172" s="317">
        <f t="shared" si="3"/>
        <v>0</v>
      </c>
      <c r="W172" s="321">
        <f t="shared" si="4"/>
        <v>1</v>
      </c>
      <c r="X172" s="118"/>
      <c r="Y172" s="118"/>
      <c r="Z172" s="118"/>
      <c r="AA172" s="118"/>
      <c r="AB172" s="118"/>
      <c r="AC172" s="118"/>
      <c r="AD172" s="118"/>
      <c r="AE172" s="118"/>
    </row>
    <row r="173" hidden="1">
      <c r="A173" s="310">
        <v>1.0</v>
      </c>
      <c r="B173" s="93" t="str">
        <f t="shared" si="1"/>
        <v/>
      </c>
      <c r="C173" s="310" t="s">
        <v>775</v>
      </c>
      <c r="D173" s="323">
        <v>0.0</v>
      </c>
      <c r="E173" s="310" t="s">
        <v>1629</v>
      </c>
      <c r="F173" s="310"/>
      <c r="G173" s="313"/>
      <c r="H173" s="312" t="str">
        <f>IFERROR(__xludf.DUMMYFUNCTION(" IF(ISBLANK(G173),,
SWITCH(
LEN(G173) - LEN(SUBSTITUTE(G173,"","","""")),
0 , VLOOKUP(G173, Variables!$A:$B, 2, FALSE),
1 , VLOOKUP(index(split(G173 ,"", "", FALSE),1,1), Variables!$A:$B , 2, FALSE) + VLOOKUP(index(split(G173 ,"", "", FALSE),1,2), Variabl"&amp;"es!$A:$B , 2, FALSE),
2 , VLOOKUP(index(split(G173 ,"", "", FALSE),1,1), Variables!$A:$B , 2, FALSE) + VLOOKUP(index(split(G173 ,"", "", FALSE),1,2), Variables!$A:$B , 2, FALSE) + VLOOKUP(index(split(G173 ,"", "", FALSE),1,3), Variables!$A:$B , 2, FALSE),"&amp;"
3 , VLOOKUP(index(split(G173 ,"", "", FALSE),1,1), Variables!$A:$B , 2, FALSE) + VLOOKUP(index(split(G173 ,"", "", FALSE),1,2), Variables!$A:$B , 2, FALSE) + VLOOKUP(index(split(G173 ,"", "", FALSE),1,3), Variables!$A:$B , 2, FALSE) + VLOOKUP(index(split"&amp;"(G173 ,"", "", FALSE),1,4), Variables!$A:$B , 2, FALSE),
)
)"),"")</f>
        <v/>
      </c>
      <c r="I173" s="310" t="s">
        <v>1641</v>
      </c>
      <c r="J173" s="313" t="s">
        <v>776</v>
      </c>
      <c r="K173" s="314">
        <f>IFERROR(VLOOKUP(C173,vote4ITEMS!$A:$C, 3, FALSE),)</f>
        <v>1</v>
      </c>
      <c r="L173" s="313"/>
      <c r="M173" s="314">
        <f>SUM(
IF(IFERROR(SEARCH("Aura 1",L173),0) &gt; 0 , VLOOKUP("Aura 1", vote4TRAITS!A:C , 3, FALSE), ),
IF(IFERROR(SEARCH("Backswing",L173),0) &gt; 0 , VLOOKUP("Backswing", vote4TRAITS!A:C , 3, FALSE), ),
IF(IFERROR(SEARCH("Blast",L173),0) &gt; 0 , VLOOKUP("Blast", vote4TRAITS!A:C , 3, FALSE), ),
IF(IFERROR(SEARCH("Combustible",L173),0) &gt; 0 , VLOOKUP("Combustible", vote4TRAITS!A:C , 3, FALSE), ),
IF(IFERROR(SEARCH("Command",L173),0) &gt; 0 , VLOOKUP("Command", vote4TRAITS!A:C , 3, FALSE), ),
IF(IFERROR(SEARCH("Cowardly",L173),0) &gt; 0 , VLOOKUP("Cowardly", vote4TRAITS!A:C , 3, FALSE), ),
IF(IFERROR(SEARCH("Death Wish",L173),0) &gt; 0 , VLOOKUP("Death Wish", vote4TRAITS!A:C , 3, FALSE), ),
IF(IFERROR(SEARCH("Entomb",L173),0) &gt; 0 , VLOOKUP("Entomb", vote4TRAITS!A:C , 3, FALSE), ),
IF(IFERROR(SEARCH("Ethereal Hold",L173),0) &gt; 0 , VLOOKUP("Ethereal Hold", vote4TRAITS!A:C , 3, FALSE), ),
IF(IFERROR(SEARCH("Extend",L173),0) &gt; 0 , VLOOKUP("Extend", vote4TRAITS!A:C , 3, FALSE), ),
IF(IFERROR(SEARCH("Filthy Murk",L173),0) &gt; 0 , VLOOKUP("Filthy Murk", vote4TRAITS!A:C , 3, FALSE), ),
IF(IFERROR(SEARCH("Flame Fiend",L173),0) &gt; 0 , VLOOKUP("Flame Fiend", vote4TRAITS!A:C , 3, FALSE), ),
IF(IFERROR(SEARCH("Fleshmonger",L173),0) &gt; 0 , VLOOKUP("Fleshmonger", vote4TRAITS!A:C , 3, FALSE), ),
IF(IFERROR(SEARCH("Fly",L173),0) &gt; 0 , VLOOKUP("Fly", vote4TRAITS!A:C , 3, FALSE), ),
IF(IFERROR(SEARCH("Freezing",L173),0) &gt; 0 , VLOOKUP("Freezing", vote4TRAITS!A:C , 3, FALSE), ),
IF(IFERROR(SEARCH("Lithesome",L173),0) &gt; 0 , VLOOKUP("Lithesome", vote4TRAITS!A:C , 3, FALSE), ),
IF(IFERROR(SEARCH("Harrowing",L173),0) &gt; 0 , VLOOKUP("Harrowing", vote4TRAITS!A:C , 3, FALSE), ),
IF(IFERROR(SEARCH("Hideous Laughter",L173),0) &gt; 0 , VLOOKUP("Hideous Laughter", vote4TRAITS!A:C , 3, FALSE), ),
IF(IFERROR(SEARCH("Hive Defense",L173),0) &gt; 0 , VLOOKUP("Hive Defense", vote4TRAITS!A:C , 3, FALSE), ),
IF(IFERROR(SEARCH("Horrifying",L173),0) &gt; 0 , VLOOKUP("Horrifying", vote4TRAITS!A:C , 3, FALSE), ),
IF(IFERROR(SEARCH("Ironskin",L173),0) &gt; 0 , VLOOKUP("Ironskin", vote4TRAITS!A:C , 3, FALSE), ),
IF(IFERROR(SEARCH("Unmovable",L173),0) &gt; 0 , VLOOKUP("Unmovable", vote4TRAITS!A:C , 3, FALSE), ),
IF(IFERROR(SEARCH("Lifethirst 1",L173),0) &gt; 0 , VLOOKUP("Lifethirst 1", vote4TRAITS!A:C , 3, FALSE), ),
IF(IFERROR(SEARCH("Lifethirst 2",L173),0) &gt; 0 , VLOOKUP("Lifethirst 2", vote4TRAITS!A:C , 3, FALSE), ),
IF(IFERROR(SEARCH("Morph",L173),0) &gt; 0 , VLOOKUP("Morph", vote4TRAITS!A:C , 3, FALSE), ),
IF(IFERROR(SEARCH("Night Stalker",L173),0) &gt; 0 , VLOOKUP("Night Stalker", vote4TRAITS!A:C , 3, FALSE), ),
IF(IFERROR(SEARCH("Overflowing",L173),0) &gt; 0 , VLOOKUP("Overflowing", vote4TRAITS!A:C , 3, FALSE), ),
IF(IFERROR(SEARCH("Pestilence",L173),0) &gt; 0 , VLOOKUP("Pestilence", vote4TRAITS!A:C , 3, FALSE), ),
IF(IFERROR(SEARCH("Phalanx",L173),0) &gt; 0 , VLOOKUP("Phalanx", vote4TRAITS!A:C , 3, FALSE), ),
IF(IFERROR(SEARCH("Plagued",L173),0) &gt; 0 , VLOOKUP("Plagued", vote4TRAITS!A:C , 3, FALSE), ),
IF(IFERROR(SEARCH("Prey on the Weak",L173),0) &gt; 0 , VLOOKUP("Prey on the Weak", vote4TRAITS!A:C , 3, FALSE), ),
IF(IFERROR(SEARCH("Protect",L173),0) &gt; 0 , VLOOKUP("Protect", vote4TRAITS!A:C , 3, FALSE), ),
IF(IFERROR(SEARCH("Puncture",L173),0) &gt; 0 , VLOOKUP("Puncture", vote4TRAITS!A:C , 3, FALSE), ),
IF(IFERROR(SEARCH("Putrid Boils",L173),0) &gt; 0 , VLOOKUP("Putrid Boils", vote4TRAITS!A:C , 3, FALSE), ),
IF(IFERROR(SEARCH("Ravage",L173),0) &gt; 0 , VLOOKUP("Ravage", vote4TRAITS!A:C , 3, FALSE), ),
IF(IFERROR(SEARCH("Ravenous",L173),0) &gt; 0 , VLOOKUP("Ravenous", vote4TRAITS!A:C , 3, FALSE), ),
IF(IFERROR(SEARCH("Reach",L173),0) &gt; 0 , VLOOKUP("Reach", vote4TRAITS!A:C , 3, FALSE), ),
IF(IFERROR(SEARCH("Reanimation",L173),0) &gt; 0 , VLOOKUP("Reanimation", vote4TRAITS!A:C , 3, FALSE), ),
IF(IFERROR(SEARCH("Reaper",L173),0) &gt; 0 , VLOOKUP("Reaper", vote4TRAITS!A:C , 3, FALSE), ),
IF(IFERROR(SEARCH("Riposte",L173),0) &gt; 0 , VLOOKUP("Riposte", vote4TRAITS!A:C , 3, FALSE)),
IF(IFERROR(SEARCH("Scamper",L173),0) &gt; 0 , VLOOKUP("Scamper", vote4TRAITS!A:C , 3, FALSE), ),
IF(IFERROR(SEARCH("Small Beginnings",L173),0) &gt; 0 , VLOOKUP("Small Beginnings", vote4TRAITS!A:C , 3, FALSE), ),
IF(IFERROR(SEARCH("Spawner",L173),0) &gt; 0 , VLOOKUP("Spawner", vote4TRAITS!A:C , 3,FALSE), ),
IF(IFERROR(SEARCH("Shadowr",L173),0) &gt; 0 , VLOOKUP("Shadow", vote4TRAITS!A:C , 3,FALSE), ),
IF(IFERROR(SEARCH("Shadow Step",L173),0) &gt; 0 , VLOOKUP("Shadow Step", vote4TRAITS!A:C , 3,FALSE), ),
IF(IFERROR(SEARCH("Shambling",L173),0) &gt; 0 , VLOOKUP("Shambling", vote4TRAITS!A:C , 3,FALSE), ),
IF(IFERROR(SEARCH("Stealthy",L173),0) &gt; 0 , VLOOKUP("Stealthy", vote4TRAITS!A:C , 3, FALSE), ),
IF(IFERROR(SEARCH("Web",L173),0) &gt; 0 , VLOOKUP("Web", vote4TRAITS!A:C , 3, FALSE), ),
IF(IFERROR(SEARCH("+1 Willpower",L173),0) &gt; 0 , VLOOKUP("+1 Willpower", vote4TRAITS!A:C , 3, FALSE), ),
IF(IFERROR(SEARCH("+1 Might",L173),0) &gt; 0 , VLOOKUP("+1 Might", vote4TRAITS!A:C , 3, FALSE), ),
IF(IFERROR(SEARCH("+1 Knowledge",L173),0) &gt; 0 , VLOOKUP("+1 Knowledge", vote4TRAITS!A:C , 3, FALSE), ),
IF(IFERROR(SEARCH("+1 Awareness",L173),0) &gt; 0 , VLOOKUP("+1 Awareness", vote4TRAITS!A:C , 3, FALSE), ),
IF(IFERROR(SEARCH("-1 Willpower",L173),0) &gt; 0 , VLOOKUP("-1 Willpower", vote4TRAITS!A:C , 3, FALSE), ),
IF(IFERROR(SEARCH("+1 Health",L173),0) &gt; 0 , VLOOKUP("+1 Health", vote4TRAITS!A:C , 3, FALSE), ),
IF(IFERROR(SEARCH("+2 Health",L173),0) &gt; 0 , VLOOKUP("+2 Health", vote4TRAITS!A:C , 3, FALSE), ),
IF(IFERROR(SEARCH("+1 Stamina",L173),0) &gt; 0 , VLOOKUP("+1 Stamina", vote4TRAITS!A:C , 3, FALSE), ),
IF(IFERROR(SEARCH("+2 Stamina",L173),0) &gt; 0 , VLOOKUP("+2 Stamina", vote4TRAITS!A:C , 3, FALSE), ),
IFS(
IFERROR(SEARCH("+1 Range", L173),) &gt; 0 ,VLOOKUP("+1 Range", vote4TRAITS!A:C , 3, FALSE),
IFERROR(SEARCH("+2 Range", L173),) &gt; 0 ,VLOOKUP("+2 Range", vote4TRAITS!A:C , 3, FALSE),
IFERROR(SEARCH("+3 Range", L173),) &gt; 0,VLOOKUP("+3 Range", vote4TRAITS!A:C , 3, FALSE),
0=0,0)
,
IFS(
IFERROR(SEARCH("Sorcery 1", L173),) &gt; 0 ,VLOOKUP("Sorcery 1", vote4TRAITS!A:C , 3, FALSE),
IFERROR(SEARCH("Sorcery 2", L173),) &gt; 0 ,VLOOKUP("Sorcery 2", vote4TRAITS!A:C , 3, FALSE),
IFERROR(SEARCH("Sorcery 3", L173),) &gt; 0,VLOOKUP("Sorcery 3", vote4TRAITS!A:C , 3, FALSE),
0=0,0)
,
IFS(
IFERROR(SEARCH("Pierce 1", L173),) &gt; 0 ,VLOOKUP("Pierce 1", vote4TRAITS!A:C , 3, FALSE),
IFERROR(SEARCH("Pierce 2", L173),) &gt; 0 ,VLOOKUP("Pierce 2", vote4TRAITS!A:C , 3, FALSE),
IFERROR(SEARCH("Pierce 3", L173),) &gt; 0,VLOOKUP("Pierce 3", vote4TRAITS!A:C , 3, FALSE),
IFERROR(SEARCH("Pierce 4", L173),) &gt; 0 ,VLOOKUP("Pierce 4", vote4TRAITS!A:C , 3, FALSE),
0=0,0)
,
IFS(
IFERROR(SEARCH("+1 Health", L173),) &gt; 0 ,VLOOKUP("+1 Health", vote4TRAITS!A:C , 3, FALSE),
IFERROR(SEARCH("+2 Health", L173),) &gt; 0 ,VLOOKUP("+2 Health", vote4TRAITS!A:C , 3, FALSE),
IFERROR(SEARCH("+3 Health", L173),) &gt; 0 ,VLOOKUP("+3 Health", vote4TRAITS!A:C , 3, FALSE),
IFERROR(SEARCH("+4 Health", L173),) &gt; 0 ,VLOOKUP("+4 Health", vote4TRAITS!A:C , 3, FALSE),
0=0,0)
,
IFS(
IFERROR(SEARCH("Soul Shackle 1", L173),) &gt; 0 ,VLOOKUP("Soul Shackle 1", vote4TRAITS!A:C , 3, FALSE),
IFERROR(SEARCH("Soul Shackle 2", L173),) &gt; 0 ,VLOOKUP("Soul Shackle 2", vote4TRAITS!A:C , 3, FALSE),
IFERROR(SEARCH("Soul Shackle 3", L173),) &gt; 0,VLOOKUP("Soul Shackle 3", vote4TRAITS!A:C , 3, FALSE),
0=0,0)
)</f>
        <v>0</v>
      </c>
      <c r="N173" s="313"/>
      <c r="O173" s="317" t="str">
        <f>IF(ISBLANK(N173),,IFERROR(
IF(IFERROR(SEARCH("SS:",N173),0) &gt; 0, 
VLOOKUP(SUBSTITUTE(N173,"SS: ",""),vote4SURGE!$A:$C , 3, FALSE) - 2,
VLOOKUP(SUBSTITUTE(N173,"S: ",""),vote4SURGE!$A:$C , 3, FALSE)
)
,
IF(IFERROR(SEARCH("SS:",N173),0) &gt; 0, 
VLOOKUP(C173,vote4SURGE!$A:$C , 3, FALSE) - 2,
VLOOKUP(C173,vote4SURGE!$A:$C , 3, FALSE)
)
))</f>
        <v/>
      </c>
      <c r="P173" s="318"/>
      <c r="Q173" s="317" t="str">
        <f>IF(ISBLANK(P173),,IFERROR(
IF(IFERROR(SEARCH("SS:",P173),0) &gt; 0, 
VLOOKUP(SUBSTITUTE(P173,"SS: ",""),vote4SURGE!$A:$C , 3, FALSE) - 2,
VLOOKUP(SUBSTITUTE(P173,"S: ",""),vote4SURGE!$A:$C , 3, FALSE)
)
,
IF(IFERROR(SEARCH("SS:",P173),0) &gt; 0, 
VLOOKUP(C173,vote4SURGE!$A:$C , 3, FALSE) - 2,
VLOOKUP(C173,vote4SURGE!$A:$C , 3, FALSE)
)
))</f>
        <v/>
      </c>
      <c r="R173" s="318"/>
      <c r="S173" s="319" t="str">
        <f>IF(ISBLANK(R173),,IFERROR(
IF(IFERROR(SEARCH("SS:",R173),0) &gt; 0, 
VLOOKUP(SUBSTITUTE(R173,"SS: ",""),vote4SURGE!$A:$C , 3, FALSE) - 2,
VLOOKUP(SUBSTITUTE(R173,"S: ",""),vote4SURGE!$A:$C , 3, FALSE)
)
,
IF(IFERROR(SEARCH("SS:",R173),0) &gt; 0, 
VLOOKUP(C173,vote4SURGE!$A:$C , 3, FALSE) - 2,
VLOOKUP(C173,vote4SURGE!$A:$C , 3, FALSE)
)
))</f>
        <v/>
      </c>
      <c r="T173" s="320">
        <f t="shared" si="2"/>
        <v>0</v>
      </c>
      <c r="U173" s="320">
        <f>IFERROR(__xludf.DUMMYFUNCTION("ROUND(
IF(ISBLANK(G173),,
SWITCH(
LEN(G173) - LEN(SUBSTITUTE(G173,"","","""")),
0 , VLOOKUP(G173, Variables!$A:$C, 3, FALSE),
1 , VLOOKUP(index(split(G173 ,"", "", FALSE),1,1), Variables!$A:$C , 3, FALSE) + VLOOKUP(index(split(G173 ,"", "", FALSE),1,2), V"&amp;"ariables!$A:$C , 3, FALSE),
2 , VLOOKUP(index(split(G173 ,"", "", FALSE),1,1), Variables!$A:$C , 3, FALSE) + VLOOKUP(index(split(G173 ,"", "", FALSE),1,2), Variables!$A:$C , 3, FALSE) + VLOOKUP(index(split(G173 ,"", "", FALSE),1,3), Variables!$A:$C , 3, F"&amp;"ALSE),
3 , VLOOKUP(index(split(G173 ,"", "", FALSE),1,1), Variables!$A:$C , 3, FALSE) + VLOOKUP(index(split(G173 ,"", "", FALSE),1,2), Variables!$A:$C , 3, FALSE) + VLOOKUP(index(split(G173 ,"", "", FALSE),1,3), Variables!$A:$C , 3, FALSE) + VLOOKUP(index"&amp;"(split(G173 ,"", "", FALSE),1,4), Variables!$A:$C , 3, FALSE),
)
)
)"),0.0)</f>
        <v>0</v>
      </c>
      <c r="V173" s="317">
        <f t="shared" si="3"/>
        <v>0</v>
      </c>
      <c r="W173" s="321">
        <f t="shared" si="4"/>
        <v>1</v>
      </c>
      <c r="X173" s="118"/>
      <c r="Y173" s="118"/>
      <c r="Z173" s="118"/>
      <c r="AA173" s="118"/>
      <c r="AB173" s="118"/>
      <c r="AC173" s="118"/>
      <c r="AD173" s="118"/>
      <c r="AE173" s="118"/>
    </row>
    <row r="174" hidden="1">
      <c r="A174" s="310" t="s">
        <v>1556</v>
      </c>
      <c r="B174" s="93" t="str">
        <f t="shared" si="1"/>
        <v/>
      </c>
      <c r="C174" s="310" t="s">
        <v>862</v>
      </c>
      <c r="D174" s="323">
        <v>0.0</v>
      </c>
      <c r="E174" s="310" t="s">
        <v>1629</v>
      </c>
      <c r="F174" s="310"/>
      <c r="G174" s="313"/>
      <c r="H174" s="312" t="str">
        <f>IFERROR(__xludf.DUMMYFUNCTION(" IF(ISBLANK(G174),,
SWITCH(
LEN(G174) - LEN(SUBSTITUTE(G174,"","","""")),
0 , VLOOKUP(G174, Variables!$A:$B, 2, FALSE),
1 , VLOOKUP(index(split(G174 ,"", "", FALSE),1,1), Variables!$A:$B , 2, FALSE) + VLOOKUP(index(split(G174 ,"", "", FALSE),1,2), Variabl"&amp;"es!$A:$B , 2, FALSE),
2 , VLOOKUP(index(split(G174 ,"", "", FALSE),1,1), Variables!$A:$B , 2, FALSE) + VLOOKUP(index(split(G174 ,"", "", FALSE),1,2), Variables!$A:$B , 2, FALSE) + VLOOKUP(index(split(G174 ,"", "", FALSE),1,3), Variables!$A:$B , 2, FALSE),"&amp;"
3 , VLOOKUP(index(split(G174 ,"", "", FALSE),1,1), Variables!$A:$B , 2, FALSE) + VLOOKUP(index(split(G174 ,"", "", FALSE),1,2), Variables!$A:$B , 2, FALSE) + VLOOKUP(index(split(G174 ,"", "", FALSE),1,3), Variables!$A:$B , 2, FALSE) + VLOOKUP(index(split"&amp;"(G174 ,"", "", FALSE),1,4), Variables!$A:$B , 2, FALSE),
)
)"),"")</f>
        <v/>
      </c>
      <c r="I174" s="310" t="s">
        <v>1641</v>
      </c>
      <c r="J174" s="313" t="s">
        <v>863</v>
      </c>
      <c r="K174" s="314">
        <f>IFERROR(VLOOKUP(C174,vote4ITEMS!$A:$C, 3, FALSE),)</f>
        <v>0.6666666667</v>
      </c>
      <c r="L174" s="324"/>
      <c r="M174" s="314">
        <f>SUM(
IF(IFERROR(SEARCH("Aura 1",L174),0) &gt; 0 , VLOOKUP("Aura 1", vote4TRAITS!A:C , 3, FALSE), ),
IF(IFERROR(SEARCH("Backswing",L174),0) &gt; 0 , VLOOKUP("Backswing", vote4TRAITS!A:C , 3, FALSE), ),
IF(IFERROR(SEARCH("Blast",L174),0) &gt; 0 , VLOOKUP("Blast", vote4TRAITS!A:C , 3, FALSE), ),
IF(IFERROR(SEARCH("Combustible",L174),0) &gt; 0 , VLOOKUP("Combustible", vote4TRAITS!A:C , 3, FALSE), ),
IF(IFERROR(SEARCH("Command",L174),0) &gt; 0 , VLOOKUP("Command", vote4TRAITS!A:C , 3, FALSE), ),
IF(IFERROR(SEARCH("Cowardly",L174),0) &gt; 0 , VLOOKUP("Cowardly", vote4TRAITS!A:C , 3, FALSE), ),
IF(IFERROR(SEARCH("Death Wish",L174),0) &gt; 0 , VLOOKUP("Death Wish", vote4TRAITS!A:C , 3, FALSE), ),
IF(IFERROR(SEARCH("Entomb",L174),0) &gt; 0 , VLOOKUP("Entomb", vote4TRAITS!A:C , 3, FALSE), ),
IF(IFERROR(SEARCH("Ethereal Hold",L174),0) &gt; 0 , VLOOKUP("Ethereal Hold", vote4TRAITS!A:C , 3, FALSE), ),
IF(IFERROR(SEARCH("Extend",L174),0) &gt; 0 , VLOOKUP("Extend", vote4TRAITS!A:C , 3, FALSE), ),
IF(IFERROR(SEARCH("Filthy Murk",L174),0) &gt; 0 , VLOOKUP("Filthy Murk", vote4TRAITS!A:C , 3, FALSE), ),
IF(IFERROR(SEARCH("Flame Fiend",L174),0) &gt; 0 , VLOOKUP("Flame Fiend", vote4TRAITS!A:C , 3, FALSE), ),
IF(IFERROR(SEARCH("Fleshmonger",L174),0) &gt; 0 , VLOOKUP("Fleshmonger", vote4TRAITS!A:C , 3, FALSE), ),
IF(IFERROR(SEARCH("Fly",L174),0) &gt; 0 , VLOOKUP("Fly", vote4TRAITS!A:C , 3, FALSE), ),
IF(IFERROR(SEARCH("Freezing",L174),0) &gt; 0 , VLOOKUP("Freezing", vote4TRAITS!A:C , 3, FALSE), ),
IF(IFERROR(SEARCH("Lithesome",L174),0) &gt; 0 , VLOOKUP("Lithesome", vote4TRAITS!A:C , 3, FALSE), ),
IF(IFERROR(SEARCH("Harrowing",L174),0) &gt; 0 , VLOOKUP("Harrowing", vote4TRAITS!A:C , 3, FALSE), ),
IF(IFERROR(SEARCH("Hideous Laughter",L174),0) &gt; 0 , VLOOKUP("Hideous Laughter", vote4TRAITS!A:C , 3, FALSE), ),
IF(IFERROR(SEARCH("Hive Defense",L174),0) &gt; 0 , VLOOKUP("Hive Defense", vote4TRAITS!A:C , 3, FALSE), ),
IF(IFERROR(SEARCH("Horrifying",L174),0) &gt; 0 , VLOOKUP("Horrifying", vote4TRAITS!A:C , 3, FALSE), ),
IF(IFERROR(SEARCH("Ironskin",L174),0) &gt; 0 , VLOOKUP("Ironskin", vote4TRAITS!A:C , 3, FALSE), ),
IF(IFERROR(SEARCH("Unmovable",L174),0) &gt; 0 , VLOOKUP("Unmovable", vote4TRAITS!A:C , 3, FALSE), ),
IF(IFERROR(SEARCH("Lifethirst 1",L174),0) &gt; 0 , VLOOKUP("Lifethirst 1", vote4TRAITS!A:C , 3, FALSE), ),
IF(IFERROR(SEARCH("Lifethirst 2",L174),0) &gt; 0 , VLOOKUP("Lifethirst 2", vote4TRAITS!A:C , 3, FALSE), ),
IF(IFERROR(SEARCH("Morph",L174),0) &gt; 0 , VLOOKUP("Morph", vote4TRAITS!A:C , 3, FALSE), ),
IF(IFERROR(SEARCH("Night Stalker",L174),0) &gt; 0 , VLOOKUP("Night Stalker", vote4TRAITS!A:C , 3, FALSE), ),
IF(IFERROR(SEARCH("Overflowing",L174),0) &gt; 0 , VLOOKUP("Overflowing", vote4TRAITS!A:C , 3, FALSE), ),
IF(IFERROR(SEARCH("Pestilence",L174),0) &gt; 0 , VLOOKUP("Pestilence", vote4TRAITS!A:C , 3, FALSE), ),
IF(IFERROR(SEARCH("Phalanx",L174),0) &gt; 0 , VLOOKUP("Phalanx", vote4TRAITS!A:C , 3, FALSE), ),
IF(IFERROR(SEARCH("Plagued",L174),0) &gt; 0 , VLOOKUP("Plagued", vote4TRAITS!A:C , 3, FALSE), ),
IF(IFERROR(SEARCH("Prey on the Weak",L174),0) &gt; 0 , VLOOKUP("Prey on the Weak", vote4TRAITS!A:C , 3, FALSE), ),
IF(IFERROR(SEARCH("Protect",L174),0) &gt; 0 , VLOOKUP("Protect", vote4TRAITS!A:C , 3, FALSE), ),
IF(IFERROR(SEARCH("Puncture",L174),0) &gt; 0 , VLOOKUP("Puncture", vote4TRAITS!A:C , 3, FALSE), ),
IF(IFERROR(SEARCH("Putrid Boils",L174),0) &gt; 0 , VLOOKUP("Putrid Boils", vote4TRAITS!A:C , 3, FALSE), ),
IF(IFERROR(SEARCH("Ravage",L174),0) &gt; 0 , VLOOKUP("Ravage", vote4TRAITS!A:C , 3, FALSE), ),
IF(IFERROR(SEARCH("Ravenous",L174),0) &gt; 0 , VLOOKUP("Ravenous", vote4TRAITS!A:C , 3, FALSE), ),
IF(IFERROR(SEARCH("Reach",L174),0) &gt; 0 , VLOOKUP("Reach", vote4TRAITS!A:C , 3, FALSE), ),
IF(IFERROR(SEARCH("Reanimation",L174),0) &gt; 0 , VLOOKUP("Reanimation", vote4TRAITS!A:C , 3, FALSE), ),
IF(IFERROR(SEARCH("Reaper",L174),0) &gt; 0 , VLOOKUP("Reaper", vote4TRAITS!A:C , 3, FALSE), ),
IF(IFERROR(SEARCH("Riposte",L174),0) &gt; 0 , VLOOKUP("Riposte", vote4TRAITS!A:C , 3, FALSE)),
IF(IFERROR(SEARCH("Scamper",L174),0) &gt; 0 , VLOOKUP("Scamper", vote4TRAITS!A:C , 3, FALSE), ),
IF(IFERROR(SEARCH("Small Beginnings",L174),0) &gt; 0 , VLOOKUP("Small Beginnings", vote4TRAITS!A:C , 3, FALSE), ),
IF(IFERROR(SEARCH("Spawner",L174),0) &gt; 0 , VLOOKUP("Spawner", vote4TRAITS!A:C , 3,FALSE), ),
IF(IFERROR(SEARCH("Shadowr",L174),0) &gt; 0 , VLOOKUP("Shadow", vote4TRAITS!A:C , 3,FALSE), ),
IF(IFERROR(SEARCH("Shadow Step",L174),0) &gt; 0 , VLOOKUP("Shadow Step", vote4TRAITS!A:C , 3,FALSE), ),
IF(IFERROR(SEARCH("Shambling",L174),0) &gt; 0 , VLOOKUP("Shambling", vote4TRAITS!A:C , 3,FALSE), ),
IF(IFERROR(SEARCH("Stealthy",L174),0) &gt; 0 , VLOOKUP("Stealthy", vote4TRAITS!A:C , 3, FALSE), ),
IF(IFERROR(SEARCH("Web",L174),0) &gt; 0 , VLOOKUP("Web", vote4TRAITS!A:C , 3, FALSE), ),
IF(IFERROR(SEARCH("+1 Willpower",L174),0) &gt; 0 , VLOOKUP("+1 Willpower", vote4TRAITS!A:C , 3, FALSE), ),
IF(IFERROR(SEARCH("+1 Might",L174),0) &gt; 0 , VLOOKUP("+1 Might", vote4TRAITS!A:C , 3, FALSE), ),
IF(IFERROR(SEARCH("+1 Knowledge",L174),0) &gt; 0 , VLOOKUP("+1 Knowledge", vote4TRAITS!A:C , 3, FALSE), ),
IF(IFERROR(SEARCH("+1 Awareness",L174),0) &gt; 0 , VLOOKUP("+1 Awareness", vote4TRAITS!A:C , 3, FALSE), ),
IF(IFERROR(SEARCH("-1 Willpower",L174),0) &gt; 0 , VLOOKUP("-1 Willpower", vote4TRAITS!A:C , 3, FALSE), ),
IF(IFERROR(SEARCH("+1 Health",L174),0) &gt; 0 , VLOOKUP("+1 Health", vote4TRAITS!A:C , 3, FALSE), ),
IF(IFERROR(SEARCH("+2 Health",L174),0) &gt; 0 , VLOOKUP("+2 Health", vote4TRAITS!A:C , 3, FALSE), ),
IF(IFERROR(SEARCH("+1 Stamina",L174),0) &gt; 0 , VLOOKUP("+1 Stamina", vote4TRAITS!A:C , 3, FALSE), ),
IF(IFERROR(SEARCH("+2 Stamina",L174),0) &gt; 0 , VLOOKUP("+2 Stamina", vote4TRAITS!A:C , 3, FALSE), ),
IFS(
IFERROR(SEARCH("+1 Range", L174),) &gt; 0 ,VLOOKUP("+1 Range", vote4TRAITS!A:C , 3, FALSE),
IFERROR(SEARCH("+2 Range", L174),) &gt; 0 ,VLOOKUP("+2 Range", vote4TRAITS!A:C , 3, FALSE),
IFERROR(SEARCH("+3 Range", L174),) &gt; 0,VLOOKUP("+3 Range", vote4TRAITS!A:C , 3, FALSE),
0=0,0)
,
IFS(
IFERROR(SEARCH("Sorcery 1", L174),) &gt; 0 ,VLOOKUP("Sorcery 1", vote4TRAITS!A:C , 3, FALSE),
IFERROR(SEARCH("Sorcery 2", L174),) &gt; 0 ,VLOOKUP("Sorcery 2", vote4TRAITS!A:C , 3, FALSE),
IFERROR(SEARCH("Sorcery 3", L174),) &gt; 0,VLOOKUP("Sorcery 3", vote4TRAITS!A:C , 3, FALSE),
0=0,0)
,
IFS(
IFERROR(SEARCH("Pierce 1", L174),) &gt; 0 ,VLOOKUP("Pierce 1", vote4TRAITS!A:C , 3, FALSE),
IFERROR(SEARCH("Pierce 2", L174),) &gt; 0 ,VLOOKUP("Pierce 2", vote4TRAITS!A:C , 3, FALSE),
IFERROR(SEARCH("Pierce 3", L174),) &gt; 0,VLOOKUP("Pierce 3", vote4TRAITS!A:C , 3, FALSE),
IFERROR(SEARCH("Pierce 4", L174),) &gt; 0 ,VLOOKUP("Pierce 4", vote4TRAITS!A:C , 3, FALSE),
0=0,0)
,
IFS(
IFERROR(SEARCH("+1 Health", L174),) &gt; 0 ,VLOOKUP("+1 Health", vote4TRAITS!A:C , 3, FALSE),
IFERROR(SEARCH("+2 Health", L174),) &gt; 0 ,VLOOKUP("+2 Health", vote4TRAITS!A:C , 3, FALSE),
IFERROR(SEARCH("+3 Health", L174),) &gt; 0 ,VLOOKUP("+3 Health", vote4TRAITS!A:C , 3, FALSE),
IFERROR(SEARCH("+4 Health", L174),) &gt; 0 ,VLOOKUP("+4 Health", vote4TRAITS!A:C , 3, FALSE),
0=0,0)
,
IFS(
IFERROR(SEARCH("Soul Shackle 1", L174),) &gt; 0 ,VLOOKUP("Soul Shackle 1", vote4TRAITS!A:C , 3, FALSE),
IFERROR(SEARCH("Soul Shackle 2", L174),) &gt; 0 ,VLOOKUP("Soul Shackle 2", vote4TRAITS!A:C , 3, FALSE),
IFERROR(SEARCH("Soul Shackle 3", L174),) &gt; 0,VLOOKUP("Soul Shackle 3", vote4TRAITS!A:C , 3, FALSE),
0=0,0)
)</f>
        <v>0</v>
      </c>
      <c r="N174" s="330"/>
      <c r="O174" s="317" t="str">
        <f>IF(ISBLANK(N174),,IFERROR(
IF(IFERROR(SEARCH("SS:",N174),0) &gt; 0, 
VLOOKUP(SUBSTITUTE(N174,"SS: ",""),vote4SURGE!$A:$C , 3, FALSE) - 2,
VLOOKUP(SUBSTITUTE(N174,"S: ",""),vote4SURGE!$A:$C , 3, FALSE)
)
,
IF(IFERROR(SEARCH("SS:",N174),0) &gt; 0, 
VLOOKUP(C174,vote4SURGE!$A:$C , 3, FALSE) - 2,
VLOOKUP(C174,vote4SURGE!$A:$C , 3, FALSE)
)
))</f>
        <v/>
      </c>
      <c r="P174" s="318"/>
      <c r="Q174" s="317" t="str">
        <f>IF(ISBLANK(P174),,IFERROR(
IF(IFERROR(SEARCH("SS:",P174),0) &gt; 0, 
VLOOKUP(SUBSTITUTE(P174,"SS: ",""),vote4SURGE!$A:$C , 3, FALSE) - 2,
VLOOKUP(SUBSTITUTE(P174,"S: ",""),vote4SURGE!$A:$C , 3, FALSE)
)
,
IF(IFERROR(SEARCH("SS:",P174),0) &gt; 0, 
VLOOKUP(C174,vote4SURGE!$A:$C , 3, FALSE) - 2,
VLOOKUP(C174,vote4SURGE!$A:$C , 3, FALSE)
)
))</f>
        <v/>
      </c>
      <c r="R174" s="318"/>
      <c r="S174" s="319" t="str">
        <f>IF(ISBLANK(R174),,IFERROR(
IF(IFERROR(SEARCH("SS:",R174),0) &gt; 0, 
VLOOKUP(SUBSTITUTE(R174,"SS: ",""),vote4SURGE!$A:$C , 3, FALSE) - 2,
VLOOKUP(SUBSTITUTE(R174,"S: ",""),vote4SURGE!$A:$C , 3, FALSE)
)
,
IF(IFERROR(SEARCH("SS:",R174),0) &gt; 0, 
VLOOKUP(C174,vote4SURGE!$A:$C , 3, FALSE) - 2,
VLOOKUP(C174,vote4SURGE!$A:$C , 3, FALSE)
)
))</f>
        <v/>
      </c>
      <c r="T174" s="320">
        <f t="shared" si="2"/>
        <v>0</v>
      </c>
      <c r="U174" s="320">
        <f>IFERROR(__xludf.DUMMYFUNCTION("ROUND(
IF(ISBLANK(G174),,
SWITCH(
LEN(G174) - LEN(SUBSTITUTE(G174,"","","""")),
0 , VLOOKUP(G174, Variables!$A:$C, 3, FALSE),
1 , VLOOKUP(index(split(G174 ,"", "", FALSE),1,1), Variables!$A:$C , 3, FALSE) + VLOOKUP(index(split(G174 ,"", "", FALSE),1,2), V"&amp;"ariables!$A:$C , 3, FALSE),
2 , VLOOKUP(index(split(G174 ,"", "", FALSE),1,1), Variables!$A:$C , 3, FALSE) + VLOOKUP(index(split(G174 ,"", "", FALSE),1,2), Variables!$A:$C , 3, FALSE) + VLOOKUP(index(split(G174 ,"", "", FALSE),1,3), Variables!$A:$C , 3, F"&amp;"ALSE),
3 , VLOOKUP(index(split(G174 ,"", "", FALSE),1,1), Variables!$A:$C , 3, FALSE) + VLOOKUP(index(split(G174 ,"", "", FALSE),1,2), Variables!$A:$C , 3, FALSE) + VLOOKUP(index(split(G174 ,"", "", FALSE),1,3), Variables!$A:$C , 3, FALSE) + VLOOKUP(index"&amp;"(split(G174 ,"", "", FALSE),1,4), Variables!$A:$C , 3, FALSE),
)
)
)"),0.0)</f>
        <v>0</v>
      </c>
      <c r="V174" s="317">
        <f t="shared" si="3"/>
        <v>0</v>
      </c>
      <c r="W174" s="321">
        <f t="shared" si="4"/>
        <v>0.6666666667</v>
      </c>
      <c r="X174" s="118"/>
      <c r="Y174" s="118"/>
      <c r="Z174" s="118"/>
      <c r="AA174" s="118"/>
      <c r="AB174" s="118"/>
      <c r="AC174" s="118"/>
      <c r="AD174" s="118"/>
      <c r="AE174" s="118"/>
    </row>
    <row r="175" hidden="1">
      <c r="A175" s="310">
        <v>1.0</v>
      </c>
      <c r="B175" s="93">
        <f t="shared" si="1"/>
        <v>1</v>
      </c>
      <c r="C175" s="310" t="s">
        <v>1683</v>
      </c>
      <c r="D175" s="310">
        <v>75.0</v>
      </c>
      <c r="E175" s="310" t="s">
        <v>1629</v>
      </c>
      <c r="F175" s="310"/>
      <c r="G175" s="313"/>
      <c r="H175" s="312" t="str">
        <f>IFERROR(__xludf.DUMMYFUNCTION(" IF(ISBLANK(G175),,
SWITCH(
LEN(G175) - LEN(SUBSTITUTE(G175,"","","""")),
0 , VLOOKUP(G175, Variables!$A:$B, 2, FALSE),
1 , VLOOKUP(index(split(G175 ,"", "", FALSE),1,1), Variables!$A:$B , 2, FALSE) + VLOOKUP(index(split(G175 ,"", "", FALSE),1,2), Variabl"&amp;"es!$A:$B , 2, FALSE),
2 , VLOOKUP(index(split(G175 ,"", "", FALSE),1,1), Variables!$A:$B , 2, FALSE) + VLOOKUP(index(split(G175 ,"", "", FALSE),1,2), Variables!$A:$B , 2, FALSE) + VLOOKUP(index(split(G175 ,"", "", FALSE),1,3), Variables!$A:$B , 2, FALSE),"&amp;"
3 , VLOOKUP(index(split(G175 ,"", "", FALSE),1,1), Variables!$A:$B , 2, FALSE) + VLOOKUP(index(split(G175 ,"", "", FALSE),1,2), Variables!$A:$B , 2, FALSE) + VLOOKUP(index(split(G175 ,"", "", FALSE),1,3), Variables!$A:$B , 2, FALSE) + VLOOKUP(index(split"&amp;"(G175 ,"", "", FALSE),1,4), Variables!$A:$B , 2, FALSE),
)
)"),"")</f>
        <v/>
      </c>
      <c r="I175" s="310" t="s">
        <v>1635</v>
      </c>
      <c r="J175" s="313"/>
      <c r="K175" s="314" t="str">
        <f>IFERROR(VLOOKUP(C175,vote4ITEMS!$A:$C, 3, FALSE),)</f>
        <v/>
      </c>
      <c r="L175" s="313" t="s">
        <v>1684</v>
      </c>
      <c r="M175" s="314">
        <f>SUM(
IF(IFERROR(SEARCH("Aura 1",L175),0) &gt; 0 , VLOOKUP("Aura 1", vote4TRAITS!A:C , 3, FALSE), ),
IF(IFERROR(SEARCH("Backswing",L175),0) &gt; 0 , VLOOKUP("Backswing", vote4TRAITS!A:C , 3, FALSE), ),
IF(IFERROR(SEARCH("Blast",L175),0) &gt; 0 , VLOOKUP("Blast", vote4TRAITS!A:C , 3, FALSE), ),
IF(IFERROR(SEARCH("Combustible",L175),0) &gt; 0 , VLOOKUP("Combustible", vote4TRAITS!A:C , 3, FALSE), ),
IF(IFERROR(SEARCH("Command",L175),0) &gt; 0 , VLOOKUP("Command", vote4TRAITS!A:C , 3, FALSE), ),
IF(IFERROR(SEARCH("Cowardly",L175),0) &gt; 0 , VLOOKUP("Cowardly", vote4TRAITS!A:C , 3, FALSE), ),
IF(IFERROR(SEARCH("Death Wish",L175),0) &gt; 0 , VLOOKUP("Death Wish", vote4TRAITS!A:C , 3, FALSE), ),
IF(IFERROR(SEARCH("Entomb",L175),0) &gt; 0 , VLOOKUP("Entomb", vote4TRAITS!A:C , 3, FALSE), ),
IF(IFERROR(SEARCH("Ethereal Hold",L175),0) &gt; 0 , VLOOKUP("Ethereal Hold", vote4TRAITS!A:C , 3, FALSE), ),
IF(IFERROR(SEARCH("Extend",L175),0) &gt; 0 , VLOOKUP("Extend", vote4TRAITS!A:C , 3, FALSE), ),
IF(IFERROR(SEARCH("Filthy Murk",L175),0) &gt; 0 , VLOOKUP("Filthy Murk", vote4TRAITS!A:C , 3, FALSE), ),
IF(IFERROR(SEARCH("Flame Fiend",L175),0) &gt; 0 , VLOOKUP("Flame Fiend", vote4TRAITS!A:C , 3, FALSE), ),
IF(IFERROR(SEARCH("Fleshmonger",L175),0) &gt; 0 , VLOOKUP("Fleshmonger", vote4TRAITS!A:C , 3, FALSE), ),
IF(IFERROR(SEARCH("Fly",L175),0) &gt; 0 , VLOOKUP("Fly", vote4TRAITS!A:C , 3, FALSE), ),
IF(IFERROR(SEARCH("Freezing",L175),0) &gt; 0 , VLOOKUP("Freezing", vote4TRAITS!A:C , 3, FALSE), ),
IF(IFERROR(SEARCH("Lithesome",L175),0) &gt; 0 , VLOOKUP("Lithesome", vote4TRAITS!A:C , 3, FALSE), ),
IF(IFERROR(SEARCH("Harrowing",L175),0) &gt; 0 , VLOOKUP("Harrowing", vote4TRAITS!A:C , 3, FALSE), ),
IF(IFERROR(SEARCH("Hideous Laughter",L175),0) &gt; 0 , VLOOKUP("Hideous Laughter", vote4TRAITS!A:C , 3, FALSE), ),
IF(IFERROR(SEARCH("Hive Defense",L175),0) &gt; 0 , VLOOKUP("Hive Defense", vote4TRAITS!A:C , 3, FALSE), ),
IF(IFERROR(SEARCH("Horrifying",L175),0) &gt; 0 , VLOOKUP("Horrifying", vote4TRAITS!A:C , 3, FALSE), ),
IF(IFERROR(SEARCH("Ironskin",L175),0) &gt; 0 , VLOOKUP("Ironskin", vote4TRAITS!A:C , 3, FALSE), ),
IF(IFERROR(SEARCH("Unmovable",L175),0) &gt; 0 , VLOOKUP("Unmovable", vote4TRAITS!A:C , 3, FALSE), ),
IF(IFERROR(SEARCH("Lifethirst 1",L175),0) &gt; 0 , VLOOKUP("Lifethirst 1", vote4TRAITS!A:C , 3, FALSE), ),
IF(IFERROR(SEARCH("Lifethirst 2",L175),0) &gt; 0 , VLOOKUP("Lifethirst 2", vote4TRAITS!A:C , 3, FALSE), ),
IF(IFERROR(SEARCH("Morph",L175),0) &gt; 0 , VLOOKUP("Morph", vote4TRAITS!A:C , 3, FALSE), ),
IF(IFERROR(SEARCH("Night Stalker",L175),0) &gt; 0 , VLOOKUP("Night Stalker", vote4TRAITS!A:C , 3, FALSE), ),
IF(IFERROR(SEARCH("Overflowing",L175),0) &gt; 0 , VLOOKUP("Overflowing", vote4TRAITS!A:C , 3, FALSE), ),
IF(IFERROR(SEARCH("Pestilence",L175),0) &gt; 0 , VLOOKUP("Pestilence", vote4TRAITS!A:C , 3, FALSE), ),
IF(IFERROR(SEARCH("Phalanx",L175),0) &gt; 0 , VLOOKUP("Phalanx", vote4TRAITS!A:C , 3, FALSE), ),
IF(IFERROR(SEARCH("Plagued",L175),0) &gt; 0 , VLOOKUP("Plagued", vote4TRAITS!A:C , 3, FALSE), ),
IF(IFERROR(SEARCH("Prey on the Weak",L175),0) &gt; 0 , VLOOKUP("Prey on the Weak", vote4TRAITS!A:C , 3, FALSE), ),
IF(IFERROR(SEARCH("Protect",L175),0) &gt; 0 , VLOOKUP("Protect", vote4TRAITS!A:C , 3, FALSE), ),
IF(IFERROR(SEARCH("Puncture",L175),0) &gt; 0 , VLOOKUP("Puncture", vote4TRAITS!A:C , 3, FALSE), ),
IF(IFERROR(SEARCH("Putrid Boils",L175),0) &gt; 0 , VLOOKUP("Putrid Boils", vote4TRAITS!A:C , 3, FALSE), ),
IF(IFERROR(SEARCH("Ravage",L175),0) &gt; 0 , VLOOKUP("Ravage", vote4TRAITS!A:C , 3, FALSE), ),
IF(IFERROR(SEARCH("Ravenous",L175),0) &gt; 0 , VLOOKUP("Ravenous", vote4TRAITS!A:C , 3, FALSE), ),
IF(IFERROR(SEARCH("Reach",L175),0) &gt; 0 , VLOOKUP("Reach", vote4TRAITS!A:C , 3, FALSE), ),
IF(IFERROR(SEARCH("Reanimation",L175),0) &gt; 0 , VLOOKUP("Reanimation", vote4TRAITS!A:C , 3, FALSE), ),
IF(IFERROR(SEARCH("Reaper",L175),0) &gt; 0 , VLOOKUP("Reaper", vote4TRAITS!A:C , 3, FALSE), ),
IF(IFERROR(SEARCH("Riposte",L175),0) &gt; 0 , VLOOKUP("Riposte", vote4TRAITS!A:C , 3, FALSE)),
IF(IFERROR(SEARCH("Scamper",L175),0) &gt; 0 , VLOOKUP("Scamper", vote4TRAITS!A:C , 3, FALSE), ),
IF(IFERROR(SEARCH("Small Beginnings",L175),0) &gt; 0 , VLOOKUP("Small Beginnings", vote4TRAITS!A:C , 3, FALSE), ),
IF(IFERROR(SEARCH("Spawner",L175),0) &gt; 0 , VLOOKUP("Spawner", vote4TRAITS!A:C , 3,FALSE), ),
IF(IFERROR(SEARCH("Shadowr",L175),0) &gt; 0 , VLOOKUP("Shadow", vote4TRAITS!A:C , 3,FALSE), ),
IF(IFERROR(SEARCH("Shadow Step",L175),0) &gt; 0 , VLOOKUP("Shadow Step", vote4TRAITS!A:C , 3,FALSE), ),
IF(IFERROR(SEARCH("Shambling",L175),0) &gt; 0 , VLOOKUP("Shambling", vote4TRAITS!A:C , 3,FALSE), ),
IF(IFERROR(SEARCH("Stealthy",L175),0) &gt; 0 , VLOOKUP("Stealthy", vote4TRAITS!A:C , 3, FALSE), ),
IF(IFERROR(SEARCH("Web",L175),0) &gt; 0 , VLOOKUP("Web", vote4TRAITS!A:C , 3, FALSE), ),
IF(IFERROR(SEARCH("+1 Willpower",L175),0) &gt; 0 , VLOOKUP("+1 Willpower", vote4TRAITS!A:C , 3, FALSE), ),
IF(IFERROR(SEARCH("+1 Might",L175),0) &gt; 0 , VLOOKUP("+1 Might", vote4TRAITS!A:C , 3, FALSE), ),
IF(IFERROR(SEARCH("+1 Knowledge",L175),0) &gt; 0 , VLOOKUP("+1 Knowledge", vote4TRAITS!A:C , 3, FALSE), ),
IF(IFERROR(SEARCH("+1 Awareness",L175),0) &gt; 0 , VLOOKUP("+1 Awareness", vote4TRAITS!A:C , 3, FALSE), ),
IF(IFERROR(SEARCH("-1 Willpower",L175),0) &gt; 0 , VLOOKUP("-1 Willpower", vote4TRAITS!A:C , 3, FALSE), ),
IF(IFERROR(SEARCH("+1 Health",L175),0) &gt; 0 , VLOOKUP("+1 Health", vote4TRAITS!A:C , 3, FALSE), ),
IF(IFERROR(SEARCH("+2 Health",L175),0) &gt; 0 , VLOOKUP("+2 Health", vote4TRAITS!A:C , 3, FALSE), ),
IF(IFERROR(SEARCH("+1 Stamina",L175),0) &gt; 0 , VLOOKUP("+1 Stamina", vote4TRAITS!A:C , 3, FALSE), ),
IF(IFERROR(SEARCH("+2 Stamina",L175),0) &gt; 0 , VLOOKUP("+2 Stamina", vote4TRAITS!A:C , 3, FALSE), ),
IFS(
IFERROR(SEARCH("+1 Range", L175),) &gt; 0 ,VLOOKUP("+1 Range", vote4TRAITS!A:C , 3, FALSE),
IFERROR(SEARCH("+2 Range", L175),) &gt; 0 ,VLOOKUP("+2 Range", vote4TRAITS!A:C , 3, FALSE),
IFERROR(SEARCH("+3 Range", L175),) &gt; 0,VLOOKUP("+3 Range", vote4TRAITS!A:C , 3, FALSE),
0=0,0)
,
IFS(
IFERROR(SEARCH("Sorcery 1", L175),) &gt; 0 ,VLOOKUP("Sorcery 1", vote4TRAITS!A:C , 3, FALSE),
IFERROR(SEARCH("Sorcery 2", L175),) &gt; 0 ,VLOOKUP("Sorcery 2", vote4TRAITS!A:C , 3, FALSE),
IFERROR(SEARCH("Sorcery 3", L175),) &gt; 0,VLOOKUP("Sorcery 3", vote4TRAITS!A:C , 3, FALSE),
0=0,0)
,
IFS(
IFERROR(SEARCH("Pierce 1", L175),) &gt; 0 ,VLOOKUP("Pierce 1", vote4TRAITS!A:C , 3, FALSE),
IFERROR(SEARCH("Pierce 2", L175),) &gt; 0 ,VLOOKUP("Pierce 2", vote4TRAITS!A:C , 3, FALSE),
IFERROR(SEARCH("Pierce 3", L175),) &gt; 0,VLOOKUP("Pierce 3", vote4TRAITS!A:C , 3, FALSE),
IFERROR(SEARCH("Pierce 4", L175),) &gt; 0 ,VLOOKUP("Pierce 4", vote4TRAITS!A:C , 3, FALSE),
0=0,0)
,
IFS(
IFERROR(SEARCH("+1 Health", L175),) &gt; 0 ,VLOOKUP("+1 Health", vote4TRAITS!A:C , 3, FALSE),
IFERROR(SEARCH("+2 Health", L175),) &gt; 0 ,VLOOKUP("+2 Health", vote4TRAITS!A:C , 3, FALSE),
IFERROR(SEARCH("+3 Health", L175),) &gt; 0 ,VLOOKUP("+3 Health", vote4TRAITS!A:C , 3, FALSE),
IFERROR(SEARCH("+4 Health", L175),) &gt; 0 ,VLOOKUP("+4 Health", vote4TRAITS!A:C , 3, FALSE),
0=0,0)
,
IFS(
IFERROR(SEARCH("Soul Shackle 1", L175),) &gt; 0 ,VLOOKUP("Soul Shackle 1", vote4TRAITS!A:C , 3, FALSE),
IFERROR(SEARCH("Soul Shackle 2", L175),) &gt; 0 ,VLOOKUP("Soul Shackle 2", vote4TRAITS!A:C , 3, FALSE),
IFERROR(SEARCH("Soul Shackle 3", L175),) &gt; 0,VLOOKUP("Soul Shackle 3", vote4TRAITS!A:C , 3, FALSE),
0=0,0)
)</f>
        <v>1</v>
      </c>
      <c r="N175" s="313"/>
      <c r="O175" s="317" t="str">
        <f>IF(ISBLANK(N175),,IFERROR(
IF(IFERROR(SEARCH("SS:",N175),0) &gt; 0, 
VLOOKUP(SUBSTITUTE(N175,"SS: ",""),vote4SURGE!$A:$C , 3, FALSE) - 2,
VLOOKUP(SUBSTITUTE(N175,"S: ",""),vote4SURGE!$A:$C , 3, FALSE)
)
,
IF(IFERROR(SEARCH("SS:",N175),0) &gt; 0, 
VLOOKUP(C175,vote4SURGE!$A:$C , 3, FALSE) - 2,
VLOOKUP(C175,vote4SURGE!$A:$C , 3, FALSE)
)
))</f>
        <v/>
      </c>
      <c r="P175" s="318"/>
      <c r="Q175" s="317" t="str">
        <f>IF(ISBLANK(P175),,IFERROR(
IF(IFERROR(SEARCH("SS:",P175),0) &gt; 0, 
VLOOKUP(SUBSTITUTE(P175,"SS: ",""),vote4SURGE!$A:$C , 3, FALSE) - 2,
VLOOKUP(SUBSTITUTE(P175,"S: ",""),vote4SURGE!$A:$C , 3, FALSE)
)
,
IF(IFERROR(SEARCH("SS:",P175),0) &gt; 0, 
VLOOKUP(C175,vote4SURGE!$A:$C , 3, FALSE) - 2,
VLOOKUP(C175,vote4SURGE!$A:$C , 3, FALSE)
)
))</f>
        <v/>
      </c>
      <c r="R175" s="318"/>
      <c r="S175" s="319" t="str">
        <f>IF(ISBLANK(R175),,IFERROR(
IF(IFERROR(SEARCH("SS:",R175),0) &gt; 0, 
VLOOKUP(SUBSTITUTE(R175,"SS: ",""),vote4SURGE!$A:$C , 3, FALSE) - 2,
VLOOKUP(SUBSTITUTE(R175,"S: ",""),vote4SURGE!$A:$C , 3, FALSE)
)
,
IF(IFERROR(SEARCH("SS:",R175),0) &gt; 0, 
VLOOKUP(C175,vote4SURGE!$A:$C , 3, FALSE) - 2,
VLOOKUP(C175,vote4SURGE!$A:$C , 3, FALSE)
)
))</f>
        <v/>
      </c>
      <c r="T175" s="320">
        <f t="shared" si="2"/>
        <v>0</v>
      </c>
      <c r="U175" s="320">
        <f>IFERROR(__xludf.DUMMYFUNCTION("ROUND(
IF(ISBLANK(G175),,
SWITCH(
LEN(G175) - LEN(SUBSTITUTE(G175,"","","""")),
0 , VLOOKUP(G175, Variables!$A:$C, 3, FALSE),
1 , VLOOKUP(index(split(G175 ,"", "", FALSE),1,1), Variables!$A:$C , 3, FALSE) + VLOOKUP(index(split(G175 ,"", "", FALSE),1,2), V"&amp;"ariables!$A:$C , 3, FALSE),
2 , VLOOKUP(index(split(G175 ,"", "", FALSE),1,1), Variables!$A:$C , 3, FALSE) + VLOOKUP(index(split(G175 ,"", "", FALSE),1,2), Variables!$A:$C , 3, FALSE) + VLOOKUP(index(split(G175 ,"", "", FALSE),1,3), Variables!$A:$C , 3, F"&amp;"ALSE),
3 , VLOOKUP(index(split(G175 ,"", "", FALSE),1,1), Variables!$A:$C , 3, FALSE) + VLOOKUP(index(split(G175 ,"", "", FALSE),1,2), Variables!$A:$C , 3, FALSE) + VLOOKUP(index(split(G175 ,"", "", FALSE),1,3), Variables!$A:$C , 3, FALSE) + VLOOKUP(index"&amp;"(split(G175 ,"", "", FALSE),1,4), Variables!$A:$C , 3, FALSE),
)
)
)"),0.0)</f>
        <v>0</v>
      </c>
      <c r="V175" s="317">
        <f t="shared" si="3"/>
        <v>0</v>
      </c>
      <c r="W175" s="321">
        <f t="shared" si="4"/>
        <v>1</v>
      </c>
      <c r="X175" s="118"/>
      <c r="Y175" s="118"/>
      <c r="Z175" s="118"/>
      <c r="AA175" s="118"/>
      <c r="AB175" s="118"/>
      <c r="AC175" s="118"/>
      <c r="AD175" s="118"/>
      <c r="AE175" s="118"/>
    </row>
    <row r="176" hidden="1">
      <c r="A176" s="310">
        <v>1.0</v>
      </c>
      <c r="B176" s="93">
        <f t="shared" si="1"/>
        <v>1</v>
      </c>
      <c r="C176" s="310" t="s">
        <v>687</v>
      </c>
      <c r="D176" s="310">
        <v>100.0</v>
      </c>
      <c r="E176" s="310" t="s">
        <v>1629</v>
      </c>
      <c r="F176" s="310"/>
      <c r="G176" s="313"/>
      <c r="H176" s="312" t="str">
        <f>IFERROR(__xludf.DUMMYFUNCTION(" IF(ISBLANK(G176),,
SWITCH(
LEN(G176) - LEN(SUBSTITUTE(G176,"","","""")),
0 , VLOOKUP(G176, Variables!$A:$B, 2, FALSE),
1 , VLOOKUP(index(split(G176 ,"", "", FALSE),1,1), Variables!$A:$B , 2, FALSE) + VLOOKUP(index(split(G176 ,"", "", FALSE),1,2), Variabl"&amp;"es!$A:$B , 2, FALSE),
2 , VLOOKUP(index(split(G176 ,"", "", FALSE),1,1), Variables!$A:$B , 2, FALSE) + VLOOKUP(index(split(G176 ,"", "", FALSE),1,2), Variables!$A:$B , 2, FALSE) + VLOOKUP(index(split(G176 ,"", "", FALSE),1,3), Variables!$A:$B , 2, FALSE),"&amp;"
3 , VLOOKUP(index(split(G176 ,"", "", FALSE),1,1), Variables!$A:$B , 2, FALSE) + VLOOKUP(index(split(G176 ,"", "", FALSE),1,2), Variables!$A:$B , 2, FALSE) + VLOOKUP(index(split(G176 ,"", "", FALSE),1,3), Variables!$A:$B , 2, FALSE) + VLOOKUP(index(split"&amp;"(G176 ,"", "", FALSE),1,4), Variables!$A:$B , 2, FALSE),
)
)"),"")</f>
        <v/>
      </c>
      <c r="I176" s="310" t="s">
        <v>1659</v>
      </c>
      <c r="J176" s="313" t="s">
        <v>688</v>
      </c>
      <c r="K176" s="314">
        <f>IFERROR(VLOOKUP(C176,vote4ITEMS!$A:$C, 3, FALSE),)</f>
        <v>0.3333333333</v>
      </c>
      <c r="L176" s="313"/>
      <c r="M176" s="314">
        <f>SUM(
IF(IFERROR(SEARCH("Aura 1",L176),0) &gt; 0 , VLOOKUP("Aura 1", vote4TRAITS!A:C , 3, FALSE), ),
IF(IFERROR(SEARCH("Backswing",L176),0) &gt; 0 , VLOOKUP("Backswing", vote4TRAITS!A:C , 3, FALSE), ),
IF(IFERROR(SEARCH("Blast",L176),0) &gt; 0 , VLOOKUP("Blast", vote4TRAITS!A:C , 3, FALSE), ),
IF(IFERROR(SEARCH("Combustible",L176),0) &gt; 0 , VLOOKUP("Combustible", vote4TRAITS!A:C , 3, FALSE), ),
IF(IFERROR(SEARCH("Command",L176),0) &gt; 0 , VLOOKUP("Command", vote4TRAITS!A:C , 3, FALSE), ),
IF(IFERROR(SEARCH("Cowardly",L176),0) &gt; 0 , VLOOKUP("Cowardly", vote4TRAITS!A:C , 3, FALSE), ),
IF(IFERROR(SEARCH("Death Wish",L176),0) &gt; 0 , VLOOKUP("Death Wish", vote4TRAITS!A:C , 3, FALSE), ),
IF(IFERROR(SEARCH("Entomb",L176),0) &gt; 0 , VLOOKUP("Entomb", vote4TRAITS!A:C , 3, FALSE), ),
IF(IFERROR(SEARCH("Ethereal Hold",L176),0) &gt; 0 , VLOOKUP("Ethereal Hold", vote4TRAITS!A:C , 3, FALSE), ),
IF(IFERROR(SEARCH("Extend",L176),0) &gt; 0 , VLOOKUP("Extend", vote4TRAITS!A:C , 3, FALSE), ),
IF(IFERROR(SEARCH("Filthy Murk",L176),0) &gt; 0 , VLOOKUP("Filthy Murk", vote4TRAITS!A:C , 3, FALSE), ),
IF(IFERROR(SEARCH("Flame Fiend",L176),0) &gt; 0 , VLOOKUP("Flame Fiend", vote4TRAITS!A:C , 3, FALSE), ),
IF(IFERROR(SEARCH("Fleshmonger",L176),0) &gt; 0 , VLOOKUP("Fleshmonger", vote4TRAITS!A:C , 3, FALSE), ),
IF(IFERROR(SEARCH("Fly",L176),0) &gt; 0 , VLOOKUP("Fly", vote4TRAITS!A:C , 3, FALSE), ),
IF(IFERROR(SEARCH("Freezing",L176),0) &gt; 0 , VLOOKUP("Freezing", vote4TRAITS!A:C , 3, FALSE), ),
IF(IFERROR(SEARCH("Lithesome",L176),0) &gt; 0 , VLOOKUP("Lithesome", vote4TRAITS!A:C , 3, FALSE), ),
IF(IFERROR(SEARCH("Harrowing",L176),0) &gt; 0 , VLOOKUP("Harrowing", vote4TRAITS!A:C , 3, FALSE), ),
IF(IFERROR(SEARCH("Hideous Laughter",L176),0) &gt; 0 , VLOOKUP("Hideous Laughter", vote4TRAITS!A:C , 3, FALSE), ),
IF(IFERROR(SEARCH("Hive Defense",L176),0) &gt; 0 , VLOOKUP("Hive Defense", vote4TRAITS!A:C , 3, FALSE), ),
IF(IFERROR(SEARCH("Horrifying",L176),0) &gt; 0 , VLOOKUP("Horrifying", vote4TRAITS!A:C , 3, FALSE), ),
IF(IFERROR(SEARCH("Ironskin",L176),0) &gt; 0 , VLOOKUP("Ironskin", vote4TRAITS!A:C , 3, FALSE), ),
IF(IFERROR(SEARCH("Unmovable",L176),0) &gt; 0 , VLOOKUP("Unmovable", vote4TRAITS!A:C , 3, FALSE), ),
IF(IFERROR(SEARCH("Lifethirst 1",L176),0) &gt; 0 , VLOOKUP("Lifethirst 1", vote4TRAITS!A:C , 3, FALSE), ),
IF(IFERROR(SEARCH("Lifethirst 2",L176),0) &gt; 0 , VLOOKUP("Lifethirst 2", vote4TRAITS!A:C , 3, FALSE), ),
IF(IFERROR(SEARCH("Morph",L176),0) &gt; 0 , VLOOKUP("Morph", vote4TRAITS!A:C , 3, FALSE), ),
IF(IFERROR(SEARCH("Night Stalker",L176),0) &gt; 0 , VLOOKUP("Night Stalker", vote4TRAITS!A:C , 3, FALSE), ),
IF(IFERROR(SEARCH("Overflowing",L176),0) &gt; 0 , VLOOKUP("Overflowing", vote4TRAITS!A:C , 3, FALSE), ),
IF(IFERROR(SEARCH("Pestilence",L176),0) &gt; 0 , VLOOKUP("Pestilence", vote4TRAITS!A:C , 3, FALSE), ),
IF(IFERROR(SEARCH("Phalanx",L176),0) &gt; 0 , VLOOKUP("Phalanx", vote4TRAITS!A:C , 3, FALSE), ),
IF(IFERROR(SEARCH("Plagued",L176),0) &gt; 0 , VLOOKUP("Plagued", vote4TRAITS!A:C , 3, FALSE), ),
IF(IFERROR(SEARCH("Prey on the Weak",L176),0) &gt; 0 , VLOOKUP("Prey on the Weak", vote4TRAITS!A:C , 3, FALSE), ),
IF(IFERROR(SEARCH("Protect",L176),0) &gt; 0 , VLOOKUP("Protect", vote4TRAITS!A:C , 3, FALSE), ),
IF(IFERROR(SEARCH("Puncture",L176),0) &gt; 0 , VLOOKUP("Puncture", vote4TRAITS!A:C , 3, FALSE), ),
IF(IFERROR(SEARCH("Putrid Boils",L176),0) &gt; 0 , VLOOKUP("Putrid Boils", vote4TRAITS!A:C , 3, FALSE), ),
IF(IFERROR(SEARCH("Ravage",L176),0) &gt; 0 , VLOOKUP("Ravage", vote4TRAITS!A:C , 3, FALSE), ),
IF(IFERROR(SEARCH("Ravenous",L176),0) &gt; 0 , VLOOKUP("Ravenous", vote4TRAITS!A:C , 3, FALSE), ),
IF(IFERROR(SEARCH("Reach",L176),0) &gt; 0 , VLOOKUP("Reach", vote4TRAITS!A:C , 3, FALSE), ),
IF(IFERROR(SEARCH("Reanimation",L176),0) &gt; 0 , VLOOKUP("Reanimation", vote4TRAITS!A:C , 3, FALSE), ),
IF(IFERROR(SEARCH("Reaper",L176),0) &gt; 0 , VLOOKUP("Reaper", vote4TRAITS!A:C , 3, FALSE), ),
IF(IFERROR(SEARCH("Riposte",L176),0) &gt; 0 , VLOOKUP("Riposte", vote4TRAITS!A:C , 3, FALSE)),
IF(IFERROR(SEARCH("Scamper",L176),0) &gt; 0 , VLOOKUP("Scamper", vote4TRAITS!A:C , 3, FALSE), ),
IF(IFERROR(SEARCH("Small Beginnings",L176),0) &gt; 0 , VLOOKUP("Small Beginnings", vote4TRAITS!A:C , 3, FALSE), ),
IF(IFERROR(SEARCH("Spawner",L176),0) &gt; 0 , VLOOKUP("Spawner", vote4TRAITS!A:C , 3,FALSE), ),
IF(IFERROR(SEARCH("Shadowr",L176),0) &gt; 0 , VLOOKUP("Shadow", vote4TRAITS!A:C , 3,FALSE), ),
IF(IFERROR(SEARCH("Shadow Step",L176),0) &gt; 0 , VLOOKUP("Shadow Step", vote4TRAITS!A:C , 3,FALSE), ),
IF(IFERROR(SEARCH("Shambling",L176),0) &gt; 0 , VLOOKUP("Shambling", vote4TRAITS!A:C , 3,FALSE), ),
IF(IFERROR(SEARCH("Stealthy",L176),0) &gt; 0 , VLOOKUP("Stealthy", vote4TRAITS!A:C , 3, FALSE), ),
IF(IFERROR(SEARCH("Web",L176),0) &gt; 0 , VLOOKUP("Web", vote4TRAITS!A:C , 3, FALSE), ),
IF(IFERROR(SEARCH("+1 Willpower",L176),0) &gt; 0 , VLOOKUP("+1 Willpower", vote4TRAITS!A:C , 3, FALSE), ),
IF(IFERROR(SEARCH("+1 Might",L176),0) &gt; 0 , VLOOKUP("+1 Might", vote4TRAITS!A:C , 3, FALSE), ),
IF(IFERROR(SEARCH("+1 Knowledge",L176),0) &gt; 0 , VLOOKUP("+1 Knowledge", vote4TRAITS!A:C , 3, FALSE), ),
IF(IFERROR(SEARCH("+1 Awareness",L176),0) &gt; 0 , VLOOKUP("+1 Awareness", vote4TRAITS!A:C , 3, FALSE), ),
IF(IFERROR(SEARCH("-1 Willpower",L176),0) &gt; 0 , VLOOKUP("-1 Willpower", vote4TRAITS!A:C , 3, FALSE), ),
IF(IFERROR(SEARCH("+1 Health",L176),0) &gt; 0 , VLOOKUP("+1 Health", vote4TRAITS!A:C , 3, FALSE), ),
IF(IFERROR(SEARCH("+2 Health",L176),0) &gt; 0 , VLOOKUP("+2 Health", vote4TRAITS!A:C , 3, FALSE), ),
IF(IFERROR(SEARCH("+1 Stamina",L176),0) &gt; 0 , VLOOKUP("+1 Stamina", vote4TRAITS!A:C , 3, FALSE), ),
IF(IFERROR(SEARCH("+2 Stamina",L176),0) &gt; 0 , VLOOKUP("+2 Stamina", vote4TRAITS!A:C , 3, FALSE), ),
IFS(
IFERROR(SEARCH("+1 Range", L176),) &gt; 0 ,VLOOKUP("+1 Range", vote4TRAITS!A:C , 3, FALSE),
IFERROR(SEARCH("+2 Range", L176),) &gt; 0 ,VLOOKUP("+2 Range", vote4TRAITS!A:C , 3, FALSE),
IFERROR(SEARCH("+3 Range", L176),) &gt; 0,VLOOKUP("+3 Range", vote4TRAITS!A:C , 3, FALSE),
0=0,0)
,
IFS(
IFERROR(SEARCH("Sorcery 1", L176),) &gt; 0 ,VLOOKUP("Sorcery 1", vote4TRAITS!A:C , 3, FALSE),
IFERROR(SEARCH("Sorcery 2", L176),) &gt; 0 ,VLOOKUP("Sorcery 2", vote4TRAITS!A:C , 3, FALSE),
IFERROR(SEARCH("Sorcery 3", L176),) &gt; 0,VLOOKUP("Sorcery 3", vote4TRAITS!A:C , 3, FALSE),
0=0,0)
,
IFS(
IFERROR(SEARCH("Pierce 1", L176),) &gt; 0 ,VLOOKUP("Pierce 1", vote4TRAITS!A:C , 3, FALSE),
IFERROR(SEARCH("Pierce 2", L176),) &gt; 0 ,VLOOKUP("Pierce 2", vote4TRAITS!A:C , 3, FALSE),
IFERROR(SEARCH("Pierce 3", L176),) &gt; 0,VLOOKUP("Pierce 3", vote4TRAITS!A:C , 3, FALSE),
IFERROR(SEARCH("Pierce 4", L176),) &gt; 0 ,VLOOKUP("Pierce 4", vote4TRAITS!A:C , 3, FALSE),
0=0,0)
,
IFS(
IFERROR(SEARCH("+1 Health", L176),) &gt; 0 ,VLOOKUP("+1 Health", vote4TRAITS!A:C , 3, FALSE),
IFERROR(SEARCH("+2 Health", L176),) &gt; 0 ,VLOOKUP("+2 Health", vote4TRAITS!A:C , 3, FALSE),
IFERROR(SEARCH("+3 Health", L176),) &gt; 0 ,VLOOKUP("+3 Health", vote4TRAITS!A:C , 3, FALSE),
IFERROR(SEARCH("+4 Health", L176),) &gt; 0 ,VLOOKUP("+4 Health", vote4TRAITS!A:C , 3, FALSE),
0=0,0)
,
IFS(
IFERROR(SEARCH("Soul Shackle 1", L176),) &gt; 0 ,VLOOKUP("Soul Shackle 1", vote4TRAITS!A:C , 3, FALSE),
IFERROR(SEARCH("Soul Shackle 2", L176),) &gt; 0 ,VLOOKUP("Soul Shackle 2", vote4TRAITS!A:C , 3, FALSE),
IFERROR(SEARCH("Soul Shackle 3", L176),) &gt; 0,VLOOKUP("Soul Shackle 3", vote4TRAITS!A:C , 3, FALSE),
0=0,0)
)</f>
        <v>0</v>
      </c>
      <c r="N176" s="313"/>
      <c r="O176" s="317" t="str">
        <f>IF(ISBLANK(N176),,IFERROR(
IF(IFERROR(SEARCH("SS:",N176),0) &gt; 0, 
VLOOKUP(SUBSTITUTE(N176,"SS: ",""),vote4SURGE!$A:$C , 3, FALSE) - 2,
VLOOKUP(SUBSTITUTE(N176,"S: ",""),vote4SURGE!$A:$C , 3, FALSE)
)
,
IF(IFERROR(SEARCH("SS:",N176),0) &gt; 0, 
VLOOKUP(C176,vote4SURGE!$A:$C , 3, FALSE) - 2,
VLOOKUP(C176,vote4SURGE!$A:$C , 3, FALSE)
)
))</f>
        <v/>
      </c>
      <c r="P176" s="318"/>
      <c r="Q176" s="317" t="str">
        <f>IF(ISBLANK(P176),,IFERROR(
IF(IFERROR(SEARCH("SS:",P176),0) &gt; 0, 
VLOOKUP(SUBSTITUTE(P176,"SS: ",""),vote4SURGE!$A:$C , 3, FALSE) - 2,
VLOOKUP(SUBSTITUTE(P176,"S: ",""),vote4SURGE!$A:$C , 3, FALSE)
)
,
IF(IFERROR(SEARCH("SS:",P176),0) &gt; 0, 
VLOOKUP(C176,vote4SURGE!$A:$C , 3, FALSE) - 2,
VLOOKUP(C176,vote4SURGE!$A:$C , 3, FALSE)
)
))</f>
        <v/>
      </c>
      <c r="R176" s="318"/>
      <c r="S176" s="319" t="str">
        <f>IF(ISBLANK(R176),,IFERROR(
IF(IFERROR(SEARCH("SS:",R176),0) &gt; 0, 
VLOOKUP(SUBSTITUTE(R176,"SS: ",""),vote4SURGE!$A:$C , 3, FALSE) - 2,
VLOOKUP(SUBSTITUTE(R176,"S: ",""),vote4SURGE!$A:$C , 3, FALSE)
)
,
IF(IFERROR(SEARCH("SS:",R176),0) &gt; 0, 
VLOOKUP(C176,vote4SURGE!$A:$C , 3, FALSE) - 2,
VLOOKUP(C176,vote4SURGE!$A:$C , 3, FALSE)
)
))</f>
        <v/>
      </c>
      <c r="T176" s="320">
        <f t="shared" si="2"/>
        <v>0</v>
      </c>
      <c r="U176" s="320">
        <f>IFERROR(__xludf.DUMMYFUNCTION("ROUND(
IF(ISBLANK(G176),,
SWITCH(
LEN(G176) - LEN(SUBSTITUTE(G176,"","","""")),
0 , VLOOKUP(G176, Variables!$A:$C, 3, FALSE),
1 , VLOOKUP(index(split(G176 ,"", "", FALSE),1,1), Variables!$A:$C , 3, FALSE) + VLOOKUP(index(split(G176 ,"", "", FALSE),1,2), V"&amp;"ariables!$A:$C , 3, FALSE),
2 , VLOOKUP(index(split(G176 ,"", "", FALSE),1,1), Variables!$A:$C , 3, FALSE) + VLOOKUP(index(split(G176 ,"", "", FALSE),1,2), Variables!$A:$C , 3, FALSE) + VLOOKUP(index(split(G176 ,"", "", FALSE),1,3), Variables!$A:$C , 3, F"&amp;"ALSE),
3 , VLOOKUP(index(split(G176 ,"", "", FALSE),1,1), Variables!$A:$C , 3, FALSE) + VLOOKUP(index(split(G176 ,"", "", FALSE),1,2), Variables!$A:$C , 3, FALSE) + VLOOKUP(index(split(G176 ,"", "", FALSE),1,3), Variables!$A:$C , 3, FALSE) + VLOOKUP(index"&amp;"(split(G176 ,"", "", FALSE),1,4), Variables!$A:$C , 3, FALSE),
)
)
)"),0.0)</f>
        <v>0</v>
      </c>
      <c r="V176" s="317">
        <f t="shared" si="3"/>
        <v>0</v>
      </c>
      <c r="W176" s="321">
        <f t="shared" si="4"/>
        <v>0.3333333333</v>
      </c>
      <c r="X176" s="118"/>
      <c r="Y176" s="118"/>
      <c r="Z176" s="118"/>
      <c r="AA176" s="118"/>
      <c r="AB176" s="118"/>
      <c r="AC176" s="118"/>
      <c r="AD176" s="118"/>
      <c r="AE176" s="118"/>
    </row>
    <row r="177" hidden="1">
      <c r="A177" s="310">
        <v>1.0</v>
      </c>
      <c r="B177" s="93" t="str">
        <f t="shared" si="1"/>
        <v/>
      </c>
      <c r="C177" s="310" t="s">
        <v>846</v>
      </c>
      <c r="D177" s="323">
        <v>0.0</v>
      </c>
      <c r="E177" s="310" t="s">
        <v>1629</v>
      </c>
      <c r="F177" s="310"/>
      <c r="G177" s="313"/>
      <c r="H177" s="312" t="str">
        <f>IFERROR(__xludf.DUMMYFUNCTION(" IF(ISBLANK(G177),,
SWITCH(
LEN(G177) - LEN(SUBSTITUTE(G177,"","","""")),
0 , VLOOKUP(G177, Variables!$A:$B, 2, FALSE),
1 , VLOOKUP(index(split(G177 ,"", "", FALSE),1,1), Variables!$A:$B , 2, FALSE) + VLOOKUP(index(split(G177 ,"", "", FALSE),1,2), Variabl"&amp;"es!$A:$B , 2, FALSE),
2 , VLOOKUP(index(split(G177 ,"", "", FALSE),1,1), Variables!$A:$B , 2, FALSE) + VLOOKUP(index(split(G177 ,"", "", FALSE),1,2), Variables!$A:$B , 2, FALSE) + VLOOKUP(index(split(G177 ,"", "", FALSE),1,3), Variables!$A:$B , 2, FALSE),"&amp;"
3 , VLOOKUP(index(split(G177 ,"", "", FALSE),1,1), Variables!$A:$B , 2, FALSE) + VLOOKUP(index(split(G177 ,"", "", FALSE),1,2), Variables!$A:$B , 2, FALSE) + VLOOKUP(index(split(G177 ,"", "", FALSE),1,3), Variables!$A:$B , 2, FALSE) + VLOOKUP(index(split"&amp;"(G177 ,"", "", FALSE),1,4), Variables!$A:$B , 2, FALSE),
)
)"),"")</f>
        <v/>
      </c>
      <c r="I177" s="310" t="s">
        <v>1641</v>
      </c>
      <c r="J177" s="313" t="s">
        <v>847</v>
      </c>
      <c r="K177" s="314">
        <f>IFERROR(VLOOKUP(C177,vote4ITEMS!$A:$C, 3, FALSE),)</f>
        <v>0.3333333333</v>
      </c>
      <c r="L177" s="313"/>
      <c r="M177" s="314">
        <f>SUM(
IF(IFERROR(SEARCH("Aura 1",L177),0) &gt; 0 , VLOOKUP("Aura 1", vote4TRAITS!A:C , 3, FALSE), ),
IF(IFERROR(SEARCH("Backswing",L177),0) &gt; 0 , VLOOKUP("Backswing", vote4TRAITS!A:C , 3, FALSE), ),
IF(IFERROR(SEARCH("Blast",L177),0) &gt; 0 , VLOOKUP("Blast", vote4TRAITS!A:C , 3, FALSE), ),
IF(IFERROR(SEARCH("Combustible",L177),0) &gt; 0 , VLOOKUP("Combustible", vote4TRAITS!A:C , 3, FALSE), ),
IF(IFERROR(SEARCH("Command",L177),0) &gt; 0 , VLOOKUP("Command", vote4TRAITS!A:C , 3, FALSE), ),
IF(IFERROR(SEARCH("Cowardly",L177),0) &gt; 0 , VLOOKUP("Cowardly", vote4TRAITS!A:C , 3, FALSE), ),
IF(IFERROR(SEARCH("Death Wish",L177),0) &gt; 0 , VLOOKUP("Death Wish", vote4TRAITS!A:C , 3, FALSE), ),
IF(IFERROR(SEARCH("Entomb",L177),0) &gt; 0 , VLOOKUP("Entomb", vote4TRAITS!A:C , 3, FALSE), ),
IF(IFERROR(SEARCH("Ethereal Hold",L177),0) &gt; 0 , VLOOKUP("Ethereal Hold", vote4TRAITS!A:C , 3, FALSE), ),
IF(IFERROR(SEARCH("Extend",L177),0) &gt; 0 , VLOOKUP("Extend", vote4TRAITS!A:C , 3, FALSE), ),
IF(IFERROR(SEARCH("Filthy Murk",L177),0) &gt; 0 , VLOOKUP("Filthy Murk", vote4TRAITS!A:C , 3, FALSE), ),
IF(IFERROR(SEARCH("Flame Fiend",L177),0) &gt; 0 , VLOOKUP("Flame Fiend", vote4TRAITS!A:C , 3, FALSE), ),
IF(IFERROR(SEARCH("Fleshmonger",L177),0) &gt; 0 , VLOOKUP("Fleshmonger", vote4TRAITS!A:C , 3, FALSE), ),
IF(IFERROR(SEARCH("Fly",L177),0) &gt; 0 , VLOOKUP("Fly", vote4TRAITS!A:C , 3, FALSE), ),
IF(IFERROR(SEARCH("Freezing",L177),0) &gt; 0 , VLOOKUP("Freezing", vote4TRAITS!A:C , 3, FALSE), ),
IF(IFERROR(SEARCH("Lithesome",L177),0) &gt; 0 , VLOOKUP("Lithesome", vote4TRAITS!A:C , 3, FALSE), ),
IF(IFERROR(SEARCH("Harrowing",L177),0) &gt; 0 , VLOOKUP("Harrowing", vote4TRAITS!A:C , 3, FALSE), ),
IF(IFERROR(SEARCH("Hideous Laughter",L177),0) &gt; 0 , VLOOKUP("Hideous Laughter", vote4TRAITS!A:C , 3, FALSE), ),
IF(IFERROR(SEARCH("Hive Defense",L177),0) &gt; 0 , VLOOKUP("Hive Defense", vote4TRAITS!A:C , 3, FALSE), ),
IF(IFERROR(SEARCH("Horrifying",L177),0) &gt; 0 , VLOOKUP("Horrifying", vote4TRAITS!A:C , 3, FALSE), ),
IF(IFERROR(SEARCH("Ironskin",L177),0) &gt; 0 , VLOOKUP("Ironskin", vote4TRAITS!A:C , 3, FALSE), ),
IF(IFERROR(SEARCH("Unmovable",L177),0) &gt; 0 , VLOOKUP("Unmovable", vote4TRAITS!A:C , 3, FALSE), ),
IF(IFERROR(SEARCH("Lifethirst 1",L177),0) &gt; 0 , VLOOKUP("Lifethirst 1", vote4TRAITS!A:C , 3, FALSE), ),
IF(IFERROR(SEARCH("Lifethirst 2",L177),0) &gt; 0 , VLOOKUP("Lifethirst 2", vote4TRAITS!A:C , 3, FALSE), ),
IF(IFERROR(SEARCH("Morph",L177),0) &gt; 0 , VLOOKUP("Morph", vote4TRAITS!A:C , 3, FALSE), ),
IF(IFERROR(SEARCH("Night Stalker",L177),0) &gt; 0 , VLOOKUP("Night Stalker", vote4TRAITS!A:C , 3, FALSE), ),
IF(IFERROR(SEARCH("Overflowing",L177),0) &gt; 0 , VLOOKUP("Overflowing", vote4TRAITS!A:C , 3, FALSE), ),
IF(IFERROR(SEARCH("Pestilence",L177),0) &gt; 0 , VLOOKUP("Pestilence", vote4TRAITS!A:C , 3, FALSE), ),
IF(IFERROR(SEARCH("Phalanx",L177),0) &gt; 0 , VLOOKUP("Phalanx", vote4TRAITS!A:C , 3, FALSE), ),
IF(IFERROR(SEARCH("Plagued",L177),0) &gt; 0 , VLOOKUP("Plagued", vote4TRAITS!A:C , 3, FALSE), ),
IF(IFERROR(SEARCH("Prey on the Weak",L177),0) &gt; 0 , VLOOKUP("Prey on the Weak", vote4TRAITS!A:C , 3, FALSE), ),
IF(IFERROR(SEARCH("Protect",L177),0) &gt; 0 , VLOOKUP("Protect", vote4TRAITS!A:C , 3, FALSE), ),
IF(IFERROR(SEARCH("Puncture",L177),0) &gt; 0 , VLOOKUP("Puncture", vote4TRAITS!A:C , 3, FALSE), ),
IF(IFERROR(SEARCH("Putrid Boils",L177),0) &gt; 0 , VLOOKUP("Putrid Boils", vote4TRAITS!A:C , 3, FALSE), ),
IF(IFERROR(SEARCH("Ravage",L177),0) &gt; 0 , VLOOKUP("Ravage", vote4TRAITS!A:C , 3, FALSE), ),
IF(IFERROR(SEARCH("Ravenous",L177),0) &gt; 0 , VLOOKUP("Ravenous", vote4TRAITS!A:C , 3, FALSE), ),
IF(IFERROR(SEARCH("Reach",L177),0) &gt; 0 , VLOOKUP("Reach", vote4TRAITS!A:C , 3, FALSE), ),
IF(IFERROR(SEARCH("Reanimation",L177),0) &gt; 0 , VLOOKUP("Reanimation", vote4TRAITS!A:C , 3, FALSE), ),
IF(IFERROR(SEARCH("Reaper",L177),0) &gt; 0 , VLOOKUP("Reaper", vote4TRAITS!A:C , 3, FALSE), ),
IF(IFERROR(SEARCH("Riposte",L177),0) &gt; 0 , VLOOKUP("Riposte", vote4TRAITS!A:C , 3, FALSE)),
IF(IFERROR(SEARCH("Scamper",L177),0) &gt; 0 , VLOOKUP("Scamper", vote4TRAITS!A:C , 3, FALSE), ),
IF(IFERROR(SEARCH("Small Beginnings",L177),0) &gt; 0 , VLOOKUP("Small Beginnings", vote4TRAITS!A:C , 3, FALSE), ),
IF(IFERROR(SEARCH("Spawner",L177),0) &gt; 0 , VLOOKUP("Spawner", vote4TRAITS!A:C , 3,FALSE), ),
IF(IFERROR(SEARCH("Shadowr",L177),0) &gt; 0 , VLOOKUP("Shadow", vote4TRAITS!A:C , 3,FALSE), ),
IF(IFERROR(SEARCH("Shadow Step",L177),0) &gt; 0 , VLOOKUP("Shadow Step", vote4TRAITS!A:C , 3,FALSE), ),
IF(IFERROR(SEARCH("Shambling",L177),0) &gt; 0 , VLOOKUP("Shambling", vote4TRAITS!A:C , 3,FALSE), ),
IF(IFERROR(SEARCH("Stealthy",L177),0) &gt; 0 , VLOOKUP("Stealthy", vote4TRAITS!A:C , 3, FALSE), ),
IF(IFERROR(SEARCH("Web",L177),0) &gt; 0 , VLOOKUP("Web", vote4TRAITS!A:C , 3, FALSE), ),
IF(IFERROR(SEARCH("+1 Willpower",L177),0) &gt; 0 , VLOOKUP("+1 Willpower", vote4TRAITS!A:C , 3, FALSE), ),
IF(IFERROR(SEARCH("+1 Might",L177),0) &gt; 0 , VLOOKUP("+1 Might", vote4TRAITS!A:C , 3, FALSE), ),
IF(IFERROR(SEARCH("+1 Knowledge",L177),0) &gt; 0 , VLOOKUP("+1 Knowledge", vote4TRAITS!A:C , 3, FALSE), ),
IF(IFERROR(SEARCH("+1 Awareness",L177),0) &gt; 0 , VLOOKUP("+1 Awareness", vote4TRAITS!A:C , 3, FALSE), ),
IF(IFERROR(SEARCH("-1 Willpower",L177),0) &gt; 0 , VLOOKUP("-1 Willpower", vote4TRAITS!A:C , 3, FALSE), ),
IF(IFERROR(SEARCH("+1 Health",L177),0) &gt; 0 , VLOOKUP("+1 Health", vote4TRAITS!A:C , 3, FALSE), ),
IF(IFERROR(SEARCH("+2 Health",L177),0) &gt; 0 , VLOOKUP("+2 Health", vote4TRAITS!A:C , 3, FALSE), ),
IF(IFERROR(SEARCH("+1 Stamina",L177),0) &gt; 0 , VLOOKUP("+1 Stamina", vote4TRAITS!A:C , 3, FALSE), ),
IF(IFERROR(SEARCH("+2 Stamina",L177),0) &gt; 0 , VLOOKUP("+2 Stamina", vote4TRAITS!A:C , 3, FALSE), ),
IFS(
IFERROR(SEARCH("+1 Range", L177),) &gt; 0 ,VLOOKUP("+1 Range", vote4TRAITS!A:C , 3, FALSE),
IFERROR(SEARCH("+2 Range", L177),) &gt; 0 ,VLOOKUP("+2 Range", vote4TRAITS!A:C , 3, FALSE),
IFERROR(SEARCH("+3 Range", L177),) &gt; 0,VLOOKUP("+3 Range", vote4TRAITS!A:C , 3, FALSE),
0=0,0)
,
IFS(
IFERROR(SEARCH("Sorcery 1", L177),) &gt; 0 ,VLOOKUP("Sorcery 1", vote4TRAITS!A:C , 3, FALSE),
IFERROR(SEARCH("Sorcery 2", L177),) &gt; 0 ,VLOOKUP("Sorcery 2", vote4TRAITS!A:C , 3, FALSE),
IFERROR(SEARCH("Sorcery 3", L177),) &gt; 0,VLOOKUP("Sorcery 3", vote4TRAITS!A:C , 3, FALSE),
0=0,0)
,
IFS(
IFERROR(SEARCH("Pierce 1", L177),) &gt; 0 ,VLOOKUP("Pierce 1", vote4TRAITS!A:C , 3, FALSE),
IFERROR(SEARCH("Pierce 2", L177),) &gt; 0 ,VLOOKUP("Pierce 2", vote4TRAITS!A:C , 3, FALSE),
IFERROR(SEARCH("Pierce 3", L177),) &gt; 0,VLOOKUP("Pierce 3", vote4TRAITS!A:C , 3, FALSE),
IFERROR(SEARCH("Pierce 4", L177),) &gt; 0 ,VLOOKUP("Pierce 4", vote4TRAITS!A:C , 3, FALSE),
0=0,0)
,
IFS(
IFERROR(SEARCH("+1 Health", L177),) &gt; 0 ,VLOOKUP("+1 Health", vote4TRAITS!A:C , 3, FALSE),
IFERROR(SEARCH("+2 Health", L177),) &gt; 0 ,VLOOKUP("+2 Health", vote4TRAITS!A:C , 3, FALSE),
IFERROR(SEARCH("+3 Health", L177),) &gt; 0 ,VLOOKUP("+3 Health", vote4TRAITS!A:C , 3, FALSE),
IFERROR(SEARCH("+4 Health", L177),) &gt; 0 ,VLOOKUP("+4 Health", vote4TRAITS!A:C , 3, FALSE),
0=0,0)
,
IFS(
IFERROR(SEARCH("Soul Shackle 1", L177),) &gt; 0 ,VLOOKUP("Soul Shackle 1", vote4TRAITS!A:C , 3, FALSE),
IFERROR(SEARCH("Soul Shackle 2", L177),) &gt; 0 ,VLOOKUP("Soul Shackle 2", vote4TRAITS!A:C , 3, FALSE),
IFERROR(SEARCH("Soul Shackle 3", L177),) &gt; 0,VLOOKUP("Soul Shackle 3", vote4TRAITS!A:C , 3, FALSE),
0=0,0)
)</f>
        <v>0</v>
      </c>
      <c r="N177" s="313"/>
      <c r="O177" s="317" t="str">
        <f>IF(ISBLANK(N177),,IFERROR(
IF(IFERROR(SEARCH("SS:",N177),0) &gt; 0, 
VLOOKUP(SUBSTITUTE(N177,"SS: ",""),vote4SURGE!$A:$C , 3, FALSE) - 2,
VLOOKUP(SUBSTITUTE(N177,"S: ",""),vote4SURGE!$A:$C , 3, FALSE)
)
,
IF(IFERROR(SEARCH("SS:",N177),0) &gt; 0, 
VLOOKUP(C177,vote4SURGE!$A:$C , 3, FALSE) - 2,
VLOOKUP(C177,vote4SURGE!$A:$C , 3, FALSE)
)
))</f>
        <v/>
      </c>
      <c r="P177" s="318"/>
      <c r="Q177" s="317" t="str">
        <f>IF(ISBLANK(P177),,IFERROR(
IF(IFERROR(SEARCH("SS:",P177),0) &gt; 0, 
VLOOKUP(SUBSTITUTE(P177,"SS: ",""),vote4SURGE!$A:$C , 3, FALSE) - 2,
VLOOKUP(SUBSTITUTE(P177,"S: ",""),vote4SURGE!$A:$C , 3, FALSE)
)
,
IF(IFERROR(SEARCH("SS:",P177),0) &gt; 0, 
VLOOKUP(C177,vote4SURGE!$A:$C , 3, FALSE) - 2,
VLOOKUP(C177,vote4SURGE!$A:$C , 3, FALSE)
)
))</f>
        <v/>
      </c>
      <c r="R177" s="318"/>
      <c r="S177" s="319" t="str">
        <f>IF(ISBLANK(R177),,IFERROR(
IF(IFERROR(SEARCH("SS:",R177),0) &gt; 0, 
VLOOKUP(SUBSTITUTE(R177,"SS: ",""),vote4SURGE!$A:$C , 3, FALSE) - 2,
VLOOKUP(SUBSTITUTE(R177,"S: ",""),vote4SURGE!$A:$C , 3, FALSE)
)
,
IF(IFERROR(SEARCH("SS:",R177),0) &gt; 0, 
VLOOKUP(C177,vote4SURGE!$A:$C , 3, FALSE) - 2,
VLOOKUP(C177,vote4SURGE!$A:$C , 3, FALSE)
)
))</f>
        <v/>
      </c>
      <c r="T177" s="320">
        <f t="shared" si="2"/>
        <v>0</v>
      </c>
      <c r="U177" s="320">
        <f>IFERROR(__xludf.DUMMYFUNCTION("ROUND(
IF(ISBLANK(G177),,
SWITCH(
LEN(G177) - LEN(SUBSTITUTE(G177,"","","""")),
0 , VLOOKUP(G177, Variables!$A:$C, 3, FALSE),
1 , VLOOKUP(index(split(G177 ,"", "", FALSE),1,1), Variables!$A:$C , 3, FALSE) + VLOOKUP(index(split(G177 ,"", "", FALSE),1,2), V"&amp;"ariables!$A:$C , 3, FALSE),
2 , VLOOKUP(index(split(G177 ,"", "", FALSE),1,1), Variables!$A:$C , 3, FALSE) + VLOOKUP(index(split(G177 ,"", "", FALSE),1,2), Variables!$A:$C , 3, FALSE) + VLOOKUP(index(split(G177 ,"", "", FALSE),1,3), Variables!$A:$C , 3, F"&amp;"ALSE),
3 , VLOOKUP(index(split(G177 ,"", "", FALSE),1,1), Variables!$A:$C , 3, FALSE) + VLOOKUP(index(split(G177 ,"", "", FALSE),1,2), Variables!$A:$C , 3, FALSE) + VLOOKUP(index(split(G177 ,"", "", FALSE),1,3), Variables!$A:$C , 3, FALSE) + VLOOKUP(index"&amp;"(split(G177 ,"", "", FALSE),1,4), Variables!$A:$C , 3, FALSE),
)
)
)"),0.0)</f>
        <v>0</v>
      </c>
      <c r="V177" s="317">
        <f t="shared" si="3"/>
        <v>0</v>
      </c>
      <c r="W177" s="321">
        <f t="shared" si="4"/>
        <v>0.3333333333</v>
      </c>
      <c r="X177" s="118"/>
      <c r="Y177" s="118"/>
      <c r="Z177" s="118"/>
      <c r="AA177" s="118"/>
      <c r="AB177" s="118"/>
      <c r="AC177" s="118"/>
      <c r="AD177" s="118"/>
      <c r="AE177" s="118"/>
    </row>
    <row r="178" hidden="1">
      <c r="A178" s="310">
        <v>1.0</v>
      </c>
      <c r="B178" s="93" t="str">
        <f t="shared" si="1"/>
        <v/>
      </c>
      <c r="C178" s="310" t="s">
        <v>918</v>
      </c>
      <c r="D178" s="323">
        <v>0.0</v>
      </c>
      <c r="E178" s="310" t="s">
        <v>1620</v>
      </c>
      <c r="F178" s="310"/>
      <c r="G178" s="313"/>
      <c r="H178" s="312" t="str">
        <f>IFERROR(__xludf.DUMMYFUNCTION(" IF(ISBLANK(G178),,
SWITCH(
LEN(G178) - LEN(SUBSTITUTE(G178,"","","""")),
0 , VLOOKUP(G178, Variables!$A:$B, 2, FALSE),
1 , VLOOKUP(index(split(G178 ,"", "", FALSE),1,1), Variables!$A:$B , 2, FALSE) + VLOOKUP(index(split(G178 ,"", "", FALSE),1,2), Variabl"&amp;"es!$A:$B , 2, FALSE),
2 , VLOOKUP(index(split(G178 ,"", "", FALSE),1,1), Variables!$A:$B , 2, FALSE) + VLOOKUP(index(split(G178 ,"", "", FALSE),1,2), Variables!$A:$B , 2, FALSE) + VLOOKUP(index(split(G178 ,"", "", FALSE),1,3), Variables!$A:$B , 2, FALSE),"&amp;"
3 , VLOOKUP(index(split(G178 ,"", "", FALSE),1,1), Variables!$A:$B , 2, FALSE) + VLOOKUP(index(split(G178 ,"", "", FALSE),1,2), Variables!$A:$B , 2, FALSE) + VLOOKUP(index(split(G178 ,"", "", FALSE),1,3), Variables!$A:$B , 2, FALSE) + VLOOKUP(index(split"&amp;"(G178 ,"", "", FALSE),1,4), Variables!$A:$B , 2, FALSE),
)
)"),"")</f>
        <v/>
      </c>
      <c r="I178" s="310" t="s">
        <v>1622</v>
      </c>
      <c r="J178" s="313" t="s">
        <v>919</v>
      </c>
      <c r="K178" s="314">
        <f>IFERROR(VLOOKUP(C178,vote4ITEMS!$A:$C, 3, FALSE),)</f>
        <v>0.3333333333</v>
      </c>
      <c r="L178" s="313"/>
      <c r="M178" s="314">
        <f>SUM(
IF(IFERROR(SEARCH("Aura 1",L178),0) &gt; 0 , VLOOKUP("Aura 1", vote4TRAITS!A:C , 3, FALSE), ),
IF(IFERROR(SEARCH("Backswing",L178),0) &gt; 0 , VLOOKUP("Backswing", vote4TRAITS!A:C , 3, FALSE), ),
IF(IFERROR(SEARCH("Blast",L178),0) &gt; 0 , VLOOKUP("Blast", vote4TRAITS!A:C , 3, FALSE), ),
IF(IFERROR(SEARCH("Combustible",L178),0) &gt; 0 , VLOOKUP("Combustible", vote4TRAITS!A:C , 3, FALSE), ),
IF(IFERROR(SEARCH("Command",L178),0) &gt; 0 , VLOOKUP("Command", vote4TRAITS!A:C , 3, FALSE), ),
IF(IFERROR(SEARCH("Cowardly",L178),0) &gt; 0 , VLOOKUP("Cowardly", vote4TRAITS!A:C , 3, FALSE), ),
IF(IFERROR(SEARCH("Death Wish",L178),0) &gt; 0 , VLOOKUP("Death Wish", vote4TRAITS!A:C , 3, FALSE), ),
IF(IFERROR(SEARCH("Entomb",L178),0) &gt; 0 , VLOOKUP("Entomb", vote4TRAITS!A:C , 3, FALSE), ),
IF(IFERROR(SEARCH("Ethereal Hold",L178),0) &gt; 0 , VLOOKUP("Ethereal Hold", vote4TRAITS!A:C , 3, FALSE), ),
IF(IFERROR(SEARCH("Extend",L178),0) &gt; 0 , VLOOKUP("Extend", vote4TRAITS!A:C , 3, FALSE), ),
IF(IFERROR(SEARCH("Filthy Murk",L178),0) &gt; 0 , VLOOKUP("Filthy Murk", vote4TRAITS!A:C , 3, FALSE), ),
IF(IFERROR(SEARCH("Flame Fiend",L178),0) &gt; 0 , VLOOKUP("Flame Fiend", vote4TRAITS!A:C , 3, FALSE), ),
IF(IFERROR(SEARCH("Fleshmonger",L178),0) &gt; 0 , VLOOKUP("Fleshmonger", vote4TRAITS!A:C , 3, FALSE), ),
IF(IFERROR(SEARCH("Fly",L178),0) &gt; 0 , VLOOKUP("Fly", vote4TRAITS!A:C , 3, FALSE), ),
IF(IFERROR(SEARCH("Freezing",L178),0) &gt; 0 , VLOOKUP("Freezing", vote4TRAITS!A:C , 3, FALSE), ),
IF(IFERROR(SEARCH("Lithesome",L178),0) &gt; 0 , VLOOKUP("Lithesome", vote4TRAITS!A:C , 3, FALSE), ),
IF(IFERROR(SEARCH("Harrowing",L178),0) &gt; 0 , VLOOKUP("Harrowing", vote4TRAITS!A:C , 3, FALSE), ),
IF(IFERROR(SEARCH("Hideous Laughter",L178),0) &gt; 0 , VLOOKUP("Hideous Laughter", vote4TRAITS!A:C , 3, FALSE), ),
IF(IFERROR(SEARCH("Hive Defense",L178),0) &gt; 0 , VLOOKUP("Hive Defense", vote4TRAITS!A:C , 3, FALSE), ),
IF(IFERROR(SEARCH("Horrifying",L178),0) &gt; 0 , VLOOKUP("Horrifying", vote4TRAITS!A:C , 3, FALSE), ),
IF(IFERROR(SEARCH("Ironskin",L178),0) &gt; 0 , VLOOKUP("Ironskin", vote4TRAITS!A:C , 3, FALSE), ),
IF(IFERROR(SEARCH("Unmovable",L178),0) &gt; 0 , VLOOKUP("Unmovable", vote4TRAITS!A:C , 3, FALSE), ),
IF(IFERROR(SEARCH("Lifethirst 1",L178),0) &gt; 0 , VLOOKUP("Lifethirst 1", vote4TRAITS!A:C , 3, FALSE), ),
IF(IFERROR(SEARCH("Lifethirst 2",L178),0) &gt; 0 , VLOOKUP("Lifethirst 2", vote4TRAITS!A:C , 3, FALSE), ),
IF(IFERROR(SEARCH("Morph",L178),0) &gt; 0 , VLOOKUP("Morph", vote4TRAITS!A:C , 3, FALSE), ),
IF(IFERROR(SEARCH("Night Stalker",L178),0) &gt; 0 , VLOOKUP("Night Stalker", vote4TRAITS!A:C , 3, FALSE), ),
IF(IFERROR(SEARCH("Overflowing",L178),0) &gt; 0 , VLOOKUP("Overflowing", vote4TRAITS!A:C , 3, FALSE), ),
IF(IFERROR(SEARCH("Pestilence",L178),0) &gt; 0 , VLOOKUP("Pestilence", vote4TRAITS!A:C , 3, FALSE), ),
IF(IFERROR(SEARCH("Phalanx",L178),0) &gt; 0 , VLOOKUP("Phalanx", vote4TRAITS!A:C , 3, FALSE), ),
IF(IFERROR(SEARCH("Plagued",L178),0) &gt; 0 , VLOOKUP("Plagued", vote4TRAITS!A:C , 3, FALSE), ),
IF(IFERROR(SEARCH("Prey on the Weak",L178),0) &gt; 0 , VLOOKUP("Prey on the Weak", vote4TRAITS!A:C , 3, FALSE), ),
IF(IFERROR(SEARCH("Protect",L178),0) &gt; 0 , VLOOKUP("Protect", vote4TRAITS!A:C , 3, FALSE), ),
IF(IFERROR(SEARCH("Puncture",L178),0) &gt; 0 , VLOOKUP("Puncture", vote4TRAITS!A:C , 3, FALSE), ),
IF(IFERROR(SEARCH("Putrid Boils",L178),0) &gt; 0 , VLOOKUP("Putrid Boils", vote4TRAITS!A:C , 3, FALSE), ),
IF(IFERROR(SEARCH("Ravage",L178),0) &gt; 0 , VLOOKUP("Ravage", vote4TRAITS!A:C , 3, FALSE), ),
IF(IFERROR(SEARCH("Ravenous",L178),0) &gt; 0 , VLOOKUP("Ravenous", vote4TRAITS!A:C , 3, FALSE), ),
IF(IFERROR(SEARCH("Reach",L178),0) &gt; 0 , VLOOKUP("Reach", vote4TRAITS!A:C , 3, FALSE), ),
IF(IFERROR(SEARCH("Reanimation",L178),0) &gt; 0 , VLOOKUP("Reanimation", vote4TRAITS!A:C , 3, FALSE), ),
IF(IFERROR(SEARCH("Reaper",L178),0) &gt; 0 , VLOOKUP("Reaper", vote4TRAITS!A:C , 3, FALSE), ),
IF(IFERROR(SEARCH("Riposte",L178),0) &gt; 0 , VLOOKUP("Riposte", vote4TRAITS!A:C , 3, FALSE)),
IF(IFERROR(SEARCH("Scamper",L178),0) &gt; 0 , VLOOKUP("Scamper", vote4TRAITS!A:C , 3, FALSE), ),
IF(IFERROR(SEARCH("Small Beginnings",L178),0) &gt; 0 , VLOOKUP("Small Beginnings", vote4TRAITS!A:C , 3, FALSE), ),
IF(IFERROR(SEARCH("Spawner",L178),0) &gt; 0 , VLOOKUP("Spawner", vote4TRAITS!A:C , 3,FALSE), ),
IF(IFERROR(SEARCH("Shadowr",L178),0) &gt; 0 , VLOOKUP("Shadow", vote4TRAITS!A:C , 3,FALSE), ),
IF(IFERROR(SEARCH("Shadow Step",L178),0) &gt; 0 , VLOOKUP("Shadow Step", vote4TRAITS!A:C , 3,FALSE), ),
IF(IFERROR(SEARCH("Shambling",L178),0) &gt; 0 , VLOOKUP("Shambling", vote4TRAITS!A:C , 3,FALSE), ),
IF(IFERROR(SEARCH("Stealthy",L178),0) &gt; 0 , VLOOKUP("Stealthy", vote4TRAITS!A:C , 3, FALSE), ),
IF(IFERROR(SEARCH("Web",L178),0) &gt; 0 , VLOOKUP("Web", vote4TRAITS!A:C , 3, FALSE), ),
IF(IFERROR(SEARCH("+1 Willpower",L178),0) &gt; 0 , VLOOKUP("+1 Willpower", vote4TRAITS!A:C , 3, FALSE), ),
IF(IFERROR(SEARCH("+1 Might",L178),0) &gt; 0 , VLOOKUP("+1 Might", vote4TRAITS!A:C , 3, FALSE), ),
IF(IFERROR(SEARCH("+1 Knowledge",L178),0) &gt; 0 , VLOOKUP("+1 Knowledge", vote4TRAITS!A:C , 3, FALSE), ),
IF(IFERROR(SEARCH("+1 Awareness",L178),0) &gt; 0 , VLOOKUP("+1 Awareness", vote4TRAITS!A:C , 3, FALSE), ),
IF(IFERROR(SEARCH("-1 Willpower",L178),0) &gt; 0 , VLOOKUP("-1 Willpower", vote4TRAITS!A:C , 3, FALSE), ),
IF(IFERROR(SEARCH("+1 Health",L178),0) &gt; 0 , VLOOKUP("+1 Health", vote4TRAITS!A:C , 3, FALSE), ),
IF(IFERROR(SEARCH("+2 Health",L178),0) &gt; 0 , VLOOKUP("+2 Health", vote4TRAITS!A:C , 3, FALSE), ),
IF(IFERROR(SEARCH("+1 Stamina",L178),0) &gt; 0 , VLOOKUP("+1 Stamina", vote4TRAITS!A:C , 3, FALSE), ),
IF(IFERROR(SEARCH("+2 Stamina",L178),0) &gt; 0 , VLOOKUP("+2 Stamina", vote4TRAITS!A:C , 3, FALSE), ),
IFS(
IFERROR(SEARCH("+1 Range", L178),) &gt; 0 ,VLOOKUP("+1 Range", vote4TRAITS!A:C , 3, FALSE),
IFERROR(SEARCH("+2 Range", L178),) &gt; 0 ,VLOOKUP("+2 Range", vote4TRAITS!A:C , 3, FALSE),
IFERROR(SEARCH("+3 Range", L178),) &gt; 0,VLOOKUP("+3 Range", vote4TRAITS!A:C , 3, FALSE),
0=0,0)
,
IFS(
IFERROR(SEARCH("Sorcery 1", L178),) &gt; 0 ,VLOOKUP("Sorcery 1", vote4TRAITS!A:C , 3, FALSE),
IFERROR(SEARCH("Sorcery 2", L178),) &gt; 0 ,VLOOKUP("Sorcery 2", vote4TRAITS!A:C , 3, FALSE),
IFERROR(SEARCH("Sorcery 3", L178),) &gt; 0,VLOOKUP("Sorcery 3", vote4TRAITS!A:C , 3, FALSE),
0=0,0)
,
IFS(
IFERROR(SEARCH("Pierce 1", L178),) &gt; 0 ,VLOOKUP("Pierce 1", vote4TRAITS!A:C , 3, FALSE),
IFERROR(SEARCH("Pierce 2", L178),) &gt; 0 ,VLOOKUP("Pierce 2", vote4TRAITS!A:C , 3, FALSE),
IFERROR(SEARCH("Pierce 3", L178),) &gt; 0,VLOOKUP("Pierce 3", vote4TRAITS!A:C , 3, FALSE),
IFERROR(SEARCH("Pierce 4", L178),) &gt; 0 ,VLOOKUP("Pierce 4", vote4TRAITS!A:C , 3, FALSE),
0=0,0)
,
IFS(
IFERROR(SEARCH("+1 Health", L178),) &gt; 0 ,VLOOKUP("+1 Health", vote4TRAITS!A:C , 3, FALSE),
IFERROR(SEARCH("+2 Health", L178),) &gt; 0 ,VLOOKUP("+2 Health", vote4TRAITS!A:C , 3, FALSE),
IFERROR(SEARCH("+3 Health", L178),) &gt; 0 ,VLOOKUP("+3 Health", vote4TRAITS!A:C , 3, FALSE),
IFERROR(SEARCH("+4 Health", L178),) &gt; 0 ,VLOOKUP("+4 Health", vote4TRAITS!A:C , 3, FALSE),
0=0,0)
,
IFS(
IFERROR(SEARCH("Soul Shackle 1", L178),) &gt; 0 ,VLOOKUP("Soul Shackle 1", vote4TRAITS!A:C , 3, FALSE),
IFERROR(SEARCH("Soul Shackle 2", L178),) &gt; 0 ,VLOOKUP("Soul Shackle 2", vote4TRAITS!A:C , 3, FALSE),
IFERROR(SEARCH("Soul Shackle 3", L178),) &gt; 0,VLOOKUP("Soul Shackle 3", vote4TRAITS!A:C , 3, FALSE),
0=0,0)
)</f>
        <v>0</v>
      </c>
      <c r="N178" s="313"/>
      <c r="O178" s="317" t="str">
        <f>IF(ISBLANK(N178),,IFERROR(
IF(IFERROR(SEARCH("SS:",N178),0) &gt; 0, 
VLOOKUP(SUBSTITUTE(N178,"SS: ",""),vote4SURGE!$A:$C , 3, FALSE) - 2,
VLOOKUP(SUBSTITUTE(N178,"S: ",""),vote4SURGE!$A:$C , 3, FALSE)
)
,
IF(IFERROR(SEARCH("SS:",N178),0) &gt; 0, 
VLOOKUP(C178,vote4SURGE!$A:$C , 3, FALSE) - 2,
VLOOKUP(C178,vote4SURGE!$A:$C , 3, FALSE)
)
))</f>
        <v/>
      </c>
      <c r="P178" s="318"/>
      <c r="Q178" s="317" t="str">
        <f>IF(ISBLANK(P178),,IFERROR(
IF(IFERROR(SEARCH("SS:",P178),0) &gt; 0, 
VLOOKUP(SUBSTITUTE(P178,"SS: ",""),vote4SURGE!$A:$C , 3, FALSE) - 2,
VLOOKUP(SUBSTITUTE(P178,"S: ",""),vote4SURGE!$A:$C , 3, FALSE)
)
,
IF(IFERROR(SEARCH("SS:",P178),0) &gt; 0, 
VLOOKUP(C178,vote4SURGE!$A:$C , 3, FALSE) - 2,
VLOOKUP(C178,vote4SURGE!$A:$C , 3, FALSE)
)
))</f>
        <v/>
      </c>
      <c r="R178" s="318"/>
      <c r="S178" s="319" t="str">
        <f>IF(ISBLANK(R178),,IFERROR(
IF(IFERROR(SEARCH("SS:",R178),0) &gt; 0, 
VLOOKUP(SUBSTITUTE(R178,"SS: ",""),vote4SURGE!$A:$C , 3, FALSE) - 2,
VLOOKUP(SUBSTITUTE(R178,"S: ",""),vote4SURGE!$A:$C , 3, FALSE)
)
,
IF(IFERROR(SEARCH("SS:",R178),0) &gt; 0, 
VLOOKUP(C178,vote4SURGE!$A:$C , 3, FALSE) - 2,
VLOOKUP(C178,vote4SURGE!$A:$C , 3, FALSE)
)
))</f>
        <v/>
      </c>
      <c r="T178" s="320">
        <f t="shared" si="2"/>
        <v>0</v>
      </c>
      <c r="U178" s="320">
        <f>IFERROR(__xludf.DUMMYFUNCTION("ROUND(
IF(ISBLANK(G178),,
SWITCH(
LEN(G178) - LEN(SUBSTITUTE(G178,"","","""")),
0 , VLOOKUP(G178, Variables!$A:$C, 3, FALSE),
1 , VLOOKUP(index(split(G178 ,"", "", FALSE),1,1), Variables!$A:$C , 3, FALSE) + VLOOKUP(index(split(G178 ,"", "", FALSE),1,2), V"&amp;"ariables!$A:$C , 3, FALSE),
2 , VLOOKUP(index(split(G178 ,"", "", FALSE),1,1), Variables!$A:$C , 3, FALSE) + VLOOKUP(index(split(G178 ,"", "", FALSE),1,2), Variables!$A:$C , 3, FALSE) + VLOOKUP(index(split(G178 ,"", "", FALSE),1,3), Variables!$A:$C , 3, F"&amp;"ALSE),
3 , VLOOKUP(index(split(G178 ,"", "", FALSE),1,1), Variables!$A:$C , 3, FALSE) + VLOOKUP(index(split(G178 ,"", "", FALSE),1,2), Variables!$A:$C , 3, FALSE) + VLOOKUP(index(split(G178 ,"", "", FALSE),1,3), Variables!$A:$C , 3, FALSE) + VLOOKUP(index"&amp;"(split(G178 ,"", "", FALSE),1,4), Variables!$A:$C , 3, FALSE),
)
)
)"),0.0)</f>
        <v>0</v>
      </c>
      <c r="V178" s="317">
        <f t="shared" si="3"/>
        <v>0</v>
      </c>
      <c r="W178" s="321">
        <f t="shared" si="4"/>
        <v>0.3333333333</v>
      </c>
      <c r="X178" s="118"/>
      <c r="Y178" s="118"/>
      <c r="Z178" s="118"/>
      <c r="AA178" s="118"/>
      <c r="AB178" s="118"/>
      <c r="AC178" s="118"/>
      <c r="AD178" s="118"/>
      <c r="AE178" s="118"/>
    </row>
    <row r="179" hidden="1">
      <c r="A179" s="310">
        <v>1.0</v>
      </c>
      <c r="B179" s="93" t="str">
        <f t="shared" si="1"/>
        <v/>
      </c>
      <c r="C179" s="310" t="s">
        <v>902</v>
      </c>
      <c r="D179" s="323">
        <v>0.0</v>
      </c>
      <c r="E179" s="310" t="s">
        <v>1629</v>
      </c>
      <c r="F179" s="310"/>
      <c r="G179" s="313"/>
      <c r="H179" s="312" t="str">
        <f>IFERROR(__xludf.DUMMYFUNCTION(" IF(ISBLANK(G179),,
SWITCH(
LEN(G179) - LEN(SUBSTITUTE(G179,"","","""")),
0 , VLOOKUP(G179, Variables!$A:$B, 2, FALSE),
1 , VLOOKUP(index(split(G179 ,"", "", FALSE),1,1), Variables!$A:$B , 2, FALSE) + VLOOKUP(index(split(G179 ,"", "", FALSE),1,2), Variabl"&amp;"es!$A:$B , 2, FALSE),
2 , VLOOKUP(index(split(G179 ,"", "", FALSE),1,1), Variables!$A:$B , 2, FALSE) + VLOOKUP(index(split(G179 ,"", "", FALSE),1,2), Variables!$A:$B , 2, FALSE) + VLOOKUP(index(split(G179 ,"", "", FALSE),1,3), Variables!$A:$B , 2, FALSE),"&amp;"
3 , VLOOKUP(index(split(G179 ,"", "", FALSE),1,1), Variables!$A:$B , 2, FALSE) + VLOOKUP(index(split(G179 ,"", "", FALSE),1,2), Variables!$A:$B , 2, FALSE) + VLOOKUP(index(split(G179 ,"", "", FALSE),1,3), Variables!$A:$B , 2, FALSE) + VLOOKUP(index(split"&amp;"(G179 ,"", "", FALSE),1,4), Variables!$A:$B , 2, FALSE),
)
)"),"")</f>
        <v/>
      </c>
      <c r="I179" s="310" t="s">
        <v>1641</v>
      </c>
      <c r="J179" s="313" t="s">
        <v>903</v>
      </c>
      <c r="K179" s="314">
        <f>IFERROR(VLOOKUP(C179,vote4ITEMS!$A:$C, 3, FALSE),)</f>
        <v>0</v>
      </c>
      <c r="L179" s="313"/>
      <c r="M179" s="314">
        <f>SUM(
IF(IFERROR(SEARCH("Aura 1",L179),0) &gt; 0 , VLOOKUP("Aura 1", vote4TRAITS!A:C , 3, FALSE), ),
IF(IFERROR(SEARCH("Backswing",L179),0) &gt; 0 , VLOOKUP("Backswing", vote4TRAITS!A:C , 3, FALSE), ),
IF(IFERROR(SEARCH("Blast",L179),0) &gt; 0 , VLOOKUP("Blast", vote4TRAITS!A:C , 3, FALSE), ),
IF(IFERROR(SEARCH("Combustible",L179),0) &gt; 0 , VLOOKUP("Combustible", vote4TRAITS!A:C , 3, FALSE), ),
IF(IFERROR(SEARCH("Command",L179),0) &gt; 0 , VLOOKUP("Command", vote4TRAITS!A:C , 3, FALSE), ),
IF(IFERROR(SEARCH("Cowardly",L179),0) &gt; 0 , VLOOKUP("Cowardly", vote4TRAITS!A:C , 3, FALSE), ),
IF(IFERROR(SEARCH("Death Wish",L179),0) &gt; 0 , VLOOKUP("Death Wish", vote4TRAITS!A:C , 3, FALSE), ),
IF(IFERROR(SEARCH("Entomb",L179),0) &gt; 0 , VLOOKUP("Entomb", vote4TRAITS!A:C , 3, FALSE), ),
IF(IFERROR(SEARCH("Ethereal Hold",L179),0) &gt; 0 , VLOOKUP("Ethereal Hold", vote4TRAITS!A:C , 3, FALSE), ),
IF(IFERROR(SEARCH("Extend",L179),0) &gt; 0 , VLOOKUP("Extend", vote4TRAITS!A:C , 3, FALSE), ),
IF(IFERROR(SEARCH("Filthy Murk",L179),0) &gt; 0 , VLOOKUP("Filthy Murk", vote4TRAITS!A:C , 3, FALSE), ),
IF(IFERROR(SEARCH("Flame Fiend",L179),0) &gt; 0 , VLOOKUP("Flame Fiend", vote4TRAITS!A:C , 3, FALSE), ),
IF(IFERROR(SEARCH("Fleshmonger",L179),0) &gt; 0 , VLOOKUP("Fleshmonger", vote4TRAITS!A:C , 3, FALSE), ),
IF(IFERROR(SEARCH("Fly",L179),0) &gt; 0 , VLOOKUP("Fly", vote4TRAITS!A:C , 3, FALSE), ),
IF(IFERROR(SEARCH("Freezing",L179),0) &gt; 0 , VLOOKUP("Freezing", vote4TRAITS!A:C , 3, FALSE), ),
IF(IFERROR(SEARCH("Lithesome",L179),0) &gt; 0 , VLOOKUP("Lithesome", vote4TRAITS!A:C , 3, FALSE), ),
IF(IFERROR(SEARCH("Harrowing",L179),0) &gt; 0 , VLOOKUP("Harrowing", vote4TRAITS!A:C , 3, FALSE), ),
IF(IFERROR(SEARCH("Hideous Laughter",L179),0) &gt; 0 , VLOOKUP("Hideous Laughter", vote4TRAITS!A:C , 3, FALSE), ),
IF(IFERROR(SEARCH("Hive Defense",L179),0) &gt; 0 , VLOOKUP("Hive Defense", vote4TRAITS!A:C , 3, FALSE), ),
IF(IFERROR(SEARCH("Horrifying",L179),0) &gt; 0 , VLOOKUP("Horrifying", vote4TRAITS!A:C , 3, FALSE), ),
IF(IFERROR(SEARCH("Ironskin",L179),0) &gt; 0 , VLOOKUP("Ironskin", vote4TRAITS!A:C , 3, FALSE), ),
IF(IFERROR(SEARCH("Unmovable",L179),0) &gt; 0 , VLOOKUP("Unmovable", vote4TRAITS!A:C , 3, FALSE), ),
IF(IFERROR(SEARCH("Lifethirst 1",L179),0) &gt; 0 , VLOOKUP("Lifethirst 1", vote4TRAITS!A:C , 3, FALSE), ),
IF(IFERROR(SEARCH("Lifethirst 2",L179),0) &gt; 0 , VLOOKUP("Lifethirst 2", vote4TRAITS!A:C , 3, FALSE), ),
IF(IFERROR(SEARCH("Morph",L179),0) &gt; 0 , VLOOKUP("Morph", vote4TRAITS!A:C , 3, FALSE), ),
IF(IFERROR(SEARCH("Night Stalker",L179),0) &gt; 0 , VLOOKUP("Night Stalker", vote4TRAITS!A:C , 3, FALSE), ),
IF(IFERROR(SEARCH("Overflowing",L179),0) &gt; 0 , VLOOKUP("Overflowing", vote4TRAITS!A:C , 3, FALSE), ),
IF(IFERROR(SEARCH("Pestilence",L179),0) &gt; 0 , VLOOKUP("Pestilence", vote4TRAITS!A:C , 3, FALSE), ),
IF(IFERROR(SEARCH("Phalanx",L179),0) &gt; 0 , VLOOKUP("Phalanx", vote4TRAITS!A:C , 3, FALSE), ),
IF(IFERROR(SEARCH("Plagued",L179),0) &gt; 0 , VLOOKUP("Plagued", vote4TRAITS!A:C , 3, FALSE), ),
IF(IFERROR(SEARCH("Prey on the Weak",L179),0) &gt; 0 , VLOOKUP("Prey on the Weak", vote4TRAITS!A:C , 3, FALSE), ),
IF(IFERROR(SEARCH("Protect",L179),0) &gt; 0 , VLOOKUP("Protect", vote4TRAITS!A:C , 3, FALSE), ),
IF(IFERROR(SEARCH("Puncture",L179),0) &gt; 0 , VLOOKUP("Puncture", vote4TRAITS!A:C , 3, FALSE), ),
IF(IFERROR(SEARCH("Putrid Boils",L179),0) &gt; 0 , VLOOKUP("Putrid Boils", vote4TRAITS!A:C , 3, FALSE), ),
IF(IFERROR(SEARCH("Ravage",L179),0) &gt; 0 , VLOOKUP("Ravage", vote4TRAITS!A:C , 3, FALSE), ),
IF(IFERROR(SEARCH("Ravenous",L179),0) &gt; 0 , VLOOKUP("Ravenous", vote4TRAITS!A:C , 3, FALSE), ),
IF(IFERROR(SEARCH("Reach",L179),0) &gt; 0 , VLOOKUP("Reach", vote4TRAITS!A:C , 3, FALSE), ),
IF(IFERROR(SEARCH("Reanimation",L179),0) &gt; 0 , VLOOKUP("Reanimation", vote4TRAITS!A:C , 3, FALSE), ),
IF(IFERROR(SEARCH("Reaper",L179),0) &gt; 0 , VLOOKUP("Reaper", vote4TRAITS!A:C , 3, FALSE), ),
IF(IFERROR(SEARCH("Riposte",L179),0) &gt; 0 , VLOOKUP("Riposte", vote4TRAITS!A:C , 3, FALSE)),
IF(IFERROR(SEARCH("Scamper",L179),0) &gt; 0 , VLOOKUP("Scamper", vote4TRAITS!A:C , 3, FALSE), ),
IF(IFERROR(SEARCH("Small Beginnings",L179),0) &gt; 0 , VLOOKUP("Small Beginnings", vote4TRAITS!A:C , 3, FALSE), ),
IF(IFERROR(SEARCH("Spawner",L179),0) &gt; 0 , VLOOKUP("Spawner", vote4TRAITS!A:C , 3,FALSE), ),
IF(IFERROR(SEARCH("Shadowr",L179),0) &gt; 0 , VLOOKUP("Shadow", vote4TRAITS!A:C , 3,FALSE), ),
IF(IFERROR(SEARCH("Shadow Step",L179),0) &gt; 0 , VLOOKUP("Shadow Step", vote4TRAITS!A:C , 3,FALSE), ),
IF(IFERROR(SEARCH("Shambling",L179),0) &gt; 0 , VLOOKUP("Shambling", vote4TRAITS!A:C , 3,FALSE), ),
IF(IFERROR(SEARCH("Stealthy",L179),0) &gt; 0 , VLOOKUP("Stealthy", vote4TRAITS!A:C , 3, FALSE), ),
IF(IFERROR(SEARCH("Web",L179),0) &gt; 0 , VLOOKUP("Web", vote4TRAITS!A:C , 3, FALSE), ),
IF(IFERROR(SEARCH("+1 Willpower",L179),0) &gt; 0 , VLOOKUP("+1 Willpower", vote4TRAITS!A:C , 3, FALSE), ),
IF(IFERROR(SEARCH("+1 Might",L179),0) &gt; 0 , VLOOKUP("+1 Might", vote4TRAITS!A:C , 3, FALSE), ),
IF(IFERROR(SEARCH("+1 Knowledge",L179),0) &gt; 0 , VLOOKUP("+1 Knowledge", vote4TRAITS!A:C , 3, FALSE), ),
IF(IFERROR(SEARCH("+1 Awareness",L179),0) &gt; 0 , VLOOKUP("+1 Awareness", vote4TRAITS!A:C , 3, FALSE), ),
IF(IFERROR(SEARCH("-1 Willpower",L179),0) &gt; 0 , VLOOKUP("-1 Willpower", vote4TRAITS!A:C , 3, FALSE), ),
IF(IFERROR(SEARCH("+1 Health",L179),0) &gt; 0 , VLOOKUP("+1 Health", vote4TRAITS!A:C , 3, FALSE), ),
IF(IFERROR(SEARCH("+2 Health",L179),0) &gt; 0 , VLOOKUP("+2 Health", vote4TRAITS!A:C , 3, FALSE), ),
IF(IFERROR(SEARCH("+1 Stamina",L179),0) &gt; 0 , VLOOKUP("+1 Stamina", vote4TRAITS!A:C , 3, FALSE), ),
IF(IFERROR(SEARCH("+2 Stamina",L179),0) &gt; 0 , VLOOKUP("+2 Stamina", vote4TRAITS!A:C , 3, FALSE), ),
IFS(
IFERROR(SEARCH("+1 Range", L179),) &gt; 0 ,VLOOKUP("+1 Range", vote4TRAITS!A:C , 3, FALSE),
IFERROR(SEARCH("+2 Range", L179),) &gt; 0 ,VLOOKUP("+2 Range", vote4TRAITS!A:C , 3, FALSE),
IFERROR(SEARCH("+3 Range", L179),) &gt; 0,VLOOKUP("+3 Range", vote4TRAITS!A:C , 3, FALSE),
0=0,0)
,
IFS(
IFERROR(SEARCH("Sorcery 1", L179),) &gt; 0 ,VLOOKUP("Sorcery 1", vote4TRAITS!A:C , 3, FALSE),
IFERROR(SEARCH("Sorcery 2", L179),) &gt; 0 ,VLOOKUP("Sorcery 2", vote4TRAITS!A:C , 3, FALSE),
IFERROR(SEARCH("Sorcery 3", L179),) &gt; 0,VLOOKUP("Sorcery 3", vote4TRAITS!A:C , 3, FALSE),
0=0,0)
,
IFS(
IFERROR(SEARCH("Pierce 1", L179),) &gt; 0 ,VLOOKUP("Pierce 1", vote4TRAITS!A:C , 3, FALSE),
IFERROR(SEARCH("Pierce 2", L179),) &gt; 0 ,VLOOKUP("Pierce 2", vote4TRAITS!A:C , 3, FALSE),
IFERROR(SEARCH("Pierce 3", L179),) &gt; 0,VLOOKUP("Pierce 3", vote4TRAITS!A:C , 3, FALSE),
IFERROR(SEARCH("Pierce 4", L179),) &gt; 0 ,VLOOKUP("Pierce 4", vote4TRAITS!A:C , 3, FALSE),
0=0,0)
,
IFS(
IFERROR(SEARCH("+1 Health", L179),) &gt; 0 ,VLOOKUP("+1 Health", vote4TRAITS!A:C , 3, FALSE),
IFERROR(SEARCH("+2 Health", L179),) &gt; 0 ,VLOOKUP("+2 Health", vote4TRAITS!A:C , 3, FALSE),
IFERROR(SEARCH("+3 Health", L179),) &gt; 0 ,VLOOKUP("+3 Health", vote4TRAITS!A:C , 3, FALSE),
IFERROR(SEARCH("+4 Health", L179),) &gt; 0 ,VLOOKUP("+4 Health", vote4TRAITS!A:C , 3, FALSE),
0=0,0)
,
IFS(
IFERROR(SEARCH("Soul Shackle 1", L179),) &gt; 0 ,VLOOKUP("Soul Shackle 1", vote4TRAITS!A:C , 3, FALSE),
IFERROR(SEARCH("Soul Shackle 2", L179),) &gt; 0 ,VLOOKUP("Soul Shackle 2", vote4TRAITS!A:C , 3, FALSE),
IFERROR(SEARCH("Soul Shackle 3", L179),) &gt; 0,VLOOKUP("Soul Shackle 3", vote4TRAITS!A:C , 3, FALSE),
0=0,0)
)</f>
        <v>0</v>
      </c>
      <c r="N179" s="313"/>
      <c r="O179" s="317" t="str">
        <f>IF(ISBLANK(N179),,IFERROR(
IF(IFERROR(SEARCH("SS:",N179),0) &gt; 0, 
VLOOKUP(SUBSTITUTE(N179,"SS: ",""),vote4SURGE!$A:$C , 3, FALSE) - 2,
VLOOKUP(SUBSTITUTE(N179,"S: ",""),vote4SURGE!$A:$C , 3, FALSE)
)
,
IF(IFERROR(SEARCH("SS:",N179),0) &gt; 0, 
VLOOKUP(C179,vote4SURGE!$A:$C , 3, FALSE) - 2,
VLOOKUP(C179,vote4SURGE!$A:$C , 3, FALSE)
)
))</f>
        <v/>
      </c>
      <c r="P179" s="318"/>
      <c r="Q179" s="317" t="str">
        <f>IF(ISBLANK(P179),,IFERROR(
IF(IFERROR(SEARCH("SS:",P179),0) &gt; 0, 
VLOOKUP(SUBSTITUTE(P179,"SS: ",""),vote4SURGE!$A:$C , 3, FALSE) - 2,
VLOOKUP(SUBSTITUTE(P179,"S: ",""),vote4SURGE!$A:$C , 3, FALSE)
)
,
IF(IFERROR(SEARCH("SS:",P179),0) &gt; 0, 
VLOOKUP(C179,vote4SURGE!$A:$C , 3, FALSE) - 2,
VLOOKUP(C179,vote4SURGE!$A:$C , 3, FALSE)
)
))</f>
        <v/>
      </c>
      <c r="R179" s="318"/>
      <c r="S179" s="319" t="str">
        <f>IF(ISBLANK(R179),,IFERROR(
IF(IFERROR(SEARCH("SS:",R179),0) &gt; 0, 
VLOOKUP(SUBSTITUTE(R179,"SS: ",""),vote4SURGE!$A:$C , 3, FALSE) - 2,
VLOOKUP(SUBSTITUTE(R179,"S: ",""),vote4SURGE!$A:$C , 3, FALSE)
)
,
IF(IFERROR(SEARCH("SS:",R179),0) &gt; 0, 
VLOOKUP(C179,vote4SURGE!$A:$C , 3, FALSE) - 2,
VLOOKUP(C179,vote4SURGE!$A:$C , 3, FALSE)
)
))</f>
        <v/>
      </c>
      <c r="T179" s="320">
        <f t="shared" si="2"/>
        <v>0</v>
      </c>
      <c r="U179" s="320">
        <f>IFERROR(__xludf.DUMMYFUNCTION("ROUND(
IF(ISBLANK(G179),,
SWITCH(
LEN(G179) - LEN(SUBSTITUTE(G179,"","","""")),
0 , VLOOKUP(G179, Variables!$A:$C, 3, FALSE),
1 , VLOOKUP(index(split(G179 ,"", "", FALSE),1,1), Variables!$A:$C , 3, FALSE) + VLOOKUP(index(split(G179 ,"", "", FALSE),1,2), V"&amp;"ariables!$A:$C , 3, FALSE),
2 , VLOOKUP(index(split(G179 ,"", "", FALSE),1,1), Variables!$A:$C , 3, FALSE) + VLOOKUP(index(split(G179 ,"", "", FALSE),1,2), Variables!$A:$C , 3, FALSE) + VLOOKUP(index(split(G179 ,"", "", FALSE),1,3), Variables!$A:$C , 3, F"&amp;"ALSE),
3 , VLOOKUP(index(split(G179 ,"", "", FALSE),1,1), Variables!$A:$C , 3, FALSE) + VLOOKUP(index(split(G179 ,"", "", FALSE),1,2), Variables!$A:$C , 3, FALSE) + VLOOKUP(index(split(G179 ,"", "", FALSE),1,3), Variables!$A:$C , 3, FALSE) + VLOOKUP(index"&amp;"(split(G179 ,"", "", FALSE),1,4), Variables!$A:$C , 3, FALSE),
)
)
)"),0.0)</f>
        <v>0</v>
      </c>
      <c r="V179" s="317">
        <f t="shared" si="3"/>
        <v>0</v>
      </c>
      <c r="W179" s="321">
        <f t="shared" si="4"/>
        <v>0</v>
      </c>
      <c r="X179" s="118"/>
      <c r="Y179" s="118"/>
      <c r="Z179" s="118"/>
      <c r="AA179" s="118"/>
      <c r="AB179" s="118"/>
      <c r="AC179" s="118"/>
      <c r="AD179" s="118"/>
      <c r="AE179" s="118"/>
    </row>
    <row r="180" hidden="1">
      <c r="A180" s="310">
        <v>1.0</v>
      </c>
      <c r="B180" s="93">
        <f t="shared" si="1"/>
        <v>1</v>
      </c>
      <c r="C180" s="310" t="s">
        <v>798</v>
      </c>
      <c r="D180" s="310">
        <v>100.0</v>
      </c>
      <c r="E180" s="310" t="s">
        <v>1629</v>
      </c>
      <c r="F180" s="310"/>
      <c r="G180" s="313"/>
      <c r="H180" s="312" t="str">
        <f>IFERROR(__xludf.DUMMYFUNCTION(" IF(ISBLANK(G180),,
SWITCH(
LEN(G180) - LEN(SUBSTITUTE(G180,"","","""")),
0 , VLOOKUP(G180, Variables!$A:$B, 2, FALSE),
1 , VLOOKUP(index(split(G180 ,"", "", FALSE),1,1), Variables!$A:$B , 2, FALSE) + VLOOKUP(index(split(G180 ,"", "", FALSE),1,2), Variabl"&amp;"es!$A:$B , 2, FALSE),
2 , VLOOKUP(index(split(G180 ,"", "", FALSE),1,1), Variables!$A:$B , 2, FALSE) + VLOOKUP(index(split(G180 ,"", "", FALSE),1,2), Variables!$A:$B , 2, FALSE) + VLOOKUP(index(split(G180 ,"", "", FALSE),1,3), Variables!$A:$B , 2, FALSE),"&amp;"
3 , VLOOKUP(index(split(G180 ,"", "", FALSE),1,1), Variables!$A:$B , 2, FALSE) + VLOOKUP(index(split(G180 ,"", "", FALSE),1,2), Variables!$A:$B , 2, FALSE) + VLOOKUP(index(split(G180 ,"", "", FALSE),1,3), Variables!$A:$B , 2, FALSE) + VLOOKUP(index(split"&amp;"(G180 ,"", "", FALSE),1,4), Variables!$A:$B , 2, FALSE),
)
)"),"")</f>
        <v/>
      </c>
      <c r="I180" s="310" t="s">
        <v>1641</v>
      </c>
      <c r="J180" s="313" t="s">
        <v>799</v>
      </c>
      <c r="K180" s="314">
        <f>IFERROR(VLOOKUP(C180,vote4ITEMS!$A:$C, 3, FALSE),)</f>
        <v>0</v>
      </c>
      <c r="L180" s="313"/>
      <c r="M180" s="314">
        <f>SUM(
IF(IFERROR(SEARCH("Aura 1",L180),0) &gt; 0 , VLOOKUP("Aura 1", vote4TRAITS!A:C , 3, FALSE), ),
IF(IFERROR(SEARCH("Backswing",L180),0) &gt; 0 , VLOOKUP("Backswing", vote4TRAITS!A:C , 3, FALSE), ),
IF(IFERROR(SEARCH("Blast",L180),0) &gt; 0 , VLOOKUP("Blast", vote4TRAITS!A:C , 3, FALSE), ),
IF(IFERROR(SEARCH("Combustible",L180),0) &gt; 0 , VLOOKUP("Combustible", vote4TRAITS!A:C , 3, FALSE), ),
IF(IFERROR(SEARCH("Command",L180),0) &gt; 0 , VLOOKUP("Command", vote4TRAITS!A:C , 3, FALSE), ),
IF(IFERROR(SEARCH("Cowardly",L180),0) &gt; 0 , VLOOKUP("Cowardly", vote4TRAITS!A:C , 3, FALSE), ),
IF(IFERROR(SEARCH("Death Wish",L180),0) &gt; 0 , VLOOKUP("Death Wish", vote4TRAITS!A:C , 3, FALSE), ),
IF(IFERROR(SEARCH("Entomb",L180),0) &gt; 0 , VLOOKUP("Entomb", vote4TRAITS!A:C , 3, FALSE), ),
IF(IFERROR(SEARCH("Ethereal Hold",L180),0) &gt; 0 , VLOOKUP("Ethereal Hold", vote4TRAITS!A:C , 3, FALSE), ),
IF(IFERROR(SEARCH("Extend",L180),0) &gt; 0 , VLOOKUP("Extend", vote4TRAITS!A:C , 3, FALSE), ),
IF(IFERROR(SEARCH("Filthy Murk",L180),0) &gt; 0 , VLOOKUP("Filthy Murk", vote4TRAITS!A:C , 3, FALSE), ),
IF(IFERROR(SEARCH("Flame Fiend",L180),0) &gt; 0 , VLOOKUP("Flame Fiend", vote4TRAITS!A:C , 3, FALSE), ),
IF(IFERROR(SEARCH("Fleshmonger",L180),0) &gt; 0 , VLOOKUP("Fleshmonger", vote4TRAITS!A:C , 3, FALSE), ),
IF(IFERROR(SEARCH("Fly",L180),0) &gt; 0 , VLOOKUP("Fly", vote4TRAITS!A:C , 3, FALSE), ),
IF(IFERROR(SEARCH("Freezing",L180),0) &gt; 0 , VLOOKUP("Freezing", vote4TRAITS!A:C , 3, FALSE), ),
IF(IFERROR(SEARCH("Lithesome",L180),0) &gt; 0 , VLOOKUP("Lithesome", vote4TRAITS!A:C , 3, FALSE), ),
IF(IFERROR(SEARCH("Harrowing",L180),0) &gt; 0 , VLOOKUP("Harrowing", vote4TRAITS!A:C , 3, FALSE), ),
IF(IFERROR(SEARCH("Hideous Laughter",L180),0) &gt; 0 , VLOOKUP("Hideous Laughter", vote4TRAITS!A:C , 3, FALSE), ),
IF(IFERROR(SEARCH("Hive Defense",L180),0) &gt; 0 , VLOOKUP("Hive Defense", vote4TRAITS!A:C , 3, FALSE), ),
IF(IFERROR(SEARCH("Horrifying",L180),0) &gt; 0 , VLOOKUP("Horrifying", vote4TRAITS!A:C , 3, FALSE), ),
IF(IFERROR(SEARCH("Ironskin",L180),0) &gt; 0 , VLOOKUP("Ironskin", vote4TRAITS!A:C , 3, FALSE), ),
IF(IFERROR(SEARCH("Unmovable",L180),0) &gt; 0 , VLOOKUP("Unmovable", vote4TRAITS!A:C , 3, FALSE), ),
IF(IFERROR(SEARCH("Lifethirst 1",L180),0) &gt; 0 , VLOOKUP("Lifethirst 1", vote4TRAITS!A:C , 3, FALSE), ),
IF(IFERROR(SEARCH("Lifethirst 2",L180),0) &gt; 0 , VLOOKUP("Lifethirst 2", vote4TRAITS!A:C , 3, FALSE), ),
IF(IFERROR(SEARCH("Morph",L180),0) &gt; 0 , VLOOKUP("Morph", vote4TRAITS!A:C , 3, FALSE), ),
IF(IFERROR(SEARCH("Night Stalker",L180),0) &gt; 0 , VLOOKUP("Night Stalker", vote4TRAITS!A:C , 3, FALSE), ),
IF(IFERROR(SEARCH("Overflowing",L180),0) &gt; 0 , VLOOKUP("Overflowing", vote4TRAITS!A:C , 3, FALSE), ),
IF(IFERROR(SEARCH("Pestilence",L180),0) &gt; 0 , VLOOKUP("Pestilence", vote4TRAITS!A:C , 3, FALSE), ),
IF(IFERROR(SEARCH("Phalanx",L180),0) &gt; 0 , VLOOKUP("Phalanx", vote4TRAITS!A:C , 3, FALSE), ),
IF(IFERROR(SEARCH("Plagued",L180),0) &gt; 0 , VLOOKUP("Plagued", vote4TRAITS!A:C , 3, FALSE), ),
IF(IFERROR(SEARCH("Prey on the Weak",L180),0) &gt; 0 , VLOOKUP("Prey on the Weak", vote4TRAITS!A:C , 3, FALSE), ),
IF(IFERROR(SEARCH("Protect",L180),0) &gt; 0 , VLOOKUP("Protect", vote4TRAITS!A:C , 3, FALSE), ),
IF(IFERROR(SEARCH("Puncture",L180),0) &gt; 0 , VLOOKUP("Puncture", vote4TRAITS!A:C , 3, FALSE), ),
IF(IFERROR(SEARCH("Putrid Boils",L180),0) &gt; 0 , VLOOKUP("Putrid Boils", vote4TRAITS!A:C , 3, FALSE), ),
IF(IFERROR(SEARCH("Ravage",L180),0) &gt; 0 , VLOOKUP("Ravage", vote4TRAITS!A:C , 3, FALSE), ),
IF(IFERROR(SEARCH("Ravenous",L180),0) &gt; 0 , VLOOKUP("Ravenous", vote4TRAITS!A:C , 3, FALSE), ),
IF(IFERROR(SEARCH("Reach",L180),0) &gt; 0 , VLOOKUP("Reach", vote4TRAITS!A:C , 3, FALSE), ),
IF(IFERROR(SEARCH("Reanimation",L180),0) &gt; 0 , VLOOKUP("Reanimation", vote4TRAITS!A:C , 3, FALSE), ),
IF(IFERROR(SEARCH("Reaper",L180),0) &gt; 0 , VLOOKUP("Reaper", vote4TRAITS!A:C , 3, FALSE), ),
IF(IFERROR(SEARCH("Riposte",L180),0) &gt; 0 , VLOOKUP("Riposte", vote4TRAITS!A:C , 3, FALSE)),
IF(IFERROR(SEARCH("Scamper",L180),0) &gt; 0 , VLOOKUP("Scamper", vote4TRAITS!A:C , 3, FALSE), ),
IF(IFERROR(SEARCH("Small Beginnings",L180),0) &gt; 0 , VLOOKUP("Small Beginnings", vote4TRAITS!A:C , 3, FALSE), ),
IF(IFERROR(SEARCH("Spawner",L180),0) &gt; 0 , VLOOKUP("Spawner", vote4TRAITS!A:C , 3,FALSE), ),
IF(IFERROR(SEARCH("Shadowr",L180),0) &gt; 0 , VLOOKUP("Shadow", vote4TRAITS!A:C , 3,FALSE), ),
IF(IFERROR(SEARCH("Shadow Step",L180),0) &gt; 0 , VLOOKUP("Shadow Step", vote4TRAITS!A:C , 3,FALSE), ),
IF(IFERROR(SEARCH("Shambling",L180),0) &gt; 0 , VLOOKUP("Shambling", vote4TRAITS!A:C , 3,FALSE), ),
IF(IFERROR(SEARCH("Stealthy",L180),0) &gt; 0 , VLOOKUP("Stealthy", vote4TRAITS!A:C , 3, FALSE), ),
IF(IFERROR(SEARCH("Web",L180),0) &gt; 0 , VLOOKUP("Web", vote4TRAITS!A:C , 3, FALSE), ),
IF(IFERROR(SEARCH("+1 Willpower",L180),0) &gt; 0 , VLOOKUP("+1 Willpower", vote4TRAITS!A:C , 3, FALSE), ),
IF(IFERROR(SEARCH("+1 Might",L180),0) &gt; 0 , VLOOKUP("+1 Might", vote4TRAITS!A:C , 3, FALSE), ),
IF(IFERROR(SEARCH("+1 Knowledge",L180),0) &gt; 0 , VLOOKUP("+1 Knowledge", vote4TRAITS!A:C , 3, FALSE), ),
IF(IFERROR(SEARCH("+1 Awareness",L180),0) &gt; 0 , VLOOKUP("+1 Awareness", vote4TRAITS!A:C , 3, FALSE), ),
IF(IFERROR(SEARCH("-1 Willpower",L180),0) &gt; 0 , VLOOKUP("-1 Willpower", vote4TRAITS!A:C , 3, FALSE), ),
IF(IFERROR(SEARCH("+1 Health",L180),0) &gt; 0 , VLOOKUP("+1 Health", vote4TRAITS!A:C , 3, FALSE), ),
IF(IFERROR(SEARCH("+2 Health",L180),0) &gt; 0 , VLOOKUP("+2 Health", vote4TRAITS!A:C , 3, FALSE), ),
IF(IFERROR(SEARCH("+1 Stamina",L180),0) &gt; 0 , VLOOKUP("+1 Stamina", vote4TRAITS!A:C , 3, FALSE), ),
IF(IFERROR(SEARCH("+2 Stamina",L180),0) &gt; 0 , VLOOKUP("+2 Stamina", vote4TRAITS!A:C , 3, FALSE), ),
IFS(
IFERROR(SEARCH("+1 Range", L180),) &gt; 0 ,VLOOKUP("+1 Range", vote4TRAITS!A:C , 3, FALSE),
IFERROR(SEARCH("+2 Range", L180),) &gt; 0 ,VLOOKUP("+2 Range", vote4TRAITS!A:C , 3, FALSE),
IFERROR(SEARCH("+3 Range", L180),) &gt; 0,VLOOKUP("+3 Range", vote4TRAITS!A:C , 3, FALSE),
0=0,0)
,
IFS(
IFERROR(SEARCH("Sorcery 1", L180),) &gt; 0 ,VLOOKUP("Sorcery 1", vote4TRAITS!A:C , 3, FALSE),
IFERROR(SEARCH("Sorcery 2", L180),) &gt; 0 ,VLOOKUP("Sorcery 2", vote4TRAITS!A:C , 3, FALSE),
IFERROR(SEARCH("Sorcery 3", L180),) &gt; 0,VLOOKUP("Sorcery 3", vote4TRAITS!A:C , 3, FALSE),
0=0,0)
,
IFS(
IFERROR(SEARCH("Pierce 1", L180),) &gt; 0 ,VLOOKUP("Pierce 1", vote4TRAITS!A:C , 3, FALSE),
IFERROR(SEARCH("Pierce 2", L180),) &gt; 0 ,VLOOKUP("Pierce 2", vote4TRAITS!A:C , 3, FALSE),
IFERROR(SEARCH("Pierce 3", L180),) &gt; 0,VLOOKUP("Pierce 3", vote4TRAITS!A:C , 3, FALSE),
IFERROR(SEARCH("Pierce 4", L180),) &gt; 0 ,VLOOKUP("Pierce 4", vote4TRAITS!A:C , 3, FALSE),
0=0,0)
,
IFS(
IFERROR(SEARCH("+1 Health", L180),) &gt; 0 ,VLOOKUP("+1 Health", vote4TRAITS!A:C , 3, FALSE),
IFERROR(SEARCH("+2 Health", L180),) &gt; 0 ,VLOOKUP("+2 Health", vote4TRAITS!A:C , 3, FALSE),
IFERROR(SEARCH("+3 Health", L180),) &gt; 0 ,VLOOKUP("+3 Health", vote4TRAITS!A:C , 3, FALSE),
IFERROR(SEARCH("+4 Health", L180),) &gt; 0 ,VLOOKUP("+4 Health", vote4TRAITS!A:C , 3, FALSE),
0=0,0)
,
IFS(
IFERROR(SEARCH("Soul Shackle 1", L180),) &gt; 0 ,VLOOKUP("Soul Shackle 1", vote4TRAITS!A:C , 3, FALSE),
IFERROR(SEARCH("Soul Shackle 2", L180),) &gt; 0 ,VLOOKUP("Soul Shackle 2", vote4TRAITS!A:C , 3, FALSE),
IFERROR(SEARCH("Soul Shackle 3", L180),) &gt; 0,VLOOKUP("Soul Shackle 3", vote4TRAITS!A:C , 3, FALSE),
0=0,0)
)</f>
        <v>0</v>
      </c>
      <c r="N180" s="313"/>
      <c r="O180" s="317" t="str">
        <f>IF(ISBLANK(N180),,IFERROR(
IF(IFERROR(SEARCH("SS:",N180),0) &gt; 0, 
VLOOKUP(SUBSTITUTE(N180,"SS: ",""),vote4SURGE!$A:$C , 3, FALSE) - 2,
VLOOKUP(SUBSTITUTE(N180,"S: ",""),vote4SURGE!$A:$C , 3, FALSE)
)
,
IF(IFERROR(SEARCH("SS:",N180),0) &gt; 0, 
VLOOKUP(C180,vote4SURGE!$A:$C , 3, FALSE) - 2,
VLOOKUP(C180,vote4SURGE!$A:$C , 3, FALSE)
)
))</f>
        <v/>
      </c>
      <c r="P180" s="318"/>
      <c r="Q180" s="317" t="str">
        <f>IF(ISBLANK(P180),,IFERROR(
IF(IFERROR(SEARCH("SS:",P180),0) &gt; 0, 
VLOOKUP(SUBSTITUTE(P180,"SS: ",""),vote4SURGE!$A:$C , 3, FALSE) - 2,
VLOOKUP(SUBSTITUTE(P180,"S: ",""),vote4SURGE!$A:$C , 3, FALSE)
)
,
IF(IFERROR(SEARCH("SS:",P180),0) &gt; 0, 
VLOOKUP(C180,vote4SURGE!$A:$C , 3, FALSE) - 2,
VLOOKUP(C180,vote4SURGE!$A:$C , 3, FALSE)
)
))</f>
        <v/>
      </c>
      <c r="R180" s="318"/>
      <c r="S180" s="319" t="str">
        <f>IF(ISBLANK(R180),,IFERROR(
IF(IFERROR(SEARCH("SS:",R180),0) &gt; 0, 
VLOOKUP(SUBSTITUTE(R180,"SS: ",""),vote4SURGE!$A:$C , 3, FALSE) - 2,
VLOOKUP(SUBSTITUTE(R180,"S: ",""),vote4SURGE!$A:$C , 3, FALSE)
)
,
IF(IFERROR(SEARCH("SS:",R180),0) &gt; 0, 
VLOOKUP(C180,vote4SURGE!$A:$C , 3, FALSE) - 2,
VLOOKUP(C180,vote4SURGE!$A:$C , 3, FALSE)
)
))</f>
        <v/>
      </c>
      <c r="T180" s="320">
        <f t="shared" si="2"/>
        <v>0</v>
      </c>
      <c r="U180" s="320">
        <f>IFERROR(__xludf.DUMMYFUNCTION("ROUND(
IF(ISBLANK(G180),,
SWITCH(
LEN(G180) - LEN(SUBSTITUTE(G180,"","","""")),
0 , VLOOKUP(G180, Variables!$A:$C, 3, FALSE),
1 , VLOOKUP(index(split(G180 ,"", "", FALSE),1,1), Variables!$A:$C , 3, FALSE) + VLOOKUP(index(split(G180 ,"", "", FALSE),1,2), V"&amp;"ariables!$A:$C , 3, FALSE),
2 , VLOOKUP(index(split(G180 ,"", "", FALSE),1,1), Variables!$A:$C , 3, FALSE) + VLOOKUP(index(split(G180 ,"", "", FALSE),1,2), Variables!$A:$C , 3, FALSE) + VLOOKUP(index(split(G180 ,"", "", FALSE),1,3), Variables!$A:$C , 3, F"&amp;"ALSE),
3 , VLOOKUP(index(split(G180 ,"", "", FALSE),1,1), Variables!$A:$C , 3, FALSE) + VLOOKUP(index(split(G180 ,"", "", FALSE),1,2), Variables!$A:$C , 3, FALSE) + VLOOKUP(index(split(G180 ,"", "", FALSE),1,3), Variables!$A:$C , 3, FALSE) + VLOOKUP(index"&amp;"(split(G180 ,"", "", FALSE),1,4), Variables!$A:$C , 3, FALSE),
)
)
)"),0.0)</f>
        <v>0</v>
      </c>
      <c r="V180" s="317">
        <f t="shared" si="3"/>
        <v>0</v>
      </c>
      <c r="W180" s="321">
        <f t="shared" si="4"/>
        <v>0</v>
      </c>
      <c r="X180" s="118"/>
      <c r="Y180" s="118"/>
      <c r="Z180" s="118"/>
      <c r="AA180" s="118"/>
      <c r="AB180" s="118"/>
      <c r="AC180" s="118"/>
      <c r="AD180" s="118"/>
      <c r="AE180" s="118"/>
    </row>
    <row r="181" hidden="1">
      <c r="A181" s="310">
        <v>2.0</v>
      </c>
      <c r="B181" s="93">
        <f t="shared" si="1"/>
        <v>5</v>
      </c>
      <c r="C181" s="310" t="s">
        <v>689</v>
      </c>
      <c r="D181" s="310">
        <v>125.0</v>
      </c>
      <c r="E181" s="310" t="s">
        <v>1629</v>
      </c>
      <c r="F181" s="310"/>
      <c r="G181" s="313"/>
      <c r="H181" s="312" t="str">
        <f>IFERROR(__xludf.DUMMYFUNCTION(" IF(ISBLANK(G181),,
SWITCH(
LEN(G181) - LEN(SUBSTITUTE(G181,"","","""")),
0 , VLOOKUP(G181, Variables!$A:$B, 2, FALSE),
1 , VLOOKUP(index(split(G181 ,"", "", FALSE),1,1), Variables!$A:$B , 2, FALSE) + VLOOKUP(index(split(G181 ,"", "", FALSE),1,2), Variabl"&amp;"es!$A:$B , 2, FALSE),
2 , VLOOKUP(index(split(G181 ,"", "", FALSE),1,1), Variables!$A:$B , 2, FALSE) + VLOOKUP(index(split(G181 ,"", "", FALSE),1,2), Variables!$A:$B , 2, FALSE) + VLOOKUP(index(split(G181 ,"", "", FALSE),1,3), Variables!$A:$B , 2, FALSE),"&amp;"
3 , VLOOKUP(index(split(G181 ,"", "", FALSE),1,1), Variables!$A:$B , 2, FALSE) + VLOOKUP(index(split(G181 ,"", "", FALSE),1,2), Variables!$A:$B , 2, FALSE) + VLOOKUP(index(split(G181 ,"", "", FALSE),1,3), Variables!$A:$B , 2, FALSE) + VLOOKUP(index(split"&amp;"(G181 ,"", "", FALSE),1,4), Variables!$A:$B , 2, FALSE),
)
)"),"")</f>
        <v/>
      </c>
      <c r="I181" s="310" t="s">
        <v>1659</v>
      </c>
      <c r="J181" s="313" t="s">
        <v>690</v>
      </c>
      <c r="K181" s="314">
        <f>IFERROR(VLOOKUP(C181,vote4ITEMS!$A:$C, 3, FALSE),)</f>
        <v>0</v>
      </c>
      <c r="L181" s="313"/>
      <c r="M181" s="314">
        <f>SUM(
IF(IFERROR(SEARCH("Aura 1",L181),0) &gt; 0 , VLOOKUP("Aura 1", vote4TRAITS!A:C , 3, FALSE), ),
IF(IFERROR(SEARCH("Backswing",L181),0) &gt; 0 , VLOOKUP("Backswing", vote4TRAITS!A:C , 3, FALSE), ),
IF(IFERROR(SEARCH("Blast",L181),0) &gt; 0 , VLOOKUP("Blast", vote4TRAITS!A:C , 3, FALSE), ),
IF(IFERROR(SEARCH("Combustible",L181),0) &gt; 0 , VLOOKUP("Combustible", vote4TRAITS!A:C , 3, FALSE), ),
IF(IFERROR(SEARCH("Command",L181),0) &gt; 0 , VLOOKUP("Command", vote4TRAITS!A:C , 3, FALSE), ),
IF(IFERROR(SEARCH("Cowardly",L181),0) &gt; 0 , VLOOKUP("Cowardly", vote4TRAITS!A:C , 3, FALSE), ),
IF(IFERROR(SEARCH("Death Wish",L181),0) &gt; 0 , VLOOKUP("Death Wish", vote4TRAITS!A:C , 3, FALSE), ),
IF(IFERROR(SEARCH("Entomb",L181),0) &gt; 0 , VLOOKUP("Entomb", vote4TRAITS!A:C , 3, FALSE), ),
IF(IFERROR(SEARCH("Ethereal Hold",L181),0) &gt; 0 , VLOOKUP("Ethereal Hold", vote4TRAITS!A:C , 3, FALSE), ),
IF(IFERROR(SEARCH("Extend",L181),0) &gt; 0 , VLOOKUP("Extend", vote4TRAITS!A:C , 3, FALSE), ),
IF(IFERROR(SEARCH("Filthy Murk",L181),0) &gt; 0 , VLOOKUP("Filthy Murk", vote4TRAITS!A:C , 3, FALSE), ),
IF(IFERROR(SEARCH("Flame Fiend",L181),0) &gt; 0 , VLOOKUP("Flame Fiend", vote4TRAITS!A:C , 3, FALSE), ),
IF(IFERROR(SEARCH("Fleshmonger",L181),0) &gt; 0 , VLOOKUP("Fleshmonger", vote4TRAITS!A:C , 3, FALSE), ),
IF(IFERROR(SEARCH("Fly",L181),0) &gt; 0 , VLOOKUP("Fly", vote4TRAITS!A:C , 3, FALSE), ),
IF(IFERROR(SEARCH("Freezing",L181),0) &gt; 0 , VLOOKUP("Freezing", vote4TRAITS!A:C , 3, FALSE), ),
IF(IFERROR(SEARCH("Lithesome",L181),0) &gt; 0 , VLOOKUP("Lithesome", vote4TRAITS!A:C , 3, FALSE), ),
IF(IFERROR(SEARCH("Harrowing",L181),0) &gt; 0 , VLOOKUP("Harrowing", vote4TRAITS!A:C , 3, FALSE), ),
IF(IFERROR(SEARCH("Hideous Laughter",L181),0) &gt; 0 , VLOOKUP("Hideous Laughter", vote4TRAITS!A:C , 3, FALSE), ),
IF(IFERROR(SEARCH("Hive Defense",L181),0) &gt; 0 , VLOOKUP("Hive Defense", vote4TRAITS!A:C , 3, FALSE), ),
IF(IFERROR(SEARCH("Horrifying",L181),0) &gt; 0 , VLOOKUP("Horrifying", vote4TRAITS!A:C , 3, FALSE), ),
IF(IFERROR(SEARCH("Ironskin",L181),0) &gt; 0 , VLOOKUP("Ironskin", vote4TRAITS!A:C , 3, FALSE), ),
IF(IFERROR(SEARCH("Unmovable",L181),0) &gt; 0 , VLOOKUP("Unmovable", vote4TRAITS!A:C , 3, FALSE), ),
IF(IFERROR(SEARCH("Lifethirst 1",L181),0) &gt; 0 , VLOOKUP("Lifethirst 1", vote4TRAITS!A:C , 3, FALSE), ),
IF(IFERROR(SEARCH("Lifethirst 2",L181),0) &gt; 0 , VLOOKUP("Lifethirst 2", vote4TRAITS!A:C , 3, FALSE), ),
IF(IFERROR(SEARCH("Morph",L181),0) &gt; 0 , VLOOKUP("Morph", vote4TRAITS!A:C , 3, FALSE), ),
IF(IFERROR(SEARCH("Night Stalker",L181),0) &gt; 0 , VLOOKUP("Night Stalker", vote4TRAITS!A:C , 3, FALSE), ),
IF(IFERROR(SEARCH("Overflowing",L181),0) &gt; 0 , VLOOKUP("Overflowing", vote4TRAITS!A:C , 3, FALSE), ),
IF(IFERROR(SEARCH("Pestilence",L181),0) &gt; 0 , VLOOKUP("Pestilence", vote4TRAITS!A:C , 3, FALSE), ),
IF(IFERROR(SEARCH("Phalanx",L181),0) &gt; 0 , VLOOKUP("Phalanx", vote4TRAITS!A:C , 3, FALSE), ),
IF(IFERROR(SEARCH("Plagued",L181),0) &gt; 0 , VLOOKUP("Plagued", vote4TRAITS!A:C , 3, FALSE), ),
IF(IFERROR(SEARCH("Prey on the Weak",L181),0) &gt; 0 , VLOOKUP("Prey on the Weak", vote4TRAITS!A:C , 3, FALSE), ),
IF(IFERROR(SEARCH("Protect",L181),0) &gt; 0 , VLOOKUP("Protect", vote4TRAITS!A:C , 3, FALSE), ),
IF(IFERROR(SEARCH("Puncture",L181),0) &gt; 0 , VLOOKUP("Puncture", vote4TRAITS!A:C , 3, FALSE), ),
IF(IFERROR(SEARCH("Putrid Boils",L181),0) &gt; 0 , VLOOKUP("Putrid Boils", vote4TRAITS!A:C , 3, FALSE), ),
IF(IFERROR(SEARCH("Ravage",L181),0) &gt; 0 , VLOOKUP("Ravage", vote4TRAITS!A:C , 3, FALSE), ),
IF(IFERROR(SEARCH("Ravenous",L181),0) &gt; 0 , VLOOKUP("Ravenous", vote4TRAITS!A:C , 3, FALSE), ),
IF(IFERROR(SEARCH("Reach",L181),0) &gt; 0 , VLOOKUP("Reach", vote4TRAITS!A:C , 3, FALSE), ),
IF(IFERROR(SEARCH("Reanimation",L181),0) &gt; 0 , VLOOKUP("Reanimation", vote4TRAITS!A:C , 3, FALSE), ),
IF(IFERROR(SEARCH("Reaper",L181),0) &gt; 0 , VLOOKUP("Reaper", vote4TRAITS!A:C , 3, FALSE), ),
IF(IFERROR(SEARCH("Riposte",L181),0) &gt; 0 , VLOOKUP("Riposte", vote4TRAITS!A:C , 3, FALSE)),
IF(IFERROR(SEARCH("Scamper",L181),0) &gt; 0 , VLOOKUP("Scamper", vote4TRAITS!A:C , 3, FALSE), ),
IF(IFERROR(SEARCH("Small Beginnings",L181),0) &gt; 0 , VLOOKUP("Small Beginnings", vote4TRAITS!A:C , 3, FALSE), ),
IF(IFERROR(SEARCH("Spawner",L181),0) &gt; 0 , VLOOKUP("Spawner", vote4TRAITS!A:C , 3,FALSE), ),
IF(IFERROR(SEARCH("Shadowr",L181),0) &gt; 0 , VLOOKUP("Shadow", vote4TRAITS!A:C , 3,FALSE), ),
IF(IFERROR(SEARCH("Shadow Step",L181),0) &gt; 0 , VLOOKUP("Shadow Step", vote4TRAITS!A:C , 3,FALSE), ),
IF(IFERROR(SEARCH("Shambling",L181),0) &gt; 0 , VLOOKUP("Shambling", vote4TRAITS!A:C , 3,FALSE), ),
IF(IFERROR(SEARCH("Stealthy",L181),0) &gt; 0 , VLOOKUP("Stealthy", vote4TRAITS!A:C , 3, FALSE), ),
IF(IFERROR(SEARCH("Web",L181),0) &gt; 0 , VLOOKUP("Web", vote4TRAITS!A:C , 3, FALSE), ),
IF(IFERROR(SEARCH("+1 Willpower",L181),0) &gt; 0 , VLOOKUP("+1 Willpower", vote4TRAITS!A:C , 3, FALSE), ),
IF(IFERROR(SEARCH("+1 Might",L181),0) &gt; 0 , VLOOKUP("+1 Might", vote4TRAITS!A:C , 3, FALSE), ),
IF(IFERROR(SEARCH("+1 Knowledge",L181),0) &gt; 0 , VLOOKUP("+1 Knowledge", vote4TRAITS!A:C , 3, FALSE), ),
IF(IFERROR(SEARCH("+1 Awareness",L181),0) &gt; 0 , VLOOKUP("+1 Awareness", vote4TRAITS!A:C , 3, FALSE), ),
IF(IFERROR(SEARCH("-1 Willpower",L181),0) &gt; 0 , VLOOKUP("-1 Willpower", vote4TRAITS!A:C , 3, FALSE), ),
IF(IFERROR(SEARCH("+1 Health",L181),0) &gt; 0 , VLOOKUP("+1 Health", vote4TRAITS!A:C , 3, FALSE), ),
IF(IFERROR(SEARCH("+2 Health",L181),0) &gt; 0 , VLOOKUP("+2 Health", vote4TRAITS!A:C , 3, FALSE), ),
IF(IFERROR(SEARCH("+1 Stamina",L181),0) &gt; 0 , VLOOKUP("+1 Stamina", vote4TRAITS!A:C , 3, FALSE), ),
IF(IFERROR(SEARCH("+2 Stamina",L181),0) &gt; 0 , VLOOKUP("+2 Stamina", vote4TRAITS!A:C , 3, FALSE), ),
IFS(
IFERROR(SEARCH("+1 Range", L181),) &gt; 0 ,VLOOKUP("+1 Range", vote4TRAITS!A:C , 3, FALSE),
IFERROR(SEARCH("+2 Range", L181),) &gt; 0 ,VLOOKUP("+2 Range", vote4TRAITS!A:C , 3, FALSE),
IFERROR(SEARCH("+3 Range", L181),) &gt; 0,VLOOKUP("+3 Range", vote4TRAITS!A:C , 3, FALSE),
0=0,0)
,
IFS(
IFERROR(SEARCH("Sorcery 1", L181),) &gt; 0 ,VLOOKUP("Sorcery 1", vote4TRAITS!A:C , 3, FALSE),
IFERROR(SEARCH("Sorcery 2", L181),) &gt; 0 ,VLOOKUP("Sorcery 2", vote4TRAITS!A:C , 3, FALSE),
IFERROR(SEARCH("Sorcery 3", L181),) &gt; 0,VLOOKUP("Sorcery 3", vote4TRAITS!A:C , 3, FALSE),
0=0,0)
,
IFS(
IFERROR(SEARCH("Pierce 1", L181),) &gt; 0 ,VLOOKUP("Pierce 1", vote4TRAITS!A:C , 3, FALSE),
IFERROR(SEARCH("Pierce 2", L181),) &gt; 0 ,VLOOKUP("Pierce 2", vote4TRAITS!A:C , 3, FALSE),
IFERROR(SEARCH("Pierce 3", L181),) &gt; 0,VLOOKUP("Pierce 3", vote4TRAITS!A:C , 3, FALSE),
IFERROR(SEARCH("Pierce 4", L181),) &gt; 0 ,VLOOKUP("Pierce 4", vote4TRAITS!A:C , 3, FALSE),
0=0,0)
,
IFS(
IFERROR(SEARCH("+1 Health", L181),) &gt; 0 ,VLOOKUP("+1 Health", vote4TRAITS!A:C , 3, FALSE),
IFERROR(SEARCH("+2 Health", L181),) &gt; 0 ,VLOOKUP("+2 Health", vote4TRAITS!A:C , 3, FALSE),
IFERROR(SEARCH("+3 Health", L181),) &gt; 0 ,VLOOKUP("+3 Health", vote4TRAITS!A:C , 3, FALSE),
IFERROR(SEARCH("+4 Health", L181),) &gt; 0 ,VLOOKUP("+4 Health", vote4TRAITS!A:C , 3, FALSE),
0=0,0)
,
IFS(
IFERROR(SEARCH("Soul Shackle 1", L181),) &gt; 0 ,VLOOKUP("Soul Shackle 1", vote4TRAITS!A:C , 3, FALSE),
IFERROR(SEARCH("Soul Shackle 2", L181),) &gt; 0 ,VLOOKUP("Soul Shackle 2", vote4TRAITS!A:C , 3, FALSE),
IFERROR(SEARCH("Soul Shackle 3", L181),) &gt; 0,VLOOKUP("Soul Shackle 3", vote4TRAITS!A:C , 3, FALSE),
0=0,0)
)</f>
        <v>0</v>
      </c>
      <c r="N181" s="313"/>
      <c r="O181" s="317" t="str">
        <f>IF(ISBLANK(N181),,IFERROR(
IF(IFERROR(SEARCH("SS:",N181),0) &gt; 0, 
VLOOKUP(SUBSTITUTE(N181,"SS: ",""),vote4SURGE!$A:$C , 3, FALSE) - 2,
VLOOKUP(SUBSTITUTE(N181,"S: ",""),vote4SURGE!$A:$C , 3, FALSE)
)
,
IF(IFERROR(SEARCH("SS:",N181),0) &gt; 0, 
VLOOKUP(C181,vote4SURGE!$A:$C , 3, FALSE) - 2,
VLOOKUP(C181,vote4SURGE!$A:$C , 3, FALSE)
)
))</f>
        <v/>
      </c>
      <c r="P181" s="318"/>
      <c r="Q181" s="317" t="str">
        <f>IF(ISBLANK(P181),,IFERROR(
IF(IFERROR(SEARCH("SS:",P181),0) &gt; 0, 
VLOOKUP(SUBSTITUTE(P181,"SS: ",""),vote4SURGE!$A:$C , 3, FALSE) - 2,
VLOOKUP(SUBSTITUTE(P181,"S: ",""),vote4SURGE!$A:$C , 3, FALSE)
)
,
IF(IFERROR(SEARCH("SS:",P181),0) &gt; 0, 
VLOOKUP(C181,vote4SURGE!$A:$C , 3, FALSE) - 2,
VLOOKUP(C181,vote4SURGE!$A:$C , 3, FALSE)
)
))</f>
        <v/>
      </c>
      <c r="R181" s="318"/>
      <c r="S181" s="319" t="str">
        <f>IF(ISBLANK(R181),,IFERROR(
IF(IFERROR(SEARCH("SS:",R181),0) &gt; 0, 
VLOOKUP(SUBSTITUTE(R181,"SS: ",""),vote4SURGE!$A:$C , 3, FALSE) - 2,
VLOOKUP(SUBSTITUTE(R181,"S: ",""),vote4SURGE!$A:$C , 3, FALSE)
)
,
IF(IFERROR(SEARCH("SS:",R181),0) &gt; 0, 
VLOOKUP(C181,vote4SURGE!$A:$C , 3, FALSE) - 2,
VLOOKUP(C181,vote4SURGE!$A:$C , 3, FALSE)
)
))</f>
        <v/>
      </c>
      <c r="T181" s="320">
        <f t="shared" si="2"/>
        <v>0</v>
      </c>
      <c r="U181" s="320">
        <f>IFERROR(__xludf.DUMMYFUNCTION("ROUND(
IF(ISBLANK(G181),,
SWITCH(
LEN(G181) - LEN(SUBSTITUTE(G181,"","","""")),
0 , VLOOKUP(G181, Variables!$A:$C, 3, FALSE),
1 , VLOOKUP(index(split(G181 ,"", "", FALSE),1,1), Variables!$A:$C , 3, FALSE) + VLOOKUP(index(split(G181 ,"", "", FALSE),1,2), V"&amp;"ariables!$A:$C , 3, FALSE),
2 , VLOOKUP(index(split(G181 ,"", "", FALSE),1,1), Variables!$A:$C , 3, FALSE) + VLOOKUP(index(split(G181 ,"", "", FALSE),1,2), Variables!$A:$C , 3, FALSE) + VLOOKUP(index(split(G181 ,"", "", FALSE),1,3), Variables!$A:$C , 3, F"&amp;"ALSE),
3 , VLOOKUP(index(split(G181 ,"", "", FALSE),1,1), Variables!$A:$C , 3, FALSE) + VLOOKUP(index(split(G181 ,"", "", FALSE),1,2), Variables!$A:$C , 3, FALSE) + VLOOKUP(index(split(G181 ,"", "", FALSE),1,3), Variables!$A:$C , 3, FALSE) + VLOOKUP(index"&amp;"(split(G181 ,"", "", FALSE),1,4), Variables!$A:$C , 3, FALSE),
)
)
)"),0.0)</f>
        <v>0</v>
      </c>
      <c r="V181" s="317">
        <f t="shared" si="3"/>
        <v>0</v>
      </c>
      <c r="W181" s="321">
        <f t="shared" si="4"/>
        <v>0</v>
      </c>
      <c r="X181" s="118"/>
      <c r="Y181" s="118"/>
      <c r="Z181" s="118"/>
      <c r="AA181" s="118"/>
      <c r="AB181" s="118"/>
      <c r="AC181" s="118"/>
      <c r="AD181" s="118"/>
      <c r="AE181" s="118"/>
    </row>
    <row r="182" hidden="1">
      <c r="A182" s="310">
        <v>1.0</v>
      </c>
      <c r="B182" s="93">
        <f t="shared" si="1"/>
        <v>1</v>
      </c>
      <c r="C182" s="310" t="s">
        <v>924</v>
      </c>
      <c r="D182" s="310">
        <v>75.0</v>
      </c>
      <c r="E182" s="310" t="s">
        <v>1629</v>
      </c>
      <c r="F182" s="310"/>
      <c r="G182" s="313"/>
      <c r="H182" s="312" t="str">
        <f>IFERROR(__xludf.DUMMYFUNCTION(" IF(ISBLANK(G182),,
SWITCH(
LEN(G182) - LEN(SUBSTITUTE(G182,"","","""")),
0 , VLOOKUP(G182, Variables!$A:$B, 2, FALSE),
1 , VLOOKUP(index(split(G182 ,"", "", FALSE),1,1), Variables!$A:$B , 2, FALSE) + VLOOKUP(index(split(G182 ,"", "", FALSE),1,2), Variabl"&amp;"es!$A:$B , 2, FALSE),
2 , VLOOKUP(index(split(G182 ,"", "", FALSE),1,1), Variables!$A:$B , 2, FALSE) + VLOOKUP(index(split(G182 ,"", "", FALSE),1,2), Variables!$A:$B , 2, FALSE) + VLOOKUP(index(split(G182 ,"", "", FALSE),1,3), Variables!$A:$B , 2, FALSE),"&amp;"
3 , VLOOKUP(index(split(G182 ,"", "", FALSE),1,1), Variables!$A:$B , 2, FALSE) + VLOOKUP(index(split(G182 ,"", "", FALSE),1,2), Variables!$A:$B , 2, FALSE) + VLOOKUP(index(split(G182 ,"", "", FALSE),1,3), Variables!$A:$B , 2, FALSE) + VLOOKUP(index(split"&amp;"(G182 ,"", "", FALSE),1,4), Variables!$A:$B , 2, FALSE),
)
)"),"")</f>
        <v/>
      </c>
      <c r="I182" s="310" t="s">
        <v>1641</v>
      </c>
      <c r="J182" s="313" t="s">
        <v>925</v>
      </c>
      <c r="K182" s="314">
        <f>IFERROR(VLOOKUP(C182,vote4ITEMS!$A:$C, 3, FALSE),)</f>
        <v>-1.333333333</v>
      </c>
      <c r="L182" s="311" t="s">
        <v>1682</v>
      </c>
      <c r="M182" s="314">
        <f>SUM(
IF(IFERROR(SEARCH("Aura 1",L182),0) &gt; 0 , VLOOKUP("Aura 1", vote4TRAITS!A:C , 3, FALSE), ),
IF(IFERROR(SEARCH("Backswing",L182),0) &gt; 0 , VLOOKUP("Backswing", vote4TRAITS!A:C , 3, FALSE), ),
IF(IFERROR(SEARCH("Blast",L182),0) &gt; 0 , VLOOKUP("Blast", vote4TRAITS!A:C , 3, FALSE), ),
IF(IFERROR(SEARCH("Combustible",L182),0) &gt; 0 , VLOOKUP("Combustible", vote4TRAITS!A:C , 3, FALSE), ),
IF(IFERROR(SEARCH("Command",L182),0) &gt; 0 , VLOOKUP("Command", vote4TRAITS!A:C , 3, FALSE), ),
IF(IFERROR(SEARCH("Cowardly",L182),0) &gt; 0 , VLOOKUP("Cowardly", vote4TRAITS!A:C , 3, FALSE), ),
IF(IFERROR(SEARCH("Death Wish",L182),0) &gt; 0 , VLOOKUP("Death Wish", vote4TRAITS!A:C , 3, FALSE), ),
IF(IFERROR(SEARCH("Entomb",L182),0) &gt; 0 , VLOOKUP("Entomb", vote4TRAITS!A:C , 3, FALSE), ),
IF(IFERROR(SEARCH("Ethereal Hold",L182),0) &gt; 0 , VLOOKUP("Ethereal Hold", vote4TRAITS!A:C , 3, FALSE), ),
IF(IFERROR(SEARCH("Extend",L182),0) &gt; 0 , VLOOKUP("Extend", vote4TRAITS!A:C , 3, FALSE), ),
IF(IFERROR(SEARCH("Filthy Murk",L182),0) &gt; 0 , VLOOKUP("Filthy Murk", vote4TRAITS!A:C , 3, FALSE), ),
IF(IFERROR(SEARCH("Flame Fiend",L182),0) &gt; 0 , VLOOKUP("Flame Fiend", vote4TRAITS!A:C , 3, FALSE), ),
IF(IFERROR(SEARCH("Fleshmonger",L182),0) &gt; 0 , VLOOKUP("Fleshmonger", vote4TRAITS!A:C , 3, FALSE), ),
IF(IFERROR(SEARCH("Fly",L182),0) &gt; 0 , VLOOKUP("Fly", vote4TRAITS!A:C , 3, FALSE), ),
IF(IFERROR(SEARCH("Freezing",L182),0) &gt; 0 , VLOOKUP("Freezing", vote4TRAITS!A:C , 3, FALSE), ),
IF(IFERROR(SEARCH("Lithesome",L182),0) &gt; 0 , VLOOKUP("Lithesome", vote4TRAITS!A:C , 3, FALSE), ),
IF(IFERROR(SEARCH("Harrowing",L182),0) &gt; 0 , VLOOKUP("Harrowing", vote4TRAITS!A:C , 3, FALSE), ),
IF(IFERROR(SEARCH("Hideous Laughter",L182),0) &gt; 0 , VLOOKUP("Hideous Laughter", vote4TRAITS!A:C , 3, FALSE), ),
IF(IFERROR(SEARCH("Hive Defense",L182),0) &gt; 0 , VLOOKUP("Hive Defense", vote4TRAITS!A:C , 3, FALSE), ),
IF(IFERROR(SEARCH("Horrifying",L182),0) &gt; 0 , VLOOKUP("Horrifying", vote4TRAITS!A:C , 3, FALSE), ),
IF(IFERROR(SEARCH("Ironskin",L182),0) &gt; 0 , VLOOKUP("Ironskin", vote4TRAITS!A:C , 3, FALSE), ),
IF(IFERROR(SEARCH("Unmovable",L182),0) &gt; 0 , VLOOKUP("Unmovable", vote4TRAITS!A:C , 3, FALSE), ),
IF(IFERROR(SEARCH("Lifethirst 1",L182),0) &gt; 0 , VLOOKUP("Lifethirst 1", vote4TRAITS!A:C , 3, FALSE), ),
IF(IFERROR(SEARCH("Lifethirst 2",L182),0) &gt; 0 , VLOOKUP("Lifethirst 2", vote4TRAITS!A:C , 3, FALSE), ),
IF(IFERROR(SEARCH("Morph",L182),0) &gt; 0 , VLOOKUP("Morph", vote4TRAITS!A:C , 3, FALSE), ),
IF(IFERROR(SEARCH("Night Stalker",L182),0) &gt; 0 , VLOOKUP("Night Stalker", vote4TRAITS!A:C , 3, FALSE), ),
IF(IFERROR(SEARCH("Overflowing",L182),0) &gt; 0 , VLOOKUP("Overflowing", vote4TRAITS!A:C , 3, FALSE), ),
IF(IFERROR(SEARCH("Pestilence",L182),0) &gt; 0 , VLOOKUP("Pestilence", vote4TRAITS!A:C , 3, FALSE), ),
IF(IFERROR(SEARCH("Phalanx",L182),0) &gt; 0 , VLOOKUP("Phalanx", vote4TRAITS!A:C , 3, FALSE), ),
IF(IFERROR(SEARCH("Plagued",L182),0) &gt; 0 , VLOOKUP("Plagued", vote4TRAITS!A:C , 3, FALSE), ),
IF(IFERROR(SEARCH("Prey on the Weak",L182),0) &gt; 0 , VLOOKUP("Prey on the Weak", vote4TRAITS!A:C , 3, FALSE), ),
IF(IFERROR(SEARCH("Protect",L182),0) &gt; 0 , VLOOKUP("Protect", vote4TRAITS!A:C , 3, FALSE), ),
IF(IFERROR(SEARCH("Puncture",L182),0) &gt; 0 , VLOOKUP("Puncture", vote4TRAITS!A:C , 3, FALSE), ),
IF(IFERROR(SEARCH("Putrid Boils",L182),0) &gt; 0 , VLOOKUP("Putrid Boils", vote4TRAITS!A:C , 3, FALSE), ),
IF(IFERROR(SEARCH("Ravage",L182),0) &gt; 0 , VLOOKUP("Ravage", vote4TRAITS!A:C , 3, FALSE), ),
IF(IFERROR(SEARCH("Ravenous",L182),0) &gt; 0 , VLOOKUP("Ravenous", vote4TRAITS!A:C , 3, FALSE), ),
IF(IFERROR(SEARCH("Reach",L182),0) &gt; 0 , VLOOKUP("Reach", vote4TRAITS!A:C , 3, FALSE), ),
IF(IFERROR(SEARCH("Reanimation",L182),0) &gt; 0 , VLOOKUP("Reanimation", vote4TRAITS!A:C , 3, FALSE), ),
IF(IFERROR(SEARCH("Reaper",L182),0) &gt; 0 , VLOOKUP("Reaper", vote4TRAITS!A:C , 3, FALSE), ),
IF(IFERROR(SEARCH("Riposte",L182),0) &gt; 0 , VLOOKUP("Riposte", vote4TRAITS!A:C , 3, FALSE)),
IF(IFERROR(SEARCH("Scamper",L182),0) &gt; 0 , VLOOKUP("Scamper", vote4TRAITS!A:C , 3, FALSE), ),
IF(IFERROR(SEARCH("Small Beginnings",L182),0) &gt; 0 , VLOOKUP("Small Beginnings", vote4TRAITS!A:C , 3, FALSE), ),
IF(IFERROR(SEARCH("Spawner",L182),0) &gt; 0 , VLOOKUP("Spawner", vote4TRAITS!A:C , 3,FALSE), ),
IF(IFERROR(SEARCH("Shadowr",L182),0) &gt; 0 , VLOOKUP("Shadow", vote4TRAITS!A:C , 3,FALSE), ),
IF(IFERROR(SEARCH("Shadow Step",L182),0) &gt; 0 , VLOOKUP("Shadow Step", vote4TRAITS!A:C , 3,FALSE), ),
IF(IFERROR(SEARCH("Shambling",L182),0) &gt; 0 , VLOOKUP("Shambling", vote4TRAITS!A:C , 3,FALSE), ),
IF(IFERROR(SEARCH("Stealthy",L182),0) &gt; 0 , VLOOKUP("Stealthy", vote4TRAITS!A:C , 3, FALSE), ),
IF(IFERROR(SEARCH("Web",L182),0) &gt; 0 , VLOOKUP("Web", vote4TRAITS!A:C , 3, FALSE), ),
IF(IFERROR(SEARCH("+1 Willpower",L182),0) &gt; 0 , VLOOKUP("+1 Willpower", vote4TRAITS!A:C , 3, FALSE), ),
IF(IFERROR(SEARCH("+1 Might",L182),0) &gt; 0 , VLOOKUP("+1 Might", vote4TRAITS!A:C , 3, FALSE), ),
IF(IFERROR(SEARCH("+1 Knowledge",L182),0) &gt; 0 , VLOOKUP("+1 Knowledge", vote4TRAITS!A:C , 3, FALSE), ),
IF(IFERROR(SEARCH("+1 Awareness",L182),0) &gt; 0 , VLOOKUP("+1 Awareness", vote4TRAITS!A:C , 3, FALSE), ),
IF(IFERROR(SEARCH("-1 Willpower",L182),0) &gt; 0 , VLOOKUP("-1 Willpower", vote4TRAITS!A:C , 3, FALSE), ),
IF(IFERROR(SEARCH("+1 Health",L182),0) &gt; 0 , VLOOKUP("+1 Health", vote4TRAITS!A:C , 3, FALSE), ),
IF(IFERROR(SEARCH("+2 Health",L182),0) &gt; 0 , VLOOKUP("+2 Health", vote4TRAITS!A:C , 3, FALSE), ),
IF(IFERROR(SEARCH("+1 Stamina",L182),0) &gt; 0 , VLOOKUP("+1 Stamina", vote4TRAITS!A:C , 3, FALSE), ),
IF(IFERROR(SEARCH("+2 Stamina",L182),0) &gt; 0 , VLOOKUP("+2 Stamina", vote4TRAITS!A:C , 3, FALSE), ),
IFS(
IFERROR(SEARCH("+1 Range", L182),) &gt; 0 ,VLOOKUP("+1 Range", vote4TRAITS!A:C , 3, FALSE),
IFERROR(SEARCH("+2 Range", L182),) &gt; 0 ,VLOOKUP("+2 Range", vote4TRAITS!A:C , 3, FALSE),
IFERROR(SEARCH("+3 Range", L182),) &gt; 0,VLOOKUP("+3 Range", vote4TRAITS!A:C , 3, FALSE),
0=0,0)
,
IFS(
IFERROR(SEARCH("Sorcery 1", L182),) &gt; 0 ,VLOOKUP("Sorcery 1", vote4TRAITS!A:C , 3, FALSE),
IFERROR(SEARCH("Sorcery 2", L182),) &gt; 0 ,VLOOKUP("Sorcery 2", vote4TRAITS!A:C , 3, FALSE),
IFERROR(SEARCH("Sorcery 3", L182),) &gt; 0,VLOOKUP("Sorcery 3", vote4TRAITS!A:C , 3, FALSE),
0=0,0)
,
IFS(
IFERROR(SEARCH("Pierce 1", L182),) &gt; 0 ,VLOOKUP("Pierce 1", vote4TRAITS!A:C , 3, FALSE),
IFERROR(SEARCH("Pierce 2", L182),) &gt; 0 ,VLOOKUP("Pierce 2", vote4TRAITS!A:C , 3, FALSE),
IFERROR(SEARCH("Pierce 3", L182),) &gt; 0,VLOOKUP("Pierce 3", vote4TRAITS!A:C , 3, FALSE),
IFERROR(SEARCH("Pierce 4", L182),) &gt; 0 ,VLOOKUP("Pierce 4", vote4TRAITS!A:C , 3, FALSE),
0=0,0)
,
IFS(
IFERROR(SEARCH("+1 Health", L182),) &gt; 0 ,VLOOKUP("+1 Health", vote4TRAITS!A:C , 3, FALSE),
IFERROR(SEARCH("+2 Health", L182),) &gt; 0 ,VLOOKUP("+2 Health", vote4TRAITS!A:C , 3, FALSE),
IFERROR(SEARCH("+3 Health", L182),) &gt; 0 ,VLOOKUP("+3 Health", vote4TRAITS!A:C , 3, FALSE),
IFERROR(SEARCH("+4 Health", L182),) &gt; 0 ,VLOOKUP("+4 Health", vote4TRAITS!A:C , 3, FALSE),
0=0,0)
,
IFS(
IFERROR(SEARCH("Soul Shackle 1", L182),) &gt; 0 ,VLOOKUP("Soul Shackle 1", vote4TRAITS!A:C , 3, FALSE),
IFERROR(SEARCH("Soul Shackle 2", L182),) &gt; 0 ,VLOOKUP("Soul Shackle 2", vote4TRAITS!A:C , 3, FALSE),
IFERROR(SEARCH("Soul Shackle 3", L182),) &gt; 0,VLOOKUP("Soul Shackle 3", vote4TRAITS!A:C , 3, FALSE),
0=0,0)
)</f>
        <v>1</v>
      </c>
      <c r="N182" s="313"/>
      <c r="O182" s="317" t="str">
        <f>IF(ISBLANK(N182),,IFERROR(
IF(IFERROR(SEARCH("SS:",N182),0) &gt; 0, 
VLOOKUP(SUBSTITUTE(N182,"SS: ",""),vote4SURGE!$A:$C , 3, FALSE) - 2,
VLOOKUP(SUBSTITUTE(N182,"S: ",""),vote4SURGE!$A:$C , 3, FALSE)
)
,
IF(IFERROR(SEARCH("SS:",N182),0) &gt; 0, 
VLOOKUP(C182,vote4SURGE!$A:$C , 3, FALSE) - 2,
VLOOKUP(C182,vote4SURGE!$A:$C , 3, FALSE)
)
))</f>
        <v/>
      </c>
      <c r="P182" s="318"/>
      <c r="Q182" s="317" t="str">
        <f>IF(ISBLANK(P182),,IFERROR(
IF(IFERROR(SEARCH("SS:",P182),0) &gt; 0, 
VLOOKUP(SUBSTITUTE(P182,"SS: ",""),vote4SURGE!$A:$C , 3, FALSE) - 2,
VLOOKUP(SUBSTITUTE(P182,"S: ",""),vote4SURGE!$A:$C , 3, FALSE)
)
,
IF(IFERROR(SEARCH("SS:",P182),0) &gt; 0, 
VLOOKUP(C182,vote4SURGE!$A:$C , 3, FALSE) - 2,
VLOOKUP(C182,vote4SURGE!$A:$C , 3, FALSE)
)
))</f>
        <v/>
      </c>
      <c r="R182" s="318"/>
      <c r="S182" s="319" t="str">
        <f>IF(ISBLANK(R182),,IFERROR(
IF(IFERROR(SEARCH("SS:",R182),0) &gt; 0, 
VLOOKUP(SUBSTITUTE(R182,"SS: ",""),vote4SURGE!$A:$C , 3, FALSE) - 2,
VLOOKUP(SUBSTITUTE(R182,"S: ",""),vote4SURGE!$A:$C , 3, FALSE)
)
,
IF(IFERROR(SEARCH("SS:",R182),0) &gt; 0, 
VLOOKUP(C182,vote4SURGE!$A:$C , 3, FALSE) - 2,
VLOOKUP(C182,vote4SURGE!$A:$C , 3, FALSE)
)
))</f>
        <v/>
      </c>
      <c r="T182" s="320">
        <f t="shared" si="2"/>
        <v>0</v>
      </c>
      <c r="U182" s="320">
        <f>IFERROR(__xludf.DUMMYFUNCTION("ROUND(
IF(ISBLANK(G182),,
SWITCH(
LEN(G182) - LEN(SUBSTITUTE(G182,"","","""")),
0 , VLOOKUP(G182, Variables!$A:$C, 3, FALSE),
1 , VLOOKUP(index(split(G182 ,"", "", FALSE),1,1), Variables!$A:$C , 3, FALSE) + VLOOKUP(index(split(G182 ,"", "", FALSE),1,2), V"&amp;"ariables!$A:$C , 3, FALSE),
2 , VLOOKUP(index(split(G182 ,"", "", FALSE),1,1), Variables!$A:$C , 3, FALSE) + VLOOKUP(index(split(G182 ,"", "", FALSE),1,2), Variables!$A:$C , 3, FALSE) + VLOOKUP(index(split(G182 ,"", "", FALSE),1,3), Variables!$A:$C , 3, F"&amp;"ALSE),
3 , VLOOKUP(index(split(G182 ,"", "", FALSE),1,1), Variables!$A:$C , 3, FALSE) + VLOOKUP(index(split(G182 ,"", "", FALSE),1,2), Variables!$A:$C , 3, FALSE) + VLOOKUP(index(split(G182 ,"", "", FALSE),1,3), Variables!$A:$C , 3, FALSE) + VLOOKUP(index"&amp;"(split(G182 ,"", "", FALSE),1,4), Variables!$A:$C , 3, FALSE),
)
)
)"),0.0)</f>
        <v>0</v>
      </c>
      <c r="V182" s="317">
        <f t="shared" si="3"/>
        <v>0</v>
      </c>
      <c r="W182" s="321">
        <f t="shared" si="4"/>
        <v>-0.3333333333</v>
      </c>
      <c r="X182" s="118"/>
      <c r="Y182" s="118"/>
      <c r="Z182" s="118"/>
      <c r="AA182" s="118"/>
      <c r="AB182" s="118"/>
      <c r="AC182" s="118"/>
      <c r="AD182" s="118"/>
      <c r="AE182" s="118"/>
    </row>
    <row r="183" hidden="1">
      <c r="A183" s="333">
        <v>2.0</v>
      </c>
      <c r="B183" s="93">
        <f t="shared" si="1"/>
        <v>5</v>
      </c>
      <c r="C183" s="333" t="s">
        <v>914</v>
      </c>
      <c r="D183" s="333">
        <v>175.0</v>
      </c>
      <c r="E183" s="333" t="s">
        <v>1629</v>
      </c>
      <c r="F183" s="333"/>
      <c r="G183" s="334"/>
      <c r="H183" s="312" t="str">
        <f>IFERROR(__xludf.DUMMYFUNCTION(" IF(ISBLANK(G183),,
SWITCH(
LEN(G183) - LEN(SUBSTITUTE(G183,"","","""")),
0 , VLOOKUP(G183, Variables!$A:$B, 2, FALSE),
1 , VLOOKUP(index(split(G183 ,"", "", FALSE),1,1), Variables!$A:$B , 2, FALSE) + VLOOKUP(index(split(G183 ,"", "", FALSE),1,2), Variabl"&amp;"es!$A:$B , 2, FALSE),
2 , VLOOKUP(index(split(G183 ,"", "", FALSE),1,1), Variables!$A:$B , 2, FALSE) + VLOOKUP(index(split(G183 ,"", "", FALSE),1,2), Variables!$A:$B , 2, FALSE) + VLOOKUP(index(split(G183 ,"", "", FALSE),1,3), Variables!$A:$B , 2, FALSE),"&amp;"
3 , VLOOKUP(index(split(G183 ,"", "", FALSE),1,1), Variables!$A:$B , 2, FALSE) + VLOOKUP(index(split(G183 ,"", "", FALSE),1,2), Variables!$A:$B , 2, FALSE) + VLOOKUP(index(split(G183 ,"", "", FALSE),1,3), Variables!$A:$B , 2, FALSE) + VLOOKUP(index(split"&amp;"(G183 ,"", "", FALSE),1,4), Variables!$A:$B , 2, FALSE),
)
)"),"")</f>
        <v/>
      </c>
      <c r="I183" s="333" t="s">
        <v>1641</v>
      </c>
      <c r="J183" s="334" t="s">
        <v>915</v>
      </c>
      <c r="K183" s="335">
        <f>IFERROR(VLOOKUP(C183,vote4ITEMS!$A:$C, 3, FALSE),)</f>
        <v>0.3333333333</v>
      </c>
      <c r="L183" s="334"/>
      <c r="M183" s="335">
        <f>SUM(
IF(IFERROR(SEARCH("Aura 1",L183),0) &gt; 0 , VLOOKUP("Aura 1", vote4TRAITS!A:C , 3, FALSE), ),
IF(IFERROR(SEARCH("Backswing",L183),0) &gt; 0 , VLOOKUP("Backswing", vote4TRAITS!A:C , 3, FALSE), ),
IF(IFERROR(SEARCH("Blast",L183),0) &gt; 0 , VLOOKUP("Blast", vote4TRAITS!A:C , 3, FALSE), ),
IF(IFERROR(SEARCH("Combustible",L183),0) &gt; 0 , VLOOKUP("Combustible", vote4TRAITS!A:C , 3, FALSE), ),
IF(IFERROR(SEARCH("Command",L183),0) &gt; 0 , VLOOKUP("Command", vote4TRAITS!A:C , 3, FALSE), ),
IF(IFERROR(SEARCH("Cowardly",L183),0) &gt; 0 , VLOOKUP("Cowardly", vote4TRAITS!A:C , 3, FALSE), ),
IF(IFERROR(SEARCH("Death Wish",L183),0) &gt; 0 , VLOOKUP("Death Wish", vote4TRAITS!A:C , 3, FALSE), ),
IF(IFERROR(SEARCH("Entomb",L183),0) &gt; 0 , VLOOKUP("Entomb", vote4TRAITS!A:C , 3, FALSE), ),
IF(IFERROR(SEARCH("Ethereal Hold",L183),0) &gt; 0 , VLOOKUP("Ethereal Hold", vote4TRAITS!A:C , 3, FALSE), ),
IF(IFERROR(SEARCH("Extend",L183),0) &gt; 0 , VLOOKUP("Extend", vote4TRAITS!A:C , 3, FALSE), ),
IF(IFERROR(SEARCH("Filthy Murk",L183),0) &gt; 0 , VLOOKUP("Filthy Murk", vote4TRAITS!A:C , 3, FALSE), ),
IF(IFERROR(SEARCH("Flame Fiend",L183),0) &gt; 0 , VLOOKUP("Flame Fiend", vote4TRAITS!A:C , 3, FALSE), ),
IF(IFERROR(SEARCH("Fleshmonger",L183),0) &gt; 0 , VLOOKUP("Fleshmonger", vote4TRAITS!A:C , 3, FALSE), ),
IF(IFERROR(SEARCH("Fly",L183),0) &gt; 0 , VLOOKUP("Fly", vote4TRAITS!A:C , 3, FALSE), ),
IF(IFERROR(SEARCH("Freezing",L183),0) &gt; 0 , VLOOKUP("Freezing", vote4TRAITS!A:C , 3, FALSE), ),
IF(IFERROR(SEARCH("Lithesome",L183),0) &gt; 0 , VLOOKUP("Lithesome", vote4TRAITS!A:C , 3, FALSE), ),
IF(IFERROR(SEARCH("Harrowing",L183),0) &gt; 0 , VLOOKUP("Harrowing", vote4TRAITS!A:C , 3, FALSE), ),
IF(IFERROR(SEARCH("Hideous Laughter",L183),0) &gt; 0 , VLOOKUP("Hideous Laughter", vote4TRAITS!A:C , 3, FALSE), ),
IF(IFERROR(SEARCH("Hive Defense",L183),0) &gt; 0 , VLOOKUP("Hive Defense", vote4TRAITS!A:C , 3, FALSE), ),
IF(IFERROR(SEARCH("Horrifying",L183),0) &gt; 0 , VLOOKUP("Horrifying", vote4TRAITS!A:C , 3, FALSE), ),
IF(IFERROR(SEARCH("Ironskin",L183),0) &gt; 0 , VLOOKUP("Ironskin", vote4TRAITS!A:C , 3, FALSE), ),
IF(IFERROR(SEARCH("Unmovable",L183),0) &gt; 0 , VLOOKUP("Unmovable", vote4TRAITS!A:C , 3, FALSE), ),
IF(IFERROR(SEARCH("Lifethirst 1",L183),0) &gt; 0 , VLOOKUP("Lifethirst 1", vote4TRAITS!A:C , 3, FALSE), ),
IF(IFERROR(SEARCH("Lifethirst 2",L183),0) &gt; 0 , VLOOKUP("Lifethirst 2", vote4TRAITS!A:C , 3, FALSE), ),
IF(IFERROR(SEARCH("Morph",L183),0) &gt; 0 , VLOOKUP("Morph", vote4TRAITS!A:C , 3, FALSE), ),
IF(IFERROR(SEARCH("Night Stalker",L183),0) &gt; 0 , VLOOKUP("Night Stalker", vote4TRAITS!A:C , 3, FALSE), ),
IF(IFERROR(SEARCH("Overflowing",L183),0) &gt; 0 , VLOOKUP("Overflowing", vote4TRAITS!A:C , 3, FALSE), ),
IF(IFERROR(SEARCH("Pestilence",L183),0) &gt; 0 , VLOOKUP("Pestilence", vote4TRAITS!A:C , 3, FALSE), ),
IF(IFERROR(SEARCH("Phalanx",L183),0) &gt; 0 , VLOOKUP("Phalanx", vote4TRAITS!A:C , 3, FALSE), ),
IF(IFERROR(SEARCH("Plagued",L183),0) &gt; 0 , VLOOKUP("Plagued", vote4TRAITS!A:C , 3, FALSE), ),
IF(IFERROR(SEARCH("Prey on the Weak",L183),0) &gt; 0 , VLOOKUP("Prey on the Weak", vote4TRAITS!A:C , 3, FALSE), ),
IF(IFERROR(SEARCH("Protect",L183),0) &gt; 0 , VLOOKUP("Protect", vote4TRAITS!A:C , 3, FALSE), ),
IF(IFERROR(SEARCH("Puncture",L183),0) &gt; 0 , VLOOKUP("Puncture", vote4TRAITS!A:C , 3, FALSE), ),
IF(IFERROR(SEARCH("Putrid Boils",L183),0) &gt; 0 , VLOOKUP("Putrid Boils", vote4TRAITS!A:C , 3, FALSE), ),
IF(IFERROR(SEARCH("Ravage",L183),0) &gt; 0 , VLOOKUP("Ravage", vote4TRAITS!A:C , 3, FALSE), ),
IF(IFERROR(SEARCH("Ravenous",L183),0) &gt; 0 , VLOOKUP("Ravenous", vote4TRAITS!A:C , 3, FALSE), ),
IF(IFERROR(SEARCH("Reach",L183),0) &gt; 0 , VLOOKUP("Reach", vote4TRAITS!A:C , 3, FALSE), ),
IF(IFERROR(SEARCH("Reanimation",L183),0) &gt; 0 , VLOOKUP("Reanimation", vote4TRAITS!A:C , 3, FALSE), ),
IF(IFERROR(SEARCH("Reaper",L183),0) &gt; 0 , VLOOKUP("Reaper", vote4TRAITS!A:C , 3, FALSE), ),
IF(IFERROR(SEARCH("Riposte",L183),0) &gt; 0 , VLOOKUP("Riposte", vote4TRAITS!A:C , 3, FALSE)),
IF(IFERROR(SEARCH("Scamper",L183),0) &gt; 0 , VLOOKUP("Scamper", vote4TRAITS!A:C , 3, FALSE), ),
IF(IFERROR(SEARCH("Small Beginnings",L183),0) &gt; 0 , VLOOKUP("Small Beginnings", vote4TRAITS!A:C , 3, FALSE), ),
IF(IFERROR(SEARCH("Spawner",L183),0) &gt; 0 , VLOOKUP("Spawner", vote4TRAITS!A:C , 3,FALSE), ),
IF(IFERROR(SEARCH("Shadowr",L183),0) &gt; 0 , VLOOKUP("Shadow", vote4TRAITS!A:C , 3,FALSE), ),
IF(IFERROR(SEARCH("Shadow Step",L183),0) &gt; 0 , VLOOKUP("Shadow Step", vote4TRAITS!A:C , 3,FALSE), ),
IF(IFERROR(SEARCH("Shambling",L183),0) &gt; 0 , VLOOKUP("Shambling", vote4TRAITS!A:C , 3,FALSE), ),
IF(IFERROR(SEARCH("Stealthy",L183),0) &gt; 0 , VLOOKUP("Stealthy", vote4TRAITS!A:C , 3, FALSE), ),
IF(IFERROR(SEARCH("Web",L183),0) &gt; 0 , VLOOKUP("Web", vote4TRAITS!A:C , 3, FALSE), ),
IF(IFERROR(SEARCH("+1 Willpower",L183),0) &gt; 0 , VLOOKUP("+1 Willpower", vote4TRAITS!A:C , 3, FALSE), ),
IF(IFERROR(SEARCH("+1 Might",L183),0) &gt; 0 , VLOOKUP("+1 Might", vote4TRAITS!A:C , 3, FALSE), ),
IF(IFERROR(SEARCH("+1 Knowledge",L183),0) &gt; 0 , VLOOKUP("+1 Knowledge", vote4TRAITS!A:C , 3, FALSE), ),
IF(IFERROR(SEARCH("+1 Awareness",L183),0) &gt; 0 , VLOOKUP("+1 Awareness", vote4TRAITS!A:C , 3, FALSE), ),
IF(IFERROR(SEARCH("-1 Willpower",L183),0) &gt; 0 , VLOOKUP("-1 Willpower", vote4TRAITS!A:C , 3, FALSE), ),
IF(IFERROR(SEARCH("+1 Health",L183),0) &gt; 0 , VLOOKUP("+1 Health", vote4TRAITS!A:C , 3, FALSE), ),
IF(IFERROR(SEARCH("+2 Health",L183),0) &gt; 0 , VLOOKUP("+2 Health", vote4TRAITS!A:C , 3, FALSE), ),
IF(IFERROR(SEARCH("+1 Stamina",L183),0) &gt; 0 , VLOOKUP("+1 Stamina", vote4TRAITS!A:C , 3, FALSE), ),
IF(IFERROR(SEARCH("+2 Stamina",L183),0) &gt; 0 , VLOOKUP("+2 Stamina", vote4TRAITS!A:C , 3, FALSE), ),
IFS(
IFERROR(SEARCH("+1 Range", L183),) &gt; 0 ,VLOOKUP("+1 Range", vote4TRAITS!A:C , 3, FALSE),
IFERROR(SEARCH("+2 Range", L183),) &gt; 0 ,VLOOKUP("+2 Range", vote4TRAITS!A:C , 3, FALSE),
IFERROR(SEARCH("+3 Range", L183),) &gt; 0,VLOOKUP("+3 Range", vote4TRAITS!A:C , 3, FALSE),
0=0,0)
,
IFS(
IFERROR(SEARCH("Sorcery 1", L183),) &gt; 0 ,VLOOKUP("Sorcery 1", vote4TRAITS!A:C , 3, FALSE),
IFERROR(SEARCH("Sorcery 2", L183),) &gt; 0 ,VLOOKUP("Sorcery 2", vote4TRAITS!A:C , 3, FALSE),
IFERROR(SEARCH("Sorcery 3", L183),) &gt; 0,VLOOKUP("Sorcery 3", vote4TRAITS!A:C , 3, FALSE),
0=0,0)
,
IFS(
IFERROR(SEARCH("Pierce 1", L183),) &gt; 0 ,VLOOKUP("Pierce 1", vote4TRAITS!A:C , 3, FALSE),
IFERROR(SEARCH("Pierce 2", L183),) &gt; 0 ,VLOOKUP("Pierce 2", vote4TRAITS!A:C , 3, FALSE),
IFERROR(SEARCH("Pierce 3", L183),) &gt; 0,VLOOKUP("Pierce 3", vote4TRAITS!A:C , 3, FALSE),
IFERROR(SEARCH("Pierce 4", L183),) &gt; 0 ,VLOOKUP("Pierce 4", vote4TRAITS!A:C , 3, FALSE),
0=0,0)
,
IFS(
IFERROR(SEARCH("+1 Health", L183),) &gt; 0 ,VLOOKUP("+1 Health", vote4TRAITS!A:C , 3, FALSE),
IFERROR(SEARCH("+2 Health", L183),) &gt; 0 ,VLOOKUP("+2 Health", vote4TRAITS!A:C , 3, FALSE),
IFERROR(SEARCH("+3 Health", L183),) &gt; 0 ,VLOOKUP("+3 Health", vote4TRAITS!A:C , 3, FALSE),
IFERROR(SEARCH("+4 Health", L183),) &gt; 0 ,VLOOKUP("+4 Health", vote4TRAITS!A:C , 3, FALSE),
0=0,0)
,
IFS(
IFERROR(SEARCH("Soul Shackle 1", L183),) &gt; 0 ,VLOOKUP("Soul Shackle 1", vote4TRAITS!A:C , 3, FALSE),
IFERROR(SEARCH("Soul Shackle 2", L183),) &gt; 0 ,VLOOKUP("Soul Shackle 2", vote4TRAITS!A:C , 3, FALSE),
IFERROR(SEARCH("Soul Shackle 3", L183),) &gt; 0,VLOOKUP("Soul Shackle 3", vote4TRAITS!A:C , 3, FALSE),
0=0,0)
)</f>
        <v>0</v>
      </c>
      <c r="N183" s="334"/>
      <c r="O183" s="336" t="str">
        <f>IF(ISBLANK(N183),,IFERROR(
IF(IFERROR(SEARCH("SS:",N183),0) &gt; 0, 
VLOOKUP(SUBSTITUTE(N183,"SS: ",""),vote4SURGE!$A:$C , 3, FALSE) - 2,
VLOOKUP(SUBSTITUTE(N183,"S: ",""),vote4SURGE!$A:$C , 3, FALSE)
)
,
IF(IFERROR(SEARCH("SS:",N183),0) &gt; 0, 
VLOOKUP(C183,vote4SURGE!$A:$C , 3, FALSE) - 2,
VLOOKUP(C183,vote4SURGE!$A:$C , 3, FALSE)
)
))</f>
        <v/>
      </c>
      <c r="P183" s="337"/>
      <c r="Q183" s="336" t="str">
        <f>IF(ISBLANK(P183),,IFERROR(
IF(IFERROR(SEARCH("SS:",P183),0) &gt; 0, 
VLOOKUP(SUBSTITUTE(P183,"SS: ",""),vote4SURGE!$A:$C , 3, FALSE) - 2,
VLOOKUP(SUBSTITUTE(P183,"S: ",""),vote4SURGE!$A:$C , 3, FALSE)
)
,
IF(IFERROR(SEARCH("SS:",P183),0) &gt; 0, 
VLOOKUP(C183,vote4SURGE!$A:$C , 3, FALSE) - 2,
VLOOKUP(C183,vote4SURGE!$A:$C , 3, FALSE)
)
))</f>
        <v/>
      </c>
      <c r="R183" s="337"/>
      <c r="S183" s="338" t="str">
        <f>IF(ISBLANK(R183),,IFERROR(
IF(IFERROR(SEARCH("SS:",R183),0) &gt; 0, 
VLOOKUP(SUBSTITUTE(R183,"SS: ",""),vote4SURGE!$A:$C , 3, FALSE) - 2,
VLOOKUP(SUBSTITUTE(R183,"S: ",""),vote4SURGE!$A:$C , 3, FALSE)
)
,
IF(IFERROR(SEARCH("SS:",R183),0) &gt; 0, 
VLOOKUP(C183,vote4SURGE!$A:$C , 3, FALSE) - 2,
VLOOKUP(C183,vote4SURGE!$A:$C , 3, FALSE)
)
))</f>
        <v/>
      </c>
      <c r="T183" s="339">
        <f t="shared" si="2"/>
        <v>0</v>
      </c>
      <c r="U183" s="320">
        <f>IFERROR(__xludf.DUMMYFUNCTION("ROUND(
IF(ISBLANK(G183),,
SWITCH(
LEN(G183) - LEN(SUBSTITUTE(G183,"","","""")),
0 , VLOOKUP(G183, Variables!$A:$C, 3, FALSE),
1 , VLOOKUP(index(split(G183 ,"", "", FALSE),1,1), Variables!$A:$C , 3, FALSE) + VLOOKUP(index(split(G183 ,"", "", FALSE),1,2), V"&amp;"ariables!$A:$C , 3, FALSE),
2 , VLOOKUP(index(split(G183 ,"", "", FALSE),1,1), Variables!$A:$C , 3, FALSE) + VLOOKUP(index(split(G183 ,"", "", FALSE),1,2), Variables!$A:$C , 3, FALSE) + VLOOKUP(index(split(G183 ,"", "", FALSE),1,3), Variables!$A:$C , 3, F"&amp;"ALSE),
3 , VLOOKUP(index(split(G183 ,"", "", FALSE),1,1), Variables!$A:$C , 3, FALSE) + VLOOKUP(index(split(G183 ,"", "", FALSE),1,2), Variables!$A:$C , 3, FALSE) + VLOOKUP(index(split(G183 ,"", "", FALSE),1,3), Variables!$A:$C , 3, FALSE) + VLOOKUP(index"&amp;"(split(G183 ,"", "", FALSE),1,4), Variables!$A:$C , 3, FALSE),
)
)
)"),0.0)</f>
        <v>0</v>
      </c>
      <c r="V183" s="336">
        <f t="shared" si="3"/>
        <v>0</v>
      </c>
      <c r="W183" s="321">
        <f t="shared" si="4"/>
        <v>0.3333333333</v>
      </c>
      <c r="X183" s="118"/>
      <c r="Y183" s="118"/>
      <c r="Z183" s="118"/>
      <c r="AA183" s="118"/>
      <c r="AB183" s="118"/>
      <c r="AC183" s="118"/>
      <c r="AD183" s="118"/>
      <c r="AE183" s="118"/>
    </row>
    <row r="184" hidden="1">
      <c r="A184" s="340">
        <v>1.0</v>
      </c>
      <c r="B184" s="93" t="str">
        <f t="shared" si="1"/>
        <v/>
      </c>
      <c r="C184" s="340" t="s">
        <v>1107</v>
      </c>
      <c r="D184" s="340">
        <v>0.0</v>
      </c>
      <c r="E184" s="310" t="s">
        <v>1520</v>
      </c>
      <c r="F184" s="310" t="s">
        <v>1531</v>
      </c>
      <c r="G184" s="313" t="s">
        <v>1548</v>
      </c>
      <c r="H184" s="312">
        <f>IFERROR(__xludf.DUMMYFUNCTION(" IF(ISBLANK(G184),,
SWITCH(
LEN(G184) - LEN(SUBSTITUTE(G184,"","","""")),
0 , VLOOKUP(G184, Variables!$A:$B, 2, FALSE),
1 , VLOOKUP(index(split(G184 ,"", "", FALSE),1,1), Variables!$A:$B , 2, FALSE) + VLOOKUP(index(split(G184 ,"", "", FALSE),1,2), Variabl"&amp;"es!$A:$B , 2, FALSE),
2 , VLOOKUP(index(split(G184 ,"", "", FALSE),1,1), Variables!$A:$B , 2, FALSE) + VLOOKUP(index(split(G184 ,"", "", FALSE),1,2), Variables!$A:$B , 2, FALSE) + VLOOKUP(index(split(G184 ,"", "", FALSE),1,3), Variables!$A:$B , 2, FALSE),"&amp;"
3 , VLOOKUP(index(split(G184 ,"", "", FALSE),1,1), Variables!$A:$B , 2, FALSE) + VLOOKUP(index(split(G184 ,"", "", FALSE),1,2), Variables!$A:$B , 2, FALSE) + VLOOKUP(index(split(G184 ,"", "", FALSE),1,3), Variables!$A:$B , 2, FALSE) + VLOOKUP(index(split"&amp;"(G184 ,"", "", FALSE),1,4), Variables!$A:$B , 2, FALSE),
)
)"),2.3333333333333335)</f>
        <v>2.333333333</v>
      </c>
      <c r="I184" s="310" t="s">
        <v>1570</v>
      </c>
      <c r="J184" s="340"/>
      <c r="K184" s="335" t="str">
        <f>IFERROR(VLOOKUP(C184,vote4ITEMS!$A:$C, 3, FALSE),)</f>
        <v/>
      </c>
      <c r="L184" s="340" t="s">
        <v>1108</v>
      </c>
      <c r="M184" s="335">
        <f>SUM(
IF(IFERROR(SEARCH("Aura 1",L184),0) &gt; 0 , VLOOKUP("Aura 1", vote4TRAITS!A:C , 3, FALSE), ),
IF(IFERROR(SEARCH("Backswing",L184),0) &gt; 0 , VLOOKUP("Backswing", vote4TRAITS!A:C , 3, FALSE), ),
IF(IFERROR(SEARCH("Blast",L184),0) &gt; 0 , VLOOKUP("Blast", vote4TRAITS!A:C , 3, FALSE), ),
IF(IFERROR(SEARCH("Combustible",L184),0) &gt; 0 , VLOOKUP("Combustible", vote4TRAITS!A:C , 3, FALSE), ),
IF(IFERROR(SEARCH("Command",L184),0) &gt; 0 , VLOOKUP("Command", vote4TRAITS!A:C , 3, FALSE), ),
IF(IFERROR(SEARCH("Cowardly",L184),0) &gt; 0 , VLOOKUP("Cowardly", vote4TRAITS!A:C , 3, FALSE), ),
IF(IFERROR(SEARCH("Death Wish",L184),0) &gt; 0 , VLOOKUP("Death Wish", vote4TRAITS!A:C , 3, FALSE), ),
IF(IFERROR(SEARCH("Entomb",L184),0) &gt; 0 , VLOOKUP("Entomb", vote4TRAITS!A:C , 3, FALSE), ),
IF(IFERROR(SEARCH("Ethereal Hold",L184),0) &gt; 0 , VLOOKUP("Ethereal Hold", vote4TRAITS!A:C , 3, FALSE), ),
IF(IFERROR(SEARCH("Extend",L184),0) &gt; 0 , VLOOKUP("Extend", vote4TRAITS!A:C , 3, FALSE), ),
IF(IFERROR(SEARCH("Filthy Murk",L184),0) &gt; 0 , VLOOKUP("Filthy Murk", vote4TRAITS!A:C , 3, FALSE), ),
IF(IFERROR(SEARCH("Flame Fiend",L184),0) &gt; 0 , VLOOKUP("Flame Fiend", vote4TRAITS!A:C , 3, FALSE), ),
IF(IFERROR(SEARCH("Fleshmonger",L184),0) &gt; 0 , VLOOKUP("Fleshmonger", vote4TRAITS!A:C , 3, FALSE), ),
IF(IFERROR(SEARCH("Fly",L184),0) &gt; 0 , VLOOKUP("Fly", vote4TRAITS!A:C , 3, FALSE), ),
IF(IFERROR(SEARCH("Freezing",L184),0) &gt; 0 , VLOOKUP("Freezing", vote4TRAITS!A:C , 3, FALSE), ),
IF(IFERROR(SEARCH("Lithesome",L184),0) &gt; 0 , VLOOKUP("Lithesome", vote4TRAITS!A:C , 3, FALSE), ),
IF(IFERROR(SEARCH("Harrowing",L184),0) &gt; 0 , VLOOKUP("Harrowing", vote4TRAITS!A:C , 3, FALSE), ),
IF(IFERROR(SEARCH("Hideous Laughter",L184),0) &gt; 0 , VLOOKUP("Hideous Laughter", vote4TRAITS!A:C , 3, FALSE), ),
IF(IFERROR(SEARCH("Hive Defense",L184),0) &gt; 0 , VLOOKUP("Hive Defense", vote4TRAITS!A:C , 3, FALSE), ),
IF(IFERROR(SEARCH("Horrifying",L184),0) &gt; 0 , VLOOKUP("Horrifying", vote4TRAITS!A:C , 3, FALSE), ),
IF(IFERROR(SEARCH("Ironskin",L184),0) &gt; 0 , VLOOKUP("Ironskin", vote4TRAITS!A:C , 3, FALSE), ),
IF(IFERROR(SEARCH("Unmovable",L184),0) &gt; 0 , VLOOKUP("Unmovable", vote4TRAITS!A:C , 3, FALSE), ),
IF(IFERROR(SEARCH("Lifethirst 1",L184),0) &gt; 0 , VLOOKUP("Lifethirst 1", vote4TRAITS!A:C , 3, FALSE), ),
IF(IFERROR(SEARCH("Lifethirst 2",L184),0) &gt; 0 , VLOOKUP("Lifethirst 2", vote4TRAITS!A:C , 3, FALSE), ),
IF(IFERROR(SEARCH("Morph",L184),0) &gt; 0 , VLOOKUP("Morph", vote4TRAITS!A:C , 3, FALSE), ),
IF(IFERROR(SEARCH("Night Stalker",L184),0) &gt; 0 , VLOOKUP("Night Stalker", vote4TRAITS!A:C , 3, FALSE), ),
IF(IFERROR(SEARCH("Overflowing",L184),0) &gt; 0 , VLOOKUP("Overflowing", vote4TRAITS!A:C , 3, FALSE), ),
IF(IFERROR(SEARCH("Pestilence",L184),0) &gt; 0 , VLOOKUP("Pestilence", vote4TRAITS!A:C , 3, FALSE), ),
IF(IFERROR(SEARCH("Phalanx",L184),0) &gt; 0 , VLOOKUP("Phalanx", vote4TRAITS!A:C , 3, FALSE), ),
IF(IFERROR(SEARCH("Plagued",L184),0) &gt; 0 , VLOOKUP("Plagued", vote4TRAITS!A:C , 3, FALSE), ),
IF(IFERROR(SEARCH("Prey on the Weak",L184),0) &gt; 0 , VLOOKUP("Prey on the Weak", vote4TRAITS!A:C , 3, FALSE), ),
IF(IFERROR(SEARCH("Protect",L184),0) &gt; 0 , VLOOKUP("Protect", vote4TRAITS!A:C , 3, FALSE), ),
IF(IFERROR(SEARCH("Puncture",L184),0) &gt; 0 , VLOOKUP("Puncture", vote4TRAITS!A:C , 3, FALSE), ),
IF(IFERROR(SEARCH("Putrid Boils",L184),0) &gt; 0 , VLOOKUP("Putrid Boils", vote4TRAITS!A:C , 3, FALSE), ),
IF(IFERROR(SEARCH("Ravage",L184),0) &gt; 0 , VLOOKUP("Ravage", vote4TRAITS!A:C , 3, FALSE), ),
IF(IFERROR(SEARCH("Ravenous",L184),0) &gt; 0 , VLOOKUP("Ravenous", vote4TRAITS!A:C , 3, FALSE), ),
IF(IFERROR(SEARCH("Reach",L184),0) &gt; 0 , VLOOKUP("Reach", vote4TRAITS!A:C , 3, FALSE), ),
IF(IFERROR(SEARCH("Reanimation",L184),0) &gt; 0 , VLOOKUP("Reanimation", vote4TRAITS!A:C , 3, FALSE), ),
IF(IFERROR(SEARCH("Reaper",L184),0) &gt; 0 , VLOOKUP("Reaper", vote4TRAITS!A:C , 3, FALSE), ),
IF(IFERROR(SEARCH("Riposte",L184),0) &gt; 0 , VLOOKUP("Riposte", vote4TRAITS!A:C , 3, FALSE)),
IF(IFERROR(SEARCH("Scamper",L184),0) &gt; 0 , VLOOKUP("Scamper", vote4TRAITS!A:C , 3, FALSE), ),
IF(IFERROR(SEARCH("Small Beginnings",L184),0) &gt; 0 , VLOOKUP("Small Beginnings", vote4TRAITS!A:C , 3, FALSE), ),
IF(IFERROR(SEARCH("Spawner",L184),0) &gt; 0 , VLOOKUP("Spawner", vote4TRAITS!A:C , 3,FALSE), ),
IF(IFERROR(SEARCH("Shadowr",L184),0) &gt; 0 , VLOOKUP("Shadow", vote4TRAITS!A:C , 3,FALSE), ),
IF(IFERROR(SEARCH("Shadow Step",L184),0) &gt; 0 , VLOOKUP("Shadow Step", vote4TRAITS!A:C , 3,FALSE), ),
IF(IFERROR(SEARCH("Shambling",L184),0) &gt; 0 , VLOOKUP("Shambling", vote4TRAITS!A:C , 3,FALSE), ),
IF(IFERROR(SEARCH("Stealthy",L184),0) &gt; 0 , VLOOKUP("Stealthy", vote4TRAITS!A:C , 3, FALSE), ),
IF(IFERROR(SEARCH("Web",L184),0) &gt; 0 , VLOOKUP("Web", vote4TRAITS!A:C , 3, FALSE), ),
IF(IFERROR(SEARCH("+1 Willpower",L184),0) &gt; 0 , VLOOKUP("+1 Willpower", vote4TRAITS!A:C , 3, FALSE), ),
IF(IFERROR(SEARCH("+1 Might",L184),0) &gt; 0 , VLOOKUP("+1 Might", vote4TRAITS!A:C , 3, FALSE), ),
IF(IFERROR(SEARCH("+1 Knowledge",L184),0) &gt; 0 , VLOOKUP("+1 Knowledge", vote4TRAITS!A:C , 3, FALSE), ),
IF(IFERROR(SEARCH("+1 Awareness",L184),0) &gt; 0 , VLOOKUP("+1 Awareness", vote4TRAITS!A:C , 3, FALSE), ),
IF(IFERROR(SEARCH("-1 Willpower",L184),0) &gt; 0 , VLOOKUP("-1 Willpower", vote4TRAITS!A:C , 3, FALSE), ),
IF(IFERROR(SEARCH("+1 Health",L184),0) &gt; 0 , VLOOKUP("+1 Health", vote4TRAITS!A:C , 3, FALSE), ),
IF(IFERROR(SEARCH("+2 Health",L184),0) &gt; 0 , VLOOKUP("+2 Health", vote4TRAITS!A:C , 3, FALSE), ),
IF(IFERROR(SEARCH("+1 Stamina",L184),0) &gt; 0 , VLOOKUP("+1 Stamina", vote4TRAITS!A:C , 3, FALSE), ),
IF(IFERROR(SEARCH("+2 Stamina",L184),0) &gt; 0 , VLOOKUP("+2 Stamina", vote4TRAITS!A:C , 3, FALSE), ),
IFS(
IFERROR(SEARCH("+1 Range", L184),) &gt; 0 ,VLOOKUP("+1 Range", vote4TRAITS!A:C , 3, FALSE),
IFERROR(SEARCH("+2 Range", L184),) &gt; 0 ,VLOOKUP("+2 Range", vote4TRAITS!A:C , 3, FALSE),
IFERROR(SEARCH("+3 Range", L184),) &gt; 0,VLOOKUP("+3 Range", vote4TRAITS!A:C , 3, FALSE),
0=0,0)
,
IFS(
IFERROR(SEARCH("Sorcery 1", L184),) &gt; 0 ,VLOOKUP("Sorcery 1", vote4TRAITS!A:C , 3, FALSE),
IFERROR(SEARCH("Sorcery 2", L184),) &gt; 0 ,VLOOKUP("Sorcery 2", vote4TRAITS!A:C , 3, FALSE),
IFERROR(SEARCH("Sorcery 3", L184),) &gt; 0,VLOOKUP("Sorcery 3", vote4TRAITS!A:C , 3, FALSE),
0=0,0)
,
IFS(
IFERROR(SEARCH("Pierce 1", L184),) &gt; 0 ,VLOOKUP("Pierce 1", vote4TRAITS!A:C , 3, FALSE),
IFERROR(SEARCH("Pierce 2", L184),) &gt; 0 ,VLOOKUP("Pierce 2", vote4TRAITS!A:C , 3, FALSE),
IFERROR(SEARCH("Pierce 3", L184),) &gt; 0,VLOOKUP("Pierce 3", vote4TRAITS!A:C , 3, FALSE),
IFERROR(SEARCH("Pierce 4", L184),) &gt; 0 ,VLOOKUP("Pierce 4", vote4TRAITS!A:C , 3, FALSE),
0=0,0)
,
IFS(
IFERROR(SEARCH("+1 Health", L184),) &gt; 0 ,VLOOKUP("+1 Health", vote4TRAITS!A:C , 3, FALSE),
IFERROR(SEARCH("+2 Health", L184),) &gt; 0 ,VLOOKUP("+2 Health", vote4TRAITS!A:C , 3, FALSE),
IFERROR(SEARCH("+3 Health", L184),) &gt; 0 ,VLOOKUP("+3 Health", vote4TRAITS!A:C , 3, FALSE),
IFERROR(SEARCH("+4 Health", L184),) &gt; 0 ,VLOOKUP("+4 Health", vote4TRAITS!A:C , 3, FALSE),
0=0,0)
,
IFS(
IFERROR(SEARCH("Soul Shackle 1", L184),) &gt; 0 ,VLOOKUP("Soul Shackle 1", vote4TRAITS!A:C , 3, FALSE),
IFERROR(SEARCH("Soul Shackle 2", L184),) &gt; 0 ,VLOOKUP("Soul Shackle 2", vote4TRAITS!A:C , 3, FALSE),
IFERROR(SEARCH("Soul Shackle 3", L184),) &gt; 0,VLOOKUP("Soul Shackle 3", vote4TRAITS!A:C , 3, FALSE),
0=0,0)
)</f>
        <v>0</v>
      </c>
      <c r="N184" s="311" t="s">
        <v>1579</v>
      </c>
      <c r="O184" s="336">
        <f>IF(ISBLANK(N184),,IFERROR(
IF(IFERROR(SEARCH("SS:",N184),0) &gt; 0, 
VLOOKUP(SUBSTITUTE(N184,"SS: ",""),vote4SURGE!$A:$C , 3, FALSE) - 2,
VLOOKUP(SUBSTITUTE(N184,"S: ",""),vote4SURGE!$A:$C , 3, FALSE)
)
,
IF(IFERROR(SEARCH("SS:",N184),0) &gt; 0, 
VLOOKUP(C184,vote4SURGE!$A:$C , 3, FALSE) - 2,
VLOOKUP(C184,vote4SURGE!$A:$C , 3, FALSE)
)
))</f>
        <v>2.5</v>
      </c>
      <c r="P184" s="341"/>
      <c r="Q184" s="336" t="str">
        <f>IF(ISBLANK(P184),,IFERROR(
IF(IFERROR(SEARCH("SS:",P184),0) &gt; 0, 
VLOOKUP(SUBSTITUTE(P184,"SS: ",""),vote4SURGE!$A:$C , 3, FALSE) - 2,
VLOOKUP(SUBSTITUTE(P184,"S: ",""),vote4SURGE!$A:$C , 3, FALSE)
)
,
IF(IFERROR(SEARCH("SS:",P184),0) &gt; 0, 
VLOOKUP(C184,vote4SURGE!$A:$C , 3, FALSE) - 2,
VLOOKUP(C184,vote4SURGE!$A:$C , 3, FALSE)
)
))</f>
        <v/>
      </c>
      <c r="R184" s="341"/>
      <c r="S184" s="338" t="str">
        <f>IF(ISBLANK(R184),,IFERROR(
IF(IFERROR(SEARCH("SS:",R184),0) &gt; 0, 
VLOOKUP(SUBSTITUTE(R184,"SS: ",""),vote4SURGE!$A:$C , 3, FALSE) - 2,
VLOOKUP(SUBSTITUTE(R184,"S: ",""),vote4SURGE!$A:$C , 3, FALSE)
)
,
IF(IFERROR(SEARCH("SS:",R184),0) &gt; 0, 
VLOOKUP(C184,vote4SURGE!$A:$C , 3, FALSE) - 2,
VLOOKUP(C184,vote4SURGE!$A:$C , 3, FALSE)
)
))</f>
        <v/>
      </c>
      <c r="T184" s="339">
        <f t="shared" si="2"/>
        <v>1</v>
      </c>
      <c r="U184" s="320">
        <f>IFERROR(__xludf.DUMMYFUNCTION("ROUND(
IF(ISBLANK(G184),,
SWITCH(
LEN(G184) - LEN(SUBSTITUTE(G184,"","","""")),
0 , VLOOKUP(G184, Variables!$A:$C, 3, FALSE),
1 , VLOOKUP(index(split(G184 ,"", "", FALSE),1,1), Variables!$A:$C , 3, FALSE) + VLOOKUP(index(split(G184 ,"", "", FALSE),1,2), V"&amp;"ariables!$A:$C , 3, FALSE),
2 , VLOOKUP(index(split(G184 ,"", "", FALSE),1,1), Variables!$A:$C , 3, FALSE) + VLOOKUP(index(split(G184 ,"", "", FALSE),1,2), Variables!$A:$C , 3, FALSE) + VLOOKUP(index(split(G184 ,"", "", FALSE),1,3), Variables!$A:$C , 3, F"&amp;"ALSE),
3 , VLOOKUP(index(split(G184 ,"", "", FALSE),1,1), Variables!$A:$C , 3, FALSE) + VLOOKUP(index(split(G184 ,"", "", FALSE),1,2), Variables!$A:$C , 3, FALSE) + VLOOKUP(index(split(G184 ,"", "", FALSE),1,3), Variables!$A:$C , 3, FALSE) + VLOOKUP(index"&amp;"(split(G184 ,"", "", FALSE),1,4), Variables!$A:$C , 3, FALSE),
)
)
)"),1.0)</f>
        <v>1</v>
      </c>
      <c r="V184" s="336">
        <f t="shared" si="3"/>
        <v>2.5</v>
      </c>
      <c r="W184" s="321">
        <f t="shared" si="4"/>
        <v>4.833333333</v>
      </c>
      <c r="X184" s="118"/>
      <c r="Y184" s="118"/>
      <c r="Z184" s="118"/>
      <c r="AA184" s="118"/>
      <c r="AB184" s="118"/>
      <c r="AC184" s="118"/>
      <c r="AD184" s="118"/>
      <c r="AE184" s="118"/>
    </row>
    <row r="185">
      <c r="A185" s="340"/>
      <c r="B185" s="118"/>
      <c r="C185" s="340"/>
      <c r="D185" s="340"/>
      <c r="E185" s="322"/>
      <c r="F185" s="322"/>
      <c r="G185" s="322"/>
      <c r="H185" s="341"/>
      <c r="I185" s="322"/>
      <c r="J185" s="340"/>
      <c r="K185" s="341"/>
      <c r="L185" s="340"/>
      <c r="M185" s="341"/>
      <c r="N185" s="340"/>
      <c r="O185" s="342"/>
      <c r="P185" s="341"/>
      <c r="Q185" s="342"/>
      <c r="R185" s="341"/>
      <c r="S185" s="343"/>
      <c r="T185" s="343"/>
      <c r="U185" s="344"/>
      <c r="V185" s="342"/>
      <c r="W185" s="345"/>
      <c r="X185" s="118"/>
      <c r="Y185" s="118"/>
      <c r="Z185" s="118"/>
      <c r="AA185" s="118"/>
      <c r="AB185" s="118"/>
      <c r="AC185" s="118"/>
      <c r="AD185" s="118"/>
      <c r="AE185" s="118"/>
    </row>
    <row r="186">
      <c r="A186" s="340"/>
      <c r="B186" s="118"/>
      <c r="C186" s="340"/>
      <c r="D186" s="340"/>
      <c r="E186" s="322"/>
      <c r="F186" s="322"/>
      <c r="G186" s="322"/>
      <c r="H186" s="341"/>
      <c r="I186" s="322"/>
      <c r="J186" s="340"/>
      <c r="K186" s="341"/>
      <c r="L186" s="340"/>
      <c r="M186" s="341"/>
      <c r="N186" s="340"/>
      <c r="O186" s="342"/>
      <c r="P186" s="341"/>
      <c r="Q186" s="342"/>
      <c r="R186" s="341"/>
      <c r="S186" s="343"/>
      <c r="T186" s="343"/>
      <c r="U186" s="344"/>
      <c r="V186" s="342"/>
      <c r="W186" s="345"/>
      <c r="X186" s="118"/>
      <c r="Y186" s="118"/>
      <c r="Z186" s="118"/>
      <c r="AA186" s="118"/>
      <c r="AB186" s="118"/>
      <c r="AC186" s="118"/>
      <c r="AD186" s="118"/>
      <c r="AE186" s="118"/>
    </row>
    <row r="187">
      <c r="A187" s="340"/>
      <c r="B187" s="118"/>
      <c r="C187" s="340"/>
      <c r="D187" s="340"/>
      <c r="E187" s="322"/>
      <c r="F187" s="322"/>
      <c r="G187" s="322"/>
      <c r="H187" s="341"/>
      <c r="I187" s="322"/>
      <c r="J187" s="340"/>
      <c r="K187" s="341"/>
      <c r="L187" s="340"/>
      <c r="M187" s="341"/>
      <c r="N187" s="340"/>
      <c r="O187" s="342"/>
      <c r="P187" s="341"/>
      <c r="Q187" s="342"/>
      <c r="R187" s="341"/>
      <c r="S187" s="343"/>
      <c r="T187" s="343"/>
      <c r="U187" s="344"/>
      <c r="V187" s="342"/>
      <c r="W187" s="345"/>
      <c r="X187" s="118"/>
      <c r="Y187" s="118"/>
      <c r="Z187" s="118"/>
      <c r="AA187" s="118"/>
      <c r="AB187" s="118"/>
      <c r="AC187" s="118"/>
      <c r="AD187" s="118"/>
      <c r="AE187" s="118"/>
    </row>
    <row r="188">
      <c r="A188" s="340"/>
      <c r="B188" s="118"/>
      <c r="C188" s="340"/>
      <c r="D188" s="340"/>
      <c r="E188" s="322"/>
      <c r="F188" s="322"/>
      <c r="G188" s="322"/>
      <c r="H188" s="341"/>
      <c r="I188" s="322"/>
      <c r="J188" s="340"/>
      <c r="K188" s="341"/>
      <c r="L188" s="340"/>
      <c r="M188" s="341"/>
      <c r="N188" s="340"/>
      <c r="O188" s="342"/>
      <c r="P188" s="341"/>
      <c r="Q188" s="342"/>
      <c r="R188" s="341"/>
      <c r="S188" s="343"/>
      <c r="T188" s="343"/>
      <c r="U188" s="344"/>
      <c r="V188" s="342"/>
      <c r="W188" s="345"/>
      <c r="X188" s="118"/>
      <c r="Y188" s="118"/>
      <c r="Z188" s="118"/>
      <c r="AA188" s="118"/>
      <c r="AB188" s="118"/>
      <c r="AC188" s="118"/>
      <c r="AD188" s="118"/>
      <c r="AE188" s="118"/>
    </row>
    <row r="189">
      <c r="A189" s="340"/>
      <c r="B189" s="118"/>
      <c r="C189" s="340"/>
      <c r="D189" s="340"/>
      <c r="E189" s="322"/>
      <c r="F189" s="322"/>
      <c r="G189" s="322"/>
      <c r="H189" s="341"/>
      <c r="I189" s="322"/>
      <c r="J189" s="340"/>
      <c r="K189" s="341"/>
      <c r="L189" s="340"/>
      <c r="M189" s="341"/>
      <c r="N189" s="340"/>
      <c r="O189" s="342"/>
      <c r="P189" s="341"/>
      <c r="Q189" s="342"/>
      <c r="R189" s="341"/>
      <c r="S189" s="343"/>
      <c r="T189" s="343"/>
      <c r="U189" s="344"/>
      <c r="V189" s="342"/>
      <c r="W189" s="345"/>
      <c r="X189" s="118"/>
      <c r="Y189" s="118"/>
      <c r="Z189" s="118"/>
      <c r="AA189" s="118"/>
      <c r="AB189" s="118"/>
      <c r="AC189" s="118"/>
      <c r="AD189" s="118"/>
      <c r="AE189" s="118"/>
    </row>
    <row r="190">
      <c r="A190" s="340"/>
      <c r="B190" s="118"/>
      <c r="C190" s="340"/>
      <c r="D190" s="340"/>
      <c r="E190" s="322"/>
      <c r="F190" s="322"/>
      <c r="G190" s="322"/>
      <c r="H190" s="341"/>
      <c r="I190" s="322"/>
      <c r="J190" s="340"/>
      <c r="K190" s="341"/>
      <c r="L190" s="340"/>
      <c r="M190" s="341"/>
      <c r="N190" s="340"/>
      <c r="O190" s="342"/>
      <c r="P190" s="341"/>
      <c r="Q190" s="342"/>
      <c r="R190" s="341"/>
      <c r="S190" s="343"/>
      <c r="T190" s="343"/>
      <c r="U190" s="344"/>
      <c r="V190" s="342"/>
      <c r="W190" s="345"/>
      <c r="X190" s="118"/>
      <c r="Y190" s="118"/>
      <c r="Z190" s="118"/>
      <c r="AA190" s="118"/>
      <c r="AB190" s="118"/>
      <c r="AC190" s="118"/>
      <c r="AD190" s="118"/>
      <c r="AE190" s="118"/>
    </row>
    <row r="191">
      <c r="A191" s="340"/>
      <c r="B191" s="118"/>
      <c r="C191" s="340"/>
      <c r="D191" s="340"/>
      <c r="E191" s="322"/>
      <c r="F191" s="322"/>
      <c r="G191" s="322"/>
      <c r="H191" s="341"/>
      <c r="I191" s="322"/>
      <c r="J191" s="340"/>
      <c r="K191" s="341"/>
      <c r="L191" s="340"/>
      <c r="M191" s="341"/>
      <c r="N191" s="340"/>
      <c r="O191" s="342"/>
      <c r="P191" s="341"/>
      <c r="Q191" s="342"/>
      <c r="R191" s="341"/>
      <c r="S191" s="343"/>
      <c r="T191" s="343"/>
      <c r="U191" s="344"/>
      <c r="V191" s="342"/>
      <c r="W191" s="345"/>
      <c r="X191" s="118"/>
      <c r="Y191" s="118"/>
      <c r="Z191" s="118"/>
      <c r="AA191" s="118"/>
      <c r="AB191" s="118"/>
      <c r="AC191" s="118"/>
      <c r="AD191" s="118"/>
      <c r="AE191" s="118"/>
    </row>
    <row r="192">
      <c r="A192" s="340"/>
      <c r="B192" s="118"/>
      <c r="C192" s="340"/>
      <c r="D192" s="340"/>
      <c r="E192" s="322"/>
      <c r="F192" s="322"/>
      <c r="G192" s="322"/>
      <c r="H192" s="341"/>
      <c r="I192" s="322"/>
      <c r="J192" s="340"/>
      <c r="K192" s="341"/>
      <c r="L192" s="340"/>
      <c r="M192" s="341"/>
      <c r="N192" s="340"/>
      <c r="O192" s="342"/>
      <c r="P192" s="341"/>
      <c r="Q192" s="342"/>
      <c r="R192" s="341"/>
      <c r="S192" s="343"/>
      <c r="T192" s="343"/>
      <c r="U192" s="344"/>
      <c r="V192" s="342"/>
      <c r="W192" s="345"/>
      <c r="X192" s="118"/>
      <c r="Y192" s="118"/>
      <c r="Z192" s="118"/>
      <c r="AA192" s="118"/>
      <c r="AB192" s="118"/>
      <c r="AC192" s="118"/>
      <c r="AD192" s="118"/>
      <c r="AE192" s="118"/>
    </row>
    <row r="193">
      <c r="A193" s="340"/>
      <c r="B193" s="118"/>
      <c r="C193" s="340"/>
      <c r="D193" s="340"/>
      <c r="E193" s="322"/>
      <c r="F193" s="322"/>
      <c r="G193" s="322"/>
      <c r="H193" s="341"/>
      <c r="I193" s="322"/>
      <c r="J193" s="340"/>
      <c r="K193" s="341"/>
      <c r="L193" s="340"/>
      <c r="M193" s="341"/>
      <c r="N193" s="340"/>
      <c r="O193" s="342"/>
      <c r="P193" s="341"/>
      <c r="Q193" s="342"/>
      <c r="R193" s="341"/>
      <c r="S193" s="343"/>
      <c r="T193" s="343"/>
      <c r="U193" s="344"/>
      <c r="V193" s="342"/>
      <c r="W193" s="345"/>
      <c r="X193" s="118"/>
      <c r="Y193" s="118"/>
      <c r="Z193" s="118"/>
      <c r="AA193" s="118"/>
      <c r="AB193" s="118"/>
      <c r="AC193" s="118"/>
      <c r="AD193" s="118"/>
      <c r="AE193" s="118"/>
    </row>
    <row r="194">
      <c r="A194" s="340"/>
      <c r="B194" s="118"/>
      <c r="C194" s="340"/>
      <c r="D194" s="340"/>
      <c r="E194" s="322"/>
      <c r="F194" s="322"/>
      <c r="G194" s="322"/>
      <c r="H194" s="341"/>
      <c r="I194" s="322"/>
      <c r="J194" s="340"/>
      <c r="K194" s="341"/>
      <c r="L194" s="340"/>
      <c r="M194" s="341"/>
      <c r="N194" s="340"/>
      <c r="O194" s="342"/>
      <c r="P194" s="341"/>
      <c r="Q194" s="342"/>
      <c r="R194" s="341"/>
      <c r="S194" s="343"/>
      <c r="T194" s="343"/>
      <c r="U194" s="344"/>
      <c r="V194" s="342"/>
      <c r="W194" s="345"/>
      <c r="X194" s="118"/>
      <c r="Y194" s="118"/>
      <c r="Z194" s="118"/>
      <c r="AA194" s="118"/>
      <c r="AB194" s="118"/>
      <c r="AC194" s="118"/>
      <c r="AD194" s="118"/>
      <c r="AE194" s="118"/>
    </row>
    <row r="195">
      <c r="A195" s="340"/>
      <c r="B195" s="118"/>
      <c r="C195" s="340"/>
      <c r="D195" s="340"/>
      <c r="E195" s="322"/>
      <c r="F195" s="322"/>
      <c r="G195" s="322"/>
      <c r="H195" s="341"/>
      <c r="I195" s="322"/>
      <c r="J195" s="340"/>
      <c r="K195" s="341"/>
      <c r="L195" s="340"/>
      <c r="M195" s="341"/>
      <c r="N195" s="340"/>
      <c r="O195" s="342"/>
      <c r="P195" s="341"/>
      <c r="Q195" s="342"/>
      <c r="R195" s="341"/>
      <c r="S195" s="343"/>
      <c r="T195" s="343"/>
      <c r="U195" s="344"/>
      <c r="V195" s="342"/>
      <c r="W195" s="345"/>
      <c r="X195" s="118"/>
      <c r="Y195" s="118"/>
      <c r="Z195" s="118"/>
      <c r="AA195" s="118"/>
      <c r="AB195" s="118"/>
      <c r="AC195" s="118"/>
      <c r="AD195" s="118"/>
      <c r="AE195" s="118"/>
    </row>
    <row r="196">
      <c r="A196" s="340"/>
      <c r="B196" s="118"/>
      <c r="C196" s="340"/>
      <c r="D196" s="340"/>
      <c r="E196" s="322"/>
      <c r="F196" s="322"/>
      <c r="G196" s="322"/>
      <c r="H196" s="341"/>
      <c r="I196" s="322"/>
      <c r="J196" s="340"/>
      <c r="K196" s="341"/>
      <c r="L196" s="340"/>
      <c r="M196" s="341"/>
      <c r="N196" s="340"/>
      <c r="O196" s="342"/>
      <c r="P196" s="341"/>
      <c r="Q196" s="342"/>
      <c r="R196" s="341"/>
      <c r="S196" s="343"/>
      <c r="T196" s="343"/>
      <c r="U196" s="344"/>
      <c r="V196" s="342"/>
      <c r="W196" s="345"/>
      <c r="X196" s="118"/>
      <c r="Y196" s="118"/>
      <c r="Z196" s="118"/>
      <c r="AA196" s="118"/>
      <c r="AB196" s="118"/>
      <c r="AC196" s="118"/>
      <c r="AD196" s="118"/>
      <c r="AE196" s="118"/>
    </row>
    <row r="197">
      <c r="A197" s="340"/>
      <c r="B197" s="118"/>
      <c r="C197" s="340"/>
      <c r="D197" s="340"/>
      <c r="E197" s="322"/>
      <c r="F197" s="322"/>
      <c r="G197" s="322"/>
      <c r="H197" s="341"/>
      <c r="I197" s="322"/>
      <c r="J197" s="340"/>
      <c r="K197" s="341"/>
      <c r="L197" s="340"/>
      <c r="M197" s="341"/>
      <c r="N197" s="340"/>
      <c r="O197" s="342"/>
      <c r="P197" s="341"/>
      <c r="Q197" s="342"/>
      <c r="R197" s="341"/>
      <c r="S197" s="343"/>
      <c r="T197" s="343"/>
      <c r="U197" s="344"/>
      <c r="V197" s="342"/>
      <c r="W197" s="345"/>
      <c r="X197" s="118"/>
      <c r="Y197" s="118"/>
      <c r="Z197" s="118"/>
      <c r="AA197" s="118"/>
      <c r="AB197" s="118"/>
      <c r="AC197" s="118"/>
      <c r="AD197" s="118"/>
      <c r="AE197" s="118"/>
    </row>
    <row r="198">
      <c r="A198" s="340"/>
      <c r="B198" s="118"/>
      <c r="C198" s="340"/>
      <c r="D198" s="340"/>
      <c r="E198" s="322"/>
      <c r="F198" s="322"/>
      <c r="G198" s="322"/>
      <c r="H198" s="341"/>
      <c r="I198" s="322"/>
      <c r="J198" s="340"/>
      <c r="K198" s="341"/>
      <c r="L198" s="340"/>
      <c r="M198" s="341"/>
      <c r="N198" s="340"/>
      <c r="O198" s="342"/>
      <c r="P198" s="341"/>
      <c r="Q198" s="342"/>
      <c r="R198" s="341"/>
      <c r="S198" s="343"/>
      <c r="T198" s="343"/>
      <c r="U198" s="344"/>
      <c r="V198" s="342"/>
      <c r="W198" s="345"/>
      <c r="X198" s="118"/>
      <c r="Y198" s="118"/>
      <c r="Z198" s="118"/>
      <c r="AA198" s="118"/>
      <c r="AB198" s="118"/>
      <c r="AC198" s="118"/>
      <c r="AD198" s="118"/>
      <c r="AE198" s="118"/>
    </row>
    <row r="199">
      <c r="A199" s="340"/>
      <c r="B199" s="118"/>
      <c r="C199" s="340"/>
      <c r="D199" s="340"/>
      <c r="E199" s="322"/>
      <c r="F199" s="322"/>
      <c r="G199" s="322"/>
      <c r="H199" s="341"/>
      <c r="I199" s="322"/>
      <c r="J199" s="340"/>
      <c r="K199" s="341"/>
      <c r="L199" s="340"/>
      <c r="M199" s="341"/>
      <c r="N199" s="340"/>
      <c r="O199" s="342"/>
      <c r="P199" s="341"/>
      <c r="Q199" s="342"/>
      <c r="R199" s="341"/>
      <c r="S199" s="343"/>
      <c r="T199" s="343"/>
      <c r="U199" s="344"/>
      <c r="V199" s="342"/>
      <c r="W199" s="345"/>
      <c r="X199" s="118"/>
      <c r="Y199" s="118"/>
      <c r="Z199" s="118"/>
      <c r="AA199" s="118"/>
      <c r="AB199" s="118"/>
      <c r="AC199" s="118"/>
      <c r="AD199" s="118"/>
      <c r="AE199" s="118"/>
    </row>
    <row r="200">
      <c r="A200" s="340"/>
      <c r="B200" s="118"/>
      <c r="C200" s="340"/>
      <c r="D200" s="340"/>
      <c r="E200" s="322"/>
      <c r="F200" s="322"/>
      <c r="G200" s="322"/>
      <c r="H200" s="341"/>
      <c r="I200" s="322"/>
      <c r="J200" s="340"/>
      <c r="K200" s="341"/>
      <c r="L200" s="340"/>
      <c r="M200" s="341"/>
      <c r="N200" s="340"/>
      <c r="O200" s="342"/>
      <c r="P200" s="341"/>
      <c r="Q200" s="342"/>
      <c r="R200" s="341"/>
      <c r="S200" s="343"/>
      <c r="T200" s="343"/>
      <c r="U200" s="344"/>
      <c r="V200" s="342"/>
      <c r="W200" s="345"/>
      <c r="X200" s="118"/>
      <c r="Y200" s="118"/>
      <c r="Z200" s="118"/>
      <c r="AA200" s="118"/>
      <c r="AB200" s="118"/>
      <c r="AC200" s="118"/>
      <c r="AD200" s="118"/>
      <c r="AE200" s="118"/>
    </row>
    <row r="201">
      <c r="A201" s="340"/>
      <c r="B201" s="118"/>
      <c r="C201" s="340"/>
      <c r="D201" s="340"/>
      <c r="E201" s="322"/>
      <c r="F201" s="322"/>
      <c r="G201" s="322"/>
      <c r="H201" s="341"/>
      <c r="I201" s="322"/>
      <c r="J201" s="340"/>
      <c r="K201" s="341"/>
      <c r="L201" s="340"/>
      <c r="M201" s="341"/>
      <c r="N201" s="340"/>
      <c r="O201" s="342"/>
      <c r="P201" s="341"/>
      <c r="Q201" s="342"/>
      <c r="R201" s="341"/>
      <c r="S201" s="343"/>
      <c r="T201" s="343"/>
      <c r="U201" s="344"/>
      <c r="V201" s="342"/>
      <c r="W201" s="345"/>
      <c r="X201" s="118"/>
      <c r="Y201" s="118"/>
      <c r="Z201" s="118"/>
      <c r="AA201" s="118"/>
      <c r="AB201" s="118"/>
      <c r="AC201" s="118"/>
      <c r="AD201" s="118"/>
      <c r="AE201" s="118"/>
    </row>
    <row r="202">
      <c r="A202" s="340"/>
      <c r="B202" s="118"/>
      <c r="C202" s="340"/>
      <c r="D202" s="340"/>
      <c r="E202" s="322"/>
      <c r="F202" s="322"/>
      <c r="G202" s="322"/>
      <c r="H202" s="341"/>
      <c r="I202" s="322"/>
      <c r="J202" s="340"/>
      <c r="K202" s="341"/>
      <c r="L202" s="340"/>
      <c r="M202" s="341"/>
      <c r="N202" s="340"/>
      <c r="O202" s="342"/>
      <c r="P202" s="341"/>
      <c r="Q202" s="342"/>
      <c r="R202" s="341"/>
      <c r="S202" s="343"/>
      <c r="T202" s="343"/>
      <c r="U202" s="344"/>
      <c r="V202" s="342"/>
      <c r="W202" s="345"/>
      <c r="X202" s="118"/>
      <c r="Y202" s="118"/>
      <c r="Z202" s="118"/>
      <c r="AA202" s="118"/>
      <c r="AB202" s="118"/>
      <c r="AC202" s="118"/>
      <c r="AD202" s="118"/>
      <c r="AE202" s="118"/>
    </row>
    <row r="203">
      <c r="A203" s="340"/>
      <c r="B203" s="118"/>
      <c r="C203" s="340"/>
      <c r="D203" s="340"/>
      <c r="E203" s="322"/>
      <c r="F203" s="322"/>
      <c r="G203" s="322"/>
      <c r="H203" s="341"/>
      <c r="I203" s="322"/>
      <c r="J203" s="340"/>
      <c r="K203" s="341"/>
      <c r="L203" s="340"/>
      <c r="M203" s="341"/>
      <c r="N203" s="340"/>
      <c r="O203" s="342"/>
      <c r="P203" s="341"/>
      <c r="Q203" s="342"/>
      <c r="R203" s="341"/>
      <c r="S203" s="343"/>
      <c r="T203" s="343"/>
      <c r="U203" s="344"/>
      <c r="V203" s="342"/>
      <c r="W203" s="345"/>
      <c r="X203" s="118"/>
      <c r="Y203" s="118"/>
      <c r="Z203" s="118"/>
      <c r="AA203" s="118"/>
      <c r="AB203" s="118"/>
      <c r="AC203" s="118"/>
      <c r="AD203" s="118"/>
      <c r="AE203" s="118"/>
    </row>
    <row r="204">
      <c r="A204" s="340"/>
      <c r="B204" s="118"/>
      <c r="C204" s="340"/>
      <c r="D204" s="340"/>
      <c r="E204" s="322"/>
      <c r="F204" s="322"/>
      <c r="G204" s="322"/>
      <c r="H204" s="341"/>
      <c r="I204" s="322"/>
      <c r="J204" s="340"/>
      <c r="K204" s="341"/>
      <c r="L204" s="340"/>
      <c r="M204" s="341"/>
      <c r="N204" s="340"/>
      <c r="O204" s="342"/>
      <c r="P204" s="341"/>
      <c r="Q204" s="342"/>
      <c r="R204" s="341"/>
      <c r="S204" s="343"/>
      <c r="T204" s="343"/>
      <c r="U204" s="344"/>
      <c r="V204" s="342"/>
      <c r="W204" s="345"/>
      <c r="X204" s="118"/>
      <c r="Y204" s="118"/>
      <c r="Z204" s="118"/>
      <c r="AA204" s="118"/>
      <c r="AB204" s="118"/>
      <c r="AC204" s="118"/>
      <c r="AD204" s="118"/>
      <c r="AE204" s="118"/>
    </row>
    <row r="205">
      <c r="A205" s="340"/>
      <c r="B205" s="118"/>
      <c r="C205" s="340"/>
      <c r="D205" s="340"/>
      <c r="E205" s="322"/>
      <c r="F205" s="322"/>
      <c r="G205" s="322"/>
      <c r="H205" s="341"/>
      <c r="I205" s="322"/>
      <c r="J205" s="340"/>
      <c r="K205" s="341"/>
      <c r="L205" s="340"/>
      <c r="M205" s="341"/>
      <c r="N205" s="340"/>
      <c r="O205" s="342"/>
      <c r="P205" s="341"/>
      <c r="Q205" s="342"/>
      <c r="R205" s="341"/>
      <c r="S205" s="343"/>
      <c r="T205" s="343"/>
      <c r="U205" s="344"/>
      <c r="V205" s="342"/>
      <c r="W205" s="345"/>
      <c r="X205" s="118"/>
      <c r="Y205" s="118"/>
      <c r="Z205" s="118"/>
      <c r="AA205" s="118"/>
      <c r="AB205" s="118"/>
      <c r="AC205" s="118"/>
      <c r="AD205" s="118"/>
      <c r="AE205" s="118"/>
    </row>
    <row r="206">
      <c r="A206" s="340"/>
      <c r="B206" s="118"/>
      <c r="C206" s="340"/>
      <c r="D206" s="340"/>
      <c r="E206" s="322"/>
      <c r="F206" s="322"/>
      <c r="G206" s="322"/>
      <c r="H206" s="341"/>
      <c r="I206" s="322"/>
      <c r="J206" s="340"/>
      <c r="K206" s="341"/>
      <c r="L206" s="340"/>
      <c r="M206" s="341"/>
      <c r="N206" s="340"/>
      <c r="O206" s="342"/>
      <c r="P206" s="341"/>
      <c r="Q206" s="342"/>
      <c r="R206" s="341"/>
      <c r="S206" s="343"/>
      <c r="T206" s="343"/>
      <c r="U206" s="344"/>
      <c r="V206" s="342"/>
      <c r="W206" s="345"/>
      <c r="X206" s="118"/>
      <c r="Y206" s="118"/>
      <c r="Z206" s="118"/>
      <c r="AA206" s="118"/>
      <c r="AB206" s="118"/>
      <c r="AC206" s="118"/>
      <c r="AD206" s="118"/>
      <c r="AE206" s="118"/>
    </row>
    <row r="207">
      <c r="A207" s="340"/>
      <c r="B207" s="118"/>
      <c r="C207" s="340"/>
      <c r="D207" s="340"/>
      <c r="E207" s="322"/>
      <c r="F207" s="322"/>
      <c r="G207" s="322"/>
      <c r="H207" s="341"/>
      <c r="I207" s="322"/>
      <c r="J207" s="340"/>
      <c r="K207" s="341"/>
      <c r="L207" s="340"/>
      <c r="M207" s="341"/>
      <c r="N207" s="340"/>
      <c r="O207" s="342"/>
      <c r="P207" s="341"/>
      <c r="Q207" s="342"/>
      <c r="R207" s="341"/>
      <c r="S207" s="343"/>
      <c r="T207" s="343"/>
      <c r="U207" s="344"/>
      <c r="V207" s="342"/>
      <c r="W207" s="345"/>
      <c r="X207" s="118"/>
      <c r="Y207" s="118"/>
      <c r="Z207" s="118"/>
      <c r="AA207" s="118"/>
      <c r="AB207" s="118"/>
      <c r="AC207" s="118"/>
      <c r="AD207" s="118"/>
      <c r="AE207" s="118"/>
    </row>
    <row r="208">
      <c r="A208" s="340"/>
      <c r="B208" s="118"/>
      <c r="C208" s="340"/>
      <c r="D208" s="340"/>
      <c r="E208" s="322"/>
      <c r="F208" s="322"/>
      <c r="G208" s="322"/>
      <c r="H208" s="341"/>
      <c r="I208" s="322"/>
      <c r="J208" s="340"/>
      <c r="K208" s="341"/>
      <c r="L208" s="340"/>
      <c r="M208" s="341"/>
      <c r="N208" s="340"/>
      <c r="O208" s="342"/>
      <c r="P208" s="341"/>
      <c r="Q208" s="342"/>
      <c r="R208" s="341"/>
      <c r="S208" s="343"/>
      <c r="T208" s="343"/>
      <c r="U208" s="344"/>
      <c r="V208" s="342"/>
      <c r="W208" s="345"/>
      <c r="X208" s="118"/>
      <c r="Y208" s="118"/>
      <c r="Z208" s="118"/>
      <c r="AA208" s="118"/>
      <c r="AB208" s="118"/>
      <c r="AC208" s="118"/>
      <c r="AD208" s="118"/>
      <c r="AE208" s="118"/>
    </row>
    <row r="209">
      <c r="A209" s="340"/>
      <c r="B209" s="118"/>
      <c r="C209" s="340"/>
      <c r="D209" s="340"/>
      <c r="E209" s="322"/>
      <c r="F209" s="322"/>
      <c r="G209" s="322"/>
      <c r="H209" s="341"/>
      <c r="I209" s="322"/>
      <c r="J209" s="340"/>
      <c r="K209" s="341"/>
      <c r="L209" s="340"/>
      <c r="M209" s="341"/>
      <c r="N209" s="340"/>
      <c r="O209" s="342"/>
      <c r="P209" s="341"/>
      <c r="Q209" s="342"/>
      <c r="R209" s="341"/>
      <c r="S209" s="343"/>
      <c r="T209" s="343"/>
      <c r="U209" s="344"/>
      <c r="V209" s="342"/>
      <c r="W209" s="345"/>
      <c r="X209" s="118"/>
      <c r="Y209" s="118"/>
      <c r="Z209" s="118"/>
      <c r="AA209" s="118"/>
      <c r="AB209" s="118"/>
      <c r="AC209" s="118"/>
      <c r="AD209" s="118"/>
      <c r="AE209" s="118"/>
    </row>
    <row r="210">
      <c r="A210" s="340"/>
      <c r="B210" s="118"/>
      <c r="C210" s="340"/>
      <c r="D210" s="340"/>
      <c r="E210" s="322"/>
      <c r="F210" s="322"/>
      <c r="G210" s="322"/>
      <c r="H210" s="341"/>
      <c r="I210" s="322"/>
      <c r="J210" s="340"/>
      <c r="K210" s="341"/>
      <c r="L210" s="340"/>
      <c r="M210" s="341"/>
      <c r="N210" s="340"/>
      <c r="O210" s="342"/>
      <c r="P210" s="341"/>
      <c r="Q210" s="342"/>
      <c r="R210" s="341"/>
      <c r="S210" s="343"/>
      <c r="T210" s="343"/>
      <c r="U210" s="344"/>
      <c r="V210" s="342"/>
      <c r="W210" s="345"/>
      <c r="X210" s="118"/>
      <c r="Y210" s="118"/>
      <c r="Z210" s="118"/>
      <c r="AA210" s="118"/>
      <c r="AB210" s="118"/>
      <c r="AC210" s="118"/>
      <c r="AD210" s="118"/>
      <c r="AE210" s="118"/>
    </row>
    <row r="211">
      <c r="A211" s="340"/>
      <c r="B211" s="118"/>
      <c r="C211" s="340"/>
      <c r="D211" s="340"/>
      <c r="E211" s="322"/>
      <c r="F211" s="322"/>
      <c r="G211" s="322"/>
      <c r="H211" s="341"/>
      <c r="I211" s="322"/>
      <c r="J211" s="340"/>
      <c r="K211" s="341"/>
      <c r="L211" s="340"/>
      <c r="M211" s="341"/>
      <c r="N211" s="340"/>
      <c r="O211" s="342"/>
      <c r="P211" s="341"/>
      <c r="Q211" s="342"/>
      <c r="R211" s="341"/>
      <c r="S211" s="343"/>
      <c r="T211" s="343"/>
      <c r="U211" s="344"/>
      <c r="V211" s="342"/>
      <c r="W211" s="345"/>
      <c r="X211" s="118"/>
      <c r="Y211" s="118"/>
      <c r="Z211" s="118"/>
      <c r="AA211" s="118"/>
      <c r="AB211" s="118"/>
      <c r="AC211" s="118"/>
      <c r="AD211" s="118"/>
      <c r="AE211" s="118"/>
    </row>
    <row r="212">
      <c r="A212" s="340"/>
      <c r="B212" s="118"/>
      <c r="C212" s="340"/>
      <c r="D212" s="340"/>
      <c r="E212" s="322"/>
      <c r="F212" s="322"/>
      <c r="G212" s="322"/>
      <c r="H212" s="341"/>
      <c r="I212" s="322"/>
      <c r="J212" s="340"/>
      <c r="K212" s="341"/>
      <c r="L212" s="340"/>
      <c r="M212" s="341"/>
      <c r="N212" s="340"/>
      <c r="O212" s="342"/>
      <c r="P212" s="341"/>
      <c r="Q212" s="342"/>
      <c r="R212" s="341"/>
      <c r="S212" s="343"/>
      <c r="T212" s="343"/>
      <c r="U212" s="344"/>
      <c r="V212" s="342"/>
      <c r="W212" s="345"/>
      <c r="X212" s="118"/>
      <c r="Y212" s="118"/>
      <c r="Z212" s="118"/>
      <c r="AA212" s="118"/>
      <c r="AB212" s="118"/>
      <c r="AC212" s="118"/>
      <c r="AD212" s="118"/>
      <c r="AE212" s="118"/>
    </row>
    <row r="213">
      <c r="A213" s="340"/>
      <c r="B213" s="118"/>
      <c r="C213" s="340"/>
      <c r="D213" s="340"/>
      <c r="E213" s="322"/>
      <c r="F213" s="322"/>
      <c r="G213" s="322"/>
      <c r="H213" s="341"/>
      <c r="I213" s="322"/>
      <c r="J213" s="340"/>
      <c r="K213" s="341"/>
      <c r="L213" s="340"/>
      <c r="M213" s="341"/>
      <c r="N213" s="340"/>
      <c r="O213" s="342"/>
      <c r="P213" s="341"/>
      <c r="Q213" s="342"/>
      <c r="R213" s="341"/>
      <c r="S213" s="343"/>
      <c r="T213" s="343"/>
      <c r="U213" s="344"/>
      <c r="V213" s="342"/>
      <c r="W213" s="345"/>
      <c r="X213" s="118"/>
      <c r="Y213" s="118"/>
      <c r="Z213" s="118"/>
      <c r="AA213" s="118"/>
      <c r="AB213" s="118"/>
      <c r="AC213" s="118"/>
      <c r="AD213" s="118"/>
      <c r="AE213" s="118"/>
    </row>
    <row r="214">
      <c r="A214" s="340"/>
      <c r="B214" s="118"/>
      <c r="C214" s="340"/>
      <c r="D214" s="340"/>
      <c r="E214" s="322"/>
      <c r="F214" s="322"/>
      <c r="G214" s="322"/>
      <c r="H214" s="341"/>
      <c r="I214" s="322"/>
      <c r="J214" s="340"/>
      <c r="K214" s="341"/>
      <c r="L214" s="340"/>
      <c r="M214" s="341"/>
      <c r="N214" s="340"/>
      <c r="O214" s="342"/>
      <c r="P214" s="341"/>
      <c r="Q214" s="342"/>
      <c r="R214" s="341"/>
      <c r="S214" s="343"/>
      <c r="T214" s="343"/>
      <c r="U214" s="344"/>
      <c r="V214" s="342"/>
      <c r="W214" s="345"/>
      <c r="X214" s="118"/>
      <c r="Y214" s="118"/>
      <c r="Z214" s="118"/>
      <c r="AA214" s="118"/>
      <c r="AB214" s="118"/>
      <c r="AC214" s="118"/>
      <c r="AD214" s="118"/>
      <c r="AE214" s="118"/>
    </row>
    <row r="215">
      <c r="A215" s="340"/>
      <c r="B215" s="118"/>
      <c r="C215" s="340"/>
      <c r="D215" s="340"/>
      <c r="E215" s="322"/>
      <c r="F215" s="322"/>
      <c r="G215" s="322"/>
      <c r="H215" s="341"/>
      <c r="I215" s="322"/>
      <c r="J215" s="340"/>
      <c r="K215" s="341"/>
      <c r="L215" s="340"/>
      <c r="M215" s="341"/>
      <c r="N215" s="340"/>
      <c r="O215" s="342"/>
      <c r="P215" s="341"/>
      <c r="Q215" s="342"/>
      <c r="R215" s="341"/>
      <c r="S215" s="343"/>
      <c r="T215" s="343"/>
      <c r="U215" s="344"/>
      <c r="V215" s="342"/>
      <c r="W215" s="345"/>
      <c r="X215" s="118"/>
      <c r="Y215" s="118"/>
      <c r="Z215" s="118"/>
      <c r="AA215" s="118"/>
      <c r="AB215" s="118"/>
      <c r="AC215" s="118"/>
      <c r="AD215" s="118"/>
      <c r="AE215" s="118"/>
    </row>
    <row r="216">
      <c r="A216" s="340"/>
      <c r="B216" s="118"/>
      <c r="C216" s="340"/>
      <c r="D216" s="340"/>
      <c r="E216" s="322"/>
      <c r="F216" s="322"/>
      <c r="G216" s="322"/>
      <c r="H216" s="341"/>
      <c r="I216" s="322"/>
      <c r="J216" s="340"/>
      <c r="K216" s="341"/>
      <c r="L216" s="340"/>
      <c r="M216" s="341"/>
      <c r="N216" s="340"/>
      <c r="O216" s="342"/>
      <c r="P216" s="341"/>
      <c r="Q216" s="342"/>
      <c r="R216" s="341"/>
      <c r="S216" s="343"/>
      <c r="T216" s="343"/>
      <c r="U216" s="344"/>
      <c r="V216" s="342"/>
      <c r="W216" s="345"/>
      <c r="X216" s="118"/>
      <c r="Y216" s="118"/>
      <c r="Z216" s="118"/>
      <c r="AA216" s="118"/>
      <c r="AB216" s="118"/>
      <c r="AC216" s="118"/>
      <c r="AD216" s="118"/>
      <c r="AE216" s="118"/>
    </row>
    <row r="217">
      <c r="A217" s="340"/>
      <c r="B217" s="118"/>
      <c r="C217" s="340"/>
      <c r="D217" s="340"/>
      <c r="E217" s="322"/>
      <c r="F217" s="322"/>
      <c r="G217" s="322"/>
      <c r="H217" s="341"/>
      <c r="I217" s="322"/>
      <c r="J217" s="340"/>
      <c r="K217" s="341"/>
      <c r="L217" s="340"/>
      <c r="M217" s="341"/>
      <c r="N217" s="340"/>
      <c r="O217" s="342"/>
      <c r="P217" s="341"/>
      <c r="Q217" s="342"/>
      <c r="R217" s="341"/>
      <c r="S217" s="343"/>
      <c r="T217" s="343"/>
      <c r="U217" s="344"/>
      <c r="V217" s="342"/>
      <c r="W217" s="345"/>
      <c r="X217" s="118"/>
      <c r="Y217" s="118"/>
      <c r="Z217" s="118"/>
      <c r="AA217" s="118"/>
      <c r="AB217" s="118"/>
      <c r="AC217" s="118"/>
      <c r="AD217" s="118"/>
      <c r="AE217" s="118"/>
    </row>
    <row r="218">
      <c r="A218" s="340"/>
      <c r="B218" s="118"/>
      <c r="C218" s="340"/>
      <c r="D218" s="340"/>
      <c r="E218" s="322"/>
      <c r="F218" s="322"/>
      <c r="G218" s="322"/>
      <c r="H218" s="341"/>
      <c r="I218" s="322"/>
      <c r="J218" s="340"/>
      <c r="K218" s="341"/>
      <c r="L218" s="340"/>
      <c r="M218" s="341"/>
      <c r="N218" s="340"/>
      <c r="O218" s="342"/>
      <c r="P218" s="341"/>
      <c r="Q218" s="342"/>
      <c r="R218" s="341"/>
      <c r="S218" s="343"/>
      <c r="T218" s="343"/>
      <c r="U218" s="344"/>
      <c r="V218" s="342"/>
      <c r="W218" s="345"/>
      <c r="X218" s="118"/>
      <c r="Y218" s="118"/>
      <c r="Z218" s="118"/>
      <c r="AA218" s="118"/>
      <c r="AB218" s="118"/>
      <c r="AC218" s="118"/>
      <c r="AD218" s="118"/>
      <c r="AE218" s="118"/>
    </row>
    <row r="219">
      <c r="A219" s="340"/>
      <c r="B219" s="118"/>
      <c r="C219" s="340"/>
      <c r="D219" s="340"/>
      <c r="E219" s="322"/>
      <c r="F219" s="322"/>
      <c r="G219" s="322"/>
      <c r="H219" s="341"/>
      <c r="I219" s="322"/>
      <c r="J219" s="340"/>
      <c r="K219" s="341"/>
      <c r="L219" s="340"/>
      <c r="M219" s="341"/>
      <c r="N219" s="340"/>
      <c r="O219" s="342"/>
      <c r="P219" s="341"/>
      <c r="Q219" s="342"/>
      <c r="R219" s="341"/>
      <c r="S219" s="343"/>
      <c r="T219" s="343"/>
      <c r="U219" s="344"/>
      <c r="V219" s="342"/>
      <c r="W219" s="345"/>
      <c r="X219" s="118"/>
      <c r="Y219" s="118"/>
      <c r="Z219" s="118"/>
      <c r="AA219" s="118"/>
      <c r="AB219" s="118"/>
      <c r="AC219" s="118"/>
      <c r="AD219" s="118"/>
      <c r="AE219" s="118"/>
    </row>
    <row r="220">
      <c r="A220" s="340"/>
      <c r="B220" s="118"/>
      <c r="C220" s="340"/>
      <c r="D220" s="340"/>
      <c r="E220" s="322"/>
      <c r="F220" s="322"/>
      <c r="G220" s="322"/>
      <c r="H220" s="341"/>
      <c r="I220" s="322"/>
      <c r="J220" s="340"/>
      <c r="K220" s="341"/>
      <c r="L220" s="340"/>
      <c r="M220" s="341"/>
      <c r="N220" s="340"/>
      <c r="O220" s="342"/>
      <c r="P220" s="341"/>
      <c r="Q220" s="342"/>
      <c r="R220" s="341"/>
      <c r="S220" s="343"/>
      <c r="T220" s="343"/>
      <c r="U220" s="344"/>
      <c r="V220" s="342"/>
      <c r="W220" s="345"/>
      <c r="X220" s="118"/>
      <c r="Y220" s="118"/>
      <c r="Z220" s="118"/>
      <c r="AA220" s="118"/>
      <c r="AB220" s="118"/>
      <c r="AC220" s="118"/>
      <c r="AD220" s="118"/>
      <c r="AE220" s="118"/>
    </row>
    <row r="221">
      <c r="A221" s="340"/>
      <c r="B221" s="118"/>
      <c r="C221" s="340"/>
      <c r="D221" s="340"/>
      <c r="E221" s="322"/>
      <c r="F221" s="322"/>
      <c r="G221" s="322"/>
      <c r="H221" s="341"/>
      <c r="I221" s="322"/>
      <c r="J221" s="340"/>
      <c r="K221" s="341"/>
      <c r="L221" s="340"/>
      <c r="M221" s="341"/>
      <c r="N221" s="340"/>
      <c r="O221" s="342"/>
      <c r="P221" s="341"/>
      <c r="Q221" s="342"/>
      <c r="R221" s="341"/>
      <c r="S221" s="343"/>
      <c r="T221" s="343"/>
      <c r="U221" s="344"/>
      <c r="V221" s="342"/>
      <c r="W221" s="345"/>
      <c r="X221" s="118"/>
      <c r="Y221" s="118"/>
      <c r="Z221" s="118"/>
      <c r="AA221" s="118"/>
      <c r="AB221" s="118"/>
      <c r="AC221" s="118"/>
      <c r="AD221" s="118"/>
      <c r="AE221" s="118"/>
    </row>
    <row r="222">
      <c r="A222" s="340"/>
      <c r="B222" s="118"/>
      <c r="C222" s="340"/>
      <c r="D222" s="340"/>
      <c r="E222" s="322"/>
      <c r="F222" s="322"/>
      <c r="G222" s="322"/>
      <c r="H222" s="341"/>
      <c r="I222" s="322"/>
      <c r="J222" s="340"/>
      <c r="K222" s="341"/>
      <c r="L222" s="340"/>
      <c r="M222" s="341"/>
      <c r="N222" s="340"/>
      <c r="O222" s="342"/>
      <c r="P222" s="341"/>
      <c r="Q222" s="342"/>
      <c r="R222" s="341"/>
      <c r="S222" s="343"/>
      <c r="T222" s="343"/>
      <c r="U222" s="344"/>
      <c r="V222" s="342"/>
      <c r="W222" s="345"/>
      <c r="X222" s="118"/>
      <c r="Y222" s="118"/>
      <c r="Z222" s="118"/>
      <c r="AA222" s="118"/>
      <c r="AB222" s="118"/>
      <c r="AC222" s="118"/>
      <c r="AD222" s="118"/>
      <c r="AE222" s="118"/>
    </row>
    <row r="223">
      <c r="A223" s="340"/>
      <c r="B223" s="118"/>
      <c r="C223" s="340"/>
      <c r="D223" s="340"/>
      <c r="E223" s="322"/>
      <c r="F223" s="322"/>
      <c r="G223" s="322"/>
      <c r="H223" s="341"/>
      <c r="I223" s="322"/>
      <c r="J223" s="340"/>
      <c r="K223" s="341"/>
      <c r="L223" s="340"/>
      <c r="M223" s="341"/>
      <c r="N223" s="340"/>
      <c r="O223" s="342"/>
      <c r="P223" s="341"/>
      <c r="Q223" s="342"/>
      <c r="R223" s="341"/>
      <c r="S223" s="343"/>
      <c r="T223" s="343"/>
      <c r="U223" s="344"/>
      <c r="V223" s="342"/>
      <c r="W223" s="345"/>
      <c r="X223" s="118"/>
      <c r="Y223" s="118"/>
      <c r="Z223" s="118"/>
      <c r="AA223" s="118"/>
      <c r="AB223" s="118"/>
      <c r="AC223" s="118"/>
      <c r="AD223" s="118"/>
      <c r="AE223" s="118"/>
    </row>
    <row r="224">
      <c r="A224" s="340"/>
      <c r="B224" s="118"/>
      <c r="C224" s="340"/>
      <c r="D224" s="340"/>
      <c r="E224" s="322"/>
      <c r="F224" s="322"/>
      <c r="G224" s="322"/>
      <c r="H224" s="341"/>
      <c r="I224" s="322"/>
      <c r="J224" s="340"/>
      <c r="K224" s="341"/>
      <c r="L224" s="340"/>
      <c r="M224" s="341"/>
      <c r="N224" s="340"/>
      <c r="O224" s="342"/>
      <c r="P224" s="341"/>
      <c r="Q224" s="342"/>
      <c r="R224" s="341"/>
      <c r="S224" s="343"/>
      <c r="T224" s="343"/>
      <c r="U224" s="344"/>
      <c r="V224" s="342"/>
      <c r="W224" s="345"/>
      <c r="X224" s="118"/>
      <c r="Y224" s="118"/>
      <c r="Z224" s="118"/>
      <c r="AA224" s="118"/>
      <c r="AB224" s="118"/>
      <c r="AC224" s="118"/>
      <c r="AD224" s="118"/>
      <c r="AE224" s="118"/>
    </row>
    <row r="225">
      <c r="A225" s="340"/>
      <c r="B225" s="118"/>
      <c r="C225" s="340"/>
      <c r="D225" s="340"/>
      <c r="E225" s="322"/>
      <c r="F225" s="322"/>
      <c r="G225" s="322"/>
      <c r="H225" s="341"/>
      <c r="I225" s="322"/>
      <c r="J225" s="340"/>
      <c r="K225" s="341"/>
      <c r="L225" s="340"/>
      <c r="M225" s="341"/>
      <c r="N225" s="340"/>
      <c r="O225" s="342"/>
      <c r="P225" s="341"/>
      <c r="Q225" s="342"/>
      <c r="R225" s="341"/>
      <c r="S225" s="343"/>
      <c r="T225" s="343"/>
      <c r="U225" s="344"/>
      <c r="V225" s="342"/>
      <c r="W225" s="345"/>
      <c r="X225" s="118"/>
      <c r="Y225" s="118"/>
      <c r="Z225" s="118"/>
      <c r="AA225" s="118"/>
      <c r="AB225" s="118"/>
      <c r="AC225" s="118"/>
      <c r="AD225" s="118"/>
      <c r="AE225" s="118"/>
    </row>
    <row r="226">
      <c r="A226" s="340"/>
      <c r="B226" s="118"/>
      <c r="C226" s="340"/>
      <c r="D226" s="340"/>
      <c r="E226" s="322"/>
      <c r="F226" s="322"/>
      <c r="G226" s="322"/>
      <c r="H226" s="341"/>
      <c r="I226" s="322"/>
      <c r="J226" s="340"/>
      <c r="K226" s="341"/>
      <c r="L226" s="340"/>
      <c r="M226" s="341"/>
      <c r="N226" s="340"/>
      <c r="O226" s="342"/>
      <c r="P226" s="341"/>
      <c r="Q226" s="342"/>
      <c r="R226" s="341"/>
      <c r="S226" s="343"/>
      <c r="T226" s="343"/>
      <c r="U226" s="344"/>
      <c r="V226" s="342"/>
      <c r="W226" s="345"/>
      <c r="X226" s="118"/>
      <c r="Y226" s="118"/>
      <c r="Z226" s="118"/>
      <c r="AA226" s="118"/>
      <c r="AB226" s="118"/>
      <c r="AC226" s="118"/>
      <c r="AD226" s="118"/>
      <c r="AE226" s="118"/>
    </row>
    <row r="227">
      <c r="A227" s="340"/>
      <c r="B227" s="118"/>
      <c r="C227" s="340"/>
      <c r="D227" s="340"/>
      <c r="E227" s="322"/>
      <c r="F227" s="322"/>
      <c r="G227" s="322"/>
      <c r="H227" s="341"/>
      <c r="I227" s="322"/>
      <c r="J227" s="340"/>
      <c r="K227" s="341"/>
      <c r="L227" s="340"/>
      <c r="M227" s="341"/>
      <c r="N227" s="340"/>
      <c r="O227" s="342"/>
      <c r="P227" s="341"/>
      <c r="Q227" s="342"/>
      <c r="R227" s="341"/>
      <c r="S227" s="343"/>
      <c r="T227" s="343"/>
      <c r="U227" s="344"/>
      <c r="V227" s="342"/>
      <c r="W227" s="345"/>
      <c r="X227" s="118"/>
      <c r="Y227" s="118"/>
      <c r="Z227" s="118"/>
      <c r="AA227" s="118"/>
      <c r="AB227" s="118"/>
      <c r="AC227" s="118"/>
      <c r="AD227" s="118"/>
      <c r="AE227" s="118"/>
    </row>
    <row r="228">
      <c r="A228" s="340"/>
      <c r="B228" s="118"/>
      <c r="C228" s="340"/>
      <c r="D228" s="340"/>
      <c r="E228" s="322"/>
      <c r="F228" s="322"/>
      <c r="G228" s="322"/>
      <c r="H228" s="341"/>
      <c r="I228" s="322"/>
      <c r="J228" s="340"/>
      <c r="K228" s="341"/>
      <c r="L228" s="340"/>
      <c r="M228" s="341"/>
      <c r="N228" s="340"/>
      <c r="O228" s="342"/>
      <c r="P228" s="341"/>
      <c r="Q228" s="342"/>
      <c r="R228" s="341"/>
      <c r="S228" s="343"/>
      <c r="T228" s="343"/>
      <c r="U228" s="344"/>
      <c r="V228" s="342"/>
      <c r="W228" s="345"/>
      <c r="X228" s="118"/>
      <c r="Y228" s="118"/>
      <c r="Z228" s="118"/>
      <c r="AA228" s="118"/>
      <c r="AB228" s="118"/>
      <c r="AC228" s="118"/>
      <c r="AD228" s="118"/>
      <c r="AE228" s="118"/>
    </row>
    <row r="229">
      <c r="A229" s="340"/>
      <c r="B229" s="118"/>
      <c r="C229" s="340"/>
      <c r="D229" s="340"/>
      <c r="E229" s="322"/>
      <c r="F229" s="322"/>
      <c r="G229" s="322"/>
      <c r="H229" s="341"/>
      <c r="I229" s="322"/>
      <c r="J229" s="340"/>
      <c r="K229" s="341"/>
      <c r="L229" s="340"/>
      <c r="M229" s="341"/>
      <c r="N229" s="340"/>
      <c r="O229" s="342"/>
      <c r="P229" s="341"/>
      <c r="Q229" s="342"/>
      <c r="R229" s="341"/>
      <c r="S229" s="343"/>
      <c r="T229" s="343"/>
      <c r="U229" s="344"/>
      <c r="V229" s="342"/>
      <c r="W229" s="345"/>
      <c r="X229" s="118"/>
      <c r="Y229" s="118"/>
      <c r="Z229" s="118"/>
      <c r="AA229" s="118"/>
      <c r="AB229" s="118"/>
      <c r="AC229" s="118"/>
      <c r="AD229" s="118"/>
      <c r="AE229" s="118"/>
    </row>
    <row r="230">
      <c r="A230" s="340"/>
      <c r="B230" s="118"/>
      <c r="C230" s="340"/>
      <c r="D230" s="340"/>
      <c r="E230" s="322"/>
      <c r="F230" s="322"/>
      <c r="G230" s="322"/>
      <c r="H230" s="341"/>
      <c r="I230" s="322"/>
      <c r="J230" s="340"/>
      <c r="K230" s="341"/>
      <c r="L230" s="340"/>
      <c r="M230" s="341"/>
      <c r="N230" s="340"/>
      <c r="O230" s="342"/>
      <c r="P230" s="341"/>
      <c r="Q230" s="342"/>
      <c r="R230" s="341"/>
      <c r="S230" s="343"/>
      <c r="T230" s="343"/>
      <c r="U230" s="344"/>
      <c r="V230" s="342"/>
      <c r="W230" s="345"/>
      <c r="X230" s="118"/>
      <c r="Y230" s="118"/>
      <c r="Z230" s="118"/>
      <c r="AA230" s="118"/>
      <c r="AB230" s="118"/>
      <c r="AC230" s="118"/>
      <c r="AD230" s="118"/>
      <c r="AE230" s="118"/>
    </row>
    <row r="231">
      <c r="A231" s="340"/>
      <c r="B231" s="118"/>
      <c r="C231" s="340"/>
      <c r="D231" s="340"/>
      <c r="E231" s="322"/>
      <c r="F231" s="322"/>
      <c r="G231" s="322"/>
      <c r="H231" s="341"/>
      <c r="I231" s="322"/>
      <c r="J231" s="340"/>
      <c r="K231" s="341"/>
      <c r="L231" s="340"/>
      <c r="M231" s="341"/>
      <c r="N231" s="340"/>
      <c r="O231" s="342"/>
      <c r="P231" s="341"/>
      <c r="Q231" s="342"/>
      <c r="R231" s="341"/>
      <c r="S231" s="343"/>
      <c r="T231" s="343"/>
      <c r="U231" s="344"/>
      <c r="V231" s="342"/>
      <c r="W231" s="345"/>
      <c r="X231" s="118"/>
      <c r="Y231" s="118"/>
      <c r="Z231" s="118"/>
      <c r="AA231" s="118"/>
      <c r="AB231" s="118"/>
      <c r="AC231" s="118"/>
      <c r="AD231" s="118"/>
      <c r="AE231" s="118"/>
    </row>
    <row r="232">
      <c r="A232" s="340"/>
      <c r="B232" s="118"/>
      <c r="C232" s="340"/>
      <c r="D232" s="340"/>
      <c r="E232" s="322"/>
      <c r="F232" s="322"/>
      <c r="G232" s="322"/>
      <c r="H232" s="341"/>
      <c r="I232" s="322"/>
      <c r="J232" s="340"/>
      <c r="K232" s="341"/>
      <c r="L232" s="340"/>
      <c r="M232" s="341"/>
      <c r="N232" s="340"/>
      <c r="O232" s="342"/>
      <c r="P232" s="341"/>
      <c r="Q232" s="342"/>
      <c r="R232" s="341"/>
      <c r="S232" s="343"/>
      <c r="T232" s="343"/>
      <c r="U232" s="344"/>
      <c r="V232" s="342"/>
      <c r="W232" s="345"/>
      <c r="X232" s="118"/>
      <c r="Y232" s="118"/>
      <c r="Z232" s="118"/>
      <c r="AA232" s="118"/>
      <c r="AB232" s="118"/>
      <c r="AC232" s="118"/>
      <c r="AD232" s="118"/>
      <c r="AE232" s="118"/>
    </row>
    <row r="233">
      <c r="A233" s="340"/>
      <c r="B233" s="118"/>
      <c r="C233" s="340"/>
      <c r="D233" s="340"/>
      <c r="E233" s="322"/>
      <c r="F233" s="322"/>
      <c r="G233" s="322"/>
      <c r="H233" s="341"/>
      <c r="I233" s="322"/>
      <c r="J233" s="340"/>
      <c r="K233" s="341"/>
      <c r="L233" s="340"/>
      <c r="M233" s="341"/>
      <c r="N233" s="340"/>
      <c r="O233" s="342"/>
      <c r="P233" s="341"/>
      <c r="Q233" s="342"/>
      <c r="R233" s="341"/>
      <c r="S233" s="343"/>
      <c r="T233" s="343"/>
      <c r="U233" s="344"/>
      <c r="V233" s="342"/>
      <c r="W233" s="345"/>
      <c r="X233" s="118"/>
      <c r="Y233" s="118"/>
      <c r="Z233" s="118"/>
      <c r="AA233" s="118"/>
      <c r="AB233" s="118"/>
      <c r="AC233" s="118"/>
      <c r="AD233" s="118"/>
      <c r="AE233" s="118"/>
    </row>
    <row r="234">
      <c r="A234" s="340"/>
      <c r="B234" s="118"/>
      <c r="C234" s="340"/>
      <c r="D234" s="340"/>
      <c r="E234" s="322"/>
      <c r="F234" s="322"/>
      <c r="G234" s="322"/>
      <c r="H234" s="341"/>
      <c r="I234" s="322"/>
      <c r="J234" s="340"/>
      <c r="K234" s="341"/>
      <c r="L234" s="340"/>
      <c r="M234" s="341"/>
      <c r="N234" s="340"/>
      <c r="O234" s="342"/>
      <c r="P234" s="341"/>
      <c r="Q234" s="342"/>
      <c r="R234" s="341"/>
      <c r="S234" s="343"/>
      <c r="T234" s="343"/>
      <c r="U234" s="344"/>
      <c r="V234" s="342"/>
      <c r="W234" s="345"/>
      <c r="X234" s="118"/>
      <c r="Y234" s="118"/>
      <c r="Z234" s="118"/>
      <c r="AA234" s="118"/>
      <c r="AB234" s="118"/>
      <c r="AC234" s="118"/>
      <c r="AD234" s="118"/>
      <c r="AE234" s="118"/>
    </row>
    <row r="235">
      <c r="A235" s="340"/>
      <c r="B235" s="118"/>
      <c r="C235" s="340"/>
      <c r="D235" s="340"/>
      <c r="E235" s="322"/>
      <c r="F235" s="322"/>
      <c r="G235" s="322"/>
      <c r="H235" s="341"/>
      <c r="I235" s="322"/>
      <c r="J235" s="340"/>
      <c r="K235" s="341"/>
      <c r="L235" s="340"/>
      <c r="M235" s="341"/>
      <c r="N235" s="340"/>
      <c r="O235" s="342"/>
      <c r="P235" s="341"/>
      <c r="Q235" s="342"/>
      <c r="R235" s="341"/>
      <c r="S235" s="343"/>
      <c r="T235" s="343"/>
      <c r="U235" s="344"/>
      <c r="V235" s="342"/>
      <c r="W235" s="345"/>
      <c r="X235" s="118"/>
      <c r="Y235" s="118"/>
      <c r="Z235" s="118"/>
      <c r="AA235" s="118"/>
      <c r="AB235" s="118"/>
      <c r="AC235" s="118"/>
      <c r="AD235" s="118"/>
      <c r="AE235" s="118"/>
    </row>
    <row r="236">
      <c r="A236" s="340"/>
      <c r="B236" s="118"/>
      <c r="C236" s="340"/>
      <c r="D236" s="340"/>
      <c r="E236" s="322"/>
      <c r="F236" s="322"/>
      <c r="G236" s="322"/>
      <c r="H236" s="341"/>
      <c r="I236" s="322"/>
      <c r="J236" s="340"/>
      <c r="K236" s="341"/>
      <c r="L236" s="340"/>
      <c r="M236" s="341"/>
      <c r="N236" s="340"/>
      <c r="O236" s="342"/>
      <c r="P236" s="341"/>
      <c r="Q236" s="342"/>
      <c r="R236" s="341"/>
      <c r="S236" s="343"/>
      <c r="T236" s="343"/>
      <c r="U236" s="344"/>
      <c r="V236" s="342"/>
      <c r="W236" s="345"/>
      <c r="X236" s="118"/>
      <c r="Y236" s="118"/>
      <c r="Z236" s="118"/>
      <c r="AA236" s="118"/>
      <c r="AB236" s="118"/>
      <c r="AC236" s="118"/>
      <c r="AD236" s="118"/>
      <c r="AE236" s="118"/>
    </row>
    <row r="237">
      <c r="A237" s="340"/>
      <c r="B237" s="118"/>
      <c r="C237" s="340"/>
      <c r="D237" s="340"/>
      <c r="E237" s="322"/>
      <c r="F237" s="322"/>
      <c r="G237" s="322"/>
      <c r="H237" s="341"/>
      <c r="I237" s="322"/>
      <c r="J237" s="340"/>
      <c r="K237" s="341"/>
      <c r="L237" s="340"/>
      <c r="M237" s="341"/>
      <c r="N237" s="340"/>
      <c r="O237" s="342"/>
      <c r="P237" s="341"/>
      <c r="Q237" s="342"/>
      <c r="R237" s="341"/>
      <c r="S237" s="343"/>
      <c r="T237" s="343"/>
      <c r="U237" s="344"/>
      <c r="V237" s="342"/>
      <c r="W237" s="345"/>
      <c r="X237" s="118"/>
      <c r="Y237" s="118"/>
      <c r="Z237" s="118"/>
      <c r="AA237" s="118"/>
      <c r="AB237" s="118"/>
      <c r="AC237" s="118"/>
      <c r="AD237" s="118"/>
      <c r="AE237" s="118"/>
    </row>
    <row r="238">
      <c r="A238" s="340"/>
      <c r="B238" s="118"/>
      <c r="C238" s="340"/>
      <c r="D238" s="340"/>
      <c r="E238" s="322"/>
      <c r="F238" s="322"/>
      <c r="G238" s="322"/>
      <c r="H238" s="341"/>
      <c r="I238" s="322"/>
      <c r="J238" s="340"/>
      <c r="K238" s="341"/>
      <c r="L238" s="340"/>
      <c r="M238" s="341"/>
      <c r="N238" s="340"/>
      <c r="O238" s="342"/>
      <c r="P238" s="341"/>
      <c r="Q238" s="342"/>
      <c r="R238" s="341"/>
      <c r="S238" s="343"/>
      <c r="T238" s="343"/>
      <c r="U238" s="344"/>
      <c r="V238" s="342"/>
      <c r="W238" s="345"/>
      <c r="X238" s="118"/>
      <c r="Y238" s="118"/>
      <c r="Z238" s="118"/>
      <c r="AA238" s="118"/>
      <c r="AB238" s="118"/>
      <c r="AC238" s="118"/>
      <c r="AD238" s="118"/>
      <c r="AE238" s="118"/>
    </row>
    <row r="239">
      <c r="A239" s="340"/>
      <c r="B239" s="118"/>
      <c r="C239" s="340"/>
      <c r="D239" s="340"/>
      <c r="E239" s="322"/>
      <c r="F239" s="322"/>
      <c r="G239" s="322"/>
      <c r="H239" s="341"/>
      <c r="I239" s="322"/>
      <c r="J239" s="340"/>
      <c r="K239" s="341"/>
      <c r="L239" s="340"/>
      <c r="M239" s="341"/>
      <c r="N239" s="340"/>
      <c r="O239" s="342"/>
      <c r="P239" s="341"/>
      <c r="Q239" s="342"/>
      <c r="R239" s="341"/>
      <c r="S239" s="343"/>
      <c r="T239" s="343"/>
      <c r="U239" s="344"/>
      <c r="V239" s="342"/>
      <c r="W239" s="345"/>
      <c r="X239" s="118"/>
      <c r="Y239" s="118"/>
      <c r="Z239" s="118"/>
      <c r="AA239" s="118"/>
      <c r="AB239" s="118"/>
      <c r="AC239" s="118"/>
      <c r="AD239" s="118"/>
      <c r="AE239" s="118"/>
    </row>
    <row r="240">
      <c r="A240" s="340"/>
      <c r="B240" s="118"/>
      <c r="C240" s="340"/>
      <c r="D240" s="340"/>
      <c r="E240" s="322"/>
      <c r="F240" s="322"/>
      <c r="G240" s="322"/>
      <c r="H240" s="341"/>
      <c r="I240" s="322"/>
      <c r="J240" s="340"/>
      <c r="K240" s="341"/>
      <c r="L240" s="340"/>
      <c r="M240" s="341"/>
      <c r="N240" s="340"/>
      <c r="O240" s="342"/>
      <c r="P240" s="341"/>
      <c r="Q240" s="342"/>
      <c r="R240" s="341"/>
      <c r="S240" s="343"/>
      <c r="T240" s="343"/>
      <c r="U240" s="344"/>
      <c r="V240" s="342"/>
      <c r="W240" s="345"/>
      <c r="X240" s="118"/>
      <c r="Y240" s="118"/>
      <c r="Z240" s="118"/>
      <c r="AA240" s="118"/>
      <c r="AB240" s="118"/>
      <c r="AC240" s="118"/>
      <c r="AD240" s="118"/>
      <c r="AE240" s="118"/>
    </row>
    <row r="241">
      <c r="A241" s="340"/>
      <c r="B241" s="118"/>
      <c r="C241" s="340"/>
      <c r="D241" s="340"/>
      <c r="E241" s="322"/>
      <c r="F241" s="322"/>
      <c r="G241" s="322"/>
      <c r="H241" s="341"/>
      <c r="I241" s="322"/>
      <c r="J241" s="340"/>
      <c r="K241" s="341"/>
      <c r="L241" s="340"/>
      <c r="M241" s="341"/>
      <c r="N241" s="340"/>
      <c r="O241" s="342"/>
      <c r="P241" s="341"/>
      <c r="Q241" s="342"/>
      <c r="R241" s="341"/>
      <c r="S241" s="343"/>
      <c r="T241" s="343"/>
      <c r="U241" s="344"/>
      <c r="V241" s="342"/>
      <c r="W241" s="345"/>
      <c r="X241" s="118"/>
      <c r="Y241" s="118"/>
      <c r="Z241" s="118"/>
      <c r="AA241" s="118"/>
      <c r="AB241" s="118"/>
      <c r="AC241" s="118"/>
      <c r="AD241" s="118"/>
      <c r="AE241" s="118"/>
    </row>
    <row r="242">
      <c r="A242" s="340"/>
      <c r="B242" s="118"/>
      <c r="C242" s="340"/>
      <c r="D242" s="340"/>
      <c r="E242" s="322"/>
      <c r="F242" s="322"/>
      <c r="G242" s="322"/>
      <c r="H242" s="341"/>
      <c r="I242" s="322"/>
      <c r="J242" s="340"/>
      <c r="K242" s="341"/>
      <c r="L242" s="340"/>
      <c r="M242" s="341"/>
      <c r="N242" s="340"/>
      <c r="O242" s="342"/>
      <c r="P242" s="341"/>
      <c r="Q242" s="342"/>
      <c r="R242" s="341"/>
      <c r="S242" s="343"/>
      <c r="T242" s="343"/>
      <c r="U242" s="344"/>
      <c r="V242" s="342"/>
      <c r="W242" s="345"/>
      <c r="X242" s="118"/>
      <c r="Y242" s="118"/>
      <c r="Z242" s="118"/>
      <c r="AA242" s="118"/>
      <c r="AB242" s="118"/>
      <c r="AC242" s="118"/>
      <c r="AD242" s="118"/>
      <c r="AE242" s="118"/>
    </row>
    <row r="243">
      <c r="A243" s="340"/>
      <c r="B243" s="118"/>
      <c r="C243" s="340"/>
      <c r="D243" s="340"/>
      <c r="E243" s="322"/>
      <c r="F243" s="322"/>
      <c r="G243" s="322"/>
      <c r="H243" s="341"/>
      <c r="I243" s="322"/>
      <c r="J243" s="340"/>
      <c r="K243" s="341"/>
      <c r="L243" s="340"/>
      <c r="M243" s="341"/>
      <c r="N243" s="340"/>
      <c r="O243" s="342"/>
      <c r="P243" s="341"/>
      <c r="Q243" s="342"/>
      <c r="R243" s="341"/>
      <c r="S243" s="343"/>
      <c r="T243" s="343"/>
      <c r="U243" s="344"/>
      <c r="V243" s="342"/>
      <c r="W243" s="345"/>
      <c r="X243" s="118"/>
      <c r="Y243" s="118"/>
      <c r="Z243" s="118"/>
      <c r="AA243" s="118"/>
      <c r="AB243" s="118"/>
      <c r="AC243" s="118"/>
      <c r="AD243" s="118"/>
      <c r="AE243" s="118"/>
    </row>
    <row r="244">
      <c r="A244" s="340"/>
      <c r="B244" s="118"/>
      <c r="C244" s="340"/>
      <c r="D244" s="340"/>
      <c r="E244" s="322"/>
      <c r="F244" s="322"/>
      <c r="G244" s="322"/>
      <c r="H244" s="341"/>
      <c r="I244" s="322"/>
      <c r="J244" s="340"/>
      <c r="K244" s="341"/>
      <c r="L244" s="340"/>
      <c r="M244" s="341"/>
      <c r="N244" s="340"/>
      <c r="O244" s="342"/>
      <c r="P244" s="341"/>
      <c r="Q244" s="342"/>
      <c r="R244" s="341"/>
      <c r="S244" s="343"/>
      <c r="T244" s="343"/>
      <c r="U244" s="344"/>
      <c r="V244" s="342"/>
      <c r="W244" s="345"/>
      <c r="X244" s="118"/>
      <c r="Y244" s="118"/>
      <c r="Z244" s="118"/>
      <c r="AA244" s="118"/>
      <c r="AB244" s="118"/>
      <c r="AC244" s="118"/>
      <c r="AD244" s="118"/>
      <c r="AE244" s="118"/>
    </row>
    <row r="245">
      <c r="A245" s="340"/>
      <c r="B245" s="118"/>
      <c r="C245" s="340"/>
      <c r="D245" s="340"/>
      <c r="E245" s="322"/>
      <c r="F245" s="322"/>
      <c r="G245" s="322"/>
      <c r="H245" s="341"/>
      <c r="I245" s="322"/>
      <c r="J245" s="340"/>
      <c r="K245" s="341"/>
      <c r="L245" s="340"/>
      <c r="M245" s="341"/>
      <c r="N245" s="340"/>
      <c r="O245" s="342"/>
      <c r="P245" s="341"/>
      <c r="Q245" s="342"/>
      <c r="R245" s="341"/>
      <c r="S245" s="343"/>
      <c r="T245" s="343"/>
      <c r="U245" s="344"/>
      <c r="V245" s="342"/>
      <c r="W245" s="345"/>
      <c r="X245" s="118"/>
      <c r="Y245" s="118"/>
      <c r="Z245" s="118"/>
      <c r="AA245" s="118"/>
      <c r="AB245" s="118"/>
      <c r="AC245" s="118"/>
      <c r="AD245" s="118"/>
      <c r="AE245" s="118"/>
    </row>
    <row r="246">
      <c r="A246" s="340"/>
      <c r="B246" s="118"/>
      <c r="C246" s="340"/>
      <c r="D246" s="340"/>
      <c r="E246" s="322"/>
      <c r="F246" s="322"/>
      <c r="G246" s="322"/>
      <c r="H246" s="341"/>
      <c r="I246" s="322"/>
      <c r="J246" s="340"/>
      <c r="K246" s="341"/>
      <c r="L246" s="340"/>
      <c r="M246" s="341"/>
      <c r="N246" s="340"/>
      <c r="O246" s="342"/>
      <c r="P246" s="341"/>
      <c r="Q246" s="342"/>
      <c r="R246" s="341"/>
      <c r="S246" s="343"/>
      <c r="T246" s="343"/>
      <c r="U246" s="344"/>
      <c r="V246" s="342"/>
      <c r="W246" s="345"/>
      <c r="X246" s="118"/>
      <c r="Y246" s="118"/>
      <c r="Z246" s="118"/>
      <c r="AA246" s="118"/>
      <c r="AB246" s="118"/>
      <c r="AC246" s="118"/>
      <c r="AD246" s="118"/>
      <c r="AE246" s="118"/>
    </row>
    <row r="247">
      <c r="A247" s="340"/>
      <c r="B247" s="118"/>
      <c r="C247" s="340"/>
      <c r="D247" s="340"/>
      <c r="E247" s="322"/>
      <c r="F247" s="322"/>
      <c r="G247" s="322"/>
      <c r="H247" s="341"/>
      <c r="I247" s="322"/>
      <c r="J247" s="340"/>
      <c r="K247" s="341"/>
      <c r="L247" s="340"/>
      <c r="M247" s="341"/>
      <c r="N247" s="340"/>
      <c r="O247" s="342"/>
      <c r="P247" s="341"/>
      <c r="Q247" s="342"/>
      <c r="R247" s="341"/>
      <c r="S247" s="343"/>
      <c r="T247" s="343"/>
      <c r="U247" s="344"/>
      <c r="V247" s="342"/>
      <c r="W247" s="345"/>
      <c r="X247" s="118"/>
      <c r="Y247" s="118"/>
      <c r="Z247" s="118"/>
      <c r="AA247" s="118"/>
      <c r="AB247" s="118"/>
      <c r="AC247" s="118"/>
      <c r="AD247" s="118"/>
      <c r="AE247" s="118"/>
    </row>
    <row r="248">
      <c r="A248" s="340"/>
      <c r="B248" s="118"/>
      <c r="C248" s="340"/>
      <c r="D248" s="340"/>
      <c r="E248" s="322"/>
      <c r="F248" s="322"/>
      <c r="G248" s="322"/>
      <c r="H248" s="341"/>
      <c r="I248" s="322"/>
      <c r="J248" s="340"/>
      <c r="K248" s="341"/>
      <c r="L248" s="340"/>
      <c r="M248" s="341"/>
      <c r="N248" s="340"/>
      <c r="O248" s="342"/>
      <c r="P248" s="341"/>
      <c r="Q248" s="342"/>
      <c r="R248" s="341"/>
      <c r="S248" s="343"/>
      <c r="T248" s="343"/>
      <c r="U248" s="344"/>
      <c r="V248" s="342"/>
      <c r="W248" s="345"/>
      <c r="X248" s="118"/>
      <c r="Y248" s="118"/>
      <c r="Z248" s="118"/>
      <c r="AA248" s="118"/>
      <c r="AB248" s="118"/>
      <c r="AC248" s="118"/>
      <c r="AD248" s="118"/>
      <c r="AE248" s="118"/>
    </row>
    <row r="249">
      <c r="A249" s="340"/>
      <c r="B249" s="118"/>
      <c r="C249" s="340"/>
      <c r="D249" s="340"/>
      <c r="E249" s="322"/>
      <c r="F249" s="322"/>
      <c r="G249" s="322"/>
      <c r="H249" s="341"/>
      <c r="I249" s="322"/>
      <c r="J249" s="340"/>
      <c r="K249" s="341"/>
      <c r="L249" s="340"/>
      <c r="M249" s="341"/>
      <c r="N249" s="340"/>
      <c r="O249" s="342"/>
      <c r="P249" s="341"/>
      <c r="Q249" s="342"/>
      <c r="R249" s="341"/>
      <c r="S249" s="343"/>
      <c r="T249" s="343"/>
      <c r="U249" s="344"/>
      <c r="V249" s="342"/>
      <c r="W249" s="345"/>
      <c r="X249" s="118"/>
      <c r="Y249" s="118"/>
      <c r="Z249" s="118"/>
      <c r="AA249" s="118"/>
      <c r="AB249" s="118"/>
      <c r="AC249" s="118"/>
      <c r="AD249" s="118"/>
      <c r="AE249" s="118"/>
    </row>
    <row r="250">
      <c r="A250" s="340"/>
      <c r="B250" s="118"/>
      <c r="C250" s="340"/>
      <c r="D250" s="340"/>
      <c r="E250" s="322"/>
      <c r="F250" s="322"/>
      <c r="G250" s="322"/>
      <c r="H250" s="341"/>
      <c r="I250" s="322"/>
      <c r="J250" s="340"/>
      <c r="K250" s="341"/>
      <c r="L250" s="340"/>
      <c r="M250" s="341"/>
      <c r="N250" s="340"/>
      <c r="O250" s="342"/>
      <c r="P250" s="341"/>
      <c r="Q250" s="342"/>
      <c r="R250" s="341"/>
      <c r="S250" s="343"/>
      <c r="T250" s="343"/>
      <c r="U250" s="344"/>
      <c r="V250" s="342"/>
      <c r="W250" s="345"/>
      <c r="X250" s="118"/>
      <c r="Y250" s="118"/>
      <c r="Z250" s="118"/>
      <c r="AA250" s="118"/>
      <c r="AB250" s="118"/>
      <c r="AC250" s="118"/>
      <c r="AD250" s="118"/>
      <c r="AE250" s="118"/>
    </row>
  </sheetData>
  <autoFilter ref="$A$1:$W$184">
    <filterColumn colId="0">
      <filters>
        <filter val="1"/>
      </filters>
    </filterColumn>
    <filterColumn colId="1">
      <filters>
        <filter val="1"/>
        <filter val="2"/>
        <filter val="3"/>
        <filter val="4"/>
        <filter val="5"/>
        <filter val="6"/>
        <filter val="7"/>
        <filter val="8"/>
      </filters>
    </filterColumn>
    <filterColumn colId="3">
      <filters>
        <filter val="0"/>
        <filter val="175"/>
      </filters>
    </filterColumn>
  </autoFilter>
  <conditionalFormatting sqref="C1:C250">
    <cfRule type="expression" dxfId="2" priority="1">
      <formula>AND(NOT(ISBLANK(C1)), COUNTIF($C:$C, "=" &amp; C1)&gt;1)</formula>
    </cfRule>
  </conditionalFormatting>
  <printOptions/>
  <pageMargins bottom="0.25" footer="0.0" header="0.0" left="0.2" right="0.2" top="0.2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88"/>
    <col customWidth="1" min="2" max="2" width="15.88"/>
    <col customWidth="1" min="3" max="3" width="19.75"/>
    <col customWidth="1" min="4" max="4" width="4.38"/>
    <col customWidth="1" min="5" max="5" width="50.13"/>
    <col customWidth="1" min="6" max="6" width="4.75"/>
    <col customWidth="1" min="7" max="7" width="13.75"/>
    <col customWidth="1" min="8" max="8" width="4.25"/>
    <col customWidth="1" min="9" max="9" width="20.0"/>
    <col customWidth="1" min="10" max="10" width="5.13"/>
    <col customWidth="1" min="11" max="11" width="10.75"/>
    <col customWidth="1" min="12" max="13" width="5.25"/>
    <col customWidth="1" min="14" max="15" width="6.75"/>
    <col customWidth="1" min="16" max="20" width="7.63"/>
  </cols>
  <sheetData>
    <row r="1" ht="73.5" customHeight="1">
      <c r="A1" s="346" t="s">
        <v>1685</v>
      </c>
      <c r="B1" s="347" t="s">
        <v>435</v>
      </c>
      <c r="C1" s="347" t="s">
        <v>1487</v>
      </c>
      <c r="D1" s="346" t="s">
        <v>1504</v>
      </c>
      <c r="E1" s="348" t="s">
        <v>670</v>
      </c>
      <c r="F1" s="346" t="s">
        <v>671</v>
      </c>
      <c r="G1" s="347" t="s">
        <v>1505</v>
      </c>
      <c r="H1" s="346" t="s">
        <v>1506</v>
      </c>
      <c r="I1" s="347" t="s">
        <v>1686</v>
      </c>
      <c r="J1" s="346" t="s">
        <v>1515</v>
      </c>
      <c r="K1" s="347" t="s">
        <v>1687</v>
      </c>
      <c r="L1" s="346" t="s">
        <v>1688</v>
      </c>
      <c r="M1" s="346" t="s">
        <v>1400</v>
      </c>
      <c r="N1" s="349"/>
      <c r="O1" s="349"/>
      <c r="P1" s="226"/>
      <c r="Q1" s="226"/>
      <c r="R1" s="226"/>
      <c r="S1" s="226"/>
      <c r="T1" s="226"/>
    </row>
    <row r="2">
      <c r="A2" s="105" t="s">
        <v>1689</v>
      </c>
      <c r="B2" s="93" t="s">
        <v>679</v>
      </c>
      <c r="C2" s="93"/>
      <c r="D2" s="315" t="str">
        <f>IFERROR(__xludf.DUMMYFUNCTION(" IF(ISBLANK(C2),,
SWITCH(
LEN(C2) - LEN(SUBSTITUTE(C2,"","","""")),
0 , VLOOKUP(C2, Variables!$A:$B, 2, FALSE),
1 , VLOOKUP(index(split(C2 ,"", "", FALSE),1,1), Variables!$A:$B , 2, FALSE) + VLOOKUP(index(split(C2 ,"", "", FALSE),1,2), Variables!$A:$B , 2"&amp;", FALSE),
2 , VLOOKUP(index(split(C2 ,"", "", FALSE),1,1), Variables!$A:$B , 2, FALSE) + VLOOKUP(index(split(C2 ,"", "", FALSE),1,2), Variables!$A:$B , 2, FALSE) + VLOOKUP(index(split(C2 ,"", "", FALSE),1,3), Variables!$A:$B , 2, FALSE),
3 , VLOOKUP(index"&amp;"(split(C2 ,"", "", FALSE),1,1), Variables!$A:$B , 2, FALSE) + VLOOKUP(index(split(C2 ,"", "", FALSE),1,2), Variables!$A:$B , 2, FALSE) + VLOOKUP(index(split(C2 ,"", "", FALSE),1,3), Variables!$A:$B , 2, FALSE) + VLOOKUP(index(split(C2 ,"", "", FALSE),1,4)"&amp;", Variables!$A:$B , 2, FALSE),
)
)"),"")</f>
        <v/>
      </c>
      <c r="E2" s="93" t="s">
        <v>1690</v>
      </c>
      <c r="F2" s="318">
        <f>IF(E2 = "",,IFERROR(VLOOKUP(B2,vote4ITEMS!$A:$C, 3, FALSE),))</f>
        <v>1.333333333</v>
      </c>
      <c r="G2" s="350" t="s">
        <v>966</v>
      </c>
      <c r="H2" s="318">
        <f>IFERROR(__xludf.DUMMYFUNCTION("IF(ISBLANK(G2),,
IFERROR(
SWITCH(
LEN(G2) - LEN(SUBSTITUTE(G2,"","","""")),
0 , VLOOKUP(G2, vote4TRAITS!$A:$C , 3, FALSE),
1 , VLOOKUP(index(split(G2 ,"", "", FALSE),1,1), vote4TRAITS!$A:$C , 3, FALSE) + VLOOKUP(index(split(G2 ,"", "", FALSE),1,2), vote4T"&amp;"RAITS!$A:$C , 3, FALSE),
2 , VLOOKUP(index(split(G2 ,"", "", FALSE),1,1), vote4TRAITS!$A:$C , 3, FALSE) + VLOOKUP(index(split(G2 ,"", "", FALSE),1,2), vote4TRAITS!$A:$C , 3, FALSE) + VLOOKUP(index(split(G2 ,"", "", FALSE),1,3), vote4TRAITS!$A:$C , 3, FALS"&amp;"E),
3 , VLOOKUP(index(split(G2 ,"", "", FALSE),1,1), vote4TRAITS!$A:$C , 3, FALSE) + VLOOKUP(index(split(G2 ,"", "", FALSE),1,2), vote4TRAITS!$A:$C , 3, FALSE) + VLOOKUP(index(split(G2 ,"", "", FALSE),1,3), vote4TRAITS!$A:$C , 3, FALSE) + VLOOKUP(index(sp"&amp;"lit(L14 ,"", "", FALSE),1,4), vote4TRAITS!$A:$C , 3, FALSE)
),
VLOOKUP(B2, vote4TRAITS!$A:$C , 3, FALSE))
)"),4.0)</f>
        <v>4</v>
      </c>
      <c r="I2" s="351"/>
      <c r="J2" s="318">
        <f>SUM(
IF(IFERROR(SEARCH("Black Venom",I2),0) &gt; 0 , VLOOKUP("Black Venom", vote4SURGE!A:C , 3, FALSE), 0 ),
IF(IFERROR(SEARCH("Bleed",I2),0) &gt; 0 , VLOOKUP("Bleed", vote4SURGE!A:C , 3, FALSE), 0 ),
IF(IFERROR(SEARCH("Blast",I2),0) &gt; 0 , VLOOKUP("Blast", vote4SURGE!A:C , 3, FALSE), 0 ),
IF(IFERROR(SEARCH("Burn",I2),0) &gt; 0 , VLOOKUP("Burn", vote4SURGE!A:C , 3, FALSE), 0 ),
IF(IFERROR(SEARCH("Charge",I2),0) &gt; 0 , VLOOKUP("Charge", vote4SURGE!A:C , 3, FALSE), 0 ),
IF(IFERROR(SEARCH("Colonize",I2),0) &gt; 0 , VLOOKUP("Colonize", vote4SURGE!A:C , 3, FALSE), 0 ),
IF(IFERROR(SEARCH("Curse",I2),0) &gt; 0 , VLOOKUP("Curse", vote4SURGE!A:C , 3, FALSE), 0 ),
IF(IFERROR(SEARCH("Disease",I2),0) &gt; 0 , VLOOKUP("Disease", vote4SURGE!A:C , 3, FALSE), 0 ),
IF(IFERROR(SEARCH("Doom",I2),0) &gt; 0 , VLOOKUP("Doom", vote4SURGE!A:C , 3, FALSE), 0 ),
IF(IFERROR(SEARCH("Feast",I2),0) &gt; 0 , VLOOKUP("Feast", vote4SURGE!A:C , 3, FALSE), 0 ),
IF(IFERROR(SEARCH("Fire Breath",I2),0) &gt; 0 , VLOOKUP("Fire Breath", vote4SURGE!A:C , 3, FALSE), 0 ),
IF(IFERROR(SEARCH("Hunt",I2),0) &gt; 0 , VLOOKUP("Hunt", vote4SURGE!A:C , 3, FALSE), 0 ),
IF(IFERROR(SEARCH("Immobilize",I2),0) &gt; 0 , VLOOKUP("Immobilize", vote4SURGE!A:C , 3, FALSE), 0 ),
IF(IFERROR(SEARCH("Knockback",I2),0) &gt; 0 , VLOOKUP("Knockback", vote4SURGE!A:C , 3, FALSE), 0 ),
IF(IFERROR(SEARCH("Lash",I2),0) &gt; 0 , VLOOKUP("Lash", vote4SURGE!A:C , 3, FALSE), 0 ),
IF(IFERROR(SEARCH("Mend 2",I2),0) &gt; 0 , VLOOKUP("Mend 2", vote4SURGE!A:C , 3, FALSE), 0 ),
IF(IFERROR(SEARCH("Mortal Binding",I2),0) &gt; 0 , VLOOKUP("Mortal Binding", vote4SURGE!A:C , 3, FALSE), 0 ),
IF(IFERROR(SEARCH("Poison",I2),0) &gt; 0 , VLOOKUP("Poison", vote4SURGE!A:C , 3, FALSE), 0 ),
IF(IFERROR(SEARCH("Stun",I2),0) &gt; 0 , VLOOKUP("Stun", vote4SURGE!A:C , 3, FALSE), 0 ),
IF(IFERROR(SEARCH("Swarm",I2),0) &gt; 0 , VLOOKUP("Swarm", vote4SURGE!A:C , 3, FALSE), 0 ),
IF(IFERROR(SEARCH("Terrify",I2),0) &gt; 0 , VLOOKUP("Terrify", vote4SURGE!A:C , 3, FALSE), 0 ),
IF(IFERROR(SEARCH("Weaken",I2),0) &gt; 0 , VLOOKUP("Weaken", vote4SURGE!A:C , 3, FALSE), 0 ),
IF(IFERROR(SEARCH("Wither",I2),0) &gt; 0 , VLOOKUP("Wither", vote4SURGE!A:C , 3, FALSE), 0 ),
IFS(
IFERROR(SEARCH("Sorcery 1", I2),0) &gt; 0 ,VLOOKUP("Sorcery 1", vote4SURGE!A:C , 3, FALSE),
IFERROR(SEARCH("Sorcery 2", I2),0) &gt; 0 ,VLOOKUP("Sorcery 2", vote4SURGE!A:C , 3, FALSE),
IFERROR(SEARCH("Sorcery 3", I2),0) &gt; 0,VLOOKUP("Sorcery 3", vote4SURGE!A:C , 3, FALSE),
0=0,0)
,
IFS(
IFERROR(SEARCH("Pierce 1", I2),0) &gt; 0 ,VLOOKUP("Pierce 1", vote4SURGE!A:C , 3, FALSE),
IFERROR(SEARCH("Pierce 2", I2),0) &gt; 0 ,VLOOKUP("Pierce 2", vote4SURGE!A:C , 3, FALSE),
IFERROR(SEARCH("Pierce 3", I2),0) &gt; 0,VLOOKUP("Pierce 3", vote4SURGE!A:C , 3, FALSE),
IFERROR(SEARCH("Pierce 4", I2),0) &gt; 0 ,VLOOKUP("Pierce 4", vote4SURGE!A:C , 3, FALSE),
IFERROR(SEARCH("Pierce 5", I2),0) &gt; 0 ,VLOOKUP("Pierce 5", vote4SURGE!A:C , 3, FALSE),
0=0,0)
,
IFS(
IFERROR(SEARCH("+1 Range, +1 Wound", I2),0) &gt; 0 ,VLOOKUP("+1 Range, +1 Wound", vote4SURGE!A:C , 3, False),
IFERROR(SEARCH("+2 Range, +1 Wound", I2),0) &gt; 0 ,VLOOKUP("+2 Range, +1 Wound", vote4SURGE!A:C , 3, False),
IFERROR(SEARCH("+1 Wound, +1 Wound", I2),0) &gt; 0 ,VLOOKUP("+1 Wound, +1 Wound", vote4SURGE!A:C , 3, False),
IFERROR(SEARCH("+2 Wounds, +2 Wounds", I2),0) &gt; 0 ,VLOOKUP("+2 Wounds, +2 Wounds", vote4SURGE!A:C , 3, False),
IFERROR(SEARCH("+1 Wound", I2),0) &gt; 0 ,VLOOKUP("+1 Wound", vote4SURGE!A:C , 3, False),
IFERROR(SEARCH("+2 Wounds", I2),0) &gt; 0 ,VLOOKUP("+2 Wounds", vote4SURGE!A:C , 3, False),
IFERROR(SEARCH("+3 Wounds", I2),0) &gt; 0,VLOOKUP("+3 Wounds", vote4SURGE!A:C , 3, False),
IFERROR(SEARCH("+4 Wounds", I2),0) &gt; 0 ,VLOOKUP("+4 Wounds", vote4SURGE!A:C , 3, False),
0=0,0)
,
IFS(
IFERROR(SEARCH("+1 Range", I2),0) &gt; 0 ,VLOOKUP("+1 Range", vote4SURGE!A:C , 3, FALSE),
IFERROR(SEARCH("+2 Range", I2),0) &gt; 0 ,VLOOKUP("+2 Range", vote4SURGE!A:C , 3, FALSE),
IFERROR(SEARCH("+3 Range", I2),0) &gt; 0,VLOOKUP("+3 Range", vote4SURGE!A:C , 3, FALSE),
IFERROR(SEARCH("+4 Range", I2),0) &gt; 0,VLOOKUP("+4 Range", vote4SURGE!A:C , 3, FALSE),
0=0,0),
IFS(
IFERROR(SEARCH("Recover 1 Heart", I2),0) &gt; 0 ,VLOOKUP("Recover 1 Heart", vote4SURGE!A:C , 3, FALSE),
IFERROR(SEARCH("Recover 2 Heart", I2),0) &gt; 0 ,VLOOKUP("Recover 2 Heart", vote4SURGE!A:C , 3, FALSE),
0=0,0),
IFS(
IFERROR(SEARCH("Recover 1 Fatigue", I2),0) &gt; 0,VLOOKUP("Recover 1 Fatigue", vote4SURGE!A:C , 3, FALSE),
IFERROR(SEARCH("Recover 2 Fatigue", I2),0) &gt; 0,VLOOKUP("Recover 2 Fatigue", vote4SURGE!A:C , 3, FALSE),
0=0,0),
IFERROR(VLOOKUP(B2, vote4SURGE!A:C , 3, FALSE),)
)</f>
        <v>0</v>
      </c>
      <c r="K2" s="352"/>
      <c r="L2" s="318">
        <f>SUM(
IF(IFERROR(SEARCH("Black Venom",K2),0) &gt; 0 , VLOOKUP("Black Venom", vote4SURGE!A:C , 3, FALSE) - 2, 0 ),
IF(IFERROR(SEARCH("Bleed",K2),0) &gt; 0 , VLOOKUP("Bleed", vote4SURGE!A:C , 3, FALSE) - 2, 0 ),
IF(IFERROR(SEARCH("Blast",K2),0) &gt; 0 , VLOOKUP("Blast", vote4SURGE!A:C , 3, FALSE) - 2, 0 ),
IF(IFERROR(SEARCH("Burn",K2),0) &gt; 0 , VLOOKUP("Burn", vote4SURGE!A:C , 3, FALSE) - 2, 0 ),
IF(IFERROR(SEARCH("Charge",K2),0) &gt; 0 , VLOOKUP("Charge", vote4SURGE!A:C , 3, FALSE) - 2, 0 ),
IF(IFERROR(SEARCH("Colonize",K2),0) &gt; 0 , VLOOKUP("Colonize", vote4SURGE!A:C , 3, FALSE) - 2, 0 ),
IF(IFERROR(SEARCH("Curse",K2),0) &gt; 0 , VLOOKUP("Curse", vote4SURGE!A:C , 3, FALSE) - 2, 0 ),
IF(IFERROR(SEARCH("Disease",K2),0) &gt; 0 , VLOOKUP("Disease", vote4SURGE!A:C , 3, FALSE) - 2, 0 ),
IF(IFERROR(SEARCH("Doom",K2),0) &gt; 0 , VLOOKUP("Doom", vote4SURGE!A:C , 3, FALSE) - 2, 0 ),
IF(IFERROR(SEARCH("Feast",K2),0) &gt; 0 , VLOOKUP("Feast", vote4SURGE!A:C , 3, FALSE) - 2, 0 ),
IF(IFERROR(SEARCH("Fire Breath",K2),0) &gt; 0 , VLOOKUP("Fire Breath", vote4SURGE!A:C , 3, FALSE) - 2, 0 ),
IF(IFERROR(SEARCH("Hunt",K2),0) &gt; 0 , VLOOKUP("Hunt", vote4SURGE!A:C , 3, FALSE) - 2, 0 ),
IF(IFERROR(SEARCH("Immobilize",K2),0) &gt; 0 , VLOOKUP("Immobilize", vote4SURGE!A:C , 3, FALSE) - 2, 0 ),
IF(IFERROR(SEARCH("Knockback",K2),0) &gt; 0 , VLOOKUP("Knockback", vote4SURGE!A:C , 3, FALSE) - 2, 0 ),
IF(IFERROR(SEARCH("Lash",K2),0) &gt; 0 , VLOOKUP("Lash", vote4SURGE!A:C , 3, FALSE) - 2, 0 ),
IF(IFERROR(SEARCH("Mend 2",K2),0) &gt; 0 , VLOOKUP("Mend 2", vote4SURGE!A:C , 3, FALSE) - 2, 0 ),
IF(IFERROR(SEARCH("Mortal Binding",K2),0) &gt; 0 , VLOOKUP("Mortal Binding", vote4SURGE!A:C , 3, FALSE) - 2, 0 ),
IF(IFERROR(SEARCH("Poison",K2),0) &gt; 0 , VLOOKUP("Poison", vote4SURGE!A:C , 3, FALSE) - 2, 0 ),
IF(IFERROR(SEARCH("Stun",K2),0) &gt; 0 , VLOOKUP("Stun", vote4SURGE!A:C , 3, FALSE) - 2, 0 ),
IF(IFERROR(SEARCH("Swarm",K2),0) &gt; 0 , VLOOKUP("Swarm", vote4SURGE!A:C , 3, FALSE) - 2, 0 ),
IF(IFERROR(SEARCH("Terrify",K2),0) &gt; 0 , VLOOKUP("Terrify", vote4SURGE!A:C , 3, FALSE) - 2, 0 ),
IF(IFERROR(SEARCH("Weaken",K2),0) &gt; 0 , VLOOKUP("Weaken", vote4SURGE!A:C , 3, FALSE) - 2, 0 ),
IF(IFERROR(SEARCH("Wither",K2),0) &gt; 0 , VLOOKUP("Wither", vote4SURGE!A:C , 3, FALSE) - 2, 0 ),
IFS(
IFERROR(SEARCH("Sorcery 1", K2),0) &gt; 0 ,VLOOKUP("Sorcery 1", vote4SURGE!A:C , 3, FALSE) - 2,
IFERROR(SEARCH("Sorcery 2", K2),0) &gt; 0 ,VLOOKUP("Sorcery 2", vote4SURGE!A:C , 3, FALSE) - 2,
IFERROR(SEARCH("Sorcery 3", K2),0) &gt; 0,VLOOKUP("Sorcery 3", vote4SURGE!A:C , 3, FALSE) - 2,
0=0,0)
,
IFS(
IFERROR(SEARCH("Pierce 1", K2),0) &gt; 0 ,VLOOKUP("Pierce 1", vote4SURGE!A:C , 3, FALSE) - 2,
IFERROR(SEARCH("Pierce 2", K2),0) &gt; 0 ,VLOOKUP("Pierce 2", vote4SURGE!A:C , 3, FALSE) - 2,
IFERROR(SEARCH("Pierce 3", K2),0) &gt; 0,VLOOKUP("Pierce 3", vote4SURGE!A:C , 3, FALSE) - 2,
IFERROR(SEARCH("Pierce 4", K2),0) &gt; 0 ,VLOOKUP("Pierce 4", vote4SURGE!A:C , 3, FALSE) - 2,
0=0,0)
,
IFS(
IFERROR(SEARCH("+1 Wound, +1 Wound", K2),0) &gt; 0 ,VLOOKUP("+1 Wound, +1 Wound", vote4SURGE!A:C , 3, False) - 2,
IFERROR(SEARCH("+2 Wounds, +2 Wounds", K2),0) &gt; 0 ,VLOOKUP("+2 Wounds, +2 Wounds", vote4SURGE!A:C , 3, False)- 2,
IFERROR(SEARCH("+1 Wound", K2),0) &gt; 0 ,VLOOKUP("+1 Wound", vote4SURGE!A:C , 3, False)- 2,
IFERROR(SEARCH("+2 Wounds", K2),0) &gt; 0 ,VLOOKUP("+2 Wounds", vote4SURGE!A:C , 3, False)- 2,
IFERROR(SEARCH("+3 Wounds", K2),0) &gt; 0,VLOOKUP("+3 Wounds", vote4SURGE!A:C , 3, False)- 2,
IFERROR(SEARCH("+4 Wounds", K2),0) &gt; 0 ,VLOOKUP("+4 Wounds", vote4SURGE!A:C , 3, False)- 2,
IFERROR(SEARCH("+4 Wounds", K2),0) &gt; 0 ,VLOOKUP("+5 Wounds", vote4SURGE!A:C , 3, False)- 2,
0=0,0)
,
IFS(
IFERROR(SEARCH("+1 Range", K2),0) &gt; 0 ,VLOOKUP("+1 Range", vote4SURGE!A:C , 3, FALSE) - 2,
IFERROR(SEARCH("+2 Range", K2),0) &gt; 0 ,VLOOKUP("+2 Range", vote4SURGE!A:C , 3, FALSE) - 2,
IFERROR(SEARCH("+3 Range", K2),0) &gt; 0,VLOOKUP("+3 Range", vote4SURGE!A:C , 3, FALSE) - 2,
0=0,0)
)</f>
        <v>0</v>
      </c>
      <c r="M2" s="318">
        <f t="shared" ref="M2:M28" si="1"> D2 + F2 + H2 + J2 + L2</f>
        <v>5.333333333</v>
      </c>
      <c r="N2" s="322"/>
      <c r="O2" s="322"/>
      <c r="P2" s="118"/>
      <c r="Q2" s="118"/>
      <c r="R2" s="118"/>
      <c r="S2" s="322"/>
      <c r="T2" s="322"/>
    </row>
    <row r="3">
      <c r="A3" s="105" t="s">
        <v>1689</v>
      </c>
      <c r="B3" s="93" t="s">
        <v>681</v>
      </c>
      <c r="C3" s="93"/>
      <c r="D3" s="315" t="str">
        <f>IFERROR(__xludf.DUMMYFUNCTION(" IF(ISBLANK(C3),,
SWITCH(
LEN(C3) - LEN(SUBSTITUTE(C3,"","","""")),
0 , VLOOKUP(C3, Variables!$A:$B, 2, FALSE),
1 , VLOOKUP(index(split(C3 ,"", "", FALSE),1,1), Variables!$A:$B , 2, FALSE) + VLOOKUP(index(split(C3 ,"", "", FALSE),1,2), Variables!$A:$B , 2"&amp;", FALSE),
2 , VLOOKUP(index(split(C3 ,"", "", FALSE),1,1), Variables!$A:$B , 2, FALSE) + VLOOKUP(index(split(C3 ,"", "", FALSE),1,2), Variables!$A:$B , 2, FALSE) + VLOOKUP(index(split(C3 ,"", "", FALSE),1,3), Variables!$A:$B , 2, FALSE),
3 , VLOOKUP(index"&amp;"(split(C3 ,"", "", FALSE),1,1), Variables!$A:$B , 2, FALSE) + VLOOKUP(index(split(C3 ,"", "", FALSE),1,2), Variables!$A:$B , 2, FALSE) + VLOOKUP(index(split(C3 ,"", "", FALSE),1,3), Variables!$A:$B , 2, FALSE) + VLOOKUP(index(split(C3 ,"", "", FALSE),1,4)"&amp;", Variables!$A:$B , 2, FALSE),
)
)"),"")</f>
        <v/>
      </c>
      <c r="E3" s="93" t="s">
        <v>682</v>
      </c>
      <c r="F3" s="318">
        <f>IF(E3 = "",,IFERROR(VLOOKUP(B3,vote4ITEMS!$A:$C, 3, FALSE),))</f>
        <v>2</v>
      </c>
      <c r="G3" s="353"/>
      <c r="H3" s="318" t="str">
        <f>IFERROR(__xludf.DUMMYFUNCTION("IF(ISBLANK(G3),,
IFERROR(
SWITCH(
LEN(G3) - LEN(SUBSTITUTE(G3,"","","""")),
0 , VLOOKUP(G3, vote4TRAITS!$A:$C , 3, FALSE),
1 , VLOOKUP(index(split(G3 ,"", "", FALSE),1,1), vote4TRAITS!$A:$C , 3, FALSE) + VLOOKUP(index(split(G3 ,"", "", FALSE),1,2), vote4T"&amp;"RAITS!$A:$C , 3, FALSE),
2 , VLOOKUP(index(split(G3 ,"", "", FALSE),1,1), vote4TRAITS!$A:$C , 3, FALSE) + VLOOKUP(index(split(G3 ,"", "", FALSE),1,2), vote4TRAITS!$A:$C , 3, FALSE) + VLOOKUP(index(split(G3 ,"", "", FALSE),1,3), vote4TRAITS!$A:$C , 3, FALS"&amp;"E),
3 , VLOOKUP(index(split(G3 ,"", "", FALSE),1,1), vote4TRAITS!$A:$C , 3, FALSE) + VLOOKUP(index(split(G3 ,"", "", FALSE),1,2), vote4TRAITS!$A:$C , 3, FALSE) + VLOOKUP(index(split(G3 ,"", "", FALSE),1,3), vote4TRAITS!$A:$C , 3, FALSE) + VLOOKUP(index(sp"&amp;"lit(L15 ,"", "", FALSE),1,4), vote4TRAITS!$A:$C , 3, FALSE)
),
VLOOKUP(B3, vote4TRAITS!$A:$C , 3, FALSE))
)"),"")</f>
        <v/>
      </c>
      <c r="I3" s="351"/>
      <c r="J3" s="318">
        <f>SUM(
IF(IFERROR(SEARCH("Black Venom",I3),0) &gt; 0 , VLOOKUP("Black Venom", vote4SURGE!A:C , 3, FALSE), 0 ),
IF(IFERROR(SEARCH("Bleed",I3),0) &gt; 0 , VLOOKUP("Bleed", vote4SURGE!A:C , 3, FALSE), 0 ),
IF(IFERROR(SEARCH("Blast",I3),0) &gt; 0 , VLOOKUP("Blast", vote4SURGE!A:C , 3, FALSE), 0 ),
IF(IFERROR(SEARCH("Burn",I3),0) &gt; 0 , VLOOKUP("Burn", vote4SURGE!A:C , 3, FALSE), 0 ),
IF(IFERROR(SEARCH("Charge",I3),0) &gt; 0 , VLOOKUP("Charge", vote4SURGE!A:C , 3, FALSE), 0 ),
IF(IFERROR(SEARCH("Colonize",I3),0) &gt; 0 , VLOOKUP("Colonize", vote4SURGE!A:C , 3, FALSE), 0 ),
IF(IFERROR(SEARCH("Curse",I3),0) &gt; 0 , VLOOKUP("Curse", vote4SURGE!A:C , 3, FALSE), 0 ),
IF(IFERROR(SEARCH("Disease",I3),0) &gt; 0 , VLOOKUP("Disease", vote4SURGE!A:C , 3, FALSE), 0 ),
IF(IFERROR(SEARCH("Doom",I3),0) &gt; 0 , VLOOKUP("Doom", vote4SURGE!A:C , 3, FALSE), 0 ),
IF(IFERROR(SEARCH("Feast",I3),0) &gt; 0 , VLOOKUP("Feast", vote4SURGE!A:C , 3, FALSE), 0 ),
IF(IFERROR(SEARCH("Fire Breath",I3),0) &gt; 0 , VLOOKUP("Fire Breath", vote4SURGE!A:C , 3, FALSE), 0 ),
IF(IFERROR(SEARCH("Hunt",I3),0) &gt; 0 , VLOOKUP("Hunt", vote4SURGE!A:C , 3, FALSE), 0 ),
IF(IFERROR(SEARCH("Immobilize",I3),0) &gt; 0 , VLOOKUP("Immobilize", vote4SURGE!A:C , 3, FALSE), 0 ),
IF(IFERROR(SEARCH("Knockback",I3),0) &gt; 0 , VLOOKUP("Knockback", vote4SURGE!A:C , 3, FALSE), 0 ),
IF(IFERROR(SEARCH("Lash",I3),0) &gt; 0 , VLOOKUP("Lash", vote4SURGE!A:C , 3, FALSE), 0 ),
IF(IFERROR(SEARCH("Mend 2",I3),0) &gt; 0 , VLOOKUP("Mend 2", vote4SURGE!A:C , 3, FALSE), 0 ),
IF(IFERROR(SEARCH("Mortal Binding",I3),0) &gt; 0 , VLOOKUP("Mortal Binding", vote4SURGE!A:C , 3, FALSE), 0 ),
IF(IFERROR(SEARCH("Poison",I3),0) &gt; 0 , VLOOKUP("Poison", vote4SURGE!A:C , 3, FALSE), 0 ),
IF(IFERROR(SEARCH("Stun",I3),0) &gt; 0 , VLOOKUP("Stun", vote4SURGE!A:C , 3, FALSE), 0 ),
IF(IFERROR(SEARCH("Swarm",I3),0) &gt; 0 , VLOOKUP("Swarm", vote4SURGE!A:C , 3, FALSE), 0 ),
IF(IFERROR(SEARCH("Terrify",I3),0) &gt; 0 , VLOOKUP("Terrify", vote4SURGE!A:C , 3, FALSE), 0 ),
IF(IFERROR(SEARCH("Weaken",I3),0) &gt; 0 , VLOOKUP("Weaken", vote4SURGE!A:C , 3, FALSE), 0 ),
IF(IFERROR(SEARCH("Wither",I3),0) &gt; 0 , VLOOKUP("Wither", vote4SURGE!A:C , 3, FALSE), 0 ),
IFS(
IFERROR(SEARCH("Sorcery 1", I3),0) &gt; 0 ,VLOOKUP("Sorcery 1", vote4SURGE!A:C , 3, FALSE),
IFERROR(SEARCH("Sorcery 2", I3),0) &gt; 0 ,VLOOKUP("Sorcery 2", vote4SURGE!A:C , 3, FALSE),
IFERROR(SEARCH("Sorcery 3", I3),0) &gt; 0,VLOOKUP("Sorcery 3", vote4SURGE!A:C , 3, FALSE),
0=0,0)
,
IFS(
IFERROR(SEARCH("Pierce 1", I3),0) &gt; 0 ,VLOOKUP("Pierce 1", vote4SURGE!A:C , 3, FALSE),
IFERROR(SEARCH("Pierce 2", I3),0) &gt; 0 ,VLOOKUP("Pierce 2", vote4SURGE!A:C , 3, FALSE),
IFERROR(SEARCH("Pierce 3", I3),0) &gt; 0,VLOOKUP("Pierce 3", vote4SURGE!A:C , 3, FALSE),
IFERROR(SEARCH("Pierce 4", I3),0) &gt; 0 ,VLOOKUP("Pierce 4", vote4SURGE!A:C , 3, FALSE),
IFERROR(SEARCH("Pierce 5", I3),0) &gt; 0 ,VLOOKUP("Pierce 5", vote4SURGE!A:C , 3, FALSE),
0=0,0)
,
IFS(
IFERROR(SEARCH("+1 Range, +1 Wound", I3),0) &gt; 0 ,VLOOKUP("+1 Range, +1 Wound", vote4SURGE!A:C , 3, False),
IFERROR(SEARCH("+2 Range, +1 Wound", I3),0) &gt; 0 ,VLOOKUP("+2 Range, +1 Wound", vote4SURGE!A:C , 3, False),
IFERROR(SEARCH("+1 Wound, +1 Wound", I3),0) &gt; 0 ,VLOOKUP("+1 Wound, +1 Wound", vote4SURGE!A:C , 3, False),
IFERROR(SEARCH("+2 Wounds, +2 Wounds", I3),0) &gt; 0 ,VLOOKUP("+2 Wounds, +2 Wounds", vote4SURGE!A:C , 3, False),
IFERROR(SEARCH("+1 Wound", I3),0) &gt; 0 ,VLOOKUP("+1 Wound", vote4SURGE!A:C , 3, False),
IFERROR(SEARCH("+2 Wounds", I3),0) &gt; 0 ,VLOOKUP("+2 Wounds", vote4SURGE!A:C , 3, False),
IFERROR(SEARCH("+3 Wounds", I3),0) &gt; 0,VLOOKUP("+3 Wounds", vote4SURGE!A:C , 3, False),
IFERROR(SEARCH("+4 Wounds", I3),0) &gt; 0 ,VLOOKUP("+4 Wounds", vote4SURGE!A:C , 3, False),
0=0,0)
,
IFS(
IFERROR(SEARCH("+1 Range", I3),0) &gt; 0 ,VLOOKUP("+1 Range", vote4SURGE!A:C , 3, FALSE),
IFERROR(SEARCH("+2 Range", I3),0) &gt; 0 ,VLOOKUP("+2 Range", vote4SURGE!A:C , 3, FALSE),
IFERROR(SEARCH("+3 Range", I3),0) &gt; 0,VLOOKUP("+3 Range", vote4SURGE!A:C , 3, FALSE),
IFERROR(SEARCH("+4 Range", I3),0) &gt; 0,VLOOKUP("+4 Range", vote4SURGE!A:C , 3, FALSE),
0=0,0),
IFS(
IFERROR(SEARCH("Recover 1 Heart", I3),0) &gt; 0 ,VLOOKUP("Recover 1 Heart", vote4SURGE!A:C , 3, FALSE),
IFERROR(SEARCH("Recover 2 Heart", I3),0) &gt; 0 ,VLOOKUP("Recover 2 Heart", vote4SURGE!A:C , 3, FALSE),
0=0,0),
IFS(
IFERROR(SEARCH("Recover 1 Fatigue", I3),0) &gt; 0,VLOOKUP("Recover 1 Fatigue", vote4SURGE!A:C , 3, FALSE),
IFERROR(SEARCH("Recover 2 Fatigue", I3),0) &gt; 0,VLOOKUP("Recover 2 Fatigue", vote4SURGE!A:C , 3, FALSE),
0=0,0),
IFERROR(VLOOKUP(B3, vote4SURGE!A:C , 3, FALSE),)
)</f>
        <v>0</v>
      </c>
      <c r="K3" s="352"/>
      <c r="L3" s="318">
        <f>SUM(
IF(IFERROR(SEARCH("Black Venom",K3),0) &gt; 0 , VLOOKUP("Black Venom", vote4SURGE!A:C , 3, FALSE) - 2, 0 ),
IF(IFERROR(SEARCH("Bleed",K3),0) &gt; 0 , VLOOKUP("Bleed", vote4SURGE!A:C , 3, FALSE) - 2, 0 ),
IF(IFERROR(SEARCH("Blast",K3),0) &gt; 0 , VLOOKUP("Blast", vote4SURGE!A:C , 3, FALSE) - 2, 0 ),
IF(IFERROR(SEARCH("Burn",K3),0) &gt; 0 , VLOOKUP("Burn", vote4SURGE!A:C , 3, FALSE) - 2, 0 ),
IF(IFERROR(SEARCH("Charge",K3),0) &gt; 0 , VLOOKUP("Charge", vote4SURGE!A:C , 3, FALSE) - 2, 0 ),
IF(IFERROR(SEARCH("Colonize",K3),0) &gt; 0 , VLOOKUP("Colonize", vote4SURGE!A:C , 3, FALSE) - 2, 0 ),
IF(IFERROR(SEARCH("Curse",K3),0) &gt; 0 , VLOOKUP("Curse", vote4SURGE!A:C , 3, FALSE) - 2, 0 ),
IF(IFERROR(SEARCH("Disease",K3),0) &gt; 0 , VLOOKUP("Disease", vote4SURGE!A:C , 3, FALSE) - 2, 0 ),
IF(IFERROR(SEARCH("Doom",K3),0) &gt; 0 , VLOOKUP("Doom", vote4SURGE!A:C , 3, FALSE) - 2, 0 ),
IF(IFERROR(SEARCH("Feast",K3),0) &gt; 0 , VLOOKUP("Feast", vote4SURGE!A:C , 3, FALSE) - 2, 0 ),
IF(IFERROR(SEARCH("Fire Breath",K3),0) &gt; 0 , VLOOKUP("Fire Breath", vote4SURGE!A:C , 3, FALSE) - 2, 0 ),
IF(IFERROR(SEARCH("Hunt",K3),0) &gt; 0 , VLOOKUP("Hunt", vote4SURGE!A:C , 3, FALSE) - 2, 0 ),
IF(IFERROR(SEARCH("Immobilize",K3),0) &gt; 0 , VLOOKUP("Immobilize", vote4SURGE!A:C , 3, FALSE) - 2, 0 ),
IF(IFERROR(SEARCH("Knockback",K3),0) &gt; 0 , VLOOKUP("Knockback", vote4SURGE!A:C , 3, FALSE) - 2, 0 ),
IF(IFERROR(SEARCH("Lash",K3),0) &gt; 0 , VLOOKUP("Lash", vote4SURGE!A:C , 3, FALSE) - 2, 0 ),
IF(IFERROR(SEARCH("Mend 2",K3),0) &gt; 0 , VLOOKUP("Mend 2", vote4SURGE!A:C , 3, FALSE) - 2, 0 ),
IF(IFERROR(SEARCH("Mortal Binding",K3),0) &gt; 0 , VLOOKUP("Mortal Binding", vote4SURGE!A:C , 3, FALSE) - 2, 0 ),
IF(IFERROR(SEARCH("Poison",K3),0) &gt; 0 , VLOOKUP("Poison", vote4SURGE!A:C , 3, FALSE) - 2, 0 ),
IF(IFERROR(SEARCH("Stun",K3),0) &gt; 0 , VLOOKUP("Stun", vote4SURGE!A:C , 3, FALSE) - 2, 0 ),
IF(IFERROR(SEARCH("Swarm",K3),0) &gt; 0 , VLOOKUP("Swarm", vote4SURGE!A:C , 3, FALSE) - 2, 0 ),
IF(IFERROR(SEARCH("Terrify",K3),0) &gt; 0 , VLOOKUP("Terrify", vote4SURGE!A:C , 3, FALSE) - 2, 0 ),
IF(IFERROR(SEARCH("Weaken",K3),0) &gt; 0 , VLOOKUP("Weaken", vote4SURGE!A:C , 3, FALSE) - 2, 0 ),
IF(IFERROR(SEARCH("Wither",K3),0) &gt; 0 , VLOOKUP("Wither", vote4SURGE!A:C , 3, FALSE) - 2, 0 ),
IFS(
IFERROR(SEARCH("Sorcery 1", K3),0) &gt; 0 ,VLOOKUP("Sorcery 1", vote4SURGE!A:C , 3, FALSE) - 2,
IFERROR(SEARCH("Sorcery 2", K3),0) &gt; 0 ,VLOOKUP("Sorcery 2", vote4SURGE!A:C , 3, FALSE) - 2,
IFERROR(SEARCH("Sorcery 3", K3),0) &gt; 0,VLOOKUP("Sorcery 3", vote4SURGE!A:C , 3, FALSE) - 2,
0=0,0)
,
IFS(
IFERROR(SEARCH("Pierce 1", K3),0) &gt; 0 ,VLOOKUP("Pierce 1", vote4SURGE!A:C , 3, FALSE) - 2,
IFERROR(SEARCH("Pierce 2", K3),0) &gt; 0 ,VLOOKUP("Pierce 2", vote4SURGE!A:C , 3, FALSE) - 2,
IFERROR(SEARCH("Pierce 3", K3),0) &gt; 0,VLOOKUP("Pierce 3", vote4SURGE!A:C , 3, FALSE) - 2,
IFERROR(SEARCH("Pierce 4", K3),0) &gt; 0 ,VLOOKUP("Pierce 4", vote4SURGE!A:C , 3, FALSE) - 2,
0=0,0)
,
IFS(
IFERROR(SEARCH("+1 Wound, +1 Wound", K3),0) &gt; 0 ,VLOOKUP("+1 Wound, +1 Wound", vote4SURGE!A:C , 3, False) - 2,
IFERROR(SEARCH("+2 Wounds, +2 Wounds", K3),0) &gt; 0 ,VLOOKUP("+2 Wounds, +2 Wounds", vote4SURGE!A:C , 3, False)- 2,
IFERROR(SEARCH("+1 Wound", K3),0) &gt; 0 ,VLOOKUP("+1 Wound", vote4SURGE!A:C , 3, False)- 2,
IFERROR(SEARCH("+2 Wounds", K3),0) &gt; 0 ,VLOOKUP("+2 Wounds", vote4SURGE!A:C , 3, False)- 2,
IFERROR(SEARCH("+3 Wounds", K3),0) &gt; 0,VLOOKUP("+3 Wounds", vote4SURGE!A:C , 3, False)- 2,
IFERROR(SEARCH("+4 Wounds", K3),0) &gt; 0 ,VLOOKUP("+4 Wounds", vote4SURGE!A:C , 3, False)- 2,
IFERROR(SEARCH("+4 Wounds", K3),0) &gt; 0 ,VLOOKUP("+5 Wounds", vote4SURGE!A:C , 3, False)- 2,
0=0,0)
,
IFS(
IFERROR(SEARCH("+1 Range", K3),0) &gt; 0 ,VLOOKUP("+1 Range", vote4SURGE!A:C , 3, FALSE) - 2,
IFERROR(SEARCH("+2 Range", K3),0) &gt; 0 ,VLOOKUP("+2 Range", vote4SURGE!A:C , 3, FALSE) - 2,
IFERROR(SEARCH("+3 Range", K3),0) &gt; 0,VLOOKUP("+3 Range", vote4SURGE!A:C , 3, FALSE) - 2,
0=0,0)
)</f>
        <v>0</v>
      </c>
      <c r="M3" s="318">
        <f t="shared" si="1"/>
        <v>2</v>
      </c>
      <c r="N3" s="322"/>
      <c r="O3" s="340"/>
      <c r="P3" s="118"/>
      <c r="Q3" s="118"/>
      <c r="R3" s="118"/>
      <c r="S3" s="322"/>
      <c r="T3" s="322"/>
    </row>
    <row r="4">
      <c r="A4" s="105" t="s">
        <v>1689</v>
      </c>
      <c r="B4" s="93" t="s">
        <v>1194</v>
      </c>
      <c r="C4" s="93"/>
      <c r="D4" s="315" t="str">
        <f>IFERROR(__xludf.DUMMYFUNCTION(" IF(ISBLANK(C4),,
SWITCH(
LEN(C4) - LEN(SUBSTITUTE(C4,"","","""")),
0 , VLOOKUP(C4, Variables!$A:$B, 2, FALSE),
1 , VLOOKUP(index(split(C4 ,"", "", FALSE),1,1), Variables!$A:$B , 2, FALSE) + VLOOKUP(index(split(C4 ,"", "", FALSE),1,2), Variables!$A:$B , 2"&amp;", FALSE),
2 , VLOOKUP(index(split(C4 ,"", "", FALSE),1,1), Variables!$A:$B , 2, FALSE) + VLOOKUP(index(split(C4 ,"", "", FALSE),1,2), Variables!$A:$B , 2, FALSE) + VLOOKUP(index(split(C4 ,"", "", FALSE),1,3), Variables!$A:$B , 2, FALSE),
3 , VLOOKUP(index"&amp;"(split(C4 ,"", "", FALSE),1,1), Variables!$A:$B , 2, FALSE) + VLOOKUP(index(split(C4 ,"", "", FALSE),1,2), Variables!$A:$B , 2, FALSE) + VLOOKUP(index(split(C4 ,"", "", FALSE),1,3), Variables!$A:$B , 2, FALSE) + VLOOKUP(index(split(C4 ,"", "", FALSE),1,4)"&amp;", Variables!$A:$B , 2, FALSE),
)
)"),"")</f>
        <v/>
      </c>
      <c r="E4" s="93"/>
      <c r="F4" s="318" t="str">
        <f>IF(E4 = "",,IFERROR(VLOOKUP(B4,vote4ITEMS!$A:$C, 3, FALSE),))</f>
        <v/>
      </c>
      <c r="G4" s="353"/>
      <c r="H4" s="318" t="str">
        <f>IFERROR(__xludf.DUMMYFUNCTION("IF(ISBLANK(G4),,
IFERROR(
SWITCH(
LEN(G4) - LEN(SUBSTITUTE(G4,"","","""")),
0 , VLOOKUP(G4, vote4TRAITS!$A:$C , 3, FALSE),
1 , VLOOKUP(index(split(G4 ,"", "", FALSE),1,1), vote4TRAITS!$A:$C , 3, FALSE) + VLOOKUP(index(split(G4 ,"", "", FALSE),1,2), vote4T"&amp;"RAITS!$A:$C , 3, FALSE),
2 , VLOOKUP(index(split(G4 ,"", "", FALSE),1,1), vote4TRAITS!$A:$C , 3, FALSE) + VLOOKUP(index(split(G4 ,"", "", FALSE),1,2), vote4TRAITS!$A:$C , 3, FALSE) + VLOOKUP(index(split(G4 ,"", "", FALSE),1,3), vote4TRAITS!$A:$C , 3, FALS"&amp;"E),
3 , VLOOKUP(index(split(G4 ,"", "", FALSE),1,1), vote4TRAITS!$A:$C , 3, FALSE) + VLOOKUP(index(split(G4 ,"", "", FALSE),1,2), vote4TRAITS!$A:$C , 3, FALSE) + VLOOKUP(index(split(G4 ,"", "", FALSE),1,3), vote4TRAITS!$A:$C , 3, FALSE) + VLOOKUP(index(sp"&amp;"lit(L16 ,"", "", FALSE),1,4), vote4TRAITS!$A:$C , 3, FALSE)
),
VLOOKUP(B4, vote4TRAITS!$A:$C , 3, FALSE))
)"),"")</f>
        <v/>
      </c>
      <c r="I4" s="353" t="s">
        <v>1691</v>
      </c>
      <c r="J4" s="318">
        <f>SUM(
IF(IFERROR(SEARCH("Black Venom",I4),0) &gt; 0 , VLOOKUP("Black Venom", vote4SURGE!A:C , 3, FALSE), 0 ),
IF(IFERROR(SEARCH("Bleed",I4),0) &gt; 0 , VLOOKUP("Bleed", vote4SURGE!A:C , 3, FALSE), 0 ),
IF(IFERROR(SEARCH("Blast",I4),0) &gt; 0 , VLOOKUP("Blast", vote4SURGE!A:C , 3, FALSE), 0 ),
IF(IFERROR(SEARCH("Burn",I4),0) &gt; 0 , VLOOKUP("Burn", vote4SURGE!A:C , 3, FALSE), 0 ),
IF(IFERROR(SEARCH("Charge",I4),0) &gt; 0 , VLOOKUP("Charge", vote4SURGE!A:C , 3, FALSE), 0 ),
IF(IFERROR(SEARCH("Colonize",I4),0) &gt; 0 , VLOOKUP("Colonize", vote4SURGE!A:C , 3, FALSE), 0 ),
IF(IFERROR(SEARCH("Curse",I4),0) &gt; 0 , VLOOKUP("Curse", vote4SURGE!A:C , 3, FALSE), 0 ),
IF(IFERROR(SEARCH("Disease",I4),0) &gt; 0 , VLOOKUP("Disease", vote4SURGE!A:C , 3, FALSE), 0 ),
IF(IFERROR(SEARCH("Doom",I4),0) &gt; 0 , VLOOKUP("Doom", vote4SURGE!A:C , 3, FALSE), 0 ),
IF(IFERROR(SEARCH("Feast",I4),0) &gt; 0 , VLOOKUP("Feast", vote4SURGE!A:C , 3, FALSE), 0 ),
IF(IFERROR(SEARCH("Fire Breath",I4),0) &gt; 0 , VLOOKUP("Fire Breath", vote4SURGE!A:C , 3, FALSE), 0 ),
IF(IFERROR(SEARCH("Hunt",I4),0) &gt; 0 , VLOOKUP("Hunt", vote4SURGE!A:C , 3, FALSE), 0 ),
IF(IFERROR(SEARCH("Immobilize",I4),0) &gt; 0 , VLOOKUP("Immobilize", vote4SURGE!A:C , 3, FALSE), 0 ),
IF(IFERROR(SEARCH("Knockback",I4),0) &gt; 0 , VLOOKUP("Knockback", vote4SURGE!A:C , 3, FALSE), 0 ),
IF(IFERROR(SEARCH("Lash",I4),0) &gt; 0 , VLOOKUP("Lash", vote4SURGE!A:C , 3, FALSE), 0 ),
IF(IFERROR(SEARCH("Mend 2",I4),0) &gt; 0 , VLOOKUP("Mend 2", vote4SURGE!A:C , 3, FALSE), 0 ),
IF(IFERROR(SEARCH("Mortal Binding",I4),0) &gt; 0 , VLOOKUP("Mortal Binding", vote4SURGE!A:C , 3, FALSE), 0 ),
IF(IFERROR(SEARCH("Poison",I4),0) &gt; 0 , VLOOKUP("Poison", vote4SURGE!A:C , 3, FALSE), 0 ),
IF(IFERROR(SEARCH("Stun",I4),0) &gt; 0 , VLOOKUP("Stun", vote4SURGE!A:C , 3, FALSE), 0 ),
IF(IFERROR(SEARCH("Swarm",I4),0) &gt; 0 , VLOOKUP("Swarm", vote4SURGE!A:C , 3, FALSE), 0 ),
IF(IFERROR(SEARCH("Terrify",I4),0) &gt; 0 , VLOOKUP("Terrify", vote4SURGE!A:C , 3, FALSE), 0 ),
IF(IFERROR(SEARCH("Weaken",I4),0) &gt; 0 , VLOOKUP("Weaken", vote4SURGE!A:C , 3, FALSE), 0 ),
IF(IFERROR(SEARCH("Wither",I4),0) &gt; 0 , VLOOKUP("Wither", vote4SURGE!A:C , 3, FALSE), 0 ),
IFS(
IFERROR(SEARCH("Sorcery 1", I4),0) &gt; 0 ,VLOOKUP("Sorcery 1", vote4SURGE!A:C , 3, FALSE),
IFERROR(SEARCH("Sorcery 2", I4),0) &gt; 0 ,VLOOKUP("Sorcery 2", vote4SURGE!A:C , 3, FALSE),
IFERROR(SEARCH("Sorcery 3", I4),0) &gt; 0,VLOOKUP("Sorcery 3", vote4SURGE!A:C , 3, FALSE),
0=0,0)
,
IFS(
IFERROR(SEARCH("Pierce 1", I4),0) &gt; 0 ,VLOOKUP("Pierce 1", vote4SURGE!A:C , 3, FALSE),
IFERROR(SEARCH("Pierce 2", I4),0) &gt; 0 ,VLOOKUP("Pierce 2", vote4SURGE!A:C , 3, FALSE),
IFERROR(SEARCH("Pierce 3", I4),0) &gt; 0,VLOOKUP("Pierce 3", vote4SURGE!A:C , 3, FALSE),
IFERROR(SEARCH("Pierce 4", I4),0) &gt; 0 ,VLOOKUP("Pierce 4", vote4SURGE!A:C , 3, FALSE),
IFERROR(SEARCH("Pierce 5", I4),0) &gt; 0 ,VLOOKUP("Pierce 5", vote4SURGE!A:C , 3, FALSE),
0=0,0)
,
IFS(
IFERROR(SEARCH("+1 Range, +1 Wound", I4),0) &gt; 0 ,VLOOKUP("+1 Range, +1 Wound", vote4SURGE!A:C , 3, False),
IFERROR(SEARCH("+2 Range, +1 Wound", I4),0) &gt; 0 ,VLOOKUP("+2 Range, +1 Wound", vote4SURGE!A:C , 3, False),
IFERROR(SEARCH("+1 Wound, +1 Wound", I4),0) &gt; 0 ,VLOOKUP("+1 Wound, +1 Wound", vote4SURGE!A:C , 3, False),
IFERROR(SEARCH("+2 Wounds, +2 Wounds", I4),0) &gt; 0 ,VLOOKUP("+2 Wounds, +2 Wounds", vote4SURGE!A:C , 3, False),
IFERROR(SEARCH("+1 Wound", I4),0) &gt; 0 ,VLOOKUP("+1 Wound", vote4SURGE!A:C , 3, False),
IFERROR(SEARCH("+2 Wounds", I4),0) &gt; 0 ,VLOOKUP("+2 Wounds", vote4SURGE!A:C , 3, False),
IFERROR(SEARCH("+3 Wounds", I4),0) &gt; 0,VLOOKUP("+3 Wounds", vote4SURGE!A:C , 3, False),
IFERROR(SEARCH("+4 Wounds", I4),0) &gt; 0 ,VLOOKUP("+4 Wounds", vote4SURGE!A:C , 3, False),
0=0,0)
,
IFS(
IFERROR(SEARCH("+1 Range", I4),0) &gt; 0 ,VLOOKUP("+1 Range", vote4SURGE!A:C , 3, FALSE),
IFERROR(SEARCH("+2 Range", I4),0) &gt; 0 ,VLOOKUP("+2 Range", vote4SURGE!A:C , 3, FALSE),
IFERROR(SEARCH("+3 Range", I4),0) &gt; 0,VLOOKUP("+3 Range", vote4SURGE!A:C , 3, FALSE),
IFERROR(SEARCH("+4 Range", I4),0) &gt; 0,VLOOKUP("+4 Range", vote4SURGE!A:C , 3, FALSE),
0=0,0),
IFS(
IFERROR(SEARCH("Recover 1 Heart", I4),0) &gt; 0 ,VLOOKUP("Recover 1 Heart", vote4SURGE!A:C , 3, FALSE),
IFERROR(SEARCH("Recover 2 Heart", I4),0) &gt; 0 ,VLOOKUP("Recover 2 Heart", vote4SURGE!A:C , 3, FALSE),
0=0,0),
IFS(
IFERROR(SEARCH("Recover 1 Fatigue", I4),0) &gt; 0,VLOOKUP("Recover 1 Fatigue", vote4SURGE!A:C , 3, FALSE),
IFERROR(SEARCH("Recover 2 Fatigue", I4),0) &gt; 0,VLOOKUP("Recover 2 Fatigue", vote4SURGE!A:C , 3, FALSE),
0=0,0),
IFERROR(VLOOKUP(B4, vote4SURGE!A:C , 3, FALSE),)
)</f>
        <v>3.5</v>
      </c>
      <c r="K4" s="352"/>
      <c r="L4" s="318">
        <f>SUM(
IF(IFERROR(SEARCH("Black Venom",K4),0) &gt; 0 , VLOOKUP("Black Venom", vote4SURGE!A:C , 3, FALSE) - 2, 0 ),
IF(IFERROR(SEARCH("Bleed",K4),0) &gt; 0 , VLOOKUP("Bleed", vote4SURGE!A:C , 3, FALSE) - 2, 0 ),
IF(IFERROR(SEARCH("Blast",K4),0) &gt; 0 , VLOOKUP("Blast", vote4SURGE!A:C , 3, FALSE) - 2, 0 ),
IF(IFERROR(SEARCH("Burn",K4),0) &gt; 0 , VLOOKUP("Burn", vote4SURGE!A:C , 3, FALSE) - 2, 0 ),
IF(IFERROR(SEARCH("Charge",K4),0) &gt; 0 , VLOOKUP("Charge", vote4SURGE!A:C , 3, FALSE) - 2, 0 ),
IF(IFERROR(SEARCH("Colonize",K4),0) &gt; 0 , VLOOKUP("Colonize", vote4SURGE!A:C , 3, FALSE) - 2, 0 ),
IF(IFERROR(SEARCH("Curse",K4),0) &gt; 0 , VLOOKUP("Curse", vote4SURGE!A:C , 3, FALSE) - 2, 0 ),
IF(IFERROR(SEARCH("Disease",K4),0) &gt; 0 , VLOOKUP("Disease", vote4SURGE!A:C , 3, FALSE) - 2, 0 ),
IF(IFERROR(SEARCH("Doom",K4),0) &gt; 0 , VLOOKUP("Doom", vote4SURGE!A:C , 3, FALSE) - 2, 0 ),
IF(IFERROR(SEARCH("Feast",K4),0) &gt; 0 , VLOOKUP("Feast", vote4SURGE!A:C , 3, FALSE) - 2, 0 ),
IF(IFERROR(SEARCH("Fire Breath",K4),0) &gt; 0 , VLOOKUP("Fire Breath", vote4SURGE!A:C , 3, FALSE) - 2, 0 ),
IF(IFERROR(SEARCH("Hunt",K4),0) &gt; 0 , VLOOKUP("Hunt", vote4SURGE!A:C , 3, FALSE) - 2, 0 ),
IF(IFERROR(SEARCH("Immobilize",K4),0) &gt; 0 , VLOOKUP("Immobilize", vote4SURGE!A:C , 3, FALSE) - 2, 0 ),
IF(IFERROR(SEARCH("Knockback",K4),0) &gt; 0 , VLOOKUP("Knockback", vote4SURGE!A:C , 3, FALSE) - 2, 0 ),
IF(IFERROR(SEARCH("Lash",K4),0) &gt; 0 , VLOOKUP("Lash", vote4SURGE!A:C , 3, FALSE) - 2, 0 ),
IF(IFERROR(SEARCH("Mend 2",K4),0) &gt; 0 , VLOOKUP("Mend 2", vote4SURGE!A:C , 3, FALSE) - 2, 0 ),
IF(IFERROR(SEARCH("Mortal Binding",K4),0) &gt; 0 , VLOOKUP("Mortal Binding", vote4SURGE!A:C , 3, FALSE) - 2, 0 ),
IF(IFERROR(SEARCH("Poison",K4),0) &gt; 0 , VLOOKUP("Poison", vote4SURGE!A:C , 3, FALSE) - 2, 0 ),
IF(IFERROR(SEARCH("Stun",K4),0) &gt; 0 , VLOOKUP("Stun", vote4SURGE!A:C , 3, FALSE) - 2, 0 ),
IF(IFERROR(SEARCH("Swarm",K4),0) &gt; 0 , VLOOKUP("Swarm", vote4SURGE!A:C , 3, FALSE) - 2, 0 ),
IF(IFERROR(SEARCH("Terrify",K4),0) &gt; 0 , VLOOKUP("Terrify", vote4SURGE!A:C , 3, FALSE) - 2, 0 ),
IF(IFERROR(SEARCH("Weaken",K4),0) &gt; 0 , VLOOKUP("Weaken", vote4SURGE!A:C , 3, FALSE) - 2, 0 ),
IF(IFERROR(SEARCH("Wither",K4),0) &gt; 0 , VLOOKUP("Wither", vote4SURGE!A:C , 3, FALSE) - 2, 0 ),
IFS(
IFERROR(SEARCH("Sorcery 1", K4),0) &gt; 0 ,VLOOKUP("Sorcery 1", vote4SURGE!A:C , 3, FALSE) - 2,
IFERROR(SEARCH("Sorcery 2", K4),0) &gt; 0 ,VLOOKUP("Sorcery 2", vote4SURGE!A:C , 3, FALSE) - 2,
IFERROR(SEARCH("Sorcery 3", K4),0) &gt; 0,VLOOKUP("Sorcery 3", vote4SURGE!A:C , 3, FALSE) - 2,
0=0,0)
,
IFS(
IFERROR(SEARCH("Pierce 1", K4),0) &gt; 0 ,VLOOKUP("Pierce 1", vote4SURGE!A:C , 3, FALSE) - 2,
IFERROR(SEARCH("Pierce 2", K4),0) &gt; 0 ,VLOOKUP("Pierce 2", vote4SURGE!A:C , 3, FALSE) - 2,
IFERROR(SEARCH("Pierce 3", K4),0) &gt; 0,VLOOKUP("Pierce 3", vote4SURGE!A:C , 3, FALSE) - 2,
IFERROR(SEARCH("Pierce 4", K4),0) &gt; 0 ,VLOOKUP("Pierce 4", vote4SURGE!A:C , 3, FALSE) - 2,
0=0,0)
,
IFS(
IFERROR(SEARCH("+1 Wound, +1 Wound", K4),0) &gt; 0 ,VLOOKUP("+1 Wound, +1 Wound", vote4SURGE!A:C , 3, False) - 2,
IFERROR(SEARCH("+2 Wounds, +2 Wounds", K4),0) &gt; 0 ,VLOOKUP("+2 Wounds, +2 Wounds", vote4SURGE!A:C , 3, False)- 2,
IFERROR(SEARCH("+1 Wound", K4),0) &gt; 0 ,VLOOKUP("+1 Wound", vote4SURGE!A:C , 3, False)- 2,
IFERROR(SEARCH("+2 Wounds", K4),0) &gt; 0 ,VLOOKUP("+2 Wounds", vote4SURGE!A:C , 3, False)- 2,
IFERROR(SEARCH("+3 Wounds", K4),0) &gt; 0,VLOOKUP("+3 Wounds", vote4SURGE!A:C , 3, False)- 2,
IFERROR(SEARCH("+4 Wounds", K4),0) &gt; 0 ,VLOOKUP("+4 Wounds", vote4SURGE!A:C , 3, False)- 2,
IFERROR(SEARCH("+4 Wounds", K4),0) &gt; 0 ,VLOOKUP("+5 Wounds", vote4SURGE!A:C , 3, False)- 2,
0=0,0)
,
IFS(
IFERROR(SEARCH("+1 Range", K4),0) &gt; 0 ,VLOOKUP("+1 Range", vote4SURGE!A:C , 3, FALSE) - 2,
IFERROR(SEARCH("+2 Range", K4),0) &gt; 0 ,VLOOKUP("+2 Range", vote4SURGE!A:C , 3, FALSE) - 2,
IFERROR(SEARCH("+3 Range", K4),0) &gt; 0,VLOOKUP("+3 Range", vote4SURGE!A:C , 3, FALSE) - 2,
0=0,0)
)</f>
        <v>0</v>
      </c>
      <c r="M4" s="318">
        <f t="shared" si="1"/>
        <v>3.5</v>
      </c>
      <c r="N4" s="322"/>
      <c r="O4" s="322"/>
      <c r="P4" s="118"/>
      <c r="Q4" s="118"/>
      <c r="R4" s="118"/>
      <c r="S4" s="322"/>
      <c r="T4" s="322"/>
    </row>
    <row r="5">
      <c r="A5" s="105" t="s">
        <v>1689</v>
      </c>
      <c r="B5" s="93" t="s">
        <v>981</v>
      </c>
      <c r="C5" s="93"/>
      <c r="D5" s="315" t="str">
        <f>IFERROR(__xludf.DUMMYFUNCTION(" IF(ISBLANK(C5),,
SWITCH(
LEN(C5) - LEN(SUBSTITUTE(C5,"","","""")),
0 , VLOOKUP(C5, Variables!$A:$B, 2, FALSE),
1 , VLOOKUP(index(split(C5 ,"", "", FALSE),1,1), Variables!$A:$B , 2, FALSE) + VLOOKUP(index(split(C5 ,"", "", FALSE),1,2), Variables!$A:$B , 2"&amp;", FALSE),
2 , VLOOKUP(index(split(C5 ,"", "", FALSE),1,1), Variables!$A:$B , 2, FALSE) + VLOOKUP(index(split(C5 ,"", "", FALSE),1,2), Variables!$A:$B , 2, FALSE) + VLOOKUP(index(split(C5 ,"", "", FALSE),1,3), Variables!$A:$B , 2, FALSE),
3 , VLOOKUP(index"&amp;"(split(C5 ,"", "", FALSE),1,1), Variables!$A:$B , 2, FALSE) + VLOOKUP(index(split(C5 ,"", "", FALSE),1,2), Variables!$A:$B , 2, FALSE) + VLOOKUP(index(split(C5 ,"", "", FALSE),1,3), Variables!$A:$B , 2, FALSE) + VLOOKUP(index(split(C5 ,"", "", FALSE),1,4)"&amp;", Variables!$A:$B , 2, FALSE),
)
)"),"")</f>
        <v/>
      </c>
      <c r="E5" s="93"/>
      <c r="F5" s="318" t="str">
        <f>IF(E5 = "",,IFERROR(VLOOKUP(B5,vote4ITEMS!$A:$C, 3, FALSE),))</f>
        <v/>
      </c>
      <c r="G5" s="353" t="s">
        <v>982</v>
      </c>
      <c r="H5" s="318">
        <f>IFERROR(__xludf.DUMMYFUNCTION("IF(ISBLANK(G5),,
IFERROR(
SWITCH(
LEN(G5) - LEN(SUBSTITUTE(G5,"","","""")),
0 , VLOOKUP(G5, vote4TRAITS!$A:$C , 3, FALSE),
1 , VLOOKUP(index(split(G5 ,"", "", FALSE),1,1), vote4TRAITS!$A:$C , 3, FALSE) + VLOOKUP(index(split(G5 ,"", "", FALSE),1,2), vote4T"&amp;"RAITS!$A:$C , 3, FALSE),
2 , VLOOKUP(index(split(G5 ,"", "", FALSE),1,1), vote4TRAITS!$A:$C , 3, FALSE) + VLOOKUP(index(split(G5 ,"", "", FALSE),1,2), vote4TRAITS!$A:$C , 3, FALSE) + VLOOKUP(index(split(G5 ,"", "", FALSE),1,3), vote4TRAITS!$A:$C , 3, FALS"&amp;"E),
3 , VLOOKUP(index(split(G5 ,"", "", FALSE),1,1), vote4TRAITS!$A:$C , 3, FALSE) + VLOOKUP(index(split(G5 ,"", "", FALSE),1,2), vote4TRAITS!$A:$C , 3, FALSE) + VLOOKUP(index(split(G5 ,"", "", FALSE),1,3), vote4TRAITS!$A:$C , 3, FALSE) + VLOOKUP(index(sp"&amp;"lit(L17 ,"", "", FALSE),1,4), vote4TRAITS!$A:$C , 3, FALSE)
),
VLOOKUP(B5, vote4TRAITS!$A:$C , 3, FALSE))
)"),3.0)</f>
        <v>3</v>
      </c>
      <c r="I5" s="351"/>
      <c r="J5" s="318">
        <f>SUM(
IF(IFERROR(SEARCH("Black Venom",I5),0) &gt; 0 , VLOOKUP("Black Venom", vote4SURGE!A:C , 3, FALSE), 0 ),
IF(IFERROR(SEARCH("Bleed",I5),0) &gt; 0 , VLOOKUP("Bleed", vote4SURGE!A:C , 3, FALSE), 0 ),
IF(IFERROR(SEARCH("Blast",I5),0) &gt; 0 , VLOOKUP("Blast", vote4SURGE!A:C , 3, FALSE), 0 ),
IF(IFERROR(SEARCH("Burn",I5),0) &gt; 0 , VLOOKUP("Burn", vote4SURGE!A:C , 3, FALSE), 0 ),
IF(IFERROR(SEARCH("Charge",I5),0) &gt; 0 , VLOOKUP("Charge", vote4SURGE!A:C , 3, FALSE), 0 ),
IF(IFERROR(SEARCH("Colonize",I5),0) &gt; 0 , VLOOKUP("Colonize", vote4SURGE!A:C , 3, FALSE), 0 ),
IF(IFERROR(SEARCH("Curse",I5),0) &gt; 0 , VLOOKUP("Curse", vote4SURGE!A:C , 3, FALSE), 0 ),
IF(IFERROR(SEARCH("Disease",I5),0) &gt; 0 , VLOOKUP("Disease", vote4SURGE!A:C , 3, FALSE), 0 ),
IF(IFERROR(SEARCH("Doom",I5),0) &gt; 0 , VLOOKUP("Doom", vote4SURGE!A:C , 3, FALSE), 0 ),
IF(IFERROR(SEARCH("Feast",I5),0) &gt; 0 , VLOOKUP("Feast", vote4SURGE!A:C , 3, FALSE), 0 ),
IF(IFERROR(SEARCH("Fire Breath",I5),0) &gt; 0 , VLOOKUP("Fire Breath", vote4SURGE!A:C , 3, FALSE), 0 ),
IF(IFERROR(SEARCH("Hunt",I5),0) &gt; 0 , VLOOKUP("Hunt", vote4SURGE!A:C , 3, FALSE), 0 ),
IF(IFERROR(SEARCH("Immobilize",I5),0) &gt; 0 , VLOOKUP("Immobilize", vote4SURGE!A:C , 3, FALSE), 0 ),
IF(IFERROR(SEARCH("Knockback",I5),0) &gt; 0 , VLOOKUP("Knockback", vote4SURGE!A:C , 3, FALSE), 0 ),
IF(IFERROR(SEARCH("Lash",I5),0) &gt; 0 , VLOOKUP("Lash", vote4SURGE!A:C , 3, FALSE), 0 ),
IF(IFERROR(SEARCH("Mend 2",I5),0) &gt; 0 , VLOOKUP("Mend 2", vote4SURGE!A:C , 3, FALSE), 0 ),
IF(IFERROR(SEARCH("Mortal Binding",I5),0) &gt; 0 , VLOOKUP("Mortal Binding", vote4SURGE!A:C , 3, FALSE), 0 ),
IF(IFERROR(SEARCH("Poison",I5),0) &gt; 0 , VLOOKUP("Poison", vote4SURGE!A:C , 3, FALSE), 0 ),
IF(IFERROR(SEARCH("Stun",I5),0) &gt; 0 , VLOOKUP("Stun", vote4SURGE!A:C , 3, FALSE), 0 ),
IF(IFERROR(SEARCH("Swarm",I5),0) &gt; 0 , VLOOKUP("Swarm", vote4SURGE!A:C , 3, FALSE), 0 ),
IF(IFERROR(SEARCH("Terrify",I5),0) &gt; 0 , VLOOKUP("Terrify", vote4SURGE!A:C , 3, FALSE), 0 ),
IF(IFERROR(SEARCH("Weaken",I5),0) &gt; 0 , VLOOKUP("Weaken", vote4SURGE!A:C , 3, FALSE), 0 ),
IF(IFERROR(SEARCH("Wither",I5),0) &gt; 0 , VLOOKUP("Wither", vote4SURGE!A:C , 3, FALSE), 0 ),
IFS(
IFERROR(SEARCH("Sorcery 1", I5),0) &gt; 0 ,VLOOKUP("Sorcery 1", vote4SURGE!A:C , 3, FALSE),
IFERROR(SEARCH("Sorcery 2", I5),0) &gt; 0 ,VLOOKUP("Sorcery 2", vote4SURGE!A:C , 3, FALSE),
IFERROR(SEARCH("Sorcery 3", I5),0) &gt; 0,VLOOKUP("Sorcery 3", vote4SURGE!A:C , 3, FALSE),
0=0,0)
,
IFS(
IFERROR(SEARCH("Pierce 1", I5),0) &gt; 0 ,VLOOKUP("Pierce 1", vote4SURGE!A:C , 3, FALSE),
IFERROR(SEARCH("Pierce 2", I5),0) &gt; 0 ,VLOOKUP("Pierce 2", vote4SURGE!A:C , 3, FALSE),
IFERROR(SEARCH("Pierce 3", I5),0) &gt; 0,VLOOKUP("Pierce 3", vote4SURGE!A:C , 3, FALSE),
IFERROR(SEARCH("Pierce 4", I5),0) &gt; 0 ,VLOOKUP("Pierce 4", vote4SURGE!A:C , 3, FALSE),
IFERROR(SEARCH("Pierce 5", I5),0) &gt; 0 ,VLOOKUP("Pierce 5", vote4SURGE!A:C , 3, FALSE),
0=0,0)
,
IFS(
IFERROR(SEARCH("+1 Range, +1 Wound", I5),0) &gt; 0 ,VLOOKUP("+1 Range, +1 Wound", vote4SURGE!A:C , 3, False),
IFERROR(SEARCH("+2 Range, +1 Wound", I5),0) &gt; 0 ,VLOOKUP("+2 Range, +1 Wound", vote4SURGE!A:C , 3, False),
IFERROR(SEARCH("+1 Wound, +1 Wound", I5),0) &gt; 0 ,VLOOKUP("+1 Wound, +1 Wound", vote4SURGE!A:C , 3, False),
IFERROR(SEARCH("+2 Wounds, +2 Wounds", I5),0) &gt; 0 ,VLOOKUP("+2 Wounds, +2 Wounds", vote4SURGE!A:C , 3, False),
IFERROR(SEARCH("+1 Wound", I5),0) &gt; 0 ,VLOOKUP("+1 Wound", vote4SURGE!A:C , 3, False),
IFERROR(SEARCH("+2 Wounds", I5),0) &gt; 0 ,VLOOKUP("+2 Wounds", vote4SURGE!A:C , 3, False),
IFERROR(SEARCH("+3 Wounds", I5),0) &gt; 0,VLOOKUP("+3 Wounds", vote4SURGE!A:C , 3, False),
IFERROR(SEARCH("+4 Wounds", I5),0) &gt; 0 ,VLOOKUP("+4 Wounds", vote4SURGE!A:C , 3, False),
0=0,0)
,
IFS(
IFERROR(SEARCH("+1 Range", I5),0) &gt; 0 ,VLOOKUP("+1 Range", vote4SURGE!A:C , 3, FALSE),
IFERROR(SEARCH("+2 Range", I5),0) &gt; 0 ,VLOOKUP("+2 Range", vote4SURGE!A:C , 3, FALSE),
IFERROR(SEARCH("+3 Range", I5),0) &gt; 0,VLOOKUP("+3 Range", vote4SURGE!A:C , 3, FALSE),
IFERROR(SEARCH("+4 Range", I5),0) &gt; 0,VLOOKUP("+4 Range", vote4SURGE!A:C , 3, FALSE),
0=0,0),
IFS(
IFERROR(SEARCH("Recover 1 Heart", I5),0) &gt; 0 ,VLOOKUP("Recover 1 Heart", vote4SURGE!A:C , 3, FALSE),
IFERROR(SEARCH("Recover 2 Heart", I5),0) &gt; 0 ,VLOOKUP("Recover 2 Heart", vote4SURGE!A:C , 3, FALSE),
0=0,0),
IFS(
IFERROR(SEARCH("Recover 1 Fatigue", I5),0) &gt; 0,VLOOKUP("Recover 1 Fatigue", vote4SURGE!A:C , 3, FALSE),
IFERROR(SEARCH("Recover 2 Fatigue", I5),0) &gt; 0,VLOOKUP("Recover 2 Fatigue", vote4SURGE!A:C , 3, FALSE),
0=0,0),
IFERROR(VLOOKUP(B5, vote4SURGE!A:C , 3, FALSE),)
)</f>
        <v>0</v>
      </c>
      <c r="K5" s="352"/>
      <c r="L5" s="318">
        <f>SUM(
IF(IFERROR(SEARCH("Black Venom",K5),0) &gt; 0 , VLOOKUP("Black Venom", vote4SURGE!A:C , 3, FALSE) - 2, 0 ),
IF(IFERROR(SEARCH("Bleed",K5),0) &gt; 0 , VLOOKUP("Bleed", vote4SURGE!A:C , 3, FALSE) - 2, 0 ),
IF(IFERROR(SEARCH("Blast",K5),0) &gt; 0 , VLOOKUP("Blast", vote4SURGE!A:C , 3, FALSE) - 2, 0 ),
IF(IFERROR(SEARCH("Burn",K5),0) &gt; 0 , VLOOKUP("Burn", vote4SURGE!A:C , 3, FALSE) - 2, 0 ),
IF(IFERROR(SEARCH("Charge",K5),0) &gt; 0 , VLOOKUP("Charge", vote4SURGE!A:C , 3, FALSE) - 2, 0 ),
IF(IFERROR(SEARCH("Colonize",K5),0) &gt; 0 , VLOOKUP("Colonize", vote4SURGE!A:C , 3, FALSE) - 2, 0 ),
IF(IFERROR(SEARCH("Curse",K5),0) &gt; 0 , VLOOKUP("Curse", vote4SURGE!A:C , 3, FALSE) - 2, 0 ),
IF(IFERROR(SEARCH("Disease",K5),0) &gt; 0 , VLOOKUP("Disease", vote4SURGE!A:C , 3, FALSE) - 2, 0 ),
IF(IFERROR(SEARCH("Doom",K5),0) &gt; 0 , VLOOKUP("Doom", vote4SURGE!A:C , 3, FALSE) - 2, 0 ),
IF(IFERROR(SEARCH("Feast",K5),0) &gt; 0 , VLOOKUP("Feast", vote4SURGE!A:C , 3, FALSE) - 2, 0 ),
IF(IFERROR(SEARCH("Fire Breath",K5),0) &gt; 0 , VLOOKUP("Fire Breath", vote4SURGE!A:C , 3, FALSE) - 2, 0 ),
IF(IFERROR(SEARCH("Hunt",K5),0) &gt; 0 , VLOOKUP("Hunt", vote4SURGE!A:C , 3, FALSE) - 2, 0 ),
IF(IFERROR(SEARCH("Immobilize",K5),0) &gt; 0 , VLOOKUP("Immobilize", vote4SURGE!A:C , 3, FALSE) - 2, 0 ),
IF(IFERROR(SEARCH("Knockback",K5),0) &gt; 0 , VLOOKUP("Knockback", vote4SURGE!A:C , 3, FALSE) - 2, 0 ),
IF(IFERROR(SEARCH("Lash",K5),0) &gt; 0 , VLOOKUP("Lash", vote4SURGE!A:C , 3, FALSE) - 2, 0 ),
IF(IFERROR(SEARCH("Mend 2",K5),0) &gt; 0 , VLOOKUP("Mend 2", vote4SURGE!A:C , 3, FALSE) - 2, 0 ),
IF(IFERROR(SEARCH("Mortal Binding",K5),0) &gt; 0 , VLOOKUP("Mortal Binding", vote4SURGE!A:C , 3, FALSE) - 2, 0 ),
IF(IFERROR(SEARCH("Poison",K5),0) &gt; 0 , VLOOKUP("Poison", vote4SURGE!A:C , 3, FALSE) - 2, 0 ),
IF(IFERROR(SEARCH("Stun",K5),0) &gt; 0 , VLOOKUP("Stun", vote4SURGE!A:C , 3, FALSE) - 2, 0 ),
IF(IFERROR(SEARCH("Swarm",K5),0) &gt; 0 , VLOOKUP("Swarm", vote4SURGE!A:C , 3, FALSE) - 2, 0 ),
IF(IFERROR(SEARCH("Terrify",K5),0) &gt; 0 , VLOOKUP("Terrify", vote4SURGE!A:C , 3, FALSE) - 2, 0 ),
IF(IFERROR(SEARCH("Weaken",K5),0) &gt; 0 , VLOOKUP("Weaken", vote4SURGE!A:C , 3, FALSE) - 2, 0 ),
IF(IFERROR(SEARCH("Wither",K5),0) &gt; 0 , VLOOKUP("Wither", vote4SURGE!A:C , 3, FALSE) - 2, 0 ),
IFS(
IFERROR(SEARCH("Sorcery 1", K5),0) &gt; 0 ,VLOOKUP("Sorcery 1", vote4SURGE!A:C , 3, FALSE) - 2,
IFERROR(SEARCH("Sorcery 2", K5),0) &gt; 0 ,VLOOKUP("Sorcery 2", vote4SURGE!A:C , 3, FALSE) - 2,
IFERROR(SEARCH("Sorcery 3", K5),0) &gt; 0,VLOOKUP("Sorcery 3", vote4SURGE!A:C , 3, FALSE) - 2,
0=0,0)
,
IFS(
IFERROR(SEARCH("Pierce 1", K5),0) &gt; 0 ,VLOOKUP("Pierce 1", vote4SURGE!A:C , 3, FALSE) - 2,
IFERROR(SEARCH("Pierce 2", K5),0) &gt; 0 ,VLOOKUP("Pierce 2", vote4SURGE!A:C , 3, FALSE) - 2,
IFERROR(SEARCH("Pierce 3", K5),0) &gt; 0,VLOOKUP("Pierce 3", vote4SURGE!A:C , 3, FALSE) - 2,
IFERROR(SEARCH("Pierce 4", K5),0) &gt; 0 ,VLOOKUP("Pierce 4", vote4SURGE!A:C , 3, FALSE) - 2,
0=0,0)
,
IFS(
IFERROR(SEARCH("+1 Wound, +1 Wound", K5),0) &gt; 0 ,VLOOKUP("+1 Wound, +1 Wound", vote4SURGE!A:C , 3, False) - 2,
IFERROR(SEARCH("+2 Wounds, +2 Wounds", K5),0) &gt; 0 ,VLOOKUP("+2 Wounds, +2 Wounds", vote4SURGE!A:C , 3, False)- 2,
IFERROR(SEARCH("+1 Wound", K5),0) &gt; 0 ,VLOOKUP("+1 Wound", vote4SURGE!A:C , 3, False)- 2,
IFERROR(SEARCH("+2 Wounds", K5),0) &gt; 0 ,VLOOKUP("+2 Wounds", vote4SURGE!A:C , 3, False)- 2,
IFERROR(SEARCH("+3 Wounds", K5),0) &gt; 0,VLOOKUP("+3 Wounds", vote4SURGE!A:C , 3, False)- 2,
IFERROR(SEARCH("+4 Wounds", K5),0) &gt; 0 ,VLOOKUP("+4 Wounds", vote4SURGE!A:C , 3, False)- 2,
IFERROR(SEARCH("+4 Wounds", K5),0) &gt; 0 ,VLOOKUP("+5 Wounds", vote4SURGE!A:C , 3, False)- 2,
0=0,0)
,
IFS(
IFERROR(SEARCH("+1 Range", K5),0) &gt; 0 ,VLOOKUP("+1 Range", vote4SURGE!A:C , 3, FALSE) - 2,
IFERROR(SEARCH("+2 Range", K5),0) &gt; 0 ,VLOOKUP("+2 Range", vote4SURGE!A:C , 3, FALSE) - 2,
IFERROR(SEARCH("+3 Range", K5),0) &gt; 0,VLOOKUP("+3 Range", vote4SURGE!A:C , 3, FALSE) - 2,
0=0,0)
)</f>
        <v>0</v>
      </c>
      <c r="M5" s="318">
        <f t="shared" si="1"/>
        <v>3</v>
      </c>
      <c r="N5" s="322"/>
      <c r="O5" s="322"/>
      <c r="P5" s="118"/>
      <c r="Q5" s="118"/>
      <c r="R5" s="118"/>
      <c r="S5" s="322"/>
      <c r="T5" s="322"/>
    </row>
    <row r="6">
      <c r="A6" s="105" t="s">
        <v>1689</v>
      </c>
      <c r="B6" s="93" t="s">
        <v>725</v>
      </c>
      <c r="C6" s="93"/>
      <c r="D6" s="315" t="str">
        <f>IFERROR(__xludf.DUMMYFUNCTION(" IF(ISBLANK(C6),,
SWITCH(
LEN(C6) - LEN(SUBSTITUTE(C6,"","","""")),
0 , VLOOKUP(C6, Variables!$A:$B, 2, FALSE),
1 , VLOOKUP(index(split(C6 ,"", "", FALSE),1,1), Variables!$A:$B , 2, FALSE) + VLOOKUP(index(split(C6 ,"", "", FALSE),1,2), Variables!$A:$B , 2"&amp;", FALSE),
2 , VLOOKUP(index(split(C6 ,"", "", FALSE),1,1), Variables!$A:$B , 2, FALSE) + VLOOKUP(index(split(C6 ,"", "", FALSE),1,2), Variables!$A:$B , 2, FALSE) + VLOOKUP(index(split(C6 ,"", "", FALSE),1,3), Variables!$A:$B , 2, FALSE),
3 , VLOOKUP(index"&amp;"(split(C6 ,"", "", FALSE),1,1), Variables!$A:$B , 2, FALSE) + VLOOKUP(index(split(C6 ,"", "", FALSE),1,2), Variables!$A:$B , 2, FALSE) + VLOOKUP(index(split(C6 ,"", "", FALSE),1,3), Variables!$A:$B , 2, FALSE) + VLOOKUP(index(split(C6 ,"", "", FALSE),1,4)"&amp;", Variables!$A:$B , 2, FALSE),
)
)"),"")</f>
        <v/>
      </c>
      <c r="E6" s="105" t="s">
        <v>726</v>
      </c>
      <c r="F6" s="318">
        <f>IF(E6 = "",,IFERROR(VLOOKUP(B6,vote4ITEMS!$A:$C, 3, FALSE),))</f>
        <v>-1.666666667</v>
      </c>
      <c r="G6" s="353"/>
      <c r="H6" s="318" t="str">
        <f>IFERROR(__xludf.DUMMYFUNCTION("IF(ISBLANK(G6),,
IFERROR(
SWITCH(
LEN(G6) - LEN(SUBSTITUTE(G6,"","","""")),
0 , VLOOKUP(G6, vote4TRAITS!$A:$C , 3, FALSE),
1 , VLOOKUP(index(split(G6 ,"", "", FALSE),1,1), vote4TRAITS!$A:$C , 3, FALSE) + VLOOKUP(index(split(G6 ,"", "", FALSE),1,2), vote4T"&amp;"RAITS!$A:$C , 3, FALSE),
2 , VLOOKUP(index(split(G6 ,"", "", FALSE),1,1), vote4TRAITS!$A:$C , 3, FALSE) + VLOOKUP(index(split(G6 ,"", "", FALSE),1,2), vote4TRAITS!$A:$C , 3, FALSE) + VLOOKUP(index(split(G6 ,"", "", FALSE),1,3), vote4TRAITS!$A:$C , 3, FALS"&amp;"E),
3 , VLOOKUP(index(split(G6 ,"", "", FALSE),1,1), vote4TRAITS!$A:$C , 3, FALSE) + VLOOKUP(index(split(G6 ,"", "", FALSE),1,2), vote4TRAITS!$A:$C , 3, FALSE) + VLOOKUP(index(split(G6 ,"", "", FALSE),1,3), vote4TRAITS!$A:$C , 3, FALSE) + VLOOKUP(index(sp"&amp;"lit(L18 ,"", "", FALSE),1,4), vote4TRAITS!$A:$C , 3, FALSE)
),
VLOOKUP(B6, vote4TRAITS!$A:$C , 3, FALSE))
)"),"")</f>
        <v/>
      </c>
      <c r="I6" s="351"/>
      <c r="J6" s="318">
        <f>SUM(
IF(IFERROR(SEARCH("Black Venom",I6),0) &gt; 0 , VLOOKUP("Black Venom", vote4SURGE!A:C , 3, FALSE), 0 ),
IF(IFERROR(SEARCH("Bleed",I6),0) &gt; 0 , VLOOKUP("Bleed", vote4SURGE!A:C , 3, FALSE), 0 ),
IF(IFERROR(SEARCH("Blast",I6),0) &gt; 0 , VLOOKUP("Blast", vote4SURGE!A:C , 3, FALSE), 0 ),
IF(IFERROR(SEARCH("Burn",I6),0) &gt; 0 , VLOOKUP("Burn", vote4SURGE!A:C , 3, FALSE), 0 ),
IF(IFERROR(SEARCH("Charge",I6),0) &gt; 0 , VLOOKUP("Charge", vote4SURGE!A:C , 3, FALSE), 0 ),
IF(IFERROR(SEARCH("Colonize",I6),0) &gt; 0 , VLOOKUP("Colonize", vote4SURGE!A:C , 3, FALSE), 0 ),
IF(IFERROR(SEARCH("Curse",I6),0) &gt; 0 , VLOOKUP("Curse", vote4SURGE!A:C , 3, FALSE), 0 ),
IF(IFERROR(SEARCH("Disease",I6),0) &gt; 0 , VLOOKUP("Disease", vote4SURGE!A:C , 3, FALSE), 0 ),
IF(IFERROR(SEARCH("Doom",I6),0) &gt; 0 , VLOOKUP("Doom", vote4SURGE!A:C , 3, FALSE), 0 ),
IF(IFERROR(SEARCH("Feast",I6),0) &gt; 0 , VLOOKUP("Feast", vote4SURGE!A:C , 3, FALSE), 0 ),
IF(IFERROR(SEARCH("Fire Breath",I6),0) &gt; 0 , VLOOKUP("Fire Breath", vote4SURGE!A:C , 3, FALSE), 0 ),
IF(IFERROR(SEARCH("Hunt",I6),0) &gt; 0 , VLOOKUP("Hunt", vote4SURGE!A:C , 3, FALSE), 0 ),
IF(IFERROR(SEARCH("Immobilize",I6),0) &gt; 0 , VLOOKUP("Immobilize", vote4SURGE!A:C , 3, FALSE), 0 ),
IF(IFERROR(SEARCH("Knockback",I6),0) &gt; 0 , VLOOKUP("Knockback", vote4SURGE!A:C , 3, FALSE), 0 ),
IF(IFERROR(SEARCH("Lash",I6),0) &gt; 0 , VLOOKUP("Lash", vote4SURGE!A:C , 3, FALSE), 0 ),
IF(IFERROR(SEARCH("Mend 2",I6),0) &gt; 0 , VLOOKUP("Mend 2", vote4SURGE!A:C , 3, FALSE), 0 ),
IF(IFERROR(SEARCH("Mortal Binding",I6),0) &gt; 0 , VLOOKUP("Mortal Binding", vote4SURGE!A:C , 3, FALSE), 0 ),
IF(IFERROR(SEARCH("Poison",I6),0) &gt; 0 , VLOOKUP("Poison", vote4SURGE!A:C , 3, FALSE), 0 ),
IF(IFERROR(SEARCH("Stun",I6),0) &gt; 0 , VLOOKUP("Stun", vote4SURGE!A:C , 3, FALSE), 0 ),
IF(IFERROR(SEARCH("Swarm",I6),0) &gt; 0 , VLOOKUP("Swarm", vote4SURGE!A:C , 3, FALSE), 0 ),
IF(IFERROR(SEARCH("Terrify",I6),0) &gt; 0 , VLOOKUP("Terrify", vote4SURGE!A:C , 3, FALSE), 0 ),
IF(IFERROR(SEARCH("Weaken",I6),0) &gt; 0 , VLOOKUP("Weaken", vote4SURGE!A:C , 3, FALSE), 0 ),
IF(IFERROR(SEARCH("Wither",I6),0) &gt; 0 , VLOOKUP("Wither", vote4SURGE!A:C , 3, FALSE), 0 ),
IFS(
IFERROR(SEARCH("Sorcery 1", I6),0) &gt; 0 ,VLOOKUP("Sorcery 1", vote4SURGE!A:C , 3, FALSE),
IFERROR(SEARCH("Sorcery 2", I6),0) &gt; 0 ,VLOOKUP("Sorcery 2", vote4SURGE!A:C , 3, FALSE),
IFERROR(SEARCH("Sorcery 3", I6),0) &gt; 0,VLOOKUP("Sorcery 3", vote4SURGE!A:C , 3, FALSE),
0=0,0)
,
IFS(
IFERROR(SEARCH("Pierce 1", I6),0) &gt; 0 ,VLOOKUP("Pierce 1", vote4SURGE!A:C , 3, FALSE),
IFERROR(SEARCH("Pierce 2", I6),0) &gt; 0 ,VLOOKUP("Pierce 2", vote4SURGE!A:C , 3, FALSE),
IFERROR(SEARCH("Pierce 3", I6),0) &gt; 0,VLOOKUP("Pierce 3", vote4SURGE!A:C , 3, FALSE),
IFERROR(SEARCH("Pierce 4", I6),0) &gt; 0 ,VLOOKUP("Pierce 4", vote4SURGE!A:C , 3, FALSE),
IFERROR(SEARCH("Pierce 5", I6),0) &gt; 0 ,VLOOKUP("Pierce 5", vote4SURGE!A:C , 3, FALSE),
0=0,0)
,
IFS(
IFERROR(SEARCH("+1 Range, +1 Wound", I6),0) &gt; 0 ,VLOOKUP("+1 Range, +1 Wound", vote4SURGE!A:C , 3, False),
IFERROR(SEARCH("+2 Range, +1 Wound", I6),0) &gt; 0 ,VLOOKUP("+2 Range, +1 Wound", vote4SURGE!A:C , 3, False),
IFERROR(SEARCH("+1 Wound, +1 Wound", I6),0) &gt; 0 ,VLOOKUP("+1 Wound, +1 Wound", vote4SURGE!A:C , 3, False),
IFERROR(SEARCH("+2 Wounds, +2 Wounds", I6),0) &gt; 0 ,VLOOKUP("+2 Wounds, +2 Wounds", vote4SURGE!A:C , 3, False),
IFERROR(SEARCH("+1 Wound", I6),0) &gt; 0 ,VLOOKUP("+1 Wound", vote4SURGE!A:C , 3, False),
IFERROR(SEARCH("+2 Wounds", I6),0) &gt; 0 ,VLOOKUP("+2 Wounds", vote4SURGE!A:C , 3, False),
IFERROR(SEARCH("+3 Wounds", I6),0) &gt; 0,VLOOKUP("+3 Wounds", vote4SURGE!A:C , 3, False),
IFERROR(SEARCH("+4 Wounds", I6),0) &gt; 0 ,VLOOKUP("+4 Wounds", vote4SURGE!A:C , 3, False),
0=0,0)
,
IFS(
IFERROR(SEARCH("+1 Range", I6),0) &gt; 0 ,VLOOKUP("+1 Range", vote4SURGE!A:C , 3, FALSE),
IFERROR(SEARCH("+2 Range", I6),0) &gt; 0 ,VLOOKUP("+2 Range", vote4SURGE!A:C , 3, FALSE),
IFERROR(SEARCH("+3 Range", I6),0) &gt; 0,VLOOKUP("+3 Range", vote4SURGE!A:C , 3, FALSE),
IFERROR(SEARCH("+4 Range", I6),0) &gt; 0,VLOOKUP("+4 Range", vote4SURGE!A:C , 3, FALSE),
0=0,0),
IFS(
IFERROR(SEARCH("Recover 1 Heart", I6),0) &gt; 0 ,VLOOKUP("Recover 1 Heart", vote4SURGE!A:C , 3, FALSE),
IFERROR(SEARCH("Recover 2 Heart", I6),0) &gt; 0 ,VLOOKUP("Recover 2 Heart", vote4SURGE!A:C , 3, FALSE),
0=0,0),
IFS(
IFERROR(SEARCH("Recover 1 Fatigue", I6),0) &gt; 0,VLOOKUP("Recover 1 Fatigue", vote4SURGE!A:C , 3, FALSE),
IFERROR(SEARCH("Recover 2 Fatigue", I6),0) &gt; 0,VLOOKUP("Recover 2 Fatigue", vote4SURGE!A:C , 3, FALSE),
0=0,0),
IFERROR(VLOOKUP(B6, vote4SURGE!A:C , 3, FALSE),)
)</f>
        <v>0</v>
      </c>
      <c r="K6" s="352"/>
      <c r="L6" s="318">
        <f>SUM(
IF(IFERROR(SEARCH("Black Venom",K6),0) &gt; 0 , VLOOKUP("Black Venom", vote4SURGE!A:C , 3, FALSE) - 2, 0 ),
IF(IFERROR(SEARCH("Bleed",K6),0) &gt; 0 , VLOOKUP("Bleed", vote4SURGE!A:C , 3, FALSE) - 2, 0 ),
IF(IFERROR(SEARCH("Blast",K6),0) &gt; 0 , VLOOKUP("Blast", vote4SURGE!A:C , 3, FALSE) - 2, 0 ),
IF(IFERROR(SEARCH("Burn",K6),0) &gt; 0 , VLOOKUP("Burn", vote4SURGE!A:C , 3, FALSE) - 2, 0 ),
IF(IFERROR(SEARCH("Charge",K6),0) &gt; 0 , VLOOKUP("Charge", vote4SURGE!A:C , 3, FALSE) - 2, 0 ),
IF(IFERROR(SEARCH("Colonize",K6),0) &gt; 0 , VLOOKUP("Colonize", vote4SURGE!A:C , 3, FALSE) - 2, 0 ),
IF(IFERROR(SEARCH("Curse",K6),0) &gt; 0 , VLOOKUP("Curse", vote4SURGE!A:C , 3, FALSE) - 2, 0 ),
IF(IFERROR(SEARCH("Disease",K6),0) &gt; 0 , VLOOKUP("Disease", vote4SURGE!A:C , 3, FALSE) - 2, 0 ),
IF(IFERROR(SEARCH("Doom",K6),0) &gt; 0 , VLOOKUP("Doom", vote4SURGE!A:C , 3, FALSE) - 2, 0 ),
IF(IFERROR(SEARCH("Feast",K6),0) &gt; 0 , VLOOKUP("Feast", vote4SURGE!A:C , 3, FALSE) - 2, 0 ),
IF(IFERROR(SEARCH("Fire Breath",K6),0) &gt; 0 , VLOOKUP("Fire Breath", vote4SURGE!A:C , 3, FALSE) - 2, 0 ),
IF(IFERROR(SEARCH("Hunt",K6),0) &gt; 0 , VLOOKUP("Hunt", vote4SURGE!A:C , 3, FALSE) - 2, 0 ),
IF(IFERROR(SEARCH("Immobilize",K6),0) &gt; 0 , VLOOKUP("Immobilize", vote4SURGE!A:C , 3, FALSE) - 2, 0 ),
IF(IFERROR(SEARCH("Knockback",K6),0) &gt; 0 , VLOOKUP("Knockback", vote4SURGE!A:C , 3, FALSE) - 2, 0 ),
IF(IFERROR(SEARCH("Lash",K6),0) &gt; 0 , VLOOKUP("Lash", vote4SURGE!A:C , 3, FALSE) - 2, 0 ),
IF(IFERROR(SEARCH("Mend 2",K6),0) &gt; 0 , VLOOKUP("Mend 2", vote4SURGE!A:C , 3, FALSE) - 2, 0 ),
IF(IFERROR(SEARCH("Mortal Binding",K6),0) &gt; 0 , VLOOKUP("Mortal Binding", vote4SURGE!A:C , 3, FALSE) - 2, 0 ),
IF(IFERROR(SEARCH("Poison",K6),0) &gt; 0 , VLOOKUP("Poison", vote4SURGE!A:C , 3, FALSE) - 2, 0 ),
IF(IFERROR(SEARCH("Stun",K6),0) &gt; 0 , VLOOKUP("Stun", vote4SURGE!A:C , 3, FALSE) - 2, 0 ),
IF(IFERROR(SEARCH("Swarm",K6),0) &gt; 0 , VLOOKUP("Swarm", vote4SURGE!A:C , 3, FALSE) - 2, 0 ),
IF(IFERROR(SEARCH("Terrify",K6),0) &gt; 0 , VLOOKUP("Terrify", vote4SURGE!A:C , 3, FALSE) - 2, 0 ),
IF(IFERROR(SEARCH("Weaken",K6),0) &gt; 0 , VLOOKUP("Weaken", vote4SURGE!A:C , 3, FALSE) - 2, 0 ),
IF(IFERROR(SEARCH("Wither",K6),0) &gt; 0 , VLOOKUP("Wither", vote4SURGE!A:C , 3, FALSE) - 2, 0 ),
IFS(
IFERROR(SEARCH("Sorcery 1", K6),0) &gt; 0 ,VLOOKUP("Sorcery 1", vote4SURGE!A:C , 3, FALSE) - 2,
IFERROR(SEARCH("Sorcery 2", K6),0) &gt; 0 ,VLOOKUP("Sorcery 2", vote4SURGE!A:C , 3, FALSE) - 2,
IFERROR(SEARCH("Sorcery 3", K6),0) &gt; 0,VLOOKUP("Sorcery 3", vote4SURGE!A:C , 3, FALSE) - 2,
0=0,0)
,
IFS(
IFERROR(SEARCH("Pierce 1", K6),0) &gt; 0 ,VLOOKUP("Pierce 1", vote4SURGE!A:C , 3, FALSE) - 2,
IFERROR(SEARCH("Pierce 2", K6),0) &gt; 0 ,VLOOKUP("Pierce 2", vote4SURGE!A:C , 3, FALSE) - 2,
IFERROR(SEARCH("Pierce 3", K6),0) &gt; 0,VLOOKUP("Pierce 3", vote4SURGE!A:C , 3, FALSE) - 2,
IFERROR(SEARCH("Pierce 4", K6),0) &gt; 0 ,VLOOKUP("Pierce 4", vote4SURGE!A:C , 3, FALSE) - 2,
0=0,0)
,
IFS(
IFERROR(SEARCH("+1 Wound, +1 Wound", K6),0) &gt; 0 ,VLOOKUP("+1 Wound, +1 Wound", vote4SURGE!A:C , 3, False) - 2,
IFERROR(SEARCH("+2 Wounds, +2 Wounds", K6),0) &gt; 0 ,VLOOKUP("+2 Wounds, +2 Wounds", vote4SURGE!A:C , 3, False)- 2,
IFERROR(SEARCH("+1 Wound", K6),0) &gt; 0 ,VLOOKUP("+1 Wound", vote4SURGE!A:C , 3, False)- 2,
IFERROR(SEARCH("+2 Wounds", K6),0) &gt; 0 ,VLOOKUP("+2 Wounds", vote4SURGE!A:C , 3, False)- 2,
IFERROR(SEARCH("+3 Wounds", K6),0) &gt; 0,VLOOKUP("+3 Wounds", vote4SURGE!A:C , 3, False)- 2,
IFERROR(SEARCH("+4 Wounds", K6),0) &gt; 0 ,VLOOKUP("+4 Wounds", vote4SURGE!A:C , 3, False)- 2,
IFERROR(SEARCH("+4 Wounds", K6),0) &gt; 0 ,VLOOKUP("+5 Wounds", vote4SURGE!A:C , 3, False)- 2,
0=0,0)
,
IFS(
IFERROR(SEARCH("+1 Range", K6),0) &gt; 0 ,VLOOKUP("+1 Range", vote4SURGE!A:C , 3, FALSE) - 2,
IFERROR(SEARCH("+2 Range", K6),0) &gt; 0 ,VLOOKUP("+2 Range", vote4SURGE!A:C , 3, FALSE) - 2,
IFERROR(SEARCH("+3 Range", K6),0) &gt; 0,VLOOKUP("+3 Range", vote4SURGE!A:C , 3, FALSE) - 2,
0=0,0)
)</f>
        <v>0</v>
      </c>
      <c r="M6" s="318">
        <f t="shared" si="1"/>
        <v>-1.666666667</v>
      </c>
      <c r="N6" s="322"/>
      <c r="O6" s="322"/>
      <c r="P6" s="322"/>
      <c r="Q6" s="322"/>
      <c r="R6" s="322"/>
      <c r="S6" s="322"/>
      <c r="T6" s="322"/>
    </row>
    <row r="7">
      <c r="A7" s="105" t="s">
        <v>1689</v>
      </c>
      <c r="B7" s="93" t="s">
        <v>1005</v>
      </c>
      <c r="C7" s="93"/>
      <c r="D7" s="315" t="str">
        <f>IFERROR(__xludf.DUMMYFUNCTION(" IF(ISBLANK(C7),,
SWITCH(
LEN(C7) - LEN(SUBSTITUTE(C7,"","","""")),
0 , VLOOKUP(C7, Variables!$A:$B, 2, FALSE),
1 , VLOOKUP(index(split(C7 ,"", "", FALSE),1,1), Variables!$A:$B , 2, FALSE) + VLOOKUP(index(split(C7 ,"", "", FALSE),1,2), Variables!$A:$B , 2"&amp;", FALSE),
2 , VLOOKUP(index(split(C7 ,"", "", FALSE),1,1), Variables!$A:$B , 2, FALSE) + VLOOKUP(index(split(C7 ,"", "", FALSE),1,2), Variables!$A:$B , 2, FALSE) + VLOOKUP(index(split(C7 ,"", "", FALSE),1,3), Variables!$A:$B , 2, FALSE),
3 , VLOOKUP(index"&amp;"(split(C7 ,"", "", FALSE),1,1), Variables!$A:$B , 2, FALSE) + VLOOKUP(index(split(C7 ,"", "", FALSE),1,2), Variables!$A:$B , 2, FALSE) + VLOOKUP(index(split(C7 ,"", "", FALSE),1,3), Variables!$A:$B , 2, FALSE) + VLOOKUP(index(split(C7 ,"", "", FALSE),1,4)"&amp;", Variables!$A:$B , 2, FALSE),
)
)"),"")</f>
        <v/>
      </c>
      <c r="E7" s="105"/>
      <c r="F7" s="318" t="str">
        <f>IF(E7 = "",,IFERROR(VLOOKUP(B7,vote4ITEMS!$A:$C, 3, FALSE),))</f>
        <v/>
      </c>
      <c r="G7" s="353" t="s">
        <v>1692</v>
      </c>
      <c r="H7" s="318">
        <f>IFERROR(__xludf.DUMMYFUNCTION("IF(ISBLANK(G7),,
IFERROR(
SWITCH(
LEN(G7) - LEN(SUBSTITUTE(G7,"","","""")),
0 , VLOOKUP(G7, vote4TRAITS!$A:$C , 3, FALSE),
1 , VLOOKUP(index(split(G7 ,"", "", FALSE),1,1), vote4TRAITS!$A:$C , 3, FALSE) + VLOOKUP(index(split(G7 ,"", "", FALSE),1,2), vote4T"&amp;"RAITS!$A:$C , 3, FALSE),
2 , VLOOKUP(index(split(G7 ,"", "", FALSE),1,1), vote4TRAITS!$A:$C , 3, FALSE) + VLOOKUP(index(split(G7 ,"", "", FALSE),1,2), vote4TRAITS!$A:$C , 3, FALSE) + VLOOKUP(index(split(G7 ,"", "", FALSE),1,3), vote4TRAITS!$A:$C , 3, FALS"&amp;"E),
3 , VLOOKUP(index(split(G7 ,"", "", FALSE),1,1), vote4TRAITS!$A:$C , 3, FALSE) + VLOOKUP(index(split(G7 ,"", "", FALSE),1,2), vote4TRAITS!$A:$C , 3, FALSE) + VLOOKUP(index(split(G7 ,"", "", FALSE),1,3), vote4TRAITS!$A:$C , 3, FALSE) + VLOOKUP(index(sp"&amp;"lit(L19 ,"", "", FALSE),1,4), vote4TRAITS!$A:$C , 3, FALSE)
),
VLOOKUP(B7, vote4TRAITS!$A:$C , 3, FALSE))
)"),3.5)</f>
        <v>3.5</v>
      </c>
      <c r="I7" s="353" t="s">
        <v>1251</v>
      </c>
      <c r="J7" s="318">
        <f>SUM(
IF(IFERROR(SEARCH("Black Venom",I7),0) &gt; 0 , VLOOKUP("Black Venom", vote4SURGE!A:C , 3, FALSE), 0 ),
IF(IFERROR(SEARCH("Bleed",I7),0) &gt; 0 , VLOOKUP("Bleed", vote4SURGE!A:C , 3, FALSE), 0 ),
IF(IFERROR(SEARCH("Blast",I7),0) &gt; 0 , VLOOKUP("Blast", vote4SURGE!A:C , 3, FALSE), 0 ),
IF(IFERROR(SEARCH("Burn",I7),0) &gt; 0 , VLOOKUP("Burn", vote4SURGE!A:C , 3, FALSE), 0 ),
IF(IFERROR(SEARCH("Charge",I7),0) &gt; 0 , VLOOKUP("Charge", vote4SURGE!A:C , 3, FALSE), 0 ),
IF(IFERROR(SEARCH("Colonize",I7),0) &gt; 0 , VLOOKUP("Colonize", vote4SURGE!A:C , 3, FALSE), 0 ),
IF(IFERROR(SEARCH("Curse",I7),0) &gt; 0 , VLOOKUP("Curse", vote4SURGE!A:C , 3, FALSE), 0 ),
IF(IFERROR(SEARCH("Disease",I7),0) &gt; 0 , VLOOKUP("Disease", vote4SURGE!A:C , 3, FALSE), 0 ),
IF(IFERROR(SEARCH("Doom",I7),0) &gt; 0 , VLOOKUP("Doom", vote4SURGE!A:C , 3, FALSE), 0 ),
IF(IFERROR(SEARCH("Feast",I7),0) &gt; 0 , VLOOKUP("Feast", vote4SURGE!A:C , 3, FALSE), 0 ),
IF(IFERROR(SEARCH("Fire Breath",I7),0) &gt; 0 , VLOOKUP("Fire Breath", vote4SURGE!A:C , 3, FALSE), 0 ),
IF(IFERROR(SEARCH("Hunt",I7),0) &gt; 0 , VLOOKUP("Hunt", vote4SURGE!A:C , 3, FALSE), 0 ),
IF(IFERROR(SEARCH("Immobilize",I7),0) &gt; 0 , VLOOKUP("Immobilize", vote4SURGE!A:C , 3, FALSE), 0 ),
IF(IFERROR(SEARCH("Knockback",I7),0) &gt; 0 , VLOOKUP("Knockback", vote4SURGE!A:C , 3, FALSE), 0 ),
IF(IFERROR(SEARCH("Lash",I7),0) &gt; 0 , VLOOKUP("Lash", vote4SURGE!A:C , 3, FALSE), 0 ),
IF(IFERROR(SEARCH("Mend 2",I7),0) &gt; 0 , VLOOKUP("Mend 2", vote4SURGE!A:C , 3, FALSE), 0 ),
IF(IFERROR(SEARCH("Mortal Binding",I7),0) &gt; 0 , VLOOKUP("Mortal Binding", vote4SURGE!A:C , 3, FALSE), 0 ),
IF(IFERROR(SEARCH("Poison",I7),0) &gt; 0 , VLOOKUP("Poison", vote4SURGE!A:C , 3, FALSE), 0 ),
IF(IFERROR(SEARCH("Stun",I7),0) &gt; 0 , VLOOKUP("Stun", vote4SURGE!A:C , 3, FALSE), 0 ),
IF(IFERROR(SEARCH("Swarm",I7),0) &gt; 0 , VLOOKUP("Swarm", vote4SURGE!A:C , 3, FALSE), 0 ),
IF(IFERROR(SEARCH("Terrify",I7),0) &gt; 0 , VLOOKUP("Terrify", vote4SURGE!A:C , 3, FALSE), 0 ),
IF(IFERROR(SEARCH("Weaken",I7),0) &gt; 0 , VLOOKUP("Weaken", vote4SURGE!A:C , 3, FALSE), 0 ),
IF(IFERROR(SEARCH("Wither",I7),0) &gt; 0 , VLOOKUP("Wither", vote4SURGE!A:C , 3, FALSE), 0 ),
IFS(
IFERROR(SEARCH("Sorcery 1", I7),0) &gt; 0 ,VLOOKUP("Sorcery 1", vote4SURGE!A:C , 3, FALSE),
IFERROR(SEARCH("Sorcery 2", I7),0) &gt; 0 ,VLOOKUP("Sorcery 2", vote4SURGE!A:C , 3, FALSE),
IFERROR(SEARCH("Sorcery 3", I7),0) &gt; 0,VLOOKUP("Sorcery 3", vote4SURGE!A:C , 3, FALSE),
0=0,0)
,
IFS(
IFERROR(SEARCH("Pierce 1", I7),0) &gt; 0 ,VLOOKUP("Pierce 1", vote4SURGE!A:C , 3, FALSE),
IFERROR(SEARCH("Pierce 2", I7),0) &gt; 0 ,VLOOKUP("Pierce 2", vote4SURGE!A:C , 3, FALSE),
IFERROR(SEARCH("Pierce 3", I7),0) &gt; 0,VLOOKUP("Pierce 3", vote4SURGE!A:C , 3, FALSE),
IFERROR(SEARCH("Pierce 4", I7),0) &gt; 0 ,VLOOKUP("Pierce 4", vote4SURGE!A:C , 3, FALSE),
IFERROR(SEARCH("Pierce 5", I7),0) &gt; 0 ,VLOOKUP("Pierce 5", vote4SURGE!A:C , 3, FALSE),
0=0,0)
,
IFS(
IFERROR(SEARCH("+1 Range, +1 Wound", I7),0) &gt; 0 ,VLOOKUP("+1 Range, +1 Wound", vote4SURGE!A:C , 3, False),
IFERROR(SEARCH("+2 Range, +1 Wound", I7),0) &gt; 0 ,VLOOKUP("+2 Range, +1 Wound", vote4SURGE!A:C , 3, False),
IFERROR(SEARCH("+1 Wound, +1 Wound", I7),0) &gt; 0 ,VLOOKUP("+1 Wound, +1 Wound", vote4SURGE!A:C , 3, False),
IFERROR(SEARCH("+2 Wounds, +2 Wounds", I7),0) &gt; 0 ,VLOOKUP("+2 Wounds, +2 Wounds", vote4SURGE!A:C , 3, False),
IFERROR(SEARCH("+1 Wound", I7),0) &gt; 0 ,VLOOKUP("+1 Wound", vote4SURGE!A:C , 3, False),
IFERROR(SEARCH("+2 Wounds", I7),0) &gt; 0 ,VLOOKUP("+2 Wounds", vote4SURGE!A:C , 3, False),
IFERROR(SEARCH("+3 Wounds", I7),0) &gt; 0,VLOOKUP("+3 Wounds", vote4SURGE!A:C , 3, False),
IFERROR(SEARCH("+4 Wounds", I7),0) &gt; 0 ,VLOOKUP("+4 Wounds", vote4SURGE!A:C , 3, False),
0=0,0)
,
IFS(
IFERROR(SEARCH("+1 Range", I7),0) &gt; 0 ,VLOOKUP("+1 Range", vote4SURGE!A:C , 3, FALSE),
IFERROR(SEARCH("+2 Range", I7),0) &gt; 0 ,VLOOKUP("+2 Range", vote4SURGE!A:C , 3, FALSE),
IFERROR(SEARCH("+3 Range", I7),0) &gt; 0,VLOOKUP("+3 Range", vote4SURGE!A:C , 3, FALSE),
IFERROR(SEARCH("+4 Range", I7),0) &gt; 0,VLOOKUP("+4 Range", vote4SURGE!A:C , 3, FALSE),
0=0,0),
IFS(
IFERROR(SEARCH("Recover 1 Heart", I7),0) &gt; 0 ,VLOOKUP("Recover 1 Heart", vote4SURGE!A:C , 3, FALSE),
IFERROR(SEARCH("Recover 2 Heart", I7),0) &gt; 0 ,VLOOKUP("Recover 2 Heart", vote4SURGE!A:C , 3, FALSE),
0=0,0),
IFS(
IFERROR(SEARCH("Recover 1 Fatigue", I7),0) &gt; 0,VLOOKUP("Recover 1 Fatigue", vote4SURGE!A:C , 3, FALSE),
IFERROR(SEARCH("Recover 2 Fatigue", I7),0) &gt; 0,VLOOKUP("Recover 2 Fatigue", vote4SURGE!A:C , 3, FALSE),
0=0,0),
IFERROR(VLOOKUP(B7, vote4SURGE!A:C , 3, FALSE),)
)</f>
        <v>6.5</v>
      </c>
      <c r="K7" s="352"/>
      <c r="L7" s="318">
        <f>SUM(
IF(IFERROR(SEARCH("Black Venom",K7),0) &gt; 0 , VLOOKUP("Black Venom", vote4SURGE!A:C , 3, FALSE) - 2, 0 ),
IF(IFERROR(SEARCH("Bleed",K7),0) &gt; 0 , VLOOKUP("Bleed", vote4SURGE!A:C , 3, FALSE) - 2, 0 ),
IF(IFERROR(SEARCH("Blast",K7),0) &gt; 0 , VLOOKUP("Blast", vote4SURGE!A:C , 3, FALSE) - 2, 0 ),
IF(IFERROR(SEARCH("Burn",K7),0) &gt; 0 , VLOOKUP("Burn", vote4SURGE!A:C , 3, FALSE) - 2, 0 ),
IF(IFERROR(SEARCH("Charge",K7),0) &gt; 0 , VLOOKUP("Charge", vote4SURGE!A:C , 3, FALSE) - 2, 0 ),
IF(IFERROR(SEARCH("Colonize",K7),0) &gt; 0 , VLOOKUP("Colonize", vote4SURGE!A:C , 3, FALSE) - 2, 0 ),
IF(IFERROR(SEARCH("Curse",K7),0) &gt; 0 , VLOOKUP("Curse", vote4SURGE!A:C , 3, FALSE) - 2, 0 ),
IF(IFERROR(SEARCH("Disease",K7),0) &gt; 0 , VLOOKUP("Disease", vote4SURGE!A:C , 3, FALSE) - 2, 0 ),
IF(IFERROR(SEARCH("Doom",K7),0) &gt; 0 , VLOOKUP("Doom", vote4SURGE!A:C , 3, FALSE) - 2, 0 ),
IF(IFERROR(SEARCH("Feast",K7),0) &gt; 0 , VLOOKUP("Feast", vote4SURGE!A:C , 3, FALSE) - 2, 0 ),
IF(IFERROR(SEARCH("Fire Breath",K7),0) &gt; 0 , VLOOKUP("Fire Breath", vote4SURGE!A:C , 3, FALSE) - 2, 0 ),
IF(IFERROR(SEARCH("Hunt",K7),0) &gt; 0 , VLOOKUP("Hunt", vote4SURGE!A:C , 3, FALSE) - 2, 0 ),
IF(IFERROR(SEARCH("Immobilize",K7),0) &gt; 0 , VLOOKUP("Immobilize", vote4SURGE!A:C , 3, FALSE) - 2, 0 ),
IF(IFERROR(SEARCH("Knockback",K7),0) &gt; 0 , VLOOKUP("Knockback", vote4SURGE!A:C , 3, FALSE) - 2, 0 ),
IF(IFERROR(SEARCH("Lash",K7),0) &gt; 0 , VLOOKUP("Lash", vote4SURGE!A:C , 3, FALSE) - 2, 0 ),
IF(IFERROR(SEARCH("Mend 2",K7),0) &gt; 0 , VLOOKUP("Mend 2", vote4SURGE!A:C , 3, FALSE) - 2, 0 ),
IF(IFERROR(SEARCH("Mortal Binding",K7),0) &gt; 0 , VLOOKUP("Mortal Binding", vote4SURGE!A:C , 3, FALSE) - 2, 0 ),
IF(IFERROR(SEARCH("Poison",K7),0) &gt; 0 , VLOOKUP("Poison", vote4SURGE!A:C , 3, FALSE) - 2, 0 ),
IF(IFERROR(SEARCH("Stun",K7),0) &gt; 0 , VLOOKUP("Stun", vote4SURGE!A:C , 3, FALSE) - 2, 0 ),
IF(IFERROR(SEARCH("Swarm",K7),0) &gt; 0 , VLOOKUP("Swarm", vote4SURGE!A:C , 3, FALSE) - 2, 0 ),
IF(IFERROR(SEARCH("Terrify",K7),0) &gt; 0 , VLOOKUP("Terrify", vote4SURGE!A:C , 3, FALSE) - 2, 0 ),
IF(IFERROR(SEARCH("Weaken",K7),0) &gt; 0 , VLOOKUP("Weaken", vote4SURGE!A:C , 3, FALSE) - 2, 0 ),
IF(IFERROR(SEARCH("Wither",K7),0) &gt; 0 , VLOOKUP("Wither", vote4SURGE!A:C , 3, FALSE) - 2, 0 ),
IFS(
IFERROR(SEARCH("Sorcery 1", K7),0) &gt; 0 ,VLOOKUP("Sorcery 1", vote4SURGE!A:C , 3, FALSE) - 2,
IFERROR(SEARCH("Sorcery 2", K7),0) &gt; 0 ,VLOOKUP("Sorcery 2", vote4SURGE!A:C , 3, FALSE) - 2,
IFERROR(SEARCH("Sorcery 3", K7),0) &gt; 0,VLOOKUP("Sorcery 3", vote4SURGE!A:C , 3, FALSE) - 2,
0=0,0)
,
IFS(
IFERROR(SEARCH("Pierce 1", K7),0) &gt; 0 ,VLOOKUP("Pierce 1", vote4SURGE!A:C , 3, FALSE) - 2,
IFERROR(SEARCH("Pierce 2", K7),0) &gt; 0 ,VLOOKUP("Pierce 2", vote4SURGE!A:C , 3, FALSE) - 2,
IFERROR(SEARCH("Pierce 3", K7),0) &gt; 0,VLOOKUP("Pierce 3", vote4SURGE!A:C , 3, FALSE) - 2,
IFERROR(SEARCH("Pierce 4", K7),0) &gt; 0 ,VLOOKUP("Pierce 4", vote4SURGE!A:C , 3, FALSE) - 2,
0=0,0)
,
IFS(
IFERROR(SEARCH("+1 Wound, +1 Wound", K7),0) &gt; 0 ,VLOOKUP("+1 Wound, +1 Wound", vote4SURGE!A:C , 3, False) - 2,
IFERROR(SEARCH("+2 Wounds, +2 Wounds", K7),0) &gt; 0 ,VLOOKUP("+2 Wounds, +2 Wounds", vote4SURGE!A:C , 3, False)- 2,
IFERROR(SEARCH("+1 Wound", K7),0) &gt; 0 ,VLOOKUP("+1 Wound", vote4SURGE!A:C , 3, False)- 2,
IFERROR(SEARCH("+2 Wounds", K7),0) &gt; 0 ,VLOOKUP("+2 Wounds", vote4SURGE!A:C , 3, False)- 2,
IFERROR(SEARCH("+3 Wounds", K7),0) &gt; 0,VLOOKUP("+3 Wounds", vote4SURGE!A:C , 3, False)- 2,
IFERROR(SEARCH("+4 Wounds", K7),0) &gt; 0 ,VLOOKUP("+4 Wounds", vote4SURGE!A:C , 3, False)- 2,
IFERROR(SEARCH("+4 Wounds", K7),0) &gt; 0 ,VLOOKUP("+5 Wounds", vote4SURGE!A:C , 3, False)- 2,
0=0,0)
,
IFS(
IFERROR(SEARCH("+1 Range", K7),0) &gt; 0 ,VLOOKUP("+1 Range", vote4SURGE!A:C , 3, FALSE) - 2,
IFERROR(SEARCH("+2 Range", K7),0) &gt; 0 ,VLOOKUP("+2 Range", vote4SURGE!A:C , 3, FALSE) - 2,
IFERROR(SEARCH("+3 Range", K7),0) &gt; 0,VLOOKUP("+3 Range", vote4SURGE!A:C , 3, FALSE) - 2,
0=0,0)
)</f>
        <v>0</v>
      </c>
      <c r="M7" s="318">
        <f t="shared" si="1"/>
        <v>10</v>
      </c>
      <c r="N7" s="322"/>
      <c r="O7" s="322"/>
      <c r="P7" s="322"/>
      <c r="Q7" s="322"/>
      <c r="R7" s="322"/>
      <c r="S7" s="322"/>
      <c r="T7" s="322"/>
    </row>
    <row r="8">
      <c r="A8" s="105" t="s">
        <v>1689</v>
      </c>
      <c r="B8" s="93" t="s">
        <v>741</v>
      </c>
      <c r="C8" s="93"/>
      <c r="D8" s="315" t="str">
        <f>IFERROR(__xludf.DUMMYFUNCTION(" IF(ISBLANK(C8),,
SWITCH(
LEN(C8) - LEN(SUBSTITUTE(C8,"","","""")),
0 , VLOOKUP(C8, Variables!$A:$B, 2, FALSE),
1 , VLOOKUP(index(split(C8 ,"", "", FALSE),1,1), Variables!$A:$B , 2, FALSE) + VLOOKUP(index(split(C8 ,"", "", FALSE),1,2), Variables!$A:$B , 2"&amp;", FALSE),
2 , VLOOKUP(index(split(C8 ,"", "", FALSE),1,1), Variables!$A:$B , 2, FALSE) + VLOOKUP(index(split(C8 ,"", "", FALSE),1,2), Variables!$A:$B , 2, FALSE) + VLOOKUP(index(split(C8 ,"", "", FALSE),1,3), Variables!$A:$B , 2, FALSE),
3 , VLOOKUP(index"&amp;"(split(C8 ,"", "", FALSE),1,1), Variables!$A:$B , 2, FALSE) + VLOOKUP(index(split(C8 ,"", "", FALSE),1,2), Variables!$A:$B , 2, FALSE) + VLOOKUP(index(split(C8 ,"", "", FALSE),1,3), Variables!$A:$B , 2, FALSE) + VLOOKUP(index(split(C8 ,"", "", FALSE),1,4)"&amp;", Variables!$A:$B , 2, FALSE),
)
)"),"")</f>
        <v/>
      </c>
      <c r="E8" s="93" t="s">
        <v>742</v>
      </c>
      <c r="F8" s="318">
        <f>IF(E8 = "",,IFERROR(VLOOKUP(B8,vote4ITEMS!$A:$C, 3, FALSE),))</f>
        <v>1.333333333</v>
      </c>
      <c r="G8" s="353"/>
      <c r="H8" s="318" t="str">
        <f>IFERROR(__xludf.DUMMYFUNCTION("IF(ISBLANK(G8),,
IFERROR(
SWITCH(
LEN(G8) - LEN(SUBSTITUTE(G8,"","","""")),
0 , VLOOKUP(G8, vote4TRAITS!$A:$C , 3, FALSE),
1 , VLOOKUP(index(split(G8 ,"", "", FALSE),1,1), vote4TRAITS!$A:$C , 3, FALSE) + VLOOKUP(index(split(G8 ,"", "", FALSE),1,2), vote4T"&amp;"RAITS!$A:$C , 3, FALSE),
2 , VLOOKUP(index(split(G8 ,"", "", FALSE),1,1), vote4TRAITS!$A:$C , 3, FALSE) + VLOOKUP(index(split(G8 ,"", "", FALSE),1,2), vote4TRAITS!$A:$C , 3, FALSE) + VLOOKUP(index(split(G8 ,"", "", FALSE),1,3), vote4TRAITS!$A:$C , 3, FALS"&amp;"E),
3 , VLOOKUP(index(split(G8 ,"", "", FALSE),1,1), vote4TRAITS!$A:$C , 3, FALSE) + VLOOKUP(index(split(G8 ,"", "", FALSE),1,2), vote4TRAITS!$A:$C , 3, FALSE) + VLOOKUP(index(split(G8 ,"", "", FALSE),1,3), vote4TRAITS!$A:$C , 3, FALSE) + VLOOKUP(index(sp"&amp;"lit(L20 ,"", "", FALSE),1,4), vote4TRAITS!$A:$C , 3, FALSE)
),
VLOOKUP(B8, vote4TRAITS!$A:$C , 3, FALSE))
)"),"")</f>
        <v/>
      </c>
      <c r="I8" s="351"/>
      <c r="J8" s="318">
        <f>SUM(
IF(IFERROR(SEARCH("Black Venom",I8),0) &gt; 0 , VLOOKUP("Black Venom", vote4SURGE!A:C , 3, FALSE), 0 ),
IF(IFERROR(SEARCH("Bleed",I8),0) &gt; 0 , VLOOKUP("Bleed", vote4SURGE!A:C , 3, FALSE), 0 ),
IF(IFERROR(SEARCH("Blast",I8),0) &gt; 0 , VLOOKUP("Blast", vote4SURGE!A:C , 3, FALSE), 0 ),
IF(IFERROR(SEARCH("Burn",I8),0) &gt; 0 , VLOOKUP("Burn", vote4SURGE!A:C , 3, FALSE), 0 ),
IF(IFERROR(SEARCH("Charge",I8),0) &gt; 0 , VLOOKUP("Charge", vote4SURGE!A:C , 3, FALSE), 0 ),
IF(IFERROR(SEARCH("Colonize",I8),0) &gt; 0 , VLOOKUP("Colonize", vote4SURGE!A:C , 3, FALSE), 0 ),
IF(IFERROR(SEARCH("Curse",I8),0) &gt; 0 , VLOOKUP("Curse", vote4SURGE!A:C , 3, FALSE), 0 ),
IF(IFERROR(SEARCH("Disease",I8),0) &gt; 0 , VLOOKUP("Disease", vote4SURGE!A:C , 3, FALSE), 0 ),
IF(IFERROR(SEARCH("Doom",I8),0) &gt; 0 , VLOOKUP("Doom", vote4SURGE!A:C , 3, FALSE), 0 ),
IF(IFERROR(SEARCH("Feast",I8),0) &gt; 0 , VLOOKUP("Feast", vote4SURGE!A:C , 3, FALSE), 0 ),
IF(IFERROR(SEARCH("Fire Breath",I8),0) &gt; 0 , VLOOKUP("Fire Breath", vote4SURGE!A:C , 3, FALSE), 0 ),
IF(IFERROR(SEARCH("Hunt",I8),0) &gt; 0 , VLOOKUP("Hunt", vote4SURGE!A:C , 3, FALSE), 0 ),
IF(IFERROR(SEARCH("Immobilize",I8),0) &gt; 0 , VLOOKUP("Immobilize", vote4SURGE!A:C , 3, FALSE), 0 ),
IF(IFERROR(SEARCH("Knockback",I8),0) &gt; 0 , VLOOKUP("Knockback", vote4SURGE!A:C , 3, FALSE), 0 ),
IF(IFERROR(SEARCH("Lash",I8),0) &gt; 0 , VLOOKUP("Lash", vote4SURGE!A:C , 3, FALSE), 0 ),
IF(IFERROR(SEARCH("Mend 2",I8),0) &gt; 0 , VLOOKUP("Mend 2", vote4SURGE!A:C , 3, FALSE), 0 ),
IF(IFERROR(SEARCH("Mortal Binding",I8),0) &gt; 0 , VLOOKUP("Mortal Binding", vote4SURGE!A:C , 3, FALSE), 0 ),
IF(IFERROR(SEARCH("Poison",I8),0) &gt; 0 , VLOOKUP("Poison", vote4SURGE!A:C , 3, FALSE), 0 ),
IF(IFERROR(SEARCH("Stun",I8),0) &gt; 0 , VLOOKUP("Stun", vote4SURGE!A:C , 3, FALSE), 0 ),
IF(IFERROR(SEARCH("Swarm",I8),0) &gt; 0 , VLOOKUP("Swarm", vote4SURGE!A:C , 3, FALSE), 0 ),
IF(IFERROR(SEARCH("Terrify",I8),0) &gt; 0 , VLOOKUP("Terrify", vote4SURGE!A:C , 3, FALSE), 0 ),
IF(IFERROR(SEARCH("Weaken",I8),0) &gt; 0 , VLOOKUP("Weaken", vote4SURGE!A:C , 3, FALSE), 0 ),
IF(IFERROR(SEARCH("Wither",I8),0) &gt; 0 , VLOOKUP("Wither", vote4SURGE!A:C , 3, FALSE), 0 ),
IFS(
IFERROR(SEARCH("Sorcery 1", I8),0) &gt; 0 ,VLOOKUP("Sorcery 1", vote4SURGE!A:C , 3, FALSE),
IFERROR(SEARCH("Sorcery 2", I8),0) &gt; 0 ,VLOOKUP("Sorcery 2", vote4SURGE!A:C , 3, FALSE),
IFERROR(SEARCH("Sorcery 3", I8),0) &gt; 0,VLOOKUP("Sorcery 3", vote4SURGE!A:C , 3, FALSE),
0=0,0)
,
IFS(
IFERROR(SEARCH("Pierce 1", I8),0) &gt; 0 ,VLOOKUP("Pierce 1", vote4SURGE!A:C , 3, FALSE),
IFERROR(SEARCH("Pierce 2", I8),0) &gt; 0 ,VLOOKUP("Pierce 2", vote4SURGE!A:C , 3, FALSE),
IFERROR(SEARCH("Pierce 3", I8),0) &gt; 0,VLOOKUP("Pierce 3", vote4SURGE!A:C , 3, FALSE),
IFERROR(SEARCH("Pierce 4", I8),0) &gt; 0 ,VLOOKUP("Pierce 4", vote4SURGE!A:C , 3, FALSE),
IFERROR(SEARCH("Pierce 5", I8),0) &gt; 0 ,VLOOKUP("Pierce 5", vote4SURGE!A:C , 3, FALSE),
0=0,0)
,
IFS(
IFERROR(SEARCH("+1 Range, +1 Wound", I8),0) &gt; 0 ,VLOOKUP("+1 Range, +1 Wound", vote4SURGE!A:C , 3, False),
IFERROR(SEARCH("+2 Range, +1 Wound", I8),0) &gt; 0 ,VLOOKUP("+2 Range, +1 Wound", vote4SURGE!A:C , 3, False),
IFERROR(SEARCH("+1 Wound, +1 Wound", I8),0) &gt; 0 ,VLOOKUP("+1 Wound, +1 Wound", vote4SURGE!A:C , 3, False),
IFERROR(SEARCH("+2 Wounds, +2 Wounds", I8),0) &gt; 0 ,VLOOKUP("+2 Wounds, +2 Wounds", vote4SURGE!A:C , 3, False),
IFERROR(SEARCH("+1 Wound", I8),0) &gt; 0 ,VLOOKUP("+1 Wound", vote4SURGE!A:C , 3, False),
IFERROR(SEARCH("+2 Wounds", I8),0) &gt; 0 ,VLOOKUP("+2 Wounds", vote4SURGE!A:C , 3, False),
IFERROR(SEARCH("+3 Wounds", I8),0) &gt; 0,VLOOKUP("+3 Wounds", vote4SURGE!A:C , 3, False),
IFERROR(SEARCH("+4 Wounds", I8),0) &gt; 0 ,VLOOKUP("+4 Wounds", vote4SURGE!A:C , 3, False),
0=0,0)
,
IFS(
IFERROR(SEARCH("+1 Range", I8),0) &gt; 0 ,VLOOKUP("+1 Range", vote4SURGE!A:C , 3, FALSE),
IFERROR(SEARCH("+2 Range", I8),0) &gt; 0 ,VLOOKUP("+2 Range", vote4SURGE!A:C , 3, FALSE),
IFERROR(SEARCH("+3 Range", I8),0) &gt; 0,VLOOKUP("+3 Range", vote4SURGE!A:C , 3, FALSE),
IFERROR(SEARCH("+4 Range", I8),0) &gt; 0,VLOOKUP("+4 Range", vote4SURGE!A:C , 3, FALSE),
0=0,0),
IFS(
IFERROR(SEARCH("Recover 1 Heart", I8),0) &gt; 0 ,VLOOKUP("Recover 1 Heart", vote4SURGE!A:C , 3, FALSE),
IFERROR(SEARCH("Recover 2 Heart", I8),0) &gt; 0 ,VLOOKUP("Recover 2 Heart", vote4SURGE!A:C , 3, FALSE),
0=0,0),
IFS(
IFERROR(SEARCH("Recover 1 Fatigue", I8),0) &gt; 0,VLOOKUP("Recover 1 Fatigue", vote4SURGE!A:C , 3, FALSE),
IFERROR(SEARCH("Recover 2 Fatigue", I8),0) &gt; 0,VLOOKUP("Recover 2 Fatigue", vote4SURGE!A:C , 3, FALSE),
0=0,0),
IFERROR(VLOOKUP(B8, vote4SURGE!A:C , 3, FALSE),)
)</f>
        <v>0</v>
      </c>
      <c r="K8" s="352"/>
      <c r="L8" s="318">
        <f>SUM(
IF(IFERROR(SEARCH("Black Venom",K8),0) &gt; 0 , VLOOKUP("Black Venom", vote4SURGE!A:C , 3, FALSE) - 2, 0 ),
IF(IFERROR(SEARCH("Bleed",K8),0) &gt; 0 , VLOOKUP("Bleed", vote4SURGE!A:C , 3, FALSE) - 2, 0 ),
IF(IFERROR(SEARCH("Blast",K8),0) &gt; 0 , VLOOKUP("Blast", vote4SURGE!A:C , 3, FALSE) - 2, 0 ),
IF(IFERROR(SEARCH("Burn",K8),0) &gt; 0 , VLOOKUP("Burn", vote4SURGE!A:C , 3, FALSE) - 2, 0 ),
IF(IFERROR(SEARCH("Charge",K8),0) &gt; 0 , VLOOKUP("Charge", vote4SURGE!A:C , 3, FALSE) - 2, 0 ),
IF(IFERROR(SEARCH("Colonize",K8),0) &gt; 0 , VLOOKUP("Colonize", vote4SURGE!A:C , 3, FALSE) - 2, 0 ),
IF(IFERROR(SEARCH("Curse",K8),0) &gt; 0 , VLOOKUP("Curse", vote4SURGE!A:C , 3, FALSE) - 2, 0 ),
IF(IFERROR(SEARCH("Disease",K8),0) &gt; 0 , VLOOKUP("Disease", vote4SURGE!A:C , 3, FALSE) - 2, 0 ),
IF(IFERROR(SEARCH("Doom",K8),0) &gt; 0 , VLOOKUP("Doom", vote4SURGE!A:C , 3, FALSE) - 2, 0 ),
IF(IFERROR(SEARCH("Feast",K8),0) &gt; 0 , VLOOKUP("Feast", vote4SURGE!A:C , 3, FALSE) - 2, 0 ),
IF(IFERROR(SEARCH("Fire Breath",K8),0) &gt; 0 , VLOOKUP("Fire Breath", vote4SURGE!A:C , 3, FALSE) - 2, 0 ),
IF(IFERROR(SEARCH("Hunt",K8),0) &gt; 0 , VLOOKUP("Hunt", vote4SURGE!A:C , 3, FALSE) - 2, 0 ),
IF(IFERROR(SEARCH("Immobilize",K8),0) &gt; 0 , VLOOKUP("Immobilize", vote4SURGE!A:C , 3, FALSE) - 2, 0 ),
IF(IFERROR(SEARCH("Knockback",K8),0) &gt; 0 , VLOOKUP("Knockback", vote4SURGE!A:C , 3, FALSE) - 2, 0 ),
IF(IFERROR(SEARCH("Lash",K8),0) &gt; 0 , VLOOKUP("Lash", vote4SURGE!A:C , 3, FALSE) - 2, 0 ),
IF(IFERROR(SEARCH("Mend 2",K8),0) &gt; 0 , VLOOKUP("Mend 2", vote4SURGE!A:C , 3, FALSE) - 2, 0 ),
IF(IFERROR(SEARCH("Mortal Binding",K8),0) &gt; 0 , VLOOKUP("Mortal Binding", vote4SURGE!A:C , 3, FALSE) - 2, 0 ),
IF(IFERROR(SEARCH("Poison",K8),0) &gt; 0 , VLOOKUP("Poison", vote4SURGE!A:C , 3, FALSE) - 2, 0 ),
IF(IFERROR(SEARCH("Stun",K8),0) &gt; 0 , VLOOKUP("Stun", vote4SURGE!A:C , 3, FALSE) - 2, 0 ),
IF(IFERROR(SEARCH("Swarm",K8),0) &gt; 0 , VLOOKUP("Swarm", vote4SURGE!A:C , 3, FALSE) - 2, 0 ),
IF(IFERROR(SEARCH("Terrify",K8),0) &gt; 0 , VLOOKUP("Terrify", vote4SURGE!A:C , 3, FALSE) - 2, 0 ),
IF(IFERROR(SEARCH("Weaken",K8),0) &gt; 0 , VLOOKUP("Weaken", vote4SURGE!A:C , 3, FALSE) - 2, 0 ),
IF(IFERROR(SEARCH("Wither",K8),0) &gt; 0 , VLOOKUP("Wither", vote4SURGE!A:C , 3, FALSE) - 2, 0 ),
IFS(
IFERROR(SEARCH("Sorcery 1", K8),0) &gt; 0 ,VLOOKUP("Sorcery 1", vote4SURGE!A:C , 3, FALSE) - 2,
IFERROR(SEARCH("Sorcery 2", K8),0) &gt; 0 ,VLOOKUP("Sorcery 2", vote4SURGE!A:C , 3, FALSE) - 2,
IFERROR(SEARCH("Sorcery 3", K8),0) &gt; 0,VLOOKUP("Sorcery 3", vote4SURGE!A:C , 3, FALSE) - 2,
0=0,0)
,
IFS(
IFERROR(SEARCH("Pierce 1", K8),0) &gt; 0 ,VLOOKUP("Pierce 1", vote4SURGE!A:C , 3, FALSE) - 2,
IFERROR(SEARCH("Pierce 2", K8),0) &gt; 0 ,VLOOKUP("Pierce 2", vote4SURGE!A:C , 3, FALSE) - 2,
IFERROR(SEARCH("Pierce 3", K8),0) &gt; 0,VLOOKUP("Pierce 3", vote4SURGE!A:C , 3, FALSE) - 2,
IFERROR(SEARCH("Pierce 4", K8),0) &gt; 0 ,VLOOKUP("Pierce 4", vote4SURGE!A:C , 3, FALSE) - 2,
0=0,0)
,
IFS(
IFERROR(SEARCH("+1 Wound, +1 Wound", K8),0) &gt; 0 ,VLOOKUP("+1 Wound, +1 Wound", vote4SURGE!A:C , 3, False) - 2,
IFERROR(SEARCH("+2 Wounds, +2 Wounds", K8),0) &gt; 0 ,VLOOKUP("+2 Wounds, +2 Wounds", vote4SURGE!A:C , 3, False)- 2,
IFERROR(SEARCH("+1 Wound", K8),0) &gt; 0 ,VLOOKUP("+1 Wound", vote4SURGE!A:C , 3, False)- 2,
IFERROR(SEARCH("+2 Wounds", K8),0) &gt; 0 ,VLOOKUP("+2 Wounds", vote4SURGE!A:C , 3, False)- 2,
IFERROR(SEARCH("+3 Wounds", K8),0) &gt; 0,VLOOKUP("+3 Wounds", vote4SURGE!A:C , 3, False)- 2,
IFERROR(SEARCH("+4 Wounds", K8),0) &gt; 0 ,VLOOKUP("+4 Wounds", vote4SURGE!A:C , 3, False)- 2,
IFERROR(SEARCH("+4 Wounds", K8),0) &gt; 0 ,VLOOKUP("+5 Wounds", vote4SURGE!A:C , 3, False)- 2,
0=0,0)
,
IFS(
IFERROR(SEARCH("+1 Range", K8),0) &gt; 0 ,VLOOKUP("+1 Range", vote4SURGE!A:C , 3, FALSE) - 2,
IFERROR(SEARCH("+2 Range", K8),0) &gt; 0 ,VLOOKUP("+2 Range", vote4SURGE!A:C , 3, FALSE) - 2,
IFERROR(SEARCH("+3 Range", K8),0) &gt; 0,VLOOKUP("+3 Range", vote4SURGE!A:C , 3, FALSE) - 2,
0=0,0)
)</f>
        <v>0</v>
      </c>
      <c r="M8" s="318">
        <f t="shared" si="1"/>
        <v>1.333333333</v>
      </c>
      <c r="N8" s="322"/>
      <c r="O8" s="322"/>
      <c r="P8" s="322"/>
      <c r="Q8" s="322"/>
      <c r="R8" s="322"/>
      <c r="S8" s="322"/>
      <c r="T8" s="322"/>
    </row>
    <row r="9">
      <c r="A9" s="105" t="s">
        <v>1689</v>
      </c>
      <c r="B9" s="93" t="s">
        <v>755</v>
      </c>
      <c r="C9" s="93"/>
      <c r="D9" s="315" t="str">
        <f>IFERROR(__xludf.DUMMYFUNCTION(" IF(ISBLANK(C9),,
SWITCH(
LEN(C9) - LEN(SUBSTITUTE(C9,"","","""")),
0 , VLOOKUP(C9, Variables!$A:$B, 2, FALSE),
1 , VLOOKUP(index(split(C9 ,"", "", FALSE),1,1), Variables!$A:$B , 2, FALSE) + VLOOKUP(index(split(C9 ,"", "", FALSE),1,2), Variables!$A:$B , 2"&amp;", FALSE),
2 , VLOOKUP(index(split(C9 ,"", "", FALSE),1,1), Variables!$A:$B , 2, FALSE) + VLOOKUP(index(split(C9 ,"", "", FALSE),1,2), Variables!$A:$B , 2, FALSE) + VLOOKUP(index(split(C9 ,"", "", FALSE),1,3), Variables!$A:$B , 2, FALSE),
3 , VLOOKUP(index"&amp;"(split(C9 ,"", "", FALSE),1,1), Variables!$A:$B , 2, FALSE) + VLOOKUP(index(split(C9 ,"", "", FALSE),1,2), Variables!$A:$B , 2, FALSE) + VLOOKUP(index(split(C9 ,"", "", FALSE),1,3), Variables!$A:$B , 2, FALSE) + VLOOKUP(index(split(C9 ,"", "", FALSE),1,4)"&amp;", Variables!$A:$B , 2, FALSE),
)
)"),"")</f>
        <v/>
      </c>
      <c r="E9" s="93" t="s">
        <v>756</v>
      </c>
      <c r="F9" s="318">
        <f>IF(E9 = "",,IFERROR(VLOOKUP(B9,vote4ITEMS!$A:$C, 3, FALSE),))</f>
        <v>4</v>
      </c>
      <c r="G9" s="353"/>
      <c r="H9" s="318" t="str">
        <f>IFERROR(__xludf.DUMMYFUNCTION("IF(ISBLANK(G9),,
IFERROR(
SWITCH(
LEN(G9) - LEN(SUBSTITUTE(G9,"","","""")),
0 , VLOOKUP(G9, vote4TRAITS!$A:$C , 3, FALSE),
1 , VLOOKUP(index(split(G9 ,"", "", FALSE),1,1), vote4TRAITS!$A:$C , 3, FALSE) + VLOOKUP(index(split(G9 ,"", "", FALSE),1,2), vote4T"&amp;"RAITS!$A:$C , 3, FALSE),
2 , VLOOKUP(index(split(G9 ,"", "", FALSE),1,1), vote4TRAITS!$A:$C , 3, FALSE) + VLOOKUP(index(split(G9 ,"", "", FALSE),1,2), vote4TRAITS!$A:$C , 3, FALSE) + VLOOKUP(index(split(G9 ,"", "", FALSE),1,3), vote4TRAITS!$A:$C , 3, FALS"&amp;"E),
3 , VLOOKUP(index(split(G9 ,"", "", FALSE),1,1), vote4TRAITS!$A:$C , 3, FALSE) + VLOOKUP(index(split(G9 ,"", "", FALSE),1,2), vote4TRAITS!$A:$C , 3, FALSE) + VLOOKUP(index(split(G9 ,"", "", FALSE),1,3), vote4TRAITS!$A:$C , 3, FALSE) + VLOOKUP(index(sp"&amp;"lit(L21 ,"", "", FALSE),1,4), vote4TRAITS!$A:$C , 3, FALSE)
),
VLOOKUP(B9, vote4TRAITS!$A:$C , 3, FALSE))
)"),"")</f>
        <v/>
      </c>
      <c r="I9" s="351"/>
      <c r="J9" s="318">
        <f>SUM(
IF(IFERROR(SEARCH("Black Venom",I9),0) &gt; 0 , VLOOKUP("Black Venom", vote4SURGE!A:C , 3, FALSE), 0 ),
IF(IFERROR(SEARCH("Bleed",I9),0) &gt; 0 , VLOOKUP("Bleed", vote4SURGE!A:C , 3, FALSE), 0 ),
IF(IFERROR(SEARCH("Blast",I9),0) &gt; 0 , VLOOKUP("Blast", vote4SURGE!A:C , 3, FALSE), 0 ),
IF(IFERROR(SEARCH("Burn",I9),0) &gt; 0 , VLOOKUP("Burn", vote4SURGE!A:C , 3, FALSE), 0 ),
IF(IFERROR(SEARCH("Charge",I9),0) &gt; 0 , VLOOKUP("Charge", vote4SURGE!A:C , 3, FALSE), 0 ),
IF(IFERROR(SEARCH("Colonize",I9),0) &gt; 0 , VLOOKUP("Colonize", vote4SURGE!A:C , 3, FALSE), 0 ),
IF(IFERROR(SEARCH("Curse",I9),0) &gt; 0 , VLOOKUP("Curse", vote4SURGE!A:C , 3, FALSE), 0 ),
IF(IFERROR(SEARCH("Disease",I9),0) &gt; 0 , VLOOKUP("Disease", vote4SURGE!A:C , 3, FALSE), 0 ),
IF(IFERROR(SEARCH("Doom",I9),0) &gt; 0 , VLOOKUP("Doom", vote4SURGE!A:C , 3, FALSE), 0 ),
IF(IFERROR(SEARCH("Feast",I9),0) &gt; 0 , VLOOKUP("Feast", vote4SURGE!A:C , 3, FALSE), 0 ),
IF(IFERROR(SEARCH("Fire Breath",I9),0) &gt; 0 , VLOOKUP("Fire Breath", vote4SURGE!A:C , 3, FALSE), 0 ),
IF(IFERROR(SEARCH("Hunt",I9),0) &gt; 0 , VLOOKUP("Hunt", vote4SURGE!A:C , 3, FALSE), 0 ),
IF(IFERROR(SEARCH("Immobilize",I9),0) &gt; 0 , VLOOKUP("Immobilize", vote4SURGE!A:C , 3, FALSE), 0 ),
IF(IFERROR(SEARCH("Knockback",I9),0) &gt; 0 , VLOOKUP("Knockback", vote4SURGE!A:C , 3, FALSE), 0 ),
IF(IFERROR(SEARCH("Lash",I9),0) &gt; 0 , VLOOKUP("Lash", vote4SURGE!A:C , 3, FALSE), 0 ),
IF(IFERROR(SEARCH("Mend 2",I9),0) &gt; 0 , VLOOKUP("Mend 2", vote4SURGE!A:C , 3, FALSE), 0 ),
IF(IFERROR(SEARCH("Mortal Binding",I9),0) &gt; 0 , VLOOKUP("Mortal Binding", vote4SURGE!A:C , 3, FALSE), 0 ),
IF(IFERROR(SEARCH("Poison",I9),0) &gt; 0 , VLOOKUP("Poison", vote4SURGE!A:C , 3, FALSE), 0 ),
IF(IFERROR(SEARCH("Stun",I9),0) &gt; 0 , VLOOKUP("Stun", vote4SURGE!A:C , 3, FALSE), 0 ),
IF(IFERROR(SEARCH("Swarm",I9),0) &gt; 0 , VLOOKUP("Swarm", vote4SURGE!A:C , 3, FALSE), 0 ),
IF(IFERROR(SEARCH("Terrify",I9),0) &gt; 0 , VLOOKUP("Terrify", vote4SURGE!A:C , 3, FALSE), 0 ),
IF(IFERROR(SEARCH("Weaken",I9),0) &gt; 0 , VLOOKUP("Weaken", vote4SURGE!A:C , 3, FALSE), 0 ),
IF(IFERROR(SEARCH("Wither",I9),0) &gt; 0 , VLOOKUP("Wither", vote4SURGE!A:C , 3, FALSE), 0 ),
IFS(
IFERROR(SEARCH("Sorcery 1", I9),0) &gt; 0 ,VLOOKUP("Sorcery 1", vote4SURGE!A:C , 3, FALSE),
IFERROR(SEARCH("Sorcery 2", I9),0) &gt; 0 ,VLOOKUP("Sorcery 2", vote4SURGE!A:C , 3, FALSE),
IFERROR(SEARCH("Sorcery 3", I9),0) &gt; 0,VLOOKUP("Sorcery 3", vote4SURGE!A:C , 3, FALSE),
0=0,0)
,
IFS(
IFERROR(SEARCH("Pierce 1", I9),0) &gt; 0 ,VLOOKUP("Pierce 1", vote4SURGE!A:C , 3, FALSE),
IFERROR(SEARCH("Pierce 2", I9),0) &gt; 0 ,VLOOKUP("Pierce 2", vote4SURGE!A:C , 3, FALSE),
IFERROR(SEARCH("Pierce 3", I9),0) &gt; 0,VLOOKUP("Pierce 3", vote4SURGE!A:C , 3, FALSE),
IFERROR(SEARCH("Pierce 4", I9),0) &gt; 0 ,VLOOKUP("Pierce 4", vote4SURGE!A:C , 3, FALSE),
IFERROR(SEARCH("Pierce 5", I9),0) &gt; 0 ,VLOOKUP("Pierce 5", vote4SURGE!A:C , 3, FALSE),
0=0,0)
,
IFS(
IFERROR(SEARCH("+1 Range, +1 Wound", I9),0) &gt; 0 ,VLOOKUP("+1 Range, +1 Wound", vote4SURGE!A:C , 3, False),
IFERROR(SEARCH("+2 Range, +1 Wound", I9),0) &gt; 0 ,VLOOKUP("+2 Range, +1 Wound", vote4SURGE!A:C , 3, False),
IFERROR(SEARCH("+1 Wound, +1 Wound", I9),0) &gt; 0 ,VLOOKUP("+1 Wound, +1 Wound", vote4SURGE!A:C , 3, False),
IFERROR(SEARCH("+2 Wounds, +2 Wounds", I9),0) &gt; 0 ,VLOOKUP("+2 Wounds, +2 Wounds", vote4SURGE!A:C , 3, False),
IFERROR(SEARCH("+1 Wound", I9),0) &gt; 0 ,VLOOKUP("+1 Wound", vote4SURGE!A:C , 3, False),
IFERROR(SEARCH("+2 Wounds", I9),0) &gt; 0 ,VLOOKUP("+2 Wounds", vote4SURGE!A:C , 3, False),
IFERROR(SEARCH("+3 Wounds", I9),0) &gt; 0,VLOOKUP("+3 Wounds", vote4SURGE!A:C , 3, False),
IFERROR(SEARCH("+4 Wounds", I9),0) &gt; 0 ,VLOOKUP("+4 Wounds", vote4SURGE!A:C , 3, False),
0=0,0)
,
IFS(
IFERROR(SEARCH("+1 Range", I9),0) &gt; 0 ,VLOOKUP("+1 Range", vote4SURGE!A:C , 3, FALSE),
IFERROR(SEARCH("+2 Range", I9),0) &gt; 0 ,VLOOKUP("+2 Range", vote4SURGE!A:C , 3, FALSE),
IFERROR(SEARCH("+3 Range", I9),0) &gt; 0,VLOOKUP("+3 Range", vote4SURGE!A:C , 3, FALSE),
IFERROR(SEARCH("+4 Range", I9),0) &gt; 0,VLOOKUP("+4 Range", vote4SURGE!A:C , 3, FALSE),
0=0,0),
IFS(
IFERROR(SEARCH("Recover 1 Heart", I9),0) &gt; 0 ,VLOOKUP("Recover 1 Heart", vote4SURGE!A:C , 3, FALSE),
IFERROR(SEARCH("Recover 2 Heart", I9),0) &gt; 0 ,VLOOKUP("Recover 2 Heart", vote4SURGE!A:C , 3, FALSE),
0=0,0),
IFS(
IFERROR(SEARCH("Recover 1 Fatigue", I9),0) &gt; 0,VLOOKUP("Recover 1 Fatigue", vote4SURGE!A:C , 3, FALSE),
IFERROR(SEARCH("Recover 2 Fatigue", I9),0) &gt; 0,VLOOKUP("Recover 2 Fatigue", vote4SURGE!A:C , 3, FALSE),
0=0,0),
IFERROR(VLOOKUP(B9, vote4SURGE!A:C , 3, FALSE),)
)</f>
        <v>0</v>
      </c>
      <c r="K9" s="352"/>
      <c r="L9" s="318">
        <f>SUM(
IF(IFERROR(SEARCH("Black Venom",K9),0) &gt; 0 , VLOOKUP("Black Venom", vote4SURGE!A:C , 3, FALSE) - 2, 0 ),
IF(IFERROR(SEARCH("Bleed",K9),0) &gt; 0 , VLOOKUP("Bleed", vote4SURGE!A:C , 3, FALSE) - 2, 0 ),
IF(IFERROR(SEARCH("Blast",K9),0) &gt; 0 , VLOOKUP("Blast", vote4SURGE!A:C , 3, FALSE) - 2, 0 ),
IF(IFERROR(SEARCH("Burn",K9),0) &gt; 0 , VLOOKUP("Burn", vote4SURGE!A:C , 3, FALSE) - 2, 0 ),
IF(IFERROR(SEARCH("Charge",K9),0) &gt; 0 , VLOOKUP("Charge", vote4SURGE!A:C , 3, FALSE) - 2, 0 ),
IF(IFERROR(SEARCH("Colonize",K9),0) &gt; 0 , VLOOKUP("Colonize", vote4SURGE!A:C , 3, FALSE) - 2, 0 ),
IF(IFERROR(SEARCH("Curse",K9),0) &gt; 0 , VLOOKUP("Curse", vote4SURGE!A:C , 3, FALSE) - 2, 0 ),
IF(IFERROR(SEARCH("Disease",K9),0) &gt; 0 , VLOOKUP("Disease", vote4SURGE!A:C , 3, FALSE) - 2, 0 ),
IF(IFERROR(SEARCH("Doom",K9),0) &gt; 0 , VLOOKUP("Doom", vote4SURGE!A:C , 3, FALSE) - 2, 0 ),
IF(IFERROR(SEARCH("Feast",K9),0) &gt; 0 , VLOOKUP("Feast", vote4SURGE!A:C , 3, FALSE) - 2, 0 ),
IF(IFERROR(SEARCH("Fire Breath",K9),0) &gt; 0 , VLOOKUP("Fire Breath", vote4SURGE!A:C , 3, FALSE) - 2, 0 ),
IF(IFERROR(SEARCH("Hunt",K9),0) &gt; 0 , VLOOKUP("Hunt", vote4SURGE!A:C , 3, FALSE) - 2, 0 ),
IF(IFERROR(SEARCH("Immobilize",K9),0) &gt; 0 , VLOOKUP("Immobilize", vote4SURGE!A:C , 3, FALSE) - 2, 0 ),
IF(IFERROR(SEARCH("Knockback",K9),0) &gt; 0 , VLOOKUP("Knockback", vote4SURGE!A:C , 3, FALSE) - 2, 0 ),
IF(IFERROR(SEARCH("Lash",K9),0) &gt; 0 , VLOOKUP("Lash", vote4SURGE!A:C , 3, FALSE) - 2, 0 ),
IF(IFERROR(SEARCH("Mend 2",K9),0) &gt; 0 , VLOOKUP("Mend 2", vote4SURGE!A:C , 3, FALSE) - 2, 0 ),
IF(IFERROR(SEARCH("Mortal Binding",K9),0) &gt; 0 , VLOOKUP("Mortal Binding", vote4SURGE!A:C , 3, FALSE) - 2, 0 ),
IF(IFERROR(SEARCH("Poison",K9),0) &gt; 0 , VLOOKUP("Poison", vote4SURGE!A:C , 3, FALSE) - 2, 0 ),
IF(IFERROR(SEARCH("Stun",K9),0) &gt; 0 , VLOOKUP("Stun", vote4SURGE!A:C , 3, FALSE) - 2, 0 ),
IF(IFERROR(SEARCH("Swarm",K9),0) &gt; 0 , VLOOKUP("Swarm", vote4SURGE!A:C , 3, FALSE) - 2, 0 ),
IF(IFERROR(SEARCH("Terrify",K9),0) &gt; 0 , VLOOKUP("Terrify", vote4SURGE!A:C , 3, FALSE) - 2, 0 ),
IF(IFERROR(SEARCH("Weaken",K9),0) &gt; 0 , VLOOKUP("Weaken", vote4SURGE!A:C , 3, FALSE) - 2, 0 ),
IF(IFERROR(SEARCH("Wither",K9),0) &gt; 0 , VLOOKUP("Wither", vote4SURGE!A:C , 3, FALSE) - 2, 0 ),
IFS(
IFERROR(SEARCH("Sorcery 1", K9),0) &gt; 0 ,VLOOKUP("Sorcery 1", vote4SURGE!A:C , 3, FALSE) - 2,
IFERROR(SEARCH("Sorcery 2", K9),0) &gt; 0 ,VLOOKUP("Sorcery 2", vote4SURGE!A:C , 3, FALSE) - 2,
IFERROR(SEARCH("Sorcery 3", K9),0) &gt; 0,VLOOKUP("Sorcery 3", vote4SURGE!A:C , 3, FALSE) - 2,
0=0,0)
,
IFS(
IFERROR(SEARCH("Pierce 1", K9),0) &gt; 0 ,VLOOKUP("Pierce 1", vote4SURGE!A:C , 3, FALSE) - 2,
IFERROR(SEARCH("Pierce 2", K9),0) &gt; 0 ,VLOOKUP("Pierce 2", vote4SURGE!A:C , 3, FALSE) - 2,
IFERROR(SEARCH("Pierce 3", K9),0) &gt; 0,VLOOKUP("Pierce 3", vote4SURGE!A:C , 3, FALSE) - 2,
IFERROR(SEARCH("Pierce 4", K9),0) &gt; 0 ,VLOOKUP("Pierce 4", vote4SURGE!A:C , 3, FALSE) - 2,
0=0,0)
,
IFS(
IFERROR(SEARCH("+1 Wound, +1 Wound", K9),0) &gt; 0 ,VLOOKUP("+1 Wound, +1 Wound", vote4SURGE!A:C , 3, False) - 2,
IFERROR(SEARCH("+2 Wounds, +2 Wounds", K9),0) &gt; 0 ,VLOOKUP("+2 Wounds, +2 Wounds", vote4SURGE!A:C , 3, False)- 2,
IFERROR(SEARCH("+1 Wound", K9),0) &gt; 0 ,VLOOKUP("+1 Wound", vote4SURGE!A:C , 3, False)- 2,
IFERROR(SEARCH("+2 Wounds", K9),0) &gt; 0 ,VLOOKUP("+2 Wounds", vote4SURGE!A:C , 3, False)- 2,
IFERROR(SEARCH("+3 Wounds", K9),0) &gt; 0,VLOOKUP("+3 Wounds", vote4SURGE!A:C , 3, False)- 2,
IFERROR(SEARCH("+4 Wounds", K9),0) &gt; 0 ,VLOOKUP("+4 Wounds", vote4SURGE!A:C , 3, False)- 2,
IFERROR(SEARCH("+4 Wounds", K9),0) &gt; 0 ,VLOOKUP("+5 Wounds", vote4SURGE!A:C , 3, False)- 2,
0=0,0)
,
IFS(
IFERROR(SEARCH("+1 Range", K9),0) &gt; 0 ,VLOOKUP("+1 Range", vote4SURGE!A:C , 3, FALSE) - 2,
IFERROR(SEARCH("+2 Range", K9),0) &gt; 0 ,VLOOKUP("+2 Range", vote4SURGE!A:C , 3, FALSE) - 2,
IFERROR(SEARCH("+3 Range", K9),0) &gt; 0,VLOOKUP("+3 Range", vote4SURGE!A:C , 3, FALSE) - 2,
0=0,0)
)</f>
        <v>0</v>
      </c>
      <c r="M9" s="318">
        <f t="shared" si="1"/>
        <v>4</v>
      </c>
      <c r="N9" s="322"/>
      <c r="O9" s="322"/>
      <c r="P9" s="322"/>
      <c r="Q9" s="322"/>
      <c r="R9" s="322"/>
      <c r="S9" s="322"/>
      <c r="T9" s="322"/>
    </row>
    <row r="10">
      <c r="A10" s="105" t="s">
        <v>1689</v>
      </c>
      <c r="B10" s="93" t="s">
        <v>1224</v>
      </c>
      <c r="C10" s="93"/>
      <c r="D10" s="315" t="str">
        <f>IFERROR(__xludf.DUMMYFUNCTION(" IF(ISBLANK(C10),,
SWITCH(
LEN(C10) - LEN(SUBSTITUTE(C10,"","","""")),
0 , VLOOKUP(C10, Variables!$A:$B, 2, FALSE),
1 , VLOOKUP(index(split(C10 ,"", "", FALSE),1,1), Variables!$A:$B , 2, FALSE) + VLOOKUP(index(split(C10 ,"", "", FALSE),1,2), Variables!$A:"&amp;"$B , 2, FALSE),
2 , VLOOKUP(index(split(C10 ,"", "", FALSE),1,1), Variables!$A:$B , 2, FALSE) + VLOOKUP(index(split(C10 ,"", "", FALSE),1,2), Variables!$A:$B , 2, FALSE) + VLOOKUP(index(split(C10 ,"", "", FALSE),1,3), Variables!$A:$B , 2, FALSE),
3 , VLOO"&amp;"KUP(index(split(C10 ,"", "", FALSE),1,1), Variables!$A:$B , 2, FALSE) + VLOOKUP(index(split(C10 ,"", "", FALSE),1,2), Variables!$A:$B , 2, FALSE) + VLOOKUP(index(split(C10 ,"", "", FALSE),1,3), Variables!$A:$B , 2, FALSE) + VLOOKUP(index(split(C10 ,"", """&amp;", FALSE),1,4), Variables!$A:$B , 2, FALSE),
)
)"),"")</f>
        <v/>
      </c>
      <c r="E10" s="93"/>
      <c r="F10" s="318" t="str">
        <f>IF(E10 = "",,IFERROR(VLOOKUP(B10,vote4ITEMS!$A:$C, 3, FALSE),))</f>
        <v/>
      </c>
      <c r="G10" s="353"/>
      <c r="H10" s="318" t="str">
        <f>IFERROR(__xludf.DUMMYFUNCTION("IF(ISBLANK(G10),,
IFERROR(
SWITCH(
LEN(G10) - LEN(SUBSTITUTE(G10,"","","""")),
0 , VLOOKUP(G10, vote4TRAITS!$A:$C , 3, FALSE),
1 , VLOOKUP(index(split(G10 ,"", "", FALSE),1,1), vote4TRAITS!$A:$C , 3, FALSE) + VLOOKUP(index(split(G10 ,"", "", FALSE),1,2), "&amp;"vote4TRAITS!$A:$C , 3, FALSE),
2 , VLOOKUP(index(split(G10 ,"", "", FALSE),1,1), vote4TRAITS!$A:$C , 3, FALSE) + VLOOKUP(index(split(G10 ,"", "", FALSE),1,2), vote4TRAITS!$A:$C , 3, FALSE) + VLOOKUP(index(split(G10 ,"", "", FALSE),1,3), vote4TRAITS!$A:$C "&amp;", 3, FALSE),
3 , VLOOKUP(index(split(G10 ,"", "", FALSE),1,1), vote4TRAITS!$A:$C , 3, FALSE) + VLOOKUP(index(split(G10 ,"", "", FALSE),1,2), vote4TRAITS!$A:$C , 3, FALSE) + VLOOKUP(index(split(G10 ,"", "", FALSE),1,3), vote4TRAITS!$A:$C , 3, FALSE) + VLOO"&amp;"KUP(index(split(L22 ,"", "", FALSE),1,4), vote4TRAITS!$A:$C , 3, FALSE)
),
VLOOKUP(B10, vote4TRAITS!$A:$C , 3, FALSE))
)"),"")</f>
        <v/>
      </c>
      <c r="I10" s="351"/>
      <c r="J10" s="318">
        <f>SUM(
IF(IFERROR(SEARCH("Black Venom",I10),0) &gt; 0 , VLOOKUP("Black Venom", vote4SURGE!A:C , 3, FALSE), 0 ),
IF(IFERROR(SEARCH("Bleed",I10),0) &gt; 0 , VLOOKUP("Bleed", vote4SURGE!A:C , 3, FALSE), 0 ),
IF(IFERROR(SEARCH("Blast",I10),0) &gt; 0 , VLOOKUP("Blast", vote4SURGE!A:C , 3, FALSE), 0 ),
IF(IFERROR(SEARCH("Burn",I10),0) &gt; 0 , VLOOKUP("Burn", vote4SURGE!A:C , 3, FALSE), 0 ),
IF(IFERROR(SEARCH("Charge",I10),0) &gt; 0 , VLOOKUP("Charge", vote4SURGE!A:C , 3, FALSE), 0 ),
IF(IFERROR(SEARCH("Colonize",I10),0) &gt; 0 , VLOOKUP("Colonize", vote4SURGE!A:C , 3, FALSE), 0 ),
IF(IFERROR(SEARCH("Curse",I10),0) &gt; 0 , VLOOKUP("Curse", vote4SURGE!A:C , 3, FALSE), 0 ),
IF(IFERROR(SEARCH("Disease",I10),0) &gt; 0 , VLOOKUP("Disease", vote4SURGE!A:C , 3, FALSE), 0 ),
IF(IFERROR(SEARCH("Doom",I10),0) &gt; 0 , VLOOKUP("Doom", vote4SURGE!A:C , 3, FALSE), 0 ),
IF(IFERROR(SEARCH("Feast",I10),0) &gt; 0 , VLOOKUP("Feast", vote4SURGE!A:C , 3, FALSE), 0 ),
IF(IFERROR(SEARCH("Fire Breath",I10),0) &gt; 0 , VLOOKUP("Fire Breath", vote4SURGE!A:C , 3, FALSE), 0 ),
IF(IFERROR(SEARCH("Hunt",I10),0) &gt; 0 , VLOOKUP("Hunt", vote4SURGE!A:C , 3, FALSE), 0 ),
IF(IFERROR(SEARCH("Immobilize",I10),0) &gt; 0 , VLOOKUP("Immobilize", vote4SURGE!A:C , 3, FALSE), 0 ),
IF(IFERROR(SEARCH("Knockback",I10),0) &gt; 0 , VLOOKUP("Knockback", vote4SURGE!A:C , 3, FALSE), 0 ),
IF(IFERROR(SEARCH("Lash",I10),0) &gt; 0 , VLOOKUP("Lash", vote4SURGE!A:C , 3, FALSE), 0 ),
IF(IFERROR(SEARCH("Mend 2",I10),0) &gt; 0 , VLOOKUP("Mend 2", vote4SURGE!A:C , 3, FALSE), 0 ),
IF(IFERROR(SEARCH("Mortal Binding",I10),0) &gt; 0 , VLOOKUP("Mortal Binding", vote4SURGE!A:C , 3, FALSE), 0 ),
IF(IFERROR(SEARCH("Poison",I10),0) &gt; 0 , VLOOKUP("Poison", vote4SURGE!A:C , 3, FALSE), 0 ),
IF(IFERROR(SEARCH("Stun",I10),0) &gt; 0 , VLOOKUP("Stun", vote4SURGE!A:C , 3, FALSE), 0 ),
IF(IFERROR(SEARCH("Swarm",I10),0) &gt; 0 , VLOOKUP("Swarm", vote4SURGE!A:C , 3, FALSE), 0 ),
IF(IFERROR(SEARCH("Terrify",I10),0) &gt; 0 , VLOOKUP("Terrify", vote4SURGE!A:C , 3, FALSE), 0 ),
IF(IFERROR(SEARCH("Weaken",I10),0) &gt; 0 , VLOOKUP("Weaken", vote4SURGE!A:C , 3, FALSE), 0 ),
IF(IFERROR(SEARCH("Wither",I10),0) &gt; 0 , VLOOKUP("Wither", vote4SURGE!A:C , 3, FALSE), 0 ),
IFS(
IFERROR(SEARCH("Sorcery 1", I10),0) &gt; 0 ,VLOOKUP("Sorcery 1", vote4SURGE!A:C , 3, FALSE),
IFERROR(SEARCH("Sorcery 2", I10),0) &gt; 0 ,VLOOKUP("Sorcery 2", vote4SURGE!A:C , 3, FALSE),
IFERROR(SEARCH("Sorcery 3", I10),0) &gt; 0,VLOOKUP("Sorcery 3", vote4SURGE!A:C , 3, FALSE),
0=0,0)
,
IFS(
IFERROR(SEARCH("Pierce 1", I10),0) &gt; 0 ,VLOOKUP("Pierce 1", vote4SURGE!A:C , 3, FALSE),
IFERROR(SEARCH("Pierce 2", I10),0) &gt; 0 ,VLOOKUP("Pierce 2", vote4SURGE!A:C , 3, FALSE),
IFERROR(SEARCH("Pierce 3", I10),0) &gt; 0,VLOOKUP("Pierce 3", vote4SURGE!A:C , 3, FALSE),
IFERROR(SEARCH("Pierce 4", I10),0) &gt; 0 ,VLOOKUP("Pierce 4", vote4SURGE!A:C , 3, FALSE),
IFERROR(SEARCH("Pierce 5", I10),0) &gt; 0 ,VLOOKUP("Pierce 5", vote4SURGE!A:C , 3, FALSE),
0=0,0)
,
IFS(
IFERROR(SEARCH("+1 Range, +1 Wound", I10),0) &gt; 0 ,VLOOKUP("+1 Range, +1 Wound", vote4SURGE!A:C , 3, False),
IFERROR(SEARCH("+2 Range, +1 Wound", I10),0) &gt; 0 ,VLOOKUP("+2 Range, +1 Wound", vote4SURGE!A:C , 3, False),
IFERROR(SEARCH("+1 Wound, +1 Wound", I10),0) &gt; 0 ,VLOOKUP("+1 Wound, +1 Wound", vote4SURGE!A:C , 3, False),
IFERROR(SEARCH("+2 Wounds, +2 Wounds", I10),0) &gt; 0 ,VLOOKUP("+2 Wounds, +2 Wounds", vote4SURGE!A:C , 3, False),
IFERROR(SEARCH("+1 Wound", I10),0) &gt; 0 ,VLOOKUP("+1 Wound", vote4SURGE!A:C , 3, False),
IFERROR(SEARCH("+2 Wounds", I10),0) &gt; 0 ,VLOOKUP("+2 Wounds", vote4SURGE!A:C , 3, False),
IFERROR(SEARCH("+3 Wounds", I10),0) &gt; 0,VLOOKUP("+3 Wounds", vote4SURGE!A:C , 3, False),
IFERROR(SEARCH("+4 Wounds", I10),0) &gt; 0 ,VLOOKUP("+4 Wounds", vote4SURGE!A:C , 3, False),
0=0,0)
,
IFS(
IFERROR(SEARCH("+1 Range", I10),0) &gt; 0 ,VLOOKUP("+1 Range", vote4SURGE!A:C , 3, FALSE),
IFERROR(SEARCH("+2 Range", I10),0) &gt; 0 ,VLOOKUP("+2 Range", vote4SURGE!A:C , 3, FALSE),
IFERROR(SEARCH("+3 Range", I10),0) &gt; 0,VLOOKUP("+3 Range", vote4SURGE!A:C , 3, FALSE),
IFERROR(SEARCH("+4 Range", I10),0) &gt; 0,VLOOKUP("+4 Range", vote4SURGE!A:C , 3, FALSE),
0=0,0),
IFS(
IFERROR(SEARCH("Recover 1 Heart", I10),0) &gt; 0 ,VLOOKUP("Recover 1 Heart", vote4SURGE!A:C , 3, FALSE),
IFERROR(SEARCH("Recover 2 Heart", I10),0) &gt; 0 ,VLOOKUP("Recover 2 Heart", vote4SURGE!A:C , 3, FALSE),
0=0,0),
IFS(
IFERROR(SEARCH("Recover 1 Fatigue", I10),0) &gt; 0,VLOOKUP("Recover 1 Fatigue", vote4SURGE!A:C , 3, FALSE),
IFERROR(SEARCH("Recover 2 Fatigue", I10),0) &gt; 0,VLOOKUP("Recover 2 Fatigue", vote4SURGE!A:C , 3, FALSE),
0=0,0),
IFERROR(VLOOKUP(B10, vote4SURGE!A:C , 3, FALSE),)
)</f>
        <v>6</v>
      </c>
      <c r="K10" s="354" t="s">
        <v>1225</v>
      </c>
      <c r="L10" s="318">
        <f>SUM(
IF(IFERROR(SEARCH("Black Venom",K10),0) &gt; 0 , VLOOKUP("Black Venom", vote4SURGE!A:C , 3, FALSE) - 2, 0 ),
IF(IFERROR(SEARCH("Bleed",K10),0) &gt; 0 , VLOOKUP("Bleed", vote4SURGE!A:C , 3, FALSE) - 2, 0 ),
IF(IFERROR(SEARCH("Blast",K10),0) &gt; 0 , VLOOKUP("Blast", vote4SURGE!A:C , 3, FALSE) - 2, 0 ),
IF(IFERROR(SEARCH("Burn",K10),0) &gt; 0 , VLOOKUP("Burn", vote4SURGE!A:C , 3, FALSE) - 2, 0 ),
IF(IFERROR(SEARCH("Charge",K10),0) &gt; 0 , VLOOKUP("Charge", vote4SURGE!A:C , 3, FALSE) - 2, 0 ),
IF(IFERROR(SEARCH("Colonize",K10),0) &gt; 0 , VLOOKUP("Colonize", vote4SURGE!A:C , 3, FALSE) - 2, 0 ),
IF(IFERROR(SEARCH("Curse",K10),0) &gt; 0 , VLOOKUP("Curse", vote4SURGE!A:C , 3, FALSE) - 2, 0 ),
IF(IFERROR(SEARCH("Disease",K10),0) &gt; 0 , VLOOKUP("Disease", vote4SURGE!A:C , 3, FALSE) - 2, 0 ),
IF(IFERROR(SEARCH("Doom",K10),0) &gt; 0 , VLOOKUP("Doom", vote4SURGE!A:C , 3, FALSE) - 2, 0 ),
IF(IFERROR(SEARCH("Feast",K10),0) &gt; 0 , VLOOKUP("Feast", vote4SURGE!A:C , 3, FALSE) - 2, 0 ),
IF(IFERROR(SEARCH("Fire Breath",K10),0) &gt; 0 , VLOOKUP("Fire Breath", vote4SURGE!A:C , 3, FALSE) - 2, 0 ),
IF(IFERROR(SEARCH("Hunt",K10),0) &gt; 0 , VLOOKUP("Hunt", vote4SURGE!A:C , 3, FALSE) - 2, 0 ),
IF(IFERROR(SEARCH("Immobilize",K10),0) &gt; 0 , VLOOKUP("Immobilize", vote4SURGE!A:C , 3, FALSE) - 2, 0 ),
IF(IFERROR(SEARCH("Knockback",K10),0) &gt; 0 , VLOOKUP("Knockback", vote4SURGE!A:C , 3, FALSE) - 2, 0 ),
IF(IFERROR(SEARCH("Lash",K10),0) &gt; 0 , VLOOKUP("Lash", vote4SURGE!A:C , 3, FALSE) - 2, 0 ),
IF(IFERROR(SEARCH("Mend 2",K10),0) &gt; 0 , VLOOKUP("Mend 2", vote4SURGE!A:C , 3, FALSE) - 2, 0 ),
IF(IFERROR(SEARCH("Mortal Binding",K10),0) &gt; 0 , VLOOKUP("Mortal Binding", vote4SURGE!A:C , 3, FALSE) - 2, 0 ),
IF(IFERROR(SEARCH("Poison",K10),0) &gt; 0 , VLOOKUP("Poison", vote4SURGE!A:C , 3, FALSE) - 2, 0 ),
IF(IFERROR(SEARCH("Stun",K10),0) &gt; 0 , VLOOKUP("Stun", vote4SURGE!A:C , 3, FALSE) - 2, 0 ),
IF(IFERROR(SEARCH("Swarm",K10),0) &gt; 0 , VLOOKUP("Swarm", vote4SURGE!A:C , 3, FALSE) - 2, 0 ),
IF(IFERROR(SEARCH("Terrify",K10),0) &gt; 0 , VLOOKUP("Terrify", vote4SURGE!A:C , 3, FALSE) - 2, 0 ),
IF(IFERROR(SEARCH("Weaken",K10),0) &gt; 0 , VLOOKUP("Weaken", vote4SURGE!A:C , 3, FALSE) - 2, 0 ),
IF(IFERROR(SEARCH("Wither",K10),0) &gt; 0 , VLOOKUP("Wither", vote4SURGE!A:C , 3, FALSE) - 2, 0 ),
IFS(
IFERROR(SEARCH("Sorcery 1", K10),0) &gt; 0 ,VLOOKUP("Sorcery 1", vote4SURGE!A:C , 3, FALSE) - 2,
IFERROR(SEARCH("Sorcery 2", K10),0) &gt; 0 ,VLOOKUP("Sorcery 2", vote4SURGE!A:C , 3, FALSE) - 2,
IFERROR(SEARCH("Sorcery 3", K10),0) &gt; 0,VLOOKUP("Sorcery 3", vote4SURGE!A:C , 3, FALSE) - 2,
0=0,0)
,
IFS(
IFERROR(SEARCH("Pierce 1", K10),0) &gt; 0 ,VLOOKUP("Pierce 1", vote4SURGE!A:C , 3, FALSE) - 2,
IFERROR(SEARCH("Pierce 2", K10),0) &gt; 0 ,VLOOKUP("Pierce 2", vote4SURGE!A:C , 3, FALSE) - 2,
IFERROR(SEARCH("Pierce 3", K10),0) &gt; 0,VLOOKUP("Pierce 3", vote4SURGE!A:C , 3, FALSE) - 2,
IFERROR(SEARCH("Pierce 4", K10),0) &gt; 0 ,VLOOKUP("Pierce 4", vote4SURGE!A:C , 3, FALSE) - 2,
0=0,0)
,
IFS(
IFERROR(SEARCH("+1 Wound, +1 Wound", K10),0) &gt; 0 ,VLOOKUP("+1 Wound, +1 Wound", vote4SURGE!A:C , 3, False) - 2,
IFERROR(SEARCH("+2 Wounds, +2 Wounds", K10),0) &gt; 0 ,VLOOKUP("+2 Wounds, +2 Wounds", vote4SURGE!A:C , 3, False)- 2,
IFERROR(SEARCH("+1 Wound", K10),0) &gt; 0 ,VLOOKUP("+1 Wound", vote4SURGE!A:C , 3, False)- 2,
IFERROR(SEARCH("+2 Wounds", K10),0) &gt; 0 ,VLOOKUP("+2 Wounds", vote4SURGE!A:C , 3, False)- 2,
IFERROR(SEARCH("+3 Wounds", K10),0) &gt; 0,VLOOKUP("+3 Wounds", vote4SURGE!A:C , 3, False)- 2,
IFERROR(SEARCH("+4 Wounds", K10),0) &gt; 0 ,VLOOKUP("+4 Wounds", vote4SURGE!A:C , 3, False)- 2,
IFERROR(SEARCH("+4 Wounds", K10),0) &gt; 0 ,VLOOKUP("+5 Wounds", vote4SURGE!A:C , 3, False)- 2,
0=0,0)
,
IFS(
IFERROR(SEARCH("+1 Range", K10),0) &gt; 0 ,VLOOKUP("+1 Range", vote4SURGE!A:C , 3, FALSE) - 2,
IFERROR(SEARCH("+2 Range", K10),0) &gt; 0 ,VLOOKUP("+2 Range", vote4SURGE!A:C , 3, FALSE) - 2,
IFERROR(SEARCH("+3 Range", K10),0) &gt; 0,VLOOKUP("+3 Range", vote4SURGE!A:C , 3, FALSE) - 2,
0=0,0)
)</f>
        <v>0</v>
      </c>
      <c r="M10" s="318">
        <f t="shared" si="1"/>
        <v>6</v>
      </c>
      <c r="N10" s="322"/>
      <c r="O10" s="322"/>
      <c r="P10" s="322"/>
      <c r="Q10" s="322"/>
      <c r="R10" s="322"/>
      <c r="S10" s="322"/>
      <c r="T10" s="322"/>
    </row>
    <row r="11">
      <c r="A11" s="105" t="s">
        <v>1689</v>
      </c>
      <c r="B11" s="93" t="s">
        <v>1248</v>
      </c>
      <c r="C11" s="93"/>
      <c r="D11" s="315" t="str">
        <f>IFERROR(__xludf.DUMMYFUNCTION(" IF(ISBLANK(C11),,
SWITCH(
LEN(C11) - LEN(SUBSTITUTE(C11,"","","""")),
0 , VLOOKUP(C11, Variables!$A:$B, 2, FALSE),
1 , VLOOKUP(index(split(C11 ,"", "", FALSE),1,1), Variables!$A:$B , 2, FALSE) + VLOOKUP(index(split(C11 ,"", "", FALSE),1,2), Variables!$A:"&amp;"$B , 2, FALSE),
2 , VLOOKUP(index(split(C11 ,"", "", FALSE),1,1), Variables!$A:$B , 2, FALSE) + VLOOKUP(index(split(C11 ,"", "", FALSE),1,2), Variables!$A:$B , 2, FALSE) + VLOOKUP(index(split(C11 ,"", "", FALSE),1,3), Variables!$A:$B , 2, FALSE),
3 , VLOO"&amp;"KUP(index(split(C11 ,"", "", FALSE),1,1), Variables!$A:$B , 2, FALSE) + VLOOKUP(index(split(C11 ,"", "", FALSE),1,2), Variables!$A:$B , 2, FALSE) + VLOOKUP(index(split(C11 ,"", "", FALSE),1,3), Variables!$A:$B , 2, FALSE) + VLOOKUP(index(split(C11 ,"", """&amp;", FALSE),1,4), Variables!$A:$B , 2, FALSE),
)
)"),"")</f>
        <v/>
      </c>
      <c r="E11" s="105"/>
      <c r="F11" s="318" t="str">
        <f>IF(E11 = "",,IFERROR(VLOOKUP(B11,vote4ITEMS!$A:$C, 3, FALSE),))</f>
        <v/>
      </c>
      <c r="G11" s="353"/>
      <c r="H11" s="318" t="str">
        <f>IFERROR(__xludf.DUMMYFUNCTION("IF(ISBLANK(G11),,
IFERROR(
SWITCH(
LEN(G11) - LEN(SUBSTITUTE(G11,"","","""")),
0 , VLOOKUP(G11, vote4TRAITS!$A:$C , 3, FALSE),
1 , VLOOKUP(index(split(G11 ,"", "", FALSE),1,1), vote4TRAITS!$A:$C , 3, FALSE) + VLOOKUP(index(split(G11 ,"", "", FALSE),1,2), "&amp;"vote4TRAITS!$A:$C , 3, FALSE),
2 , VLOOKUP(index(split(G11 ,"", "", FALSE),1,1), vote4TRAITS!$A:$C , 3, FALSE) + VLOOKUP(index(split(G11 ,"", "", FALSE),1,2), vote4TRAITS!$A:$C , 3, FALSE) + VLOOKUP(index(split(G11 ,"", "", FALSE),1,3), vote4TRAITS!$A:$C "&amp;", 3, FALSE),
3 , VLOOKUP(index(split(G11 ,"", "", FALSE),1,1), vote4TRAITS!$A:$C , 3, FALSE) + VLOOKUP(index(split(G11 ,"", "", FALSE),1,2), vote4TRAITS!$A:$C , 3, FALSE) + VLOOKUP(index(split(G11 ,"", "", FALSE),1,3), vote4TRAITS!$A:$C , 3, FALSE) + VLOO"&amp;"KUP(index(split(L23 ,"", "", FALSE),1,4), vote4TRAITS!$A:$C , 3, FALSE)
),
VLOOKUP(B11, vote4TRAITS!$A:$C , 3, FALSE))
)"),"")</f>
        <v/>
      </c>
      <c r="I11" s="353" t="s">
        <v>1693</v>
      </c>
      <c r="J11" s="318">
        <f>SUM(
IF(IFERROR(SEARCH("Black Venom",I11),0) &gt; 0 , VLOOKUP("Black Venom", vote4SURGE!A:C , 3, FALSE), 0 ),
IF(IFERROR(SEARCH("Bleed",I11),0) &gt; 0 , VLOOKUP("Bleed", vote4SURGE!A:C , 3, FALSE), 0 ),
IF(IFERROR(SEARCH("Blast",I11),0) &gt; 0 , VLOOKUP("Blast", vote4SURGE!A:C , 3, FALSE), 0 ),
IF(IFERROR(SEARCH("Burn",I11),0) &gt; 0 , VLOOKUP("Burn", vote4SURGE!A:C , 3, FALSE), 0 ),
IF(IFERROR(SEARCH("Charge",I11),0) &gt; 0 , VLOOKUP("Charge", vote4SURGE!A:C , 3, FALSE), 0 ),
IF(IFERROR(SEARCH("Colonize",I11),0) &gt; 0 , VLOOKUP("Colonize", vote4SURGE!A:C , 3, FALSE), 0 ),
IF(IFERROR(SEARCH("Curse",I11),0) &gt; 0 , VLOOKUP("Curse", vote4SURGE!A:C , 3, FALSE), 0 ),
IF(IFERROR(SEARCH("Disease",I11),0) &gt; 0 , VLOOKUP("Disease", vote4SURGE!A:C , 3, FALSE), 0 ),
IF(IFERROR(SEARCH("Doom",I11),0) &gt; 0 , VLOOKUP("Doom", vote4SURGE!A:C , 3, FALSE), 0 ),
IF(IFERROR(SEARCH("Feast",I11),0) &gt; 0 , VLOOKUP("Feast", vote4SURGE!A:C , 3, FALSE), 0 ),
IF(IFERROR(SEARCH("Fire Breath",I11),0) &gt; 0 , VLOOKUP("Fire Breath", vote4SURGE!A:C , 3, FALSE), 0 ),
IF(IFERROR(SEARCH("Hunt",I11),0) &gt; 0 , VLOOKUP("Hunt", vote4SURGE!A:C , 3, FALSE), 0 ),
IF(IFERROR(SEARCH("Immobilize",I11),0) &gt; 0 , VLOOKUP("Immobilize", vote4SURGE!A:C , 3, FALSE), 0 ),
IF(IFERROR(SEARCH("Knockback",I11),0) &gt; 0 , VLOOKUP("Knockback", vote4SURGE!A:C , 3, FALSE), 0 ),
IF(IFERROR(SEARCH("Lash",I11),0) &gt; 0 , VLOOKUP("Lash", vote4SURGE!A:C , 3, FALSE), 0 ),
IF(IFERROR(SEARCH("Mend 2",I11),0) &gt; 0 , VLOOKUP("Mend 2", vote4SURGE!A:C , 3, FALSE), 0 ),
IF(IFERROR(SEARCH("Mortal Binding",I11),0) &gt; 0 , VLOOKUP("Mortal Binding", vote4SURGE!A:C , 3, FALSE), 0 ),
IF(IFERROR(SEARCH("Poison",I11),0) &gt; 0 , VLOOKUP("Poison", vote4SURGE!A:C , 3, FALSE), 0 ),
IF(IFERROR(SEARCH("Stun",I11),0) &gt; 0 , VLOOKUP("Stun", vote4SURGE!A:C , 3, FALSE), 0 ),
IF(IFERROR(SEARCH("Swarm",I11),0) &gt; 0 , VLOOKUP("Swarm", vote4SURGE!A:C , 3, FALSE), 0 ),
IF(IFERROR(SEARCH("Terrify",I11),0) &gt; 0 , VLOOKUP("Terrify", vote4SURGE!A:C , 3, FALSE), 0 ),
IF(IFERROR(SEARCH("Weaken",I11),0) &gt; 0 , VLOOKUP("Weaken", vote4SURGE!A:C , 3, FALSE), 0 ),
IF(IFERROR(SEARCH("Wither",I11),0) &gt; 0 , VLOOKUP("Wither", vote4SURGE!A:C , 3, FALSE), 0 ),
IFS(
IFERROR(SEARCH("Sorcery 1", I11),0) &gt; 0 ,VLOOKUP("Sorcery 1", vote4SURGE!A:C , 3, FALSE),
IFERROR(SEARCH("Sorcery 2", I11),0) &gt; 0 ,VLOOKUP("Sorcery 2", vote4SURGE!A:C , 3, FALSE),
IFERROR(SEARCH("Sorcery 3", I11),0) &gt; 0,VLOOKUP("Sorcery 3", vote4SURGE!A:C , 3, FALSE),
0=0,0)
,
IFS(
IFERROR(SEARCH("Pierce 1", I11),0) &gt; 0 ,VLOOKUP("Pierce 1", vote4SURGE!A:C , 3, FALSE),
IFERROR(SEARCH("Pierce 2", I11),0) &gt; 0 ,VLOOKUP("Pierce 2", vote4SURGE!A:C , 3, FALSE),
IFERROR(SEARCH("Pierce 3", I11),0) &gt; 0,VLOOKUP("Pierce 3", vote4SURGE!A:C , 3, FALSE),
IFERROR(SEARCH("Pierce 4", I11),0) &gt; 0 ,VLOOKUP("Pierce 4", vote4SURGE!A:C , 3, FALSE),
IFERROR(SEARCH("Pierce 5", I11),0) &gt; 0 ,VLOOKUP("Pierce 5", vote4SURGE!A:C , 3, FALSE),
0=0,0)
,
IFS(
IFERROR(SEARCH("+1 Range, +1 Wound", I11),0) &gt; 0 ,VLOOKUP("+1 Range, +1 Wound", vote4SURGE!A:C , 3, False),
IFERROR(SEARCH("+2 Range, +1 Wound", I11),0) &gt; 0 ,VLOOKUP("+2 Range, +1 Wound", vote4SURGE!A:C , 3, False),
IFERROR(SEARCH("+1 Wound, +1 Wound", I11),0) &gt; 0 ,VLOOKUP("+1 Wound, +1 Wound", vote4SURGE!A:C , 3, False),
IFERROR(SEARCH("+2 Wounds, +2 Wounds", I11),0) &gt; 0 ,VLOOKUP("+2 Wounds, +2 Wounds", vote4SURGE!A:C , 3, False),
IFERROR(SEARCH("+1 Wound", I11),0) &gt; 0 ,VLOOKUP("+1 Wound", vote4SURGE!A:C , 3, False),
IFERROR(SEARCH("+2 Wounds", I11),0) &gt; 0 ,VLOOKUP("+2 Wounds", vote4SURGE!A:C , 3, False),
IFERROR(SEARCH("+3 Wounds", I11),0) &gt; 0,VLOOKUP("+3 Wounds", vote4SURGE!A:C , 3, False),
IFERROR(SEARCH("+4 Wounds", I11),0) &gt; 0 ,VLOOKUP("+4 Wounds", vote4SURGE!A:C , 3, False),
0=0,0)
,
IFS(
IFERROR(SEARCH("+1 Range", I11),0) &gt; 0 ,VLOOKUP("+1 Range", vote4SURGE!A:C , 3, FALSE),
IFERROR(SEARCH("+2 Range", I11),0) &gt; 0 ,VLOOKUP("+2 Range", vote4SURGE!A:C , 3, FALSE),
IFERROR(SEARCH("+3 Range", I11),0) &gt; 0,VLOOKUP("+3 Range", vote4SURGE!A:C , 3, FALSE),
IFERROR(SEARCH("+4 Range", I11),0) &gt; 0,VLOOKUP("+4 Range", vote4SURGE!A:C , 3, FALSE),
0=0,0),
IFS(
IFERROR(SEARCH("Recover 1 Heart", I11),0) &gt; 0 ,VLOOKUP("Recover 1 Heart", vote4SURGE!A:C , 3, FALSE),
IFERROR(SEARCH("Recover 2 Heart", I11),0) &gt; 0 ,VLOOKUP("Recover 2 Heart", vote4SURGE!A:C , 3, FALSE),
0=0,0),
IFS(
IFERROR(SEARCH("Recover 1 Fatigue", I11),0) &gt; 0,VLOOKUP("Recover 1 Fatigue", vote4SURGE!A:C , 3, FALSE),
IFERROR(SEARCH("Recover 2 Fatigue", I11),0) &gt; 0,VLOOKUP("Recover 2 Fatigue", vote4SURGE!A:C , 3, FALSE),
0=0,0),
IFERROR(VLOOKUP(B11, vote4SURGE!A:C , 3, FALSE),)
)</f>
        <v>4</v>
      </c>
      <c r="K11" s="354"/>
      <c r="L11" s="318">
        <f>SUM(
IF(IFERROR(SEARCH("Black Venom",K11),0) &gt; 0 , VLOOKUP("Black Venom", vote4SURGE!A:C , 3, FALSE) - 2, 0 ),
IF(IFERROR(SEARCH("Bleed",K11),0) &gt; 0 , VLOOKUP("Bleed", vote4SURGE!A:C , 3, FALSE) - 2, 0 ),
IF(IFERROR(SEARCH("Blast",K11),0) &gt; 0 , VLOOKUP("Blast", vote4SURGE!A:C , 3, FALSE) - 2, 0 ),
IF(IFERROR(SEARCH("Burn",K11),0) &gt; 0 , VLOOKUP("Burn", vote4SURGE!A:C , 3, FALSE) - 2, 0 ),
IF(IFERROR(SEARCH("Charge",K11),0) &gt; 0 , VLOOKUP("Charge", vote4SURGE!A:C , 3, FALSE) - 2, 0 ),
IF(IFERROR(SEARCH("Colonize",K11),0) &gt; 0 , VLOOKUP("Colonize", vote4SURGE!A:C , 3, FALSE) - 2, 0 ),
IF(IFERROR(SEARCH("Curse",K11),0) &gt; 0 , VLOOKUP("Curse", vote4SURGE!A:C , 3, FALSE) - 2, 0 ),
IF(IFERROR(SEARCH("Disease",K11),0) &gt; 0 , VLOOKUP("Disease", vote4SURGE!A:C , 3, FALSE) - 2, 0 ),
IF(IFERROR(SEARCH("Doom",K11),0) &gt; 0 , VLOOKUP("Doom", vote4SURGE!A:C , 3, FALSE) - 2, 0 ),
IF(IFERROR(SEARCH("Feast",K11),0) &gt; 0 , VLOOKUP("Feast", vote4SURGE!A:C , 3, FALSE) - 2, 0 ),
IF(IFERROR(SEARCH("Fire Breath",K11),0) &gt; 0 , VLOOKUP("Fire Breath", vote4SURGE!A:C , 3, FALSE) - 2, 0 ),
IF(IFERROR(SEARCH("Hunt",K11),0) &gt; 0 , VLOOKUP("Hunt", vote4SURGE!A:C , 3, FALSE) - 2, 0 ),
IF(IFERROR(SEARCH("Immobilize",K11),0) &gt; 0 , VLOOKUP("Immobilize", vote4SURGE!A:C , 3, FALSE) - 2, 0 ),
IF(IFERROR(SEARCH("Knockback",K11),0) &gt; 0 , VLOOKUP("Knockback", vote4SURGE!A:C , 3, FALSE) - 2, 0 ),
IF(IFERROR(SEARCH("Lash",K11),0) &gt; 0 , VLOOKUP("Lash", vote4SURGE!A:C , 3, FALSE) - 2, 0 ),
IF(IFERROR(SEARCH("Mend 2",K11),0) &gt; 0 , VLOOKUP("Mend 2", vote4SURGE!A:C , 3, FALSE) - 2, 0 ),
IF(IFERROR(SEARCH("Mortal Binding",K11),0) &gt; 0 , VLOOKUP("Mortal Binding", vote4SURGE!A:C , 3, FALSE) - 2, 0 ),
IF(IFERROR(SEARCH("Poison",K11),0) &gt; 0 , VLOOKUP("Poison", vote4SURGE!A:C , 3, FALSE) - 2, 0 ),
IF(IFERROR(SEARCH("Stun",K11),0) &gt; 0 , VLOOKUP("Stun", vote4SURGE!A:C , 3, FALSE) - 2, 0 ),
IF(IFERROR(SEARCH("Swarm",K11),0) &gt; 0 , VLOOKUP("Swarm", vote4SURGE!A:C , 3, FALSE) - 2, 0 ),
IF(IFERROR(SEARCH("Terrify",K11),0) &gt; 0 , VLOOKUP("Terrify", vote4SURGE!A:C , 3, FALSE) - 2, 0 ),
IF(IFERROR(SEARCH("Weaken",K11),0) &gt; 0 , VLOOKUP("Weaken", vote4SURGE!A:C , 3, FALSE) - 2, 0 ),
IF(IFERROR(SEARCH("Wither",K11),0) &gt; 0 , VLOOKUP("Wither", vote4SURGE!A:C , 3, FALSE) - 2, 0 ),
IFS(
IFERROR(SEARCH("Sorcery 1", K11),0) &gt; 0 ,VLOOKUP("Sorcery 1", vote4SURGE!A:C , 3, FALSE) - 2,
IFERROR(SEARCH("Sorcery 2", K11),0) &gt; 0 ,VLOOKUP("Sorcery 2", vote4SURGE!A:C , 3, FALSE) - 2,
IFERROR(SEARCH("Sorcery 3", K11),0) &gt; 0,VLOOKUP("Sorcery 3", vote4SURGE!A:C , 3, FALSE) - 2,
0=0,0)
,
IFS(
IFERROR(SEARCH("Pierce 1", K11),0) &gt; 0 ,VLOOKUP("Pierce 1", vote4SURGE!A:C , 3, FALSE) - 2,
IFERROR(SEARCH("Pierce 2", K11),0) &gt; 0 ,VLOOKUP("Pierce 2", vote4SURGE!A:C , 3, FALSE) - 2,
IFERROR(SEARCH("Pierce 3", K11),0) &gt; 0,VLOOKUP("Pierce 3", vote4SURGE!A:C , 3, FALSE) - 2,
IFERROR(SEARCH("Pierce 4", K11),0) &gt; 0 ,VLOOKUP("Pierce 4", vote4SURGE!A:C , 3, FALSE) - 2,
0=0,0)
,
IFS(
IFERROR(SEARCH("+1 Wound, +1 Wound", K11),0) &gt; 0 ,VLOOKUP("+1 Wound, +1 Wound", vote4SURGE!A:C , 3, False) - 2,
IFERROR(SEARCH("+2 Wounds, +2 Wounds", K11),0) &gt; 0 ,VLOOKUP("+2 Wounds, +2 Wounds", vote4SURGE!A:C , 3, False)- 2,
IFERROR(SEARCH("+1 Wound", K11),0) &gt; 0 ,VLOOKUP("+1 Wound", vote4SURGE!A:C , 3, False)- 2,
IFERROR(SEARCH("+2 Wounds", K11),0) &gt; 0 ,VLOOKUP("+2 Wounds", vote4SURGE!A:C , 3, False)- 2,
IFERROR(SEARCH("+3 Wounds", K11),0) &gt; 0,VLOOKUP("+3 Wounds", vote4SURGE!A:C , 3, False)- 2,
IFERROR(SEARCH("+4 Wounds", K11),0) &gt; 0 ,VLOOKUP("+4 Wounds", vote4SURGE!A:C , 3, False)- 2,
IFERROR(SEARCH("+4 Wounds", K11),0) &gt; 0 ,VLOOKUP("+5 Wounds", vote4SURGE!A:C , 3, False)- 2,
0=0,0)
,
IFS(
IFERROR(SEARCH("+1 Range", K11),0) &gt; 0 ,VLOOKUP("+1 Range", vote4SURGE!A:C , 3, FALSE) - 2,
IFERROR(SEARCH("+2 Range", K11),0) &gt; 0 ,VLOOKUP("+2 Range", vote4SURGE!A:C , 3, FALSE) - 2,
IFERROR(SEARCH("+3 Range", K11),0) &gt; 0,VLOOKUP("+3 Range", vote4SURGE!A:C , 3, FALSE) - 2,
0=0,0)
)</f>
        <v>0</v>
      </c>
      <c r="M11" s="318">
        <f t="shared" si="1"/>
        <v>4</v>
      </c>
      <c r="N11" s="322"/>
      <c r="O11" s="322"/>
      <c r="P11" s="322"/>
      <c r="Q11" s="322"/>
      <c r="R11" s="322"/>
      <c r="S11" s="322"/>
      <c r="T11" s="322"/>
    </row>
    <row r="12">
      <c r="A12" s="105" t="s">
        <v>1689</v>
      </c>
      <c r="B12" s="93" t="s">
        <v>840</v>
      </c>
      <c r="C12" s="93"/>
      <c r="D12" s="315" t="str">
        <f>IFERROR(__xludf.DUMMYFUNCTION(" IF(ISBLANK(C12),,
SWITCH(
LEN(C12) - LEN(SUBSTITUTE(C12,"","","""")),
0 , VLOOKUP(C12, Variables!$A:$B, 2, FALSE),
1 , VLOOKUP(index(split(C12 ,"", "", FALSE),1,1), Variables!$A:$B , 2, FALSE) + VLOOKUP(index(split(C12 ,"", "", FALSE),1,2), Variables!$A:"&amp;"$B , 2, FALSE),
2 , VLOOKUP(index(split(C12 ,"", "", FALSE),1,1), Variables!$A:$B , 2, FALSE) + VLOOKUP(index(split(C12 ,"", "", FALSE),1,2), Variables!$A:$B , 2, FALSE) + VLOOKUP(index(split(C12 ,"", "", FALSE),1,3), Variables!$A:$B , 2, FALSE),
3 , VLOO"&amp;"KUP(index(split(C12 ,"", "", FALSE),1,1), Variables!$A:$B , 2, FALSE) + VLOOKUP(index(split(C12 ,"", "", FALSE),1,2), Variables!$A:$B , 2, FALSE) + VLOOKUP(index(split(C12 ,"", "", FALSE),1,3), Variables!$A:$B , 2, FALSE) + VLOOKUP(index(split(C12 ,"", """&amp;", FALSE),1,4), Variables!$A:$B , 2, FALSE),
)
)"),"")</f>
        <v/>
      </c>
      <c r="E12" s="93"/>
      <c r="F12" s="318" t="str">
        <f>IF(E12 = "",,IFERROR(VLOOKUP(B12,vote4ITEMS!$A:$C, 3, FALSE),))</f>
        <v/>
      </c>
      <c r="G12" s="353" t="s">
        <v>1694</v>
      </c>
      <c r="H12" s="318">
        <f>IFERROR(__xludf.DUMMYFUNCTION("IF(ISBLANK(G12),,
IFERROR(
SWITCH(
LEN(G12) - LEN(SUBSTITUTE(G12,"","","""")),
0 , VLOOKUP(G12, vote4TRAITS!$A:$C , 3, FALSE),
1 , VLOOKUP(index(split(G12 ,"", "", FALSE),1,1), vote4TRAITS!$A:$C , 3, FALSE) + VLOOKUP(index(split(G12 ,"", "", FALSE),1,2), "&amp;"vote4TRAITS!$A:$C , 3, FALSE),
2 , VLOOKUP(index(split(G12 ,"", "", FALSE),1,1), vote4TRAITS!$A:$C , 3, FALSE) + VLOOKUP(index(split(G12 ,"", "", FALSE),1,2), vote4TRAITS!$A:$C , 3, FALSE) + VLOOKUP(index(split(G12 ,"", "", FALSE),1,3), vote4TRAITS!$A:$C "&amp;", 3, FALSE),
3 , VLOOKUP(index(split(G12 ,"", "", FALSE),1,1), vote4TRAITS!$A:$C , 3, FALSE) + VLOOKUP(index(split(G12 ,"", "", FALSE),1,2), vote4TRAITS!$A:$C , 3, FALSE) + VLOOKUP(index(split(G12 ,"", "", FALSE),1,3), vote4TRAITS!$A:$C , 3, FALSE) + VLOO"&amp;"KUP(index(split(L24 ,"", "", FALSE),1,4), vote4TRAITS!$A:$C , 3, FALSE)
),
VLOOKUP(B12, vote4TRAITS!$A:$C , 3, FALSE))
)"),9.5)</f>
        <v>9.5</v>
      </c>
      <c r="I12" s="351"/>
      <c r="J12" s="318">
        <f>SUM(
IF(IFERROR(SEARCH("Black Venom",I12),0) &gt; 0 , VLOOKUP("Black Venom", vote4SURGE!A:C , 3, FALSE), 0 ),
IF(IFERROR(SEARCH("Bleed",I12),0) &gt; 0 , VLOOKUP("Bleed", vote4SURGE!A:C , 3, FALSE), 0 ),
IF(IFERROR(SEARCH("Blast",I12),0) &gt; 0 , VLOOKUP("Blast", vote4SURGE!A:C , 3, FALSE), 0 ),
IF(IFERROR(SEARCH("Burn",I12),0) &gt; 0 , VLOOKUP("Burn", vote4SURGE!A:C , 3, FALSE), 0 ),
IF(IFERROR(SEARCH("Charge",I12),0) &gt; 0 , VLOOKUP("Charge", vote4SURGE!A:C , 3, FALSE), 0 ),
IF(IFERROR(SEARCH("Colonize",I12),0) &gt; 0 , VLOOKUP("Colonize", vote4SURGE!A:C , 3, FALSE), 0 ),
IF(IFERROR(SEARCH("Curse",I12),0) &gt; 0 , VLOOKUP("Curse", vote4SURGE!A:C , 3, FALSE), 0 ),
IF(IFERROR(SEARCH("Disease",I12),0) &gt; 0 , VLOOKUP("Disease", vote4SURGE!A:C , 3, FALSE), 0 ),
IF(IFERROR(SEARCH("Doom",I12),0) &gt; 0 , VLOOKUP("Doom", vote4SURGE!A:C , 3, FALSE), 0 ),
IF(IFERROR(SEARCH("Feast",I12),0) &gt; 0 , VLOOKUP("Feast", vote4SURGE!A:C , 3, FALSE), 0 ),
IF(IFERROR(SEARCH("Fire Breath",I12),0) &gt; 0 , VLOOKUP("Fire Breath", vote4SURGE!A:C , 3, FALSE), 0 ),
IF(IFERROR(SEARCH("Hunt",I12),0) &gt; 0 , VLOOKUP("Hunt", vote4SURGE!A:C , 3, FALSE), 0 ),
IF(IFERROR(SEARCH("Immobilize",I12),0) &gt; 0 , VLOOKUP("Immobilize", vote4SURGE!A:C , 3, FALSE), 0 ),
IF(IFERROR(SEARCH("Knockback",I12),0) &gt; 0 , VLOOKUP("Knockback", vote4SURGE!A:C , 3, FALSE), 0 ),
IF(IFERROR(SEARCH("Lash",I12),0) &gt; 0 , VLOOKUP("Lash", vote4SURGE!A:C , 3, FALSE), 0 ),
IF(IFERROR(SEARCH("Mend 2",I12),0) &gt; 0 , VLOOKUP("Mend 2", vote4SURGE!A:C , 3, FALSE), 0 ),
IF(IFERROR(SEARCH("Mortal Binding",I12),0) &gt; 0 , VLOOKUP("Mortal Binding", vote4SURGE!A:C , 3, FALSE), 0 ),
IF(IFERROR(SEARCH("Poison",I12),0) &gt; 0 , VLOOKUP("Poison", vote4SURGE!A:C , 3, FALSE), 0 ),
IF(IFERROR(SEARCH("Stun",I12),0) &gt; 0 , VLOOKUP("Stun", vote4SURGE!A:C , 3, FALSE), 0 ),
IF(IFERROR(SEARCH("Swarm",I12),0) &gt; 0 , VLOOKUP("Swarm", vote4SURGE!A:C , 3, FALSE), 0 ),
IF(IFERROR(SEARCH("Terrify",I12),0) &gt; 0 , VLOOKUP("Terrify", vote4SURGE!A:C , 3, FALSE), 0 ),
IF(IFERROR(SEARCH("Weaken",I12),0) &gt; 0 , VLOOKUP("Weaken", vote4SURGE!A:C , 3, FALSE), 0 ),
IF(IFERROR(SEARCH("Wither",I12),0) &gt; 0 , VLOOKUP("Wither", vote4SURGE!A:C , 3, FALSE), 0 ),
IFS(
IFERROR(SEARCH("Sorcery 1", I12),0) &gt; 0 ,VLOOKUP("Sorcery 1", vote4SURGE!A:C , 3, FALSE),
IFERROR(SEARCH("Sorcery 2", I12),0) &gt; 0 ,VLOOKUP("Sorcery 2", vote4SURGE!A:C , 3, FALSE),
IFERROR(SEARCH("Sorcery 3", I12),0) &gt; 0,VLOOKUP("Sorcery 3", vote4SURGE!A:C , 3, FALSE),
0=0,0)
,
IFS(
IFERROR(SEARCH("Pierce 1", I12),0) &gt; 0 ,VLOOKUP("Pierce 1", vote4SURGE!A:C , 3, FALSE),
IFERROR(SEARCH("Pierce 2", I12),0) &gt; 0 ,VLOOKUP("Pierce 2", vote4SURGE!A:C , 3, FALSE),
IFERROR(SEARCH("Pierce 3", I12),0) &gt; 0,VLOOKUP("Pierce 3", vote4SURGE!A:C , 3, FALSE),
IFERROR(SEARCH("Pierce 4", I12),0) &gt; 0 ,VLOOKUP("Pierce 4", vote4SURGE!A:C , 3, FALSE),
IFERROR(SEARCH("Pierce 5", I12),0) &gt; 0 ,VLOOKUP("Pierce 5", vote4SURGE!A:C , 3, FALSE),
0=0,0)
,
IFS(
IFERROR(SEARCH("+1 Range, +1 Wound", I12),0) &gt; 0 ,VLOOKUP("+1 Range, +1 Wound", vote4SURGE!A:C , 3, False),
IFERROR(SEARCH("+2 Range, +1 Wound", I12),0) &gt; 0 ,VLOOKUP("+2 Range, +1 Wound", vote4SURGE!A:C , 3, False),
IFERROR(SEARCH("+1 Wound, +1 Wound", I12),0) &gt; 0 ,VLOOKUP("+1 Wound, +1 Wound", vote4SURGE!A:C , 3, False),
IFERROR(SEARCH("+2 Wounds, +2 Wounds", I12),0) &gt; 0 ,VLOOKUP("+2 Wounds, +2 Wounds", vote4SURGE!A:C , 3, False),
IFERROR(SEARCH("+1 Wound", I12),0) &gt; 0 ,VLOOKUP("+1 Wound", vote4SURGE!A:C , 3, False),
IFERROR(SEARCH("+2 Wounds", I12),0) &gt; 0 ,VLOOKUP("+2 Wounds", vote4SURGE!A:C , 3, False),
IFERROR(SEARCH("+3 Wounds", I12),0) &gt; 0,VLOOKUP("+3 Wounds", vote4SURGE!A:C , 3, False),
IFERROR(SEARCH("+4 Wounds", I12),0) &gt; 0 ,VLOOKUP("+4 Wounds", vote4SURGE!A:C , 3, False),
0=0,0)
,
IFS(
IFERROR(SEARCH("+1 Range", I12),0) &gt; 0 ,VLOOKUP("+1 Range", vote4SURGE!A:C , 3, FALSE),
IFERROR(SEARCH("+2 Range", I12),0) &gt; 0 ,VLOOKUP("+2 Range", vote4SURGE!A:C , 3, FALSE),
IFERROR(SEARCH("+3 Range", I12),0) &gt; 0,VLOOKUP("+3 Range", vote4SURGE!A:C , 3, FALSE),
IFERROR(SEARCH("+4 Range", I12),0) &gt; 0,VLOOKUP("+4 Range", vote4SURGE!A:C , 3, FALSE),
0=0,0),
IFS(
IFERROR(SEARCH("Recover 1 Heart", I12),0) &gt; 0 ,VLOOKUP("Recover 1 Heart", vote4SURGE!A:C , 3, FALSE),
IFERROR(SEARCH("Recover 2 Heart", I12),0) &gt; 0 ,VLOOKUP("Recover 2 Heart", vote4SURGE!A:C , 3, FALSE),
0=0,0),
IFS(
IFERROR(SEARCH("Recover 1 Fatigue", I12),0) &gt; 0,VLOOKUP("Recover 1 Fatigue", vote4SURGE!A:C , 3, FALSE),
IFERROR(SEARCH("Recover 2 Fatigue", I12),0) &gt; 0,VLOOKUP("Recover 2 Fatigue", vote4SURGE!A:C , 3, FALSE),
0=0,0),
IFERROR(VLOOKUP(B12, vote4SURGE!A:C , 3, FALSE),)
)</f>
        <v>0</v>
      </c>
      <c r="K12" s="352"/>
      <c r="L12" s="318">
        <f>SUM(
IF(IFERROR(SEARCH("Black Venom",K12),0) &gt; 0 , VLOOKUP("Black Venom", vote4SURGE!A:C , 3, FALSE) - 2, 0 ),
IF(IFERROR(SEARCH("Bleed",K12),0) &gt; 0 , VLOOKUP("Bleed", vote4SURGE!A:C , 3, FALSE) - 2, 0 ),
IF(IFERROR(SEARCH("Blast",K12),0) &gt; 0 , VLOOKUP("Blast", vote4SURGE!A:C , 3, FALSE) - 2, 0 ),
IF(IFERROR(SEARCH("Burn",K12),0) &gt; 0 , VLOOKUP("Burn", vote4SURGE!A:C , 3, FALSE) - 2, 0 ),
IF(IFERROR(SEARCH("Charge",K12),0) &gt; 0 , VLOOKUP("Charge", vote4SURGE!A:C , 3, FALSE) - 2, 0 ),
IF(IFERROR(SEARCH("Colonize",K12),0) &gt; 0 , VLOOKUP("Colonize", vote4SURGE!A:C , 3, FALSE) - 2, 0 ),
IF(IFERROR(SEARCH("Curse",K12),0) &gt; 0 , VLOOKUP("Curse", vote4SURGE!A:C , 3, FALSE) - 2, 0 ),
IF(IFERROR(SEARCH("Disease",K12),0) &gt; 0 , VLOOKUP("Disease", vote4SURGE!A:C , 3, FALSE) - 2, 0 ),
IF(IFERROR(SEARCH("Doom",K12),0) &gt; 0 , VLOOKUP("Doom", vote4SURGE!A:C , 3, FALSE) - 2, 0 ),
IF(IFERROR(SEARCH("Feast",K12),0) &gt; 0 , VLOOKUP("Feast", vote4SURGE!A:C , 3, FALSE) - 2, 0 ),
IF(IFERROR(SEARCH("Fire Breath",K12),0) &gt; 0 , VLOOKUP("Fire Breath", vote4SURGE!A:C , 3, FALSE) - 2, 0 ),
IF(IFERROR(SEARCH("Hunt",K12),0) &gt; 0 , VLOOKUP("Hunt", vote4SURGE!A:C , 3, FALSE) - 2, 0 ),
IF(IFERROR(SEARCH("Immobilize",K12),0) &gt; 0 , VLOOKUP("Immobilize", vote4SURGE!A:C , 3, FALSE) - 2, 0 ),
IF(IFERROR(SEARCH("Knockback",K12),0) &gt; 0 , VLOOKUP("Knockback", vote4SURGE!A:C , 3, FALSE) - 2, 0 ),
IF(IFERROR(SEARCH("Lash",K12),0) &gt; 0 , VLOOKUP("Lash", vote4SURGE!A:C , 3, FALSE) - 2, 0 ),
IF(IFERROR(SEARCH("Mend 2",K12),0) &gt; 0 , VLOOKUP("Mend 2", vote4SURGE!A:C , 3, FALSE) - 2, 0 ),
IF(IFERROR(SEARCH("Mortal Binding",K12),0) &gt; 0 , VLOOKUP("Mortal Binding", vote4SURGE!A:C , 3, FALSE) - 2, 0 ),
IF(IFERROR(SEARCH("Poison",K12),0) &gt; 0 , VLOOKUP("Poison", vote4SURGE!A:C , 3, FALSE) - 2, 0 ),
IF(IFERROR(SEARCH("Stun",K12),0) &gt; 0 , VLOOKUP("Stun", vote4SURGE!A:C , 3, FALSE) - 2, 0 ),
IF(IFERROR(SEARCH("Swarm",K12),0) &gt; 0 , VLOOKUP("Swarm", vote4SURGE!A:C , 3, FALSE) - 2, 0 ),
IF(IFERROR(SEARCH("Terrify",K12),0) &gt; 0 , VLOOKUP("Terrify", vote4SURGE!A:C , 3, FALSE) - 2, 0 ),
IF(IFERROR(SEARCH("Weaken",K12),0) &gt; 0 , VLOOKUP("Weaken", vote4SURGE!A:C , 3, FALSE) - 2, 0 ),
IF(IFERROR(SEARCH("Wither",K12),0) &gt; 0 , VLOOKUP("Wither", vote4SURGE!A:C , 3, FALSE) - 2, 0 ),
IFS(
IFERROR(SEARCH("Sorcery 1", K12),0) &gt; 0 ,VLOOKUP("Sorcery 1", vote4SURGE!A:C , 3, FALSE) - 2,
IFERROR(SEARCH("Sorcery 2", K12),0) &gt; 0 ,VLOOKUP("Sorcery 2", vote4SURGE!A:C , 3, FALSE) - 2,
IFERROR(SEARCH("Sorcery 3", K12),0) &gt; 0,VLOOKUP("Sorcery 3", vote4SURGE!A:C , 3, FALSE) - 2,
0=0,0)
,
IFS(
IFERROR(SEARCH("Pierce 1", K12),0) &gt; 0 ,VLOOKUP("Pierce 1", vote4SURGE!A:C , 3, FALSE) - 2,
IFERROR(SEARCH("Pierce 2", K12),0) &gt; 0 ,VLOOKUP("Pierce 2", vote4SURGE!A:C , 3, FALSE) - 2,
IFERROR(SEARCH("Pierce 3", K12),0) &gt; 0,VLOOKUP("Pierce 3", vote4SURGE!A:C , 3, FALSE) - 2,
IFERROR(SEARCH("Pierce 4", K12),0) &gt; 0 ,VLOOKUP("Pierce 4", vote4SURGE!A:C , 3, FALSE) - 2,
0=0,0)
,
IFS(
IFERROR(SEARCH("+1 Wound, +1 Wound", K12),0) &gt; 0 ,VLOOKUP("+1 Wound, +1 Wound", vote4SURGE!A:C , 3, False) - 2,
IFERROR(SEARCH("+2 Wounds, +2 Wounds", K12),0) &gt; 0 ,VLOOKUP("+2 Wounds, +2 Wounds", vote4SURGE!A:C , 3, False)- 2,
IFERROR(SEARCH("+1 Wound", K12),0) &gt; 0 ,VLOOKUP("+1 Wound", vote4SURGE!A:C , 3, False)- 2,
IFERROR(SEARCH("+2 Wounds", K12),0) &gt; 0 ,VLOOKUP("+2 Wounds", vote4SURGE!A:C , 3, False)- 2,
IFERROR(SEARCH("+3 Wounds", K12),0) &gt; 0,VLOOKUP("+3 Wounds", vote4SURGE!A:C , 3, False)- 2,
IFERROR(SEARCH("+4 Wounds", K12),0) &gt; 0 ,VLOOKUP("+4 Wounds", vote4SURGE!A:C , 3, False)- 2,
IFERROR(SEARCH("+4 Wounds", K12),0) &gt; 0 ,VLOOKUP("+5 Wounds", vote4SURGE!A:C , 3, False)- 2,
0=0,0)
,
IFS(
IFERROR(SEARCH("+1 Range", K12),0) &gt; 0 ,VLOOKUP("+1 Range", vote4SURGE!A:C , 3, FALSE) - 2,
IFERROR(SEARCH("+2 Range", K12),0) &gt; 0 ,VLOOKUP("+2 Range", vote4SURGE!A:C , 3, FALSE) - 2,
IFERROR(SEARCH("+3 Range", K12),0) &gt; 0,VLOOKUP("+3 Range", vote4SURGE!A:C , 3, FALSE) - 2,
0=0,0)
)</f>
        <v>0</v>
      </c>
      <c r="M12" s="318">
        <f t="shared" si="1"/>
        <v>9.5</v>
      </c>
      <c r="N12" s="322"/>
      <c r="O12" s="322"/>
      <c r="P12" s="322"/>
      <c r="Q12" s="322"/>
      <c r="R12" s="322"/>
      <c r="S12" s="322"/>
      <c r="T12" s="322"/>
    </row>
    <row r="13">
      <c r="A13" s="105" t="s">
        <v>1689</v>
      </c>
      <c r="B13" s="93" t="s">
        <v>856</v>
      </c>
      <c r="C13" s="93"/>
      <c r="D13" s="315" t="str">
        <f>IFERROR(__xludf.DUMMYFUNCTION(" IF(ISBLANK(C13),,
SWITCH(
LEN(C13) - LEN(SUBSTITUTE(C13,"","","""")),
0 , VLOOKUP(C13, Variables!$A:$B, 2, FALSE),
1 , VLOOKUP(index(split(C13 ,"", "", FALSE),1,1), Variables!$A:$B , 2, FALSE) + VLOOKUP(index(split(C13 ,"", "", FALSE),1,2), Variables!$A:"&amp;"$B , 2, FALSE),
2 , VLOOKUP(index(split(C13 ,"", "", FALSE),1,1), Variables!$A:$B , 2, FALSE) + VLOOKUP(index(split(C13 ,"", "", FALSE),1,2), Variables!$A:$B , 2, FALSE) + VLOOKUP(index(split(C13 ,"", "", FALSE),1,3), Variables!$A:$B , 2, FALSE),
3 , VLOO"&amp;"KUP(index(split(C13 ,"", "", FALSE),1,1), Variables!$A:$B , 2, FALSE) + VLOOKUP(index(split(C13 ,"", "", FALSE),1,2), Variables!$A:$B , 2, FALSE) + VLOOKUP(index(split(C13 ,"", "", FALSE),1,3), Variables!$A:$B , 2, FALSE) + VLOOKUP(index(split(C13 ,"", """&amp;", FALSE),1,4), Variables!$A:$B , 2, FALSE),
)
)"),"")</f>
        <v/>
      </c>
      <c r="E13" s="105" t="s">
        <v>1695</v>
      </c>
      <c r="F13" s="318">
        <f>IF(E13 = "",,IFERROR(VLOOKUP(B13,vote4ITEMS!$A:$C, 3, FALSE),))</f>
        <v>1.333333333</v>
      </c>
      <c r="G13" s="353"/>
      <c r="H13" s="318" t="str">
        <f>IFERROR(__xludf.DUMMYFUNCTION("IF(ISBLANK(G13),,
IFERROR(
SWITCH(
LEN(G13) - LEN(SUBSTITUTE(G13,"","","""")),
0 , VLOOKUP(G13, vote4TRAITS!$A:$C , 3, FALSE),
1 , VLOOKUP(index(split(G13 ,"", "", FALSE),1,1), vote4TRAITS!$A:$C , 3, FALSE) + VLOOKUP(index(split(G13 ,"", "", FALSE),1,2), "&amp;"vote4TRAITS!$A:$C , 3, FALSE),
2 , VLOOKUP(index(split(G13 ,"", "", FALSE),1,1), vote4TRAITS!$A:$C , 3, FALSE) + VLOOKUP(index(split(G13 ,"", "", FALSE),1,2), vote4TRAITS!$A:$C , 3, FALSE) + VLOOKUP(index(split(G13 ,"", "", FALSE),1,3), vote4TRAITS!$A:$C "&amp;", 3, FALSE),
3 , VLOOKUP(index(split(G13 ,"", "", FALSE),1,1), vote4TRAITS!$A:$C , 3, FALSE) + VLOOKUP(index(split(G13 ,"", "", FALSE),1,2), vote4TRAITS!$A:$C , 3, FALSE) + VLOOKUP(index(split(G13 ,"", "", FALSE),1,3), vote4TRAITS!$A:$C , 3, FALSE) + VLOO"&amp;"KUP(index(split(L25 ,"", "", FALSE),1,4), vote4TRAITS!$A:$C , 3, FALSE)
),
VLOOKUP(B13, vote4TRAITS!$A:$C , 3, FALSE))
)"),"")</f>
        <v/>
      </c>
      <c r="I13" s="351"/>
      <c r="J13" s="318">
        <f>SUM(
IF(IFERROR(SEARCH("Black Venom",I13),0) &gt; 0 , VLOOKUP("Black Venom", vote4SURGE!A:C , 3, FALSE), 0 ),
IF(IFERROR(SEARCH("Bleed",I13),0) &gt; 0 , VLOOKUP("Bleed", vote4SURGE!A:C , 3, FALSE), 0 ),
IF(IFERROR(SEARCH("Blast",I13),0) &gt; 0 , VLOOKUP("Blast", vote4SURGE!A:C , 3, FALSE), 0 ),
IF(IFERROR(SEARCH("Burn",I13),0) &gt; 0 , VLOOKUP("Burn", vote4SURGE!A:C , 3, FALSE), 0 ),
IF(IFERROR(SEARCH("Charge",I13),0) &gt; 0 , VLOOKUP("Charge", vote4SURGE!A:C , 3, FALSE), 0 ),
IF(IFERROR(SEARCH("Colonize",I13),0) &gt; 0 , VLOOKUP("Colonize", vote4SURGE!A:C , 3, FALSE), 0 ),
IF(IFERROR(SEARCH("Curse",I13),0) &gt; 0 , VLOOKUP("Curse", vote4SURGE!A:C , 3, FALSE), 0 ),
IF(IFERROR(SEARCH("Disease",I13),0) &gt; 0 , VLOOKUP("Disease", vote4SURGE!A:C , 3, FALSE), 0 ),
IF(IFERROR(SEARCH("Doom",I13),0) &gt; 0 , VLOOKUP("Doom", vote4SURGE!A:C , 3, FALSE), 0 ),
IF(IFERROR(SEARCH("Feast",I13),0) &gt; 0 , VLOOKUP("Feast", vote4SURGE!A:C , 3, FALSE), 0 ),
IF(IFERROR(SEARCH("Fire Breath",I13),0) &gt; 0 , VLOOKUP("Fire Breath", vote4SURGE!A:C , 3, FALSE), 0 ),
IF(IFERROR(SEARCH("Hunt",I13),0) &gt; 0 , VLOOKUP("Hunt", vote4SURGE!A:C , 3, FALSE), 0 ),
IF(IFERROR(SEARCH("Immobilize",I13),0) &gt; 0 , VLOOKUP("Immobilize", vote4SURGE!A:C , 3, FALSE), 0 ),
IF(IFERROR(SEARCH("Knockback",I13),0) &gt; 0 , VLOOKUP("Knockback", vote4SURGE!A:C , 3, FALSE), 0 ),
IF(IFERROR(SEARCH("Lash",I13),0) &gt; 0 , VLOOKUP("Lash", vote4SURGE!A:C , 3, FALSE), 0 ),
IF(IFERROR(SEARCH("Mend 2",I13),0) &gt; 0 , VLOOKUP("Mend 2", vote4SURGE!A:C , 3, FALSE), 0 ),
IF(IFERROR(SEARCH("Mortal Binding",I13),0) &gt; 0 , VLOOKUP("Mortal Binding", vote4SURGE!A:C , 3, FALSE), 0 ),
IF(IFERROR(SEARCH("Poison",I13),0) &gt; 0 , VLOOKUP("Poison", vote4SURGE!A:C , 3, FALSE), 0 ),
IF(IFERROR(SEARCH("Stun",I13),0) &gt; 0 , VLOOKUP("Stun", vote4SURGE!A:C , 3, FALSE), 0 ),
IF(IFERROR(SEARCH("Swarm",I13),0) &gt; 0 , VLOOKUP("Swarm", vote4SURGE!A:C , 3, FALSE), 0 ),
IF(IFERROR(SEARCH("Terrify",I13),0) &gt; 0 , VLOOKUP("Terrify", vote4SURGE!A:C , 3, FALSE), 0 ),
IF(IFERROR(SEARCH("Weaken",I13),0) &gt; 0 , VLOOKUP("Weaken", vote4SURGE!A:C , 3, FALSE), 0 ),
IF(IFERROR(SEARCH("Wither",I13),0) &gt; 0 , VLOOKUP("Wither", vote4SURGE!A:C , 3, FALSE), 0 ),
IFS(
IFERROR(SEARCH("Sorcery 1", I13),0) &gt; 0 ,VLOOKUP("Sorcery 1", vote4SURGE!A:C , 3, FALSE),
IFERROR(SEARCH("Sorcery 2", I13),0) &gt; 0 ,VLOOKUP("Sorcery 2", vote4SURGE!A:C , 3, FALSE),
IFERROR(SEARCH("Sorcery 3", I13),0) &gt; 0,VLOOKUP("Sorcery 3", vote4SURGE!A:C , 3, FALSE),
0=0,0)
,
IFS(
IFERROR(SEARCH("Pierce 1", I13),0) &gt; 0 ,VLOOKUP("Pierce 1", vote4SURGE!A:C , 3, FALSE),
IFERROR(SEARCH("Pierce 2", I13),0) &gt; 0 ,VLOOKUP("Pierce 2", vote4SURGE!A:C , 3, FALSE),
IFERROR(SEARCH("Pierce 3", I13),0) &gt; 0,VLOOKUP("Pierce 3", vote4SURGE!A:C , 3, FALSE),
IFERROR(SEARCH("Pierce 4", I13),0) &gt; 0 ,VLOOKUP("Pierce 4", vote4SURGE!A:C , 3, FALSE),
IFERROR(SEARCH("Pierce 5", I13),0) &gt; 0 ,VLOOKUP("Pierce 5", vote4SURGE!A:C , 3, FALSE),
0=0,0)
,
IFS(
IFERROR(SEARCH("+1 Range, +1 Wound", I13),0) &gt; 0 ,VLOOKUP("+1 Range, +1 Wound", vote4SURGE!A:C , 3, False),
IFERROR(SEARCH("+2 Range, +1 Wound", I13),0) &gt; 0 ,VLOOKUP("+2 Range, +1 Wound", vote4SURGE!A:C , 3, False),
IFERROR(SEARCH("+1 Wound, +1 Wound", I13),0) &gt; 0 ,VLOOKUP("+1 Wound, +1 Wound", vote4SURGE!A:C , 3, False),
IFERROR(SEARCH("+2 Wounds, +2 Wounds", I13),0) &gt; 0 ,VLOOKUP("+2 Wounds, +2 Wounds", vote4SURGE!A:C , 3, False),
IFERROR(SEARCH("+1 Wound", I13),0) &gt; 0 ,VLOOKUP("+1 Wound", vote4SURGE!A:C , 3, False),
IFERROR(SEARCH("+2 Wounds", I13),0) &gt; 0 ,VLOOKUP("+2 Wounds", vote4SURGE!A:C , 3, False),
IFERROR(SEARCH("+3 Wounds", I13),0) &gt; 0,VLOOKUP("+3 Wounds", vote4SURGE!A:C , 3, False),
IFERROR(SEARCH("+4 Wounds", I13),0) &gt; 0 ,VLOOKUP("+4 Wounds", vote4SURGE!A:C , 3, False),
0=0,0)
,
IFS(
IFERROR(SEARCH("+1 Range", I13),0) &gt; 0 ,VLOOKUP("+1 Range", vote4SURGE!A:C , 3, FALSE),
IFERROR(SEARCH("+2 Range", I13),0) &gt; 0 ,VLOOKUP("+2 Range", vote4SURGE!A:C , 3, FALSE),
IFERROR(SEARCH("+3 Range", I13),0) &gt; 0,VLOOKUP("+3 Range", vote4SURGE!A:C , 3, FALSE),
IFERROR(SEARCH("+4 Range", I13),0) &gt; 0,VLOOKUP("+4 Range", vote4SURGE!A:C , 3, FALSE),
0=0,0),
IFS(
IFERROR(SEARCH("Recover 1 Heart", I13),0) &gt; 0 ,VLOOKUP("Recover 1 Heart", vote4SURGE!A:C , 3, FALSE),
IFERROR(SEARCH("Recover 2 Heart", I13),0) &gt; 0 ,VLOOKUP("Recover 2 Heart", vote4SURGE!A:C , 3, FALSE),
0=0,0),
IFS(
IFERROR(SEARCH("Recover 1 Fatigue", I13),0) &gt; 0,VLOOKUP("Recover 1 Fatigue", vote4SURGE!A:C , 3, FALSE),
IFERROR(SEARCH("Recover 2 Fatigue", I13),0) &gt; 0,VLOOKUP("Recover 2 Fatigue", vote4SURGE!A:C , 3, FALSE),
0=0,0),
IFERROR(VLOOKUP(B13, vote4SURGE!A:C , 3, FALSE),)
)</f>
        <v>0</v>
      </c>
      <c r="K13" s="352"/>
      <c r="L13" s="318">
        <f>SUM(
IF(IFERROR(SEARCH("Black Venom",K13),0) &gt; 0 , VLOOKUP("Black Venom", vote4SURGE!A:C , 3, FALSE) - 2, 0 ),
IF(IFERROR(SEARCH("Bleed",K13),0) &gt; 0 , VLOOKUP("Bleed", vote4SURGE!A:C , 3, FALSE) - 2, 0 ),
IF(IFERROR(SEARCH("Blast",K13),0) &gt; 0 , VLOOKUP("Blast", vote4SURGE!A:C , 3, FALSE) - 2, 0 ),
IF(IFERROR(SEARCH("Burn",K13),0) &gt; 0 , VLOOKUP("Burn", vote4SURGE!A:C , 3, FALSE) - 2, 0 ),
IF(IFERROR(SEARCH("Charge",K13),0) &gt; 0 , VLOOKUP("Charge", vote4SURGE!A:C , 3, FALSE) - 2, 0 ),
IF(IFERROR(SEARCH("Colonize",K13),0) &gt; 0 , VLOOKUP("Colonize", vote4SURGE!A:C , 3, FALSE) - 2, 0 ),
IF(IFERROR(SEARCH("Curse",K13),0) &gt; 0 , VLOOKUP("Curse", vote4SURGE!A:C , 3, FALSE) - 2, 0 ),
IF(IFERROR(SEARCH("Disease",K13),0) &gt; 0 , VLOOKUP("Disease", vote4SURGE!A:C , 3, FALSE) - 2, 0 ),
IF(IFERROR(SEARCH("Doom",K13),0) &gt; 0 , VLOOKUP("Doom", vote4SURGE!A:C , 3, FALSE) - 2, 0 ),
IF(IFERROR(SEARCH("Feast",K13),0) &gt; 0 , VLOOKUP("Feast", vote4SURGE!A:C , 3, FALSE) - 2, 0 ),
IF(IFERROR(SEARCH("Fire Breath",K13),0) &gt; 0 , VLOOKUP("Fire Breath", vote4SURGE!A:C , 3, FALSE) - 2, 0 ),
IF(IFERROR(SEARCH("Hunt",K13),0) &gt; 0 , VLOOKUP("Hunt", vote4SURGE!A:C , 3, FALSE) - 2, 0 ),
IF(IFERROR(SEARCH("Immobilize",K13),0) &gt; 0 , VLOOKUP("Immobilize", vote4SURGE!A:C , 3, FALSE) - 2, 0 ),
IF(IFERROR(SEARCH("Knockback",K13),0) &gt; 0 , VLOOKUP("Knockback", vote4SURGE!A:C , 3, FALSE) - 2, 0 ),
IF(IFERROR(SEARCH("Lash",K13),0) &gt; 0 , VLOOKUP("Lash", vote4SURGE!A:C , 3, FALSE) - 2, 0 ),
IF(IFERROR(SEARCH("Mend 2",K13),0) &gt; 0 , VLOOKUP("Mend 2", vote4SURGE!A:C , 3, FALSE) - 2, 0 ),
IF(IFERROR(SEARCH("Mortal Binding",K13),0) &gt; 0 , VLOOKUP("Mortal Binding", vote4SURGE!A:C , 3, FALSE) - 2, 0 ),
IF(IFERROR(SEARCH("Poison",K13),0) &gt; 0 , VLOOKUP("Poison", vote4SURGE!A:C , 3, FALSE) - 2, 0 ),
IF(IFERROR(SEARCH("Stun",K13),0) &gt; 0 , VLOOKUP("Stun", vote4SURGE!A:C , 3, FALSE) - 2, 0 ),
IF(IFERROR(SEARCH("Swarm",K13),0) &gt; 0 , VLOOKUP("Swarm", vote4SURGE!A:C , 3, FALSE) - 2, 0 ),
IF(IFERROR(SEARCH("Terrify",K13),0) &gt; 0 , VLOOKUP("Terrify", vote4SURGE!A:C , 3, FALSE) - 2, 0 ),
IF(IFERROR(SEARCH("Weaken",K13),0) &gt; 0 , VLOOKUP("Weaken", vote4SURGE!A:C , 3, FALSE) - 2, 0 ),
IF(IFERROR(SEARCH("Wither",K13),0) &gt; 0 , VLOOKUP("Wither", vote4SURGE!A:C , 3, FALSE) - 2, 0 ),
IFS(
IFERROR(SEARCH("Sorcery 1", K13),0) &gt; 0 ,VLOOKUP("Sorcery 1", vote4SURGE!A:C , 3, FALSE) - 2,
IFERROR(SEARCH("Sorcery 2", K13),0) &gt; 0 ,VLOOKUP("Sorcery 2", vote4SURGE!A:C , 3, FALSE) - 2,
IFERROR(SEARCH("Sorcery 3", K13),0) &gt; 0,VLOOKUP("Sorcery 3", vote4SURGE!A:C , 3, FALSE) - 2,
0=0,0)
,
IFS(
IFERROR(SEARCH("Pierce 1", K13),0) &gt; 0 ,VLOOKUP("Pierce 1", vote4SURGE!A:C , 3, FALSE) - 2,
IFERROR(SEARCH("Pierce 2", K13),0) &gt; 0 ,VLOOKUP("Pierce 2", vote4SURGE!A:C , 3, FALSE) - 2,
IFERROR(SEARCH("Pierce 3", K13),0) &gt; 0,VLOOKUP("Pierce 3", vote4SURGE!A:C , 3, FALSE) - 2,
IFERROR(SEARCH("Pierce 4", K13),0) &gt; 0 ,VLOOKUP("Pierce 4", vote4SURGE!A:C , 3, FALSE) - 2,
0=0,0)
,
IFS(
IFERROR(SEARCH("+1 Wound, +1 Wound", K13),0) &gt; 0 ,VLOOKUP("+1 Wound, +1 Wound", vote4SURGE!A:C , 3, False) - 2,
IFERROR(SEARCH("+2 Wounds, +2 Wounds", K13),0) &gt; 0 ,VLOOKUP("+2 Wounds, +2 Wounds", vote4SURGE!A:C , 3, False)- 2,
IFERROR(SEARCH("+1 Wound", K13),0) &gt; 0 ,VLOOKUP("+1 Wound", vote4SURGE!A:C , 3, False)- 2,
IFERROR(SEARCH("+2 Wounds", K13),0) &gt; 0 ,VLOOKUP("+2 Wounds", vote4SURGE!A:C , 3, False)- 2,
IFERROR(SEARCH("+3 Wounds", K13),0) &gt; 0,VLOOKUP("+3 Wounds", vote4SURGE!A:C , 3, False)- 2,
IFERROR(SEARCH("+4 Wounds", K13),0) &gt; 0 ,VLOOKUP("+4 Wounds", vote4SURGE!A:C , 3, False)- 2,
IFERROR(SEARCH("+4 Wounds", K13),0) &gt; 0 ,VLOOKUP("+5 Wounds", vote4SURGE!A:C , 3, False)- 2,
0=0,0)
,
IFS(
IFERROR(SEARCH("+1 Range", K13),0) &gt; 0 ,VLOOKUP("+1 Range", vote4SURGE!A:C , 3, FALSE) - 2,
IFERROR(SEARCH("+2 Range", K13),0) &gt; 0 ,VLOOKUP("+2 Range", vote4SURGE!A:C , 3, FALSE) - 2,
IFERROR(SEARCH("+3 Range", K13),0) &gt; 0,VLOOKUP("+3 Range", vote4SURGE!A:C , 3, FALSE) - 2,
0=0,0)
)</f>
        <v>0</v>
      </c>
      <c r="M13" s="318">
        <f t="shared" si="1"/>
        <v>1.333333333</v>
      </c>
      <c r="N13" s="322"/>
      <c r="O13" s="322"/>
      <c r="P13" s="322"/>
      <c r="Q13" s="322"/>
      <c r="R13" s="322"/>
      <c r="S13" s="322"/>
      <c r="T13" s="322"/>
    </row>
    <row r="14">
      <c r="A14" s="105" t="s">
        <v>1689</v>
      </c>
      <c r="B14" s="105" t="s">
        <v>864</v>
      </c>
      <c r="C14" s="93"/>
      <c r="D14" s="315" t="str">
        <f>IFERROR(__xludf.DUMMYFUNCTION(" IF(ISBLANK(C14),,
SWITCH(
LEN(C14) - LEN(SUBSTITUTE(C14,"","","""")),
0 , VLOOKUP(C14, Variables!$A:$B, 2, FALSE),
1 , VLOOKUP(index(split(C14 ,"", "", FALSE),1,1), Variables!$A:$B , 2, FALSE) + VLOOKUP(index(split(C14 ,"", "", FALSE),1,2), Variables!$A:"&amp;"$B , 2, FALSE),
2 , VLOOKUP(index(split(C14 ,"", "", FALSE),1,1), Variables!$A:$B , 2, FALSE) + VLOOKUP(index(split(C14 ,"", "", FALSE),1,2), Variables!$A:$B , 2, FALSE) + VLOOKUP(index(split(C14 ,"", "", FALSE),1,3), Variables!$A:$B , 2, FALSE),
3 , VLOO"&amp;"KUP(index(split(C14 ,"", "", FALSE),1,1), Variables!$A:$B , 2, FALSE) + VLOOKUP(index(split(C14 ,"", "", FALSE),1,2), Variables!$A:$B , 2, FALSE) + VLOOKUP(index(split(C14 ,"", "", FALSE),1,3), Variables!$A:$B , 2, FALSE) + VLOOKUP(index(split(C14 ,"", """&amp;", FALSE),1,4), Variables!$A:$B , 2, FALSE),
)
)"),"")</f>
        <v/>
      </c>
      <c r="E14" s="93" t="s">
        <v>865</v>
      </c>
      <c r="F14" s="318">
        <f>IF(E14 = "",,IFERROR(VLOOKUP(B14,vote4ITEMS!$A:$C, 3, FALSE),))</f>
        <v>1.333333333</v>
      </c>
      <c r="G14" s="353"/>
      <c r="H14" s="318" t="str">
        <f>IFERROR(__xludf.DUMMYFUNCTION("IF(ISBLANK(G14),,
IFERROR(
SWITCH(
LEN(G14) - LEN(SUBSTITUTE(G14,"","","""")),
0 , VLOOKUP(G14, vote4TRAITS!$A:$C , 3, FALSE),
1 , VLOOKUP(index(split(G14 ,"", "", FALSE),1,1), vote4TRAITS!$A:$C , 3, FALSE) + VLOOKUP(index(split(G14 ,"", "", FALSE),1,2), "&amp;"vote4TRAITS!$A:$C , 3, FALSE),
2 , VLOOKUP(index(split(G14 ,"", "", FALSE),1,1), vote4TRAITS!$A:$C , 3, FALSE) + VLOOKUP(index(split(G14 ,"", "", FALSE),1,2), vote4TRAITS!$A:$C , 3, FALSE) + VLOOKUP(index(split(G14 ,"", "", FALSE),1,3), vote4TRAITS!$A:$C "&amp;", 3, FALSE),
3 , VLOOKUP(index(split(G14 ,"", "", FALSE),1,1), vote4TRAITS!$A:$C , 3, FALSE) + VLOOKUP(index(split(G14 ,"", "", FALSE),1,2), vote4TRAITS!$A:$C , 3, FALSE) + VLOOKUP(index(split(G14 ,"", "", FALSE),1,3), vote4TRAITS!$A:$C , 3, FALSE) + VLOO"&amp;"KUP(index(split(L26 ,"", "", FALSE),1,4), vote4TRAITS!$A:$C , 3, FALSE)
),
VLOOKUP(B14, vote4TRAITS!$A:$C , 3, FALSE))
)"),"")</f>
        <v/>
      </c>
      <c r="I14" s="351"/>
      <c r="J14" s="318">
        <f>SUM(
IF(IFERROR(SEARCH("Black Venom",I14),0) &gt; 0 , VLOOKUP("Black Venom", vote4SURGE!A:C , 3, FALSE), 0 ),
IF(IFERROR(SEARCH("Bleed",I14),0) &gt; 0 , VLOOKUP("Bleed", vote4SURGE!A:C , 3, FALSE), 0 ),
IF(IFERROR(SEARCH("Blast",I14),0) &gt; 0 , VLOOKUP("Blast", vote4SURGE!A:C , 3, FALSE), 0 ),
IF(IFERROR(SEARCH("Burn",I14),0) &gt; 0 , VLOOKUP("Burn", vote4SURGE!A:C , 3, FALSE), 0 ),
IF(IFERROR(SEARCH("Charge",I14),0) &gt; 0 , VLOOKUP("Charge", vote4SURGE!A:C , 3, FALSE), 0 ),
IF(IFERROR(SEARCH("Colonize",I14),0) &gt; 0 , VLOOKUP("Colonize", vote4SURGE!A:C , 3, FALSE), 0 ),
IF(IFERROR(SEARCH("Curse",I14),0) &gt; 0 , VLOOKUP("Curse", vote4SURGE!A:C , 3, FALSE), 0 ),
IF(IFERROR(SEARCH("Disease",I14),0) &gt; 0 , VLOOKUP("Disease", vote4SURGE!A:C , 3, FALSE), 0 ),
IF(IFERROR(SEARCH("Doom",I14),0) &gt; 0 , VLOOKUP("Doom", vote4SURGE!A:C , 3, FALSE), 0 ),
IF(IFERROR(SEARCH("Feast",I14),0) &gt; 0 , VLOOKUP("Feast", vote4SURGE!A:C , 3, FALSE), 0 ),
IF(IFERROR(SEARCH("Fire Breath",I14),0) &gt; 0 , VLOOKUP("Fire Breath", vote4SURGE!A:C , 3, FALSE), 0 ),
IF(IFERROR(SEARCH("Hunt",I14),0) &gt; 0 , VLOOKUP("Hunt", vote4SURGE!A:C , 3, FALSE), 0 ),
IF(IFERROR(SEARCH("Immobilize",I14),0) &gt; 0 , VLOOKUP("Immobilize", vote4SURGE!A:C , 3, FALSE), 0 ),
IF(IFERROR(SEARCH("Knockback",I14),0) &gt; 0 , VLOOKUP("Knockback", vote4SURGE!A:C , 3, FALSE), 0 ),
IF(IFERROR(SEARCH("Lash",I14),0) &gt; 0 , VLOOKUP("Lash", vote4SURGE!A:C , 3, FALSE), 0 ),
IF(IFERROR(SEARCH("Mend 2",I14),0) &gt; 0 , VLOOKUP("Mend 2", vote4SURGE!A:C , 3, FALSE), 0 ),
IF(IFERROR(SEARCH("Mortal Binding",I14),0) &gt; 0 , VLOOKUP("Mortal Binding", vote4SURGE!A:C , 3, FALSE), 0 ),
IF(IFERROR(SEARCH("Poison",I14),0) &gt; 0 , VLOOKUP("Poison", vote4SURGE!A:C , 3, FALSE), 0 ),
IF(IFERROR(SEARCH("Stun",I14),0) &gt; 0 , VLOOKUP("Stun", vote4SURGE!A:C , 3, FALSE), 0 ),
IF(IFERROR(SEARCH("Swarm",I14),0) &gt; 0 , VLOOKUP("Swarm", vote4SURGE!A:C , 3, FALSE), 0 ),
IF(IFERROR(SEARCH("Terrify",I14),0) &gt; 0 , VLOOKUP("Terrify", vote4SURGE!A:C , 3, FALSE), 0 ),
IF(IFERROR(SEARCH("Weaken",I14),0) &gt; 0 , VLOOKUP("Weaken", vote4SURGE!A:C , 3, FALSE), 0 ),
IF(IFERROR(SEARCH("Wither",I14),0) &gt; 0 , VLOOKUP("Wither", vote4SURGE!A:C , 3, FALSE), 0 ),
IFS(
IFERROR(SEARCH("Sorcery 1", I14),0) &gt; 0 ,VLOOKUP("Sorcery 1", vote4SURGE!A:C , 3, FALSE),
IFERROR(SEARCH("Sorcery 2", I14),0) &gt; 0 ,VLOOKUP("Sorcery 2", vote4SURGE!A:C , 3, FALSE),
IFERROR(SEARCH("Sorcery 3", I14),0) &gt; 0,VLOOKUP("Sorcery 3", vote4SURGE!A:C , 3, FALSE),
0=0,0)
,
IFS(
IFERROR(SEARCH("Pierce 1", I14),0) &gt; 0 ,VLOOKUP("Pierce 1", vote4SURGE!A:C , 3, FALSE),
IFERROR(SEARCH("Pierce 2", I14),0) &gt; 0 ,VLOOKUP("Pierce 2", vote4SURGE!A:C , 3, FALSE),
IFERROR(SEARCH("Pierce 3", I14),0) &gt; 0,VLOOKUP("Pierce 3", vote4SURGE!A:C , 3, FALSE),
IFERROR(SEARCH("Pierce 4", I14),0) &gt; 0 ,VLOOKUP("Pierce 4", vote4SURGE!A:C , 3, FALSE),
IFERROR(SEARCH("Pierce 5", I14),0) &gt; 0 ,VLOOKUP("Pierce 5", vote4SURGE!A:C , 3, FALSE),
0=0,0)
,
IFS(
IFERROR(SEARCH("+1 Range, +1 Wound", I14),0) &gt; 0 ,VLOOKUP("+1 Range, +1 Wound", vote4SURGE!A:C , 3, False),
IFERROR(SEARCH("+2 Range, +1 Wound", I14),0) &gt; 0 ,VLOOKUP("+2 Range, +1 Wound", vote4SURGE!A:C , 3, False),
IFERROR(SEARCH("+1 Wound, +1 Wound", I14),0) &gt; 0 ,VLOOKUP("+1 Wound, +1 Wound", vote4SURGE!A:C , 3, False),
IFERROR(SEARCH("+2 Wounds, +2 Wounds", I14),0) &gt; 0 ,VLOOKUP("+2 Wounds, +2 Wounds", vote4SURGE!A:C , 3, False),
IFERROR(SEARCH("+1 Wound", I14),0) &gt; 0 ,VLOOKUP("+1 Wound", vote4SURGE!A:C , 3, False),
IFERROR(SEARCH("+2 Wounds", I14),0) &gt; 0 ,VLOOKUP("+2 Wounds", vote4SURGE!A:C , 3, False),
IFERROR(SEARCH("+3 Wounds", I14),0) &gt; 0,VLOOKUP("+3 Wounds", vote4SURGE!A:C , 3, False),
IFERROR(SEARCH("+4 Wounds", I14),0) &gt; 0 ,VLOOKUP("+4 Wounds", vote4SURGE!A:C , 3, False),
0=0,0)
,
IFS(
IFERROR(SEARCH("+1 Range", I14),0) &gt; 0 ,VLOOKUP("+1 Range", vote4SURGE!A:C , 3, FALSE),
IFERROR(SEARCH("+2 Range", I14),0) &gt; 0 ,VLOOKUP("+2 Range", vote4SURGE!A:C , 3, FALSE),
IFERROR(SEARCH("+3 Range", I14),0) &gt; 0,VLOOKUP("+3 Range", vote4SURGE!A:C , 3, FALSE),
IFERROR(SEARCH("+4 Range", I14),0) &gt; 0,VLOOKUP("+4 Range", vote4SURGE!A:C , 3, FALSE),
0=0,0),
IFS(
IFERROR(SEARCH("Recover 1 Heart", I14),0) &gt; 0 ,VLOOKUP("Recover 1 Heart", vote4SURGE!A:C , 3, FALSE),
IFERROR(SEARCH("Recover 2 Heart", I14),0) &gt; 0 ,VLOOKUP("Recover 2 Heart", vote4SURGE!A:C , 3, FALSE),
0=0,0),
IFS(
IFERROR(SEARCH("Recover 1 Fatigue", I14),0) &gt; 0,VLOOKUP("Recover 1 Fatigue", vote4SURGE!A:C , 3, FALSE),
IFERROR(SEARCH("Recover 2 Fatigue", I14),0) &gt; 0,VLOOKUP("Recover 2 Fatigue", vote4SURGE!A:C , 3, FALSE),
0=0,0),
IFERROR(VLOOKUP(B14, vote4SURGE!A:C , 3, FALSE),)
)</f>
        <v>0</v>
      </c>
      <c r="K14" s="352"/>
      <c r="L14" s="318">
        <f>SUM(
IF(IFERROR(SEARCH("Black Venom",K14),0) &gt; 0 , VLOOKUP("Black Venom", vote4SURGE!A:C , 3, FALSE) - 2, 0 ),
IF(IFERROR(SEARCH("Bleed",K14),0) &gt; 0 , VLOOKUP("Bleed", vote4SURGE!A:C , 3, FALSE) - 2, 0 ),
IF(IFERROR(SEARCH("Blast",K14),0) &gt; 0 , VLOOKUP("Blast", vote4SURGE!A:C , 3, FALSE) - 2, 0 ),
IF(IFERROR(SEARCH("Burn",K14),0) &gt; 0 , VLOOKUP("Burn", vote4SURGE!A:C , 3, FALSE) - 2, 0 ),
IF(IFERROR(SEARCH("Charge",K14),0) &gt; 0 , VLOOKUP("Charge", vote4SURGE!A:C , 3, FALSE) - 2, 0 ),
IF(IFERROR(SEARCH("Colonize",K14),0) &gt; 0 , VLOOKUP("Colonize", vote4SURGE!A:C , 3, FALSE) - 2, 0 ),
IF(IFERROR(SEARCH("Curse",K14),0) &gt; 0 , VLOOKUP("Curse", vote4SURGE!A:C , 3, FALSE) - 2, 0 ),
IF(IFERROR(SEARCH("Disease",K14),0) &gt; 0 , VLOOKUP("Disease", vote4SURGE!A:C , 3, FALSE) - 2, 0 ),
IF(IFERROR(SEARCH("Doom",K14),0) &gt; 0 , VLOOKUP("Doom", vote4SURGE!A:C , 3, FALSE) - 2, 0 ),
IF(IFERROR(SEARCH("Feast",K14),0) &gt; 0 , VLOOKUP("Feast", vote4SURGE!A:C , 3, FALSE) - 2, 0 ),
IF(IFERROR(SEARCH("Fire Breath",K14),0) &gt; 0 , VLOOKUP("Fire Breath", vote4SURGE!A:C , 3, FALSE) - 2, 0 ),
IF(IFERROR(SEARCH("Hunt",K14),0) &gt; 0 , VLOOKUP("Hunt", vote4SURGE!A:C , 3, FALSE) - 2, 0 ),
IF(IFERROR(SEARCH("Immobilize",K14),0) &gt; 0 , VLOOKUP("Immobilize", vote4SURGE!A:C , 3, FALSE) - 2, 0 ),
IF(IFERROR(SEARCH("Knockback",K14),0) &gt; 0 , VLOOKUP("Knockback", vote4SURGE!A:C , 3, FALSE) - 2, 0 ),
IF(IFERROR(SEARCH("Lash",K14),0) &gt; 0 , VLOOKUP("Lash", vote4SURGE!A:C , 3, FALSE) - 2, 0 ),
IF(IFERROR(SEARCH("Mend 2",K14),0) &gt; 0 , VLOOKUP("Mend 2", vote4SURGE!A:C , 3, FALSE) - 2, 0 ),
IF(IFERROR(SEARCH("Mortal Binding",K14),0) &gt; 0 , VLOOKUP("Mortal Binding", vote4SURGE!A:C , 3, FALSE) - 2, 0 ),
IF(IFERROR(SEARCH("Poison",K14),0) &gt; 0 , VLOOKUP("Poison", vote4SURGE!A:C , 3, FALSE) - 2, 0 ),
IF(IFERROR(SEARCH("Stun",K14),0) &gt; 0 , VLOOKUP("Stun", vote4SURGE!A:C , 3, FALSE) - 2, 0 ),
IF(IFERROR(SEARCH("Swarm",K14),0) &gt; 0 , VLOOKUP("Swarm", vote4SURGE!A:C , 3, FALSE) - 2, 0 ),
IF(IFERROR(SEARCH("Terrify",K14),0) &gt; 0 , VLOOKUP("Terrify", vote4SURGE!A:C , 3, FALSE) - 2, 0 ),
IF(IFERROR(SEARCH("Weaken",K14),0) &gt; 0 , VLOOKUP("Weaken", vote4SURGE!A:C , 3, FALSE) - 2, 0 ),
IF(IFERROR(SEARCH("Wither",K14),0) &gt; 0 , VLOOKUP("Wither", vote4SURGE!A:C , 3, FALSE) - 2, 0 ),
IFS(
IFERROR(SEARCH("Sorcery 1", K14),0) &gt; 0 ,VLOOKUP("Sorcery 1", vote4SURGE!A:C , 3, FALSE) - 2,
IFERROR(SEARCH("Sorcery 2", K14),0) &gt; 0 ,VLOOKUP("Sorcery 2", vote4SURGE!A:C , 3, FALSE) - 2,
IFERROR(SEARCH("Sorcery 3", K14),0) &gt; 0,VLOOKUP("Sorcery 3", vote4SURGE!A:C , 3, FALSE) - 2,
0=0,0)
,
IFS(
IFERROR(SEARCH("Pierce 1", K14),0) &gt; 0 ,VLOOKUP("Pierce 1", vote4SURGE!A:C , 3, FALSE) - 2,
IFERROR(SEARCH("Pierce 2", K14),0) &gt; 0 ,VLOOKUP("Pierce 2", vote4SURGE!A:C , 3, FALSE) - 2,
IFERROR(SEARCH("Pierce 3", K14),0) &gt; 0,VLOOKUP("Pierce 3", vote4SURGE!A:C , 3, FALSE) - 2,
IFERROR(SEARCH("Pierce 4", K14),0) &gt; 0 ,VLOOKUP("Pierce 4", vote4SURGE!A:C , 3, FALSE) - 2,
0=0,0)
,
IFS(
IFERROR(SEARCH("+1 Wound, +1 Wound", K14),0) &gt; 0 ,VLOOKUP("+1 Wound, +1 Wound", vote4SURGE!A:C , 3, False) - 2,
IFERROR(SEARCH("+2 Wounds, +2 Wounds", K14),0) &gt; 0 ,VLOOKUP("+2 Wounds, +2 Wounds", vote4SURGE!A:C , 3, False)- 2,
IFERROR(SEARCH("+1 Wound", K14),0) &gt; 0 ,VLOOKUP("+1 Wound", vote4SURGE!A:C , 3, False)- 2,
IFERROR(SEARCH("+2 Wounds", K14),0) &gt; 0 ,VLOOKUP("+2 Wounds", vote4SURGE!A:C , 3, False)- 2,
IFERROR(SEARCH("+3 Wounds", K14),0) &gt; 0,VLOOKUP("+3 Wounds", vote4SURGE!A:C , 3, False)- 2,
IFERROR(SEARCH("+4 Wounds", K14),0) &gt; 0 ,VLOOKUP("+4 Wounds", vote4SURGE!A:C , 3, False)- 2,
IFERROR(SEARCH("+4 Wounds", K14),0) &gt; 0 ,VLOOKUP("+5 Wounds", vote4SURGE!A:C , 3, False)- 2,
0=0,0)
,
IFS(
IFERROR(SEARCH("+1 Range", K14),0) &gt; 0 ,VLOOKUP("+1 Range", vote4SURGE!A:C , 3, FALSE) - 2,
IFERROR(SEARCH("+2 Range", K14),0) &gt; 0 ,VLOOKUP("+2 Range", vote4SURGE!A:C , 3, FALSE) - 2,
IFERROR(SEARCH("+3 Range", K14),0) &gt; 0,VLOOKUP("+3 Range", vote4SURGE!A:C , 3, FALSE) - 2,
0=0,0)
)</f>
        <v>0</v>
      </c>
      <c r="M14" s="318">
        <f t="shared" si="1"/>
        <v>1.333333333</v>
      </c>
      <c r="N14" s="322"/>
      <c r="O14" s="322"/>
      <c r="P14" s="322"/>
      <c r="Q14" s="322"/>
      <c r="R14" s="322"/>
      <c r="S14" s="322"/>
      <c r="T14" s="322"/>
    </row>
    <row r="15">
      <c r="A15" s="105" t="s">
        <v>1689</v>
      </c>
      <c r="B15" s="93" t="s">
        <v>868</v>
      </c>
      <c r="C15" s="93"/>
      <c r="D15" s="315" t="str">
        <f>IFERROR(__xludf.DUMMYFUNCTION(" IF(ISBLANK(C15),,
SWITCH(
LEN(C15) - LEN(SUBSTITUTE(C15,"","","""")),
0 , VLOOKUP(C15, Variables!$A:$B, 2, FALSE),
1 , VLOOKUP(index(split(C15 ,"", "", FALSE),1,1), Variables!$A:$B , 2, FALSE) + VLOOKUP(index(split(C15 ,"", "", FALSE),1,2), Variables!$A:"&amp;"$B , 2, FALSE),
2 , VLOOKUP(index(split(C15 ,"", "", FALSE),1,1), Variables!$A:$B , 2, FALSE) + VLOOKUP(index(split(C15 ,"", "", FALSE),1,2), Variables!$A:$B , 2, FALSE) + VLOOKUP(index(split(C15 ,"", "", FALSE),1,3), Variables!$A:$B , 2, FALSE),
3 , VLOO"&amp;"KUP(index(split(C15 ,"", "", FALSE),1,1), Variables!$A:$B , 2, FALSE) + VLOOKUP(index(split(C15 ,"", "", FALSE),1,2), Variables!$A:$B , 2, FALSE) + VLOOKUP(index(split(C15 ,"", "", FALSE),1,3), Variables!$A:$B , 2, FALSE) + VLOOKUP(index(split(C15 ,"", """&amp;", FALSE),1,4), Variables!$A:$B , 2, FALSE),
)
)"),"")</f>
        <v/>
      </c>
      <c r="E15" s="93" t="s">
        <v>869</v>
      </c>
      <c r="F15" s="318">
        <f>IF(E15 = "",,IFERROR(VLOOKUP(B15,vote4ITEMS!$A:$C, 3, FALSE),))</f>
        <v>3.666666667</v>
      </c>
      <c r="G15" s="353"/>
      <c r="H15" s="318" t="str">
        <f>IFERROR(__xludf.DUMMYFUNCTION("IF(ISBLANK(G15),,
IFERROR(
SWITCH(
LEN(G15) - LEN(SUBSTITUTE(G15,"","","""")),
0 , VLOOKUP(G15, vote4TRAITS!$A:$C , 3, FALSE),
1 , VLOOKUP(index(split(G15 ,"", "", FALSE),1,1), vote4TRAITS!$A:$C , 3, FALSE) + VLOOKUP(index(split(G15 ,"", "", FALSE),1,2), "&amp;"vote4TRAITS!$A:$C , 3, FALSE),
2 , VLOOKUP(index(split(G15 ,"", "", FALSE),1,1), vote4TRAITS!$A:$C , 3, FALSE) + VLOOKUP(index(split(G15 ,"", "", FALSE),1,2), vote4TRAITS!$A:$C , 3, FALSE) + VLOOKUP(index(split(G15 ,"", "", FALSE),1,3), vote4TRAITS!$A:$C "&amp;", 3, FALSE),
3 , VLOOKUP(index(split(G15 ,"", "", FALSE),1,1), vote4TRAITS!$A:$C , 3, FALSE) + VLOOKUP(index(split(G15 ,"", "", FALSE),1,2), vote4TRAITS!$A:$C , 3, FALSE) + VLOOKUP(index(split(G15 ,"", "", FALSE),1,3), vote4TRAITS!$A:$C , 3, FALSE) + VLOO"&amp;"KUP(index(split(L27 ,"", "", FALSE),1,4), vote4TRAITS!$A:$C , 3, FALSE)
),
VLOOKUP(B15, vote4TRAITS!$A:$C , 3, FALSE))
)"),"")</f>
        <v/>
      </c>
      <c r="I15" s="351"/>
      <c r="J15" s="318">
        <f>SUM(
IF(IFERROR(SEARCH("Black Venom",I15),0) &gt; 0 , VLOOKUP("Black Venom", vote4SURGE!A:C , 3, FALSE), 0 ),
IF(IFERROR(SEARCH("Bleed",I15),0) &gt; 0 , VLOOKUP("Bleed", vote4SURGE!A:C , 3, FALSE), 0 ),
IF(IFERROR(SEARCH("Blast",I15),0) &gt; 0 , VLOOKUP("Blast", vote4SURGE!A:C , 3, FALSE), 0 ),
IF(IFERROR(SEARCH("Burn",I15),0) &gt; 0 , VLOOKUP("Burn", vote4SURGE!A:C , 3, FALSE), 0 ),
IF(IFERROR(SEARCH("Charge",I15),0) &gt; 0 , VLOOKUP("Charge", vote4SURGE!A:C , 3, FALSE), 0 ),
IF(IFERROR(SEARCH("Colonize",I15),0) &gt; 0 , VLOOKUP("Colonize", vote4SURGE!A:C , 3, FALSE), 0 ),
IF(IFERROR(SEARCH("Curse",I15),0) &gt; 0 , VLOOKUP("Curse", vote4SURGE!A:C , 3, FALSE), 0 ),
IF(IFERROR(SEARCH("Disease",I15),0) &gt; 0 , VLOOKUP("Disease", vote4SURGE!A:C , 3, FALSE), 0 ),
IF(IFERROR(SEARCH("Doom",I15),0) &gt; 0 , VLOOKUP("Doom", vote4SURGE!A:C , 3, FALSE), 0 ),
IF(IFERROR(SEARCH("Feast",I15),0) &gt; 0 , VLOOKUP("Feast", vote4SURGE!A:C , 3, FALSE), 0 ),
IF(IFERROR(SEARCH("Fire Breath",I15),0) &gt; 0 , VLOOKUP("Fire Breath", vote4SURGE!A:C , 3, FALSE), 0 ),
IF(IFERROR(SEARCH("Hunt",I15),0) &gt; 0 , VLOOKUP("Hunt", vote4SURGE!A:C , 3, FALSE), 0 ),
IF(IFERROR(SEARCH("Immobilize",I15),0) &gt; 0 , VLOOKUP("Immobilize", vote4SURGE!A:C , 3, FALSE), 0 ),
IF(IFERROR(SEARCH("Knockback",I15),0) &gt; 0 , VLOOKUP("Knockback", vote4SURGE!A:C , 3, FALSE), 0 ),
IF(IFERROR(SEARCH("Lash",I15),0) &gt; 0 , VLOOKUP("Lash", vote4SURGE!A:C , 3, FALSE), 0 ),
IF(IFERROR(SEARCH("Mend 2",I15),0) &gt; 0 , VLOOKUP("Mend 2", vote4SURGE!A:C , 3, FALSE), 0 ),
IF(IFERROR(SEARCH("Mortal Binding",I15),0) &gt; 0 , VLOOKUP("Mortal Binding", vote4SURGE!A:C , 3, FALSE), 0 ),
IF(IFERROR(SEARCH("Poison",I15),0) &gt; 0 , VLOOKUP("Poison", vote4SURGE!A:C , 3, FALSE), 0 ),
IF(IFERROR(SEARCH("Stun",I15),0) &gt; 0 , VLOOKUP("Stun", vote4SURGE!A:C , 3, FALSE), 0 ),
IF(IFERROR(SEARCH("Swarm",I15),0) &gt; 0 , VLOOKUP("Swarm", vote4SURGE!A:C , 3, FALSE), 0 ),
IF(IFERROR(SEARCH("Terrify",I15),0) &gt; 0 , VLOOKUP("Terrify", vote4SURGE!A:C , 3, FALSE), 0 ),
IF(IFERROR(SEARCH("Weaken",I15),0) &gt; 0 , VLOOKUP("Weaken", vote4SURGE!A:C , 3, FALSE), 0 ),
IF(IFERROR(SEARCH("Wither",I15),0) &gt; 0 , VLOOKUP("Wither", vote4SURGE!A:C , 3, FALSE), 0 ),
IFS(
IFERROR(SEARCH("Sorcery 1", I15),0) &gt; 0 ,VLOOKUP("Sorcery 1", vote4SURGE!A:C , 3, FALSE),
IFERROR(SEARCH("Sorcery 2", I15),0) &gt; 0 ,VLOOKUP("Sorcery 2", vote4SURGE!A:C , 3, FALSE),
IFERROR(SEARCH("Sorcery 3", I15),0) &gt; 0,VLOOKUP("Sorcery 3", vote4SURGE!A:C , 3, FALSE),
0=0,0)
,
IFS(
IFERROR(SEARCH("Pierce 1", I15),0) &gt; 0 ,VLOOKUP("Pierce 1", vote4SURGE!A:C , 3, FALSE),
IFERROR(SEARCH("Pierce 2", I15),0) &gt; 0 ,VLOOKUP("Pierce 2", vote4SURGE!A:C , 3, FALSE),
IFERROR(SEARCH("Pierce 3", I15),0) &gt; 0,VLOOKUP("Pierce 3", vote4SURGE!A:C , 3, FALSE),
IFERROR(SEARCH("Pierce 4", I15),0) &gt; 0 ,VLOOKUP("Pierce 4", vote4SURGE!A:C , 3, FALSE),
IFERROR(SEARCH("Pierce 5", I15),0) &gt; 0 ,VLOOKUP("Pierce 5", vote4SURGE!A:C , 3, FALSE),
0=0,0)
,
IFS(
IFERROR(SEARCH("+1 Range, +1 Wound", I15),0) &gt; 0 ,VLOOKUP("+1 Range, +1 Wound", vote4SURGE!A:C , 3, False),
IFERROR(SEARCH("+2 Range, +1 Wound", I15),0) &gt; 0 ,VLOOKUP("+2 Range, +1 Wound", vote4SURGE!A:C , 3, False),
IFERROR(SEARCH("+1 Wound, +1 Wound", I15),0) &gt; 0 ,VLOOKUP("+1 Wound, +1 Wound", vote4SURGE!A:C , 3, False),
IFERROR(SEARCH("+2 Wounds, +2 Wounds", I15),0) &gt; 0 ,VLOOKUP("+2 Wounds, +2 Wounds", vote4SURGE!A:C , 3, False),
IFERROR(SEARCH("+1 Wound", I15),0) &gt; 0 ,VLOOKUP("+1 Wound", vote4SURGE!A:C , 3, False),
IFERROR(SEARCH("+2 Wounds", I15),0) &gt; 0 ,VLOOKUP("+2 Wounds", vote4SURGE!A:C , 3, False),
IFERROR(SEARCH("+3 Wounds", I15),0) &gt; 0,VLOOKUP("+3 Wounds", vote4SURGE!A:C , 3, False),
IFERROR(SEARCH("+4 Wounds", I15),0) &gt; 0 ,VLOOKUP("+4 Wounds", vote4SURGE!A:C , 3, False),
0=0,0)
,
IFS(
IFERROR(SEARCH("+1 Range", I15),0) &gt; 0 ,VLOOKUP("+1 Range", vote4SURGE!A:C , 3, FALSE),
IFERROR(SEARCH("+2 Range", I15),0) &gt; 0 ,VLOOKUP("+2 Range", vote4SURGE!A:C , 3, FALSE),
IFERROR(SEARCH("+3 Range", I15),0) &gt; 0,VLOOKUP("+3 Range", vote4SURGE!A:C , 3, FALSE),
IFERROR(SEARCH("+4 Range", I15),0) &gt; 0,VLOOKUP("+4 Range", vote4SURGE!A:C , 3, FALSE),
0=0,0),
IFS(
IFERROR(SEARCH("Recover 1 Heart", I15),0) &gt; 0 ,VLOOKUP("Recover 1 Heart", vote4SURGE!A:C , 3, FALSE),
IFERROR(SEARCH("Recover 2 Heart", I15),0) &gt; 0 ,VLOOKUP("Recover 2 Heart", vote4SURGE!A:C , 3, FALSE),
0=0,0),
IFS(
IFERROR(SEARCH("Recover 1 Fatigue", I15),0) &gt; 0,VLOOKUP("Recover 1 Fatigue", vote4SURGE!A:C , 3, FALSE),
IFERROR(SEARCH("Recover 2 Fatigue", I15),0) &gt; 0,VLOOKUP("Recover 2 Fatigue", vote4SURGE!A:C , 3, FALSE),
0=0,0),
IFERROR(VLOOKUP(B15, vote4SURGE!A:C , 3, FALSE),)
)</f>
        <v>0</v>
      </c>
      <c r="K15" s="352"/>
      <c r="L15" s="318">
        <f>SUM(
IF(IFERROR(SEARCH("Black Venom",K15),0) &gt; 0 , VLOOKUP("Black Venom", vote4SURGE!A:C , 3, FALSE) - 2, 0 ),
IF(IFERROR(SEARCH("Bleed",K15),0) &gt; 0 , VLOOKUP("Bleed", vote4SURGE!A:C , 3, FALSE) - 2, 0 ),
IF(IFERROR(SEARCH("Blast",K15),0) &gt; 0 , VLOOKUP("Blast", vote4SURGE!A:C , 3, FALSE) - 2, 0 ),
IF(IFERROR(SEARCH("Burn",K15),0) &gt; 0 , VLOOKUP("Burn", vote4SURGE!A:C , 3, FALSE) - 2, 0 ),
IF(IFERROR(SEARCH("Charge",K15),0) &gt; 0 , VLOOKUP("Charge", vote4SURGE!A:C , 3, FALSE) - 2, 0 ),
IF(IFERROR(SEARCH("Colonize",K15),0) &gt; 0 , VLOOKUP("Colonize", vote4SURGE!A:C , 3, FALSE) - 2, 0 ),
IF(IFERROR(SEARCH("Curse",K15),0) &gt; 0 , VLOOKUP("Curse", vote4SURGE!A:C , 3, FALSE) - 2, 0 ),
IF(IFERROR(SEARCH("Disease",K15),0) &gt; 0 , VLOOKUP("Disease", vote4SURGE!A:C , 3, FALSE) - 2, 0 ),
IF(IFERROR(SEARCH("Doom",K15),0) &gt; 0 , VLOOKUP("Doom", vote4SURGE!A:C , 3, FALSE) - 2, 0 ),
IF(IFERROR(SEARCH("Feast",K15),0) &gt; 0 , VLOOKUP("Feast", vote4SURGE!A:C , 3, FALSE) - 2, 0 ),
IF(IFERROR(SEARCH("Fire Breath",K15),0) &gt; 0 , VLOOKUP("Fire Breath", vote4SURGE!A:C , 3, FALSE) - 2, 0 ),
IF(IFERROR(SEARCH("Hunt",K15),0) &gt; 0 , VLOOKUP("Hunt", vote4SURGE!A:C , 3, FALSE) - 2, 0 ),
IF(IFERROR(SEARCH("Immobilize",K15),0) &gt; 0 , VLOOKUP("Immobilize", vote4SURGE!A:C , 3, FALSE) - 2, 0 ),
IF(IFERROR(SEARCH("Knockback",K15),0) &gt; 0 , VLOOKUP("Knockback", vote4SURGE!A:C , 3, FALSE) - 2, 0 ),
IF(IFERROR(SEARCH("Lash",K15),0) &gt; 0 , VLOOKUP("Lash", vote4SURGE!A:C , 3, FALSE) - 2, 0 ),
IF(IFERROR(SEARCH("Mend 2",K15),0) &gt; 0 , VLOOKUP("Mend 2", vote4SURGE!A:C , 3, FALSE) - 2, 0 ),
IF(IFERROR(SEARCH("Mortal Binding",K15),0) &gt; 0 , VLOOKUP("Mortal Binding", vote4SURGE!A:C , 3, FALSE) - 2, 0 ),
IF(IFERROR(SEARCH("Poison",K15),0) &gt; 0 , VLOOKUP("Poison", vote4SURGE!A:C , 3, FALSE) - 2, 0 ),
IF(IFERROR(SEARCH("Stun",K15),0) &gt; 0 , VLOOKUP("Stun", vote4SURGE!A:C , 3, FALSE) - 2, 0 ),
IF(IFERROR(SEARCH("Swarm",K15),0) &gt; 0 , VLOOKUP("Swarm", vote4SURGE!A:C , 3, FALSE) - 2, 0 ),
IF(IFERROR(SEARCH("Terrify",K15),0) &gt; 0 , VLOOKUP("Terrify", vote4SURGE!A:C , 3, FALSE) - 2, 0 ),
IF(IFERROR(SEARCH("Weaken",K15),0) &gt; 0 , VLOOKUP("Weaken", vote4SURGE!A:C , 3, FALSE) - 2, 0 ),
IF(IFERROR(SEARCH("Wither",K15),0) &gt; 0 , VLOOKUP("Wither", vote4SURGE!A:C , 3, FALSE) - 2, 0 ),
IFS(
IFERROR(SEARCH("Sorcery 1", K15),0) &gt; 0 ,VLOOKUP("Sorcery 1", vote4SURGE!A:C , 3, FALSE) - 2,
IFERROR(SEARCH("Sorcery 2", K15),0) &gt; 0 ,VLOOKUP("Sorcery 2", vote4SURGE!A:C , 3, FALSE) - 2,
IFERROR(SEARCH("Sorcery 3", K15),0) &gt; 0,VLOOKUP("Sorcery 3", vote4SURGE!A:C , 3, FALSE) - 2,
0=0,0)
,
IFS(
IFERROR(SEARCH("Pierce 1", K15),0) &gt; 0 ,VLOOKUP("Pierce 1", vote4SURGE!A:C , 3, FALSE) - 2,
IFERROR(SEARCH("Pierce 2", K15),0) &gt; 0 ,VLOOKUP("Pierce 2", vote4SURGE!A:C , 3, FALSE) - 2,
IFERROR(SEARCH("Pierce 3", K15),0) &gt; 0,VLOOKUP("Pierce 3", vote4SURGE!A:C , 3, FALSE) - 2,
IFERROR(SEARCH("Pierce 4", K15),0) &gt; 0 ,VLOOKUP("Pierce 4", vote4SURGE!A:C , 3, FALSE) - 2,
0=0,0)
,
IFS(
IFERROR(SEARCH("+1 Wound, +1 Wound", K15),0) &gt; 0 ,VLOOKUP("+1 Wound, +1 Wound", vote4SURGE!A:C , 3, False) - 2,
IFERROR(SEARCH("+2 Wounds, +2 Wounds", K15),0) &gt; 0 ,VLOOKUP("+2 Wounds, +2 Wounds", vote4SURGE!A:C , 3, False)- 2,
IFERROR(SEARCH("+1 Wound", K15),0) &gt; 0 ,VLOOKUP("+1 Wound", vote4SURGE!A:C , 3, False)- 2,
IFERROR(SEARCH("+2 Wounds", K15),0) &gt; 0 ,VLOOKUP("+2 Wounds", vote4SURGE!A:C , 3, False)- 2,
IFERROR(SEARCH("+3 Wounds", K15),0) &gt; 0,VLOOKUP("+3 Wounds", vote4SURGE!A:C , 3, False)- 2,
IFERROR(SEARCH("+4 Wounds", K15),0) &gt; 0 ,VLOOKUP("+4 Wounds", vote4SURGE!A:C , 3, False)- 2,
IFERROR(SEARCH("+4 Wounds", K15),0) &gt; 0 ,VLOOKUP("+5 Wounds", vote4SURGE!A:C , 3, False)- 2,
0=0,0)
,
IFS(
IFERROR(SEARCH("+1 Range", K15),0) &gt; 0 ,VLOOKUP("+1 Range", vote4SURGE!A:C , 3, FALSE) - 2,
IFERROR(SEARCH("+2 Range", K15),0) &gt; 0 ,VLOOKUP("+2 Range", vote4SURGE!A:C , 3, FALSE) - 2,
IFERROR(SEARCH("+3 Range", K15),0) &gt; 0,VLOOKUP("+3 Range", vote4SURGE!A:C , 3, FALSE) - 2,
0=0,0)
)</f>
        <v>0</v>
      </c>
      <c r="M15" s="318">
        <f t="shared" si="1"/>
        <v>3.666666667</v>
      </c>
      <c r="N15" s="322"/>
      <c r="O15" s="322"/>
      <c r="P15" s="322"/>
      <c r="Q15" s="322"/>
      <c r="R15" s="322"/>
      <c r="S15" s="322"/>
      <c r="T15" s="322"/>
    </row>
    <row r="16">
      <c r="A16" s="105" t="s">
        <v>1689</v>
      </c>
      <c r="B16" s="93" t="s">
        <v>1128</v>
      </c>
      <c r="C16" s="93"/>
      <c r="D16" s="315" t="str">
        <f>IFERROR(__xludf.DUMMYFUNCTION(" IF(ISBLANK(C16),,
SWITCH(
LEN(C16) - LEN(SUBSTITUTE(C16,"","","""")),
0 , VLOOKUP(C16, Variables!$A:$B, 2, FALSE),
1 , VLOOKUP(index(split(C16 ,"", "", FALSE),1,1), Variables!$A:$B , 2, FALSE) + VLOOKUP(index(split(C16 ,"", "", FALSE),1,2), Variables!$A:"&amp;"$B , 2, FALSE),
2 , VLOOKUP(index(split(C16 ,"", "", FALSE),1,1), Variables!$A:$B , 2, FALSE) + VLOOKUP(index(split(C16 ,"", "", FALSE),1,2), Variables!$A:$B , 2, FALSE) + VLOOKUP(index(split(C16 ,"", "", FALSE),1,3), Variables!$A:$B , 2, FALSE),
3 , VLOO"&amp;"KUP(index(split(C16 ,"", "", FALSE),1,1), Variables!$A:$B , 2, FALSE) + VLOOKUP(index(split(C16 ,"", "", FALSE),1,2), Variables!$A:$B , 2, FALSE) + VLOOKUP(index(split(C16 ,"", "", FALSE),1,3), Variables!$A:$B , 2, FALSE) + VLOOKUP(index(split(C16 ,"", """&amp;", FALSE),1,4), Variables!$A:$B , 2, FALSE),
)
)"),"")</f>
        <v/>
      </c>
      <c r="E16" s="93"/>
      <c r="F16" s="318" t="str">
        <f>IF(E16 = "",,IFERROR(VLOOKUP(B16,vote4ITEMS!$A:$C, 3, FALSE),))</f>
        <v/>
      </c>
      <c r="G16" s="353" t="s">
        <v>1129</v>
      </c>
      <c r="H16" s="318">
        <f>IFERROR(__xludf.DUMMYFUNCTION("IF(ISBLANK(G16),,
IFERROR(
SWITCH(
LEN(G16) - LEN(SUBSTITUTE(G16,"","","""")),
0 , VLOOKUP(G16, vote4TRAITS!$A:$C , 3, FALSE),
1 , VLOOKUP(index(split(G16 ,"", "", FALSE),1,1), vote4TRAITS!$A:$C , 3, FALSE) + VLOOKUP(index(split(G16 ,"", "", FALSE),1,2), "&amp;"vote4TRAITS!$A:$C , 3, FALSE),
2 , VLOOKUP(index(split(G16 ,"", "", FALSE),1,1), vote4TRAITS!$A:$C , 3, FALSE) + VLOOKUP(index(split(G16 ,"", "", FALSE),1,2), vote4TRAITS!$A:$C , 3, FALSE) + VLOOKUP(index(split(G16 ,"", "", FALSE),1,3), vote4TRAITS!$A:$C "&amp;", 3, FALSE),
3 , VLOOKUP(index(split(G16 ,"", "", FALSE),1,1), vote4TRAITS!$A:$C , 3, FALSE) + VLOOKUP(index(split(G16 ,"", "", FALSE),1,2), vote4TRAITS!$A:$C , 3, FALSE) + VLOOKUP(index(split(G16 ,"", "", FALSE),1,3), vote4TRAITS!$A:$C , 3, FALSE) + VLOO"&amp;"KUP(index(split(L28 ,"", "", FALSE),1,4), vote4TRAITS!$A:$C , 3, FALSE)
),
VLOOKUP(B16, vote4TRAITS!$A:$C , 3, FALSE))
)"),6.0)</f>
        <v>6</v>
      </c>
      <c r="I16" s="351"/>
      <c r="J16" s="318">
        <f>SUM(
IF(IFERROR(SEARCH("Black Venom",I16),0) &gt; 0 , VLOOKUP("Black Venom", vote4SURGE!A:C , 3, FALSE), 0 ),
IF(IFERROR(SEARCH("Bleed",I16),0) &gt; 0 , VLOOKUP("Bleed", vote4SURGE!A:C , 3, FALSE), 0 ),
IF(IFERROR(SEARCH("Blast",I16),0) &gt; 0 , VLOOKUP("Blast", vote4SURGE!A:C , 3, FALSE), 0 ),
IF(IFERROR(SEARCH("Burn",I16),0) &gt; 0 , VLOOKUP("Burn", vote4SURGE!A:C , 3, FALSE), 0 ),
IF(IFERROR(SEARCH("Charge",I16),0) &gt; 0 , VLOOKUP("Charge", vote4SURGE!A:C , 3, FALSE), 0 ),
IF(IFERROR(SEARCH("Colonize",I16),0) &gt; 0 , VLOOKUP("Colonize", vote4SURGE!A:C , 3, FALSE), 0 ),
IF(IFERROR(SEARCH("Curse",I16),0) &gt; 0 , VLOOKUP("Curse", vote4SURGE!A:C , 3, FALSE), 0 ),
IF(IFERROR(SEARCH("Disease",I16),0) &gt; 0 , VLOOKUP("Disease", vote4SURGE!A:C , 3, FALSE), 0 ),
IF(IFERROR(SEARCH("Doom",I16),0) &gt; 0 , VLOOKUP("Doom", vote4SURGE!A:C , 3, FALSE), 0 ),
IF(IFERROR(SEARCH("Feast",I16),0) &gt; 0 , VLOOKUP("Feast", vote4SURGE!A:C , 3, FALSE), 0 ),
IF(IFERROR(SEARCH("Fire Breath",I16),0) &gt; 0 , VLOOKUP("Fire Breath", vote4SURGE!A:C , 3, FALSE), 0 ),
IF(IFERROR(SEARCH("Hunt",I16),0) &gt; 0 , VLOOKUP("Hunt", vote4SURGE!A:C , 3, FALSE), 0 ),
IF(IFERROR(SEARCH("Immobilize",I16),0) &gt; 0 , VLOOKUP("Immobilize", vote4SURGE!A:C , 3, FALSE), 0 ),
IF(IFERROR(SEARCH("Knockback",I16),0) &gt; 0 , VLOOKUP("Knockback", vote4SURGE!A:C , 3, FALSE), 0 ),
IF(IFERROR(SEARCH("Lash",I16),0) &gt; 0 , VLOOKUP("Lash", vote4SURGE!A:C , 3, FALSE), 0 ),
IF(IFERROR(SEARCH("Mend 2",I16),0) &gt; 0 , VLOOKUP("Mend 2", vote4SURGE!A:C , 3, FALSE), 0 ),
IF(IFERROR(SEARCH("Mortal Binding",I16),0) &gt; 0 , VLOOKUP("Mortal Binding", vote4SURGE!A:C , 3, FALSE), 0 ),
IF(IFERROR(SEARCH("Poison",I16),0) &gt; 0 , VLOOKUP("Poison", vote4SURGE!A:C , 3, FALSE), 0 ),
IF(IFERROR(SEARCH("Stun",I16),0) &gt; 0 , VLOOKUP("Stun", vote4SURGE!A:C , 3, FALSE), 0 ),
IF(IFERROR(SEARCH("Swarm",I16),0) &gt; 0 , VLOOKUP("Swarm", vote4SURGE!A:C , 3, FALSE), 0 ),
IF(IFERROR(SEARCH("Terrify",I16),0) &gt; 0 , VLOOKUP("Terrify", vote4SURGE!A:C , 3, FALSE), 0 ),
IF(IFERROR(SEARCH("Weaken",I16),0) &gt; 0 , VLOOKUP("Weaken", vote4SURGE!A:C , 3, FALSE), 0 ),
IF(IFERROR(SEARCH("Wither",I16),0) &gt; 0 , VLOOKUP("Wither", vote4SURGE!A:C , 3, FALSE), 0 ),
IFS(
IFERROR(SEARCH("Sorcery 1", I16),0) &gt; 0 ,VLOOKUP("Sorcery 1", vote4SURGE!A:C , 3, FALSE),
IFERROR(SEARCH("Sorcery 2", I16),0) &gt; 0 ,VLOOKUP("Sorcery 2", vote4SURGE!A:C , 3, FALSE),
IFERROR(SEARCH("Sorcery 3", I16),0) &gt; 0,VLOOKUP("Sorcery 3", vote4SURGE!A:C , 3, FALSE),
0=0,0)
,
IFS(
IFERROR(SEARCH("Pierce 1", I16),0) &gt; 0 ,VLOOKUP("Pierce 1", vote4SURGE!A:C , 3, FALSE),
IFERROR(SEARCH("Pierce 2", I16),0) &gt; 0 ,VLOOKUP("Pierce 2", vote4SURGE!A:C , 3, FALSE),
IFERROR(SEARCH("Pierce 3", I16),0) &gt; 0,VLOOKUP("Pierce 3", vote4SURGE!A:C , 3, FALSE),
IFERROR(SEARCH("Pierce 4", I16),0) &gt; 0 ,VLOOKUP("Pierce 4", vote4SURGE!A:C , 3, FALSE),
IFERROR(SEARCH("Pierce 5", I16),0) &gt; 0 ,VLOOKUP("Pierce 5", vote4SURGE!A:C , 3, FALSE),
0=0,0)
,
IFS(
IFERROR(SEARCH("+1 Range, +1 Wound", I16),0) &gt; 0 ,VLOOKUP("+1 Range, +1 Wound", vote4SURGE!A:C , 3, False),
IFERROR(SEARCH("+2 Range, +1 Wound", I16),0) &gt; 0 ,VLOOKUP("+2 Range, +1 Wound", vote4SURGE!A:C , 3, False),
IFERROR(SEARCH("+1 Wound, +1 Wound", I16),0) &gt; 0 ,VLOOKUP("+1 Wound, +1 Wound", vote4SURGE!A:C , 3, False),
IFERROR(SEARCH("+2 Wounds, +2 Wounds", I16),0) &gt; 0 ,VLOOKUP("+2 Wounds, +2 Wounds", vote4SURGE!A:C , 3, False),
IFERROR(SEARCH("+1 Wound", I16),0) &gt; 0 ,VLOOKUP("+1 Wound", vote4SURGE!A:C , 3, False),
IFERROR(SEARCH("+2 Wounds", I16),0) &gt; 0 ,VLOOKUP("+2 Wounds", vote4SURGE!A:C , 3, False),
IFERROR(SEARCH("+3 Wounds", I16),0) &gt; 0,VLOOKUP("+3 Wounds", vote4SURGE!A:C , 3, False),
IFERROR(SEARCH("+4 Wounds", I16),0) &gt; 0 ,VLOOKUP("+4 Wounds", vote4SURGE!A:C , 3, False),
0=0,0)
,
IFS(
IFERROR(SEARCH("+1 Range", I16),0) &gt; 0 ,VLOOKUP("+1 Range", vote4SURGE!A:C , 3, FALSE),
IFERROR(SEARCH("+2 Range", I16),0) &gt; 0 ,VLOOKUP("+2 Range", vote4SURGE!A:C , 3, FALSE),
IFERROR(SEARCH("+3 Range", I16),0) &gt; 0,VLOOKUP("+3 Range", vote4SURGE!A:C , 3, FALSE),
IFERROR(SEARCH("+4 Range", I16),0) &gt; 0,VLOOKUP("+4 Range", vote4SURGE!A:C , 3, FALSE),
0=0,0),
IFS(
IFERROR(SEARCH("Recover 1 Heart", I16),0) &gt; 0 ,VLOOKUP("Recover 1 Heart", vote4SURGE!A:C , 3, FALSE),
IFERROR(SEARCH("Recover 2 Heart", I16),0) &gt; 0 ,VLOOKUP("Recover 2 Heart", vote4SURGE!A:C , 3, FALSE),
0=0,0),
IFS(
IFERROR(SEARCH("Recover 1 Fatigue", I16),0) &gt; 0,VLOOKUP("Recover 1 Fatigue", vote4SURGE!A:C , 3, FALSE),
IFERROR(SEARCH("Recover 2 Fatigue", I16),0) &gt; 0,VLOOKUP("Recover 2 Fatigue", vote4SURGE!A:C , 3, FALSE),
0=0,0),
IFERROR(VLOOKUP(B16, vote4SURGE!A:C , 3, FALSE),)
)</f>
        <v>0</v>
      </c>
      <c r="K16" s="352"/>
      <c r="L16" s="318">
        <f>SUM(
IF(IFERROR(SEARCH("Black Venom",K16),0) &gt; 0 , VLOOKUP("Black Venom", vote4SURGE!A:C , 3, FALSE) - 2, 0 ),
IF(IFERROR(SEARCH("Bleed",K16),0) &gt; 0 , VLOOKUP("Bleed", vote4SURGE!A:C , 3, FALSE) - 2, 0 ),
IF(IFERROR(SEARCH("Blast",K16),0) &gt; 0 , VLOOKUP("Blast", vote4SURGE!A:C , 3, FALSE) - 2, 0 ),
IF(IFERROR(SEARCH("Burn",K16),0) &gt; 0 , VLOOKUP("Burn", vote4SURGE!A:C , 3, FALSE) - 2, 0 ),
IF(IFERROR(SEARCH("Charge",K16),0) &gt; 0 , VLOOKUP("Charge", vote4SURGE!A:C , 3, FALSE) - 2, 0 ),
IF(IFERROR(SEARCH("Colonize",K16),0) &gt; 0 , VLOOKUP("Colonize", vote4SURGE!A:C , 3, FALSE) - 2, 0 ),
IF(IFERROR(SEARCH("Curse",K16),0) &gt; 0 , VLOOKUP("Curse", vote4SURGE!A:C , 3, FALSE) - 2, 0 ),
IF(IFERROR(SEARCH("Disease",K16),0) &gt; 0 , VLOOKUP("Disease", vote4SURGE!A:C , 3, FALSE) - 2, 0 ),
IF(IFERROR(SEARCH("Doom",K16),0) &gt; 0 , VLOOKUP("Doom", vote4SURGE!A:C , 3, FALSE) - 2, 0 ),
IF(IFERROR(SEARCH("Feast",K16),0) &gt; 0 , VLOOKUP("Feast", vote4SURGE!A:C , 3, FALSE) - 2, 0 ),
IF(IFERROR(SEARCH("Fire Breath",K16),0) &gt; 0 , VLOOKUP("Fire Breath", vote4SURGE!A:C , 3, FALSE) - 2, 0 ),
IF(IFERROR(SEARCH("Hunt",K16),0) &gt; 0 , VLOOKUP("Hunt", vote4SURGE!A:C , 3, FALSE) - 2, 0 ),
IF(IFERROR(SEARCH("Immobilize",K16),0) &gt; 0 , VLOOKUP("Immobilize", vote4SURGE!A:C , 3, FALSE) - 2, 0 ),
IF(IFERROR(SEARCH("Knockback",K16),0) &gt; 0 , VLOOKUP("Knockback", vote4SURGE!A:C , 3, FALSE) - 2, 0 ),
IF(IFERROR(SEARCH("Lash",K16),0) &gt; 0 , VLOOKUP("Lash", vote4SURGE!A:C , 3, FALSE) - 2, 0 ),
IF(IFERROR(SEARCH("Mend 2",K16),0) &gt; 0 , VLOOKUP("Mend 2", vote4SURGE!A:C , 3, FALSE) - 2, 0 ),
IF(IFERROR(SEARCH("Mortal Binding",K16),0) &gt; 0 , VLOOKUP("Mortal Binding", vote4SURGE!A:C , 3, FALSE) - 2, 0 ),
IF(IFERROR(SEARCH("Poison",K16),0) &gt; 0 , VLOOKUP("Poison", vote4SURGE!A:C , 3, FALSE) - 2, 0 ),
IF(IFERROR(SEARCH("Stun",K16),0) &gt; 0 , VLOOKUP("Stun", vote4SURGE!A:C , 3, FALSE) - 2, 0 ),
IF(IFERROR(SEARCH("Swarm",K16),0) &gt; 0 , VLOOKUP("Swarm", vote4SURGE!A:C , 3, FALSE) - 2, 0 ),
IF(IFERROR(SEARCH("Terrify",K16),0) &gt; 0 , VLOOKUP("Terrify", vote4SURGE!A:C , 3, FALSE) - 2, 0 ),
IF(IFERROR(SEARCH("Weaken",K16),0) &gt; 0 , VLOOKUP("Weaken", vote4SURGE!A:C , 3, FALSE) - 2, 0 ),
IF(IFERROR(SEARCH("Wither",K16),0) &gt; 0 , VLOOKUP("Wither", vote4SURGE!A:C , 3, FALSE) - 2, 0 ),
IFS(
IFERROR(SEARCH("Sorcery 1", K16),0) &gt; 0 ,VLOOKUP("Sorcery 1", vote4SURGE!A:C , 3, FALSE) - 2,
IFERROR(SEARCH("Sorcery 2", K16),0) &gt; 0 ,VLOOKUP("Sorcery 2", vote4SURGE!A:C , 3, FALSE) - 2,
IFERROR(SEARCH("Sorcery 3", K16),0) &gt; 0,VLOOKUP("Sorcery 3", vote4SURGE!A:C , 3, FALSE) - 2,
0=0,0)
,
IFS(
IFERROR(SEARCH("Pierce 1", K16),0) &gt; 0 ,VLOOKUP("Pierce 1", vote4SURGE!A:C , 3, FALSE) - 2,
IFERROR(SEARCH("Pierce 2", K16),0) &gt; 0 ,VLOOKUP("Pierce 2", vote4SURGE!A:C , 3, FALSE) - 2,
IFERROR(SEARCH("Pierce 3", K16),0) &gt; 0,VLOOKUP("Pierce 3", vote4SURGE!A:C , 3, FALSE) - 2,
IFERROR(SEARCH("Pierce 4", K16),0) &gt; 0 ,VLOOKUP("Pierce 4", vote4SURGE!A:C , 3, FALSE) - 2,
0=0,0)
,
IFS(
IFERROR(SEARCH("+1 Wound, +1 Wound", K16),0) &gt; 0 ,VLOOKUP("+1 Wound, +1 Wound", vote4SURGE!A:C , 3, False) - 2,
IFERROR(SEARCH("+2 Wounds, +2 Wounds", K16),0) &gt; 0 ,VLOOKUP("+2 Wounds, +2 Wounds", vote4SURGE!A:C , 3, False)- 2,
IFERROR(SEARCH("+1 Wound", K16),0) &gt; 0 ,VLOOKUP("+1 Wound", vote4SURGE!A:C , 3, False)- 2,
IFERROR(SEARCH("+2 Wounds", K16),0) &gt; 0 ,VLOOKUP("+2 Wounds", vote4SURGE!A:C , 3, False)- 2,
IFERROR(SEARCH("+3 Wounds", K16),0) &gt; 0,VLOOKUP("+3 Wounds", vote4SURGE!A:C , 3, False)- 2,
IFERROR(SEARCH("+4 Wounds", K16),0) &gt; 0 ,VLOOKUP("+4 Wounds", vote4SURGE!A:C , 3, False)- 2,
IFERROR(SEARCH("+4 Wounds", K16),0) &gt; 0 ,VLOOKUP("+5 Wounds", vote4SURGE!A:C , 3, False)- 2,
0=0,0)
,
IFS(
IFERROR(SEARCH("+1 Range", K16),0) &gt; 0 ,VLOOKUP("+1 Range", vote4SURGE!A:C , 3, FALSE) - 2,
IFERROR(SEARCH("+2 Range", K16),0) &gt; 0 ,VLOOKUP("+2 Range", vote4SURGE!A:C , 3, FALSE) - 2,
IFERROR(SEARCH("+3 Range", K16),0) &gt; 0,VLOOKUP("+3 Range", vote4SURGE!A:C , 3, FALSE) - 2,
0=0,0)
)</f>
        <v>0</v>
      </c>
      <c r="M16" s="318">
        <f t="shared" si="1"/>
        <v>6</v>
      </c>
      <c r="N16" s="322"/>
      <c r="O16" s="322"/>
      <c r="P16" s="322"/>
      <c r="Q16" s="322"/>
      <c r="R16" s="322"/>
      <c r="S16" s="322"/>
      <c r="T16" s="322"/>
    </row>
    <row r="17">
      <c r="A17" s="105" t="s">
        <v>1689</v>
      </c>
      <c r="B17" s="93" t="s">
        <v>880</v>
      </c>
      <c r="C17" s="93"/>
      <c r="D17" s="315" t="str">
        <f>IFERROR(__xludf.DUMMYFUNCTION(" IF(ISBLANK(C17),,
SWITCH(
LEN(C17) - LEN(SUBSTITUTE(C17,"","","""")),
0 , VLOOKUP(C17, Variables!$A:$B, 2, FALSE),
1 , VLOOKUP(index(split(C17 ,"", "", FALSE),1,1), Variables!$A:$B , 2, FALSE) + VLOOKUP(index(split(C17 ,"", "", FALSE),1,2), Variables!$A:"&amp;"$B , 2, FALSE),
2 , VLOOKUP(index(split(C17 ,"", "", FALSE),1,1), Variables!$A:$B , 2, FALSE) + VLOOKUP(index(split(C17 ,"", "", FALSE),1,2), Variables!$A:$B , 2, FALSE) + VLOOKUP(index(split(C17 ,"", "", FALSE),1,3), Variables!$A:$B , 2, FALSE),
3 , VLOO"&amp;"KUP(index(split(C17 ,"", "", FALSE),1,1), Variables!$A:$B , 2, FALSE) + VLOOKUP(index(split(C17 ,"", "", FALSE),1,2), Variables!$A:$B , 2, FALSE) + VLOOKUP(index(split(C17 ,"", "", FALSE),1,3), Variables!$A:$B , 2, FALSE) + VLOOKUP(index(split(C17 ,"", """&amp;", FALSE),1,4), Variables!$A:$B , 2, FALSE),
)
)"),"")</f>
        <v/>
      </c>
      <c r="E17" s="93" t="s">
        <v>881</v>
      </c>
      <c r="F17" s="318">
        <f>IF(E17 = "",,IFERROR(VLOOKUP(B17,vote4ITEMS!$A:$C, 3, FALSE),))</f>
        <v>5.666666667</v>
      </c>
      <c r="G17" s="353"/>
      <c r="H17" s="318" t="str">
        <f>IFERROR(__xludf.DUMMYFUNCTION("IF(ISBLANK(G17),,
IFERROR(
SWITCH(
LEN(G17) - LEN(SUBSTITUTE(G17,"","","""")),
0 , VLOOKUP(G17, vote4TRAITS!$A:$C , 3, FALSE),
1 , VLOOKUP(index(split(G17 ,"", "", FALSE),1,1), vote4TRAITS!$A:$C , 3, FALSE) + VLOOKUP(index(split(G17 ,"", "", FALSE),1,2), "&amp;"vote4TRAITS!$A:$C , 3, FALSE),
2 , VLOOKUP(index(split(G17 ,"", "", FALSE),1,1), vote4TRAITS!$A:$C , 3, FALSE) + VLOOKUP(index(split(G17 ,"", "", FALSE),1,2), vote4TRAITS!$A:$C , 3, FALSE) + VLOOKUP(index(split(G17 ,"", "", FALSE),1,3), vote4TRAITS!$A:$C "&amp;", 3, FALSE),
3 , VLOOKUP(index(split(G17 ,"", "", FALSE),1,1), vote4TRAITS!$A:$C , 3, FALSE) + VLOOKUP(index(split(G17 ,"", "", FALSE),1,2), vote4TRAITS!$A:$C , 3, FALSE) + VLOOKUP(index(split(G17 ,"", "", FALSE),1,3), vote4TRAITS!$A:$C , 3, FALSE) + VLOO"&amp;"KUP(index(split(L29 ,"", "", FALSE),1,4), vote4TRAITS!$A:$C , 3, FALSE)
),
VLOOKUP(B17, vote4TRAITS!$A:$C , 3, FALSE))
)"),"")</f>
        <v/>
      </c>
      <c r="I17" s="351"/>
      <c r="J17" s="318">
        <f>SUM(
IF(IFERROR(SEARCH("Black Venom",I17),0) &gt; 0 , VLOOKUP("Black Venom", vote4SURGE!A:C , 3, FALSE), 0 ),
IF(IFERROR(SEARCH("Bleed",I17),0) &gt; 0 , VLOOKUP("Bleed", vote4SURGE!A:C , 3, FALSE), 0 ),
IF(IFERROR(SEARCH("Blast",I17),0) &gt; 0 , VLOOKUP("Blast", vote4SURGE!A:C , 3, FALSE), 0 ),
IF(IFERROR(SEARCH("Burn",I17),0) &gt; 0 , VLOOKUP("Burn", vote4SURGE!A:C , 3, FALSE), 0 ),
IF(IFERROR(SEARCH("Charge",I17),0) &gt; 0 , VLOOKUP("Charge", vote4SURGE!A:C , 3, FALSE), 0 ),
IF(IFERROR(SEARCH("Colonize",I17),0) &gt; 0 , VLOOKUP("Colonize", vote4SURGE!A:C , 3, FALSE), 0 ),
IF(IFERROR(SEARCH("Curse",I17),0) &gt; 0 , VLOOKUP("Curse", vote4SURGE!A:C , 3, FALSE), 0 ),
IF(IFERROR(SEARCH("Disease",I17),0) &gt; 0 , VLOOKUP("Disease", vote4SURGE!A:C , 3, FALSE), 0 ),
IF(IFERROR(SEARCH("Doom",I17),0) &gt; 0 , VLOOKUP("Doom", vote4SURGE!A:C , 3, FALSE), 0 ),
IF(IFERROR(SEARCH("Feast",I17),0) &gt; 0 , VLOOKUP("Feast", vote4SURGE!A:C , 3, FALSE), 0 ),
IF(IFERROR(SEARCH("Fire Breath",I17),0) &gt; 0 , VLOOKUP("Fire Breath", vote4SURGE!A:C , 3, FALSE), 0 ),
IF(IFERROR(SEARCH("Hunt",I17),0) &gt; 0 , VLOOKUP("Hunt", vote4SURGE!A:C , 3, FALSE), 0 ),
IF(IFERROR(SEARCH("Immobilize",I17),0) &gt; 0 , VLOOKUP("Immobilize", vote4SURGE!A:C , 3, FALSE), 0 ),
IF(IFERROR(SEARCH("Knockback",I17),0) &gt; 0 , VLOOKUP("Knockback", vote4SURGE!A:C , 3, FALSE), 0 ),
IF(IFERROR(SEARCH("Lash",I17),0) &gt; 0 , VLOOKUP("Lash", vote4SURGE!A:C , 3, FALSE), 0 ),
IF(IFERROR(SEARCH("Mend 2",I17),0) &gt; 0 , VLOOKUP("Mend 2", vote4SURGE!A:C , 3, FALSE), 0 ),
IF(IFERROR(SEARCH("Mortal Binding",I17),0) &gt; 0 , VLOOKUP("Mortal Binding", vote4SURGE!A:C , 3, FALSE), 0 ),
IF(IFERROR(SEARCH("Poison",I17),0) &gt; 0 , VLOOKUP("Poison", vote4SURGE!A:C , 3, FALSE), 0 ),
IF(IFERROR(SEARCH("Stun",I17),0) &gt; 0 , VLOOKUP("Stun", vote4SURGE!A:C , 3, FALSE), 0 ),
IF(IFERROR(SEARCH("Swarm",I17),0) &gt; 0 , VLOOKUP("Swarm", vote4SURGE!A:C , 3, FALSE), 0 ),
IF(IFERROR(SEARCH("Terrify",I17),0) &gt; 0 , VLOOKUP("Terrify", vote4SURGE!A:C , 3, FALSE), 0 ),
IF(IFERROR(SEARCH("Weaken",I17),0) &gt; 0 , VLOOKUP("Weaken", vote4SURGE!A:C , 3, FALSE), 0 ),
IF(IFERROR(SEARCH("Wither",I17),0) &gt; 0 , VLOOKUP("Wither", vote4SURGE!A:C , 3, FALSE), 0 ),
IFS(
IFERROR(SEARCH("Sorcery 1", I17),0) &gt; 0 ,VLOOKUP("Sorcery 1", vote4SURGE!A:C , 3, FALSE),
IFERROR(SEARCH("Sorcery 2", I17),0) &gt; 0 ,VLOOKUP("Sorcery 2", vote4SURGE!A:C , 3, FALSE),
IFERROR(SEARCH("Sorcery 3", I17),0) &gt; 0,VLOOKUP("Sorcery 3", vote4SURGE!A:C , 3, FALSE),
0=0,0)
,
IFS(
IFERROR(SEARCH("Pierce 1", I17),0) &gt; 0 ,VLOOKUP("Pierce 1", vote4SURGE!A:C , 3, FALSE),
IFERROR(SEARCH("Pierce 2", I17),0) &gt; 0 ,VLOOKUP("Pierce 2", vote4SURGE!A:C , 3, FALSE),
IFERROR(SEARCH("Pierce 3", I17),0) &gt; 0,VLOOKUP("Pierce 3", vote4SURGE!A:C , 3, FALSE),
IFERROR(SEARCH("Pierce 4", I17),0) &gt; 0 ,VLOOKUP("Pierce 4", vote4SURGE!A:C , 3, FALSE),
IFERROR(SEARCH("Pierce 5", I17),0) &gt; 0 ,VLOOKUP("Pierce 5", vote4SURGE!A:C , 3, FALSE),
0=0,0)
,
IFS(
IFERROR(SEARCH("+1 Range, +1 Wound", I17),0) &gt; 0 ,VLOOKUP("+1 Range, +1 Wound", vote4SURGE!A:C , 3, False),
IFERROR(SEARCH("+2 Range, +1 Wound", I17),0) &gt; 0 ,VLOOKUP("+2 Range, +1 Wound", vote4SURGE!A:C , 3, False),
IFERROR(SEARCH("+1 Wound, +1 Wound", I17),0) &gt; 0 ,VLOOKUP("+1 Wound, +1 Wound", vote4SURGE!A:C , 3, False),
IFERROR(SEARCH("+2 Wounds, +2 Wounds", I17),0) &gt; 0 ,VLOOKUP("+2 Wounds, +2 Wounds", vote4SURGE!A:C , 3, False),
IFERROR(SEARCH("+1 Wound", I17),0) &gt; 0 ,VLOOKUP("+1 Wound", vote4SURGE!A:C , 3, False),
IFERROR(SEARCH("+2 Wounds", I17),0) &gt; 0 ,VLOOKUP("+2 Wounds", vote4SURGE!A:C , 3, False),
IFERROR(SEARCH("+3 Wounds", I17),0) &gt; 0,VLOOKUP("+3 Wounds", vote4SURGE!A:C , 3, False),
IFERROR(SEARCH("+4 Wounds", I17),0) &gt; 0 ,VLOOKUP("+4 Wounds", vote4SURGE!A:C , 3, False),
0=0,0)
,
IFS(
IFERROR(SEARCH("+1 Range", I17),0) &gt; 0 ,VLOOKUP("+1 Range", vote4SURGE!A:C , 3, FALSE),
IFERROR(SEARCH("+2 Range", I17),0) &gt; 0 ,VLOOKUP("+2 Range", vote4SURGE!A:C , 3, FALSE),
IFERROR(SEARCH("+3 Range", I17),0) &gt; 0,VLOOKUP("+3 Range", vote4SURGE!A:C , 3, FALSE),
IFERROR(SEARCH("+4 Range", I17),0) &gt; 0,VLOOKUP("+4 Range", vote4SURGE!A:C , 3, FALSE),
0=0,0),
IFS(
IFERROR(SEARCH("Recover 1 Heart", I17),0) &gt; 0 ,VLOOKUP("Recover 1 Heart", vote4SURGE!A:C , 3, FALSE),
IFERROR(SEARCH("Recover 2 Heart", I17),0) &gt; 0 ,VLOOKUP("Recover 2 Heart", vote4SURGE!A:C , 3, FALSE),
0=0,0),
IFS(
IFERROR(SEARCH("Recover 1 Fatigue", I17),0) &gt; 0,VLOOKUP("Recover 1 Fatigue", vote4SURGE!A:C , 3, FALSE),
IFERROR(SEARCH("Recover 2 Fatigue", I17),0) &gt; 0,VLOOKUP("Recover 2 Fatigue", vote4SURGE!A:C , 3, FALSE),
0=0,0),
IFERROR(VLOOKUP(B17, vote4SURGE!A:C , 3, FALSE),)
)</f>
        <v>0</v>
      </c>
      <c r="K17" s="352"/>
      <c r="L17" s="318">
        <f>SUM(
IF(IFERROR(SEARCH("Black Venom",K17),0) &gt; 0 , VLOOKUP("Black Venom", vote4SURGE!A:C , 3, FALSE) - 2, 0 ),
IF(IFERROR(SEARCH("Bleed",K17),0) &gt; 0 , VLOOKUP("Bleed", vote4SURGE!A:C , 3, FALSE) - 2, 0 ),
IF(IFERROR(SEARCH("Blast",K17),0) &gt; 0 , VLOOKUP("Blast", vote4SURGE!A:C , 3, FALSE) - 2, 0 ),
IF(IFERROR(SEARCH("Burn",K17),0) &gt; 0 , VLOOKUP("Burn", vote4SURGE!A:C , 3, FALSE) - 2, 0 ),
IF(IFERROR(SEARCH("Charge",K17),0) &gt; 0 , VLOOKUP("Charge", vote4SURGE!A:C , 3, FALSE) - 2, 0 ),
IF(IFERROR(SEARCH("Colonize",K17),0) &gt; 0 , VLOOKUP("Colonize", vote4SURGE!A:C , 3, FALSE) - 2, 0 ),
IF(IFERROR(SEARCH("Curse",K17),0) &gt; 0 , VLOOKUP("Curse", vote4SURGE!A:C , 3, FALSE) - 2, 0 ),
IF(IFERROR(SEARCH("Disease",K17),0) &gt; 0 , VLOOKUP("Disease", vote4SURGE!A:C , 3, FALSE) - 2, 0 ),
IF(IFERROR(SEARCH("Doom",K17),0) &gt; 0 , VLOOKUP("Doom", vote4SURGE!A:C , 3, FALSE) - 2, 0 ),
IF(IFERROR(SEARCH("Feast",K17),0) &gt; 0 , VLOOKUP("Feast", vote4SURGE!A:C , 3, FALSE) - 2, 0 ),
IF(IFERROR(SEARCH("Fire Breath",K17),0) &gt; 0 , VLOOKUP("Fire Breath", vote4SURGE!A:C , 3, FALSE) - 2, 0 ),
IF(IFERROR(SEARCH("Hunt",K17),0) &gt; 0 , VLOOKUP("Hunt", vote4SURGE!A:C , 3, FALSE) - 2, 0 ),
IF(IFERROR(SEARCH("Immobilize",K17),0) &gt; 0 , VLOOKUP("Immobilize", vote4SURGE!A:C , 3, FALSE) - 2, 0 ),
IF(IFERROR(SEARCH("Knockback",K17),0) &gt; 0 , VLOOKUP("Knockback", vote4SURGE!A:C , 3, FALSE) - 2, 0 ),
IF(IFERROR(SEARCH("Lash",K17),0) &gt; 0 , VLOOKUP("Lash", vote4SURGE!A:C , 3, FALSE) - 2, 0 ),
IF(IFERROR(SEARCH("Mend 2",K17),0) &gt; 0 , VLOOKUP("Mend 2", vote4SURGE!A:C , 3, FALSE) - 2, 0 ),
IF(IFERROR(SEARCH("Mortal Binding",K17),0) &gt; 0 , VLOOKUP("Mortal Binding", vote4SURGE!A:C , 3, FALSE) - 2, 0 ),
IF(IFERROR(SEARCH("Poison",K17),0) &gt; 0 , VLOOKUP("Poison", vote4SURGE!A:C , 3, FALSE) - 2, 0 ),
IF(IFERROR(SEARCH("Stun",K17),0) &gt; 0 , VLOOKUP("Stun", vote4SURGE!A:C , 3, FALSE) - 2, 0 ),
IF(IFERROR(SEARCH("Swarm",K17),0) &gt; 0 , VLOOKUP("Swarm", vote4SURGE!A:C , 3, FALSE) - 2, 0 ),
IF(IFERROR(SEARCH("Terrify",K17),0) &gt; 0 , VLOOKUP("Terrify", vote4SURGE!A:C , 3, FALSE) - 2, 0 ),
IF(IFERROR(SEARCH("Weaken",K17),0) &gt; 0 , VLOOKUP("Weaken", vote4SURGE!A:C , 3, FALSE) - 2, 0 ),
IF(IFERROR(SEARCH("Wither",K17),0) &gt; 0 , VLOOKUP("Wither", vote4SURGE!A:C , 3, FALSE) - 2, 0 ),
IFS(
IFERROR(SEARCH("Sorcery 1", K17),0) &gt; 0 ,VLOOKUP("Sorcery 1", vote4SURGE!A:C , 3, FALSE) - 2,
IFERROR(SEARCH("Sorcery 2", K17),0) &gt; 0 ,VLOOKUP("Sorcery 2", vote4SURGE!A:C , 3, FALSE) - 2,
IFERROR(SEARCH("Sorcery 3", K17),0) &gt; 0,VLOOKUP("Sorcery 3", vote4SURGE!A:C , 3, FALSE) - 2,
0=0,0)
,
IFS(
IFERROR(SEARCH("Pierce 1", K17),0) &gt; 0 ,VLOOKUP("Pierce 1", vote4SURGE!A:C , 3, FALSE) - 2,
IFERROR(SEARCH("Pierce 2", K17),0) &gt; 0 ,VLOOKUP("Pierce 2", vote4SURGE!A:C , 3, FALSE) - 2,
IFERROR(SEARCH("Pierce 3", K17),0) &gt; 0,VLOOKUP("Pierce 3", vote4SURGE!A:C , 3, FALSE) - 2,
IFERROR(SEARCH("Pierce 4", K17),0) &gt; 0 ,VLOOKUP("Pierce 4", vote4SURGE!A:C , 3, FALSE) - 2,
0=0,0)
,
IFS(
IFERROR(SEARCH("+1 Wound, +1 Wound", K17),0) &gt; 0 ,VLOOKUP("+1 Wound, +1 Wound", vote4SURGE!A:C , 3, False) - 2,
IFERROR(SEARCH("+2 Wounds, +2 Wounds", K17),0) &gt; 0 ,VLOOKUP("+2 Wounds, +2 Wounds", vote4SURGE!A:C , 3, False)- 2,
IFERROR(SEARCH("+1 Wound", K17),0) &gt; 0 ,VLOOKUP("+1 Wound", vote4SURGE!A:C , 3, False)- 2,
IFERROR(SEARCH("+2 Wounds", K17),0) &gt; 0 ,VLOOKUP("+2 Wounds", vote4SURGE!A:C , 3, False)- 2,
IFERROR(SEARCH("+3 Wounds", K17),0) &gt; 0,VLOOKUP("+3 Wounds", vote4SURGE!A:C , 3, False)- 2,
IFERROR(SEARCH("+4 Wounds", K17),0) &gt; 0 ,VLOOKUP("+4 Wounds", vote4SURGE!A:C , 3, False)- 2,
IFERROR(SEARCH("+4 Wounds", K17),0) &gt; 0 ,VLOOKUP("+5 Wounds", vote4SURGE!A:C , 3, False)- 2,
0=0,0)
,
IFS(
IFERROR(SEARCH("+1 Range", K17),0) &gt; 0 ,VLOOKUP("+1 Range", vote4SURGE!A:C , 3, FALSE) - 2,
IFERROR(SEARCH("+2 Range", K17),0) &gt; 0 ,VLOOKUP("+2 Range", vote4SURGE!A:C , 3, FALSE) - 2,
IFERROR(SEARCH("+3 Range", K17),0) &gt; 0,VLOOKUP("+3 Range", vote4SURGE!A:C , 3, FALSE) - 2,
0=0,0)
)</f>
        <v>0</v>
      </c>
      <c r="M17" s="318">
        <f t="shared" si="1"/>
        <v>5.666666667</v>
      </c>
      <c r="N17" s="322"/>
      <c r="O17" s="322"/>
      <c r="P17" s="322"/>
      <c r="Q17" s="322"/>
      <c r="R17" s="322"/>
      <c r="S17" s="322"/>
      <c r="T17" s="322"/>
    </row>
    <row r="18">
      <c r="A18" s="105" t="s">
        <v>1689</v>
      </c>
      <c r="B18" s="93" t="s">
        <v>888</v>
      </c>
      <c r="C18" s="93"/>
      <c r="D18" s="315" t="str">
        <f>IFERROR(__xludf.DUMMYFUNCTION(" IF(ISBLANK(C18),,
SWITCH(
LEN(C18) - LEN(SUBSTITUTE(C18,"","","""")),
0 , VLOOKUP(C18, Variables!$A:$B, 2, FALSE),
1 , VLOOKUP(index(split(C18 ,"", "", FALSE),1,1), Variables!$A:$B , 2, FALSE) + VLOOKUP(index(split(C18 ,"", "", FALSE),1,2), Variables!$A:"&amp;"$B , 2, FALSE),
2 , VLOOKUP(index(split(C18 ,"", "", FALSE),1,1), Variables!$A:$B , 2, FALSE) + VLOOKUP(index(split(C18 ,"", "", FALSE),1,2), Variables!$A:$B , 2, FALSE) + VLOOKUP(index(split(C18 ,"", "", FALSE),1,3), Variables!$A:$B , 2, FALSE),
3 , VLOO"&amp;"KUP(index(split(C18 ,"", "", FALSE),1,1), Variables!$A:$B , 2, FALSE) + VLOOKUP(index(split(C18 ,"", "", FALSE),1,2), Variables!$A:$B , 2, FALSE) + VLOOKUP(index(split(C18 ,"", "", FALSE),1,3), Variables!$A:$B , 2, FALSE) + VLOOKUP(index(split(C18 ,"", """&amp;", FALSE),1,4), Variables!$A:$B , 2, FALSE),
)
)"),"")</f>
        <v/>
      </c>
      <c r="E18" s="93" t="s">
        <v>889</v>
      </c>
      <c r="F18" s="318">
        <f>IF(E18 = "",,IFERROR(VLOOKUP(B18,vote4ITEMS!$A:$C, 3, FALSE),))</f>
        <v>2.333333333</v>
      </c>
      <c r="G18" s="353"/>
      <c r="H18" s="318" t="str">
        <f>IFERROR(__xludf.DUMMYFUNCTION("IF(ISBLANK(G18),,
IFERROR(
SWITCH(
LEN(G18) - LEN(SUBSTITUTE(G18,"","","""")),
0 , VLOOKUP(G18, vote4TRAITS!$A:$C , 3, FALSE),
1 , VLOOKUP(index(split(G18 ,"", "", FALSE),1,1), vote4TRAITS!$A:$C , 3, FALSE) + VLOOKUP(index(split(G18 ,"", "", FALSE),1,2), "&amp;"vote4TRAITS!$A:$C , 3, FALSE),
2 , VLOOKUP(index(split(G18 ,"", "", FALSE),1,1), vote4TRAITS!$A:$C , 3, FALSE) + VLOOKUP(index(split(G18 ,"", "", FALSE),1,2), vote4TRAITS!$A:$C , 3, FALSE) + VLOOKUP(index(split(G18 ,"", "", FALSE),1,3), vote4TRAITS!$A:$C "&amp;", 3, FALSE),
3 , VLOOKUP(index(split(G18 ,"", "", FALSE),1,1), vote4TRAITS!$A:$C , 3, FALSE) + VLOOKUP(index(split(G18 ,"", "", FALSE),1,2), vote4TRAITS!$A:$C , 3, FALSE) + VLOOKUP(index(split(G18 ,"", "", FALSE),1,3), vote4TRAITS!$A:$C , 3, FALSE) + VLOO"&amp;"KUP(index(split(L30 ,"", "", FALSE),1,4), vote4TRAITS!$A:$C , 3, FALSE)
),
VLOOKUP(B18, vote4TRAITS!$A:$C , 3, FALSE))
)"),"")</f>
        <v/>
      </c>
      <c r="I18" s="351"/>
      <c r="J18" s="318">
        <f>SUM(
IF(IFERROR(SEARCH("Black Venom",I18),0) &gt; 0 , VLOOKUP("Black Venom", vote4SURGE!A:C , 3, FALSE), 0 ),
IF(IFERROR(SEARCH("Bleed",I18),0) &gt; 0 , VLOOKUP("Bleed", vote4SURGE!A:C , 3, FALSE), 0 ),
IF(IFERROR(SEARCH("Blast",I18),0) &gt; 0 , VLOOKUP("Blast", vote4SURGE!A:C , 3, FALSE), 0 ),
IF(IFERROR(SEARCH("Burn",I18),0) &gt; 0 , VLOOKUP("Burn", vote4SURGE!A:C , 3, FALSE), 0 ),
IF(IFERROR(SEARCH("Charge",I18),0) &gt; 0 , VLOOKUP("Charge", vote4SURGE!A:C , 3, FALSE), 0 ),
IF(IFERROR(SEARCH("Colonize",I18),0) &gt; 0 , VLOOKUP("Colonize", vote4SURGE!A:C , 3, FALSE), 0 ),
IF(IFERROR(SEARCH("Curse",I18),0) &gt; 0 , VLOOKUP("Curse", vote4SURGE!A:C , 3, FALSE), 0 ),
IF(IFERROR(SEARCH("Disease",I18),0) &gt; 0 , VLOOKUP("Disease", vote4SURGE!A:C , 3, FALSE), 0 ),
IF(IFERROR(SEARCH("Doom",I18),0) &gt; 0 , VLOOKUP("Doom", vote4SURGE!A:C , 3, FALSE), 0 ),
IF(IFERROR(SEARCH("Feast",I18),0) &gt; 0 , VLOOKUP("Feast", vote4SURGE!A:C , 3, FALSE), 0 ),
IF(IFERROR(SEARCH("Fire Breath",I18),0) &gt; 0 , VLOOKUP("Fire Breath", vote4SURGE!A:C , 3, FALSE), 0 ),
IF(IFERROR(SEARCH("Hunt",I18),0) &gt; 0 , VLOOKUP("Hunt", vote4SURGE!A:C , 3, FALSE), 0 ),
IF(IFERROR(SEARCH("Immobilize",I18),0) &gt; 0 , VLOOKUP("Immobilize", vote4SURGE!A:C , 3, FALSE), 0 ),
IF(IFERROR(SEARCH("Knockback",I18),0) &gt; 0 , VLOOKUP("Knockback", vote4SURGE!A:C , 3, FALSE), 0 ),
IF(IFERROR(SEARCH("Lash",I18),0) &gt; 0 , VLOOKUP("Lash", vote4SURGE!A:C , 3, FALSE), 0 ),
IF(IFERROR(SEARCH("Mend 2",I18),0) &gt; 0 , VLOOKUP("Mend 2", vote4SURGE!A:C , 3, FALSE), 0 ),
IF(IFERROR(SEARCH("Mortal Binding",I18),0) &gt; 0 , VLOOKUP("Mortal Binding", vote4SURGE!A:C , 3, FALSE), 0 ),
IF(IFERROR(SEARCH("Poison",I18),0) &gt; 0 , VLOOKUP("Poison", vote4SURGE!A:C , 3, FALSE), 0 ),
IF(IFERROR(SEARCH("Stun",I18),0) &gt; 0 , VLOOKUP("Stun", vote4SURGE!A:C , 3, FALSE), 0 ),
IF(IFERROR(SEARCH("Swarm",I18),0) &gt; 0 , VLOOKUP("Swarm", vote4SURGE!A:C , 3, FALSE), 0 ),
IF(IFERROR(SEARCH("Terrify",I18),0) &gt; 0 , VLOOKUP("Terrify", vote4SURGE!A:C , 3, FALSE), 0 ),
IF(IFERROR(SEARCH("Weaken",I18),0) &gt; 0 , VLOOKUP("Weaken", vote4SURGE!A:C , 3, FALSE), 0 ),
IF(IFERROR(SEARCH("Wither",I18),0) &gt; 0 , VLOOKUP("Wither", vote4SURGE!A:C , 3, FALSE), 0 ),
IFS(
IFERROR(SEARCH("Sorcery 1", I18),0) &gt; 0 ,VLOOKUP("Sorcery 1", vote4SURGE!A:C , 3, FALSE),
IFERROR(SEARCH("Sorcery 2", I18),0) &gt; 0 ,VLOOKUP("Sorcery 2", vote4SURGE!A:C , 3, FALSE),
IFERROR(SEARCH("Sorcery 3", I18),0) &gt; 0,VLOOKUP("Sorcery 3", vote4SURGE!A:C , 3, FALSE),
0=0,0)
,
IFS(
IFERROR(SEARCH("Pierce 1", I18),0) &gt; 0 ,VLOOKUP("Pierce 1", vote4SURGE!A:C , 3, FALSE),
IFERROR(SEARCH("Pierce 2", I18),0) &gt; 0 ,VLOOKUP("Pierce 2", vote4SURGE!A:C , 3, FALSE),
IFERROR(SEARCH("Pierce 3", I18),0) &gt; 0,VLOOKUP("Pierce 3", vote4SURGE!A:C , 3, FALSE),
IFERROR(SEARCH("Pierce 4", I18),0) &gt; 0 ,VLOOKUP("Pierce 4", vote4SURGE!A:C , 3, FALSE),
IFERROR(SEARCH("Pierce 5", I18),0) &gt; 0 ,VLOOKUP("Pierce 5", vote4SURGE!A:C , 3, FALSE),
0=0,0)
,
IFS(
IFERROR(SEARCH("+1 Range, +1 Wound", I18),0) &gt; 0 ,VLOOKUP("+1 Range, +1 Wound", vote4SURGE!A:C , 3, False),
IFERROR(SEARCH("+2 Range, +1 Wound", I18),0) &gt; 0 ,VLOOKUP("+2 Range, +1 Wound", vote4SURGE!A:C , 3, False),
IFERROR(SEARCH("+1 Wound, +1 Wound", I18),0) &gt; 0 ,VLOOKUP("+1 Wound, +1 Wound", vote4SURGE!A:C , 3, False),
IFERROR(SEARCH("+2 Wounds, +2 Wounds", I18),0) &gt; 0 ,VLOOKUP("+2 Wounds, +2 Wounds", vote4SURGE!A:C , 3, False),
IFERROR(SEARCH("+1 Wound", I18),0) &gt; 0 ,VLOOKUP("+1 Wound", vote4SURGE!A:C , 3, False),
IFERROR(SEARCH("+2 Wounds", I18),0) &gt; 0 ,VLOOKUP("+2 Wounds", vote4SURGE!A:C , 3, False),
IFERROR(SEARCH("+3 Wounds", I18),0) &gt; 0,VLOOKUP("+3 Wounds", vote4SURGE!A:C , 3, False),
IFERROR(SEARCH("+4 Wounds", I18),0) &gt; 0 ,VLOOKUP("+4 Wounds", vote4SURGE!A:C , 3, False),
0=0,0)
,
IFS(
IFERROR(SEARCH("+1 Range", I18),0) &gt; 0 ,VLOOKUP("+1 Range", vote4SURGE!A:C , 3, FALSE),
IFERROR(SEARCH("+2 Range", I18),0) &gt; 0 ,VLOOKUP("+2 Range", vote4SURGE!A:C , 3, FALSE),
IFERROR(SEARCH("+3 Range", I18),0) &gt; 0,VLOOKUP("+3 Range", vote4SURGE!A:C , 3, FALSE),
IFERROR(SEARCH("+4 Range", I18),0) &gt; 0,VLOOKUP("+4 Range", vote4SURGE!A:C , 3, FALSE),
0=0,0),
IFS(
IFERROR(SEARCH("Recover 1 Heart", I18),0) &gt; 0 ,VLOOKUP("Recover 1 Heart", vote4SURGE!A:C , 3, FALSE),
IFERROR(SEARCH("Recover 2 Heart", I18),0) &gt; 0 ,VLOOKUP("Recover 2 Heart", vote4SURGE!A:C , 3, FALSE),
0=0,0),
IFS(
IFERROR(SEARCH("Recover 1 Fatigue", I18),0) &gt; 0,VLOOKUP("Recover 1 Fatigue", vote4SURGE!A:C , 3, FALSE),
IFERROR(SEARCH("Recover 2 Fatigue", I18),0) &gt; 0,VLOOKUP("Recover 2 Fatigue", vote4SURGE!A:C , 3, FALSE),
0=0,0),
IFERROR(VLOOKUP(B18, vote4SURGE!A:C , 3, FALSE),)
)</f>
        <v>0</v>
      </c>
      <c r="K18" s="352"/>
      <c r="L18" s="318">
        <f>SUM(
IF(IFERROR(SEARCH("Black Venom",K18),0) &gt; 0 , VLOOKUP("Black Venom", vote4SURGE!A:C , 3, FALSE) - 2, 0 ),
IF(IFERROR(SEARCH("Bleed",K18),0) &gt; 0 , VLOOKUP("Bleed", vote4SURGE!A:C , 3, FALSE) - 2, 0 ),
IF(IFERROR(SEARCH("Blast",K18),0) &gt; 0 , VLOOKUP("Blast", vote4SURGE!A:C , 3, FALSE) - 2, 0 ),
IF(IFERROR(SEARCH("Burn",K18),0) &gt; 0 , VLOOKUP("Burn", vote4SURGE!A:C , 3, FALSE) - 2, 0 ),
IF(IFERROR(SEARCH("Charge",K18),0) &gt; 0 , VLOOKUP("Charge", vote4SURGE!A:C , 3, FALSE) - 2, 0 ),
IF(IFERROR(SEARCH("Colonize",K18),0) &gt; 0 , VLOOKUP("Colonize", vote4SURGE!A:C , 3, FALSE) - 2, 0 ),
IF(IFERROR(SEARCH("Curse",K18),0) &gt; 0 , VLOOKUP("Curse", vote4SURGE!A:C , 3, FALSE) - 2, 0 ),
IF(IFERROR(SEARCH("Disease",K18),0) &gt; 0 , VLOOKUP("Disease", vote4SURGE!A:C , 3, FALSE) - 2, 0 ),
IF(IFERROR(SEARCH("Doom",K18),0) &gt; 0 , VLOOKUP("Doom", vote4SURGE!A:C , 3, FALSE) - 2, 0 ),
IF(IFERROR(SEARCH("Feast",K18),0) &gt; 0 , VLOOKUP("Feast", vote4SURGE!A:C , 3, FALSE) - 2, 0 ),
IF(IFERROR(SEARCH("Fire Breath",K18),0) &gt; 0 , VLOOKUP("Fire Breath", vote4SURGE!A:C , 3, FALSE) - 2, 0 ),
IF(IFERROR(SEARCH("Hunt",K18),0) &gt; 0 , VLOOKUP("Hunt", vote4SURGE!A:C , 3, FALSE) - 2, 0 ),
IF(IFERROR(SEARCH("Immobilize",K18),0) &gt; 0 , VLOOKUP("Immobilize", vote4SURGE!A:C , 3, FALSE) - 2, 0 ),
IF(IFERROR(SEARCH("Knockback",K18),0) &gt; 0 , VLOOKUP("Knockback", vote4SURGE!A:C , 3, FALSE) - 2, 0 ),
IF(IFERROR(SEARCH("Lash",K18),0) &gt; 0 , VLOOKUP("Lash", vote4SURGE!A:C , 3, FALSE) - 2, 0 ),
IF(IFERROR(SEARCH("Mend 2",K18),0) &gt; 0 , VLOOKUP("Mend 2", vote4SURGE!A:C , 3, FALSE) - 2, 0 ),
IF(IFERROR(SEARCH("Mortal Binding",K18),0) &gt; 0 , VLOOKUP("Mortal Binding", vote4SURGE!A:C , 3, FALSE) - 2, 0 ),
IF(IFERROR(SEARCH("Poison",K18),0) &gt; 0 , VLOOKUP("Poison", vote4SURGE!A:C , 3, FALSE) - 2, 0 ),
IF(IFERROR(SEARCH("Stun",K18),0) &gt; 0 , VLOOKUP("Stun", vote4SURGE!A:C , 3, FALSE) - 2, 0 ),
IF(IFERROR(SEARCH("Swarm",K18),0) &gt; 0 , VLOOKUP("Swarm", vote4SURGE!A:C , 3, FALSE) - 2, 0 ),
IF(IFERROR(SEARCH("Terrify",K18),0) &gt; 0 , VLOOKUP("Terrify", vote4SURGE!A:C , 3, FALSE) - 2, 0 ),
IF(IFERROR(SEARCH("Weaken",K18),0) &gt; 0 , VLOOKUP("Weaken", vote4SURGE!A:C , 3, FALSE) - 2, 0 ),
IF(IFERROR(SEARCH("Wither",K18),0) &gt; 0 , VLOOKUP("Wither", vote4SURGE!A:C , 3, FALSE) - 2, 0 ),
IFS(
IFERROR(SEARCH("Sorcery 1", K18),0) &gt; 0 ,VLOOKUP("Sorcery 1", vote4SURGE!A:C , 3, FALSE) - 2,
IFERROR(SEARCH("Sorcery 2", K18),0) &gt; 0 ,VLOOKUP("Sorcery 2", vote4SURGE!A:C , 3, FALSE) - 2,
IFERROR(SEARCH("Sorcery 3", K18),0) &gt; 0,VLOOKUP("Sorcery 3", vote4SURGE!A:C , 3, FALSE) - 2,
0=0,0)
,
IFS(
IFERROR(SEARCH("Pierce 1", K18),0) &gt; 0 ,VLOOKUP("Pierce 1", vote4SURGE!A:C , 3, FALSE) - 2,
IFERROR(SEARCH("Pierce 2", K18),0) &gt; 0 ,VLOOKUP("Pierce 2", vote4SURGE!A:C , 3, FALSE) - 2,
IFERROR(SEARCH("Pierce 3", K18),0) &gt; 0,VLOOKUP("Pierce 3", vote4SURGE!A:C , 3, FALSE) - 2,
IFERROR(SEARCH("Pierce 4", K18),0) &gt; 0 ,VLOOKUP("Pierce 4", vote4SURGE!A:C , 3, FALSE) - 2,
0=0,0)
,
IFS(
IFERROR(SEARCH("+1 Wound, +1 Wound", K18),0) &gt; 0 ,VLOOKUP("+1 Wound, +1 Wound", vote4SURGE!A:C , 3, False) - 2,
IFERROR(SEARCH("+2 Wounds, +2 Wounds", K18),0) &gt; 0 ,VLOOKUP("+2 Wounds, +2 Wounds", vote4SURGE!A:C , 3, False)- 2,
IFERROR(SEARCH("+1 Wound", K18),0) &gt; 0 ,VLOOKUP("+1 Wound", vote4SURGE!A:C , 3, False)- 2,
IFERROR(SEARCH("+2 Wounds", K18),0) &gt; 0 ,VLOOKUP("+2 Wounds", vote4SURGE!A:C , 3, False)- 2,
IFERROR(SEARCH("+3 Wounds", K18),0) &gt; 0,VLOOKUP("+3 Wounds", vote4SURGE!A:C , 3, False)- 2,
IFERROR(SEARCH("+4 Wounds", K18),0) &gt; 0 ,VLOOKUP("+4 Wounds", vote4SURGE!A:C , 3, False)- 2,
IFERROR(SEARCH("+4 Wounds", K18),0) &gt; 0 ,VLOOKUP("+5 Wounds", vote4SURGE!A:C , 3, False)- 2,
0=0,0)
,
IFS(
IFERROR(SEARCH("+1 Range", K18),0) &gt; 0 ,VLOOKUP("+1 Range", vote4SURGE!A:C , 3, FALSE) - 2,
IFERROR(SEARCH("+2 Range", K18),0) &gt; 0 ,VLOOKUP("+2 Range", vote4SURGE!A:C , 3, FALSE) - 2,
IFERROR(SEARCH("+3 Range", K18),0) &gt; 0,VLOOKUP("+3 Range", vote4SURGE!A:C , 3, FALSE) - 2,
0=0,0)
)</f>
        <v>0</v>
      </c>
      <c r="M18" s="318">
        <f t="shared" si="1"/>
        <v>2.333333333</v>
      </c>
      <c r="N18" s="322"/>
      <c r="O18" s="322"/>
      <c r="P18" s="322"/>
      <c r="Q18" s="322"/>
      <c r="R18" s="322"/>
      <c r="S18" s="322"/>
      <c r="T18" s="322"/>
    </row>
    <row r="19">
      <c r="A19" s="105" t="s">
        <v>1689</v>
      </c>
      <c r="B19" s="93" t="s">
        <v>1696</v>
      </c>
      <c r="C19" s="93"/>
      <c r="D19" s="315" t="str">
        <f>IFERROR(__xludf.DUMMYFUNCTION(" IF(ISBLANK(C19),,
SWITCH(
LEN(C19) - LEN(SUBSTITUTE(C19,"","","""")),
0 , VLOOKUP(C19, Variables!$A:$B, 2, FALSE),
1 , VLOOKUP(index(split(C19 ,"", "", FALSE),1,1), Variables!$A:$B , 2, FALSE) + VLOOKUP(index(split(C19 ,"", "", FALSE),1,2), Variables!$A:"&amp;"$B , 2, FALSE),
2 , VLOOKUP(index(split(C19 ,"", "", FALSE),1,1), Variables!$A:$B , 2, FALSE) + VLOOKUP(index(split(C19 ,"", "", FALSE),1,2), Variables!$A:$B , 2, FALSE) + VLOOKUP(index(split(C19 ,"", "", FALSE),1,3), Variables!$A:$B , 2, FALSE),
3 , VLOO"&amp;"KUP(index(split(C19 ,"", "", FALSE),1,1), Variables!$A:$B , 2, FALSE) + VLOOKUP(index(split(C19 ,"", "", FALSE),1,2), Variables!$A:$B , 2, FALSE) + VLOOKUP(index(split(C19 ,"", "", FALSE),1,3), Variables!$A:$B , 2, FALSE) + VLOOKUP(index(split(C19 ,"", """&amp;", FALSE),1,4), Variables!$A:$B , 2, FALSE),
)
)"),"")</f>
        <v/>
      </c>
      <c r="E19" s="93"/>
      <c r="F19" s="318" t="str">
        <f>IF(E19 = "",,IFERROR(VLOOKUP(B19,vote4ITEMS!$A:$C, 3, FALSE),))</f>
        <v/>
      </c>
      <c r="G19" s="353" t="s">
        <v>987</v>
      </c>
      <c r="H19" s="318">
        <f>IFERROR(__xludf.DUMMYFUNCTION("IF(ISBLANK(G19),,
IFERROR(
SWITCH(
LEN(G19) - LEN(SUBSTITUTE(G19,"","","""")),
0 , VLOOKUP(G19, vote4TRAITS!$A:$C , 3, FALSE),
1 , VLOOKUP(index(split(G19 ,"", "", FALSE),1,1), vote4TRAITS!$A:$C , 3, FALSE) + VLOOKUP(index(split(G19 ,"", "", FALSE),1,2), "&amp;"vote4TRAITS!$A:$C , 3, FALSE),
2 , VLOOKUP(index(split(G19 ,"", "", FALSE),1,1), vote4TRAITS!$A:$C , 3, FALSE) + VLOOKUP(index(split(G19 ,"", "", FALSE),1,2), vote4TRAITS!$A:$C , 3, FALSE) + VLOOKUP(index(split(G19 ,"", "", FALSE),1,3), vote4TRAITS!$A:$C "&amp;", 3, FALSE),
3 , VLOOKUP(index(split(G19 ,"", "", FALSE),1,1), vote4TRAITS!$A:$C , 3, FALSE) + VLOOKUP(index(split(G19 ,"", "", FALSE),1,2), vote4TRAITS!$A:$C , 3, FALSE) + VLOOKUP(index(split(G19 ,"", "", FALSE),1,3), vote4TRAITS!$A:$C , 3, FALSE) + VLOO"&amp;"KUP(index(split(L31 ,"", "", FALSE),1,4), vote4TRAITS!$A:$C , 3, FALSE)
),
VLOOKUP(B19, vote4TRAITS!$A:$C , 3, FALSE))
)"),6.0)</f>
        <v>6</v>
      </c>
      <c r="I19" s="353" t="s">
        <v>1544</v>
      </c>
      <c r="J19" s="318">
        <f>SUM(
IF(IFERROR(SEARCH("Black Venom",I19),0) &gt; 0 , VLOOKUP("Black Venom", vote4SURGE!A:C , 3, FALSE), 0 ),
IF(IFERROR(SEARCH("Bleed",I19),0) &gt; 0 , VLOOKUP("Bleed", vote4SURGE!A:C , 3, FALSE), 0 ),
IF(IFERROR(SEARCH("Blast",I19),0) &gt; 0 , VLOOKUP("Blast", vote4SURGE!A:C , 3, FALSE), 0 ),
IF(IFERROR(SEARCH("Burn",I19),0) &gt; 0 , VLOOKUP("Burn", vote4SURGE!A:C , 3, FALSE), 0 ),
IF(IFERROR(SEARCH("Charge",I19),0) &gt; 0 , VLOOKUP("Charge", vote4SURGE!A:C , 3, FALSE), 0 ),
IF(IFERROR(SEARCH("Colonize",I19),0) &gt; 0 , VLOOKUP("Colonize", vote4SURGE!A:C , 3, FALSE), 0 ),
IF(IFERROR(SEARCH("Curse",I19),0) &gt; 0 , VLOOKUP("Curse", vote4SURGE!A:C , 3, FALSE), 0 ),
IF(IFERROR(SEARCH("Disease",I19),0) &gt; 0 , VLOOKUP("Disease", vote4SURGE!A:C , 3, FALSE), 0 ),
IF(IFERROR(SEARCH("Doom",I19),0) &gt; 0 , VLOOKUP("Doom", vote4SURGE!A:C , 3, FALSE), 0 ),
IF(IFERROR(SEARCH("Feast",I19),0) &gt; 0 , VLOOKUP("Feast", vote4SURGE!A:C , 3, FALSE), 0 ),
IF(IFERROR(SEARCH("Fire Breath",I19),0) &gt; 0 , VLOOKUP("Fire Breath", vote4SURGE!A:C , 3, FALSE), 0 ),
IF(IFERROR(SEARCH("Hunt",I19),0) &gt; 0 , VLOOKUP("Hunt", vote4SURGE!A:C , 3, FALSE), 0 ),
IF(IFERROR(SEARCH("Immobilize",I19),0) &gt; 0 , VLOOKUP("Immobilize", vote4SURGE!A:C , 3, FALSE), 0 ),
IF(IFERROR(SEARCH("Knockback",I19),0) &gt; 0 , VLOOKUP("Knockback", vote4SURGE!A:C , 3, FALSE), 0 ),
IF(IFERROR(SEARCH("Lash",I19),0) &gt; 0 , VLOOKUP("Lash", vote4SURGE!A:C , 3, FALSE), 0 ),
IF(IFERROR(SEARCH("Mend 2",I19),0) &gt; 0 , VLOOKUP("Mend 2", vote4SURGE!A:C , 3, FALSE), 0 ),
IF(IFERROR(SEARCH("Mortal Binding",I19),0) &gt; 0 , VLOOKUP("Mortal Binding", vote4SURGE!A:C , 3, FALSE), 0 ),
IF(IFERROR(SEARCH("Poison",I19),0) &gt; 0 , VLOOKUP("Poison", vote4SURGE!A:C , 3, FALSE), 0 ),
IF(IFERROR(SEARCH("Stun",I19),0) &gt; 0 , VLOOKUP("Stun", vote4SURGE!A:C , 3, FALSE), 0 ),
IF(IFERROR(SEARCH("Swarm",I19),0) &gt; 0 , VLOOKUP("Swarm", vote4SURGE!A:C , 3, FALSE), 0 ),
IF(IFERROR(SEARCH("Terrify",I19),0) &gt; 0 , VLOOKUP("Terrify", vote4SURGE!A:C , 3, FALSE), 0 ),
IF(IFERROR(SEARCH("Weaken",I19),0) &gt; 0 , VLOOKUP("Weaken", vote4SURGE!A:C , 3, FALSE), 0 ),
IF(IFERROR(SEARCH("Wither",I19),0) &gt; 0 , VLOOKUP("Wither", vote4SURGE!A:C , 3, FALSE), 0 ),
IFS(
IFERROR(SEARCH("Sorcery 1", I19),0) &gt; 0 ,VLOOKUP("Sorcery 1", vote4SURGE!A:C , 3, FALSE),
IFERROR(SEARCH("Sorcery 2", I19),0) &gt; 0 ,VLOOKUP("Sorcery 2", vote4SURGE!A:C , 3, FALSE),
IFERROR(SEARCH("Sorcery 3", I19),0) &gt; 0,VLOOKUP("Sorcery 3", vote4SURGE!A:C , 3, FALSE),
0=0,0)
,
IFS(
IFERROR(SEARCH("Pierce 1", I19),0) &gt; 0 ,VLOOKUP("Pierce 1", vote4SURGE!A:C , 3, FALSE),
IFERROR(SEARCH("Pierce 2", I19),0) &gt; 0 ,VLOOKUP("Pierce 2", vote4SURGE!A:C , 3, FALSE),
IFERROR(SEARCH("Pierce 3", I19),0) &gt; 0,VLOOKUP("Pierce 3", vote4SURGE!A:C , 3, FALSE),
IFERROR(SEARCH("Pierce 4", I19),0) &gt; 0 ,VLOOKUP("Pierce 4", vote4SURGE!A:C , 3, FALSE),
IFERROR(SEARCH("Pierce 5", I19),0) &gt; 0 ,VLOOKUP("Pierce 5", vote4SURGE!A:C , 3, FALSE),
0=0,0)
,
IFS(
IFERROR(SEARCH("+1 Range, +1 Wound", I19),0) &gt; 0 ,VLOOKUP("+1 Range, +1 Wound", vote4SURGE!A:C , 3, False),
IFERROR(SEARCH("+2 Range, +1 Wound", I19),0) &gt; 0 ,VLOOKUP("+2 Range, +1 Wound", vote4SURGE!A:C , 3, False),
IFERROR(SEARCH("+1 Wound, +1 Wound", I19),0) &gt; 0 ,VLOOKUP("+1 Wound, +1 Wound", vote4SURGE!A:C , 3, False),
IFERROR(SEARCH("+2 Wounds, +2 Wounds", I19),0) &gt; 0 ,VLOOKUP("+2 Wounds, +2 Wounds", vote4SURGE!A:C , 3, False),
IFERROR(SEARCH("+1 Wound", I19),0) &gt; 0 ,VLOOKUP("+1 Wound", vote4SURGE!A:C , 3, False),
IFERROR(SEARCH("+2 Wounds", I19),0) &gt; 0 ,VLOOKUP("+2 Wounds", vote4SURGE!A:C , 3, False),
IFERROR(SEARCH("+3 Wounds", I19),0) &gt; 0,VLOOKUP("+3 Wounds", vote4SURGE!A:C , 3, False),
IFERROR(SEARCH("+4 Wounds", I19),0) &gt; 0 ,VLOOKUP("+4 Wounds", vote4SURGE!A:C , 3, False),
0=0,0)
,
IFS(
IFERROR(SEARCH("+1 Range", I19),0) &gt; 0 ,VLOOKUP("+1 Range", vote4SURGE!A:C , 3, FALSE),
IFERROR(SEARCH("+2 Range", I19),0) &gt; 0 ,VLOOKUP("+2 Range", vote4SURGE!A:C , 3, FALSE),
IFERROR(SEARCH("+3 Range", I19),0) &gt; 0,VLOOKUP("+3 Range", vote4SURGE!A:C , 3, FALSE),
IFERROR(SEARCH("+4 Range", I19),0) &gt; 0,VLOOKUP("+4 Range", vote4SURGE!A:C , 3, FALSE),
0=0,0),
IFS(
IFERROR(SEARCH("Recover 1 Heart", I19),0) &gt; 0 ,VLOOKUP("Recover 1 Heart", vote4SURGE!A:C , 3, FALSE),
IFERROR(SEARCH("Recover 2 Heart", I19),0) &gt; 0 ,VLOOKUP("Recover 2 Heart", vote4SURGE!A:C , 3, FALSE),
0=0,0),
IFS(
IFERROR(SEARCH("Recover 1 Fatigue", I19),0) &gt; 0,VLOOKUP("Recover 1 Fatigue", vote4SURGE!A:C , 3, FALSE),
IFERROR(SEARCH("Recover 2 Fatigue", I19),0) &gt; 0,VLOOKUP("Recover 2 Fatigue", vote4SURGE!A:C , 3, FALSE),
0=0,0),
IFERROR(VLOOKUP(B19, vote4SURGE!A:C , 3, FALSE),)
)</f>
        <v>4</v>
      </c>
      <c r="K19" s="352"/>
      <c r="L19" s="318">
        <f>SUM(
IF(IFERROR(SEARCH("Black Venom",K19),0) &gt; 0 , VLOOKUP("Black Venom", vote4SURGE!A:C , 3, FALSE) - 2, 0 ),
IF(IFERROR(SEARCH("Bleed",K19),0) &gt; 0 , VLOOKUP("Bleed", vote4SURGE!A:C , 3, FALSE) - 2, 0 ),
IF(IFERROR(SEARCH("Blast",K19),0) &gt; 0 , VLOOKUP("Blast", vote4SURGE!A:C , 3, FALSE) - 2, 0 ),
IF(IFERROR(SEARCH("Burn",K19),0) &gt; 0 , VLOOKUP("Burn", vote4SURGE!A:C , 3, FALSE) - 2, 0 ),
IF(IFERROR(SEARCH("Charge",K19),0) &gt; 0 , VLOOKUP("Charge", vote4SURGE!A:C , 3, FALSE) - 2, 0 ),
IF(IFERROR(SEARCH("Colonize",K19),0) &gt; 0 , VLOOKUP("Colonize", vote4SURGE!A:C , 3, FALSE) - 2, 0 ),
IF(IFERROR(SEARCH("Curse",K19),0) &gt; 0 , VLOOKUP("Curse", vote4SURGE!A:C , 3, FALSE) - 2, 0 ),
IF(IFERROR(SEARCH("Disease",K19),0) &gt; 0 , VLOOKUP("Disease", vote4SURGE!A:C , 3, FALSE) - 2, 0 ),
IF(IFERROR(SEARCH("Doom",K19),0) &gt; 0 , VLOOKUP("Doom", vote4SURGE!A:C , 3, FALSE) - 2, 0 ),
IF(IFERROR(SEARCH("Feast",K19),0) &gt; 0 , VLOOKUP("Feast", vote4SURGE!A:C , 3, FALSE) - 2, 0 ),
IF(IFERROR(SEARCH("Fire Breath",K19),0) &gt; 0 , VLOOKUP("Fire Breath", vote4SURGE!A:C , 3, FALSE) - 2, 0 ),
IF(IFERROR(SEARCH("Hunt",K19),0) &gt; 0 , VLOOKUP("Hunt", vote4SURGE!A:C , 3, FALSE) - 2, 0 ),
IF(IFERROR(SEARCH("Immobilize",K19),0) &gt; 0 , VLOOKUP("Immobilize", vote4SURGE!A:C , 3, FALSE) - 2, 0 ),
IF(IFERROR(SEARCH("Knockback",K19),0) &gt; 0 , VLOOKUP("Knockback", vote4SURGE!A:C , 3, FALSE) - 2, 0 ),
IF(IFERROR(SEARCH("Lash",K19),0) &gt; 0 , VLOOKUP("Lash", vote4SURGE!A:C , 3, FALSE) - 2, 0 ),
IF(IFERROR(SEARCH("Mend 2",K19),0) &gt; 0 , VLOOKUP("Mend 2", vote4SURGE!A:C , 3, FALSE) - 2, 0 ),
IF(IFERROR(SEARCH("Mortal Binding",K19),0) &gt; 0 , VLOOKUP("Mortal Binding", vote4SURGE!A:C , 3, FALSE) - 2, 0 ),
IF(IFERROR(SEARCH("Poison",K19),0) &gt; 0 , VLOOKUP("Poison", vote4SURGE!A:C , 3, FALSE) - 2, 0 ),
IF(IFERROR(SEARCH("Stun",K19),0) &gt; 0 , VLOOKUP("Stun", vote4SURGE!A:C , 3, FALSE) - 2, 0 ),
IF(IFERROR(SEARCH("Swarm",K19),0) &gt; 0 , VLOOKUP("Swarm", vote4SURGE!A:C , 3, FALSE) - 2, 0 ),
IF(IFERROR(SEARCH("Terrify",K19),0) &gt; 0 , VLOOKUP("Terrify", vote4SURGE!A:C , 3, FALSE) - 2, 0 ),
IF(IFERROR(SEARCH("Weaken",K19),0) &gt; 0 , VLOOKUP("Weaken", vote4SURGE!A:C , 3, FALSE) - 2, 0 ),
IF(IFERROR(SEARCH("Wither",K19),0) &gt; 0 , VLOOKUP("Wither", vote4SURGE!A:C , 3, FALSE) - 2, 0 ),
IFS(
IFERROR(SEARCH("Sorcery 1", K19),0) &gt; 0 ,VLOOKUP("Sorcery 1", vote4SURGE!A:C , 3, FALSE) - 2,
IFERROR(SEARCH("Sorcery 2", K19),0) &gt; 0 ,VLOOKUP("Sorcery 2", vote4SURGE!A:C , 3, FALSE) - 2,
IFERROR(SEARCH("Sorcery 3", K19),0) &gt; 0,VLOOKUP("Sorcery 3", vote4SURGE!A:C , 3, FALSE) - 2,
0=0,0)
,
IFS(
IFERROR(SEARCH("Pierce 1", K19),0) &gt; 0 ,VLOOKUP("Pierce 1", vote4SURGE!A:C , 3, FALSE) - 2,
IFERROR(SEARCH("Pierce 2", K19),0) &gt; 0 ,VLOOKUP("Pierce 2", vote4SURGE!A:C , 3, FALSE) - 2,
IFERROR(SEARCH("Pierce 3", K19),0) &gt; 0,VLOOKUP("Pierce 3", vote4SURGE!A:C , 3, FALSE) - 2,
IFERROR(SEARCH("Pierce 4", K19),0) &gt; 0 ,VLOOKUP("Pierce 4", vote4SURGE!A:C , 3, FALSE) - 2,
0=0,0)
,
IFS(
IFERROR(SEARCH("+1 Wound, +1 Wound", K19),0) &gt; 0 ,VLOOKUP("+1 Wound, +1 Wound", vote4SURGE!A:C , 3, False) - 2,
IFERROR(SEARCH("+2 Wounds, +2 Wounds", K19),0) &gt; 0 ,VLOOKUP("+2 Wounds, +2 Wounds", vote4SURGE!A:C , 3, False)- 2,
IFERROR(SEARCH("+1 Wound", K19),0) &gt; 0 ,VLOOKUP("+1 Wound", vote4SURGE!A:C , 3, False)- 2,
IFERROR(SEARCH("+2 Wounds", K19),0) &gt; 0 ,VLOOKUP("+2 Wounds", vote4SURGE!A:C , 3, False)- 2,
IFERROR(SEARCH("+3 Wounds", K19),0) &gt; 0,VLOOKUP("+3 Wounds", vote4SURGE!A:C , 3, False)- 2,
IFERROR(SEARCH("+4 Wounds", K19),0) &gt; 0 ,VLOOKUP("+4 Wounds", vote4SURGE!A:C , 3, False)- 2,
IFERROR(SEARCH("+4 Wounds", K19),0) &gt; 0 ,VLOOKUP("+5 Wounds", vote4SURGE!A:C , 3, False)- 2,
0=0,0)
,
IFS(
IFERROR(SEARCH("+1 Range", K19),0) &gt; 0 ,VLOOKUP("+1 Range", vote4SURGE!A:C , 3, FALSE) - 2,
IFERROR(SEARCH("+2 Range", K19),0) &gt; 0 ,VLOOKUP("+2 Range", vote4SURGE!A:C , 3, FALSE) - 2,
IFERROR(SEARCH("+3 Range", K19),0) &gt; 0,VLOOKUP("+3 Range", vote4SURGE!A:C , 3, FALSE) - 2,
0=0,0)
)</f>
        <v>0</v>
      </c>
      <c r="M19" s="318">
        <f t="shared" si="1"/>
        <v>10</v>
      </c>
      <c r="N19" s="322"/>
      <c r="O19" s="322"/>
      <c r="P19" s="322"/>
      <c r="Q19" s="322"/>
      <c r="R19" s="322"/>
      <c r="S19" s="322"/>
      <c r="T19" s="322"/>
    </row>
    <row r="20">
      <c r="A20" s="105" t="s">
        <v>1689</v>
      </c>
      <c r="B20" s="93" t="s">
        <v>900</v>
      </c>
      <c r="C20" s="105" t="s">
        <v>1697</v>
      </c>
      <c r="D20" s="315">
        <f>IFERROR(__xludf.DUMMYFUNCTION(" IF(ISBLANK(C20),,
SWITCH(
LEN(C20) - LEN(SUBSTITUTE(C20,"","","""")),
0 , VLOOKUP(C20, Variables!$A:$B, 2, FALSE),
1 , VLOOKUP(index(split(C20 ,"", "", FALSE),1,1), Variables!$A:$B , 2, FALSE) + VLOOKUP(index(split(C20 ,"", "", FALSE),1,2), Variables!$A:"&amp;"$B , 2, FALSE),
2 , VLOOKUP(index(split(C20 ,"", "", FALSE),1,1), Variables!$A:$B , 2, FALSE) + VLOOKUP(index(split(C20 ,"", "", FALSE),1,2), Variables!$A:$B , 2, FALSE) + VLOOKUP(index(split(C20 ,"", "", FALSE),1,3), Variables!$A:$B , 2, FALSE),
3 , VLOO"&amp;"KUP(index(split(C20 ,"", "", FALSE),1,1), Variables!$A:$B , 2, FALSE) + VLOOKUP(index(split(C20 ,"", "", FALSE),1,2), Variables!$A:$B , 2, FALSE) + VLOOKUP(index(split(C20 ,"", "", FALSE),1,3), Variables!$A:$B , 2, FALSE) + VLOOKUP(index(split(C20 ,"", """&amp;", FALSE),1,4), Variables!$A:$B , 2, FALSE),
)
)"),0.6666666666666666)</f>
        <v>0.6666666667</v>
      </c>
      <c r="E20" s="105" t="s">
        <v>901</v>
      </c>
      <c r="F20" s="318">
        <f>IF(E20 = "",,IFERROR(VLOOKUP(B20,vote4ITEMS!$A:$C, 3, FALSE),))</f>
        <v>4.333333333</v>
      </c>
      <c r="G20" s="353"/>
      <c r="H20" s="318" t="str">
        <f>IFERROR(__xludf.DUMMYFUNCTION("IF(ISBLANK(G20),,
IFERROR(
SWITCH(
LEN(G20) - LEN(SUBSTITUTE(G20,"","","""")),
0 , VLOOKUP(G20, vote4TRAITS!$A:$C , 3, FALSE),
1 , VLOOKUP(index(split(G20 ,"", "", FALSE),1,1), vote4TRAITS!$A:$C , 3, FALSE) + VLOOKUP(index(split(G20 ,"", "", FALSE),1,2), "&amp;"vote4TRAITS!$A:$C , 3, FALSE),
2 , VLOOKUP(index(split(G20 ,"", "", FALSE),1,1), vote4TRAITS!$A:$C , 3, FALSE) + VLOOKUP(index(split(G20 ,"", "", FALSE),1,2), vote4TRAITS!$A:$C , 3, FALSE) + VLOOKUP(index(split(G20 ,"", "", FALSE),1,3), vote4TRAITS!$A:$C "&amp;", 3, FALSE),
3 , VLOOKUP(index(split(G20 ,"", "", FALSE),1,1), vote4TRAITS!$A:$C , 3, FALSE) + VLOOKUP(index(split(G20 ,"", "", FALSE),1,2), vote4TRAITS!$A:$C , 3, FALSE) + VLOOKUP(index(split(G20 ,"", "", FALSE),1,3), vote4TRAITS!$A:$C , 3, FALSE) + VLOO"&amp;"KUP(index(split(L32 ,"", "", FALSE),1,4), vote4TRAITS!$A:$C , 3, FALSE)
),
VLOOKUP(B20, vote4TRAITS!$A:$C , 3, FALSE))
)"),"")</f>
        <v/>
      </c>
      <c r="I20" s="351"/>
      <c r="J20" s="318">
        <f>SUM(
IF(IFERROR(SEARCH("Black Venom",I20),0) &gt; 0 , VLOOKUP("Black Venom", vote4SURGE!A:C , 3, FALSE), 0 ),
IF(IFERROR(SEARCH("Bleed",I20),0) &gt; 0 , VLOOKUP("Bleed", vote4SURGE!A:C , 3, FALSE), 0 ),
IF(IFERROR(SEARCH("Blast",I20),0) &gt; 0 , VLOOKUP("Blast", vote4SURGE!A:C , 3, FALSE), 0 ),
IF(IFERROR(SEARCH("Burn",I20),0) &gt; 0 , VLOOKUP("Burn", vote4SURGE!A:C , 3, FALSE), 0 ),
IF(IFERROR(SEARCH("Charge",I20),0) &gt; 0 , VLOOKUP("Charge", vote4SURGE!A:C , 3, FALSE), 0 ),
IF(IFERROR(SEARCH("Colonize",I20),0) &gt; 0 , VLOOKUP("Colonize", vote4SURGE!A:C , 3, FALSE), 0 ),
IF(IFERROR(SEARCH("Curse",I20),0) &gt; 0 , VLOOKUP("Curse", vote4SURGE!A:C , 3, FALSE), 0 ),
IF(IFERROR(SEARCH("Disease",I20),0) &gt; 0 , VLOOKUP("Disease", vote4SURGE!A:C , 3, FALSE), 0 ),
IF(IFERROR(SEARCH("Doom",I20),0) &gt; 0 , VLOOKUP("Doom", vote4SURGE!A:C , 3, FALSE), 0 ),
IF(IFERROR(SEARCH("Feast",I20),0) &gt; 0 , VLOOKUP("Feast", vote4SURGE!A:C , 3, FALSE), 0 ),
IF(IFERROR(SEARCH("Fire Breath",I20),0) &gt; 0 , VLOOKUP("Fire Breath", vote4SURGE!A:C , 3, FALSE), 0 ),
IF(IFERROR(SEARCH("Hunt",I20),0) &gt; 0 , VLOOKUP("Hunt", vote4SURGE!A:C , 3, FALSE), 0 ),
IF(IFERROR(SEARCH("Immobilize",I20),0) &gt; 0 , VLOOKUP("Immobilize", vote4SURGE!A:C , 3, FALSE), 0 ),
IF(IFERROR(SEARCH("Knockback",I20),0) &gt; 0 , VLOOKUP("Knockback", vote4SURGE!A:C , 3, FALSE), 0 ),
IF(IFERROR(SEARCH("Lash",I20),0) &gt; 0 , VLOOKUP("Lash", vote4SURGE!A:C , 3, FALSE), 0 ),
IF(IFERROR(SEARCH("Mend 2",I20),0) &gt; 0 , VLOOKUP("Mend 2", vote4SURGE!A:C , 3, FALSE), 0 ),
IF(IFERROR(SEARCH("Mortal Binding",I20),0) &gt; 0 , VLOOKUP("Mortal Binding", vote4SURGE!A:C , 3, FALSE), 0 ),
IF(IFERROR(SEARCH("Poison",I20),0) &gt; 0 , VLOOKUP("Poison", vote4SURGE!A:C , 3, FALSE), 0 ),
IF(IFERROR(SEARCH("Stun",I20),0) &gt; 0 , VLOOKUP("Stun", vote4SURGE!A:C , 3, FALSE), 0 ),
IF(IFERROR(SEARCH("Swarm",I20),0) &gt; 0 , VLOOKUP("Swarm", vote4SURGE!A:C , 3, FALSE), 0 ),
IF(IFERROR(SEARCH("Terrify",I20),0) &gt; 0 , VLOOKUP("Terrify", vote4SURGE!A:C , 3, FALSE), 0 ),
IF(IFERROR(SEARCH("Weaken",I20),0) &gt; 0 , VLOOKUP("Weaken", vote4SURGE!A:C , 3, FALSE), 0 ),
IF(IFERROR(SEARCH("Wither",I20),0) &gt; 0 , VLOOKUP("Wither", vote4SURGE!A:C , 3, FALSE), 0 ),
IFS(
IFERROR(SEARCH("Sorcery 1", I20),0) &gt; 0 ,VLOOKUP("Sorcery 1", vote4SURGE!A:C , 3, FALSE),
IFERROR(SEARCH("Sorcery 2", I20),0) &gt; 0 ,VLOOKUP("Sorcery 2", vote4SURGE!A:C , 3, FALSE),
IFERROR(SEARCH("Sorcery 3", I20),0) &gt; 0,VLOOKUP("Sorcery 3", vote4SURGE!A:C , 3, FALSE),
0=0,0)
,
IFS(
IFERROR(SEARCH("Pierce 1", I20),0) &gt; 0 ,VLOOKUP("Pierce 1", vote4SURGE!A:C , 3, FALSE),
IFERROR(SEARCH("Pierce 2", I20),0) &gt; 0 ,VLOOKUP("Pierce 2", vote4SURGE!A:C , 3, FALSE),
IFERROR(SEARCH("Pierce 3", I20),0) &gt; 0,VLOOKUP("Pierce 3", vote4SURGE!A:C , 3, FALSE),
IFERROR(SEARCH("Pierce 4", I20),0) &gt; 0 ,VLOOKUP("Pierce 4", vote4SURGE!A:C , 3, FALSE),
IFERROR(SEARCH("Pierce 5", I20),0) &gt; 0 ,VLOOKUP("Pierce 5", vote4SURGE!A:C , 3, FALSE),
0=0,0)
,
IFS(
IFERROR(SEARCH("+1 Range, +1 Wound", I20),0) &gt; 0 ,VLOOKUP("+1 Range, +1 Wound", vote4SURGE!A:C , 3, False),
IFERROR(SEARCH("+2 Range, +1 Wound", I20),0) &gt; 0 ,VLOOKUP("+2 Range, +1 Wound", vote4SURGE!A:C , 3, False),
IFERROR(SEARCH("+1 Wound, +1 Wound", I20),0) &gt; 0 ,VLOOKUP("+1 Wound, +1 Wound", vote4SURGE!A:C , 3, False),
IFERROR(SEARCH("+2 Wounds, +2 Wounds", I20),0) &gt; 0 ,VLOOKUP("+2 Wounds, +2 Wounds", vote4SURGE!A:C , 3, False),
IFERROR(SEARCH("+1 Wound", I20),0) &gt; 0 ,VLOOKUP("+1 Wound", vote4SURGE!A:C , 3, False),
IFERROR(SEARCH("+2 Wounds", I20),0) &gt; 0 ,VLOOKUP("+2 Wounds", vote4SURGE!A:C , 3, False),
IFERROR(SEARCH("+3 Wounds", I20),0) &gt; 0,VLOOKUP("+3 Wounds", vote4SURGE!A:C , 3, False),
IFERROR(SEARCH("+4 Wounds", I20),0) &gt; 0 ,VLOOKUP("+4 Wounds", vote4SURGE!A:C , 3, False),
0=0,0)
,
IFS(
IFERROR(SEARCH("+1 Range", I20),0) &gt; 0 ,VLOOKUP("+1 Range", vote4SURGE!A:C , 3, FALSE),
IFERROR(SEARCH("+2 Range", I20),0) &gt; 0 ,VLOOKUP("+2 Range", vote4SURGE!A:C , 3, FALSE),
IFERROR(SEARCH("+3 Range", I20),0) &gt; 0,VLOOKUP("+3 Range", vote4SURGE!A:C , 3, FALSE),
IFERROR(SEARCH("+4 Range", I20),0) &gt; 0,VLOOKUP("+4 Range", vote4SURGE!A:C , 3, FALSE),
0=0,0),
IFS(
IFERROR(SEARCH("Recover 1 Heart", I20),0) &gt; 0 ,VLOOKUP("Recover 1 Heart", vote4SURGE!A:C , 3, FALSE),
IFERROR(SEARCH("Recover 2 Heart", I20),0) &gt; 0 ,VLOOKUP("Recover 2 Heart", vote4SURGE!A:C , 3, FALSE),
0=0,0),
IFS(
IFERROR(SEARCH("Recover 1 Fatigue", I20),0) &gt; 0,VLOOKUP("Recover 1 Fatigue", vote4SURGE!A:C , 3, FALSE),
IFERROR(SEARCH("Recover 2 Fatigue", I20),0) &gt; 0,VLOOKUP("Recover 2 Fatigue", vote4SURGE!A:C , 3, FALSE),
0=0,0),
IFERROR(VLOOKUP(B20, vote4SURGE!A:C , 3, FALSE),)
)</f>
        <v>0</v>
      </c>
      <c r="K20" s="352"/>
      <c r="L20" s="318">
        <f>SUM(
IF(IFERROR(SEARCH("Black Venom",K20),0) &gt; 0 , VLOOKUP("Black Venom", vote4SURGE!A:C , 3, FALSE) - 2, 0 ),
IF(IFERROR(SEARCH("Bleed",K20),0) &gt; 0 , VLOOKUP("Bleed", vote4SURGE!A:C , 3, FALSE) - 2, 0 ),
IF(IFERROR(SEARCH("Blast",K20),0) &gt; 0 , VLOOKUP("Blast", vote4SURGE!A:C , 3, FALSE) - 2, 0 ),
IF(IFERROR(SEARCH("Burn",K20),0) &gt; 0 , VLOOKUP("Burn", vote4SURGE!A:C , 3, FALSE) - 2, 0 ),
IF(IFERROR(SEARCH("Charge",K20),0) &gt; 0 , VLOOKUP("Charge", vote4SURGE!A:C , 3, FALSE) - 2, 0 ),
IF(IFERROR(SEARCH("Colonize",K20),0) &gt; 0 , VLOOKUP("Colonize", vote4SURGE!A:C , 3, FALSE) - 2, 0 ),
IF(IFERROR(SEARCH("Curse",K20),0) &gt; 0 , VLOOKUP("Curse", vote4SURGE!A:C , 3, FALSE) - 2, 0 ),
IF(IFERROR(SEARCH("Disease",K20),0) &gt; 0 , VLOOKUP("Disease", vote4SURGE!A:C , 3, FALSE) - 2, 0 ),
IF(IFERROR(SEARCH("Doom",K20),0) &gt; 0 , VLOOKUP("Doom", vote4SURGE!A:C , 3, FALSE) - 2, 0 ),
IF(IFERROR(SEARCH("Feast",K20),0) &gt; 0 , VLOOKUP("Feast", vote4SURGE!A:C , 3, FALSE) - 2, 0 ),
IF(IFERROR(SEARCH("Fire Breath",K20),0) &gt; 0 , VLOOKUP("Fire Breath", vote4SURGE!A:C , 3, FALSE) - 2, 0 ),
IF(IFERROR(SEARCH("Hunt",K20),0) &gt; 0 , VLOOKUP("Hunt", vote4SURGE!A:C , 3, FALSE) - 2, 0 ),
IF(IFERROR(SEARCH("Immobilize",K20),0) &gt; 0 , VLOOKUP("Immobilize", vote4SURGE!A:C , 3, FALSE) - 2, 0 ),
IF(IFERROR(SEARCH("Knockback",K20),0) &gt; 0 , VLOOKUP("Knockback", vote4SURGE!A:C , 3, FALSE) - 2, 0 ),
IF(IFERROR(SEARCH("Lash",K20),0) &gt; 0 , VLOOKUP("Lash", vote4SURGE!A:C , 3, FALSE) - 2, 0 ),
IF(IFERROR(SEARCH("Mend 2",K20),0) &gt; 0 , VLOOKUP("Mend 2", vote4SURGE!A:C , 3, FALSE) - 2, 0 ),
IF(IFERROR(SEARCH("Mortal Binding",K20),0) &gt; 0 , VLOOKUP("Mortal Binding", vote4SURGE!A:C , 3, FALSE) - 2, 0 ),
IF(IFERROR(SEARCH("Poison",K20),0) &gt; 0 , VLOOKUP("Poison", vote4SURGE!A:C , 3, FALSE) - 2, 0 ),
IF(IFERROR(SEARCH("Stun",K20),0) &gt; 0 , VLOOKUP("Stun", vote4SURGE!A:C , 3, FALSE) - 2, 0 ),
IF(IFERROR(SEARCH("Swarm",K20),0) &gt; 0 , VLOOKUP("Swarm", vote4SURGE!A:C , 3, FALSE) - 2, 0 ),
IF(IFERROR(SEARCH("Terrify",K20),0) &gt; 0 , VLOOKUP("Terrify", vote4SURGE!A:C , 3, FALSE) - 2, 0 ),
IF(IFERROR(SEARCH("Weaken",K20),0) &gt; 0 , VLOOKUP("Weaken", vote4SURGE!A:C , 3, FALSE) - 2, 0 ),
IF(IFERROR(SEARCH("Wither",K20),0) &gt; 0 , VLOOKUP("Wither", vote4SURGE!A:C , 3, FALSE) - 2, 0 ),
IFS(
IFERROR(SEARCH("Sorcery 1", K20),0) &gt; 0 ,VLOOKUP("Sorcery 1", vote4SURGE!A:C , 3, FALSE) - 2,
IFERROR(SEARCH("Sorcery 2", K20),0) &gt; 0 ,VLOOKUP("Sorcery 2", vote4SURGE!A:C , 3, FALSE) - 2,
IFERROR(SEARCH("Sorcery 3", K20),0) &gt; 0,VLOOKUP("Sorcery 3", vote4SURGE!A:C , 3, FALSE) - 2,
0=0,0)
,
IFS(
IFERROR(SEARCH("Pierce 1", K20),0) &gt; 0 ,VLOOKUP("Pierce 1", vote4SURGE!A:C , 3, FALSE) - 2,
IFERROR(SEARCH("Pierce 2", K20),0) &gt; 0 ,VLOOKUP("Pierce 2", vote4SURGE!A:C , 3, FALSE) - 2,
IFERROR(SEARCH("Pierce 3", K20),0) &gt; 0,VLOOKUP("Pierce 3", vote4SURGE!A:C , 3, FALSE) - 2,
IFERROR(SEARCH("Pierce 4", K20),0) &gt; 0 ,VLOOKUP("Pierce 4", vote4SURGE!A:C , 3, FALSE) - 2,
0=0,0)
,
IFS(
IFERROR(SEARCH("+1 Wound, +1 Wound", K20),0) &gt; 0 ,VLOOKUP("+1 Wound, +1 Wound", vote4SURGE!A:C , 3, False) - 2,
IFERROR(SEARCH("+2 Wounds, +2 Wounds", K20),0) &gt; 0 ,VLOOKUP("+2 Wounds, +2 Wounds", vote4SURGE!A:C , 3, False)- 2,
IFERROR(SEARCH("+1 Wound", K20),0) &gt; 0 ,VLOOKUP("+1 Wound", vote4SURGE!A:C , 3, False)- 2,
IFERROR(SEARCH("+2 Wounds", K20),0) &gt; 0 ,VLOOKUP("+2 Wounds", vote4SURGE!A:C , 3, False)- 2,
IFERROR(SEARCH("+3 Wounds", K20),0) &gt; 0,VLOOKUP("+3 Wounds", vote4SURGE!A:C , 3, False)- 2,
IFERROR(SEARCH("+4 Wounds", K20),0) &gt; 0 ,VLOOKUP("+4 Wounds", vote4SURGE!A:C , 3, False)- 2,
IFERROR(SEARCH("+4 Wounds", K20),0) &gt; 0 ,VLOOKUP("+5 Wounds", vote4SURGE!A:C , 3, False)- 2,
0=0,0)
,
IFS(
IFERROR(SEARCH("+1 Range", K20),0) &gt; 0 ,VLOOKUP("+1 Range", vote4SURGE!A:C , 3, FALSE) - 2,
IFERROR(SEARCH("+2 Range", K20),0) &gt; 0 ,VLOOKUP("+2 Range", vote4SURGE!A:C , 3, FALSE) - 2,
IFERROR(SEARCH("+3 Range", K20),0) &gt; 0,VLOOKUP("+3 Range", vote4SURGE!A:C , 3, FALSE) - 2,
0=0,0)
)</f>
        <v>0</v>
      </c>
      <c r="M20" s="318">
        <f t="shared" si="1"/>
        <v>5</v>
      </c>
      <c r="N20" s="322"/>
      <c r="O20" s="322"/>
      <c r="P20" s="322"/>
      <c r="Q20" s="322"/>
      <c r="R20" s="322"/>
      <c r="S20" s="322"/>
      <c r="T20" s="322"/>
    </row>
    <row r="21">
      <c r="A21" s="105" t="s">
        <v>1689</v>
      </c>
      <c r="B21" s="93" t="s">
        <v>1698</v>
      </c>
      <c r="C21" s="93"/>
      <c r="D21" s="315" t="str">
        <f>IFERROR(__xludf.DUMMYFUNCTION(" IF(ISBLANK(C21),,
SWITCH(
LEN(C21) - LEN(SUBSTITUTE(C21,"","","""")),
0 , VLOOKUP(C21, Variables!$A:$B, 2, FALSE),
1 , VLOOKUP(index(split(C21 ,"", "", FALSE),1,1), Variables!$A:$B , 2, FALSE) + VLOOKUP(index(split(C21 ,"", "", FALSE),1,2), Variables!$A:"&amp;"$B , 2, FALSE),
2 , VLOOKUP(index(split(C21 ,"", "", FALSE),1,1), Variables!$A:$B , 2, FALSE) + VLOOKUP(index(split(C21 ,"", "", FALSE),1,2), Variables!$A:$B , 2, FALSE) + VLOOKUP(index(split(C21 ,"", "", FALSE),1,3), Variables!$A:$B , 2, FALSE),
3 , VLOO"&amp;"KUP(index(split(C21 ,"", "", FALSE),1,1), Variables!$A:$B , 2, FALSE) + VLOOKUP(index(split(C21 ,"", "", FALSE),1,2), Variables!$A:$B , 2, FALSE) + VLOOKUP(index(split(C21 ,"", "", FALSE),1,3), Variables!$A:$B , 2, FALSE) + VLOOKUP(index(split(C21 ,"", """&amp;", FALSE),1,4), Variables!$A:$B , 2, FALSE),
)
)"),"")</f>
        <v/>
      </c>
      <c r="E21" s="105"/>
      <c r="F21" s="318" t="str">
        <f>IF(E21 = "",,IFERROR(VLOOKUP(B21,vote4ITEMS!$A:$C, 3, FALSE),))</f>
        <v/>
      </c>
      <c r="G21" s="353"/>
      <c r="H21" s="318" t="str">
        <f>IFERROR(__xludf.DUMMYFUNCTION("IF(ISBLANK(G21),,
IFERROR(
SWITCH(
LEN(G21) - LEN(SUBSTITUTE(G21,"","","""")),
0 , VLOOKUP(G21, vote4TRAITS!$A:$C , 3, FALSE),
1 , VLOOKUP(index(split(G21 ,"", "", FALSE),1,1), vote4TRAITS!$A:$C , 3, FALSE) + VLOOKUP(index(split(G21 ,"", "", FALSE),1,2), "&amp;"vote4TRAITS!$A:$C , 3, FALSE),
2 , VLOOKUP(index(split(G21 ,"", "", FALSE),1,1), vote4TRAITS!$A:$C , 3, FALSE) + VLOOKUP(index(split(G21 ,"", "", FALSE),1,2), vote4TRAITS!$A:$C , 3, FALSE) + VLOOKUP(index(split(G21 ,"", "", FALSE),1,3), vote4TRAITS!$A:$C "&amp;", 3, FALSE),
3 , VLOOKUP(index(split(G21 ,"", "", FALSE),1,1), vote4TRAITS!$A:$C , 3, FALSE) + VLOOKUP(index(split(G21 ,"", "", FALSE),1,2), vote4TRAITS!$A:$C , 3, FALSE) + VLOOKUP(index(split(G21 ,"", "", FALSE),1,3), vote4TRAITS!$A:$C , 3, FALSE) + VLOO"&amp;"KUP(index(split(L33 ,"", "", FALSE),1,4), vote4TRAITS!$A:$C , 3, FALSE)
),
VLOOKUP(B21, vote4TRAITS!$A:$C , 3, FALSE))
)"),"")</f>
        <v/>
      </c>
      <c r="I21" s="353" t="s">
        <v>1574</v>
      </c>
      <c r="J21" s="318">
        <f>SUM(
IF(IFERROR(SEARCH("Black Venom",I21),0) &gt; 0 , VLOOKUP("Black Venom", vote4SURGE!A:C , 3, FALSE), 0 ),
IF(IFERROR(SEARCH("Bleed",I21),0) &gt; 0 , VLOOKUP("Bleed", vote4SURGE!A:C , 3, FALSE), 0 ),
IF(IFERROR(SEARCH("Blast",I21),0) &gt; 0 , VLOOKUP("Blast", vote4SURGE!A:C , 3, FALSE), 0 ),
IF(IFERROR(SEARCH("Burn",I21),0) &gt; 0 , VLOOKUP("Burn", vote4SURGE!A:C , 3, FALSE), 0 ),
IF(IFERROR(SEARCH("Charge",I21),0) &gt; 0 , VLOOKUP("Charge", vote4SURGE!A:C , 3, FALSE), 0 ),
IF(IFERROR(SEARCH("Colonize",I21),0) &gt; 0 , VLOOKUP("Colonize", vote4SURGE!A:C , 3, FALSE), 0 ),
IF(IFERROR(SEARCH("Curse",I21),0) &gt; 0 , VLOOKUP("Curse", vote4SURGE!A:C , 3, FALSE), 0 ),
IF(IFERROR(SEARCH("Disease",I21),0) &gt; 0 , VLOOKUP("Disease", vote4SURGE!A:C , 3, FALSE), 0 ),
IF(IFERROR(SEARCH("Doom",I21),0) &gt; 0 , VLOOKUP("Doom", vote4SURGE!A:C , 3, FALSE), 0 ),
IF(IFERROR(SEARCH("Feast",I21),0) &gt; 0 , VLOOKUP("Feast", vote4SURGE!A:C , 3, FALSE), 0 ),
IF(IFERROR(SEARCH("Fire Breath",I21),0) &gt; 0 , VLOOKUP("Fire Breath", vote4SURGE!A:C , 3, FALSE), 0 ),
IF(IFERROR(SEARCH("Hunt",I21),0) &gt; 0 , VLOOKUP("Hunt", vote4SURGE!A:C , 3, FALSE), 0 ),
IF(IFERROR(SEARCH("Immobilize",I21),0) &gt; 0 , VLOOKUP("Immobilize", vote4SURGE!A:C , 3, FALSE), 0 ),
IF(IFERROR(SEARCH("Knockback",I21),0) &gt; 0 , VLOOKUP("Knockback", vote4SURGE!A:C , 3, FALSE), 0 ),
IF(IFERROR(SEARCH("Lash",I21),0) &gt; 0 , VLOOKUP("Lash", vote4SURGE!A:C , 3, FALSE), 0 ),
IF(IFERROR(SEARCH("Mend 2",I21),0) &gt; 0 , VLOOKUP("Mend 2", vote4SURGE!A:C , 3, FALSE), 0 ),
IF(IFERROR(SEARCH("Mortal Binding",I21),0) &gt; 0 , VLOOKUP("Mortal Binding", vote4SURGE!A:C , 3, FALSE), 0 ),
IF(IFERROR(SEARCH("Poison",I21),0) &gt; 0 , VLOOKUP("Poison", vote4SURGE!A:C , 3, FALSE), 0 ),
IF(IFERROR(SEARCH("Stun",I21),0) &gt; 0 , VLOOKUP("Stun", vote4SURGE!A:C , 3, FALSE), 0 ),
IF(IFERROR(SEARCH("Swarm",I21),0) &gt; 0 , VLOOKUP("Swarm", vote4SURGE!A:C , 3, FALSE), 0 ),
IF(IFERROR(SEARCH("Terrify",I21),0) &gt; 0 , VLOOKUP("Terrify", vote4SURGE!A:C , 3, FALSE), 0 ),
IF(IFERROR(SEARCH("Weaken",I21),0) &gt; 0 , VLOOKUP("Weaken", vote4SURGE!A:C , 3, FALSE), 0 ),
IF(IFERROR(SEARCH("Wither",I21),0) &gt; 0 , VLOOKUP("Wither", vote4SURGE!A:C , 3, FALSE), 0 ),
IFS(
IFERROR(SEARCH("Sorcery 1", I21),0) &gt; 0 ,VLOOKUP("Sorcery 1", vote4SURGE!A:C , 3, FALSE),
IFERROR(SEARCH("Sorcery 2", I21),0) &gt; 0 ,VLOOKUP("Sorcery 2", vote4SURGE!A:C , 3, FALSE),
IFERROR(SEARCH("Sorcery 3", I21),0) &gt; 0,VLOOKUP("Sorcery 3", vote4SURGE!A:C , 3, FALSE),
0=0,0)
,
IFS(
IFERROR(SEARCH("Pierce 1", I21),0) &gt; 0 ,VLOOKUP("Pierce 1", vote4SURGE!A:C , 3, FALSE),
IFERROR(SEARCH("Pierce 2", I21),0) &gt; 0 ,VLOOKUP("Pierce 2", vote4SURGE!A:C , 3, FALSE),
IFERROR(SEARCH("Pierce 3", I21),0) &gt; 0,VLOOKUP("Pierce 3", vote4SURGE!A:C , 3, FALSE),
IFERROR(SEARCH("Pierce 4", I21),0) &gt; 0 ,VLOOKUP("Pierce 4", vote4SURGE!A:C , 3, FALSE),
IFERROR(SEARCH("Pierce 5", I21),0) &gt; 0 ,VLOOKUP("Pierce 5", vote4SURGE!A:C , 3, FALSE),
0=0,0)
,
IFS(
IFERROR(SEARCH("+1 Range, +1 Wound", I21),0) &gt; 0 ,VLOOKUP("+1 Range, +1 Wound", vote4SURGE!A:C , 3, False),
IFERROR(SEARCH("+2 Range, +1 Wound", I21),0) &gt; 0 ,VLOOKUP("+2 Range, +1 Wound", vote4SURGE!A:C , 3, False),
IFERROR(SEARCH("+1 Wound, +1 Wound", I21),0) &gt; 0 ,VLOOKUP("+1 Wound, +1 Wound", vote4SURGE!A:C , 3, False),
IFERROR(SEARCH("+2 Wounds, +2 Wounds", I21),0) &gt; 0 ,VLOOKUP("+2 Wounds, +2 Wounds", vote4SURGE!A:C , 3, False),
IFERROR(SEARCH("+1 Wound", I21),0) &gt; 0 ,VLOOKUP("+1 Wound", vote4SURGE!A:C , 3, False),
IFERROR(SEARCH("+2 Wounds", I21),0) &gt; 0 ,VLOOKUP("+2 Wounds", vote4SURGE!A:C , 3, False),
IFERROR(SEARCH("+3 Wounds", I21),0) &gt; 0,VLOOKUP("+3 Wounds", vote4SURGE!A:C , 3, False),
IFERROR(SEARCH("+4 Wounds", I21),0) &gt; 0 ,VLOOKUP("+4 Wounds", vote4SURGE!A:C , 3, False),
0=0,0)
,
IFS(
IFERROR(SEARCH("+1 Range", I21),0) &gt; 0 ,VLOOKUP("+1 Range", vote4SURGE!A:C , 3, FALSE),
IFERROR(SEARCH("+2 Range", I21),0) &gt; 0 ,VLOOKUP("+2 Range", vote4SURGE!A:C , 3, FALSE),
IFERROR(SEARCH("+3 Range", I21),0) &gt; 0,VLOOKUP("+3 Range", vote4SURGE!A:C , 3, FALSE),
IFERROR(SEARCH("+4 Range", I21),0) &gt; 0,VLOOKUP("+4 Range", vote4SURGE!A:C , 3, FALSE),
0=0,0),
IFS(
IFERROR(SEARCH("Recover 1 Heart", I21),0) &gt; 0 ,VLOOKUP("Recover 1 Heart", vote4SURGE!A:C , 3, FALSE),
IFERROR(SEARCH("Recover 2 Heart", I21),0) &gt; 0 ,VLOOKUP("Recover 2 Heart", vote4SURGE!A:C , 3, FALSE),
0=0,0),
IFS(
IFERROR(SEARCH("Recover 1 Fatigue", I21),0) &gt; 0,VLOOKUP("Recover 1 Fatigue", vote4SURGE!A:C , 3, FALSE),
IFERROR(SEARCH("Recover 2 Fatigue", I21),0) &gt; 0,VLOOKUP("Recover 2 Fatigue", vote4SURGE!A:C , 3, FALSE),
0=0,0),
IFERROR(VLOOKUP(B21, vote4SURGE!A:C , 3, FALSE),)
)</f>
        <v>0</v>
      </c>
      <c r="K21" s="352"/>
      <c r="L21" s="318">
        <f>SUM(
IF(IFERROR(SEARCH("Black Venom",K21),0) &gt; 0 , VLOOKUP("Black Venom", vote4SURGE!A:C , 3, FALSE) - 2, 0 ),
IF(IFERROR(SEARCH("Bleed",K21),0) &gt; 0 , VLOOKUP("Bleed", vote4SURGE!A:C , 3, FALSE) - 2, 0 ),
IF(IFERROR(SEARCH("Blast",K21),0) &gt; 0 , VLOOKUP("Blast", vote4SURGE!A:C , 3, FALSE) - 2, 0 ),
IF(IFERROR(SEARCH("Burn",K21),0) &gt; 0 , VLOOKUP("Burn", vote4SURGE!A:C , 3, FALSE) - 2, 0 ),
IF(IFERROR(SEARCH("Charge",K21),0) &gt; 0 , VLOOKUP("Charge", vote4SURGE!A:C , 3, FALSE) - 2, 0 ),
IF(IFERROR(SEARCH("Colonize",K21),0) &gt; 0 , VLOOKUP("Colonize", vote4SURGE!A:C , 3, FALSE) - 2, 0 ),
IF(IFERROR(SEARCH("Curse",K21),0) &gt; 0 , VLOOKUP("Curse", vote4SURGE!A:C , 3, FALSE) - 2, 0 ),
IF(IFERROR(SEARCH("Disease",K21),0) &gt; 0 , VLOOKUP("Disease", vote4SURGE!A:C , 3, FALSE) - 2, 0 ),
IF(IFERROR(SEARCH("Doom",K21),0) &gt; 0 , VLOOKUP("Doom", vote4SURGE!A:C , 3, FALSE) - 2, 0 ),
IF(IFERROR(SEARCH("Feast",K21),0) &gt; 0 , VLOOKUP("Feast", vote4SURGE!A:C , 3, FALSE) - 2, 0 ),
IF(IFERROR(SEARCH("Fire Breath",K21),0) &gt; 0 , VLOOKUP("Fire Breath", vote4SURGE!A:C , 3, FALSE) - 2, 0 ),
IF(IFERROR(SEARCH("Hunt",K21),0) &gt; 0 , VLOOKUP("Hunt", vote4SURGE!A:C , 3, FALSE) - 2, 0 ),
IF(IFERROR(SEARCH("Immobilize",K21),0) &gt; 0 , VLOOKUP("Immobilize", vote4SURGE!A:C , 3, FALSE) - 2, 0 ),
IF(IFERROR(SEARCH("Knockback",K21),0) &gt; 0 , VLOOKUP("Knockback", vote4SURGE!A:C , 3, FALSE) - 2, 0 ),
IF(IFERROR(SEARCH("Lash",K21),0) &gt; 0 , VLOOKUP("Lash", vote4SURGE!A:C , 3, FALSE) - 2, 0 ),
IF(IFERROR(SEARCH("Mend 2",K21),0) &gt; 0 , VLOOKUP("Mend 2", vote4SURGE!A:C , 3, FALSE) - 2, 0 ),
IF(IFERROR(SEARCH("Mortal Binding",K21),0) &gt; 0 , VLOOKUP("Mortal Binding", vote4SURGE!A:C , 3, FALSE) - 2, 0 ),
IF(IFERROR(SEARCH("Poison",K21),0) &gt; 0 , VLOOKUP("Poison", vote4SURGE!A:C , 3, FALSE) - 2, 0 ),
IF(IFERROR(SEARCH("Stun",K21),0) &gt; 0 , VLOOKUP("Stun", vote4SURGE!A:C , 3, FALSE) - 2, 0 ),
IF(IFERROR(SEARCH("Swarm",K21),0) &gt; 0 , VLOOKUP("Swarm", vote4SURGE!A:C , 3, FALSE) - 2, 0 ),
IF(IFERROR(SEARCH("Terrify",K21),0) &gt; 0 , VLOOKUP("Terrify", vote4SURGE!A:C , 3, FALSE) - 2, 0 ),
IF(IFERROR(SEARCH("Weaken",K21),0) &gt; 0 , VLOOKUP("Weaken", vote4SURGE!A:C , 3, FALSE) - 2, 0 ),
IF(IFERROR(SEARCH("Wither",K21),0) &gt; 0 , VLOOKUP("Wither", vote4SURGE!A:C , 3, FALSE) - 2, 0 ),
IFS(
IFERROR(SEARCH("Sorcery 1", K21),0) &gt; 0 ,VLOOKUP("Sorcery 1", vote4SURGE!A:C , 3, FALSE) - 2,
IFERROR(SEARCH("Sorcery 2", K21),0) &gt; 0 ,VLOOKUP("Sorcery 2", vote4SURGE!A:C , 3, FALSE) - 2,
IFERROR(SEARCH("Sorcery 3", K21),0) &gt; 0,VLOOKUP("Sorcery 3", vote4SURGE!A:C , 3, FALSE) - 2,
0=0,0)
,
IFS(
IFERROR(SEARCH("Pierce 1", K21),0) &gt; 0 ,VLOOKUP("Pierce 1", vote4SURGE!A:C , 3, FALSE) - 2,
IFERROR(SEARCH("Pierce 2", K21),0) &gt; 0 ,VLOOKUP("Pierce 2", vote4SURGE!A:C , 3, FALSE) - 2,
IFERROR(SEARCH("Pierce 3", K21),0) &gt; 0,VLOOKUP("Pierce 3", vote4SURGE!A:C , 3, FALSE) - 2,
IFERROR(SEARCH("Pierce 4", K21),0) &gt; 0 ,VLOOKUP("Pierce 4", vote4SURGE!A:C , 3, FALSE) - 2,
0=0,0)
,
IFS(
IFERROR(SEARCH("+1 Wound, +1 Wound", K21),0) &gt; 0 ,VLOOKUP("+1 Wound, +1 Wound", vote4SURGE!A:C , 3, False) - 2,
IFERROR(SEARCH("+2 Wounds, +2 Wounds", K21),0) &gt; 0 ,VLOOKUP("+2 Wounds, +2 Wounds", vote4SURGE!A:C , 3, False)- 2,
IFERROR(SEARCH("+1 Wound", K21),0) &gt; 0 ,VLOOKUP("+1 Wound", vote4SURGE!A:C , 3, False)- 2,
IFERROR(SEARCH("+2 Wounds", K21),0) &gt; 0 ,VLOOKUP("+2 Wounds", vote4SURGE!A:C , 3, False)- 2,
IFERROR(SEARCH("+3 Wounds", K21),0) &gt; 0,VLOOKUP("+3 Wounds", vote4SURGE!A:C , 3, False)- 2,
IFERROR(SEARCH("+4 Wounds", K21),0) &gt; 0 ,VLOOKUP("+4 Wounds", vote4SURGE!A:C , 3, False)- 2,
IFERROR(SEARCH("+4 Wounds", K21),0) &gt; 0 ,VLOOKUP("+5 Wounds", vote4SURGE!A:C , 3, False)- 2,
0=0,0)
,
IFS(
IFERROR(SEARCH("+1 Range", K21),0) &gt; 0 ,VLOOKUP("+1 Range", vote4SURGE!A:C , 3, FALSE) - 2,
IFERROR(SEARCH("+2 Range", K21),0) &gt; 0 ,VLOOKUP("+2 Range", vote4SURGE!A:C , 3, FALSE) - 2,
IFERROR(SEARCH("+3 Range", K21),0) &gt; 0,VLOOKUP("+3 Range", vote4SURGE!A:C , 3, FALSE) - 2,
0=0,0)
)</f>
        <v>0</v>
      </c>
      <c r="M21" s="318">
        <f t="shared" si="1"/>
        <v>0</v>
      </c>
      <c r="N21" s="322"/>
      <c r="O21" s="322"/>
      <c r="P21" s="322"/>
      <c r="Q21" s="322"/>
      <c r="R21" s="322"/>
      <c r="S21" s="322"/>
      <c r="T21" s="322"/>
    </row>
    <row r="22">
      <c r="A22" s="105" t="s">
        <v>1689</v>
      </c>
      <c r="B22" s="105" t="s">
        <v>906</v>
      </c>
      <c r="C22" s="93"/>
      <c r="D22" s="315" t="str">
        <f>IFERROR(__xludf.DUMMYFUNCTION(" IF(ISBLANK(C22),,
SWITCH(
LEN(C22) - LEN(SUBSTITUTE(C22,"","","""")),
0 , VLOOKUP(C22, Variables!$A:$B, 2, FALSE),
1 , VLOOKUP(index(split(C22 ,"", "", FALSE),1,1), Variables!$A:$B , 2, FALSE) + VLOOKUP(index(split(C22 ,"", "", FALSE),1,2), Variables!$A:"&amp;"$B , 2, FALSE),
2 , VLOOKUP(index(split(C22 ,"", "", FALSE),1,1), Variables!$A:$B , 2, FALSE) + VLOOKUP(index(split(C22 ,"", "", FALSE),1,2), Variables!$A:$B , 2, FALSE) + VLOOKUP(index(split(C22 ,"", "", FALSE),1,3), Variables!$A:$B , 2, FALSE),
3 , VLOO"&amp;"KUP(index(split(C22 ,"", "", FALSE),1,1), Variables!$A:$B , 2, FALSE) + VLOOKUP(index(split(C22 ,"", "", FALSE),1,2), Variables!$A:$B , 2, FALSE) + VLOOKUP(index(split(C22 ,"", "", FALSE),1,3), Variables!$A:$B , 2, FALSE) + VLOOKUP(index(split(C22 ,"", """&amp;", FALSE),1,4), Variables!$A:$B , 2, FALSE),
)
)"),"")</f>
        <v/>
      </c>
      <c r="E22" s="105" t="s">
        <v>907</v>
      </c>
      <c r="F22" s="318">
        <f>IF(E22 = "",,IFERROR(VLOOKUP(B22,vote4ITEMS!$A:$C, 3, FALSE),))</f>
        <v>3</v>
      </c>
      <c r="G22" s="353" t="s">
        <v>987</v>
      </c>
      <c r="H22" s="318">
        <f>IFERROR(__xludf.DUMMYFUNCTION("IF(ISBLANK(G22),,
IFERROR(
SWITCH(
LEN(G22) - LEN(SUBSTITUTE(G22,"","","""")),
0 , VLOOKUP(G22, vote4TRAITS!$A:$C , 3, FALSE),
1 , VLOOKUP(index(split(G22 ,"", "", FALSE),1,1), vote4TRAITS!$A:$C , 3, FALSE) + VLOOKUP(index(split(G22 ,"", "", FALSE),1,2), "&amp;"vote4TRAITS!$A:$C , 3, FALSE),
2 , VLOOKUP(index(split(G22 ,"", "", FALSE),1,1), vote4TRAITS!$A:$C , 3, FALSE) + VLOOKUP(index(split(G22 ,"", "", FALSE),1,2), vote4TRAITS!$A:$C , 3, FALSE) + VLOOKUP(index(split(G22 ,"", "", FALSE),1,3), vote4TRAITS!$A:$C "&amp;", 3, FALSE),
3 , VLOOKUP(index(split(G22 ,"", "", FALSE),1,1), vote4TRAITS!$A:$C , 3, FALSE) + VLOOKUP(index(split(G22 ,"", "", FALSE),1,2), vote4TRAITS!$A:$C , 3, FALSE) + VLOOKUP(index(split(G22 ,"", "", FALSE),1,3), vote4TRAITS!$A:$C , 3, FALSE) + VLOO"&amp;"KUP(index(split(L34 ,"", "", FALSE),1,4), vote4TRAITS!$A:$C , 3, FALSE)
),
VLOOKUP(B22, vote4TRAITS!$A:$C , 3, FALSE))
)"),6.0)</f>
        <v>6</v>
      </c>
      <c r="I22" s="351"/>
      <c r="J22" s="318">
        <f>SUM(
IF(IFERROR(SEARCH("Black Venom",I22),0) &gt; 0 , VLOOKUP("Black Venom", vote4SURGE!A:C , 3, FALSE), 0 ),
IF(IFERROR(SEARCH("Bleed",I22),0) &gt; 0 , VLOOKUP("Bleed", vote4SURGE!A:C , 3, FALSE), 0 ),
IF(IFERROR(SEARCH("Blast",I22),0) &gt; 0 , VLOOKUP("Blast", vote4SURGE!A:C , 3, FALSE), 0 ),
IF(IFERROR(SEARCH("Burn",I22),0) &gt; 0 , VLOOKUP("Burn", vote4SURGE!A:C , 3, FALSE), 0 ),
IF(IFERROR(SEARCH("Charge",I22),0) &gt; 0 , VLOOKUP("Charge", vote4SURGE!A:C , 3, FALSE), 0 ),
IF(IFERROR(SEARCH("Colonize",I22),0) &gt; 0 , VLOOKUP("Colonize", vote4SURGE!A:C , 3, FALSE), 0 ),
IF(IFERROR(SEARCH("Curse",I22),0) &gt; 0 , VLOOKUP("Curse", vote4SURGE!A:C , 3, FALSE), 0 ),
IF(IFERROR(SEARCH("Disease",I22),0) &gt; 0 , VLOOKUP("Disease", vote4SURGE!A:C , 3, FALSE), 0 ),
IF(IFERROR(SEARCH("Doom",I22),0) &gt; 0 , VLOOKUP("Doom", vote4SURGE!A:C , 3, FALSE), 0 ),
IF(IFERROR(SEARCH("Feast",I22),0) &gt; 0 , VLOOKUP("Feast", vote4SURGE!A:C , 3, FALSE), 0 ),
IF(IFERROR(SEARCH("Fire Breath",I22),0) &gt; 0 , VLOOKUP("Fire Breath", vote4SURGE!A:C , 3, FALSE), 0 ),
IF(IFERROR(SEARCH("Hunt",I22),0) &gt; 0 , VLOOKUP("Hunt", vote4SURGE!A:C , 3, FALSE), 0 ),
IF(IFERROR(SEARCH("Immobilize",I22),0) &gt; 0 , VLOOKUP("Immobilize", vote4SURGE!A:C , 3, FALSE), 0 ),
IF(IFERROR(SEARCH("Knockback",I22),0) &gt; 0 , VLOOKUP("Knockback", vote4SURGE!A:C , 3, FALSE), 0 ),
IF(IFERROR(SEARCH("Lash",I22),0) &gt; 0 , VLOOKUP("Lash", vote4SURGE!A:C , 3, FALSE), 0 ),
IF(IFERROR(SEARCH("Mend 2",I22),0) &gt; 0 , VLOOKUP("Mend 2", vote4SURGE!A:C , 3, FALSE), 0 ),
IF(IFERROR(SEARCH("Mortal Binding",I22),0) &gt; 0 , VLOOKUP("Mortal Binding", vote4SURGE!A:C , 3, FALSE), 0 ),
IF(IFERROR(SEARCH("Poison",I22),0) &gt; 0 , VLOOKUP("Poison", vote4SURGE!A:C , 3, FALSE), 0 ),
IF(IFERROR(SEARCH("Stun",I22),0) &gt; 0 , VLOOKUP("Stun", vote4SURGE!A:C , 3, FALSE), 0 ),
IF(IFERROR(SEARCH("Swarm",I22),0) &gt; 0 , VLOOKUP("Swarm", vote4SURGE!A:C , 3, FALSE), 0 ),
IF(IFERROR(SEARCH("Terrify",I22),0) &gt; 0 , VLOOKUP("Terrify", vote4SURGE!A:C , 3, FALSE), 0 ),
IF(IFERROR(SEARCH("Weaken",I22),0) &gt; 0 , VLOOKUP("Weaken", vote4SURGE!A:C , 3, FALSE), 0 ),
IF(IFERROR(SEARCH("Wither",I22),0) &gt; 0 , VLOOKUP("Wither", vote4SURGE!A:C , 3, FALSE), 0 ),
IFS(
IFERROR(SEARCH("Sorcery 1", I22),0) &gt; 0 ,VLOOKUP("Sorcery 1", vote4SURGE!A:C , 3, FALSE),
IFERROR(SEARCH("Sorcery 2", I22),0) &gt; 0 ,VLOOKUP("Sorcery 2", vote4SURGE!A:C , 3, FALSE),
IFERROR(SEARCH("Sorcery 3", I22),0) &gt; 0,VLOOKUP("Sorcery 3", vote4SURGE!A:C , 3, FALSE),
0=0,0)
,
IFS(
IFERROR(SEARCH("Pierce 1", I22),0) &gt; 0 ,VLOOKUP("Pierce 1", vote4SURGE!A:C , 3, FALSE),
IFERROR(SEARCH("Pierce 2", I22),0) &gt; 0 ,VLOOKUP("Pierce 2", vote4SURGE!A:C , 3, FALSE),
IFERROR(SEARCH("Pierce 3", I22),0) &gt; 0,VLOOKUP("Pierce 3", vote4SURGE!A:C , 3, FALSE),
IFERROR(SEARCH("Pierce 4", I22),0) &gt; 0 ,VLOOKUP("Pierce 4", vote4SURGE!A:C , 3, FALSE),
IFERROR(SEARCH("Pierce 5", I22),0) &gt; 0 ,VLOOKUP("Pierce 5", vote4SURGE!A:C , 3, FALSE),
0=0,0)
,
IFS(
IFERROR(SEARCH("+1 Range, +1 Wound", I22),0) &gt; 0 ,VLOOKUP("+1 Range, +1 Wound", vote4SURGE!A:C , 3, False),
IFERROR(SEARCH("+2 Range, +1 Wound", I22),0) &gt; 0 ,VLOOKUP("+2 Range, +1 Wound", vote4SURGE!A:C , 3, False),
IFERROR(SEARCH("+1 Wound, +1 Wound", I22),0) &gt; 0 ,VLOOKUP("+1 Wound, +1 Wound", vote4SURGE!A:C , 3, False),
IFERROR(SEARCH("+2 Wounds, +2 Wounds", I22),0) &gt; 0 ,VLOOKUP("+2 Wounds, +2 Wounds", vote4SURGE!A:C , 3, False),
IFERROR(SEARCH("+1 Wound", I22),0) &gt; 0 ,VLOOKUP("+1 Wound", vote4SURGE!A:C , 3, False),
IFERROR(SEARCH("+2 Wounds", I22),0) &gt; 0 ,VLOOKUP("+2 Wounds", vote4SURGE!A:C , 3, False),
IFERROR(SEARCH("+3 Wounds", I22),0) &gt; 0,VLOOKUP("+3 Wounds", vote4SURGE!A:C , 3, False),
IFERROR(SEARCH("+4 Wounds", I22),0) &gt; 0 ,VLOOKUP("+4 Wounds", vote4SURGE!A:C , 3, False),
0=0,0)
,
IFS(
IFERROR(SEARCH("+1 Range", I22),0) &gt; 0 ,VLOOKUP("+1 Range", vote4SURGE!A:C , 3, FALSE),
IFERROR(SEARCH("+2 Range", I22),0) &gt; 0 ,VLOOKUP("+2 Range", vote4SURGE!A:C , 3, FALSE),
IFERROR(SEARCH("+3 Range", I22),0) &gt; 0,VLOOKUP("+3 Range", vote4SURGE!A:C , 3, FALSE),
IFERROR(SEARCH("+4 Range", I22),0) &gt; 0,VLOOKUP("+4 Range", vote4SURGE!A:C , 3, FALSE),
0=0,0),
IFS(
IFERROR(SEARCH("Recover 1 Heart", I22),0) &gt; 0 ,VLOOKUP("Recover 1 Heart", vote4SURGE!A:C , 3, FALSE),
IFERROR(SEARCH("Recover 2 Heart", I22),0) &gt; 0 ,VLOOKUP("Recover 2 Heart", vote4SURGE!A:C , 3, FALSE),
0=0,0),
IFS(
IFERROR(SEARCH("Recover 1 Fatigue", I22),0) &gt; 0,VLOOKUP("Recover 1 Fatigue", vote4SURGE!A:C , 3, FALSE),
IFERROR(SEARCH("Recover 2 Fatigue", I22),0) &gt; 0,VLOOKUP("Recover 2 Fatigue", vote4SURGE!A:C , 3, FALSE),
0=0,0),
IFERROR(VLOOKUP(B22, vote4SURGE!A:C , 3, FALSE),)
)</f>
        <v>0</v>
      </c>
      <c r="K22" s="352"/>
      <c r="L22" s="318">
        <f>SUM(
IF(IFERROR(SEARCH("Black Venom",K22),0) &gt; 0 , VLOOKUP("Black Venom", vote4SURGE!A:C , 3, FALSE) - 2, 0 ),
IF(IFERROR(SEARCH("Bleed",K22),0) &gt; 0 , VLOOKUP("Bleed", vote4SURGE!A:C , 3, FALSE) - 2, 0 ),
IF(IFERROR(SEARCH("Blast",K22),0) &gt; 0 , VLOOKUP("Blast", vote4SURGE!A:C , 3, FALSE) - 2, 0 ),
IF(IFERROR(SEARCH("Burn",K22),0) &gt; 0 , VLOOKUP("Burn", vote4SURGE!A:C , 3, FALSE) - 2, 0 ),
IF(IFERROR(SEARCH("Charge",K22),0) &gt; 0 , VLOOKUP("Charge", vote4SURGE!A:C , 3, FALSE) - 2, 0 ),
IF(IFERROR(SEARCH("Colonize",K22),0) &gt; 0 , VLOOKUP("Colonize", vote4SURGE!A:C , 3, FALSE) - 2, 0 ),
IF(IFERROR(SEARCH("Curse",K22),0) &gt; 0 , VLOOKUP("Curse", vote4SURGE!A:C , 3, FALSE) - 2, 0 ),
IF(IFERROR(SEARCH("Disease",K22),0) &gt; 0 , VLOOKUP("Disease", vote4SURGE!A:C , 3, FALSE) - 2, 0 ),
IF(IFERROR(SEARCH("Doom",K22),0) &gt; 0 , VLOOKUP("Doom", vote4SURGE!A:C , 3, FALSE) - 2, 0 ),
IF(IFERROR(SEARCH("Feast",K22),0) &gt; 0 , VLOOKUP("Feast", vote4SURGE!A:C , 3, FALSE) - 2, 0 ),
IF(IFERROR(SEARCH("Fire Breath",K22),0) &gt; 0 , VLOOKUP("Fire Breath", vote4SURGE!A:C , 3, FALSE) - 2, 0 ),
IF(IFERROR(SEARCH("Hunt",K22),0) &gt; 0 , VLOOKUP("Hunt", vote4SURGE!A:C , 3, FALSE) - 2, 0 ),
IF(IFERROR(SEARCH("Immobilize",K22),0) &gt; 0 , VLOOKUP("Immobilize", vote4SURGE!A:C , 3, FALSE) - 2, 0 ),
IF(IFERROR(SEARCH("Knockback",K22),0) &gt; 0 , VLOOKUP("Knockback", vote4SURGE!A:C , 3, FALSE) - 2, 0 ),
IF(IFERROR(SEARCH("Lash",K22),0) &gt; 0 , VLOOKUP("Lash", vote4SURGE!A:C , 3, FALSE) - 2, 0 ),
IF(IFERROR(SEARCH("Mend 2",K22),0) &gt; 0 , VLOOKUP("Mend 2", vote4SURGE!A:C , 3, FALSE) - 2, 0 ),
IF(IFERROR(SEARCH("Mortal Binding",K22),0) &gt; 0 , VLOOKUP("Mortal Binding", vote4SURGE!A:C , 3, FALSE) - 2, 0 ),
IF(IFERROR(SEARCH("Poison",K22),0) &gt; 0 , VLOOKUP("Poison", vote4SURGE!A:C , 3, FALSE) - 2, 0 ),
IF(IFERROR(SEARCH("Stun",K22),0) &gt; 0 , VLOOKUP("Stun", vote4SURGE!A:C , 3, FALSE) - 2, 0 ),
IF(IFERROR(SEARCH("Swarm",K22),0) &gt; 0 , VLOOKUP("Swarm", vote4SURGE!A:C , 3, FALSE) - 2, 0 ),
IF(IFERROR(SEARCH("Terrify",K22),0) &gt; 0 , VLOOKUP("Terrify", vote4SURGE!A:C , 3, FALSE) - 2, 0 ),
IF(IFERROR(SEARCH("Weaken",K22),0) &gt; 0 , VLOOKUP("Weaken", vote4SURGE!A:C , 3, FALSE) - 2, 0 ),
IF(IFERROR(SEARCH("Wither",K22),0) &gt; 0 , VLOOKUP("Wither", vote4SURGE!A:C , 3, FALSE) - 2, 0 ),
IFS(
IFERROR(SEARCH("Sorcery 1", K22),0) &gt; 0 ,VLOOKUP("Sorcery 1", vote4SURGE!A:C , 3, FALSE) - 2,
IFERROR(SEARCH("Sorcery 2", K22),0) &gt; 0 ,VLOOKUP("Sorcery 2", vote4SURGE!A:C , 3, FALSE) - 2,
IFERROR(SEARCH("Sorcery 3", K22),0) &gt; 0,VLOOKUP("Sorcery 3", vote4SURGE!A:C , 3, FALSE) - 2,
0=0,0)
,
IFS(
IFERROR(SEARCH("Pierce 1", K22),0) &gt; 0 ,VLOOKUP("Pierce 1", vote4SURGE!A:C , 3, FALSE) - 2,
IFERROR(SEARCH("Pierce 2", K22),0) &gt; 0 ,VLOOKUP("Pierce 2", vote4SURGE!A:C , 3, FALSE) - 2,
IFERROR(SEARCH("Pierce 3", K22),0) &gt; 0,VLOOKUP("Pierce 3", vote4SURGE!A:C , 3, FALSE) - 2,
IFERROR(SEARCH("Pierce 4", K22),0) &gt; 0 ,VLOOKUP("Pierce 4", vote4SURGE!A:C , 3, FALSE) - 2,
0=0,0)
,
IFS(
IFERROR(SEARCH("+1 Wound, +1 Wound", K22),0) &gt; 0 ,VLOOKUP("+1 Wound, +1 Wound", vote4SURGE!A:C , 3, False) - 2,
IFERROR(SEARCH("+2 Wounds, +2 Wounds", K22),0) &gt; 0 ,VLOOKUP("+2 Wounds, +2 Wounds", vote4SURGE!A:C , 3, False)- 2,
IFERROR(SEARCH("+1 Wound", K22),0) &gt; 0 ,VLOOKUP("+1 Wound", vote4SURGE!A:C , 3, False)- 2,
IFERROR(SEARCH("+2 Wounds", K22),0) &gt; 0 ,VLOOKUP("+2 Wounds", vote4SURGE!A:C , 3, False)- 2,
IFERROR(SEARCH("+3 Wounds", K22),0) &gt; 0,VLOOKUP("+3 Wounds", vote4SURGE!A:C , 3, False)- 2,
IFERROR(SEARCH("+4 Wounds", K22),0) &gt; 0 ,VLOOKUP("+4 Wounds", vote4SURGE!A:C , 3, False)- 2,
IFERROR(SEARCH("+4 Wounds", K22),0) &gt; 0 ,VLOOKUP("+5 Wounds", vote4SURGE!A:C , 3, False)- 2,
0=0,0)
,
IFS(
IFERROR(SEARCH("+1 Range", K22),0) &gt; 0 ,VLOOKUP("+1 Range", vote4SURGE!A:C , 3, FALSE) - 2,
IFERROR(SEARCH("+2 Range", K22),0) &gt; 0 ,VLOOKUP("+2 Range", vote4SURGE!A:C , 3, FALSE) - 2,
IFERROR(SEARCH("+3 Range", K22),0) &gt; 0,VLOOKUP("+3 Range", vote4SURGE!A:C , 3, FALSE) - 2,
0=0,0)
)</f>
        <v>0</v>
      </c>
      <c r="M22" s="318">
        <f t="shared" si="1"/>
        <v>9</v>
      </c>
      <c r="N22" s="322"/>
      <c r="O22" s="322"/>
      <c r="P22" s="322"/>
      <c r="Q22" s="322"/>
      <c r="R22" s="322"/>
      <c r="S22" s="322"/>
      <c r="T22" s="322"/>
    </row>
    <row r="23">
      <c r="A23" s="105" t="s">
        <v>1689</v>
      </c>
      <c r="B23" s="93" t="s">
        <v>908</v>
      </c>
      <c r="C23" s="93"/>
      <c r="D23" s="315" t="str">
        <f>IFERROR(__xludf.DUMMYFUNCTION(" IF(ISBLANK(C23),,
SWITCH(
LEN(C23) - LEN(SUBSTITUTE(C23,"","","""")),
0 , VLOOKUP(C23, Variables!$A:$B, 2, FALSE),
1 , VLOOKUP(index(split(C23 ,"", "", FALSE),1,1), Variables!$A:$B , 2, FALSE) + VLOOKUP(index(split(C23 ,"", "", FALSE),1,2), Variables!$A:"&amp;"$B , 2, FALSE),
2 , VLOOKUP(index(split(C23 ,"", "", FALSE),1,1), Variables!$A:$B , 2, FALSE) + VLOOKUP(index(split(C23 ,"", "", FALSE),1,2), Variables!$A:$B , 2, FALSE) + VLOOKUP(index(split(C23 ,"", "", FALSE),1,3), Variables!$A:$B , 2, FALSE),
3 , VLOO"&amp;"KUP(index(split(C23 ,"", "", FALSE),1,1), Variables!$A:$B , 2, FALSE) + VLOOKUP(index(split(C23 ,"", "", FALSE),1,2), Variables!$A:$B , 2, FALSE) + VLOOKUP(index(split(C23 ,"", "", FALSE),1,3), Variables!$A:$B , 2, FALSE) + VLOOKUP(index(split(C23 ,"", """&amp;", FALSE),1,4), Variables!$A:$B , 2, FALSE),
)
)"),"")</f>
        <v/>
      </c>
      <c r="E23" s="105"/>
      <c r="F23" s="318" t="str">
        <f>IF(E23 = "",,IFERROR(VLOOKUP(B23,vote4ITEMS!$A:$C, 3, FALSE),))</f>
        <v/>
      </c>
      <c r="G23" s="353" t="s">
        <v>1153</v>
      </c>
      <c r="H23" s="318">
        <f>IFERROR(__xludf.DUMMYFUNCTION("IF(ISBLANK(G23),,
IFERROR(
SWITCH(
LEN(G23) - LEN(SUBSTITUTE(G23,"","","""")),
0 , VLOOKUP(G23, vote4TRAITS!$A:$C , 3, FALSE),
1 , VLOOKUP(index(split(G23 ,"", "", FALSE),1,1), vote4TRAITS!$A:$C , 3, FALSE) + VLOOKUP(index(split(G23 ,"", "", FALSE),1,2), "&amp;"vote4TRAITS!$A:$C , 3, FALSE),
2 , VLOOKUP(index(split(G23 ,"", "", FALSE),1,1), vote4TRAITS!$A:$C , 3, FALSE) + VLOOKUP(index(split(G23 ,"", "", FALSE),1,2), vote4TRAITS!$A:$C , 3, FALSE) + VLOOKUP(index(split(G23 ,"", "", FALSE),1,3), vote4TRAITS!$A:$C "&amp;", 3, FALSE),
3 , VLOOKUP(index(split(G23 ,"", "", FALSE),1,1), vote4TRAITS!$A:$C , 3, FALSE) + VLOOKUP(index(split(G23 ,"", "", FALSE),1,2), vote4TRAITS!$A:$C , 3, FALSE) + VLOOKUP(index(split(G23 ,"", "", FALSE),1,3), vote4TRAITS!$A:$C , 3, FALSE) + VLOO"&amp;"KUP(index(split(L35 ,"", "", FALSE),1,4), vote4TRAITS!$A:$C , 3, FALSE)
),
VLOOKUP(B23, vote4TRAITS!$A:$C , 3, FALSE))
)"),0.0)</f>
        <v>0</v>
      </c>
      <c r="I23" s="353" t="s">
        <v>1699</v>
      </c>
      <c r="J23" s="318">
        <f>SUM(
IF(IFERROR(SEARCH("Black Venom",I23),0) &gt; 0 , VLOOKUP("Black Venom", vote4SURGE!A:C , 3, FALSE), 0 ),
IF(IFERROR(SEARCH("Bleed",I23),0) &gt; 0 , VLOOKUP("Bleed", vote4SURGE!A:C , 3, FALSE), 0 ),
IF(IFERROR(SEARCH("Blast",I23),0) &gt; 0 , VLOOKUP("Blast", vote4SURGE!A:C , 3, FALSE), 0 ),
IF(IFERROR(SEARCH("Burn",I23),0) &gt; 0 , VLOOKUP("Burn", vote4SURGE!A:C , 3, FALSE), 0 ),
IF(IFERROR(SEARCH("Charge",I23),0) &gt; 0 , VLOOKUP("Charge", vote4SURGE!A:C , 3, FALSE), 0 ),
IF(IFERROR(SEARCH("Colonize",I23),0) &gt; 0 , VLOOKUP("Colonize", vote4SURGE!A:C , 3, FALSE), 0 ),
IF(IFERROR(SEARCH("Curse",I23),0) &gt; 0 , VLOOKUP("Curse", vote4SURGE!A:C , 3, FALSE), 0 ),
IF(IFERROR(SEARCH("Disease",I23),0) &gt; 0 , VLOOKUP("Disease", vote4SURGE!A:C , 3, FALSE), 0 ),
IF(IFERROR(SEARCH("Doom",I23),0) &gt; 0 , VLOOKUP("Doom", vote4SURGE!A:C , 3, FALSE), 0 ),
IF(IFERROR(SEARCH("Feast",I23),0) &gt; 0 , VLOOKUP("Feast", vote4SURGE!A:C , 3, FALSE), 0 ),
IF(IFERROR(SEARCH("Fire Breath",I23),0) &gt; 0 , VLOOKUP("Fire Breath", vote4SURGE!A:C , 3, FALSE), 0 ),
IF(IFERROR(SEARCH("Hunt",I23),0) &gt; 0 , VLOOKUP("Hunt", vote4SURGE!A:C , 3, FALSE), 0 ),
IF(IFERROR(SEARCH("Immobilize",I23),0) &gt; 0 , VLOOKUP("Immobilize", vote4SURGE!A:C , 3, FALSE), 0 ),
IF(IFERROR(SEARCH("Knockback",I23),0) &gt; 0 , VLOOKUP("Knockback", vote4SURGE!A:C , 3, FALSE), 0 ),
IF(IFERROR(SEARCH("Lash",I23),0) &gt; 0 , VLOOKUP("Lash", vote4SURGE!A:C , 3, FALSE), 0 ),
IF(IFERROR(SEARCH("Mend 2",I23),0) &gt; 0 , VLOOKUP("Mend 2", vote4SURGE!A:C , 3, FALSE), 0 ),
IF(IFERROR(SEARCH("Mortal Binding",I23),0) &gt; 0 , VLOOKUP("Mortal Binding", vote4SURGE!A:C , 3, FALSE), 0 ),
IF(IFERROR(SEARCH("Poison",I23),0) &gt; 0 , VLOOKUP("Poison", vote4SURGE!A:C , 3, FALSE), 0 ),
IF(IFERROR(SEARCH("Stun",I23),0) &gt; 0 , VLOOKUP("Stun", vote4SURGE!A:C , 3, FALSE), 0 ),
IF(IFERROR(SEARCH("Swarm",I23),0) &gt; 0 , VLOOKUP("Swarm", vote4SURGE!A:C , 3, FALSE), 0 ),
IF(IFERROR(SEARCH("Terrify",I23),0) &gt; 0 , VLOOKUP("Terrify", vote4SURGE!A:C , 3, FALSE), 0 ),
IF(IFERROR(SEARCH("Weaken",I23),0) &gt; 0 , VLOOKUP("Weaken", vote4SURGE!A:C , 3, FALSE), 0 ),
IF(IFERROR(SEARCH("Wither",I23),0) &gt; 0 , VLOOKUP("Wither", vote4SURGE!A:C , 3, FALSE), 0 ),
IFS(
IFERROR(SEARCH("Sorcery 1", I23),0) &gt; 0 ,VLOOKUP("Sorcery 1", vote4SURGE!A:C , 3, FALSE),
IFERROR(SEARCH("Sorcery 2", I23),0) &gt; 0 ,VLOOKUP("Sorcery 2", vote4SURGE!A:C , 3, FALSE),
IFERROR(SEARCH("Sorcery 3", I23),0) &gt; 0,VLOOKUP("Sorcery 3", vote4SURGE!A:C , 3, FALSE),
0=0,0)
,
IFS(
IFERROR(SEARCH("Pierce 1", I23),0) &gt; 0 ,VLOOKUP("Pierce 1", vote4SURGE!A:C , 3, FALSE),
IFERROR(SEARCH("Pierce 2", I23),0) &gt; 0 ,VLOOKUP("Pierce 2", vote4SURGE!A:C , 3, FALSE),
IFERROR(SEARCH("Pierce 3", I23),0) &gt; 0,VLOOKUP("Pierce 3", vote4SURGE!A:C , 3, FALSE),
IFERROR(SEARCH("Pierce 4", I23),0) &gt; 0 ,VLOOKUP("Pierce 4", vote4SURGE!A:C , 3, FALSE),
IFERROR(SEARCH("Pierce 5", I23),0) &gt; 0 ,VLOOKUP("Pierce 5", vote4SURGE!A:C , 3, FALSE),
0=0,0)
,
IFS(
IFERROR(SEARCH("+1 Range, +1 Wound", I23),0) &gt; 0 ,VLOOKUP("+1 Range, +1 Wound", vote4SURGE!A:C , 3, False),
IFERROR(SEARCH("+2 Range, +1 Wound", I23),0) &gt; 0 ,VLOOKUP("+2 Range, +1 Wound", vote4SURGE!A:C , 3, False),
IFERROR(SEARCH("+1 Wound, +1 Wound", I23),0) &gt; 0 ,VLOOKUP("+1 Wound, +1 Wound", vote4SURGE!A:C , 3, False),
IFERROR(SEARCH("+2 Wounds, +2 Wounds", I23),0) &gt; 0 ,VLOOKUP("+2 Wounds, +2 Wounds", vote4SURGE!A:C , 3, False),
IFERROR(SEARCH("+1 Wound", I23),0) &gt; 0 ,VLOOKUP("+1 Wound", vote4SURGE!A:C , 3, False),
IFERROR(SEARCH("+2 Wounds", I23),0) &gt; 0 ,VLOOKUP("+2 Wounds", vote4SURGE!A:C , 3, False),
IFERROR(SEARCH("+3 Wounds", I23),0) &gt; 0,VLOOKUP("+3 Wounds", vote4SURGE!A:C , 3, False),
IFERROR(SEARCH("+4 Wounds", I23),0) &gt; 0 ,VLOOKUP("+4 Wounds", vote4SURGE!A:C , 3, False),
0=0,0)
,
IFS(
IFERROR(SEARCH("+1 Range", I23),0) &gt; 0 ,VLOOKUP("+1 Range", vote4SURGE!A:C , 3, FALSE),
IFERROR(SEARCH("+2 Range", I23),0) &gt; 0 ,VLOOKUP("+2 Range", vote4SURGE!A:C , 3, FALSE),
IFERROR(SEARCH("+3 Range", I23),0) &gt; 0,VLOOKUP("+3 Range", vote4SURGE!A:C , 3, FALSE),
IFERROR(SEARCH("+4 Range", I23),0) &gt; 0,VLOOKUP("+4 Range", vote4SURGE!A:C , 3, FALSE),
0=0,0),
IFS(
IFERROR(SEARCH("Recover 1 Heart", I23),0) &gt; 0 ,VLOOKUP("Recover 1 Heart", vote4SURGE!A:C , 3, FALSE),
IFERROR(SEARCH("Recover 2 Heart", I23),0) &gt; 0 ,VLOOKUP("Recover 2 Heart", vote4SURGE!A:C , 3, FALSE),
0=0,0),
IFS(
IFERROR(SEARCH("Recover 1 Fatigue", I23),0) &gt; 0,VLOOKUP("Recover 1 Fatigue", vote4SURGE!A:C , 3, FALSE),
IFERROR(SEARCH("Recover 2 Fatigue", I23),0) &gt; 0,VLOOKUP("Recover 2 Fatigue", vote4SURGE!A:C , 3, FALSE),
0=0,0),
IFERROR(VLOOKUP(B23, vote4SURGE!A:C , 3, FALSE),)
)</f>
        <v>8.75</v>
      </c>
      <c r="K23" s="352"/>
      <c r="L23" s="318">
        <f>SUM(
IF(IFERROR(SEARCH("Black Venom",K23),0) &gt; 0 , VLOOKUP("Black Venom", vote4SURGE!A:C , 3, FALSE) - 2, 0 ),
IF(IFERROR(SEARCH("Bleed",K23),0) &gt; 0 , VLOOKUP("Bleed", vote4SURGE!A:C , 3, FALSE) - 2, 0 ),
IF(IFERROR(SEARCH("Blast",K23),0) &gt; 0 , VLOOKUP("Blast", vote4SURGE!A:C , 3, FALSE) - 2, 0 ),
IF(IFERROR(SEARCH("Burn",K23),0) &gt; 0 , VLOOKUP("Burn", vote4SURGE!A:C , 3, FALSE) - 2, 0 ),
IF(IFERROR(SEARCH("Charge",K23),0) &gt; 0 , VLOOKUP("Charge", vote4SURGE!A:C , 3, FALSE) - 2, 0 ),
IF(IFERROR(SEARCH("Colonize",K23),0) &gt; 0 , VLOOKUP("Colonize", vote4SURGE!A:C , 3, FALSE) - 2, 0 ),
IF(IFERROR(SEARCH("Curse",K23),0) &gt; 0 , VLOOKUP("Curse", vote4SURGE!A:C , 3, FALSE) - 2, 0 ),
IF(IFERROR(SEARCH("Disease",K23),0) &gt; 0 , VLOOKUP("Disease", vote4SURGE!A:C , 3, FALSE) - 2, 0 ),
IF(IFERROR(SEARCH("Doom",K23),0) &gt; 0 , VLOOKUP("Doom", vote4SURGE!A:C , 3, FALSE) - 2, 0 ),
IF(IFERROR(SEARCH("Feast",K23),0) &gt; 0 , VLOOKUP("Feast", vote4SURGE!A:C , 3, FALSE) - 2, 0 ),
IF(IFERROR(SEARCH("Fire Breath",K23),0) &gt; 0 , VLOOKUP("Fire Breath", vote4SURGE!A:C , 3, FALSE) - 2, 0 ),
IF(IFERROR(SEARCH("Hunt",K23),0) &gt; 0 , VLOOKUP("Hunt", vote4SURGE!A:C , 3, FALSE) - 2, 0 ),
IF(IFERROR(SEARCH("Immobilize",K23),0) &gt; 0 , VLOOKUP("Immobilize", vote4SURGE!A:C , 3, FALSE) - 2, 0 ),
IF(IFERROR(SEARCH("Knockback",K23),0) &gt; 0 , VLOOKUP("Knockback", vote4SURGE!A:C , 3, FALSE) - 2, 0 ),
IF(IFERROR(SEARCH("Lash",K23),0) &gt; 0 , VLOOKUP("Lash", vote4SURGE!A:C , 3, FALSE) - 2, 0 ),
IF(IFERROR(SEARCH("Mend 2",K23),0) &gt; 0 , VLOOKUP("Mend 2", vote4SURGE!A:C , 3, FALSE) - 2, 0 ),
IF(IFERROR(SEARCH("Mortal Binding",K23),0) &gt; 0 , VLOOKUP("Mortal Binding", vote4SURGE!A:C , 3, FALSE) - 2, 0 ),
IF(IFERROR(SEARCH("Poison",K23),0) &gt; 0 , VLOOKUP("Poison", vote4SURGE!A:C , 3, FALSE) - 2, 0 ),
IF(IFERROR(SEARCH("Stun",K23),0) &gt; 0 , VLOOKUP("Stun", vote4SURGE!A:C , 3, FALSE) - 2, 0 ),
IF(IFERROR(SEARCH("Swarm",K23),0) &gt; 0 , VLOOKUP("Swarm", vote4SURGE!A:C , 3, FALSE) - 2, 0 ),
IF(IFERROR(SEARCH("Terrify",K23),0) &gt; 0 , VLOOKUP("Terrify", vote4SURGE!A:C , 3, FALSE) - 2, 0 ),
IF(IFERROR(SEARCH("Weaken",K23),0) &gt; 0 , VLOOKUP("Weaken", vote4SURGE!A:C , 3, FALSE) - 2, 0 ),
IF(IFERROR(SEARCH("Wither",K23),0) &gt; 0 , VLOOKUP("Wither", vote4SURGE!A:C , 3, FALSE) - 2, 0 ),
IFS(
IFERROR(SEARCH("Sorcery 1", K23),0) &gt; 0 ,VLOOKUP("Sorcery 1", vote4SURGE!A:C , 3, FALSE) - 2,
IFERROR(SEARCH("Sorcery 2", K23),0) &gt; 0 ,VLOOKUP("Sorcery 2", vote4SURGE!A:C , 3, FALSE) - 2,
IFERROR(SEARCH("Sorcery 3", K23),0) &gt; 0,VLOOKUP("Sorcery 3", vote4SURGE!A:C , 3, FALSE) - 2,
0=0,0)
,
IFS(
IFERROR(SEARCH("Pierce 1", K23),0) &gt; 0 ,VLOOKUP("Pierce 1", vote4SURGE!A:C , 3, FALSE) - 2,
IFERROR(SEARCH("Pierce 2", K23),0) &gt; 0 ,VLOOKUP("Pierce 2", vote4SURGE!A:C , 3, FALSE) - 2,
IFERROR(SEARCH("Pierce 3", K23),0) &gt; 0,VLOOKUP("Pierce 3", vote4SURGE!A:C , 3, FALSE) - 2,
IFERROR(SEARCH("Pierce 4", K23),0) &gt; 0 ,VLOOKUP("Pierce 4", vote4SURGE!A:C , 3, FALSE) - 2,
0=0,0)
,
IFS(
IFERROR(SEARCH("+1 Wound, +1 Wound", K23),0) &gt; 0 ,VLOOKUP("+1 Wound, +1 Wound", vote4SURGE!A:C , 3, False) - 2,
IFERROR(SEARCH("+2 Wounds, +2 Wounds", K23),0) &gt; 0 ,VLOOKUP("+2 Wounds, +2 Wounds", vote4SURGE!A:C , 3, False)- 2,
IFERROR(SEARCH("+1 Wound", K23),0) &gt; 0 ,VLOOKUP("+1 Wound", vote4SURGE!A:C , 3, False)- 2,
IFERROR(SEARCH("+2 Wounds", K23),0) &gt; 0 ,VLOOKUP("+2 Wounds", vote4SURGE!A:C , 3, False)- 2,
IFERROR(SEARCH("+3 Wounds", K23),0) &gt; 0,VLOOKUP("+3 Wounds", vote4SURGE!A:C , 3, False)- 2,
IFERROR(SEARCH("+4 Wounds", K23),0) &gt; 0 ,VLOOKUP("+4 Wounds", vote4SURGE!A:C , 3, False)- 2,
IFERROR(SEARCH("+4 Wounds", K23),0) &gt; 0 ,VLOOKUP("+5 Wounds", vote4SURGE!A:C , 3, False)- 2,
0=0,0)
,
IFS(
IFERROR(SEARCH("+1 Range", K23),0) &gt; 0 ,VLOOKUP("+1 Range", vote4SURGE!A:C , 3, FALSE) - 2,
IFERROR(SEARCH("+2 Range", K23),0) &gt; 0 ,VLOOKUP("+2 Range", vote4SURGE!A:C , 3, FALSE) - 2,
IFERROR(SEARCH("+3 Range", K23),0) &gt; 0,VLOOKUP("+3 Range", vote4SURGE!A:C , 3, FALSE) - 2,
0=0,0)
)</f>
        <v>0</v>
      </c>
      <c r="M23" s="318">
        <f t="shared" si="1"/>
        <v>8.75</v>
      </c>
      <c r="N23" s="327"/>
      <c r="O23" s="327"/>
      <c r="P23" s="327"/>
      <c r="Q23" s="327"/>
      <c r="R23" s="327"/>
      <c r="S23" s="327"/>
      <c r="T23" s="327"/>
    </row>
    <row r="24">
      <c r="A24" s="105" t="s">
        <v>1689</v>
      </c>
      <c r="B24" s="93" t="s">
        <v>916</v>
      </c>
      <c r="C24" s="93"/>
      <c r="D24" s="315" t="str">
        <f>IFERROR(__xludf.DUMMYFUNCTION(" IF(ISBLANK(C24),,
SWITCH(
LEN(C24) - LEN(SUBSTITUTE(C24,"","","""")),
0 , VLOOKUP(C24, Variables!$A:$B, 2, FALSE),
1 , VLOOKUP(index(split(C24 ,"", "", FALSE),1,1), Variables!$A:$B , 2, FALSE) + VLOOKUP(index(split(C24 ,"", "", FALSE),1,2), Variables!$A:"&amp;"$B , 2, FALSE),
2 , VLOOKUP(index(split(C24 ,"", "", FALSE),1,1), Variables!$A:$B , 2, FALSE) + VLOOKUP(index(split(C24 ,"", "", FALSE),1,2), Variables!$A:$B , 2, FALSE) + VLOOKUP(index(split(C24 ,"", "", FALSE),1,3), Variables!$A:$B , 2, FALSE),
3 , VLOO"&amp;"KUP(index(split(C24 ,"", "", FALSE),1,1), Variables!$A:$B , 2, FALSE) + VLOOKUP(index(split(C24 ,"", "", FALSE),1,2), Variables!$A:$B , 2, FALSE) + VLOOKUP(index(split(C24 ,"", "", FALSE),1,3), Variables!$A:$B , 2, FALSE) + VLOOKUP(index(split(C24 ,"", """&amp;", FALSE),1,4), Variables!$A:$B , 2, FALSE),
)
)"),"")</f>
        <v/>
      </c>
      <c r="E24" s="93" t="s">
        <v>917</v>
      </c>
      <c r="F24" s="318">
        <f>IF(E24 = "",,IFERROR(VLOOKUP(B24,vote4ITEMS!$A:$C, 3, FALSE),))</f>
        <v>1</v>
      </c>
      <c r="G24" s="353"/>
      <c r="H24" s="318" t="str">
        <f>IFERROR(__xludf.DUMMYFUNCTION("IF(ISBLANK(G24),,
IFERROR(
SWITCH(
LEN(G24) - LEN(SUBSTITUTE(G24,"","","""")),
0 , VLOOKUP(G24, vote4TRAITS!$A:$C , 3, FALSE),
1 , VLOOKUP(index(split(G24 ,"", "", FALSE),1,1), vote4TRAITS!$A:$C , 3, FALSE) + VLOOKUP(index(split(G24 ,"", "", FALSE),1,2), "&amp;"vote4TRAITS!$A:$C , 3, FALSE),
2 , VLOOKUP(index(split(G24 ,"", "", FALSE),1,1), vote4TRAITS!$A:$C , 3, FALSE) + VLOOKUP(index(split(G24 ,"", "", FALSE),1,2), vote4TRAITS!$A:$C , 3, FALSE) + VLOOKUP(index(split(G24 ,"", "", FALSE),1,3), vote4TRAITS!$A:$C "&amp;", 3, FALSE),
3 , VLOOKUP(index(split(G24 ,"", "", FALSE),1,1), vote4TRAITS!$A:$C , 3, FALSE) + VLOOKUP(index(split(G24 ,"", "", FALSE),1,2), vote4TRAITS!$A:$C , 3, FALSE) + VLOOKUP(index(split(G24 ,"", "", FALSE),1,3), vote4TRAITS!$A:$C , 3, FALSE) + VLOO"&amp;"KUP(index(split(L36 ,"", "", FALSE),1,4), vote4TRAITS!$A:$C , 3, FALSE)
),
VLOOKUP(B24, vote4TRAITS!$A:$C , 3, FALSE))
)"),"")</f>
        <v/>
      </c>
      <c r="I24" s="351"/>
      <c r="J24" s="318">
        <f>SUM(
IF(IFERROR(SEARCH("Black Venom",I24),0) &gt; 0 , VLOOKUP("Black Venom", vote4SURGE!A:C , 3, FALSE), 0 ),
IF(IFERROR(SEARCH("Bleed",I24),0) &gt; 0 , VLOOKUP("Bleed", vote4SURGE!A:C , 3, FALSE), 0 ),
IF(IFERROR(SEARCH("Blast",I24),0) &gt; 0 , VLOOKUP("Blast", vote4SURGE!A:C , 3, FALSE), 0 ),
IF(IFERROR(SEARCH("Burn",I24),0) &gt; 0 , VLOOKUP("Burn", vote4SURGE!A:C , 3, FALSE), 0 ),
IF(IFERROR(SEARCH("Charge",I24),0) &gt; 0 , VLOOKUP("Charge", vote4SURGE!A:C , 3, FALSE), 0 ),
IF(IFERROR(SEARCH("Colonize",I24),0) &gt; 0 , VLOOKUP("Colonize", vote4SURGE!A:C , 3, FALSE), 0 ),
IF(IFERROR(SEARCH("Curse",I24),0) &gt; 0 , VLOOKUP("Curse", vote4SURGE!A:C , 3, FALSE), 0 ),
IF(IFERROR(SEARCH("Disease",I24),0) &gt; 0 , VLOOKUP("Disease", vote4SURGE!A:C , 3, FALSE), 0 ),
IF(IFERROR(SEARCH("Doom",I24),0) &gt; 0 , VLOOKUP("Doom", vote4SURGE!A:C , 3, FALSE), 0 ),
IF(IFERROR(SEARCH("Feast",I24),0) &gt; 0 , VLOOKUP("Feast", vote4SURGE!A:C , 3, FALSE), 0 ),
IF(IFERROR(SEARCH("Fire Breath",I24),0) &gt; 0 , VLOOKUP("Fire Breath", vote4SURGE!A:C , 3, FALSE), 0 ),
IF(IFERROR(SEARCH("Hunt",I24),0) &gt; 0 , VLOOKUP("Hunt", vote4SURGE!A:C , 3, FALSE), 0 ),
IF(IFERROR(SEARCH("Immobilize",I24),0) &gt; 0 , VLOOKUP("Immobilize", vote4SURGE!A:C , 3, FALSE), 0 ),
IF(IFERROR(SEARCH("Knockback",I24),0) &gt; 0 , VLOOKUP("Knockback", vote4SURGE!A:C , 3, FALSE), 0 ),
IF(IFERROR(SEARCH("Lash",I24),0) &gt; 0 , VLOOKUP("Lash", vote4SURGE!A:C , 3, FALSE), 0 ),
IF(IFERROR(SEARCH("Mend 2",I24),0) &gt; 0 , VLOOKUP("Mend 2", vote4SURGE!A:C , 3, FALSE), 0 ),
IF(IFERROR(SEARCH("Mortal Binding",I24),0) &gt; 0 , VLOOKUP("Mortal Binding", vote4SURGE!A:C , 3, FALSE), 0 ),
IF(IFERROR(SEARCH("Poison",I24),0) &gt; 0 , VLOOKUP("Poison", vote4SURGE!A:C , 3, FALSE), 0 ),
IF(IFERROR(SEARCH("Stun",I24),0) &gt; 0 , VLOOKUP("Stun", vote4SURGE!A:C , 3, FALSE), 0 ),
IF(IFERROR(SEARCH("Swarm",I24),0) &gt; 0 , VLOOKUP("Swarm", vote4SURGE!A:C , 3, FALSE), 0 ),
IF(IFERROR(SEARCH("Terrify",I24),0) &gt; 0 , VLOOKUP("Terrify", vote4SURGE!A:C , 3, FALSE), 0 ),
IF(IFERROR(SEARCH("Weaken",I24),0) &gt; 0 , VLOOKUP("Weaken", vote4SURGE!A:C , 3, FALSE), 0 ),
IF(IFERROR(SEARCH("Wither",I24),0) &gt; 0 , VLOOKUP("Wither", vote4SURGE!A:C , 3, FALSE), 0 ),
IFS(
IFERROR(SEARCH("Sorcery 1", I24),0) &gt; 0 ,VLOOKUP("Sorcery 1", vote4SURGE!A:C , 3, FALSE),
IFERROR(SEARCH("Sorcery 2", I24),0) &gt; 0 ,VLOOKUP("Sorcery 2", vote4SURGE!A:C , 3, FALSE),
IFERROR(SEARCH("Sorcery 3", I24),0) &gt; 0,VLOOKUP("Sorcery 3", vote4SURGE!A:C , 3, FALSE),
0=0,0)
,
IFS(
IFERROR(SEARCH("Pierce 1", I24),0) &gt; 0 ,VLOOKUP("Pierce 1", vote4SURGE!A:C , 3, FALSE),
IFERROR(SEARCH("Pierce 2", I24),0) &gt; 0 ,VLOOKUP("Pierce 2", vote4SURGE!A:C , 3, FALSE),
IFERROR(SEARCH("Pierce 3", I24),0) &gt; 0,VLOOKUP("Pierce 3", vote4SURGE!A:C , 3, FALSE),
IFERROR(SEARCH("Pierce 4", I24),0) &gt; 0 ,VLOOKUP("Pierce 4", vote4SURGE!A:C , 3, FALSE),
IFERROR(SEARCH("Pierce 5", I24),0) &gt; 0 ,VLOOKUP("Pierce 5", vote4SURGE!A:C , 3, FALSE),
0=0,0)
,
IFS(
IFERROR(SEARCH("+1 Range, +1 Wound", I24),0) &gt; 0 ,VLOOKUP("+1 Range, +1 Wound", vote4SURGE!A:C , 3, False),
IFERROR(SEARCH("+2 Range, +1 Wound", I24),0) &gt; 0 ,VLOOKUP("+2 Range, +1 Wound", vote4SURGE!A:C , 3, False),
IFERROR(SEARCH("+1 Wound, +1 Wound", I24),0) &gt; 0 ,VLOOKUP("+1 Wound, +1 Wound", vote4SURGE!A:C , 3, False),
IFERROR(SEARCH("+2 Wounds, +2 Wounds", I24),0) &gt; 0 ,VLOOKUP("+2 Wounds, +2 Wounds", vote4SURGE!A:C , 3, False),
IFERROR(SEARCH("+1 Wound", I24),0) &gt; 0 ,VLOOKUP("+1 Wound", vote4SURGE!A:C , 3, False),
IFERROR(SEARCH("+2 Wounds", I24),0) &gt; 0 ,VLOOKUP("+2 Wounds", vote4SURGE!A:C , 3, False),
IFERROR(SEARCH("+3 Wounds", I24),0) &gt; 0,VLOOKUP("+3 Wounds", vote4SURGE!A:C , 3, False),
IFERROR(SEARCH("+4 Wounds", I24),0) &gt; 0 ,VLOOKUP("+4 Wounds", vote4SURGE!A:C , 3, False),
0=0,0)
,
IFS(
IFERROR(SEARCH("+1 Range", I24),0) &gt; 0 ,VLOOKUP("+1 Range", vote4SURGE!A:C , 3, FALSE),
IFERROR(SEARCH("+2 Range", I24),0) &gt; 0 ,VLOOKUP("+2 Range", vote4SURGE!A:C , 3, FALSE),
IFERROR(SEARCH("+3 Range", I24),0) &gt; 0,VLOOKUP("+3 Range", vote4SURGE!A:C , 3, FALSE),
IFERROR(SEARCH("+4 Range", I24),0) &gt; 0,VLOOKUP("+4 Range", vote4SURGE!A:C , 3, FALSE),
0=0,0),
IFS(
IFERROR(SEARCH("Recover 1 Heart", I24),0) &gt; 0 ,VLOOKUP("Recover 1 Heart", vote4SURGE!A:C , 3, FALSE),
IFERROR(SEARCH("Recover 2 Heart", I24),0) &gt; 0 ,VLOOKUP("Recover 2 Heart", vote4SURGE!A:C , 3, FALSE),
0=0,0),
IFS(
IFERROR(SEARCH("Recover 1 Fatigue", I24),0) &gt; 0,VLOOKUP("Recover 1 Fatigue", vote4SURGE!A:C , 3, FALSE),
IFERROR(SEARCH("Recover 2 Fatigue", I24),0) &gt; 0,VLOOKUP("Recover 2 Fatigue", vote4SURGE!A:C , 3, FALSE),
0=0,0),
IFERROR(VLOOKUP(B24, vote4SURGE!A:C , 3, FALSE),)
)</f>
        <v>0</v>
      </c>
      <c r="K24" s="352"/>
      <c r="L24" s="318">
        <f>SUM(
IF(IFERROR(SEARCH("Black Venom",K24),0) &gt; 0 , VLOOKUP("Black Venom", vote4SURGE!A:C , 3, FALSE) - 2, 0 ),
IF(IFERROR(SEARCH("Bleed",K24),0) &gt; 0 , VLOOKUP("Bleed", vote4SURGE!A:C , 3, FALSE) - 2, 0 ),
IF(IFERROR(SEARCH("Blast",K24),0) &gt; 0 , VLOOKUP("Blast", vote4SURGE!A:C , 3, FALSE) - 2, 0 ),
IF(IFERROR(SEARCH("Burn",K24),0) &gt; 0 , VLOOKUP("Burn", vote4SURGE!A:C , 3, FALSE) - 2, 0 ),
IF(IFERROR(SEARCH("Charge",K24),0) &gt; 0 , VLOOKUP("Charge", vote4SURGE!A:C , 3, FALSE) - 2, 0 ),
IF(IFERROR(SEARCH("Colonize",K24),0) &gt; 0 , VLOOKUP("Colonize", vote4SURGE!A:C , 3, FALSE) - 2, 0 ),
IF(IFERROR(SEARCH("Curse",K24),0) &gt; 0 , VLOOKUP("Curse", vote4SURGE!A:C , 3, FALSE) - 2, 0 ),
IF(IFERROR(SEARCH("Disease",K24),0) &gt; 0 , VLOOKUP("Disease", vote4SURGE!A:C , 3, FALSE) - 2, 0 ),
IF(IFERROR(SEARCH("Doom",K24),0) &gt; 0 , VLOOKUP("Doom", vote4SURGE!A:C , 3, FALSE) - 2, 0 ),
IF(IFERROR(SEARCH("Feast",K24),0) &gt; 0 , VLOOKUP("Feast", vote4SURGE!A:C , 3, FALSE) - 2, 0 ),
IF(IFERROR(SEARCH("Fire Breath",K24),0) &gt; 0 , VLOOKUP("Fire Breath", vote4SURGE!A:C , 3, FALSE) - 2, 0 ),
IF(IFERROR(SEARCH("Hunt",K24),0) &gt; 0 , VLOOKUP("Hunt", vote4SURGE!A:C , 3, FALSE) - 2, 0 ),
IF(IFERROR(SEARCH("Immobilize",K24),0) &gt; 0 , VLOOKUP("Immobilize", vote4SURGE!A:C , 3, FALSE) - 2, 0 ),
IF(IFERROR(SEARCH("Knockback",K24),0) &gt; 0 , VLOOKUP("Knockback", vote4SURGE!A:C , 3, FALSE) - 2, 0 ),
IF(IFERROR(SEARCH("Lash",K24),0) &gt; 0 , VLOOKUP("Lash", vote4SURGE!A:C , 3, FALSE) - 2, 0 ),
IF(IFERROR(SEARCH("Mend 2",K24),0) &gt; 0 , VLOOKUP("Mend 2", vote4SURGE!A:C , 3, FALSE) - 2, 0 ),
IF(IFERROR(SEARCH("Mortal Binding",K24),0) &gt; 0 , VLOOKUP("Mortal Binding", vote4SURGE!A:C , 3, FALSE) - 2, 0 ),
IF(IFERROR(SEARCH("Poison",K24),0) &gt; 0 , VLOOKUP("Poison", vote4SURGE!A:C , 3, FALSE) - 2, 0 ),
IF(IFERROR(SEARCH("Stun",K24),0) &gt; 0 , VLOOKUP("Stun", vote4SURGE!A:C , 3, FALSE) - 2, 0 ),
IF(IFERROR(SEARCH("Swarm",K24),0) &gt; 0 , VLOOKUP("Swarm", vote4SURGE!A:C , 3, FALSE) - 2, 0 ),
IF(IFERROR(SEARCH("Terrify",K24),0) &gt; 0 , VLOOKUP("Terrify", vote4SURGE!A:C , 3, FALSE) - 2, 0 ),
IF(IFERROR(SEARCH("Weaken",K24),0) &gt; 0 , VLOOKUP("Weaken", vote4SURGE!A:C , 3, FALSE) - 2, 0 ),
IF(IFERROR(SEARCH("Wither",K24),0) &gt; 0 , VLOOKUP("Wither", vote4SURGE!A:C , 3, FALSE) - 2, 0 ),
IFS(
IFERROR(SEARCH("Sorcery 1", K24),0) &gt; 0 ,VLOOKUP("Sorcery 1", vote4SURGE!A:C , 3, FALSE) - 2,
IFERROR(SEARCH("Sorcery 2", K24),0) &gt; 0 ,VLOOKUP("Sorcery 2", vote4SURGE!A:C , 3, FALSE) - 2,
IFERROR(SEARCH("Sorcery 3", K24),0) &gt; 0,VLOOKUP("Sorcery 3", vote4SURGE!A:C , 3, FALSE) - 2,
0=0,0)
,
IFS(
IFERROR(SEARCH("Pierce 1", K24),0) &gt; 0 ,VLOOKUP("Pierce 1", vote4SURGE!A:C , 3, FALSE) - 2,
IFERROR(SEARCH("Pierce 2", K24),0) &gt; 0 ,VLOOKUP("Pierce 2", vote4SURGE!A:C , 3, FALSE) - 2,
IFERROR(SEARCH("Pierce 3", K24),0) &gt; 0,VLOOKUP("Pierce 3", vote4SURGE!A:C , 3, FALSE) - 2,
IFERROR(SEARCH("Pierce 4", K24),0) &gt; 0 ,VLOOKUP("Pierce 4", vote4SURGE!A:C , 3, FALSE) - 2,
0=0,0)
,
IFS(
IFERROR(SEARCH("+1 Wound, +1 Wound", K24),0) &gt; 0 ,VLOOKUP("+1 Wound, +1 Wound", vote4SURGE!A:C , 3, False) - 2,
IFERROR(SEARCH("+2 Wounds, +2 Wounds", K24),0) &gt; 0 ,VLOOKUP("+2 Wounds, +2 Wounds", vote4SURGE!A:C , 3, False)- 2,
IFERROR(SEARCH("+1 Wound", K24),0) &gt; 0 ,VLOOKUP("+1 Wound", vote4SURGE!A:C , 3, False)- 2,
IFERROR(SEARCH("+2 Wounds", K24),0) &gt; 0 ,VLOOKUP("+2 Wounds", vote4SURGE!A:C , 3, False)- 2,
IFERROR(SEARCH("+3 Wounds", K24),0) &gt; 0,VLOOKUP("+3 Wounds", vote4SURGE!A:C , 3, False)- 2,
IFERROR(SEARCH("+4 Wounds", K24),0) &gt; 0 ,VLOOKUP("+4 Wounds", vote4SURGE!A:C , 3, False)- 2,
IFERROR(SEARCH("+4 Wounds", K24),0) &gt; 0 ,VLOOKUP("+5 Wounds", vote4SURGE!A:C , 3, False)- 2,
0=0,0)
,
IFS(
IFERROR(SEARCH("+1 Range", K24),0) &gt; 0 ,VLOOKUP("+1 Range", vote4SURGE!A:C , 3, FALSE) - 2,
IFERROR(SEARCH("+2 Range", K24),0) &gt; 0 ,VLOOKUP("+2 Range", vote4SURGE!A:C , 3, FALSE) - 2,
IFERROR(SEARCH("+3 Range", K24),0) &gt; 0,VLOOKUP("+3 Range", vote4SURGE!A:C , 3, FALSE) - 2,
0=0,0)
)</f>
        <v>0</v>
      </c>
      <c r="M24" s="318">
        <f t="shared" si="1"/>
        <v>1</v>
      </c>
      <c r="N24" s="322"/>
      <c r="O24" s="322"/>
      <c r="P24" s="322"/>
      <c r="Q24" s="322"/>
      <c r="R24" s="322"/>
      <c r="S24" s="322"/>
      <c r="T24" s="322"/>
    </row>
    <row r="25">
      <c r="A25" s="105" t="s">
        <v>1689</v>
      </c>
      <c r="B25" s="105" t="s">
        <v>922</v>
      </c>
      <c r="C25" s="93"/>
      <c r="D25" s="315" t="str">
        <f>IFERROR(__xludf.DUMMYFUNCTION(" IF(ISBLANK(C25),,
SWITCH(
LEN(C25) - LEN(SUBSTITUTE(C25,"","","""")),
0 , VLOOKUP(C25, Variables!$A:$B, 2, FALSE),
1 , VLOOKUP(index(split(C25 ,"", "", FALSE),1,1), Variables!$A:$B , 2, FALSE) + VLOOKUP(index(split(C25 ,"", "", FALSE),1,2), Variables!$A:"&amp;"$B , 2, FALSE),
2 , VLOOKUP(index(split(C25 ,"", "", FALSE),1,1), Variables!$A:$B , 2, FALSE) + VLOOKUP(index(split(C25 ,"", "", FALSE),1,2), Variables!$A:$B , 2, FALSE) + VLOOKUP(index(split(C25 ,"", "", FALSE),1,3), Variables!$A:$B , 2, FALSE),
3 , VLOO"&amp;"KUP(index(split(C25 ,"", "", FALSE),1,1), Variables!$A:$B , 2, FALSE) + VLOOKUP(index(split(C25 ,"", "", FALSE),1,2), Variables!$A:$B , 2, FALSE) + VLOOKUP(index(split(C25 ,"", "", FALSE),1,3), Variables!$A:$B , 2, FALSE) + VLOOKUP(index(split(C25 ,"", """&amp;", FALSE),1,4), Variables!$A:$B , 2, FALSE),
)
)"),"")</f>
        <v/>
      </c>
      <c r="E25" s="93" t="s">
        <v>923</v>
      </c>
      <c r="F25" s="318">
        <f>IF(E25 = "",,IFERROR(VLOOKUP(B25,vote4ITEMS!$A:$C, 3, FALSE),))</f>
        <v>3.333333333</v>
      </c>
      <c r="G25" s="353"/>
      <c r="H25" s="318" t="str">
        <f>IFERROR(__xludf.DUMMYFUNCTION("IF(ISBLANK(G25),,
IFERROR(
SWITCH(
LEN(G25) - LEN(SUBSTITUTE(G25,"","","""")),
0 , VLOOKUP(G25, vote4TRAITS!$A:$C , 3, FALSE),
1 , VLOOKUP(index(split(G25 ,"", "", FALSE),1,1), vote4TRAITS!$A:$C , 3, FALSE) + VLOOKUP(index(split(G25 ,"", "", FALSE),1,2), "&amp;"vote4TRAITS!$A:$C , 3, FALSE),
2 , VLOOKUP(index(split(G25 ,"", "", FALSE),1,1), vote4TRAITS!$A:$C , 3, FALSE) + VLOOKUP(index(split(G25 ,"", "", FALSE),1,2), vote4TRAITS!$A:$C , 3, FALSE) + VLOOKUP(index(split(G25 ,"", "", FALSE),1,3), vote4TRAITS!$A:$C "&amp;", 3, FALSE),
3 , VLOOKUP(index(split(G25 ,"", "", FALSE),1,1), vote4TRAITS!$A:$C , 3, FALSE) + VLOOKUP(index(split(G25 ,"", "", FALSE),1,2), vote4TRAITS!$A:$C , 3, FALSE) + VLOOKUP(index(split(G25 ,"", "", FALSE),1,3), vote4TRAITS!$A:$C , 3, FALSE) + VLOO"&amp;"KUP(index(split(L37 ,"", "", FALSE),1,4), vote4TRAITS!$A:$C , 3, FALSE)
),
VLOOKUP(B25, vote4TRAITS!$A:$C , 3, FALSE))
)"),"")</f>
        <v/>
      </c>
      <c r="I25" s="351"/>
      <c r="J25" s="318">
        <f>SUM(
IF(IFERROR(SEARCH("Black Venom",I25),0) &gt; 0 , VLOOKUP("Black Venom", vote4SURGE!A:C , 3, FALSE), 0 ),
IF(IFERROR(SEARCH("Bleed",I25),0) &gt; 0 , VLOOKUP("Bleed", vote4SURGE!A:C , 3, FALSE), 0 ),
IF(IFERROR(SEARCH("Blast",I25),0) &gt; 0 , VLOOKUP("Blast", vote4SURGE!A:C , 3, FALSE), 0 ),
IF(IFERROR(SEARCH("Burn",I25),0) &gt; 0 , VLOOKUP("Burn", vote4SURGE!A:C , 3, FALSE), 0 ),
IF(IFERROR(SEARCH("Charge",I25),0) &gt; 0 , VLOOKUP("Charge", vote4SURGE!A:C , 3, FALSE), 0 ),
IF(IFERROR(SEARCH("Colonize",I25),0) &gt; 0 , VLOOKUP("Colonize", vote4SURGE!A:C , 3, FALSE), 0 ),
IF(IFERROR(SEARCH("Curse",I25),0) &gt; 0 , VLOOKUP("Curse", vote4SURGE!A:C , 3, FALSE), 0 ),
IF(IFERROR(SEARCH("Disease",I25),0) &gt; 0 , VLOOKUP("Disease", vote4SURGE!A:C , 3, FALSE), 0 ),
IF(IFERROR(SEARCH("Doom",I25),0) &gt; 0 , VLOOKUP("Doom", vote4SURGE!A:C , 3, FALSE), 0 ),
IF(IFERROR(SEARCH("Feast",I25),0) &gt; 0 , VLOOKUP("Feast", vote4SURGE!A:C , 3, FALSE), 0 ),
IF(IFERROR(SEARCH("Fire Breath",I25),0) &gt; 0 , VLOOKUP("Fire Breath", vote4SURGE!A:C , 3, FALSE), 0 ),
IF(IFERROR(SEARCH("Hunt",I25),0) &gt; 0 , VLOOKUP("Hunt", vote4SURGE!A:C , 3, FALSE), 0 ),
IF(IFERROR(SEARCH("Immobilize",I25),0) &gt; 0 , VLOOKUP("Immobilize", vote4SURGE!A:C , 3, FALSE), 0 ),
IF(IFERROR(SEARCH("Knockback",I25),0) &gt; 0 , VLOOKUP("Knockback", vote4SURGE!A:C , 3, FALSE), 0 ),
IF(IFERROR(SEARCH("Lash",I25),0) &gt; 0 , VLOOKUP("Lash", vote4SURGE!A:C , 3, FALSE), 0 ),
IF(IFERROR(SEARCH("Mend 2",I25),0) &gt; 0 , VLOOKUP("Mend 2", vote4SURGE!A:C , 3, FALSE), 0 ),
IF(IFERROR(SEARCH("Mortal Binding",I25),0) &gt; 0 , VLOOKUP("Mortal Binding", vote4SURGE!A:C , 3, FALSE), 0 ),
IF(IFERROR(SEARCH("Poison",I25),0) &gt; 0 , VLOOKUP("Poison", vote4SURGE!A:C , 3, FALSE), 0 ),
IF(IFERROR(SEARCH("Stun",I25),0) &gt; 0 , VLOOKUP("Stun", vote4SURGE!A:C , 3, FALSE), 0 ),
IF(IFERROR(SEARCH("Swarm",I25),0) &gt; 0 , VLOOKUP("Swarm", vote4SURGE!A:C , 3, FALSE), 0 ),
IF(IFERROR(SEARCH("Terrify",I25),0) &gt; 0 , VLOOKUP("Terrify", vote4SURGE!A:C , 3, FALSE), 0 ),
IF(IFERROR(SEARCH("Weaken",I25),0) &gt; 0 , VLOOKUP("Weaken", vote4SURGE!A:C , 3, FALSE), 0 ),
IF(IFERROR(SEARCH("Wither",I25),0) &gt; 0 , VLOOKUP("Wither", vote4SURGE!A:C , 3, FALSE), 0 ),
IFS(
IFERROR(SEARCH("Sorcery 1", I25),0) &gt; 0 ,VLOOKUP("Sorcery 1", vote4SURGE!A:C , 3, FALSE),
IFERROR(SEARCH("Sorcery 2", I25),0) &gt; 0 ,VLOOKUP("Sorcery 2", vote4SURGE!A:C , 3, FALSE),
IFERROR(SEARCH("Sorcery 3", I25),0) &gt; 0,VLOOKUP("Sorcery 3", vote4SURGE!A:C , 3, FALSE),
0=0,0)
,
IFS(
IFERROR(SEARCH("Pierce 1", I25),0) &gt; 0 ,VLOOKUP("Pierce 1", vote4SURGE!A:C , 3, FALSE),
IFERROR(SEARCH("Pierce 2", I25),0) &gt; 0 ,VLOOKUP("Pierce 2", vote4SURGE!A:C , 3, FALSE),
IFERROR(SEARCH("Pierce 3", I25),0) &gt; 0,VLOOKUP("Pierce 3", vote4SURGE!A:C , 3, FALSE),
IFERROR(SEARCH("Pierce 4", I25),0) &gt; 0 ,VLOOKUP("Pierce 4", vote4SURGE!A:C , 3, FALSE),
IFERROR(SEARCH("Pierce 5", I25),0) &gt; 0 ,VLOOKUP("Pierce 5", vote4SURGE!A:C , 3, FALSE),
0=0,0)
,
IFS(
IFERROR(SEARCH("+1 Range, +1 Wound", I25),0) &gt; 0 ,VLOOKUP("+1 Range, +1 Wound", vote4SURGE!A:C , 3, False),
IFERROR(SEARCH("+2 Range, +1 Wound", I25),0) &gt; 0 ,VLOOKUP("+2 Range, +1 Wound", vote4SURGE!A:C , 3, False),
IFERROR(SEARCH("+1 Wound, +1 Wound", I25),0) &gt; 0 ,VLOOKUP("+1 Wound, +1 Wound", vote4SURGE!A:C , 3, False),
IFERROR(SEARCH("+2 Wounds, +2 Wounds", I25),0) &gt; 0 ,VLOOKUP("+2 Wounds, +2 Wounds", vote4SURGE!A:C , 3, False),
IFERROR(SEARCH("+1 Wound", I25),0) &gt; 0 ,VLOOKUP("+1 Wound", vote4SURGE!A:C , 3, False),
IFERROR(SEARCH("+2 Wounds", I25),0) &gt; 0 ,VLOOKUP("+2 Wounds", vote4SURGE!A:C , 3, False),
IFERROR(SEARCH("+3 Wounds", I25),0) &gt; 0,VLOOKUP("+3 Wounds", vote4SURGE!A:C , 3, False),
IFERROR(SEARCH("+4 Wounds", I25),0) &gt; 0 ,VLOOKUP("+4 Wounds", vote4SURGE!A:C , 3, False),
0=0,0)
,
IFS(
IFERROR(SEARCH("+1 Range", I25),0) &gt; 0 ,VLOOKUP("+1 Range", vote4SURGE!A:C , 3, FALSE),
IFERROR(SEARCH("+2 Range", I25),0) &gt; 0 ,VLOOKUP("+2 Range", vote4SURGE!A:C , 3, FALSE),
IFERROR(SEARCH("+3 Range", I25),0) &gt; 0,VLOOKUP("+3 Range", vote4SURGE!A:C , 3, FALSE),
IFERROR(SEARCH("+4 Range", I25),0) &gt; 0,VLOOKUP("+4 Range", vote4SURGE!A:C , 3, FALSE),
0=0,0),
IFS(
IFERROR(SEARCH("Recover 1 Heart", I25),0) &gt; 0 ,VLOOKUP("Recover 1 Heart", vote4SURGE!A:C , 3, FALSE),
IFERROR(SEARCH("Recover 2 Heart", I25),0) &gt; 0 ,VLOOKUP("Recover 2 Heart", vote4SURGE!A:C , 3, FALSE),
0=0,0),
IFS(
IFERROR(SEARCH("Recover 1 Fatigue", I25),0) &gt; 0,VLOOKUP("Recover 1 Fatigue", vote4SURGE!A:C , 3, FALSE),
IFERROR(SEARCH("Recover 2 Fatigue", I25),0) &gt; 0,VLOOKUP("Recover 2 Fatigue", vote4SURGE!A:C , 3, FALSE),
0=0,0),
IFERROR(VLOOKUP(B25, vote4SURGE!A:C , 3, FALSE),)
)</f>
        <v>0</v>
      </c>
      <c r="K25" s="352"/>
      <c r="L25" s="318">
        <f>SUM(
IF(IFERROR(SEARCH("Black Venom",K25),0) &gt; 0 , VLOOKUP("Black Venom", vote4SURGE!A:C , 3, FALSE) - 2, 0 ),
IF(IFERROR(SEARCH("Bleed",K25),0) &gt; 0 , VLOOKUP("Bleed", vote4SURGE!A:C , 3, FALSE) - 2, 0 ),
IF(IFERROR(SEARCH("Blast",K25),0) &gt; 0 , VLOOKUP("Blast", vote4SURGE!A:C , 3, FALSE) - 2, 0 ),
IF(IFERROR(SEARCH("Burn",K25),0) &gt; 0 , VLOOKUP("Burn", vote4SURGE!A:C , 3, FALSE) - 2, 0 ),
IF(IFERROR(SEARCH("Charge",K25),0) &gt; 0 , VLOOKUP("Charge", vote4SURGE!A:C , 3, FALSE) - 2, 0 ),
IF(IFERROR(SEARCH("Colonize",K25),0) &gt; 0 , VLOOKUP("Colonize", vote4SURGE!A:C , 3, FALSE) - 2, 0 ),
IF(IFERROR(SEARCH("Curse",K25),0) &gt; 0 , VLOOKUP("Curse", vote4SURGE!A:C , 3, FALSE) - 2, 0 ),
IF(IFERROR(SEARCH("Disease",K25),0) &gt; 0 , VLOOKUP("Disease", vote4SURGE!A:C , 3, FALSE) - 2, 0 ),
IF(IFERROR(SEARCH("Doom",K25),0) &gt; 0 , VLOOKUP("Doom", vote4SURGE!A:C , 3, FALSE) - 2, 0 ),
IF(IFERROR(SEARCH("Feast",K25),0) &gt; 0 , VLOOKUP("Feast", vote4SURGE!A:C , 3, FALSE) - 2, 0 ),
IF(IFERROR(SEARCH("Fire Breath",K25),0) &gt; 0 , VLOOKUP("Fire Breath", vote4SURGE!A:C , 3, FALSE) - 2, 0 ),
IF(IFERROR(SEARCH("Hunt",K25),0) &gt; 0 , VLOOKUP("Hunt", vote4SURGE!A:C , 3, FALSE) - 2, 0 ),
IF(IFERROR(SEARCH("Immobilize",K25),0) &gt; 0 , VLOOKUP("Immobilize", vote4SURGE!A:C , 3, FALSE) - 2, 0 ),
IF(IFERROR(SEARCH("Knockback",K25),0) &gt; 0 , VLOOKUP("Knockback", vote4SURGE!A:C , 3, FALSE) - 2, 0 ),
IF(IFERROR(SEARCH("Lash",K25),0) &gt; 0 , VLOOKUP("Lash", vote4SURGE!A:C , 3, FALSE) - 2, 0 ),
IF(IFERROR(SEARCH("Mend 2",K25),0) &gt; 0 , VLOOKUP("Mend 2", vote4SURGE!A:C , 3, FALSE) - 2, 0 ),
IF(IFERROR(SEARCH("Mortal Binding",K25),0) &gt; 0 , VLOOKUP("Mortal Binding", vote4SURGE!A:C , 3, FALSE) - 2, 0 ),
IF(IFERROR(SEARCH("Poison",K25),0) &gt; 0 , VLOOKUP("Poison", vote4SURGE!A:C , 3, FALSE) - 2, 0 ),
IF(IFERROR(SEARCH("Stun",K25),0) &gt; 0 , VLOOKUP("Stun", vote4SURGE!A:C , 3, FALSE) - 2, 0 ),
IF(IFERROR(SEARCH("Swarm",K25),0) &gt; 0 , VLOOKUP("Swarm", vote4SURGE!A:C , 3, FALSE) - 2, 0 ),
IF(IFERROR(SEARCH("Terrify",K25),0) &gt; 0 , VLOOKUP("Terrify", vote4SURGE!A:C , 3, FALSE) - 2, 0 ),
IF(IFERROR(SEARCH("Weaken",K25),0) &gt; 0 , VLOOKUP("Weaken", vote4SURGE!A:C , 3, FALSE) - 2, 0 ),
IF(IFERROR(SEARCH("Wither",K25),0) &gt; 0 , VLOOKUP("Wither", vote4SURGE!A:C , 3, FALSE) - 2, 0 ),
IFS(
IFERROR(SEARCH("Sorcery 1", K25),0) &gt; 0 ,VLOOKUP("Sorcery 1", vote4SURGE!A:C , 3, FALSE) - 2,
IFERROR(SEARCH("Sorcery 2", K25),0) &gt; 0 ,VLOOKUP("Sorcery 2", vote4SURGE!A:C , 3, FALSE) - 2,
IFERROR(SEARCH("Sorcery 3", K25),0) &gt; 0,VLOOKUP("Sorcery 3", vote4SURGE!A:C , 3, FALSE) - 2,
0=0,0)
,
IFS(
IFERROR(SEARCH("Pierce 1", K25),0) &gt; 0 ,VLOOKUP("Pierce 1", vote4SURGE!A:C , 3, FALSE) - 2,
IFERROR(SEARCH("Pierce 2", K25),0) &gt; 0 ,VLOOKUP("Pierce 2", vote4SURGE!A:C , 3, FALSE) - 2,
IFERROR(SEARCH("Pierce 3", K25),0) &gt; 0,VLOOKUP("Pierce 3", vote4SURGE!A:C , 3, FALSE) - 2,
IFERROR(SEARCH("Pierce 4", K25),0) &gt; 0 ,VLOOKUP("Pierce 4", vote4SURGE!A:C , 3, FALSE) - 2,
0=0,0)
,
IFS(
IFERROR(SEARCH("+1 Wound, +1 Wound", K25),0) &gt; 0 ,VLOOKUP("+1 Wound, +1 Wound", vote4SURGE!A:C , 3, False) - 2,
IFERROR(SEARCH("+2 Wounds, +2 Wounds", K25),0) &gt; 0 ,VLOOKUP("+2 Wounds, +2 Wounds", vote4SURGE!A:C , 3, False)- 2,
IFERROR(SEARCH("+1 Wound", K25),0) &gt; 0 ,VLOOKUP("+1 Wound", vote4SURGE!A:C , 3, False)- 2,
IFERROR(SEARCH("+2 Wounds", K25),0) &gt; 0 ,VLOOKUP("+2 Wounds", vote4SURGE!A:C , 3, False)- 2,
IFERROR(SEARCH("+3 Wounds", K25),0) &gt; 0,VLOOKUP("+3 Wounds", vote4SURGE!A:C , 3, False)- 2,
IFERROR(SEARCH("+4 Wounds", K25),0) &gt; 0 ,VLOOKUP("+4 Wounds", vote4SURGE!A:C , 3, False)- 2,
IFERROR(SEARCH("+4 Wounds", K25),0) &gt; 0 ,VLOOKUP("+5 Wounds", vote4SURGE!A:C , 3, False)- 2,
0=0,0)
,
IFS(
IFERROR(SEARCH("+1 Range", K25),0) &gt; 0 ,VLOOKUP("+1 Range", vote4SURGE!A:C , 3, FALSE) - 2,
IFERROR(SEARCH("+2 Range", K25),0) &gt; 0 ,VLOOKUP("+2 Range", vote4SURGE!A:C , 3, FALSE) - 2,
IFERROR(SEARCH("+3 Range", K25),0) &gt; 0,VLOOKUP("+3 Range", vote4SURGE!A:C , 3, FALSE) - 2,
0=0,0)
)</f>
        <v>0</v>
      </c>
      <c r="M25" s="318">
        <f t="shared" si="1"/>
        <v>3.333333333</v>
      </c>
      <c r="N25" s="322"/>
      <c r="O25" s="322"/>
      <c r="P25" s="322"/>
      <c r="Q25" s="322"/>
      <c r="R25" s="322"/>
      <c r="S25" s="322"/>
      <c r="T25" s="322"/>
    </row>
    <row r="26">
      <c r="A26" s="105" t="s">
        <v>1689</v>
      </c>
      <c r="B26" s="93" t="s">
        <v>928</v>
      </c>
      <c r="C26" s="93"/>
      <c r="D26" s="315" t="str">
        <f>IFERROR(__xludf.DUMMYFUNCTION(" IF(ISBLANK(C26),,
SWITCH(
LEN(C26) - LEN(SUBSTITUTE(C26,"","","""")),
0 , VLOOKUP(C26, Variables!$A:$B, 2, FALSE),
1 , VLOOKUP(index(split(C26 ,"", "", FALSE),1,1), Variables!$A:$B , 2, FALSE) + VLOOKUP(index(split(C26 ,"", "", FALSE),1,2), Variables!$A:"&amp;"$B , 2, FALSE),
2 , VLOOKUP(index(split(C26 ,"", "", FALSE),1,1), Variables!$A:$B , 2, FALSE) + VLOOKUP(index(split(C26 ,"", "", FALSE),1,2), Variables!$A:$B , 2, FALSE) + VLOOKUP(index(split(C26 ,"", "", FALSE),1,3), Variables!$A:$B , 2, FALSE),
3 , VLOO"&amp;"KUP(index(split(C26 ,"", "", FALSE),1,1), Variables!$A:$B , 2, FALSE) + VLOOKUP(index(split(C26 ,"", "", FALSE),1,2), Variables!$A:$B , 2, FALSE) + VLOOKUP(index(split(C26 ,"", "", FALSE),1,3), Variables!$A:$B , 2, FALSE) + VLOOKUP(index(split(C26 ,"", """&amp;", FALSE),1,4), Variables!$A:$B , 2, FALSE),
)
)"),"")</f>
        <v/>
      </c>
      <c r="E26" s="105" t="s">
        <v>929</v>
      </c>
      <c r="F26" s="318">
        <f>IF(E26 = "",,IFERROR(VLOOKUP(B26,vote4ITEMS!$A:$C, 3, FALSE),))</f>
        <v>2</v>
      </c>
      <c r="G26" s="353"/>
      <c r="H26" s="318" t="str">
        <f>IFERROR(__xludf.DUMMYFUNCTION("IF(ISBLANK(G26),,
IFERROR(
SWITCH(
LEN(G26) - LEN(SUBSTITUTE(G26,"","","""")),
0 , VLOOKUP(G26, vote4TRAITS!$A:$C , 3, FALSE),
1 , VLOOKUP(index(split(G26 ,"", "", FALSE),1,1), vote4TRAITS!$A:$C , 3, FALSE) + VLOOKUP(index(split(G26 ,"", "", FALSE),1,2), "&amp;"vote4TRAITS!$A:$C , 3, FALSE),
2 , VLOOKUP(index(split(G26 ,"", "", FALSE),1,1), vote4TRAITS!$A:$C , 3, FALSE) + VLOOKUP(index(split(G26 ,"", "", FALSE),1,2), vote4TRAITS!$A:$C , 3, FALSE) + VLOOKUP(index(split(G26 ,"", "", FALSE),1,3), vote4TRAITS!$A:$C "&amp;", 3, FALSE),
3 , VLOOKUP(index(split(G26 ,"", "", FALSE),1,1), vote4TRAITS!$A:$C , 3, FALSE) + VLOOKUP(index(split(G26 ,"", "", FALSE),1,2), vote4TRAITS!$A:$C , 3, FALSE) + VLOOKUP(index(split(G26 ,"", "", FALSE),1,3), vote4TRAITS!$A:$C , 3, FALSE) + VLOO"&amp;"KUP(index(split(L38 ,"", "", FALSE),1,4), vote4TRAITS!$A:$C , 3, FALSE)
),
VLOOKUP(B26, vote4TRAITS!$A:$C , 3, FALSE))
)"),"")</f>
        <v/>
      </c>
      <c r="I26" s="351"/>
      <c r="J26" s="318">
        <f>SUM(
IF(IFERROR(SEARCH("Black Venom",I26),0) &gt; 0 , VLOOKUP("Black Venom", vote4SURGE!A:C , 3, FALSE), 0 ),
IF(IFERROR(SEARCH("Bleed",I26),0) &gt; 0 , VLOOKUP("Bleed", vote4SURGE!A:C , 3, FALSE), 0 ),
IF(IFERROR(SEARCH("Blast",I26),0) &gt; 0 , VLOOKUP("Blast", vote4SURGE!A:C , 3, FALSE), 0 ),
IF(IFERROR(SEARCH("Burn",I26),0) &gt; 0 , VLOOKUP("Burn", vote4SURGE!A:C , 3, FALSE), 0 ),
IF(IFERROR(SEARCH("Charge",I26),0) &gt; 0 , VLOOKUP("Charge", vote4SURGE!A:C , 3, FALSE), 0 ),
IF(IFERROR(SEARCH("Colonize",I26),0) &gt; 0 , VLOOKUP("Colonize", vote4SURGE!A:C , 3, FALSE), 0 ),
IF(IFERROR(SEARCH("Curse",I26),0) &gt; 0 , VLOOKUP("Curse", vote4SURGE!A:C , 3, FALSE), 0 ),
IF(IFERROR(SEARCH("Disease",I26),0) &gt; 0 , VLOOKUP("Disease", vote4SURGE!A:C , 3, FALSE), 0 ),
IF(IFERROR(SEARCH("Doom",I26),0) &gt; 0 , VLOOKUP("Doom", vote4SURGE!A:C , 3, FALSE), 0 ),
IF(IFERROR(SEARCH("Feast",I26),0) &gt; 0 , VLOOKUP("Feast", vote4SURGE!A:C , 3, FALSE), 0 ),
IF(IFERROR(SEARCH("Fire Breath",I26),0) &gt; 0 , VLOOKUP("Fire Breath", vote4SURGE!A:C , 3, FALSE), 0 ),
IF(IFERROR(SEARCH("Hunt",I26),0) &gt; 0 , VLOOKUP("Hunt", vote4SURGE!A:C , 3, FALSE), 0 ),
IF(IFERROR(SEARCH("Immobilize",I26),0) &gt; 0 , VLOOKUP("Immobilize", vote4SURGE!A:C , 3, FALSE), 0 ),
IF(IFERROR(SEARCH("Knockback",I26),0) &gt; 0 , VLOOKUP("Knockback", vote4SURGE!A:C , 3, FALSE), 0 ),
IF(IFERROR(SEARCH("Lash",I26),0) &gt; 0 , VLOOKUP("Lash", vote4SURGE!A:C , 3, FALSE), 0 ),
IF(IFERROR(SEARCH("Mend 2",I26),0) &gt; 0 , VLOOKUP("Mend 2", vote4SURGE!A:C , 3, FALSE), 0 ),
IF(IFERROR(SEARCH("Mortal Binding",I26),0) &gt; 0 , VLOOKUP("Mortal Binding", vote4SURGE!A:C , 3, FALSE), 0 ),
IF(IFERROR(SEARCH("Poison",I26),0) &gt; 0 , VLOOKUP("Poison", vote4SURGE!A:C , 3, FALSE), 0 ),
IF(IFERROR(SEARCH("Stun",I26),0) &gt; 0 , VLOOKUP("Stun", vote4SURGE!A:C , 3, FALSE), 0 ),
IF(IFERROR(SEARCH("Swarm",I26),0) &gt; 0 , VLOOKUP("Swarm", vote4SURGE!A:C , 3, FALSE), 0 ),
IF(IFERROR(SEARCH("Terrify",I26),0) &gt; 0 , VLOOKUP("Terrify", vote4SURGE!A:C , 3, FALSE), 0 ),
IF(IFERROR(SEARCH("Weaken",I26),0) &gt; 0 , VLOOKUP("Weaken", vote4SURGE!A:C , 3, FALSE), 0 ),
IF(IFERROR(SEARCH("Wither",I26),0) &gt; 0 , VLOOKUP("Wither", vote4SURGE!A:C , 3, FALSE), 0 ),
IFS(
IFERROR(SEARCH("Sorcery 1", I26),0) &gt; 0 ,VLOOKUP("Sorcery 1", vote4SURGE!A:C , 3, FALSE),
IFERROR(SEARCH("Sorcery 2", I26),0) &gt; 0 ,VLOOKUP("Sorcery 2", vote4SURGE!A:C , 3, FALSE),
IFERROR(SEARCH("Sorcery 3", I26),0) &gt; 0,VLOOKUP("Sorcery 3", vote4SURGE!A:C , 3, FALSE),
0=0,0)
,
IFS(
IFERROR(SEARCH("Pierce 1", I26),0) &gt; 0 ,VLOOKUP("Pierce 1", vote4SURGE!A:C , 3, FALSE),
IFERROR(SEARCH("Pierce 2", I26),0) &gt; 0 ,VLOOKUP("Pierce 2", vote4SURGE!A:C , 3, FALSE),
IFERROR(SEARCH("Pierce 3", I26),0) &gt; 0,VLOOKUP("Pierce 3", vote4SURGE!A:C , 3, FALSE),
IFERROR(SEARCH("Pierce 4", I26),0) &gt; 0 ,VLOOKUP("Pierce 4", vote4SURGE!A:C , 3, FALSE),
IFERROR(SEARCH("Pierce 5", I26),0) &gt; 0 ,VLOOKUP("Pierce 5", vote4SURGE!A:C , 3, FALSE),
0=0,0)
,
IFS(
IFERROR(SEARCH("+1 Range, +1 Wound", I26),0) &gt; 0 ,VLOOKUP("+1 Range, +1 Wound", vote4SURGE!A:C , 3, False),
IFERROR(SEARCH("+2 Range, +1 Wound", I26),0) &gt; 0 ,VLOOKUP("+2 Range, +1 Wound", vote4SURGE!A:C , 3, False),
IFERROR(SEARCH("+1 Wound, +1 Wound", I26),0) &gt; 0 ,VLOOKUP("+1 Wound, +1 Wound", vote4SURGE!A:C , 3, False),
IFERROR(SEARCH("+2 Wounds, +2 Wounds", I26),0) &gt; 0 ,VLOOKUP("+2 Wounds, +2 Wounds", vote4SURGE!A:C , 3, False),
IFERROR(SEARCH("+1 Wound", I26),0) &gt; 0 ,VLOOKUP("+1 Wound", vote4SURGE!A:C , 3, False),
IFERROR(SEARCH("+2 Wounds", I26),0) &gt; 0 ,VLOOKUP("+2 Wounds", vote4SURGE!A:C , 3, False),
IFERROR(SEARCH("+3 Wounds", I26),0) &gt; 0,VLOOKUP("+3 Wounds", vote4SURGE!A:C , 3, False),
IFERROR(SEARCH("+4 Wounds", I26),0) &gt; 0 ,VLOOKUP("+4 Wounds", vote4SURGE!A:C , 3, False),
0=0,0)
,
IFS(
IFERROR(SEARCH("+1 Range", I26),0) &gt; 0 ,VLOOKUP("+1 Range", vote4SURGE!A:C , 3, FALSE),
IFERROR(SEARCH("+2 Range", I26),0) &gt; 0 ,VLOOKUP("+2 Range", vote4SURGE!A:C , 3, FALSE),
IFERROR(SEARCH("+3 Range", I26),0) &gt; 0,VLOOKUP("+3 Range", vote4SURGE!A:C , 3, FALSE),
IFERROR(SEARCH("+4 Range", I26),0) &gt; 0,VLOOKUP("+4 Range", vote4SURGE!A:C , 3, FALSE),
0=0,0),
IFS(
IFERROR(SEARCH("Recover 1 Heart", I26),0) &gt; 0 ,VLOOKUP("Recover 1 Heart", vote4SURGE!A:C , 3, FALSE),
IFERROR(SEARCH("Recover 2 Heart", I26),0) &gt; 0 ,VLOOKUP("Recover 2 Heart", vote4SURGE!A:C , 3, FALSE),
0=0,0),
IFS(
IFERROR(SEARCH("Recover 1 Fatigue", I26),0) &gt; 0,VLOOKUP("Recover 1 Fatigue", vote4SURGE!A:C , 3, FALSE),
IFERROR(SEARCH("Recover 2 Fatigue", I26),0) &gt; 0,VLOOKUP("Recover 2 Fatigue", vote4SURGE!A:C , 3, FALSE),
0=0,0),
IFERROR(VLOOKUP(B26, vote4SURGE!A:C , 3, FALSE),)
)</f>
        <v>0</v>
      </c>
      <c r="K26" s="352"/>
      <c r="L26" s="318">
        <f>SUM(
IF(IFERROR(SEARCH("Black Venom",K26),0) &gt; 0 , VLOOKUP("Black Venom", vote4SURGE!A:C , 3, FALSE) - 2, 0 ),
IF(IFERROR(SEARCH("Bleed",K26),0) &gt; 0 , VLOOKUP("Bleed", vote4SURGE!A:C , 3, FALSE) - 2, 0 ),
IF(IFERROR(SEARCH("Blast",K26),0) &gt; 0 , VLOOKUP("Blast", vote4SURGE!A:C , 3, FALSE) - 2, 0 ),
IF(IFERROR(SEARCH("Burn",K26),0) &gt; 0 , VLOOKUP("Burn", vote4SURGE!A:C , 3, FALSE) - 2, 0 ),
IF(IFERROR(SEARCH("Charge",K26),0) &gt; 0 , VLOOKUP("Charge", vote4SURGE!A:C , 3, FALSE) - 2, 0 ),
IF(IFERROR(SEARCH("Colonize",K26),0) &gt; 0 , VLOOKUP("Colonize", vote4SURGE!A:C , 3, FALSE) - 2, 0 ),
IF(IFERROR(SEARCH("Curse",K26),0) &gt; 0 , VLOOKUP("Curse", vote4SURGE!A:C , 3, FALSE) - 2, 0 ),
IF(IFERROR(SEARCH("Disease",K26),0) &gt; 0 , VLOOKUP("Disease", vote4SURGE!A:C , 3, FALSE) - 2, 0 ),
IF(IFERROR(SEARCH("Doom",K26),0) &gt; 0 , VLOOKUP("Doom", vote4SURGE!A:C , 3, FALSE) - 2, 0 ),
IF(IFERROR(SEARCH("Feast",K26),0) &gt; 0 , VLOOKUP("Feast", vote4SURGE!A:C , 3, FALSE) - 2, 0 ),
IF(IFERROR(SEARCH("Fire Breath",K26),0) &gt; 0 , VLOOKUP("Fire Breath", vote4SURGE!A:C , 3, FALSE) - 2, 0 ),
IF(IFERROR(SEARCH("Hunt",K26),0) &gt; 0 , VLOOKUP("Hunt", vote4SURGE!A:C , 3, FALSE) - 2, 0 ),
IF(IFERROR(SEARCH("Immobilize",K26),0) &gt; 0 , VLOOKUP("Immobilize", vote4SURGE!A:C , 3, FALSE) - 2, 0 ),
IF(IFERROR(SEARCH("Knockback",K26),0) &gt; 0 , VLOOKUP("Knockback", vote4SURGE!A:C , 3, FALSE) - 2, 0 ),
IF(IFERROR(SEARCH("Lash",K26),0) &gt; 0 , VLOOKUP("Lash", vote4SURGE!A:C , 3, FALSE) - 2, 0 ),
IF(IFERROR(SEARCH("Mend 2",K26),0) &gt; 0 , VLOOKUP("Mend 2", vote4SURGE!A:C , 3, FALSE) - 2, 0 ),
IF(IFERROR(SEARCH("Mortal Binding",K26),0) &gt; 0 , VLOOKUP("Mortal Binding", vote4SURGE!A:C , 3, FALSE) - 2, 0 ),
IF(IFERROR(SEARCH("Poison",K26),0) &gt; 0 , VLOOKUP("Poison", vote4SURGE!A:C , 3, FALSE) - 2, 0 ),
IF(IFERROR(SEARCH("Stun",K26),0) &gt; 0 , VLOOKUP("Stun", vote4SURGE!A:C , 3, FALSE) - 2, 0 ),
IF(IFERROR(SEARCH("Swarm",K26),0) &gt; 0 , VLOOKUP("Swarm", vote4SURGE!A:C , 3, FALSE) - 2, 0 ),
IF(IFERROR(SEARCH("Terrify",K26),0) &gt; 0 , VLOOKUP("Terrify", vote4SURGE!A:C , 3, FALSE) - 2, 0 ),
IF(IFERROR(SEARCH("Weaken",K26),0) &gt; 0 , VLOOKUP("Weaken", vote4SURGE!A:C , 3, FALSE) - 2, 0 ),
IF(IFERROR(SEARCH("Wither",K26),0) &gt; 0 , VLOOKUP("Wither", vote4SURGE!A:C , 3, FALSE) - 2, 0 ),
IFS(
IFERROR(SEARCH("Sorcery 1", K26),0) &gt; 0 ,VLOOKUP("Sorcery 1", vote4SURGE!A:C , 3, FALSE) - 2,
IFERROR(SEARCH("Sorcery 2", K26),0) &gt; 0 ,VLOOKUP("Sorcery 2", vote4SURGE!A:C , 3, FALSE) - 2,
IFERROR(SEARCH("Sorcery 3", K26),0) &gt; 0,VLOOKUP("Sorcery 3", vote4SURGE!A:C , 3, FALSE) - 2,
0=0,0)
,
IFS(
IFERROR(SEARCH("Pierce 1", K26),0) &gt; 0 ,VLOOKUP("Pierce 1", vote4SURGE!A:C , 3, FALSE) - 2,
IFERROR(SEARCH("Pierce 2", K26),0) &gt; 0 ,VLOOKUP("Pierce 2", vote4SURGE!A:C , 3, FALSE) - 2,
IFERROR(SEARCH("Pierce 3", K26),0) &gt; 0,VLOOKUP("Pierce 3", vote4SURGE!A:C , 3, FALSE) - 2,
IFERROR(SEARCH("Pierce 4", K26),0) &gt; 0 ,VLOOKUP("Pierce 4", vote4SURGE!A:C , 3, FALSE) - 2,
0=0,0)
,
IFS(
IFERROR(SEARCH("+1 Wound, +1 Wound", K26),0) &gt; 0 ,VLOOKUP("+1 Wound, +1 Wound", vote4SURGE!A:C , 3, False) - 2,
IFERROR(SEARCH("+2 Wounds, +2 Wounds", K26),0) &gt; 0 ,VLOOKUP("+2 Wounds, +2 Wounds", vote4SURGE!A:C , 3, False)- 2,
IFERROR(SEARCH("+1 Wound", K26),0) &gt; 0 ,VLOOKUP("+1 Wound", vote4SURGE!A:C , 3, False)- 2,
IFERROR(SEARCH("+2 Wounds", K26),0) &gt; 0 ,VLOOKUP("+2 Wounds", vote4SURGE!A:C , 3, False)- 2,
IFERROR(SEARCH("+3 Wounds", K26),0) &gt; 0,VLOOKUP("+3 Wounds", vote4SURGE!A:C , 3, False)- 2,
IFERROR(SEARCH("+4 Wounds", K26),0) &gt; 0 ,VLOOKUP("+4 Wounds", vote4SURGE!A:C , 3, False)- 2,
IFERROR(SEARCH("+4 Wounds", K26),0) &gt; 0 ,VLOOKUP("+5 Wounds", vote4SURGE!A:C , 3, False)- 2,
0=0,0)
,
IFS(
IFERROR(SEARCH("+1 Range", K26),0) &gt; 0 ,VLOOKUP("+1 Range", vote4SURGE!A:C , 3, FALSE) - 2,
IFERROR(SEARCH("+2 Range", K26),0) &gt; 0 ,VLOOKUP("+2 Range", vote4SURGE!A:C , 3, FALSE) - 2,
IFERROR(SEARCH("+3 Range", K26),0) &gt; 0,VLOOKUP("+3 Range", vote4SURGE!A:C , 3, FALSE) - 2,
0=0,0)
)</f>
        <v>0</v>
      </c>
      <c r="M26" s="318">
        <f t="shared" si="1"/>
        <v>2</v>
      </c>
      <c r="N26" s="322"/>
      <c r="O26" s="322"/>
      <c r="P26" s="322"/>
      <c r="Q26" s="322"/>
      <c r="R26" s="322"/>
      <c r="S26" s="322"/>
      <c r="T26" s="322"/>
    </row>
    <row r="27">
      <c r="A27" s="105" t="s">
        <v>1689</v>
      </c>
      <c r="B27" s="93" t="s">
        <v>1162</v>
      </c>
      <c r="C27" s="93"/>
      <c r="D27" s="315" t="str">
        <f>IFERROR(__xludf.DUMMYFUNCTION(" IF(ISBLANK(C27),,
SWITCH(
LEN(C27) - LEN(SUBSTITUTE(C27,"","","""")),
0 , VLOOKUP(C27, Variables!$A:$B, 2, FALSE),
1 , VLOOKUP(index(split(C27 ,"", "", FALSE),1,1), Variables!$A:$B , 2, FALSE) + VLOOKUP(index(split(C27 ,"", "", FALSE),1,2), Variables!$A:"&amp;"$B , 2, FALSE),
2 , VLOOKUP(index(split(C27 ,"", "", FALSE),1,1), Variables!$A:$B , 2, FALSE) + VLOOKUP(index(split(C27 ,"", "", FALSE),1,2), Variables!$A:$B , 2, FALSE) + VLOOKUP(index(split(C27 ,"", "", FALSE),1,3), Variables!$A:$B , 2, FALSE),
3 , VLOO"&amp;"KUP(index(split(C27 ,"", "", FALSE),1,1), Variables!$A:$B , 2, FALSE) + VLOOKUP(index(split(C27 ,"", "", FALSE),1,2), Variables!$A:$B , 2, FALSE) + VLOOKUP(index(split(C27 ,"", "", FALSE),1,3), Variables!$A:$B , 2, FALSE) + VLOOKUP(index(split(C27 ,"", """&amp;", FALSE),1,4), Variables!$A:$B , 2, FALSE),
)
)"),"")</f>
        <v/>
      </c>
      <c r="E27" s="105"/>
      <c r="F27" s="318" t="str">
        <f>IF(E27 = "",,IFERROR(VLOOKUP(B27,vote4ITEMS!$A:$C, 3, FALSE),))</f>
        <v/>
      </c>
      <c r="G27" s="353" t="s">
        <v>1700</v>
      </c>
      <c r="H27" s="318">
        <f>IFERROR(__xludf.DUMMYFUNCTION("IF(ISBLANK(G27),,
IFERROR(
SWITCH(
LEN(G27) - LEN(SUBSTITUTE(G27,"","","""")),
0 , VLOOKUP(G27, vote4TRAITS!$A:$C , 3, FALSE),
1 , VLOOKUP(index(split(G27 ,"", "", FALSE),1,1), vote4TRAITS!$A:$C , 3, FALSE) + VLOOKUP(index(split(G27 ,"", "", FALSE),1,2), "&amp;"vote4TRAITS!$A:$C , 3, FALSE),
2 , VLOOKUP(index(split(G27 ,"", "", FALSE),1,1), vote4TRAITS!$A:$C , 3, FALSE) + VLOOKUP(index(split(G27 ,"", "", FALSE),1,2), vote4TRAITS!$A:$C , 3, FALSE) + VLOOKUP(index(split(G27 ,"", "", FALSE),1,3), vote4TRAITS!$A:$C "&amp;", 3, FALSE),
3 , VLOOKUP(index(split(G27 ,"", "", FALSE),1,1), vote4TRAITS!$A:$C , 3, FALSE) + VLOOKUP(index(split(G27 ,"", "", FALSE),1,2), vote4TRAITS!$A:$C , 3, FALSE) + VLOOKUP(index(split(G27 ,"", "", FALSE),1,3), vote4TRAITS!$A:$C , 3, FALSE) + VLOO"&amp;"KUP(index(split(L39 ,"", "", FALSE),1,4), vote4TRAITS!$A:$C , 3, FALSE)
),
VLOOKUP(B27, vote4TRAITS!$A:$C , 3, FALSE))
)"),3.5)</f>
        <v>3.5</v>
      </c>
      <c r="I27" s="353" t="s">
        <v>1258</v>
      </c>
      <c r="J27" s="318">
        <f>SUM(
IF(IFERROR(SEARCH("Black Venom",I27),0) &gt; 0 , VLOOKUP("Black Venom", vote4SURGE!A:C , 3, FALSE), 0 ),
IF(IFERROR(SEARCH("Bleed",I27),0) &gt; 0 , VLOOKUP("Bleed", vote4SURGE!A:C , 3, FALSE), 0 ),
IF(IFERROR(SEARCH("Blast",I27),0) &gt; 0 , VLOOKUP("Blast", vote4SURGE!A:C , 3, FALSE), 0 ),
IF(IFERROR(SEARCH("Burn",I27),0) &gt; 0 , VLOOKUP("Burn", vote4SURGE!A:C , 3, FALSE), 0 ),
IF(IFERROR(SEARCH("Charge",I27),0) &gt; 0 , VLOOKUP("Charge", vote4SURGE!A:C , 3, FALSE), 0 ),
IF(IFERROR(SEARCH("Colonize",I27),0) &gt; 0 , VLOOKUP("Colonize", vote4SURGE!A:C , 3, FALSE), 0 ),
IF(IFERROR(SEARCH("Curse",I27),0) &gt; 0 , VLOOKUP("Curse", vote4SURGE!A:C , 3, FALSE), 0 ),
IF(IFERROR(SEARCH("Disease",I27),0) &gt; 0 , VLOOKUP("Disease", vote4SURGE!A:C , 3, FALSE), 0 ),
IF(IFERROR(SEARCH("Doom",I27),0) &gt; 0 , VLOOKUP("Doom", vote4SURGE!A:C , 3, FALSE), 0 ),
IF(IFERROR(SEARCH("Feast",I27),0) &gt; 0 , VLOOKUP("Feast", vote4SURGE!A:C , 3, FALSE), 0 ),
IF(IFERROR(SEARCH("Fire Breath",I27),0) &gt; 0 , VLOOKUP("Fire Breath", vote4SURGE!A:C , 3, FALSE), 0 ),
IF(IFERROR(SEARCH("Hunt",I27),0) &gt; 0 , VLOOKUP("Hunt", vote4SURGE!A:C , 3, FALSE), 0 ),
IF(IFERROR(SEARCH("Immobilize",I27),0) &gt; 0 , VLOOKUP("Immobilize", vote4SURGE!A:C , 3, FALSE), 0 ),
IF(IFERROR(SEARCH("Knockback",I27),0) &gt; 0 , VLOOKUP("Knockback", vote4SURGE!A:C , 3, FALSE), 0 ),
IF(IFERROR(SEARCH("Lash",I27),0) &gt; 0 , VLOOKUP("Lash", vote4SURGE!A:C , 3, FALSE), 0 ),
IF(IFERROR(SEARCH("Mend 2",I27),0) &gt; 0 , VLOOKUP("Mend 2", vote4SURGE!A:C , 3, FALSE), 0 ),
IF(IFERROR(SEARCH("Mortal Binding",I27),0) &gt; 0 , VLOOKUP("Mortal Binding", vote4SURGE!A:C , 3, FALSE), 0 ),
IF(IFERROR(SEARCH("Poison",I27),0) &gt; 0 , VLOOKUP("Poison", vote4SURGE!A:C , 3, FALSE), 0 ),
IF(IFERROR(SEARCH("Stun",I27),0) &gt; 0 , VLOOKUP("Stun", vote4SURGE!A:C , 3, FALSE), 0 ),
IF(IFERROR(SEARCH("Swarm",I27),0) &gt; 0 , VLOOKUP("Swarm", vote4SURGE!A:C , 3, FALSE), 0 ),
IF(IFERROR(SEARCH("Terrify",I27),0) &gt; 0 , VLOOKUP("Terrify", vote4SURGE!A:C , 3, FALSE), 0 ),
IF(IFERROR(SEARCH("Weaken",I27),0) &gt; 0 , VLOOKUP("Weaken", vote4SURGE!A:C , 3, FALSE), 0 ),
IF(IFERROR(SEARCH("Wither",I27),0) &gt; 0 , VLOOKUP("Wither", vote4SURGE!A:C , 3, FALSE), 0 ),
IFS(
IFERROR(SEARCH("Sorcery 1", I27),0) &gt; 0 ,VLOOKUP("Sorcery 1", vote4SURGE!A:C , 3, FALSE),
IFERROR(SEARCH("Sorcery 2", I27),0) &gt; 0 ,VLOOKUP("Sorcery 2", vote4SURGE!A:C , 3, FALSE),
IFERROR(SEARCH("Sorcery 3", I27),0) &gt; 0,VLOOKUP("Sorcery 3", vote4SURGE!A:C , 3, FALSE),
0=0,0)
,
IFS(
IFERROR(SEARCH("Pierce 1", I27),0) &gt; 0 ,VLOOKUP("Pierce 1", vote4SURGE!A:C , 3, FALSE),
IFERROR(SEARCH("Pierce 2", I27),0) &gt; 0 ,VLOOKUP("Pierce 2", vote4SURGE!A:C , 3, FALSE),
IFERROR(SEARCH("Pierce 3", I27),0) &gt; 0,VLOOKUP("Pierce 3", vote4SURGE!A:C , 3, FALSE),
IFERROR(SEARCH("Pierce 4", I27),0) &gt; 0 ,VLOOKUP("Pierce 4", vote4SURGE!A:C , 3, FALSE),
IFERROR(SEARCH("Pierce 5", I27),0) &gt; 0 ,VLOOKUP("Pierce 5", vote4SURGE!A:C , 3, FALSE),
0=0,0)
,
IFS(
IFERROR(SEARCH("+1 Range, +1 Wound", I27),0) &gt; 0 ,VLOOKUP("+1 Range, +1 Wound", vote4SURGE!A:C , 3, False),
IFERROR(SEARCH("+2 Range, +1 Wound", I27),0) &gt; 0 ,VLOOKUP("+2 Range, +1 Wound", vote4SURGE!A:C , 3, False),
IFERROR(SEARCH("+1 Wound, +1 Wound", I27),0) &gt; 0 ,VLOOKUP("+1 Wound, +1 Wound", vote4SURGE!A:C , 3, False),
IFERROR(SEARCH("+2 Wounds, +2 Wounds", I27),0) &gt; 0 ,VLOOKUP("+2 Wounds, +2 Wounds", vote4SURGE!A:C , 3, False),
IFERROR(SEARCH("+1 Wound", I27),0) &gt; 0 ,VLOOKUP("+1 Wound", vote4SURGE!A:C , 3, False),
IFERROR(SEARCH("+2 Wounds", I27),0) &gt; 0 ,VLOOKUP("+2 Wounds", vote4SURGE!A:C , 3, False),
IFERROR(SEARCH("+3 Wounds", I27),0) &gt; 0,VLOOKUP("+3 Wounds", vote4SURGE!A:C , 3, False),
IFERROR(SEARCH("+4 Wounds", I27),0) &gt; 0 ,VLOOKUP("+4 Wounds", vote4SURGE!A:C , 3, False),
0=0,0)
,
IFS(
IFERROR(SEARCH("+1 Range", I27),0) &gt; 0 ,VLOOKUP("+1 Range", vote4SURGE!A:C , 3, FALSE),
IFERROR(SEARCH("+2 Range", I27),0) &gt; 0 ,VLOOKUP("+2 Range", vote4SURGE!A:C , 3, FALSE),
IFERROR(SEARCH("+3 Range", I27),0) &gt; 0,VLOOKUP("+3 Range", vote4SURGE!A:C , 3, FALSE),
IFERROR(SEARCH("+4 Range", I27),0) &gt; 0,VLOOKUP("+4 Range", vote4SURGE!A:C , 3, FALSE),
0=0,0),
IFS(
IFERROR(SEARCH("Recover 1 Heart", I27),0) &gt; 0 ,VLOOKUP("Recover 1 Heart", vote4SURGE!A:C , 3, FALSE),
IFERROR(SEARCH("Recover 2 Heart", I27),0) &gt; 0 ,VLOOKUP("Recover 2 Heart", vote4SURGE!A:C , 3, FALSE),
0=0,0),
IFS(
IFERROR(SEARCH("Recover 1 Fatigue", I27),0) &gt; 0,VLOOKUP("Recover 1 Fatigue", vote4SURGE!A:C , 3, FALSE),
IFERROR(SEARCH("Recover 2 Fatigue", I27),0) &gt; 0,VLOOKUP("Recover 2 Fatigue", vote4SURGE!A:C , 3, FALSE),
0=0,0),
IFERROR(VLOOKUP(B27, vote4SURGE!A:C , 3, FALSE),)
)</f>
        <v>0</v>
      </c>
      <c r="K27" s="352"/>
      <c r="L27" s="318">
        <f>SUM(
IF(IFERROR(SEARCH("Black Venom",K27),0) &gt; 0 , VLOOKUP("Black Venom", vote4SURGE!A:C , 3, FALSE) - 2, 0 ),
IF(IFERROR(SEARCH("Bleed",K27),0) &gt; 0 , VLOOKUP("Bleed", vote4SURGE!A:C , 3, FALSE) - 2, 0 ),
IF(IFERROR(SEARCH("Blast",K27),0) &gt; 0 , VLOOKUP("Blast", vote4SURGE!A:C , 3, FALSE) - 2, 0 ),
IF(IFERROR(SEARCH("Burn",K27),0) &gt; 0 , VLOOKUP("Burn", vote4SURGE!A:C , 3, FALSE) - 2, 0 ),
IF(IFERROR(SEARCH("Charge",K27),0) &gt; 0 , VLOOKUP("Charge", vote4SURGE!A:C , 3, FALSE) - 2, 0 ),
IF(IFERROR(SEARCH("Colonize",K27),0) &gt; 0 , VLOOKUP("Colonize", vote4SURGE!A:C , 3, FALSE) - 2, 0 ),
IF(IFERROR(SEARCH("Curse",K27),0) &gt; 0 , VLOOKUP("Curse", vote4SURGE!A:C , 3, FALSE) - 2, 0 ),
IF(IFERROR(SEARCH("Disease",K27),0) &gt; 0 , VLOOKUP("Disease", vote4SURGE!A:C , 3, FALSE) - 2, 0 ),
IF(IFERROR(SEARCH("Doom",K27),0) &gt; 0 , VLOOKUP("Doom", vote4SURGE!A:C , 3, FALSE) - 2, 0 ),
IF(IFERROR(SEARCH("Feast",K27),0) &gt; 0 , VLOOKUP("Feast", vote4SURGE!A:C , 3, FALSE) - 2, 0 ),
IF(IFERROR(SEARCH("Fire Breath",K27),0) &gt; 0 , VLOOKUP("Fire Breath", vote4SURGE!A:C , 3, FALSE) - 2, 0 ),
IF(IFERROR(SEARCH("Hunt",K27),0) &gt; 0 , VLOOKUP("Hunt", vote4SURGE!A:C , 3, FALSE) - 2, 0 ),
IF(IFERROR(SEARCH("Immobilize",K27),0) &gt; 0 , VLOOKUP("Immobilize", vote4SURGE!A:C , 3, FALSE) - 2, 0 ),
IF(IFERROR(SEARCH("Knockback",K27),0) &gt; 0 , VLOOKUP("Knockback", vote4SURGE!A:C , 3, FALSE) - 2, 0 ),
IF(IFERROR(SEARCH("Lash",K27),0) &gt; 0 , VLOOKUP("Lash", vote4SURGE!A:C , 3, FALSE) - 2, 0 ),
IF(IFERROR(SEARCH("Mend 2",K27),0) &gt; 0 , VLOOKUP("Mend 2", vote4SURGE!A:C , 3, FALSE) - 2, 0 ),
IF(IFERROR(SEARCH("Mortal Binding",K27),0) &gt; 0 , VLOOKUP("Mortal Binding", vote4SURGE!A:C , 3, FALSE) - 2, 0 ),
IF(IFERROR(SEARCH("Poison",K27),0) &gt; 0 , VLOOKUP("Poison", vote4SURGE!A:C , 3, FALSE) - 2, 0 ),
IF(IFERROR(SEARCH("Stun",K27),0) &gt; 0 , VLOOKUP("Stun", vote4SURGE!A:C , 3, FALSE) - 2, 0 ),
IF(IFERROR(SEARCH("Swarm",K27),0) &gt; 0 , VLOOKUP("Swarm", vote4SURGE!A:C , 3, FALSE) - 2, 0 ),
IF(IFERROR(SEARCH("Terrify",K27),0) &gt; 0 , VLOOKUP("Terrify", vote4SURGE!A:C , 3, FALSE) - 2, 0 ),
IF(IFERROR(SEARCH("Weaken",K27),0) &gt; 0 , VLOOKUP("Weaken", vote4SURGE!A:C , 3, FALSE) - 2, 0 ),
IF(IFERROR(SEARCH("Wither",K27),0) &gt; 0 , VLOOKUP("Wither", vote4SURGE!A:C , 3, FALSE) - 2, 0 ),
IFS(
IFERROR(SEARCH("Sorcery 1", K27),0) &gt; 0 ,VLOOKUP("Sorcery 1", vote4SURGE!A:C , 3, FALSE) - 2,
IFERROR(SEARCH("Sorcery 2", K27),0) &gt; 0 ,VLOOKUP("Sorcery 2", vote4SURGE!A:C , 3, FALSE) - 2,
IFERROR(SEARCH("Sorcery 3", K27),0) &gt; 0,VLOOKUP("Sorcery 3", vote4SURGE!A:C , 3, FALSE) - 2,
0=0,0)
,
IFS(
IFERROR(SEARCH("Pierce 1", K27),0) &gt; 0 ,VLOOKUP("Pierce 1", vote4SURGE!A:C , 3, FALSE) - 2,
IFERROR(SEARCH("Pierce 2", K27),0) &gt; 0 ,VLOOKUP("Pierce 2", vote4SURGE!A:C , 3, FALSE) - 2,
IFERROR(SEARCH("Pierce 3", K27),0) &gt; 0,VLOOKUP("Pierce 3", vote4SURGE!A:C , 3, FALSE) - 2,
IFERROR(SEARCH("Pierce 4", K27),0) &gt; 0 ,VLOOKUP("Pierce 4", vote4SURGE!A:C , 3, FALSE) - 2,
0=0,0)
,
IFS(
IFERROR(SEARCH("+1 Wound, +1 Wound", K27),0) &gt; 0 ,VLOOKUP("+1 Wound, +1 Wound", vote4SURGE!A:C , 3, False) - 2,
IFERROR(SEARCH("+2 Wounds, +2 Wounds", K27),0) &gt; 0 ,VLOOKUP("+2 Wounds, +2 Wounds", vote4SURGE!A:C , 3, False)- 2,
IFERROR(SEARCH("+1 Wound", K27),0) &gt; 0 ,VLOOKUP("+1 Wound", vote4SURGE!A:C , 3, False)- 2,
IFERROR(SEARCH("+2 Wounds", K27),0) &gt; 0 ,VLOOKUP("+2 Wounds", vote4SURGE!A:C , 3, False)- 2,
IFERROR(SEARCH("+3 Wounds", K27),0) &gt; 0,VLOOKUP("+3 Wounds", vote4SURGE!A:C , 3, False)- 2,
IFERROR(SEARCH("+4 Wounds", K27),0) &gt; 0 ,VLOOKUP("+4 Wounds", vote4SURGE!A:C , 3, False)- 2,
IFERROR(SEARCH("+4 Wounds", K27),0) &gt; 0 ,VLOOKUP("+5 Wounds", vote4SURGE!A:C , 3, False)- 2,
0=0,0)
,
IFS(
IFERROR(SEARCH("+1 Range", K27),0) &gt; 0 ,VLOOKUP("+1 Range", vote4SURGE!A:C , 3, FALSE) - 2,
IFERROR(SEARCH("+2 Range", K27),0) &gt; 0 ,VLOOKUP("+2 Range", vote4SURGE!A:C , 3, FALSE) - 2,
IFERROR(SEARCH("+3 Range", K27),0) &gt; 0,VLOOKUP("+3 Range", vote4SURGE!A:C , 3, FALSE) - 2,
0=0,0)
)</f>
        <v>0</v>
      </c>
      <c r="M27" s="318">
        <f t="shared" si="1"/>
        <v>3.5</v>
      </c>
      <c r="N27" s="322"/>
      <c r="O27" s="322"/>
      <c r="P27" s="322"/>
      <c r="Q27" s="322"/>
      <c r="R27" s="322"/>
      <c r="S27" s="322"/>
      <c r="T27" s="322"/>
    </row>
    <row r="28">
      <c r="A28" s="105" t="s">
        <v>1689</v>
      </c>
      <c r="B28" s="93" t="s">
        <v>946</v>
      </c>
      <c r="C28" s="93"/>
      <c r="D28" s="315" t="str">
        <f>IFERROR(__xludf.DUMMYFUNCTION(" IF(ISBLANK(C28),,
SWITCH(
LEN(C28) - LEN(SUBSTITUTE(C28,"","","""")),
0 , VLOOKUP(C28, Variables!$A:$B, 2, FALSE),
1 , VLOOKUP(index(split(C28 ,"", "", FALSE),1,1), Variables!$A:$B , 2, FALSE) + VLOOKUP(index(split(C28 ,"", "", FALSE),1,2), Variables!$A:"&amp;"$B , 2, FALSE),
2 , VLOOKUP(index(split(C28 ,"", "", FALSE),1,1), Variables!$A:$B , 2, FALSE) + VLOOKUP(index(split(C28 ,"", "", FALSE),1,2), Variables!$A:$B , 2, FALSE) + VLOOKUP(index(split(C28 ,"", "", FALSE),1,3), Variables!$A:$B , 2, FALSE),
3 , VLOO"&amp;"KUP(index(split(C28 ,"", "", FALSE),1,1), Variables!$A:$B , 2, FALSE) + VLOOKUP(index(split(C28 ,"", "", FALSE),1,2), Variables!$A:$B , 2, FALSE) + VLOOKUP(index(split(C28 ,"", "", FALSE),1,3), Variables!$A:$B , 2, FALSE) + VLOOKUP(index(split(C28 ,"", """&amp;", FALSE),1,4), Variables!$A:$B , 2, FALSE),
)
)"),"")</f>
        <v/>
      </c>
      <c r="E28" s="105"/>
      <c r="F28" s="318" t="str">
        <f>IF(E28 = "",,IFERROR(VLOOKUP(B28,vote4ITEMS!$A:$C, 3, FALSE),))</f>
        <v/>
      </c>
      <c r="G28" s="353" t="s">
        <v>1701</v>
      </c>
      <c r="H28" s="318">
        <f>IFERROR(__xludf.DUMMYFUNCTION("IF(ISBLANK(G28),,
IFERROR(
SWITCH(
LEN(G28) - LEN(SUBSTITUTE(G28,"","","""")),
0 , VLOOKUP(G28, vote4TRAITS!$A:$C , 3, FALSE),
1 , VLOOKUP(index(split(G28 ,"", "", FALSE),1,1), vote4TRAITS!$A:$C , 3, FALSE) + VLOOKUP(index(split(G28 ,"", "", FALSE),1,2), "&amp;"vote4TRAITS!$A:$C , 3, FALSE),
2 , VLOOKUP(index(split(G28 ,"", "", FALSE),1,1), vote4TRAITS!$A:$C , 3, FALSE) + VLOOKUP(index(split(G28 ,"", "", FALSE),1,2), vote4TRAITS!$A:$C , 3, FALSE) + VLOOKUP(index(split(G28 ,"", "", FALSE),1,3), vote4TRAITS!$A:$C "&amp;", 3, FALSE),
3 , VLOOKUP(index(split(G28 ,"", "", FALSE),1,1), vote4TRAITS!$A:$C , 3, FALSE) + VLOOKUP(index(split(G28 ,"", "", FALSE),1,2), vote4TRAITS!$A:$C , 3, FALSE) + VLOOKUP(index(split(G28 ,"", "", FALSE),1,3), vote4TRAITS!$A:$C , 3, FALSE) + VLOO"&amp;"KUP(index(split(L40 ,"", "", FALSE),1,4), vote4TRAITS!$A:$C , 3, FALSE)
),
VLOOKUP(B28, vote4TRAITS!$A:$C , 3, FALSE))
)"),1.5)</f>
        <v>1.5</v>
      </c>
      <c r="I28" s="353" t="s">
        <v>1534</v>
      </c>
      <c r="J28" s="318">
        <f>SUM(
IF(IFERROR(SEARCH("Black Venom",I28),0) &gt; 0 , VLOOKUP("Black Venom", vote4SURGE!A:C , 3, FALSE), 0 ),
IF(IFERROR(SEARCH("Bleed",I28),0) &gt; 0 , VLOOKUP("Bleed", vote4SURGE!A:C , 3, FALSE), 0 ),
IF(IFERROR(SEARCH("Blast",I28),0) &gt; 0 , VLOOKUP("Blast", vote4SURGE!A:C , 3, FALSE), 0 ),
IF(IFERROR(SEARCH("Burn",I28),0) &gt; 0 , VLOOKUP("Burn", vote4SURGE!A:C , 3, FALSE), 0 ),
IF(IFERROR(SEARCH("Charge",I28),0) &gt; 0 , VLOOKUP("Charge", vote4SURGE!A:C , 3, FALSE), 0 ),
IF(IFERROR(SEARCH("Colonize",I28),0) &gt; 0 , VLOOKUP("Colonize", vote4SURGE!A:C , 3, FALSE), 0 ),
IF(IFERROR(SEARCH("Curse",I28),0) &gt; 0 , VLOOKUP("Curse", vote4SURGE!A:C , 3, FALSE), 0 ),
IF(IFERROR(SEARCH("Disease",I28),0) &gt; 0 , VLOOKUP("Disease", vote4SURGE!A:C , 3, FALSE), 0 ),
IF(IFERROR(SEARCH("Doom",I28),0) &gt; 0 , VLOOKUP("Doom", vote4SURGE!A:C , 3, FALSE), 0 ),
IF(IFERROR(SEARCH("Feast",I28),0) &gt; 0 , VLOOKUP("Feast", vote4SURGE!A:C , 3, FALSE), 0 ),
IF(IFERROR(SEARCH("Fire Breath",I28),0) &gt; 0 , VLOOKUP("Fire Breath", vote4SURGE!A:C , 3, FALSE), 0 ),
IF(IFERROR(SEARCH("Hunt",I28),0) &gt; 0 , VLOOKUP("Hunt", vote4SURGE!A:C , 3, FALSE), 0 ),
IF(IFERROR(SEARCH("Immobilize",I28),0) &gt; 0 , VLOOKUP("Immobilize", vote4SURGE!A:C , 3, FALSE), 0 ),
IF(IFERROR(SEARCH("Knockback",I28),0) &gt; 0 , VLOOKUP("Knockback", vote4SURGE!A:C , 3, FALSE), 0 ),
IF(IFERROR(SEARCH("Lash",I28),0) &gt; 0 , VLOOKUP("Lash", vote4SURGE!A:C , 3, FALSE), 0 ),
IF(IFERROR(SEARCH("Mend 2",I28),0) &gt; 0 , VLOOKUP("Mend 2", vote4SURGE!A:C , 3, FALSE), 0 ),
IF(IFERROR(SEARCH("Mortal Binding",I28),0) &gt; 0 , VLOOKUP("Mortal Binding", vote4SURGE!A:C , 3, FALSE), 0 ),
IF(IFERROR(SEARCH("Poison",I28),0) &gt; 0 , VLOOKUP("Poison", vote4SURGE!A:C , 3, FALSE), 0 ),
IF(IFERROR(SEARCH("Stun",I28),0) &gt; 0 , VLOOKUP("Stun", vote4SURGE!A:C , 3, FALSE), 0 ),
IF(IFERROR(SEARCH("Swarm",I28),0) &gt; 0 , VLOOKUP("Swarm", vote4SURGE!A:C , 3, FALSE), 0 ),
IF(IFERROR(SEARCH("Terrify",I28),0) &gt; 0 , VLOOKUP("Terrify", vote4SURGE!A:C , 3, FALSE), 0 ),
IF(IFERROR(SEARCH("Weaken",I28),0) &gt; 0 , VLOOKUP("Weaken", vote4SURGE!A:C , 3, FALSE), 0 ),
IF(IFERROR(SEARCH("Wither",I28),0) &gt; 0 , VLOOKUP("Wither", vote4SURGE!A:C , 3, FALSE), 0 ),
IFS(
IFERROR(SEARCH("Sorcery 1", I28),0) &gt; 0 ,VLOOKUP("Sorcery 1", vote4SURGE!A:C , 3, FALSE),
IFERROR(SEARCH("Sorcery 2", I28),0) &gt; 0 ,VLOOKUP("Sorcery 2", vote4SURGE!A:C , 3, FALSE),
IFERROR(SEARCH("Sorcery 3", I28),0) &gt; 0,VLOOKUP("Sorcery 3", vote4SURGE!A:C , 3, FALSE),
0=0,0)
,
IFS(
IFERROR(SEARCH("Pierce 1", I28),0) &gt; 0 ,VLOOKUP("Pierce 1", vote4SURGE!A:C , 3, FALSE),
IFERROR(SEARCH("Pierce 2", I28),0) &gt; 0 ,VLOOKUP("Pierce 2", vote4SURGE!A:C , 3, FALSE),
IFERROR(SEARCH("Pierce 3", I28),0) &gt; 0,VLOOKUP("Pierce 3", vote4SURGE!A:C , 3, FALSE),
IFERROR(SEARCH("Pierce 4", I28),0) &gt; 0 ,VLOOKUP("Pierce 4", vote4SURGE!A:C , 3, FALSE),
IFERROR(SEARCH("Pierce 5", I28),0) &gt; 0 ,VLOOKUP("Pierce 5", vote4SURGE!A:C , 3, FALSE),
0=0,0)
,
IFS(
IFERROR(SEARCH("+1 Range, +1 Wound", I28),0) &gt; 0 ,VLOOKUP("+1 Range, +1 Wound", vote4SURGE!A:C , 3, False),
IFERROR(SEARCH("+2 Range, +1 Wound", I28),0) &gt; 0 ,VLOOKUP("+2 Range, +1 Wound", vote4SURGE!A:C , 3, False),
IFERROR(SEARCH("+1 Wound, +1 Wound", I28),0) &gt; 0 ,VLOOKUP("+1 Wound, +1 Wound", vote4SURGE!A:C , 3, False),
IFERROR(SEARCH("+2 Wounds, +2 Wounds", I28),0) &gt; 0 ,VLOOKUP("+2 Wounds, +2 Wounds", vote4SURGE!A:C , 3, False),
IFERROR(SEARCH("+1 Wound", I28),0) &gt; 0 ,VLOOKUP("+1 Wound", vote4SURGE!A:C , 3, False),
IFERROR(SEARCH("+2 Wounds", I28),0) &gt; 0 ,VLOOKUP("+2 Wounds", vote4SURGE!A:C , 3, False),
IFERROR(SEARCH("+3 Wounds", I28),0) &gt; 0,VLOOKUP("+3 Wounds", vote4SURGE!A:C , 3, False),
IFERROR(SEARCH("+4 Wounds", I28),0) &gt; 0 ,VLOOKUP("+4 Wounds", vote4SURGE!A:C , 3, False),
0=0,0)
,
IFS(
IFERROR(SEARCH("+1 Range", I28),0) &gt; 0 ,VLOOKUP("+1 Range", vote4SURGE!A:C , 3, FALSE),
IFERROR(SEARCH("+2 Range", I28),0) &gt; 0 ,VLOOKUP("+2 Range", vote4SURGE!A:C , 3, FALSE),
IFERROR(SEARCH("+3 Range", I28),0) &gt; 0,VLOOKUP("+3 Range", vote4SURGE!A:C , 3, FALSE),
IFERROR(SEARCH("+4 Range", I28),0) &gt; 0,VLOOKUP("+4 Range", vote4SURGE!A:C , 3, FALSE),
0=0,0),
IFS(
IFERROR(SEARCH("Recover 1 Heart", I28),0) &gt; 0 ,VLOOKUP("Recover 1 Heart", vote4SURGE!A:C , 3, FALSE),
IFERROR(SEARCH("Recover 2 Heart", I28),0) &gt; 0 ,VLOOKUP("Recover 2 Heart", vote4SURGE!A:C , 3, FALSE),
0=0,0),
IFS(
IFERROR(SEARCH("Recover 1 Fatigue", I28),0) &gt; 0,VLOOKUP("Recover 1 Fatigue", vote4SURGE!A:C , 3, FALSE),
IFERROR(SEARCH("Recover 2 Fatigue", I28),0) &gt; 0,VLOOKUP("Recover 2 Fatigue", vote4SURGE!A:C , 3, FALSE),
0=0,0),
IFERROR(VLOOKUP(B28, vote4SURGE!A:C , 3, FALSE),)
)</f>
        <v>4.25</v>
      </c>
      <c r="K28" s="352"/>
      <c r="L28" s="318">
        <f>SUM(
IF(IFERROR(SEARCH("Black Venom",K28),0) &gt; 0 , VLOOKUP("Black Venom", vote4SURGE!A:C , 3, FALSE) - 2, 0 ),
IF(IFERROR(SEARCH("Bleed",K28),0) &gt; 0 , VLOOKUP("Bleed", vote4SURGE!A:C , 3, FALSE) - 2, 0 ),
IF(IFERROR(SEARCH("Blast",K28),0) &gt; 0 , VLOOKUP("Blast", vote4SURGE!A:C , 3, FALSE) - 2, 0 ),
IF(IFERROR(SEARCH("Burn",K28),0) &gt; 0 , VLOOKUP("Burn", vote4SURGE!A:C , 3, FALSE) - 2, 0 ),
IF(IFERROR(SEARCH("Charge",K28),0) &gt; 0 , VLOOKUP("Charge", vote4SURGE!A:C , 3, FALSE) - 2, 0 ),
IF(IFERROR(SEARCH("Colonize",K28),0) &gt; 0 , VLOOKUP("Colonize", vote4SURGE!A:C , 3, FALSE) - 2, 0 ),
IF(IFERROR(SEARCH("Curse",K28),0) &gt; 0 , VLOOKUP("Curse", vote4SURGE!A:C , 3, FALSE) - 2, 0 ),
IF(IFERROR(SEARCH("Disease",K28),0) &gt; 0 , VLOOKUP("Disease", vote4SURGE!A:C , 3, FALSE) - 2, 0 ),
IF(IFERROR(SEARCH("Doom",K28),0) &gt; 0 , VLOOKUP("Doom", vote4SURGE!A:C , 3, FALSE) - 2, 0 ),
IF(IFERROR(SEARCH("Feast",K28),0) &gt; 0 , VLOOKUP("Feast", vote4SURGE!A:C , 3, FALSE) - 2, 0 ),
IF(IFERROR(SEARCH("Fire Breath",K28),0) &gt; 0 , VLOOKUP("Fire Breath", vote4SURGE!A:C , 3, FALSE) - 2, 0 ),
IF(IFERROR(SEARCH("Hunt",K28),0) &gt; 0 , VLOOKUP("Hunt", vote4SURGE!A:C , 3, FALSE) - 2, 0 ),
IF(IFERROR(SEARCH("Immobilize",K28),0) &gt; 0 , VLOOKUP("Immobilize", vote4SURGE!A:C , 3, FALSE) - 2, 0 ),
IF(IFERROR(SEARCH("Knockback",K28),0) &gt; 0 , VLOOKUP("Knockback", vote4SURGE!A:C , 3, FALSE) - 2, 0 ),
IF(IFERROR(SEARCH("Lash",K28),0) &gt; 0 , VLOOKUP("Lash", vote4SURGE!A:C , 3, FALSE) - 2, 0 ),
IF(IFERROR(SEARCH("Mend 2",K28),0) &gt; 0 , VLOOKUP("Mend 2", vote4SURGE!A:C , 3, FALSE) - 2, 0 ),
IF(IFERROR(SEARCH("Mortal Binding",K28),0) &gt; 0 , VLOOKUP("Mortal Binding", vote4SURGE!A:C , 3, FALSE) - 2, 0 ),
IF(IFERROR(SEARCH("Poison",K28),0) &gt; 0 , VLOOKUP("Poison", vote4SURGE!A:C , 3, FALSE) - 2, 0 ),
IF(IFERROR(SEARCH("Stun",K28),0) &gt; 0 , VLOOKUP("Stun", vote4SURGE!A:C , 3, FALSE) - 2, 0 ),
IF(IFERROR(SEARCH("Swarm",K28),0) &gt; 0 , VLOOKUP("Swarm", vote4SURGE!A:C , 3, FALSE) - 2, 0 ),
IF(IFERROR(SEARCH("Terrify",K28),0) &gt; 0 , VLOOKUP("Terrify", vote4SURGE!A:C , 3, FALSE) - 2, 0 ),
IF(IFERROR(SEARCH("Weaken",K28),0) &gt; 0 , VLOOKUP("Weaken", vote4SURGE!A:C , 3, FALSE) - 2, 0 ),
IF(IFERROR(SEARCH("Wither",K28),0) &gt; 0 , VLOOKUP("Wither", vote4SURGE!A:C , 3, FALSE) - 2, 0 ),
IFS(
IFERROR(SEARCH("Sorcery 1", K28),0) &gt; 0 ,VLOOKUP("Sorcery 1", vote4SURGE!A:C , 3, FALSE) - 2,
IFERROR(SEARCH("Sorcery 2", K28),0) &gt; 0 ,VLOOKUP("Sorcery 2", vote4SURGE!A:C , 3, FALSE) - 2,
IFERROR(SEARCH("Sorcery 3", K28),0) &gt; 0,VLOOKUP("Sorcery 3", vote4SURGE!A:C , 3, FALSE) - 2,
0=0,0)
,
IFS(
IFERROR(SEARCH("Pierce 1", K28),0) &gt; 0 ,VLOOKUP("Pierce 1", vote4SURGE!A:C , 3, FALSE) - 2,
IFERROR(SEARCH("Pierce 2", K28),0) &gt; 0 ,VLOOKUP("Pierce 2", vote4SURGE!A:C , 3, FALSE) - 2,
IFERROR(SEARCH("Pierce 3", K28),0) &gt; 0,VLOOKUP("Pierce 3", vote4SURGE!A:C , 3, FALSE) - 2,
IFERROR(SEARCH("Pierce 4", K28),0) &gt; 0 ,VLOOKUP("Pierce 4", vote4SURGE!A:C , 3, FALSE) - 2,
0=0,0)
,
IFS(
IFERROR(SEARCH("+1 Wound, +1 Wound", K28),0) &gt; 0 ,VLOOKUP("+1 Wound, +1 Wound", vote4SURGE!A:C , 3, False) - 2,
IFERROR(SEARCH("+2 Wounds, +2 Wounds", K28),0) &gt; 0 ,VLOOKUP("+2 Wounds, +2 Wounds", vote4SURGE!A:C , 3, False)- 2,
IFERROR(SEARCH("+1 Wound", K28),0) &gt; 0 ,VLOOKUP("+1 Wound", vote4SURGE!A:C , 3, False)- 2,
IFERROR(SEARCH("+2 Wounds", K28),0) &gt; 0 ,VLOOKUP("+2 Wounds", vote4SURGE!A:C , 3, False)- 2,
IFERROR(SEARCH("+3 Wounds", K28),0) &gt; 0,VLOOKUP("+3 Wounds", vote4SURGE!A:C , 3, False)- 2,
IFERROR(SEARCH("+4 Wounds", K28),0) &gt; 0 ,VLOOKUP("+4 Wounds", vote4SURGE!A:C , 3, False)- 2,
IFERROR(SEARCH("+4 Wounds", K28),0) &gt; 0 ,VLOOKUP("+5 Wounds", vote4SURGE!A:C , 3, False)- 2,
0=0,0)
,
IFS(
IFERROR(SEARCH("+1 Range", K28),0) &gt; 0 ,VLOOKUP("+1 Range", vote4SURGE!A:C , 3, FALSE) - 2,
IFERROR(SEARCH("+2 Range", K28),0) &gt; 0 ,VLOOKUP("+2 Range", vote4SURGE!A:C , 3, FALSE) - 2,
IFERROR(SEARCH("+3 Range", K28),0) &gt; 0,VLOOKUP("+3 Range", vote4SURGE!A:C , 3, FALSE) - 2,
0=0,0)
)</f>
        <v>0</v>
      </c>
      <c r="M28" s="318">
        <f t="shared" si="1"/>
        <v>5.75</v>
      </c>
      <c r="N28" s="322"/>
      <c r="O28" s="322"/>
      <c r="P28" s="322"/>
      <c r="Q28" s="322"/>
      <c r="R28" s="322"/>
      <c r="S28" s="322"/>
      <c r="T28" s="322"/>
    </row>
    <row r="29">
      <c r="A29" s="322"/>
      <c r="B29" s="322"/>
      <c r="C29" s="322"/>
      <c r="D29" s="341"/>
      <c r="E29" s="322"/>
      <c r="F29" s="341"/>
      <c r="G29" s="322"/>
      <c r="H29" s="341"/>
      <c r="I29" s="322"/>
      <c r="J29" s="341"/>
      <c r="K29" s="322"/>
      <c r="L29" s="341"/>
      <c r="M29" s="322"/>
      <c r="N29" s="322"/>
      <c r="O29" s="322"/>
      <c r="P29" s="322"/>
      <c r="Q29" s="322"/>
      <c r="R29" s="322"/>
      <c r="S29" s="322"/>
      <c r="T29" s="322"/>
    </row>
    <row r="30">
      <c r="A30" s="322"/>
      <c r="B30" s="322"/>
      <c r="C30" s="322"/>
      <c r="D30" s="341"/>
      <c r="E30" s="322"/>
      <c r="F30" s="341"/>
      <c r="G30" s="322"/>
      <c r="H30" s="341"/>
      <c r="I30" s="322"/>
      <c r="J30" s="341"/>
      <c r="K30" s="322"/>
      <c r="L30" s="341"/>
      <c r="M30" s="322"/>
      <c r="N30" s="322"/>
      <c r="O30" s="322"/>
      <c r="P30" s="322"/>
      <c r="Q30" s="322"/>
      <c r="R30" s="322"/>
      <c r="S30" s="322"/>
      <c r="T30" s="322"/>
    </row>
    <row r="31">
      <c r="A31" s="322"/>
      <c r="B31" s="322"/>
      <c r="C31" s="322"/>
      <c r="D31" s="341"/>
      <c r="E31" s="322"/>
      <c r="F31" s="341"/>
      <c r="G31" s="322"/>
      <c r="H31" s="341"/>
      <c r="I31" s="322"/>
      <c r="J31" s="341"/>
      <c r="K31" s="322"/>
      <c r="L31" s="341"/>
      <c r="M31" s="322"/>
      <c r="N31" s="322"/>
      <c r="O31" s="322"/>
      <c r="P31" s="322"/>
      <c r="Q31" s="322"/>
      <c r="R31" s="322"/>
      <c r="S31" s="322"/>
      <c r="T31" s="322"/>
    </row>
    <row r="32">
      <c r="A32" s="322"/>
      <c r="B32" s="322"/>
      <c r="C32" s="322"/>
      <c r="D32" s="341"/>
      <c r="E32" s="322"/>
      <c r="F32" s="341"/>
      <c r="G32" s="340"/>
      <c r="H32" s="341"/>
      <c r="I32" s="322"/>
      <c r="J32" s="341"/>
      <c r="K32" s="322"/>
      <c r="L32" s="341"/>
      <c r="M32" s="322"/>
      <c r="N32" s="322"/>
      <c r="O32" s="322"/>
      <c r="P32" s="322"/>
      <c r="Q32" s="322"/>
      <c r="R32" s="322"/>
      <c r="S32" s="322"/>
      <c r="T32" s="322"/>
    </row>
    <row r="33">
      <c r="A33" s="322"/>
      <c r="B33" s="322"/>
      <c r="C33" s="322"/>
      <c r="D33" s="341"/>
      <c r="E33" s="322"/>
      <c r="F33" s="341"/>
      <c r="G33" s="322"/>
      <c r="H33" s="341"/>
      <c r="I33" s="340"/>
      <c r="J33" s="341"/>
      <c r="K33" s="322"/>
      <c r="L33" s="341"/>
      <c r="M33" s="322"/>
      <c r="N33" s="322"/>
      <c r="O33" s="322"/>
      <c r="P33" s="322"/>
      <c r="Q33" s="322"/>
      <c r="R33" s="322"/>
      <c r="S33" s="322"/>
      <c r="T33" s="322"/>
    </row>
    <row r="34">
      <c r="A34" s="322"/>
      <c r="B34" s="322"/>
      <c r="C34" s="322"/>
      <c r="D34" s="341"/>
      <c r="E34" s="322"/>
      <c r="F34" s="341"/>
      <c r="G34" s="155"/>
      <c r="H34" s="341"/>
      <c r="I34" s="155"/>
      <c r="J34" s="341"/>
      <c r="K34" s="355"/>
      <c r="L34" s="341"/>
      <c r="M34" s="322"/>
      <c r="N34" s="322"/>
      <c r="O34" s="322"/>
      <c r="P34" s="322"/>
      <c r="Q34" s="322"/>
      <c r="R34" s="322"/>
      <c r="S34" s="322"/>
      <c r="T34" s="322"/>
    </row>
    <row r="35">
      <c r="A35" s="322"/>
      <c r="B35" s="322"/>
      <c r="C35" s="322"/>
      <c r="D35" s="341"/>
      <c r="E35" s="322"/>
      <c r="F35" s="341"/>
      <c r="G35" s="322"/>
      <c r="H35" s="341"/>
      <c r="I35" s="322"/>
      <c r="J35" s="341"/>
      <c r="K35" s="322"/>
      <c r="L35" s="341"/>
      <c r="M35" s="322"/>
      <c r="N35" s="322"/>
      <c r="O35" s="322"/>
      <c r="P35" s="322"/>
      <c r="Q35" s="322"/>
      <c r="R35" s="322"/>
      <c r="S35" s="322"/>
      <c r="T35" s="322"/>
    </row>
    <row r="36">
      <c r="A36" s="322"/>
      <c r="B36" s="322"/>
      <c r="C36" s="322"/>
      <c r="D36" s="341"/>
      <c r="E36" s="322"/>
      <c r="F36" s="341"/>
      <c r="G36" s="322"/>
      <c r="H36" s="341"/>
      <c r="I36" s="322"/>
      <c r="J36" s="341"/>
      <c r="K36" s="322"/>
      <c r="L36" s="341"/>
      <c r="M36" s="322"/>
      <c r="N36" s="322"/>
      <c r="O36" s="322"/>
      <c r="P36" s="322"/>
      <c r="Q36" s="322"/>
      <c r="R36" s="322"/>
      <c r="S36" s="322"/>
      <c r="T36" s="322"/>
    </row>
    <row r="37">
      <c r="A37" s="322"/>
      <c r="B37" s="322"/>
      <c r="C37" s="322"/>
      <c r="D37" s="341"/>
      <c r="E37" s="322"/>
      <c r="F37" s="341"/>
      <c r="G37" s="322"/>
      <c r="H37" s="341"/>
      <c r="I37" s="322"/>
      <c r="J37" s="341"/>
      <c r="K37" s="322"/>
      <c r="L37" s="341"/>
      <c r="M37" s="322"/>
      <c r="N37" s="322"/>
      <c r="O37" s="322"/>
      <c r="P37" s="322"/>
      <c r="Q37" s="322"/>
      <c r="R37" s="322"/>
      <c r="S37" s="322"/>
      <c r="T37" s="322"/>
    </row>
    <row r="38">
      <c r="A38" s="322"/>
      <c r="B38" s="322"/>
      <c r="C38" s="322"/>
      <c r="D38" s="341"/>
      <c r="E38" s="322"/>
      <c r="F38" s="341"/>
      <c r="G38" s="322"/>
      <c r="H38" s="341"/>
      <c r="I38" s="322"/>
      <c r="J38" s="341"/>
      <c r="K38" s="322"/>
      <c r="L38" s="341"/>
      <c r="M38" s="322"/>
      <c r="N38" s="322"/>
      <c r="O38" s="322"/>
      <c r="P38" s="322"/>
      <c r="Q38" s="322"/>
      <c r="R38" s="322"/>
      <c r="S38" s="322"/>
      <c r="T38" s="322"/>
    </row>
    <row r="39">
      <c r="A39" s="322"/>
      <c r="B39" s="322"/>
      <c r="C39" s="322"/>
      <c r="D39" s="341"/>
      <c r="E39" s="322"/>
      <c r="F39" s="341"/>
      <c r="G39" s="322"/>
      <c r="H39" s="341"/>
      <c r="I39" s="322"/>
      <c r="J39" s="341"/>
      <c r="K39" s="322"/>
      <c r="L39" s="341"/>
      <c r="M39" s="322"/>
      <c r="N39" s="322"/>
      <c r="O39" s="322"/>
      <c r="P39" s="322"/>
      <c r="Q39" s="322"/>
      <c r="R39" s="322"/>
      <c r="S39" s="322"/>
      <c r="T39" s="322"/>
    </row>
    <row r="40">
      <c r="A40" s="322"/>
      <c r="B40" s="322"/>
      <c r="C40" s="322"/>
      <c r="D40" s="341"/>
      <c r="E40" s="322"/>
      <c r="F40" s="341"/>
      <c r="G40" s="322"/>
      <c r="H40" s="341"/>
      <c r="I40" s="322"/>
      <c r="J40" s="341"/>
      <c r="K40" s="322"/>
      <c r="L40" s="341"/>
      <c r="M40" s="322"/>
      <c r="N40" s="322"/>
      <c r="O40" s="322"/>
      <c r="P40" s="322"/>
      <c r="Q40" s="322"/>
      <c r="R40" s="322"/>
      <c r="S40" s="322"/>
      <c r="T40" s="322"/>
    </row>
    <row r="41">
      <c r="A41" s="322"/>
      <c r="B41" s="322"/>
      <c r="C41" s="322"/>
      <c r="D41" s="341"/>
      <c r="E41" s="322"/>
      <c r="F41" s="341"/>
      <c r="G41" s="322"/>
      <c r="H41" s="341"/>
      <c r="I41" s="322"/>
      <c r="J41" s="341"/>
      <c r="K41" s="322"/>
      <c r="L41" s="341"/>
      <c r="M41" s="322"/>
      <c r="N41" s="322"/>
      <c r="O41" s="322"/>
      <c r="P41" s="322"/>
      <c r="Q41" s="322"/>
      <c r="R41" s="322"/>
      <c r="S41" s="322"/>
      <c r="T41" s="322"/>
    </row>
    <row r="42">
      <c r="A42" s="322"/>
      <c r="B42" s="322"/>
      <c r="C42" s="322"/>
      <c r="D42" s="341"/>
      <c r="E42" s="322"/>
      <c r="F42" s="341"/>
      <c r="G42" s="322"/>
      <c r="H42" s="341"/>
      <c r="I42" s="322"/>
      <c r="J42" s="341"/>
      <c r="K42" s="322"/>
      <c r="L42" s="341"/>
      <c r="M42" s="322"/>
      <c r="N42" s="322"/>
      <c r="O42" s="322"/>
      <c r="P42" s="322"/>
      <c r="Q42" s="322"/>
      <c r="R42" s="322"/>
      <c r="S42" s="322"/>
      <c r="T42" s="322"/>
    </row>
    <row r="43">
      <c r="A43" s="322"/>
      <c r="B43" s="322"/>
      <c r="C43" s="322"/>
      <c r="D43" s="341"/>
      <c r="E43" s="322"/>
      <c r="F43" s="341"/>
      <c r="G43" s="322"/>
      <c r="H43" s="341"/>
      <c r="I43" s="322"/>
      <c r="J43" s="341"/>
      <c r="K43" s="322"/>
      <c r="L43" s="341"/>
      <c r="M43" s="322"/>
      <c r="N43" s="322"/>
      <c r="O43" s="322"/>
      <c r="P43" s="322"/>
      <c r="Q43" s="322"/>
      <c r="R43" s="322"/>
      <c r="S43" s="322"/>
      <c r="T43" s="322"/>
    </row>
    <row r="44">
      <c r="A44" s="322"/>
      <c r="B44" s="322"/>
      <c r="C44" s="322"/>
      <c r="D44" s="341"/>
      <c r="E44" s="340"/>
      <c r="F44" s="341"/>
      <c r="G44" s="155"/>
      <c r="H44" s="341"/>
      <c r="I44" s="155"/>
      <c r="J44" s="341"/>
      <c r="K44" s="355"/>
      <c r="L44" s="341"/>
      <c r="M44" s="322"/>
      <c r="N44" s="322"/>
      <c r="O44" s="322"/>
      <c r="P44" s="322"/>
      <c r="Q44" s="322"/>
      <c r="R44" s="322"/>
      <c r="S44" s="322"/>
      <c r="T44" s="322"/>
    </row>
    <row r="45">
      <c r="A45" s="322"/>
      <c r="B45" s="322"/>
      <c r="C45" s="322"/>
      <c r="D45" s="341"/>
      <c r="E45" s="322"/>
      <c r="F45" s="341"/>
      <c r="G45" s="322"/>
      <c r="H45" s="341"/>
      <c r="I45" s="322"/>
      <c r="J45" s="341"/>
      <c r="K45" s="322"/>
      <c r="L45" s="341"/>
      <c r="M45" s="322"/>
      <c r="N45" s="322"/>
      <c r="O45" s="322"/>
      <c r="P45" s="322"/>
      <c r="Q45" s="322"/>
      <c r="R45" s="322"/>
      <c r="S45" s="322"/>
      <c r="T45" s="322"/>
    </row>
    <row r="46">
      <c r="A46" s="322"/>
      <c r="B46" s="322"/>
      <c r="C46" s="322"/>
      <c r="D46" s="341"/>
      <c r="E46" s="322"/>
      <c r="F46" s="341"/>
      <c r="G46" s="322"/>
      <c r="H46" s="341"/>
      <c r="I46" s="322"/>
      <c r="J46" s="341"/>
      <c r="K46" s="322"/>
      <c r="L46" s="341"/>
      <c r="M46" s="322"/>
      <c r="N46" s="322"/>
      <c r="O46" s="322"/>
      <c r="P46" s="322"/>
      <c r="Q46" s="322"/>
      <c r="R46" s="322"/>
      <c r="S46" s="322"/>
      <c r="T46" s="322"/>
    </row>
    <row r="47">
      <c r="A47" s="322"/>
      <c r="B47" s="322"/>
      <c r="C47" s="322"/>
      <c r="D47" s="341"/>
      <c r="E47" s="322"/>
      <c r="F47" s="341"/>
      <c r="G47" s="322"/>
      <c r="H47" s="341"/>
      <c r="I47" s="322"/>
      <c r="J47" s="341"/>
      <c r="K47" s="322"/>
      <c r="L47" s="341"/>
      <c r="M47" s="322"/>
      <c r="N47" s="322"/>
      <c r="O47" s="322"/>
      <c r="P47" s="322"/>
      <c r="Q47" s="322"/>
      <c r="R47" s="322"/>
      <c r="S47" s="322"/>
      <c r="T47" s="322"/>
    </row>
    <row r="48">
      <c r="A48" s="322"/>
      <c r="B48" s="322"/>
      <c r="C48" s="322"/>
      <c r="D48" s="341"/>
      <c r="E48" s="322"/>
      <c r="F48" s="341"/>
      <c r="G48" s="155"/>
      <c r="H48" s="341"/>
      <c r="I48" s="154"/>
      <c r="J48" s="341"/>
      <c r="K48" s="355"/>
      <c r="L48" s="341"/>
      <c r="M48" s="322"/>
      <c r="N48" s="322"/>
      <c r="O48" s="322"/>
      <c r="P48" s="322"/>
      <c r="Q48" s="322"/>
      <c r="R48" s="322"/>
      <c r="S48" s="322"/>
      <c r="T48" s="322"/>
    </row>
    <row r="49">
      <c r="A49" s="322"/>
      <c r="B49" s="322"/>
      <c r="C49" s="322"/>
      <c r="D49" s="341"/>
      <c r="E49" s="322"/>
      <c r="F49" s="341"/>
      <c r="G49" s="155"/>
      <c r="H49" s="341"/>
      <c r="I49" s="154"/>
      <c r="J49" s="341"/>
      <c r="K49" s="355"/>
      <c r="L49" s="341"/>
      <c r="M49" s="322"/>
      <c r="N49" s="322"/>
      <c r="O49" s="322"/>
      <c r="P49" s="322"/>
      <c r="Q49" s="322"/>
      <c r="R49" s="322"/>
      <c r="S49" s="322"/>
      <c r="T49" s="322"/>
    </row>
    <row r="50">
      <c r="A50" s="322"/>
      <c r="B50" s="322"/>
      <c r="C50" s="322"/>
      <c r="D50" s="341"/>
      <c r="E50" s="322"/>
      <c r="F50" s="341"/>
      <c r="G50" s="155"/>
      <c r="H50" s="341"/>
      <c r="I50" s="154"/>
      <c r="J50" s="341"/>
      <c r="K50" s="355"/>
      <c r="L50" s="341"/>
      <c r="M50" s="322"/>
      <c r="N50" s="322"/>
      <c r="O50" s="322"/>
      <c r="P50" s="322"/>
      <c r="Q50" s="322"/>
      <c r="R50" s="322"/>
      <c r="S50" s="322"/>
      <c r="T50" s="322"/>
    </row>
    <row r="51">
      <c r="A51" s="322"/>
      <c r="B51" s="322"/>
      <c r="C51" s="322"/>
      <c r="D51" s="341"/>
      <c r="E51" s="322"/>
      <c r="F51" s="341"/>
      <c r="G51" s="322"/>
      <c r="H51" s="341"/>
      <c r="I51" s="322"/>
      <c r="J51" s="341"/>
      <c r="K51" s="322"/>
      <c r="L51" s="341"/>
      <c r="M51" s="322"/>
      <c r="N51" s="322"/>
      <c r="O51" s="322"/>
      <c r="P51" s="322"/>
      <c r="Q51" s="322"/>
      <c r="R51" s="322"/>
      <c r="S51" s="322"/>
      <c r="T51" s="322"/>
    </row>
    <row r="52">
      <c r="A52" s="322"/>
      <c r="B52" s="322"/>
      <c r="C52" s="322"/>
      <c r="D52" s="341"/>
      <c r="E52" s="322"/>
      <c r="F52" s="341"/>
      <c r="G52" s="322"/>
      <c r="H52" s="341"/>
      <c r="I52" s="322"/>
      <c r="J52" s="341"/>
      <c r="K52" s="322"/>
      <c r="L52" s="341"/>
      <c r="M52" s="322"/>
      <c r="N52" s="322"/>
      <c r="O52" s="322"/>
      <c r="P52" s="322"/>
      <c r="Q52" s="322"/>
      <c r="R52" s="322"/>
      <c r="S52" s="322"/>
      <c r="T52" s="322"/>
    </row>
    <row r="53">
      <c r="A53" s="322"/>
      <c r="B53" s="322"/>
      <c r="C53" s="322"/>
      <c r="D53" s="341"/>
      <c r="E53" s="322"/>
      <c r="F53" s="341"/>
      <c r="G53" s="322"/>
      <c r="H53" s="341"/>
      <c r="I53" s="322"/>
      <c r="J53" s="341"/>
      <c r="K53" s="322"/>
      <c r="L53" s="341"/>
      <c r="M53" s="322"/>
      <c r="N53" s="322"/>
      <c r="O53" s="322"/>
      <c r="P53" s="322"/>
      <c r="Q53" s="322"/>
      <c r="R53" s="322"/>
      <c r="S53" s="322"/>
      <c r="T53" s="322"/>
    </row>
    <row r="54">
      <c r="A54" s="322"/>
      <c r="B54" s="322"/>
      <c r="C54" s="322"/>
      <c r="D54" s="341"/>
      <c r="E54" s="322"/>
      <c r="F54" s="341"/>
      <c r="G54" s="322"/>
      <c r="H54" s="341"/>
      <c r="I54" s="322"/>
      <c r="J54" s="341"/>
      <c r="K54" s="322"/>
      <c r="L54" s="341"/>
      <c r="M54" s="322"/>
      <c r="N54" s="322"/>
      <c r="O54" s="322"/>
      <c r="P54" s="322"/>
      <c r="Q54" s="322"/>
      <c r="R54" s="322"/>
      <c r="S54" s="322"/>
      <c r="T54" s="322"/>
    </row>
    <row r="55">
      <c r="A55" s="322"/>
      <c r="B55" s="322"/>
      <c r="C55" s="322"/>
      <c r="D55" s="341"/>
      <c r="E55" s="322"/>
      <c r="F55" s="341"/>
      <c r="G55" s="322"/>
      <c r="H55" s="341"/>
      <c r="I55" s="322"/>
      <c r="J55" s="341"/>
      <c r="K55" s="322"/>
      <c r="L55" s="341"/>
      <c r="M55" s="322"/>
      <c r="N55" s="322"/>
      <c r="O55" s="322"/>
      <c r="P55" s="322"/>
      <c r="Q55" s="322"/>
      <c r="R55" s="322"/>
      <c r="S55" s="322"/>
      <c r="T55" s="322"/>
    </row>
    <row r="56">
      <c r="A56" s="322"/>
      <c r="B56" s="322"/>
      <c r="C56" s="322"/>
      <c r="D56" s="341"/>
      <c r="E56" s="322"/>
      <c r="F56" s="341"/>
      <c r="G56" s="322"/>
      <c r="H56" s="341"/>
      <c r="I56" s="322"/>
      <c r="J56" s="341"/>
      <c r="K56" s="322"/>
      <c r="L56" s="341"/>
      <c r="M56" s="322"/>
      <c r="N56" s="322"/>
      <c r="O56" s="322"/>
      <c r="P56" s="322"/>
      <c r="Q56" s="322"/>
      <c r="R56" s="322"/>
      <c r="S56" s="322"/>
      <c r="T56" s="322"/>
    </row>
    <row r="57">
      <c r="A57" s="322"/>
      <c r="B57" s="322"/>
      <c r="C57" s="322"/>
      <c r="D57" s="341"/>
      <c r="E57" s="322"/>
      <c r="F57" s="341"/>
      <c r="G57" s="322"/>
      <c r="H57" s="341"/>
      <c r="I57" s="322"/>
      <c r="J57" s="341"/>
      <c r="K57" s="322"/>
      <c r="L57" s="341"/>
      <c r="M57" s="322"/>
      <c r="N57" s="322"/>
      <c r="O57" s="322"/>
      <c r="P57" s="322"/>
      <c r="Q57" s="322"/>
      <c r="R57" s="322"/>
      <c r="S57" s="322"/>
      <c r="T57" s="322"/>
    </row>
    <row r="58">
      <c r="A58" s="322"/>
      <c r="B58" s="322"/>
      <c r="C58" s="322"/>
      <c r="D58" s="341"/>
      <c r="E58" s="322"/>
      <c r="F58" s="341"/>
      <c r="G58" s="322"/>
      <c r="H58" s="341"/>
      <c r="I58" s="322"/>
      <c r="J58" s="341"/>
      <c r="K58" s="322"/>
      <c r="L58" s="341"/>
      <c r="M58" s="322"/>
      <c r="N58" s="322"/>
      <c r="O58" s="322"/>
      <c r="P58" s="322"/>
      <c r="Q58" s="322"/>
      <c r="R58" s="322"/>
      <c r="S58" s="322"/>
      <c r="T58" s="322"/>
    </row>
    <row r="59">
      <c r="A59" s="322"/>
      <c r="B59" s="322"/>
      <c r="C59" s="322"/>
      <c r="D59" s="341"/>
      <c r="E59" s="322"/>
      <c r="F59" s="341"/>
      <c r="G59" s="322"/>
      <c r="H59" s="341"/>
      <c r="I59" s="322"/>
      <c r="J59" s="341"/>
      <c r="K59" s="322"/>
      <c r="L59" s="341"/>
      <c r="M59" s="322"/>
      <c r="N59" s="118"/>
      <c r="O59" s="118"/>
      <c r="P59" s="118"/>
      <c r="Q59" s="118"/>
      <c r="R59" s="118"/>
      <c r="S59" s="118"/>
      <c r="T59" s="118"/>
    </row>
    <row r="60">
      <c r="A60" s="322"/>
      <c r="B60" s="322"/>
      <c r="C60" s="322"/>
      <c r="D60" s="341"/>
      <c r="E60" s="322"/>
      <c r="F60" s="341"/>
      <c r="G60" s="322"/>
      <c r="H60" s="341"/>
      <c r="I60" s="322"/>
      <c r="J60" s="341"/>
      <c r="K60" s="322"/>
      <c r="L60" s="341"/>
      <c r="M60" s="322"/>
      <c r="N60" s="118"/>
      <c r="O60" s="118"/>
      <c r="P60" s="118"/>
      <c r="Q60" s="118"/>
      <c r="R60" s="118"/>
      <c r="S60" s="118"/>
      <c r="T60" s="118"/>
    </row>
    <row r="61">
      <c r="A61" s="322"/>
      <c r="B61" s="322"/>
      <c r="C61" s="322"/>
      <c r="D61" s="341"/>
      <c r="E61" s="322"/>
      <c r="F61" s="341"/>
      <c r="G61" s="322"/>
      <c r="H61" s="341"/>
      <c r="I61" s="322"/>
      <c r="J61" s="341"/>
      <c r="K61" s="322"/>
      <c r="L61" s="341"/>
      <c r="M61" s="322"/>
      <c r="N61" s="118"/>
      <c r="O61" s="118"/>
      <c r="P61" s="118"/>
      <c r="Q61" s="118"/>
      <c r="R61" s="118"/>
      <c r="S61" s="118"/>
      <c r="T61" s="118"/>
    </row>
    <row r="62">
      <c r="A62" s="322"/>
      <c r="B62" s="322"/>
      <c r="C62" s="322"/>
      <c r="D62" s="341"/>
      <c r="E62" s="322"/>
      <c r="F62" s="341"/>
      <c r="G62" s="322"/>
      <c r="H62" s="341"/>
      <c r="I62" s="322"/>
      <c r="J62" s="341"/>
      <c r="K62" s="322"/>
      <c r="L62" s="341"/>
      <c r="M62" s="322"/>
      <c r="N62" s="118"/>
      <c r="O62" s="118"/>
      <c r="P62" s="118"/>
      <c r="Q62" s="118"/>
      <c r="R62" s="118"/>
      <c r="S62" s="118"/>
      <c r="T62" s="118"/>
    </row>
    <row r="63">
      <c r="A63" s="322"/>
      <c r="B63" s="322"/>
      <c r="C63" s="322"/>
      <c r="D63" s="341"/>
      <c r="E63" s="322"/>
      <c r="F63" s="341"/>
      <c r="G63" s="322"/>
      <c r="H63" s="341"/>
      <c r="I63" s="322"/>
      <c r="J63" s="341"/>
      <c r="K63" s="322"/>
      <c r="L63" s="341"/>
      <c r="M63" s="322"/>
      <c r="N63" s="118"/>
      <c r="O63" s="118"/>
      <c r="P63" s="118"/>
      <c r="Q63" s="118"/>
      <c r="R63" s="118"/>
      <c r="S63" s="118"/>
      <c r="T63" s="118"/>
    </row>
    <row r="64">
      <c r="A64" s="322"/>
      <c r="B64" s="322"/>
      <c r="C64" s="322"/>
      <c r="D64" s="341"/>
      <c r="E64" s="322"/>
      <c r="F64" s="341"/>
      <c r="G64" s="322"/>
      <c r="H64" s="341"/>
      <c r="I64" s="340"/>
      <c r="J64" s="341"/>
      <c r="K64" s="322"/>
      <c r="L64" s="341"/>
      <c r="M64" s="322"/>
      <c r="N64" s="118"/>
      <c r="O64" s="118"/>
      <c r="P64" s="118"/>
      <c r="Q64" s="118"/>
      <c r="R64" s="118"/>
      <c r="S64" s="118"/>
      <c r="T64" s="118"/>
    </row>
    <row r="65">
      <c r="A65" s="322"/>
      <c r="B65" s="322"/>
      <c r="C65" s="322"/>
      <c r="D65" s="341"/>
      <c r="E65" s="322"/>
      <c r="F65" s="341"/>
      <c r="G65" s="322"/>
      <c r="H65" s="341"/>
      <c r="I65" s="322"/>
      <c r="J65" s="341"/>
      <c r="K65" s="322"/>
      <c r="L65" s="341"/>
      <c r="M65" s="322"/>
      <c r="N65" s="118"/>
      <c r="O65" s="118"/>
      <c r="P65" s="118"/>
      <c r="Q65" s="118"/>
      <c r="R65" s="118"/>
      <c r="S65" s="118"/>
      <c r="T65" s="118"/>
    </row>
    <row r="66">
      <c r="A66" s="322"/>
      <c r="B66" s="322"/>
      <c r="C66" s="322"/>
      <c r="D66" s="341"/>
      <c r="E66" s="322"/>
      <c r="F66" s="341"/>
      <c r="G66" s="322"/>
      <c r="H66" s="341"/>
      <c r="I66" s="322"/>
      <c r="J66" s="341"/>
      <c r="K66" s="322"/>
      <c r="L66" s="341"/>
      <c r="M66" s="322"/>
      <c r="N66" s="118"/>
      <c r="O66" s="118"/>
      <c r="P66" s="118"/>
      <c r="Q66" s="118"/>
      <c r="R66" s="118"/>
      <c r="S66" s="118"/>
      <c r="T66" s="118"/>
    </row>
    <row r="67">
      <c r="A67" s="322"/>
      <c r="B67" s="322"/>
      <c r="C67" s="322"/>
      <c r="D67" s="341"/>
      <c r="E67" s="322"/>
      <c r="F67" s="341"/>
      <c r="G67" s="322"/>
      <c r="H67" s="341"/>
      <c r="I67" s="322"/>
      <c r="J67" s="341"/>
      <c r="K67" s="322"/>
      <c r="L67" s="341"/>
      <c r="M67" s="322"/>
      <c r="N67" s="118"/>
      <c r="O67" s="118"/>
      <c r="P67" s="118"/>
      <c r="Q67" s="118"/>
      <c r="R67" s="118"/>
      <c r="S67" s="118"/>
      <c r="T67" s="118"/>
    </row>
    <row r="68">
      <c r="A68" s="322"/>
      <c r="B68" s="322"/>
      <c r="C68" s="322"/>
      <c r="D68" s="341"/>
      <c r="E68" s="340"/>
      <c r="F68" s="341"/>
      <c r="G68" s="155"/>
      <c r="H68" s="341"/>
      <c r="I68" s="154"/>
      <c r="J68" s="341"/>
      <c r="K68" s="355"/>
      <c r="L68" s="341"/>
      <c r="M68" s="322"/>
      <c r="N68" s="118"/>
      <c r="O68" s="118"/>
      <c r="P68" s="118"/>
      <c r="Q68" s="118"/>
      <c r="R68" s="118"/>
      <c r="S68" s="118"/>
      <c r="T68" s="118"/>
    </row>
    <row r="69">
      <c r="A69" s="322"/>
      <c r="B69" s="322"/>
      <c r="C69" s="322"/>
      <c r="D69" s="341"/>
      <c r="E69" s="322"/>
      <c r="F69" s="341"/>
      <c r="G69" s="322"/>
      <c r="H69" s="341"/>
      <c r="I69" s="322"/>
      <c r="J69" s="341"/>
      <c r="K69" s="322"/>
      <c r="L69" s="341"/>
      <c r="M69" s="322"/>
      <c r="N69" s="118"/>
      <c r="O69" s="118"/>
      <c r="P69" s="118"/>
      <c r="Q69" s="118"/>
      <c r="R69" s="118"/>
      <c r="S69" s="118"/>
      <c r="T69" s="118"/>
    </row>
    <row r="70">
      <c r="A70" s="322"/>
      <c r="B70" s="322"/>
      <c r="C70" s="322"/>
      <c r="D70" s="341"/>
      <c r="E70" s="322"/>
      <c r="F70" s="341"/>
      <c r="G70" s="322"/>
      <c r="H70" s="341"/>
      <c r="I70" s="322"/>
      <c r="J70" s="341"/>
      <c r="K70" s="322"/>
      <c r="L70" s="341"/>
      <c r="M70" s="322"/>
      <c r="N70" s="118"/>
      <c r="O70" s="118"/>
      <c r="P70" s="118"/>
      <c r="Q70" s="118"/>
      <c r="R70" s="118"/>
      <c r="S70" s="118"/>
      <c r="T70" s="118"/>
    </row>
    <row r="71">
      <c r="A71" s="322"/>
      <c r="B71" s="322"/>
      <c r="C71" s="322"/>
      <c r="D71" s="341"/>
      <c r="E71" s="322"/>
      <c r="F71" s="341"/>
      <c r="G71" s="322"/>
      <c r="H71" s="341"/>
      <c r="I71" s="322"/>
      <c r="J71" s="341"/>
      <c r="K71" s="322"/>
      <c r="L71" s="341"/>
      <c r="M71" s="322"/>
      <c r="N71" s="118"/>
      <c r="O71" s="118"/>
      <c r="P71" s="118"/>
      <c r="Q71" s="118"/>
      <c r="R71" s="118"/>
      <c r="S71" s="118"/>
      <c r="T71" s="118"/>
    </row>
    <row r="72">
      <c r="A72" s="322"/>
      <c r="B72" s="322"/>
      <c r="C72" s="322"/>
      <c r="D72" s="341"/>
      <c r="E72" s="322"/>
      <c r="F72" s="341"/>
      <c r="G72" s="322"/>
      <c r="H72" s="341"/>
      <c r="I72" s="322"/>
      <c r="J72" s="341"/>
      <c r="K72" s="322"/>
      <c r="L72" s="341"/>
      <c r="M72" s="322"/>
      <c r="N72" s="118"/>
      <c r="O72" s="118"/>
      <c r="P72" s="118"/>
      <c r="Q72" s="118"/>
      <c r="R72" s="118"/>
      <c r="S72" s="118"/>
      <c r="T72" s="118"/>
    </row>
    <row r="73">
      <c r="A73" s="322"/>
      <c r="B73" s="322"/>
      <c r="C73" s="322"/>
      <c r="D73" s="341"/>
      <c r="E73" s="340"/>
      <c r="F73" s="341"/>
      <c r="G73" s="322"/>
      <c r="H73" s="341"/>
      <c r="I73" s="340"/>
      <c r="J73" s="341"/>
      <c r="K73" s="322"/>
      <c r="L73" s="341"/>
      <c r="M73" s="322"/>
      <c r="N73" s="118"/>
      <c r="O73" s="118"/>
      <c r="P73" s="118"/>
      <c r="Q73" s="118"/>
      <c r="R73" s="118"/>
      <c r="S73" s="118"/>
      <c r="T73" s="118"/>
    </row>
    <row r="74">
      <c r="A74" s="322"/>
      <c r="B74" s="322"/>
      <c r="C74" s="322"/>
      <c r="D74" s="341"/>
      <c r="E74" s="322"/>
      <c r="F74" s="341"/>
      <c r="G74" s="322"/>
      <c r="H74" s="341"/>
      <c r="I74" s="322"/>
      <c r="J74" s="341"/>
      <c r="K74" s="322"/>
      <c r="L74" s="341"/>
      <c r="M74" s="322"/>
      <c r="N74" s="118"/>
      <c r="O74" s="118"/>
      <c r="P74" s="118"/>
      <c r="Q74" s="118"/>
      <c r="R74" s="118"/>
      <c r="S74" s="118"/>
      <c r="T74" s="118"/>
    </row>
    <row r="75">
      <c r="A75" s="322"/>
      <c r="B75" s="322"/>
      <c r="C75" s="322"/>
      <c r="D75" s="341"/>
      <c r="E75" s="322"/>
      <c r="F75" s="341"/>
      <c r="G75" s="322"/>
      <c r="H75" s="341"/>
      <c r="I75" s="322"/>
      <c r="J75" s="341"/>
      <c r="K75" s="322"/>
      <c r="L75" s="341"/>
      <c r="M75" s="322"/>
      <c r="N75" s="118"/>
      <c r="O75" s="118"/>
      <c r="P75" s="118"/>
      <c r="Q75" s="118"/>
      <c r="R75" s="118"/>
      <c r="S75" s="118"/>
      <c r="T75" s="118"/>
    </row>
    <row r="76">
      <c r="A76" s="322"/>
      <c r="B76" s="322"/>
      <c r="C76" s="322"/>
      <c r="D76" s="341"/>
      <c r="E76" s="322"/>
      <c r="F76" s="341"/>
      <c r="G76" s="322"/>
      <c r="H76" s="341"/>
      <c r="I76" s="322"/>
      <c r="J76" s="341"/>
      <c r="K76" s="322"/>
      <c r="L76" s="341"/>
      <c r="M76" s="322"/>
      <c r="N76" s="118"/>
      <c r="O76" s="118"/>
      <c r="P76" s="118"/>
      <c r="Q76" s="118"/>
      <c r="R76" s="118"/>
      <c r="S76" s="118"/>
      <c r="T76" s="118"/>
    </row>
    <row r="77">
      <c r="A77" s="322"/>
      <c r="B77" s="322"/>
      <c r="C77" s="322"/>
      <c r="D77" s="341"/>
      <c r="E77" s="322"/>
      <c r="F77" s="341"/>
      <c r="G77" s="322"/>
      <c r="H77" s="341"/>
      <c r="I77" s="322"/>
      <c r="J77" s="341"/>
      <c r="K77" s="322"/>
      <c r="L77" s="341"/>
      <c r="M77" s="322"/>
      <c r="N77" s="118"/>
      <c r="O77" s="118"/>
      <c r="P77" s="118"/>
      <c r="Q77" s="118"/>
      <c r="R77" s="118"/>
      <c r="S77" s="118"/>
      <c r="T77" s="118"/>
    </row>
    <row r="78">
      <c r="A78" s="322"/>
      <c r="B78" s="322"/>
      <c r="C78" s="322"/>
      <c r="D78" s="341"/>
      <c r="E78" s="322"/>
      <c r="F78" s="341"/>
      <c r="G78" s="340"/>
      <c r="H78" s="341"/>
      <c r="I78" s="322"/>
      <c r="J78" s="341"/>
      <c r="K78" s="322"/>
      <c r="L78" s="341"/>
      <c r="M78" s="322"/>
      <c r="N78" s="118"/>
      <c r="O78" s="118"/>
      <c r="P78" s="118"/>
      <c r="Q78" s="118"/>
      <c r="R78" s="118"/>
      <c r="S78" s="118"/>
      <c r="T78" s="118"/>
    </row>
    <row r="79">
      <c r="A79" s="322"/>
      <c r="B79" s="322"/>
      <c r="C79" s="322"/>
      <c r="D79" s="341"/>
      <c r="E79" s="322"/>
      <c r="F79" s="341"/>
      <c r="G79" s="322"/>
      <c r="H79" s="341"/>
      <c r="I79" s="322"/>
      <c r="J79" s="341"/>
      <c r="K79" s="322"/>
      <c r="L79" s="341"/>
      <c r="M79" s="322"/>
      <c r="N79" s="118"/>
      <c r="O79" s="118"/>
      <c r="P79" s="118"/>
      <c r="Q79" s="118"/>
      <c r="R79" s="118"/>
      <c r="S79" s="118"/>
      <c r="T79" s="118"/>
    </row>
    <row r="80">
      <c r="A80" s="322"/>
      <c r="B80" s="322"/>
      <c r="C80" s="322"/>
      <c r="D80" s="341"/>
      <c r="E80" s="322"/>
      <c r="F80" s="341"/>
      <c r="G80" s="322"/>
      <c r="H80" s="341"/>
      <c r="I80" s="322"/>
      <c r="J80" s="341"/>
      <c r="K80" s="322"/>
      <c r="L80" s="341"/>
      <c r="M80" s="322"/>
      <c r="N80" s="118"/>
      <c r="O80" s="118"/>
      <c r="P80" s="118"/>
      <c r="Q80" s="118"/>
      <c r="R80" s="118"/>
      <c r="S80" s="118"/>
      <c r="T80" s="118"/>
    </row>
    <row r="81">
      <c r="A81" s="322"/>
      <c r="B81" s="322"/>
      <c r="C81" s="322"/>
      <c r="D81" s="341"/>
      <c r="E81" s="322"/>
      <c r="F81" s="341"/>
      <c r="G81" s="322"/>
      <c r="H81" s="341"/>
      <c r="I81" s="322"/>
      <c r="J81" s="341"/>
      <c r="K81" s="322"/>
      <c r="L81" s="341"/>
      <c r="M81" s="322"/>
      <c r="N81" s="118"/>
      <c r="O81" s="118"/>
      <c r="P81" s="118"/>
      <c r="Q81" s="118"/>
      <c r="R81" s="118"/>
      <c r="S81" s="118"/>
      <c r="T81" s="118"/>
    </row>
    <row r="82">
      <c r="A82" s="322"/>
      <c r="B82" s="322"/>
      <c r="C82" s="322"/>
      <c r="D82" s="341"/>
      <c r="E82" s="322"/>
      <c r="F82" s="341"/>
      <c r="G82" s="322"/>
      <c r="H82" s="341"/>
      <c r="I82" s="322"/>
      <c r="J82" s="341"/>
      <c r="K82" s="322"/>
      <c r="L82" s="341"/>
      <c r="M82" s="322"/>
      <c r="N82" s="118"/>
      <c r="O82" s="118"/>
      <c r="P82" s="118"/>
      <c r="Q82" s="118"/>
      <c r="R82" s="118"/>
      <c r="S82" s="118"/>
      <c r="T82" s="118"/>
    </row>
    <row r="83">
      <c r="A83" s="322"/>
      <c r="B83" s="322"/>
      <c r="C83" s="322"/>
      <c r="D83" s="341"/>
      <c r="E83" s="322"/>
      <c r="F83" s="341"/>
      <c r="G83" s="322"/>
      <c r="H83" s="341"/>
      <c r="I83" s="322"/>
      <c r="J83" s="341"/>
      <c r="K83" s="322"/>
      <c r="L83" s="341"/>
      <c r="M83" s="322"/>
      <c r="N83" s="118"/>
      <c r="O83" s="118"/>
      <c r="P83" s="118"/>
      <c r="Q83" s="118"/>
      <c r="R83" s="118"/>
      <c r="S83" s="118"/>
      <c r="T83" s="118"/>
    </row>
    <row r="84">
      <c r="A84" s="322"/>
      <c r="B84" s="322"/>
      <c r="C84" s="322"/>
      <c r="D84" s="341"/>
      <c r="E84" s="322"/>
      <c r="F84" s="341"/>
      <c r="G84" s="322"/>
      <c r="H84" s="341"/>
      <c r="I84" s="322"/>
      <c r="J84" s="341"/>
      <c r="K84" s="322"/>
      <c r="L84" s="341"/>
      <c r="M84" s="322"/>
      <c r="N84" s="118"/>
      <c r="O84" s="118"/>
      <c r="P84" s="118"/>
      <c r="Q84" s="118"/>
      <c r="R84" s="118"/>
      <c r="S84" s="118"/>
      <c r="T84" s="118"/>
    </row>
    <row r="85">
      <c r="A85" s="322"/>
      <c r="B85" s="322"/>
      <c r="C85" s="322"/>
      <c r="D85" s="341"/>
      <c r="E85" s="322"/>
      <c r="F85" s="341"/>
      <c r="G85" s="322"/>
      <c r="H85" s="341"/>
      <c r="I85" s="322"/>
      <c r="J85" s="341"/>
      <c r="K85" s="322"/>
      <c r="L85" s="341"/>
      <c r="M85" s="322"/>
      <c r="N85" s="118"/>
      <c r="O85" s="118"/>
      <c r="P85" s="118"/>
      <c r="Q85" s="118"/>
      <c r="R85" s="118"/>
      <c r="S85" s="118"/>
      <c r="T85" s="118"/>
    </row>
    <row r="86">
      <c r="A86" s="322"/>
      <c r="B86" s="322"/>
      <c r="C86" s="322"/>
      <c r="D86" s="341"/>
      <c r="E86" s="322"/>
      <c r="F86" s="341"/>
      <c r="G86" s="340"/>
      <c r="H86" s="341"/>
      <c r="I86" s="322"/>
      <c r="J86" s="341"/>
      <c r="K86" s="322"/>
      <c r="L86" s="341"/>
      <c r="M86" s="322"/>
      <c r="N86" s="118"/>
      <c r="O86" s="118"/>
      <c r="P86" s="118"/>
      <c r="Q86" s="118"/>
      <c r="R86" s="118"/>
      <c r="S86" s="118"/>
      <c r="T86" s="118"/>
    </row>
    <row r="87">
      <c r="A87" s="322"/>
      <c r="B87" s="322"/>
      <c r="C87" s="322"/>
      <c r="D87" s="341"/>
      <c r="E87" s="322"/>
      <c r="F87" s="341"/>
      <c r="G87" s="322"/>
      <c r="H87" s="341"/>
      <c r="I87" s="322"/>
      <c r="J87" s="341"/>
      <c r="K87" s="322"/>
      <c r="L87" s="341"/>
      <c r="M87" s="322"/>
      <c r="N87" s="118"/>
      <c r="O87" s="118"/>
      <c r="P87" s="118"/>
      <c r="Q87" s="118"/>
      <c r="R87" s="118"/>
      <c r="S87" s="118"/>
      <c r="T87" s="118"/>
    </row>
    <row r="88">
      <c r="A88" s="322"/>
      <c r="B88" s="322"/>
      <c r="C88" s="322"/>
      <c r="D88" s="341"/>
      <c r="E88" s="322"/>
      <c r="F88" s="341"/>
      <c r="G88" s="322"/>
      <c r="H88" s="341"/>
      <c r="I88" s="322"/>
      <c r="J88" s="341"/>
      <c r="K88" s="322"/>
      <c r="L88" s="341"/>
      <c r="M88" s="322"/>
      <c r="N88" s="118"/>
      <c r="O88" s="118"/>
      <c r="P88" s="118"/>
      <c r="Q88" s="118"/>
      <c r="R88" s="118"/>
      <c r="S88" s="118"/>
      <c r="T88" s="118"/>
    </row>
    <row r="89">
      <c r="A89" s="322"/>
      <c r="B89" s="322"/>
      <c r="C89" s="322"/>
      <c r="D89" s="341"/>
      <c r="E89" s="322"/>
      <c r="F89" s="341"/>
      <c r="G89" s="322"/>
      <c r="H89" s="341"/>
      <c r="I89" s="322"/>
      <c r="J89" s="341"/>
      <c r="K89" s="322"/>
      <c r="L89" s="341"/>
      <c r="M89" s="322"/>
      <c r="N89" s="118"/>
      <c r="O89" s="118"/>
      <c r="P89" s="118"/>
      <c r="Q89" s="118"/>
      <c r="R89" s="118"/>
      <c r="S89" s="118"/>
      <c r="T89" s="118"/>
    </row>
    <row r="90">
      <c r="A90" s="322"/>
      <c r="B90" s="322"/>
      <c r="C90" s="322"/>
      <c r="D90" s="341"/>
      <c r="E90" s="322"/>
      <c r="F90" s="341"/>
      <c r="G90" s="322"/>
      <c r="H90" s="341"/>
      <c r="I90" s="322"/>
      <c r="J90" s="341"/>
      <c r="K90" s="322"/>
      <c r="L90" s="341"/>
      <c r="M90" s="322"/>
      <c r="N90" s="118"/>
      <c r="O90" s="118"/>
      <c r="P90" s="118"/>
      <c r="Q90" s="118"/>
      <c r="R90" s="118"/>
      <c r="S90" s="118"/>
      <c r="T90" s="118"/>
    </row>
    <row r="91">
      <c r="A91" s="322"/>
      <c r="B91" s="322"/>
      <c r="C91" s="322"/>
      <c r="D91" s="341"/>
      <c r="E91" s="322"/>
      <c r="F91" s="341"/>
      <c r="G91" s="322"/>
      <c r="H91" s="341"/>
      <c r="I91" s="322"/>
      <c r="J91" s="341"/>
      <c r="K91" s="322"/>
      <c r="L91" s="341"/>
      <c r="M91" s="322"/>
      <c r="N91" s="118"/>
      <c r="O91" s="118"/>
      <c r="P91" s="118"/>
      <c r="Q91" s="118"/>
      <c r="R91" s="118"/>
      <c r="S91" s="118"/>
      <c r="T91" s="118"/>
    </row>
    <row r="92">
      <c r="A92" s="322"/>
      <c r="B92" s="322"/>
      <c r="C92" s="322"/>
      <c r="D92" s="341"/>
      <c r="E92" s="322"/>
      <c r="F92" s="341"/>
      <c r="G92" s="155"/>
      <c r="H92" s="341"/>
      <c r="I92" s="154"/>
      <c r="J92" s="341"/>
      <c r="K92" s="355"/>
      <c r="L92" s="341"/>
      <c r="M92" s="322"/>
      <c r="N92" s="118"/>
      <c r="O92" s="118"/>
      <c r="P92" s="118"/>
      <c r="Q92" s="118"/>
      <c r="R92" s="118"/>
      <c r="S92" s="118"/>
      <c r="T92" s="118"/>
    </row>
    <row r="93">
      <c r="A93" s="322"/>
      <c r="B93" s="322"/>
      <c r="C93" s="322"/>
      <c r="D93" s="341"/>
      <c r="E93" s="322"/>
      <c r="F93" s="341"/>
      <c r="G93" s="322"/>
      <c r="H93" s="341"/>
      <c r="I93" s="322"/>
      <c r="J93" s="341"/>
      <c r="K93" s="322"/>
      <c r="L93" s="341"/>
      <c r="M93" s="322"/>
      <c r="N93" s="118"/>
      <c r="O93" s="118"/>
      <c r="P93" s="118"/>
      <c r="Q93" s="118"/>
      <c r="R93" s="118"/>
      <c r="S93" s="118"/>
      <c r="T93" s="118"/>
    </row>
    <row r="94">
      <c r="A94" s="322"/>
      <c r="B94" s="322"/>
      <c r="C94" s="322"/>
      <c r="D94" s="341"/>
      <c r="E94" s="322"/>
      <c r="F94" s="341"/>
      <c r="G94" s="322"/>
      <c r="H94" s="341"/>
      <c r="I94" s="322"/>
      <c r="J94" s="341"/>
      <c r="K94" s="322"/>
      <c r="L94" s="341"/>
      <c r="M94" s="322"/>
      <c r="N94" s="118"/>
      <c r="O94" s="118"/>
      <c r="P94" s="118"/>
      <c r="Q94" s="118"/>
      <c r="R94" s="118"/>
      <c r="S94" s="118"/>
      <c r="T94" s="118"/>
    </row>
    <row r="95">
      <c r="A95" s="322"/>
      <c r="B95" s="322"/>
      <c r="C95" s="322"/>
      <c r="D95" s="341"/>
      <c r="E95" s="322"/>
      <c r="F95" s="341"/>
      <c r="G95" s="322"/>
      <c r="H95" s="341"/>
      <c r="I95" s="322"/>
      <c r="J95" s="341"/>
      <c r="K95" s="322"/>
      <c r="L95" s="341"/>
      <c r="M95" s="322"/>
      <c r="N95" s="118"/>
      <c r="O95" s="118"/>
      <c r="P95" s="118"/>
      <c r="Q95" s="118"/>
      <c r="R95" s="118"/>
      <c r="S95" s="118"/>
      <c r="T95" s="118"/>
    </row>
    <row r="96">
      <c r="A96" s="322"/>
      <c r="B96" s="322"/>
      <c r="C96" s="322"/>
      <c r="D96" s="341"/>
      <c r="E96" s="322"/>
      <c r="F96" s="341"/>
      <c r="G96" s="322"/>
      <c r="H96" s="341"/>
      <c r="I96" s="322"/>
      <c r="J96" s="341"/>
      <c r="K96" s="322"/>
      <c r="L96" s="341"/>
      <c r="M96" s="322"/>
      <c r="N96" s="118"/>
      <c r="O96" s="118"/>
      <c r="P96" s="118"/>
      <c r="Q96" s="118"/>
      <c r="R96" s="118"/>
      <c r="S96" s="118"/>
      <c r="T96" s="118"/>
    </row>
    <row r="97">
      <c r="A97" s="322"/>
      <c r="B97" s="322"/>
      <c r="C97" s="322"/>
      <c r="D97" s="341"/>
      <c r="E97" s="322"/>
      <c r="F97" s="341"/>
      <c r="G97" s="322"/>
      <c r="H97" s="341"/>
      <c r="I97" s="322"/>
      <c r="J97" s="341"/>
      <c r="K97" s="322"/>
      <c r="L97" s="341"/>
      <c r="M97" s="322"/>
      <c r="N97" s="118"/>
      <c r="O97" s="118"/>
      <c r="P97" s="118"/>
      <c r="Q97" s="118"/>
      <c r="R97" s="118"/>
      <c r="S97" s="118"/>
      <c r="T97" s="118"/>
    </row>
    <row r="98">
      <c r="A98" s="322"/>
      <c r="B98" s="322"/>
      <c r="C98" s="322"/>
      <c r="D98" s="341"/>
      <c r="E98" s="322"/>
      <c r="F98" s="341"/>
      <c r="G98" s="322"/>
      <c r="H98" s="341"/>
      <c r="I98" s="322"/>
      <c r="J98" s="341"/>
      <c r="K98" s="322"/>
      <c r="L98" s="341"/>
      <c r="M98" s="322"/>
      <c r="N98" s="118"/>
      <c r="O98" s="118"/>
      <c r="P98" s="118"/>
      <c r="Q98" s="118"/>
      <c r="R98" s="118"/>
      <c r="S98" s="118"/>
      <c r="T98" s="118"/>
    </row>
    <row r="99">
      <c r="A99" s="322"/>
      <c r="B99" s="322"/>
      <c r="C99" s="322"/>
      <c r="D99" s="341"/>
      <c r="E99" s="322"/>
      <c r="F99" s="341"/>
      <c r="G99" s="322"/>
      <c r="H99" s="341"/>
      <c r="I99" s="322"/>
      <c r="J99" s="341"/>
      <c r="K99" s="322"/>
      <c r="L99" s="341"/>
      <c r="M99" s="322"/>
      <c r="N99" s="118"/>
      <c r="O99" s="118"/>
      <c r="P99" s="118"/>
      <c r="Q99" s="118"/>
      <c r="R99" s="118"/>
      <c r="S99" s="118"/>
      <c r="T99" s="118"/>
    </row>
    <row r="100">
      <c r="A100" s="322"/>
      <c r="B100" s="322"/>
      <c r="C100" s="322"/>
      <c r="D100" s="341"/>
      <c r="E100" s="322"/>
      <c r="F100" s="341"/>
      <c r="G100" s="322"/>
      <c r="H100" s="341"/>
      <c r="I100" s="322"/>
      <c r="J100" s="341"/>
      <c r="K100" s="322"/>
      <c r="L100" s="341"/>
      <c r="M100" s="322"/>
      <c r="N100" s="118"/>
      <c r="O100" s="118"/>
      <c r="P100" s="118"/>
      <c r="Q100" s="118"/>
      <c r="R100" s="118"/>
      <c r="S100" s="118"/>
      <c r="T100" s="118"/>
    </row>
    <row r="101">
      <c r="A101" s="322"/>
      <c r="B101" s="322"/>
      <c r="C101" s="322"/>
      <c r="D101" s="341"/>
      <c r="E101" s="322"/>
      <c r="F101" s="341"/>
      <c r="G101" s="322"/>
      <c r="H101" s="341"/>
      <c r="I101" s="322"/>
      <c r="J101" s="341"/>
      <c r="K101" s="322"/>
      <c r="L101" s="341"/>
      <c r="M101" s="322"/>
      <c r="N101" s="118"/>
      <c r="O101" s="118"/>
      <c r="P101" s="118"/>
      <c r="Q101" s="118"/>
      <c r="R101" s="118"/>
      <c r="S101" s="118"/>
      <c r="T101" s="118"/>
    </row>
    <row r="102">
      <c r="A102" s="322"/>
      <c r="B102" s="322"/>
      <c r="C102" s="322"/>
      <c r="D102" s="341"/>
      <c r="E102" s="322"/>
      <c r="F102" s="341"/>
      <c r="G102" s="340"/>
      <c r="H102" s="341"/>
      <c r="I102" s="322"/>
      <c r="J102" s="341"/>
      <c r="K102" s="322"/>
      <c r="L102" s="341"/>
      <c r="M102" s="322"/>
      <c r="N102" s="118"/>
      <c r="O102" s="118"/>
      <c r="P102" s="118"/>
      <c r="Q102" s="118"/>
      <c r="R102" s="118"/>
      <c r="S102" s="118"/>
      <c r="T102" s="118"/>
    </row>
    <row r="103">
      <c r="A103" s="322"/>
      <c r="B103" s="322"/>
      <c r="C103" s="322"/>
      <c r="D103" s="341"/>
      <c r="E103" s="322"/>
      <c r="F103" s="341"/>
      <c r="G103" s="322"/>
      <c r="H103" s="341"/>
      <c r="I103" s="322"/>
      <c r="J103" s="341"/>
      <c r="K103" s="322"/>
      <c r="L103" s="341"/>
      <c r="M103" s="322"/>
      <c r="N103" s="118"/>
      <c r="O103" s="118"/>
      <c r="P103" s="118"/>
      <c r="Q103" s="118"/>
      <c r="R103" s="118"/>
      <c r="S103" s="118"/>
      <c r="T103" s="118"/>
    </row>
    <row r="104">
      <c r="A104" s="322"/>
      <c r="B104" s="322"/>
      <c r="C104" s="322"/>
      <c r="D104" s="341"/>
      <c r="E104" s="322"/>
      <c r="F104" s="341"/>
      <c r="G104" s="155"/>
      <c r="H104" s="341"/>
      <c r="I104" s="154"/>
      <c r="J104" s="341"/>
      <c r="K104" s="355"/>
      <c r="L104" s="341"/>
      <c r="M104" s="322"/>
      <c r="N104" s="118"/>
      <c r="O104" s="118"/>
      <c r="P104" s="118"/>
      <c r="Q104" s="118"/>
      <c r="R104" s="118"/>
      <c r="S104" s="118"/>
      <c r="T104" s="118"/>
    </row>
    <row r="105">
      <c r="A105" s="322"/>
      <c r="B105" s="322"/>
      <c r="C105" s="322"/>
      <c r="D105" s="341"/>
      <c r="E105" s="322"/>
      <c r="F105" s="341"/>
      <c r="G105" s="322"/>
      <c r="H105" s="341"/>
      <c r="I105" s="322"/>
      <c r="J105" s="341"/>
      <c r="K105" s="322"/>
      <c r="L105" s="341"/>
      <c r="M105" s="322"/>
      <c r="N105" s="118"/>
      <c r="O105" s="118"/>
      <c r="P105" s="118"/>
      <c r="Q105" s="118"/>
      <c r="R105" s="118"/>
      <c r="S105" s="118"/>
      <c r="T105" s="118"/>
    </row>
    <row r="106">
      <c r="A106" s="322"/>
      <c r="B106" s="322"/>
      <c r="C106" s="322"/>
      <c r="D106" s="341"/>
      <c r="E106" s="322"/>
      <c r="F106" s="341"/>
      <c r="G106" s="322"/>
      <c r="H106" s="341"/>
      <c r="I106" s="322"/>
      <c r="J106" s="341"/>
      <c r="K106" s="322"/>
      <c r="L106" s="341"/>
      <c r="M106" s="322"/>
      <c r="N106" s="118"/>
      <c r="O106" s="118"/>
      <c r="P106" s="118"/>
      <c r="Q106" s="118"/>
      <c r="R106" s="118"/>
      <c r="S106" s="118"/>
      <c r="T106" s="118"/>
    </row>
    <row r="107">
      <c r="A107" s="322"/>
      <c r="B107" s="322"/>
      <c r="C107" s="322"/>
      <c r="D107" s="341"/>
      <c r="E107" s="322"/>
      <c r="F107" s="341"/>
      <c r="G107" s="322"/>
      <c r="H107" s="341"/>
      <c r="I107" s="322"/>
      <c r="J107" s="341"/>
      <c r="K107" s="322"/>
      <c r="L107" s="341"/>
      <c r="M107" s="322"/>
      <c r="N107" s="118"/>
      <c r="O107" s="118"/>
      <c r="P107" s="118"/>
      <c r="Q107" s="118"/>
      <c r="R107" s="118"/>
      <c r="S107" s="118"/>
      <c r="T107" s="118"/>
    </row>
    <row r="108">
      <c r="A108" s="322"/>
      <c r="B108" s="322"/>
      <c r="C108" s="322"/>
      <c r="D108" s="341"/>
      <c r="E108" s="322"/>
      <c r="F108" s="341"/>
      <c r="G108" s="340"/>
      <c r="H108" s="341"/>
      <c r="I108" s="322"/>
      <c r="J108" s="341"/>
      <c r="K108" s="322"/>
      <c r="L108" s="341"/>
      <c r="M108" s="322"/>
      <c r="N108" s="118"/>
      <c r="O108" s="118"/>
      <c r="P108" s="118"/>
      <c r="Q108" s="118"/>
      <c r="R108" s="118"/>
      <c r="S108" s="118"/>
      <c r="T108" s="118"/>
    </row>
    <row r="109">
      <c r="A109" s="322"/>
      <c r="B109" s="322"/>
      <c r="C109" s="322"/>
      <c r="D109" s="341"/>
      <c r="E109" s="322"/>
      <c r="F109" s="341"/>
      <c r="G109" s="322"/>
      <c r="H109" s="341"/>
      <c r="I109" s="322"/>
      <c r="J109" s="341"/>
      <c r="K109" s="322"/>
      <c r="L109" s="341"/>
      <c r="M109" s="322"/>
      <c r="N109" s="118"/>
      <c r="O109" s="118"/>
      <c r="P109" s="118"/>
      <c r="Q109" s="118"/>
      <c r="R109" s="118"/>
      <c r="S109" s="118"/>
      <c r="T109" s="118"/>
    </row>
    <row r="110">
      <c r="A110" s="322"/>
      <c r="B110" s="322"/>
      <c r="C110" s="322"/>
      <c r="D110" s="341"/>
      <c r="E110" s="322"/>
      <c r="F110" s="341"/>
      <c r="G110" s="322"/>
      <c r="H110" s="341"/>
      <c r="I110" s="322"/>
      <c r="J110" s="341"/>
      <c r="K110" s="322"/>
      <c r="L110" s="341"/>
      <c r="M110" s="322"/>
      <c r="N110" s="118"/>
      <c r="O110" s="118"/>
      <c r="P110" s="118"/>
      <c r="Q110" s="118"/>
      <c r="R110" s="118"/>
      <c r="S110" s="118"/>
      <c r="T110" s="118"/>
    </row>
    <row r="111">
      <c r="A111" s="322"/>
      <c r="B111" s="322"/>
      <c r="C111" s="322"/>
      <c r="D111" s="341"/>
      <c r="E111" s="322"/>
      <c r="F111" s="341"/>
      <c r="G111" s="322"/>
      <c r="H111" s="341"/>
      <c r="I111" s="322"/>
      <c r="J111" s="341"/>
      <c r="K111" s="322"/>
      <c r="L111" s="341"/>
      <c r="M111" s="322"/>
      <c r="N111" s="118"/>
      <c r="O111" s="118"/>
      <c r="P111" s="118"/>
      <c r="Q111" s="118"/>
      <c r="R111" s="118"/>
      <c r="S111" s="118"/>
      <c r="T111" s="118"/>
    </row>
    <row r="112">
      <c r="A112" s="322"/>
      <c r="B112" s="322"/>
      <c r="C112" s="322"/>
      <c r="D112" s="341"/>
      <c r="E112" s="322"/>
      <c r="F112" s="341"/>
      <c r="G112" s="322"/>
      <c r="H112" s="341"/>
      <c r="I112" s="322"/>
      <c r="J112" s="341"/>
      <c r="K112" s="322"/>
      <c r="L112" s="341"/>
      <c r="M112" s="322"/>
      <c r="N112" s="118"/>
      <c r="O112" s="118"/>
      <c r="P112" s="118"/>
      <c r="Q112" s="118"/>
      <c r="R112" s="118"/>
      <c r="S112" s="118"/>
      <c r="T112" s="118"/>
    </row>
    <row r="113">
      <c r="A113" s="322"/>
      <c r="B113" s="322"/>
      <c r="C113" s="322"/>
      <c r="D113" s="341"/>
      <c r="E113" s="322"/>
      <c r="F113" s="341"/>
      <c r="G113" s="322"/>
      <c r="H113" s="341"/>
      <c r="I113" s="322"/>
      <c r="J113" s="341"/>
      <c r="K113" s="322"/>
      <c r="L113" s="341"/>
      <c r="M113" s="322"/>
      <c r="N113" s="118"/>
      <c r="O113" s="118"/>
      <c r="P113" s="118"/>
      <c r="Q113" s="118"/>
      <c r="R113" s="118"/>
      <c r="S113" s="118"/>
      <c r="T113" s="118"/>
    </row>
    <row r="114">
      <c r="A114" s="322"/>
      <c r="B114" s="322"/>
      <c r="C114" s="322"/>
      <c r="D114" s="341"/>
      <c r="E114" s="322"/>
      <c r="F114" s="341"/>
      <c r="G114" s="322"/>
      <c r="H114" s="341"/>
      <c r="I114" s="322"/>
      <c r="J114" s="341"/>
      <c r="K114" s="322"/>
      <c r="L114" s="341"/>
      <c r="M114" s="322"/>
      <c r="N114" s="118"/>
      <c r="O114" s="118"/>
      <c r="P114" s="118"/>
      <c r="Q114" s="118"/>
      <c r="R114" s="118"/>
      <c r="S114" s="118"/>
      <c r="T114" s="118"/>
    </row>
    <row r="115">
      <c r="A115" s="322"/>
      <c r="B115" s="322"/>
      <c r="C115" s="322"/>
      <c r="D115" s="341"/>
      <c r="E115" s="322"/>
      <c r="F115" s="341"/>
      <c r="G115" s="322"/>
      <c r="H115" s="341"/>
      <c r="I115" s="322"/>
      <c r="J115" s="341"/>
      <c r="K115" s="322"/>
      <c r="L115" s="341"/>
      <c r="M115" s="322"/>
      <c r="N115" s="118"/>
      <c r="O115" s="118"/>
      <c r="P115" s="118"/>
      <c r="Q115" s="118"/>
      <c r="R115" s="118"/>
      <c r="S115" s="118"/>
      <c r="T115" s="118"/>
    </row>
    <row r="116">
      <c r="A116" s="322"/>
      <c r="B116" s="322"/>
      <c r="C116" s="322"/>
      <c r="D116" s="341"/>
      <c r="E116" s="322"/>
      <c r="F116" s="341"/>
      <c r="G116" s="322"/>
      <c r="H116" s="341"/>
      <c r="I116" s="322"/>
      <c r="J116" s="341"/>
      <c r="K116" s="322"/>
      <c r="L116" s="341"/>
      <c r="M116" s="322"/>
      <c r="N116" s="118"/>
      <c r="O116" s="118"/>
      <c r="P116" s="118"/>
      <c r="Q116" s="118"/>
      <c r="R116" s="118"/>
      <c r="S116" s="118"/>
      <c r="T116" s="118"/>
    </row>
    <row r="117">
      <c r="A117" s="322"/>
      <c r="B117" s="322"/>
      <c r="C117" s="322"/>
      <c r="D117" s="341"/>
      <c r="E117" s="322"/>
      <c r="F117" s="341"/>
      <c r="G117" s="322"/>
      <c r="H117" s="341"/>
      <c r="I117" s="322"/>
      <c r="J117" s="341"/>
      <c r="K117" s="322"/>
      <c r="L117" s="341"/>
      <c r="M117" s="322"/>
      <c r="N117" s="118"/>
      <c r="O117" s="118"/>
      <c r="P117" s="118"/>
      <c r="Q117" s="118"/>
      <c r="R117" s="118"/>
      <c r="S117" s="118"/>
      <c r="T117" s="118"/>
    </row>
    <row r="118">
      <c r="A118" s="322"/>
      <c r="B118" s="322"/>
      <c r="C118" s="322"/>
      <c r="D118" s="341"/>
      <c r="E118" s="322"/>
      <c r="F118" s="341"/>
      <c r="G118" s="322"/>
      <c r="H118" s="341"/>
      <c r="I118" s="322"/>
      <c r="J118" s="341"/>
      <c r="K118" s="322"/>
      <c r="L118" s="341"/>
      <c r="M118" s="322"/>
      <c r="N118" s="118"/>
      <c r="O118" s="118"/>
      <c r="P118" s="118"/>
      <c r="Q118" s="118"/>
      <c r="R118" s="118"/>
      <c r="S118" s="118"/>
      <c r="T118" s="118"/>
    </row>
    <row r="119">
      <c r="A119" s="322"/>
      <c r="B119" s="322"/>
      <c r="C119" s="322"/>
      <c r="D119" s="341"/>
      <c r="E119" s="322"/>
      <c r="F119" s="341"/>
      <c r="G119" s="340"/>
      <c r="H119" s="341"/>
      <c r="I119" s="322"/>
      <c r="J119" s="341"/>
      <c r="K119" s="322"/>
      <c r="L119" s="341"/>
      <c r="M119" s="322"/>
      <c r="N119" s="118"/>
      <c r="O119" s="118"/>
      <c r="P119" s="118"/>
      <c r="Q119" s="118"/>
      <c r="R119" s="118"/>
      <c r="S119" s="118"/>
      <c r="T119" s="118"/>
    </row>
    <row r="120">
      <c r="A120" s="322"/>
      <c r="B120" s="322"/>
      <c r="C120" s="322"/>
      <c r="D120" s="341"/>
      <c r="E120" s="322"/>
      <c r="F120" s="341"/>
      <c r="G120" s="155"/>
      <c r="H120" s="341"/>
      <c r="I120" s="154"/>
      <c r="J120" s="341"/>
      <c r="K120" s="355"/>
      <c r="L120" s="341"/>
      <c r="M120" s="322"/>
      <c r="N120" s="118"/>
      <c r="O120" s="118"/>
      <c r="P120" s="118"/>
      <c r="Q120" s="118"/>
      <c r="R120" s="118"/>
      <c r="S120" s="118"/>
      <c r="T120" s="118"/>
    </row>
    <row r="121">
      <c r="A121" s="322"/>
      <c r="B121" s="322"/>
      <c r="C121" s="322"/>
      <c r="D121" s="341"/>
      <c r="E121" s="322"/>
      <c r="F121" s="341"/>
      <c r="G121" s="322"/>
      <c r="H121" s="341"/>
      <c r="I121" s="322"/>
      <c r="J121" s="341"/>
      <c r="K121" s="322"/>
      <c r="L121" s="341"/>
      <c r="M121" s="322"/>
      <c r="N121" s="118"/>
      <c r="O121" s="118"/>
      <c r="P121" s="118"/>
      <c r="Q121" s="118"/>
      <c r="R121" s="118"/>
      <c r="S121" s="118"/>
      <c r="T121" s="118"/>
    </row>
    <row r="122">
      <c r="A122" s="322"/>
      <c r="B122" s="322"/>
      <c r="C122" s="322"/>
      <c r="D122" s="341"/>
      <c r="E122" s="322"/>
      <c r="F122" s="341"/>
      <c r="G122" s="322"/>
      <c r="H122" s="341"/>
      <c r="I122" s="322"/>
      <c r="J122" s="341"/>
      <c r="K122" s="322"/>
      <c r="L122" s="341"/>
      <c r="M122" s="322"/>
      <c r="N122" s="118"/>
      <c r="O122" s="118"/>
      <c r="P122" s="118"/>
      <c r="Q122" s="118"/>
      <c r="R122" s="118"/>
      <c r="S122" s="118"/>
      <c r="T122" s="118"/>
    </row>
    <row r="123">
      <c r="A123" s="322"/>
      <c r="B123" s="322"/>
      <c r="C123" s="322"/>
      <c r="D123" s="341"/>
      <c r="E123" s="322"/>
      <c r="F123" s="341"/>
      <c r="G123" s="322"/>
      <c r="H123" s="341"/>
      <c r="I123" s="322"/>
      <c r="J123" s="341"/>
      <c r="K123" s="322"/>
      <c r="L123" s="341"/>
      <c r="M123" s="322"/>
      <c r="N123" s="118"/>
      <c r="O123" s="118"/>
      <c r="P123" s="118"/>
      <c r="Q123" s="118"/>
      <c r="R123" s="118"/>
      <c r="S123" s="118"/>
      <c r="T123" s="118"/>
    </row>
    <row r="124">
      <c r="A124" s="322"/>
      <c r="B124" s="322"/>
      <c r="C124" s="322"/>
      <c r="D124" s="341"/>
      <c r="E124" s="322"/>
      <c r="F124" s="341"/>
      <c r="G124" s="322"/>
      <c r="H124" s="341"/>
      <c r="I124" s="322"/>
      <c r="J124" s="341"/>
      <c r="K124" s="322"/>
      <c r="L124" s="341"/>
      <c r="M124" s="322"/>
      <c r="N124" s="118"/>
      <c r="O124" s="118"/>
      <c r="P124" s="118"/>
      <c r="Q124" s="118"/>
      <c r="R124" s="118"/>
      <c r="S124" s="118"/>
      <c r="T124" s="118"/>
    </row>
    <row r="125">
      <c r="A125" s="322"/>
      <c r="B125" s="322"/>
      <c r="C125" s="322"/>
      <c r="D125" s="341"/>
      <c r="E125" s="322"/>
      <c r="F125" s="341"/>
      <c r="G125" s="322"/>
      <c r="H125" s="341"/>
      <c r="I125" s="322"/>
      <c r="J125" s="341"/>
      <c r="K125" s="322"/>
      <c r="L125" s="341"/>
      <c r="M125" s="322"/>
      <c r="N125" s="118"/>
      <c r="O125" s="118"/>
      <c r="P125" s="118"/>
      <c r="Q125" s="118"/>
      <c r="R125" s="118"/>
      <c r="S125" s="118"/>
      <c r="T125" s="118"/>
    </row>
    <row r="126">
      <c r="A126" s="322"/>
      <c r="B126" s="322"/>
      <c r="C126" s="322"/>
      <c r="D126" s="341"/>
      <c r="E126" s="322"/>
      <c r="F126" s="341"/>
      <c r="G126" s="322"/>
      <c r="H126" s="341"/>
      <c r="I126" s="322"/>
      <c r="J126" s="341"/>
      <c r="K126" s="322"/>
      <c r="L126" s="341"/>
      <c r="M126" s="322"/>
      <c r="N126" s="118"/>
      <c r="O126" s="118"/>
      <c r="P126" s="118"/>
      <c r="Q126" s="118"/>
      <c r="R126" s="118"/>
      <c r="S126" s="118"/>
      <c r="T126" s="118"/>
    </row>
    <row r="127">
      <c r="A127" s="322"/>
      <c r="B127" s="322"/>
      <c r="C127" s="322"/>
      <c r="D127" s="341"/>
      <c r="E127" s="322"/>
      <c r="F127" s="341"/>
      <c r="G127" s="322"/>
      <c r="H127" s="341"/>
      <c r="I127" s="322"/>
      <c r="J127" s="341"/>
      <c r="K127" s="322"/>
      <c r="L127" s="341"/>
      <c r="M127" s="322"/>
      <c r="N127" s="118"/>
      <c r="O127" s="118"/>
      <c r="P127" s="118"/>
      <c r="Q127" s="118"/>
      <c r="R127" s="118"/>
      <c r="S127" s="118"/>
      <c r="T127" s="118"/>
    </row>
    <row r="128">
      <c r="A128" s="322"/>
      <c r="B128" s="322"/>
      <c r="C128" s="322"/>
      <c r="D128" s="341"/>
      <c r="E128" s="322"/>
      <c r="F128" s="341"/>
      <c r="G128" s="322"/>
      <c r="H128" s="341"/>
      <c r="I128" s="322"/>
      <c r="J128" s="341"/>
      <c r="K128" s="322"/>
      <c r="L128" s="341"/>
      <c r="M128" s="322"/>
      <c r="N128" s="118"/>
      <c r="O128" s="118"/>
      <c r="P128" s="118"/>
      <c r="Q128" s="118"/>
      <c r="R128" s="118"/>
      <c r="S128" s="118"/>
      <c r="T128" s="118"/>
    </row>
    <row r="129">
      <c r="A129" s="322"/>
      <c r="B129" s="322"/>
      <c r="C129" s="322"/>
      <c r="D129" s="341"/>
      <c r="E129" s="322"/>
      <c r="F129" s="341"/>
      <c r="G129" s="322"/>
      <c r="H129" s="341"/>
      <c r="I129" s="322"/>
      <c r="J129" s="341"/>
      <c r="K129" s="322"/>
      <c r="L129" s="341"/>
      <c r="M129" s="322"/>
      <c r="N129" s="118"/>
      <c r="O129" s="118"/>
      <c r="P129" s="118"/>
      <c r="Q129" s="118"/>
      <c r="R129" s="118"/>
      <c r="S129" s="118"/>
      <c r="T129" s="118"/>
    </row>
    <row r="130">
      <c r="A130" s="322"/>
      <c r="B130" s="322"/>
      <c r="C130" s="322"/>
      <c r="D130" s="341"/>
      <c r="E130" s="322"/>
      <c r="F130" s="341"/>
      <c r="G130" s="322"/>
      <c r="H130" s="341"/>
      <c r="I130" s="322"/>
      <c r="J130" s="341"/>
      <c r="K130" s="322"/>
      <c r="L130" s="341"/>
      <c r="M130" s="322"/>
      <c r="N130" s="118"/>
      <c r="O130" s="118"/>
      <c r="P130" s="118"/>
      <c r="Q130" s="118"/>
      <c r="R130" s="118"/>
      <c r="S130" s="118"/>
      <c r="T130" s="118"/>
    </row>
    <row r="131">
      <c r="A131" s="322"/>
      <c r="B131" s="322"/>
      <c r="C131" s="322"/>
      <c r="D131" s="341"/>
      <c r="E131" s="322"/>
      <c r="F131" s="341"/>
      <c r="G131" s="322"/>
      <c r="H131" s="341"/>
      <c r="I131" s="322"/>
      <c r="J131" s="341"/>
      <c r="K131" s="322"/>
      <c r="L131" s="341"/>
      <c r="M131" s="322"/>
      <c r="N131" s="118"/>
      <c r="O131" s="118"/>
      <c r="P131" s="118"/>
      <c r="Q131" s="118"/>
      <c r="R131" s="118"/>
      <c r="S131" s="118"/>
      <c r="T131" s="118"/>
    </row>
    <row r="132">
      <c r="A132" s="322"/>
      <c r="B132" s="322"/>
      <c r="C132" s="322"/>
      <c r="D132" s="341"/>
      <c r="E132" s="322"/>
      <c r="F132" s="341"/>
      <c r="G132" s="322"/>
      <c r="H132" s="341"/>
      <c r="I132" s="322"/>
      <c r="J132" s="341"/>
      <c r="K132" s="322"/>
      <c r="L132" s="341"/>
      <c r="M132" s="322"/>
      <c r="N132" s="118"/>
      <c r="O132" s="118"/>
      <c r="P132" s="118"/>
      <c r="Q132" s="118"/>
      <c r="R132" s="118"/>
      <c r="S132" s="118"/>
      <c r="T132" s="118"/>
    </row>
    <row r="133">
      <c r="A133" s="322"/>
      <c r="B133" s="322"/>
      <c r="C133" s="322"/>
      <c r="D133" s="341"/>
      <c r="E133" s="322"/>
      <c r="F133" s="341"/>
      <c r="G133" s="322"/>
      <c r="H133" s="341"/>
      <c r="I133" s="322"/>
      <c r="J133" s="341"/>
      <c r="K133" s="322"/>
      <c r="L133" s="341"/>
      <c r="M133" s="322"/>
      <c r="N133" s="118"/>
      <c r="O133" s="118"/>
      <c r="P133" s="118"/>
      <c r="Q133" s="118"/>
      <c r="R133" s="118"/>
      <c r="S133" s="118"/>
      <c r="T133" s="118"/>
    </row>
    <row r="134">
      <c r="A134" s="322"/>
      <c r="B134" s="322"/>
      <c r="C134" s="322"/>
      <c r="D134" s="341"/>
      <c r="E134" s="322"/>
      <c r="F134" s="341"/>
      <c r="G134" s="155"/>
      <c r="H134" s="341"/>
      <c r="I134" s="154"/>
      <c r="J134" s="341"/>
      <c r="K134" s="355"/>
      <c r="L134" s="341"/>
      <c r="M134" s="322"/>
      <c r="N134" s="118"/>
      <c r="O134" s="118"/>
      <c r="P134" s="118"/>
      <c r="Q134" s="118"/>
      <c r="R134" s="118"/>
      <c r="S134" s="118"/>
      <c r="T134" s="118"/>
    </row>
    <row r="135">
      <c r="A135" s="322"/>
      <c r="B135" s="322"/>
      <c r="C135" s="322"/>
      <c r="D135" s="341"/>
      <c r="E135" s="322"/>
      <c r="F135" s="341"/>
      <c r="G135" s="322"/>
      <c r="H135" s="341"/>
      <c r="I135" s="322"/>
      <c r="J135" s="341"/>
      <c r="K135" s="322"/>
      <c r="L135" s="341"/>
      <c r="M135" s="322"/>
      <c r="N135" s="118"/>
      <c r="O135" s="118"/>
      <c r="P135" s="118"/>
      <c r="Q135" s="118"/>
      <c r="R135" s="118"/>
      <c r="S135" s="118"/>
      <c r="T135" s="118"/>
    </row>
    <row r="136">
      <c r="A136" s="322"/>
      <c r="B136" s="322"/>
      <c r="C136" s="322"/>
      <c r="D136" s="341"/>
      <c r="E136" s="322"/>
      <c r="F136" s="341"/>
      <c r="G136" s="155"/>
      <c r="H136" s="341"/>
      <c r="I136" s="155"/>
      <c r="J136" s="341"/>
      <c r="K136" s="355"/>
      <c r="L136" s="341"/>
      <c r="M136" s="322"/>
      <c r="N136" s="118"/>
      <c r="O136" s="118"/>
      <c r="P136" s="118"/>
      <c r="Q136" s="118"/>
      <c r="R136" s="118"/>
      <c r="S136" s="118"/>
      <c r="T136" s="118"/>
    </row>
    <row r="137">
      <c r="A137" s="322"/>
      <c r="B137" s="322"/>
      <c r="C137" s="322"/>
      <c r="D137" s="341"/>
      <c r="E137" s="322"/>
      <c r="F137" s="341"/>
      <c r="G137" s="322"/>
      <c r="H137" s="341"/>
      <c r="I137" s="322"/>
      <c r="J137" s="341"/>
      <c r="K137" s="322"/>
      <c r="L137" s="341"/>
      <c r="M137" s="322"/>
      <c r="N137" s="118"/>
      <c r="O137" s="118"/>
      <c r="P137" s="118"/>
      <c r="Q137" s="118"/>
      <c r="R137" s="118"/>
      <c r="S137" s="118"/>
      <c r="T137" s="118"/>
    </row>
    <row r="138">
      <c r="A138" s="322"/>
      <c r="B138" s="322"/>
      <c r="C138" s="322"/>
      <c r="D138" s="341"/>
      <c r="E138" s="322"/>
      <c r="F138" s="341"/>
      <c r="G138" s="155"/>
      <c r="H138" s="341"/>
      <c r="I138" s="154"/>
      <c r="J138" s="341"/>
      <c r="K138" s="355"/>
      <c r="L138" s="341"/>
      <c r="M138" s="322"/>
      <c r="N138" s="118"/>
      <c r="O138" s="118"/>
      <c r="P138" s="118"/>
      <c r="Q138" s="118"/>
      <c r="R138" s="118"/>
      <c r="S138" s="118"/>
      <c r="T138" s="118"/>
    </row>
    <row r="139">
      <c r="A139" s="322"/>
      <c r="B139" s="322"/>
      <c r="C139" s="322"/>
      <c r="D139" s="341"/>
      <c r="E139" s="322"/>
      <c r="F139" s="341"/>
      <c r="G139" s="340"/>
      <c r="H139" s="341"/>
      <c r="I139" s="322"/>
      <c r="J139" s="341"/>
      <c r="K139" s="322"/>
      <c r="L139" s="341"/>
      <c r="M139" s="322"/>
      <c r="N139" s="118"/>
      <c r="O139" s="118"/>
      <c r="P139" s="118"/>
      <c r="Q139" s="118"/>
      <c r="R139" s="118"/>
      <c r="S139" s="118"/>
      <c r="T139" s="118"/>
    </row>
    <row r="140">
      <c r="A140" s="322"/>
      <c r="B140" s="322"/>
      <c r="C140" s="322"/>
      <c r="D140" s="341"/>
      <c r="E140" s="322"/>
      <c r="F140" s="341"/>
      <c r="G140" s="322"/>
      <c r="H140" s="341"/>
      <c r="I140" s="322"/>
      <c r="J140" s="341"/>
      <c r="K140" s="322"/>
      <c r="L140" s="341"/>
      <c r="M140" s="322"/>
      <c r="N140" s="118"/>
      <c r="O140" s="118"/>
      <c r="P140" s="118"/>
      <c r="Q140" s="118"/>
      <c r="R140" s="118"/>
      <c r="S140" s="118"/>
      <c r="T140" s="118"/>
    </row>
    <row r="141">
      <c r="A141" s="322"/>
      <c r="B141" s="322"/>
      <c r="C141" s="322"/>
      <c r="D141" s="341"/>
      <c r="E141" s="340"/>
      <c r="F141" s="341"/>
      <c r="G141" s="322"/>
      <c r="H141" s="341"/>
      <c r="I141" s="322"/>
      <c r="J141" s="341"/>
      <c r="K141" s="322"/>
      <c r="L141" s="341"/>
      <c r="M141" s="322"/>
      <c r="N141" s="118"/>
      <c r="O141" s="118"/>
      <c r="P141" s="118"/>
      <c r="Q141" s="118"/>
      <c r="R141" s="118"/>
      <c r="S141" s="118"/>
      <c r="T141" s="118"/>
    </row>
    <row r="142">
      <c r="A142" s="322"/>
      <c r="B142" s="322"/>
      <c r="C142" s="322"/>
      <c r="D142" s="341"/>
      <c r="E142" s="322"/>
      <c r="F142" s="341"/>
      <c r="G142" s="322"/>
      <c r="H142" s="341"/>
      <c r="I142" s="322"/>
      <c r="J142" s="341"/>
      <c r="K142" s="322"/>
      <c r="L142" s="341"/>
      <c r="M142" s="322"/>
      <c r="N142" s="118"/>
      <c r="O142" s="118"/>
      <c r="P142" s="118"/>
      <c r="Q142" s="118"/>
      <c r="R142" s="118"/>
      <c r="S142" s="118"/>
      <c r="T142" s="118"/>
    </row>
    <row r="143">
      <c r="A143" s="322"/>
      <c r="B143" s="322"/>
      <c r="C143" s="322"/>
      <c r="D143" s="341"/>
      <c r="E143" s="322"/>
      <c r="F143" s="341"/>
      <c r="G143" s="322"/>
      <c r="H143" s="341"/>
      <c r="I143" s="322"/>
      <c r="J143" s="341"/>
      <c r="K143" s="322"/>
      <c r="L143" s="341"/>
      <c r="M143" s="322"/>
      <c r="N143" s="118"/>
      <c r="O143" s="118"/>
      <c r="P143" s="118"/>
      <c r="Q143" s="118"/>
      <c r="R143" s="118"/>
      <c r="S143" s="118"/>
      <c r="T143" s="118"/>
    </row>
    <row r="144">
      <c r="A144" s="322"/>
      <c r="B144" s="322"/>
      <c r="C144" s="322"/>
      <c r="D144" s="341"/>
      <c r="E144" s="322"/>
      <c r="F144" s="341"/>
      <c r="G144" s="322"/>
      <c r="H144" s="341"/>
      <c r="I144" s="322"/>
      <c r="J144" s="341"/>
      <c r="K144" s="322"/>
      <c r="L144" s="341"/>
      <c r="M144" s="322"/>
      <c r="N144" s="118"/>
      <c r="O144" s="118"/>
      <c r="P144" s="118"/>
      <c r="Q144" s="118"/>
      <c r="R144" s="118"/>
      <c r="S144" s="118"/>
      <c r="T144" s="118"/>
    </row>
    <row r="145">
      <c r="A145" s="322"/>
      <c r="B145" s="322"/>
      <c r="C145" s="322"/>
      <c r="D145" s="341"/>
      <c r="E145" s="322"/>
      <c r="F145" s="341"/>
      <c r="G145" s="322"/>
      <c r="H145" s="341"/>
      <c r="I145" s="322"/>
      <c r="J145" s="341"/>
      <c r="K145" s="322"/>
      <c r="L145" s="341"/>
      <c r="M145" s="322"/>
      <c r="N145" s="118"/>
      <c r="O145" s="118"/>
      <c r="P145" s="118"/>
      <c r="Q145" s="118"/>
      <c r="R145" s="118"/>
      <c r="S145" s="118"/>
      <c r="T145" s="118"/>
    </row>
    <row r="146">
      <c r="A146" s="322"/>
      <c r="B146" s="322"/>
      <c r="C146" s="322"/>
      <c r="D146" s="341"/>
      <c r="E146" s="322"/>
      <c r="F146" s="341"/>
      <c r="G146" s="322"/>
      <c r="H146" s="341"/>
      <c r="I146" s="340"/>
      <c r="J146" s="341"/>
      <c r="K146" s="322"/>
      <c r="L146" s="341"/>
      <c r="M146" s="322"/>
      <c r="N146" s="118"/>
      <c r="O146" s="118"/>
      <c r="P146" s="118"/>
      <c r="Q146" s="118"/>
      <c r="R146" s="118"/>
      <c r="S146" s="118"/>
      <c r="T146" s="118"/>
    </row>
    <row r="147">
      <c r="A147" s="322"/>
      <c r="B147" s="322"/>
      <c r="C147" s="322"/>
      <c r="D147" s="341"/>
      <c r="E147" s="322"/>
      <c r="F147" s="341"/>
      <c r="G147" s="155"/>
      <c r="H147" s="341"/>
      <c r="I147" s="154"/>
      <c r="J147" s="341"/>
      <c r="K147" s="355"/>
      <c r="L147" s="341"/>
      <c r="M147" s="322"/>
      <c r="N147" s="118"/>
      <c r="O147" s="118"/>
      <c r="P147" s="118"/>
      <c r="Q147" s="118"/>
      <c r="R147" s="118"/>
      <c r="S147" s="118"/>
      <c r="T147" s="118"/>
    </row>
    <row r="148">
      <c r="A148" s="322"/>
      <c r="B148" s="322"/>
      <c r="C148" s="322"/>
      <c r="D148" s="341"/>
      <c r="E148" s="322"/>
      <c r="F148" s="341"/>
      <c r="G148" s="322"/>
      <c r="H148" s="341"/>
      <c r="I148" s="322"/>
      <c r="J148" s="341"/>
      <c r="K148" s="322"/>
      <c r="L148" s="341"/>
      <c r="M148" s="322"/>
      <c r="N148" s="118"/>
      <c r="O148" s="118"/>
      <c r="P148" s="118"/>
      <c r="Q148" s="118"/>
      <c r="R148" s="118"/>
      <c r="S148" s="118"/>
      <c r="T148" s="118"/>
    </row>
    <row r="149">
      <c r="A149" s="322"/>
      <c r="B149" s="322"/>
      <c r="C149" s="322"/>
      <c r="D149" s="341"/>
      <c r="E149" s="322"/>
      <c r="F149" s="341"/>
      <c r="G149" s="322"/>
      <c r="H149" s="341"/>
      <c r="I149" s="322"/>
      <c r="J149" s="341"/>
      <c r="K149" s="322"/>
      <c r="L149" s="341"/>
      <c r="M149" s="322"/>
      <c r="N149" s="118"/>
      <c r="O149" s="118"/>
      <c r="P149" s="118"/>
      <c r="Q149" s="118"/>
      <c r="R149" s="118"/>
      <c r="S149" s="118"/>
      <c r="T149" s="118"/>
    </row>
    <row r="150">
      <c r="A150" s="322"/>
      <c r="B150" s="322"/>
      <c r="C150" s="322"/>
      <c r="D150" s="341"/>
      <c r="E150" s="340"/>
      <c r="F150" s="341"/>
      <c r="G150" s="155"/>
      <c r="H150" s="341"/>
      <c r="I150" s="155"/>
      <c r="J150" s="341"/>
      <c r="K150" s="355"/>
      <c r="L150" s="341"/>
      <c r="M150" s="322"/>
      <c r="N150" s="118"/>
      <c r="O150" s="118"/>
      <c r="P150" s="118"/>
      <c r="Q150" s="118"/>
      <c r="R150" s="118"/>
      <c r="S150" s="118"/>
      <c r="T150" s="118"/>
    </row>
    <row r="151">
      <c r="A151" s="322"/>
      <c r="B151" s="322"/>
      <c r="C151" s="322"/>
      <c r="D151" s="341"/>
      <c r="E151" s="322"/>
      <c r="F151" s="341"/>
      <c r="G151" s="322"/>
      <c r="H151" s="341"/>
      <c r="I151" s="322"/>
      <c r="J151" s="341"/>
      <c r="K151" s="322"/>
      <c r="L151" s="341"/>
      <c r="M151" s="322"/>
      <c r="N151" s="118"/>
      <c r="O151" s="118"/>
      <c r="P151" s="118"/>
      <c r="Q151" s="118"/>
      <c r="R151" s="118"/>
      <c r="S151" s="118"/>
      <c r="T151" s="118"/>
    </row>
    <row r="152">
      <c r="A152" s="322"/>
      <c r="B152" s="322"/>
      <c r="C152" s="322"/>
      <c r="D152" s="341"/>
      <c r="E152" s="322"/>
      <c r="F152" s="341"/>
      <c r="G152" s="322"/>
      <c r="H152" s="341"/>
      <c r="I152" s="322"/>
      <c r="J152" s="341"/>
      <c r="K152" s="322"/>
      <c r="L152" s="341"/>
      <c r="M152" s="322"/>
      <c r="N152" s="118"/>
      <c r="O152" s="118"/>
      <c r="P152" s="118"/>
      <c r="Q152" s="118"/>
      <c r="R152" s="118"/>
      <c r="S152" s="118"/>
      <c r="T152" s="118"/>
    </row>
    <row r="153">
      <c r="A153" s="322"/>
      <c r="B153" s="322"/>
      <c r="C153" s="322"/>
      <c r="D153" s="341"/>
      <c r="E153" s="322"/>
      <c r="F153" s="341"/>
      <c r="G153" s="322"/>
      <c r="H153" s="341"/>
      <c r="I153" s="322"/>
      <c r="J153" s="341"/>
      <c r="K153" s="322"/>
      <c r="L153" s="341"/>
      <c r="M153" s="322"/>
      <c r="N153" s="118"/>
      <c r="O153" s="118"/>
      <c r="P153" s="118"/>
      <c r="Q153" s="118"/>
      <c r="R153" s="118"/>
      <c r="S153" s="118"/>
      <c r="T153" s="118"/>
    </row>
    <row r="154">
      <c r="A154" s="322"/>
      <c r="B154" s="322"/>
      <c r="C154" s="322"/>
      <c r="D154" s="341"/>
      <c r="E154" s="322"/>
      <c r="F154" s="341"/>
      <c r="G154" s="322"/>
      <c r="H154" s="341"/>
      <c r="I154" s="322"/>
      <c r="J154" s="341"/>
      <c r="K154" s="322"/>
      <c r="L154" s="341"/>
      <c r="M154" s="322"/>
      <c r="N154" s="118"/>
      <c r="O154" s="118"/>
      <c r="P154" s="118"/>
      <c r="Q154" s="118"/>
      <c r="R154" s="118"/>
      <c r="S154" s="118"/>
      <c r="T154" s="118"/>
    </row>
    <row r="155">
      <c r="A155" s="322"/>
      <c r="B155" s="322"/>
      <c r="C155" s="322"/>
      <c r="D155" s="341"/>
      <c r="E155" s="322"/>
      <c r="F155" s="341"/>
      <c r="G155" s="322"/>
      <c r="H155" s="341"/>
      <c r="I155" s="322"/>
      <c r="J155" s="341"/>
      <c r="K155" s="322"/>
      <c r="L155" s="341"/>
      <c r="M155" s="322"/>
      <c r="N155" s="118"/>
      <c r="O155" s="118"/>
      <c r="P155" s="118"/>
      <c r="Q155" s="118"/>
      <c r="R155" s="118"/>
      <c r="S155" s="118"/>
      <c r="T155" s="118"/>
    </row>
    <row r="156">
      <c r="A156" s="322"/>
      <c r="B156" s="322"/>
      <c r="C156" s="322"/>
      <c r="D156" s="341"/>
      <c r="E156" s="322"/>
      <c r="F156" s="341"/>
      <c r="G156" s="322"/>
      <c r="H156" s="341"/>
      <c r="I156" s="322"/>
      <c r="J156" s="341"/>
      <c r="K156" s="322"/>
      <c r="L156" s="341"/>
      <c r="M156" s="322"/>
      <c r="N156" s="118"/>
      <c r="O156" s="118"/>
      <c r="P156" s="118"/>
      <c r="Q156" s="118"/>
      <c r="R156" s="118"/>
      <c r="S156" s="118"/>
      <c r="T156" s="118"/>
    </row>
    <row r="157">
      <c r="A157" s="322"/>
      <c r="B157" s="322"/>
      <c r="C157" s="322"/>
      <c r="D157" s="341"/>
      <c r="E157" s="322"/>
      <c r="F157" s="341"/>
      <c r="G157" s="155"/>
      <c r="H157" s="341"/>
      <c r="I157" s="154"/>
      <c r="J157" s="341"/>
      <c r="K157" s="355"/>
      <c r="L157" s="341"/>
      <c r="M157" s="322"/>
      <c r="N157" s="118"/>
      <c r="O157" s="118"/>
      <c r="P157" s="118"/>
      <c r="Q157" s="118"/>
      <c r="R157" s="118"/>
      <c r="S157" s="118"/>
      <c r="T157" s="118"/>
    </row>
    <row r="158">
      <c r="A158" s="322"/>
      <c r="B158" s="322"/>
      <c r="C158" s="322"/>
      <c r="D158" s="341"/>
      <c r="E158" s="322"/>
      <c r="F158" s="341"/>
      <c r="G158" s="322"/>
      <c r="H158" s="341"/>
      <c r="I158" s="322"/>
      <c r="J158" s="341"/>
      <c r="K158" s="322"/>
      <c r="L158" s="341"/>
      <c r="M158" s="322"/>
      <c r="N158" s="118"/>
      <c r="O158" s="118"/>
      <c r="P158" s="118"/>
      <c r="Q158" s="118"/>
      <c r="R158" s="118"/>
      <c r="S158" s="118"/>
      <c r="T158" s="118"/>
    </row>
    <row r="159">
      <c r="A159" s="322"/>
      <c r="B159" s="322"/>
      <c r="C159" s="322"/>
      <c r="D159" s="341"/>
      <c r="E159" s="322"/>
      <c r="F159" s="341"/>
      <c r="G159" s="322"/>
      <c r="H159" s="341"/>
      <c r="I159" s="322"/>
      <c r="J159" s="341"/>
      <c r="K159" s="322"/>
      <c r="L159" s="341"/>
      <c r="M159" s="322"/>
      <c r="N159" s="118"/>
      <c r="O159" s="118"/>
      <c r="P159" s="118"/>
      <c r="Q159" s="118"/>
      <c r="R159" s="118"/>
      <c r="S159" s="118"/>
      <c r="T159" s="118"/>
    </row>
    <row r="160">
      <c r="A160" s="322"/>
      <c r="B160" s="322"/>
      <c r="C160" s="322"/>
      <c r="D160" s="341"/>
      <c r="E160" s="322"/>
      <c r="F160" s="341"/>
      <c r="G160" s="322"/>
      <c r="H160" s="341"/>
      <c r="I160" s="322"/>
      <c r="J160" s="341"/>
      <c r="K160" s="322"/>
      <c r="L160" s="341"/>
      <c r="M160" s="322"/>
      <c r="N160" s="118"/>
      <c r="O160" s="118"/>
      <c r="P160" s="118"/>
      <c r="Q160" s="118"/>
      <c r="R160" s="118"/>
      <c r="S160" s="118"/>
      <c r="T160" s="118"/>
    </row>
    <row r="161">
      <c r="A161" s="322"/>
      <c r="B161" s="322"/>
      <c r="C161" s="322"/>
      <c r="D161" s="341"/>
      <c r="E161" s="322"/>
      <c r="F161" s="341"/>
      <c r="G161" s="155"/>
      <c r="H161" s="341"/>
      <c r="I161" s="154"/>
      <c r="J161" s="341"/>
      <c r="K161" s="355"/>
      <c r="L161" s="341"/>
      <c r="M161" s="322"/>
      <c r="N161" s="118"/>
      <c r="O161" s="118"/>
      <c r="P161" s="118"/>
      <c r="Q161" s="118"/>
      <c r="R161" s="118"/>
      <c r="S161" s="118"/>
      <c r="T161" s="118"/>
    </row>
    <row r="162">
      <c r="A162" s="322"/>
      <c r="B162" s="322"/>
      <c r="C162" s="322"/>
      <c r="D162" s="341"/>
      <c r="E162" s="340"/>
      <c r="F162" s="341"/>
      <c r="G162" s="155"/>
      <c r="H162" s="341"/>
      <c r="I162" s="155"/>
      <c r="J162" s="341"/>
      <c r="K162" s="355"/>
      <c r="L162" s="341"/>
      <c r="M162" s="322"/>
      <c r="N162" s="118"/>
      <c r="O162" s="118"/>
      <c r="P162" s="118"/>
      <c r="Q162" s="118"/>
      <c r="R162" s="118"/>
      <c r="S162" s="118"/>
      <c r="T162" s="118"/>
    </row>
    <row r="163">
      <c r="A163" s="322"/>
      <c r="B163" s="322"/>
      <c r="C163" s="322"/>
      <c r="D163" s="341"/>
      <c r="E163" s="340"/>
      <c r="F163" s="341"/>
      <c r="G163" s="155"/>
      <c r="H163" s="341"/>
      <c r="I163" s="154"/>
      <c r="J163" s="341"/>
      <c r="K163" s="355"/>
      <c r="L163" s="341"/>
      <c r="M163" s="322"/>
      <c r="N163" s="118"/>
      <c r="O163" s="118"/>
      <c r="P163" s="118"/>
      <c r="Q163" s="118"/>
      <c r="R163" s="118"/>
      <c r="S163" s="118"/>
      <c r="T163" s="118"/>
    </row>
    <row r="164">
      <c r="A164" s="322"/>
      <c r="B164" s="322"/>
      <c r="C164" s="322"/>
      <c r="D164" s="341"/>
      <c r="E164" s="322"/>
      <c r="F164" s="341"/>
      <c r="G164" s="322"/>
      <c r="H164" s="341"/>
      <c r="I164" s="322"/>
      <c r="J164" s="341"/>
      <c r="K164" s="322"/>
      <c r="L164" s="341"/>
      <c r="M164" s="322"/>
      <c r="N164" s="118"/>
      <c r="O164" s="118"/>
      <c r="P164" s="118"/>
      <c r="Q164" s="118"/>
      <c r="R164" s="118"/>
      <c r="S164" s="118"/>
      <c r="T164" s="118"/>
    </row>
    <row r="165">
      <c r="A165" s="322"/>
      <c r="B165" s="322"/>
      <c r="C165" s="322"/>
      <c r="D165" s="341"/>
      <c r="E165" s="322"/>
      <c r="F165" s="341"/>
      <c r="G165" s="322"/>
      <c r="H165" s="341"/>
      <c r="I165" s="322"/>
      <c r="J165" s="341"/>
      <c r="K165" s="322"/>
      <c r="L165" s="341"/>
      <c r="M165" s="322"/>
      <c r="N165" s="118"/>
      <c r="O165" s="118"/>
      <c r="P165" s="118"/>
      <c r="Q165" s="118"/>
      <c r="R165" s="118"/>
      <c r="S165" s="118"/>
      <c r="T165" s="118"/>
    </row>
    <row r="166">
      <c r="A166" s="322"/>
      <c r="B166" s="322"/>
      <c r="C166" s="322"/>
      <c r="D166" s="341"/>
      <c r="E166" s="322"/>
      <c r="F166" s="341"/>
      <c r="G166" s="322"/>
      <c r="H166" s="341"/>
      <c r="I166" s="322"/>
      <c r="J166" s="341"/>
      <c r="K166" s="322"/>
      <c r="L166" s="341"/>
      <c r="M166" s="322"/>
      <c r="N166" s="118"/>
      <c r="O166" s="118"/>
      <c r="P166" s="118"/>
      <c r="Q166" s="118"/>
      <c r="R166" s="118"/>
      <c r="S166" s="118"/>
      <c r="T166" s="118"/>
    </row>
    <row r="167">
      <c r="A167" s="322"/>
      <c r="B167" s="322"/>
      <c r="C167" s="322"/>
      <c r="D167" s="341"/>
      <c r="E167" s="322"/>
      <c r="F167" s="341"/>
      <c r="G167" s="322"/>
      <c r="H167" s="341"/>
      <c r="I167" s="322"/>
      <c r="J167" s="341"/>
      <c r="K167" s="322"/>
      <c r="L167" s="341"/>
      <c r="M167" s="322"/>
      <c r="N167" s="118"/>
      <c r="O167" s="118"/>
      <c r="P167" s="118"/>
      <c r="Q167" s="118"/>
      <c r="R167" s="118"/>
      <c r="S167" s="118"/>
      <c r="T167" s="118"/>
    </row>
    <row r="168">
      <c r="A168" s="322"/>
      <c r="B168" s="322"/>
      <c r="C168" s="322"/>
      <c r="D168" s="341"/>
      <c r="E168" s="322"/>
      <c r="F168" s="341"/>
      <c r="G168" s="322"/>
      <c r="H168" s="341"/>
      <c r="I168" s="322"/>
      <c r="J168" s="341"/>
      <c r="K168" s="322"/>
      <c r="L168" s="341"/>
      <c r="M168" s="322"/>
      <c r="N168" s="118"/>
      <c r="O168" s="118"/>
      <c r="P168" s="118"/>
      <c r="Q168" s="118"/>
      <c r="R168" s="118"/>
      <c r="S168" s="118"/>
      <c r="T168" s="118"/>
    </row>
    <row r="169">
      <c r="A169" s="322"/>
      <c r="B169" s="322"/>
      <c r="C169" s="322"/>
      <c r="D169" s="341"/>
      <c r="E169" s="322"/>
      <c r="F169" s="341"/>
      <c r="G169" s="322"/>
      <c r="H169" s="341"/>
      <c r="I169" s="322"/>
      <c r="J169" s="341"/>
      <c r="K169" s="322"/>
      <c r="L169" s="341"/>
      <c r="M169" s="322"/>
      <c r="N169" s="118"/>
      <c r="O169" s="118"/>
      <c r="P169" s="118"/>
      <c r="Q169" s="118"/>
      <c r="R169" s="118"/>
      <c r="S169" s="118"/>
      <c r="T169" s="118"/>
    </row>
    <row r="170">
      <c r="A170" s="322"/>
      <c r="B170" s="322"/>
      <c r="C170" s="322"/>
      <c r="D170" s="341"/>
      <c r="E170" s="340"/>
      <c r="F170" s="341"/>
      <c r="G170" s="155"/>
      <c r="H170" s="341"/>
      <c r="I170" s="155"/>
      <c r="J170" s="341"/>
      <c r="K170" s="355"/>
      <c r="L170" s="341"/>
      <c r="M170" s="322"/>
      <c r="N170" s="118"/>
      <c r="O170" s="118"/>
      <c r="P170" s="118"/>
      <c r="Q170" s="118"/>
      <c r="R170" s="118"/>
      <c r="S170" s="118"/>
      <c r="T170" s="118"/>
    </row>
    <row r="171">
      <c r="A171" s="322"/>
      <c r="B171" s="322"/>
      <c r="C171" s="322"/>
      <c r="D171" s="341"/>
      <c r="E171" s="340"/>
      <c r="F171" s="341"/>
      <c r="G171" s="155"/>
      <c r="H171" s="341"/>
      <c r="I171" s="154"/>
      <c r="J171" s="341"/>
      <c r="K171" s="355"/>
      <c r="L171" s="341"/>
      <c r="M171" s="322"/>
      <c r="N171" s="118"/>
      <c r="O171" s="118"/>
      <c r="P171" s="118"/>
      <c r="Q171" s="118"/>
      <c r="R171" s="118"/>
      <c r="S171" s="118"/>
      <c r="T171" s="118"/>
    </row>
    <row r="172">
      <c r="A172" s="322"/>
      <c r="B172" s="322"/>
      <c r="C172" s="322"/>
      <c r="D172" s="341"/>
      <c r="E172" s="322"/>
      <c r="F172" s="341"/>
      <c r="G172" s="340"/>
      <c r="H172" s="341"/>
      <c r="I172" s="322"/>
      <c r="J172" s="341"/>
      <c r="K172" s="322"/>
      <c r="L172" s="341"/>
      <c r="M172" s="322"/>
      <c r="N172" s="118"/>
      <c r="O172" s="118"/>
      <c r="P172" s="118"/>
      <c r="Q172" s="118"/>
      <c r="R172" s="118"/>
      <c r="S172" s="118"/>
      <c r="T172" s="118"/>
    </row>
    <row r="173">
      <c r="A173" s="322"/>
      <c r="B173" s="322"/>
      <c r="C173" s="322"/>
      <c r="D173" s="341"/>
      <c r="E173" s="340"/>
      <c r="F173" s="341"/>
      <c r="G173" s="155"/>
      <c r="H173" s="341"/>
      <c r="I173" s="155"/>
      <c r="J173" s="341"/>
      <c r="K173" s="355"/>
      <c r="L173" s="341"/>
      <c r="M173" s="322"/>
      <c r="N173" s="118"/>
      <c r="O173" s="118"/>
      <c r="P173" s="118"/>
      <c r="Q173" s="118"/>
      <c r="R173" s="118"/>
      <c r="S173" s="118"/>
      <c r="T173" s="118"/>
    </row>
    <row r="174">
      <c r="A174" s="322"/>
      <c r="B174" s="322"/>
      <c r="C174" s="322"/>
      <c r="D174" s="341"/>
      <c r="E174" s="322"/>
      <c r="F174" s="341"/>
      <c r="G174" s="340"/>
      <c r="H174" s="341"/>
      <c r="I174" s="322"/>
      <c r="J174" s="341"/>
      <c r="K174" s="322"/>
      <c r="L174" s="341"/>
      <c r="M174" s="322"/>
      <c r="N174" s="118"/>
      <c r="O174" s="118"/>
      <c r="P174" s="118"/>
      <c r="Q174" s="118"/>
      <c r="R174" s="118"/>
      <c r="S174" s="118"/>
      <c r="T174" s="118"/>
    </row>
    <row r="175">
      <c r="A175" s="322"/>
      <c r="B175" s="322"/>
      <c r="C175" s="322"/>
      <c r="D175" s="341"/>
      <c r="E175" s="322"/>
      <c r="F175" s="341"/>
      <c r="G175" s="155"/>
      <c r="H175" s="341"/>
      <c r="I175" s="154"/>
      <c r="J175" s="341"/>
      <c r="K175" s="355"/>
      <c r="L175" s="341"/>
      <c r="M175" s="322"/>
      <c r="N175" s="118"/>
      <c r="O175" s="118"/>
      <c r="P175" s="118"/>
      <c r="Q175" s="118"/>
      <c r="R175" s="118"/>
      <c r="S175" s="118"/>
      <c r="T175" s="118"/>
    </row>
    <row r="176">
      <c r="A176" s="322"/>
      <c r="B176" s="322"/>
      <c r="C176" s="322"/>
      <c r="D176" s="341"/>
      <c r="E176" s="322"/>
      <c r="F176" s="341"/>
      <c r="G176" s="322"/>
      <c r="H176" s="341"/>
      <c r="I176" s="322"/>
      <c r="J176" s="341"/>
      <c r="K176" s="322"/>
      <c r="L176" s="341"/>
      <c r="M176" s="322"/>
      <c r="N176" s="118"/>
      <c r="O176" s="118"/>
      <c r="P176" s="118"/>
      <c r="Q176" s="118"/>
      <c r="R176" s="118"/>
      <c r="S176" s="118"/>
      <c r="T176" s="118"/>
    </row>
    <row r="177">
      <c r="A177" s="322"/>
      <c r="B177" s="322"/>
      <c r="C177" s="322"/>
      <c r="D177" s="341"/>
      <c r="E177" s="322"/>
      <c r="F177" s="341"/>
      <c r="G177" s="322"/>
      <c r="H177" s="341"/>
      <c r="I177" s="322"/>
      <c r="J177" s="341"/>
      <c r="K177" s="322"/>
      <c r="L177" s="341"/>
      <c r="M177" s="322"/>
      <c r="N177" s="118"/>
      <c r="O177" s="118"/>
      <c r="P177" s="118"/>
      <c r="Q177" s="118"/>
      <c r="R177" s="118"/>
      <c r="S177" s="118"/>
      <c r="T177" s="118"/>
    </row>
    <row r="178">
      <c r="A178" s="322"/>
      <c r="B178" s="322"/>
      <c r="C178" s="322"/>
      <c r="D178" s="341"/>
      <c r="E178" s="322"/>
      <c r="F178" s="341"/>
      <c r="G178" s="322"/>
      <c r="H178" s="341"/>
      <c r="I178" s="322"/>
      <c r="J178" s="341"/>
      <c r="K178" s="322"/>
      <c r="L178" s="341"/>
      <c r="M178" s="322"/>
      <c r="N178" s="118"/>
      <c r="O178" s="118"/>
      <c r="P178" s="118"/>
      <c r="Q178" s="118"/>
      <c r="R178" s="118"/>
      <c r="S178" s="118"/>
      <c r="T178" s="118"/>
    </row>
    <row r="179">
      <c r="A179" s="322"/>
      <c r="B179" s="322"/>
      <c r="C179" s="322"/>
      <c r="D179" s="341"/>
      <c r="E179" s="322"/>
      <c r="F179" s="341"/>
      <c r="G179" s="322"/>
      <c r="H179" s="341"/>
      <c r="I179" s="322"/>
      <c r="J179" s="341"/>
      <c r="K179" s="322"/>
      <c r="L179" s="341"/>
      <c r="M179" s="322"/>
      <c r="N179" s="118"/>
      <c r="O179" s="118"/>
      <c r="P179" s="118"/>
      <c r="Q179" s="118"/>
      <c r="R179" s="118"/>
      <c r="S179" s="118"/>
      <c r="T179" s="118"/>
    </row>
    <row r="180">
      <c r="A180" s="322"/>
      <c r="B180" s="322"/>
      <c r="C180" s="322"/>
      <c r="D180" s="341"/>
      <c r="E180" s="322"/>
      <c r="F180" s="341"/>
      <c r="G180" s="322"/>
      <c r="H180" s="341"/>
      <c r="I180" s="322"/>
      <c r="J180" s="341"/>
      <c r="K180" s="322"/>
      <c r="L180" s="341"/>
      <c r="M180" s="322"/>
      <c r="N180" s="118"/>
      <c r="O180" s="118"/>
      <c r="P180" s="118"/>
      <c r="Q180" s="118"/>
      <c r="R180" s="118"/>
      <c r="S180" s="118"/>
      <c r="T180" s="118"/>
    </row>
    <row r="181">
      <c r="A181" s="322"/>
      <c r="B181" s="322"/>
      <c r="C181" s="322"/>
      <c r="D181" s="341"/>
      <c r="E181" s="322"/>
      <c r="F181" s="341"/>
      <c r="G181" s="155"/>
      <c r="H181" s="341"/>
      <c r="I181" s="154"/>
      <c r="J181" s="341"/>
      <c r="K181" s="355"/>
      <c r="L181" s="341"/>
      <c r="M181" s="322"/>
      <c r="N181" s="118"/>
      <c r="O181" s="118"/>
      <c r="P181" s="118"/>
      <c r="Q181" s="118"/>
      <c r="R181" s="118"/>
      <c r="S181" s="118"/>
      <c r="T181" s="118"/>
    </row>
    <row r="182">
      <c r="A182" s="322"/>
      <c r="B182" s="322"/>
      <c r="C182" s="322"/>
      <c r="D182" s="341"/>
      <c r="E182" s="322"/>
      <c r="F182" s="341"/>
      <c r="G182" s="322"/>
      <c r="H182" s="341"/>
      <c r="I182" s="322"/>
      <c r="J182" s="341"/>
      <c r="K182" s="322"/>
      <c r="L182" s="341"/>
      <c r="M182" s="322"/>
      <c r="N182" s="118"/>
      <c r="O182" s="118"/>
      <c r="P182" s="118"/>
      <c r="Q182" s="118"/>
      <c r="R182" s="118"/>
      <c r="S182" s="118"/>
      <c r="T182" s="118"/>
    </row>
    <row r="183">
      <c r="A183" s="322"/>
      <c r="B183" s="322"/>
      <c r="C183" s="322"/>
      <c r="D183" s="341"/>
      <c r="E183" s="322"/>
      <c r="F183" s="341"/>
      <c r="G183" s="322"/>
      <c r="H183" s="341"/>
      <c r="I183" s="322"/>
      <c r="J183" s="341"/>
      <c r="K183" s="322"/>
      <c r="L183" s="341"/>
      <c r="M183" s="322"/>
      <c r="N183" s="118"/>
      <c r="O183" s="118"/>
      <c r="P183" s="118"/>
      <c r="Q183" s="118"/>
      <c r="R183" s="118"/>
      <c r="S183" s="118"/>
      <c r="T183" s="118"/>
    </row>
    <row r="184">
      <c r="A184" s="322"/>
      <c r="B184" s="322"/>
      <c r="C184" s="322"/>
      <c r="D184" s="341"/>
      <c r="E184" s="340"/>
      <c r="F184" s="341"/>
      <c r="G184" s="155"/>
      <c r="H184" s="341"/>
      <c r="I184" s="154"/>
      <c r="J184" s="341"/>
      <c r="K184" s="356"/>
      <c r="L184" s="341"/>
      <c r="M184" s="322"/>
      <c r="N184" s="118"/>
      <c r="O184" s="118"/>
      <c r="P184" s="118"/>
      <c r="Q184" s="118"/>
      <c r="R184" s="118"/>
      <c r="S184" s="118"/>
      <c r="T184" s="118"/>
    </row>
    <row r="185">
      <c r="A185" s="340"/>
      <c r="B185" s="322"/>
      <c r="C185" s="322"/>
      <c r="D185" s="341"/>
      <c r="E185" s="322"/>
      <c r="F185" s="341"/>
      <c r="G185" s="155"/>
      <c r="H185" s="341"/>
      <c r="I185" s="154"/>
      <c r="J185" s="341"/>
      <c r="K185" s="355"/>
      <c r="L185" s="341"/>
      <c r="M185" s="322"/>
      <c r="N185" s="118"/>
      <c r="O185" s="118"/>
      <c r="P185" s="118"/>
      <c r="Q185" s="118"/>
      <c r="R185" s="118"/>
      <c r="S185" s="118"/>
      <c r="T185" s="118"/>
    </row>
    <row r="186">
      <c r="A186" s="340"/>
      <c r="B186" s="322"/>
      <c r="C186" s="322"/>
      <c r="D186" s="341"/>
      <c r="E186" s="322"/>
      <c r="F186" s="341"/>
      <c r="G186" s="155"/>
      <c r="H186" s="341"/>
      <c r="I186" s="154"/>
      <c r="J186" s="341"/>
      <c r="K186" s="355"/>
      <c r="L186" s="341"/>
      <c r="M186" s="322"/>
      <c r="N186" s="118"/>
      <c r="O186" s="118"/>
      <c r="P186" s="118"/>
      <c r="Q186" s="118"/>
      <c r="R186" s="118"/>
      <c r="S186" s="118"/>
      <c r="T186" s="118"/>
    </row>
    <row r="187">
      <c r="A187" s="340"/>
      <c r="B187" s="322"/>
      <c r="C187" s="322"/>
      <c r="D187" s="341"/>
      <c r="E187" s="322"/>
      <c r="F187" s="341"/>
      <c r="G187" s="155"/>
      <c r="H187" s="341"/>
      <c r="I187" s="155"/>
      <c r="J187" s="341"/>
      <c r="K187" s="355"/>
      <c r="L187" s="341"/>
      <c r="M187" s="322"/>
      <c r="N187" s="118"/>
      <c r="O187" s="118"/>
      <c r="P187" s="118"/>
      <c r="Q187" s="118"/>
      <c r="R187" s="118"/>
      <c r="S187" s="118"/>
      <c r="T187" s="118"/>
    </row>
    <row r="188">
      <c r="A188" s="340"/>
      <c r="B188" s="322"/>
      <c r="C188" s="322"/>
      <c r="D188" s="341"/>
      <c r="E188" s="322"/>
      <c r="F188" s="341"/>
      <c r="G188" s="155"/>
      <c r="H188" s="341"/>
      <c r="I188" s="154"/>
      <c r="J188" s="341"/>
      <c r="K188" s="355"/>
      <c r="L188" s="341"/>
      <c r="M188" s="322"/>
      <c r="N188" s="118"/>
      <c r="O188" s="118"/>
      <c r="P188" s="118"/>
      <c r="Q188" s="118"/>
      <c r="R188" s="118"/>
      <c r="S188" s="118"/>
      <c r="T188" s="118"/>
    </row>
    <row r="189">
      <c r="A189" s="340"/>
      <c r="B189" s="322"/>
      <c r="C189" s="322"/>
      <c r="D189" s="341"/>
      <c r="E189" s="340"/>
      <c r="F189" s="341"/>
      <c r="G189" s="155"/>
      <c r="H189" s="341"/>
      <c r="I189" s="154"/>
      <c r="J189" s="341"/>
      <c r="K189" s="355"/>
      <c r="L189" s="341"/>
      <c r="M189" s="322"/>
      <c r="N189" s="118"/>
      <c r="O189" s="118"/>
      <c r="P189" s="118"/>
      <c r="Q189" s="118"/>
      <c r="R189" s="118"/>
      <c r="S189" s="118"/>
      <c r="T189" s="118"/>
    </row>
    <row r="190">
      <c r="A190" s="340"/>
      <c r="B190" s="322"/>
      <c r="C190" s="322"/>
      <c r="D190" s="341"/>
      <c r="E190" s="340"/>
      <c r="F190" s="341"/>
      <c r="G190" s="155"/>
      <c r="H190" s="341"/>
      <c r="I190" s="155"/>
      <c r="J190" s="341"/>
      <c r="K190" s="355"/>
      <c r="L190" s="341"/>
      <c r="M190" s="322"/>
      <c r="N190" s="118"/>
      <c r="O190" s="118"/>
      <c r="P190" s="118"/>
      <c r="Q190" s="118"/>
      <c r="R190" s="118"/>
      <c r="S190" s="118"/>
      <c r="T190" s="118"/>
    </row>
    <row r="191">
      <c r="A191" s="340"/>
      <c r="B191" s="322"/>
      <c r="C191" s="322"/>
      <c r="D191" s="341"/>
      <c r="E191" s="322"/>
      <c r="F191" s="341"/>
      <c r="G191" s="155"/>
      <c r="H191" s="341"/>
      <c r="I191" s="154"/>
      <c r="J191" s="341"/>
      <c r="K191" s="355"/>
      <c r="L191" s="341"/>
      <c r="M191" s="322"/>
      <c r="N191" s="118"/>
      <c r="O191" s="118"/>
      <c r="P191" s="118"/>
      <c r="Q191" s="118"/>
      <c r="R191" s="118"/>
      <c r="S191" s="118"/>
      <c r="T191" s="118"/>
    </row>
    <row r="192">
      <c r="A192" s="340"/>
      <c r="B192" s="322"/>
      <c r="C192" s="322"/>
      <c r="D192" s="341"/>
      <c r="E192" s="322"/>
      <c r="F192" s="341"/>
      <c r="G192" s="155"/>
      <c r="H192" s="341"/>
      <c r="I192" s="154"/>
      <c r="J192" s="341"/>
      <c r="K192" s="355"/>
      <c r="L192" s="341"/>
      <c r="M192" s="322"/>
      <c r="N192" s="118"/>
      <c r="O192" s="118"/>
      <c r="P192" s="118"/>
      <c r="Q192" s="118"/>
      <c r="R192" s="118"/>
      <c r="S192" s="118"/>
      <c r="T192" s="118"/>
    </row>
    <row r="193">
      <c r="A193" s="340"/>
      <c r="B193" s="322"/>
      <c r="C193" s="322"/>
      <c r="D193" s="341"/>
      <c r="E193" s="322"/>
      <c r="F193" s="341"/>
      <c r="G193" s="155"/>
      <c r="H193" s="341"/>
      <c r="I193" s="154"/>
      <c r="J193" s="341"/>
      <c r="K193" s="356"/>
      <c r="L193" s="341"/>
      <c r="M193" s="322"/>
      <c r="N193" s="118"/>
      <c r="O193" s="118"/>
      <c r="P193" s="118"/>
      <c r="Q193" s="118"/>
      <c r="R193" s="118"/>
      <c r="S193" s="118"/>
      <c r="T193" s="118"/>
    </row>
    <row r="194">
      <c r="A194" s="340"/>
      <c r="B194" s="322"/>
      <c r="C194" s="322"/>
      <c r="D194" s="341"/>
      <c r="E194" s="340"/>
      <c r="F194" s="341"/>
      <c r="G194" s="155"/>
      <c r="H194" s="341"/>
      <c r="I194" s="155"/>
      <c r="J194" s="341"/>
      <c r="K194" s="356"/>
      <c r="L194" s="341"/>
      <c r="M194" s="322"/>
      <c r="N194" s="118"/>
      <c r="O194" s="118"/>
      <c r="P194" s="118"/>
      <c r="Q194" s="118"/>
      <c r="R194" s="118"/>
      <c r="S194" s="118"/>
      <c r="T194" s="118"/>
    </row>
    <row r="195">
      <c r="A195" s="340"/>
      <c r="B195" s="322"/>
      <c r="C195" s="322"/>
      <c r="D195" s="341"/>
      <c r="E195" s="322"/>
      <c r="F195" s="341"/>
      <c r="G195" s="155"/>
      <c r="H195" s="341"/>
      <c r="I195" s="154"/>
      <c r="J195" s="341"/>
      <c r="K195" s="355"/>
      <c r="L195" s="341"/>
      <c r="M195" s="322"/>
      <c r="N195" s="118"/>
      <c r="O195" s="118"/>
      <c r="P195" s="118"/>
      <c r="Q195" s="118"/>
      <c r="R195" s="118"/>
      <c r="S195" s="118"/>
      <c r="T195" s="118"/>
    </row>
    <row r="196">
      <c r="A196" s="340"/>
      <c r="B196" s="322"/>
      <c r="C196" s="322"/>
      <c r="D196" s="341"/>
      <c r="E196" s="340"/>
      <c r="F196" s="341"/>
      <c r="G196" s="155"/>
      <c r="H196" s="341"/>
      <c r="I196" s="154"/>
      <c r="J196" s="341"/>
      <c r="K196" s="355"/>
      <c r="L196" s="341"/>
      <c r="M196" s="322"/>
      <c r="N196" s="118"/>
      <c r="O196" s="118"/>
      <c r="P196" s="118"/>
      <c r="Q196" s="118"/>
      <c r="R196" s="118"/>
      <c r="S196" s="118"/>
      <c r="T196" s="118"/>
    </row>
    <row r="197">
      <c r="A197" s="340"/>
      <c r="B197" s="322"/>
      <c r="C197" s="322"/>
      <c r="D197" s="341"/>
      <c r="E197" s="322"/>
      <c r="F197" s="341"/>
      <c r="G197" s="155"/>
      <c r="H197" s="341"/>
      <c r="I197" s="154"/>
      <c r="J197" s="341"/>
      <c r="K197" s="355"/>
      <c r="L197" s="341"/>
      <c r="M197" s="322"/>
      <c r="N197" s="118"/>
      <c r="O197" s="118"/>
      <c r="P197" s="118"/>
      <c r="Q197" s="118"/>
      <c r="R197" s="118"/>
      <c r="S197" s="118"/>
      <c r="T197" s="118"/>
    </row>
    <row r="198">
      <c r="A198" s="340"/>
      <c r="B198" s="322"/>
      <c r="C198" s="322"/>
      <c r="D198" s="341"/>
      <c r="E198" s="322"/>
      <c r="F198" s="341"/>
      <c r="G198" s="155"/>
      <c r="H198" s="341"/>
      <c r="I198" s="154"/>
      <c r="J198" s="341"/>
      <c r="K198" s="355"/>
      <c r="L198" s="341"/>
      <c r="M198" s="322"/>
      <c r="N198" s="118"/>
      <c r="O198" s="118"/>
      <c r="P198" s="118"/>
      <c r="Q198" s="118"/>
      <c r="R198" s="118"/>
      <c r="S198" s="118"/>
      <c r="T198" s="118"/>
    </row>
    <row r="199">
      <c r="A199" s="340"/>
      <c r="B199" s="322"/>
      <c r="C199" s="322"/>
      <c r="D199" s="341"/>
      <c r="E199" s="322"/>
      <c r="F199" s="341"/>
      <c r="G199" s="155"/>
      <c r="H199" s="341"/>
      <c r="I199" s="154"/>
      <c r="J199" s="341"/>
      <c r="K199" s="355"/>
      <c r="L199" s="341"/>
      <c r="M199" s="322"/>
      <c r="N199" s="118"/>
      <c r="O199" s="118"/>
      <c r="P199" s="118"/>
      <c r="Q199" s="118"/>
      <c r="R199" s="118"/>
      <c r="S199" s="118"/>
      <c r="T199" s="118"/>
    </row>
    <row r="200">
      <c r="A200" s="340"/>
      <c r="B200" s="322"/>
      <c r="C200" s="322"/>
      <c r="D200" s="341"/>
      <c r="E200" s="322"/>
      <c r="F200" s="341"/>
      <c r="G200" s="155"/>
      <c r="H200" s="341"/>
      <c r="I200" s="154"/>
      <c r="J200" s="341"/>
      <c r="K200" s="355"/>
      <c r="L200" s="341"/>
      <c r="M200" s="322"/>
      <c r="N200" s="118"/>
      <c r="O200" s="118"/>
      <c r="P200" s="118"/>
      <c r="Q200" s="118"/>
      <c r="R200" s="118"/>
      <c r="S200" s="118"/>
      <c r="T200" s="118"/>
    </row>
    <row r="201">
      <c r="A201" s="340"/>
      <c r="B201" s="322"/>
      <c r="C201" s="322"/>
      <c r="D201" s="341"/>
      <c r="E201" s="322"/>
      <c r="F201" s="341"/>
      <c r="G201" s="155"/>
      <c r="H201" s="341"/>
      <c r="I201" s="154"/>
      <c r="J201" s="341"/>
      <c r="K201" s="355"/>
      <c r="L201" s="341"/>
      <c r="M201" s="322"/>
      <c r="N201" s="118"/>
      <c r="O201" s="118"/>
      <c r="P201" s="118"/>
      <c r="Q201" s="118"/>
      <c r="R201" s="118"/>
      <c r="S201" s="118"/>
      <c r="T201" s="118"/>
    </row>
    <row r="202">
      <c r="A202" s="340"/>
      <c r="B202" s="322"/>
      <c r="C202" s="322"/>
      <c r="D202" s="341"/>
      <c r="E202" s="322"/>
      <c r="F202" s="341"/>
      <c r="G202" s="155"/>
      <c r="H202" s="341"/>
      <c r="I202" s="155"/>
      <c r="J202" s="341"/>
      <c r="K202" s="355"/>
      <c r="L202" s="341"/>
      <c r="M202" s="322"/>
      <c r="N202" s="118"/>
      <c r="O202" s="118"/>
      <c r="P202" s="118"/>
      <c r="Q202" s="118"/>
      <c r="R202" s="118"/>
      <c r="S202" s="118"/>
      <c r="T202" s="118"/>
    </row>
    <row r="203">
      <c r="A203" s="340"/>
      <c r="B203" s="322"/>
      <c r="C203" s="340"/>
      <c r="D203" s="341"/>
      <c r="E203" s="340"/>
      <c r="F203" s="341"/>
      <c r="G203" s="155"/>
      <c r="H203" s="341"/>
      <c r="I203" s="154"/>
      <c r="J203" s="341"/>
      <c r="K203" s="355"/>
      <c r="L203" s="341"/>
      <c r="M203" s="322"/>
      <c r="N203" s="118"/>
      <c r="O203" s="118"/>
      <c r="P203" s="118"/>
      <c r="Q203" s="118"/>
      <c r="R203" s="118"/>
      <c r="S203" s="118"/>
      <c r="T203" s="118"/>
    </row>
    <row r="204">
      <c r="A204" s="340"/>
      <c r="B204" s="322"/>
      <c r="C204" s="322"/>
      <c r="D204" s="341"/>
      <c r="E204" s="340"/>
      <c r="F204" s="341"/>
      <c r="G204" s="155"/>
      <c r="H204" s="341"/>
      <c r="I204" s="155"/>
      <c r="J204" s="341"/>
      <c r="K204" s="355"/>
      <c r="L204" s="341"/>
      <c r="M204" s="322"/>
      <c r="N204" s="118"/>
      <c r="O204" s="118"/>
      <c r="P204" s="118"/>
      <c r="Q204" s="118"/>
      <c r="R204" s="118"/>
      <c r="S204" s="118"/>
      <c r="T204" s="118"/>
    </row>
    <row r="205">
      <c r="A205" s="340"/>
      <c r="B205" s="322"/>
      <c r="C205" s="322"/>
      <c r="D205" s="341"/>
      <c r="E205" s="340"/>
      <c r="F205" s="341"/>
      <c r="G205" s="155"/>
      <c r="H205" s="341"/>
      <c r="I205" s="154"/>
      <c r="J205" s="341"/>
      <c r="K205" s="355"/>
      <c r="L205" s="341"/>
      <c r="M205" s="322"/>
      <c r="N205" s="118"/>
      <c r="O205" s="118"/>
      <c r="P205" s="118"/>
      <c r="Q205" s="118"/>
      <c r="R205" s="118"/>
      <c r="S205" s="118"/>
      <c r="T205" s="118"/>
    </row>
    <row r="206">
      <c r="A206" s="340"/>
      <c r="B206" s="322"/>
      <c r="C206" s="322"/>
      <c r="D206" s="341"/>
      <c r="E206" s="340"/>
      <c r="F206" s="341"/>
      <c r="G206" s="155"/>
      <c r="H206" s="341"/>
      <c r="I206" s="155"/>
      <c r="J206" s="341"/>
      <c r="K206" s="355"/>
      <c r="L206" s="341"/>
      <c r="M206" s="322"/>
      <c r="N206" s="118"/>
      <c r="O206" s="118"/>
      <c r="P206" s="118"/>
      <c r="Q206" s="118"/>
      <c r="R206" s="118"/>
      <c r="S206" s="118"/>
      <c r="T206" s="118"/>
    </row>
    <row r="207">
      <c r="A207" s="340"/>
      <c r="B207" s="322"/>
      <c r="C207" s="322"/>
      <c r="D207" s="341"/>
      <c r="E207" s="322"/>
      <c r="F207" s="341"/>
      <c r="G207" s="155"/>
      <c r="H207" s="341"/>
      <c r="I207" s="154"/>
      <c r="J207" s="341"/>
      <c r="K207" s="355"/>
      <c r="L207" s="341"/>
      <c r="M207" s="322"/>
      <c r="N207" s="118"/>
      <c r="O207" s="118"/>
      <c r="P207" s="118"/>
      <c r="Q207" s="118"/>
      <c r="R207" s="118"/>
      <c r="S207" s="118"/>
      <c r="T207" s="118"/>
    </row>
    <row r="208">
      <c r="A208" s="340"/>
      <c r="B208" s="322"/>
      <c r="C208" s="322"/>
      <c r="D208" s="341"/>
      <c r="E208" s="322"/>
      <c r="F208" s="341"/>
      <c r="G208" s="155"/>
      <c r="H208" s="341"/>
      <c r="I208" s="154"/>
      <c r="J208" s="341"/>
      <c r="K208" s="355"/>
      <c r="L208" s="341"/>
      <c r="M208" s="322"/>
      <c r="N208" s="118"/>
      <c r="O208" s="118"/>
      <c r="P208" s="118"/>
      <c r="Q208" s="118"/>
      <c r="R208" s="118"/>
      <c r="S208" s="118"/>
      <c r="T208" s="118"/>
    </row>
    <row r="209">
      <c r="A209" s="340"/>
      <c r="B209" s="322"/>
      <c r="C209" s="322"/>
      <c r="D209" s="341"/>
      <c r="E209" s="322"/>
      <c r="F209" s="341"/>
      <c r="G209" s="155"/>
      <c r="H209" s="341"/>
      <c r="I209" s="154"/>
      <c r="J209" s="341"/>
      <c r="K209" s="355"/>
      <c r="L209" s="341"/>
      <c r="M209" s="322"/>
      <c r="N209" s="118"/>
      <c r="O209" s="118"/>
      <c r="P209" s="118"/>
      <c r="Q209" s="118"/>
      <c r="R209" s="118"/>
      <c r="S209" s="118"/>
      <c r="T209" s="118"/>
    </row>
    <row r="210">
      <c r="A210" s="340"/>
      <c r="B210" s="322"/>
      <c r="C210" s="322"/>
      <c r="D210" s="341"/>
      <c r="E210" s="340"/>
      <c r="F210" s="341"/>
      <c r="G210" s="155"/>
      <c r="H210" s="341"/>
      <c r="I210" s="155"/>
      <c r="J210" s="341"/>
      <c r="K210" s="355"/>
      <c r="L210" s="341"/>
      <c r="M210" s="322"/>
      <c r="N210" s="118"/>
      <c r="O210" s="118"/>
      <c r="P210" s="118"/>
      <c r="Q210" s="118"/>
      <c r="R210" s="118"/>
      <c r="S210" s="118"/>
      <c r="T210" s="118"/>
    </row>
    <row r="211">
      <c r="A211" s="340"/>
      <c r="B211" s="322"/>
      <c r="C211" s="322"/>
      <c r="D211" s="341"/>
      <c r="E211" s="340"/>
      <c r="F211" s="341"/>
      <c r="G211" s="155"/>
      <c r="H211" s="341"/>
      <c r="I211" s="155"/>
      <c r="J211" s="341"/>
      <c r="K211" s="355"/>
      <c r="L211" s="341"/>
      <c r="M211" s="322"/>
      <c r="N211" s="118"/>
      <c r="O211" s="118"/>
      <c r="P211" s="118"/>
      <c r="Q211" s="118"/>
      <c r="R211" s="118"/>
      <c r="S211" s="118"/>
      <c r="T211" s="118"/>
    </row>
  </sheetData>
  <autoFilter ref="$A$1:$M$211">
    <sortState ref="A1:M211">
      <sortCondition ref="B1:B211"/>
    </sortState>
  </autoFilter>
  <printOptions/>
  <pageMargins bottom="0.25" footer="0.0" header="0.0" left="0.2" right="0.2" top="0.2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0"/>
  <cols>
    <col customWidth="1" min="1" max="1" width="20.0"/>
    <col customWidth="1" min="2" max="2" width="6.88"/>
    <col customWidth="1" min="3" max="3" width="3.13"/>
    <col customWidth="1" min="4" max="4" width="3.5"/>
    <col customWidth="1" min="5" max="5" width="3.13"/>
    <col customWidth="1" min="6" max="6" width="5.75"/>
    <col customWidth="1" min="7" max="10" width="3.13"/>
    <col customWidth="1" min="11" max="11" width="40.5"/>
    <col customWidth="1" min="12" max="12" width="48.63"/>
    <col customWidth="1" min="13" max="13" width="21.25"/>
    <col customWidth="1" min="14" max="14" width="6.0"/>
    <col customWidth="1" min="15" max="15" width="6.88"/>
    <col customWidth="1" min="16" max="16" width="6.5"/>
    <col customWidth="1" min="17" max="17" width="6.75"/>
    <col customWidth="1" min="18" max="18" width="5.13"/>
    <col customWidth="1" min="19" max="19" width="6.0"/>
    <col customWidth="1" min="20" max="20" width="6.63"/>
    <col customWidth="1" min="21" max="21" width="6.5"/>
    <col customWidth="1" min="22" max="22" width="6.75"/>
    <col customWidth="1" min="23" max="23" width="5.13"/>
    <col customWidth="1" min="24" max="24" width="6.0"/>
    <col customWidth="1" min="25" max="25" width="6.5"/>
    <col customWidth="1" min="26" max="27" width="6.25"/>
    <col customWidth="1" min="28" max="28" width="5.0"/>
    <col customWidth="1" min="29" max="29" width="5.25"/>
    <col customWidth="1" min="30" max="30" width="7.75"/>
    <col customWidth="1" min="31" max="31" width="6.5"/>
    <col customWidth="1" min="32" max="32" width="6.75"/>
    <col customWidth="1" min="33" max="33" width="5.88"/>
    <col customWidth="1" min="34" max="34" width="6.0"/>
    <col customWidth="1" min="35" max="35" width="7.88"/>
    <col customWidth="1" min="36" max="36" width="6.25"/>
    <col customWidth="1" min="37" max="37" width="7.5"/>
    <col customWidth="1" min="38" max="38" width="5.38"/>
    <col customWidth="1" min="39" max="39" width="6.0"/>
    <col customWidth="1" min="40" max="40" width="6.63"/>
    <col customWidth="1" min="41" max="41" width="6.5"/>
    <col customWidth="1" min="42" max="42" width="6.25"/>
    <col customWidth="1" min="43" max="43" width="5.13"/>
    <col customWidth="1" min="44" max="44" width="6.0"/>
  </cols>
  <sheetData>
    <row r="1">
      <c r="A1" s="357" t="s">
        <v>435</v>
      </c>
      <c r="B1" s="358" t="s">
        <v>438</v>
      </c>
      <c r="C1" s="359" t="s">
        <v>1476</v>
      </c>
      <c r="D1" s="359" t="s">
        <v>1477</v>
      </c>
      <c r="E1" s="359" t="s">
        <v>1480</v>
      </c>
      <c r="F1" s="359" t="s">
        <v>1702</v>
      </c>
      <c r="G1" s="359" t="s">
        <v>1703</v>
      </c>
      <c r="H1" s="359" t="s">
        <v>1704</v>
      </c>
      <c r="I1" s="359" t="s">
        <v>1705</v>
      </c>
      <c r="J1" s="359" t="s">
        <v>1706</v>
      </c>
      <c r="K1" s="360" t="s">
        <v>1707</v>
      </c>
      <c r="L1" s="360" t="s">
        <v>1708</v>
      </c>
      <c r="M1" s="357" t="s">
        <v>1709</v>
      </c>
      <c r="N1" s="361" t="s">
        <v>1400</v>
      </c>
      <c r="O1" s="362" t="s">
        <v>1710</v>
      </c>
      <c r="P1" s="363"/>
      <c r="Q1" s="363"/>
      <c r="R1" s="363"/>
      <c r="S1" s="363"/>
      <c r="T1" s="363"/>
      <c r="U1" s="363"/>
      <c r="V1" s="363"/>
      <c r="W1" s="363"/>
      <c r="X1" s="363"/>
      <c r="Y1" s="363"/>
      <c r="Z1" s="363"/>
      <c r="AA1" s="363"/>
      <c r="AB1" s="363"/>
      <c r="AC1" s="364"/>
      <c r="AD1" s="193" t="s">
        <v>1711</v>
      </c>
      <c r="AE1" s="80"/>
      <c r="AF1" s="80"/>
      <c r="AG1" s="80"/>
      <c r="AH1" s="80"/>
      <c r="AI1" s="80"/>
      <c r="AJ1" s="80"/>
      <c r="AK1" s="80"/>
      <c r="AL1" s="80"/>
      <c r="AM1" s="80"/>
      <c r="AN1" s="80"/>
      <c r="AO1" s="80"/>
      <c r="AP1" s="80"/>
      <c r="AQ1" s="80"/>
      <c r="AR1" s="81"/>
    </row>
    <row r="2">
      <c r="O2" s="362" t="s">
        <v>1712</v>
      </c>
      <c r="P2" s="363"/>
      <c r="Q2" s="363"/>
      <c r="R2" s="363"/>
      <c r="S2" s="364"/>
      <c r="T2" s="365" t="s">
        <v>1713</v>
      </c>
      <c r="U2" s="363"/>
      <c r="V2" s="363"/>
      <c r="W2" s="363"/>
      <c r="X2" s="364"/>
      <c r="Y2" s="365" t="s">
        <v>1714</v>
      </c>
      <c r="Z2" s="363"/>
      <c r="AA2" s="363"/>
      <c r="AB2" s="363"/>
      <c r="AC2" s="364"/>
      <c r="AD2" s="362" t="s">
        <v>1712</v>
      </c>
      <c r="AE2" s="363"/>
      <c r="AF2" s="363"/>
      <c r="AG2" s="363"/>
      <c r="AH2" s="364"/>
      <c r="AI2" s="362" t="s">
        <v>1715</v>
      </c>
      <c r="AJ2" s="363"/>
      <c r="AK2" s="363"/>
      <c r="AL2" s="363"/>
      <c r="AM2" s="364"/>
      <c r="AN2" s="362" t="s">
        <v>1714</v>
      </c>
      <c r="AO2" s="363"/>
      <c r="AP2" s="363"/>
      <c r="AQ2" s="363"/>
      <c r="AR2" s="364"/>
    </row>
    <row r="3">
      <c r="O3" s="366" t="s">
        <v>9</v>
      </c>
      <c r="P3" s="367" t="s">
        <v>10</v>
      </c>
      <c r="Q3" s="368" t="s">
        <v>11</v>
      </c>
      <c r="R3" s="369" t="s">
        <v>12</v>
      </c>
      <c r="S3" s="370" t="s">
        <v>13</v>
      </c>
      <c r="T3" s="366" t="s">
        <v>9</v>
      </c>
      <c r="U3" s="367" t="s">
        <v>10</v>
      </c>
      <c r="V3" s="368" t="s">
        <v>11</v>
      </c>
      <c r="W3" s="369" t="s">
        <v>12</v>
      </c>
      <c r="X3" s="371" t="s">
        <v>13</v>
      </c>
      <c r="Y3" s="366" t="s">
        <v>9</v>
      </c>
      <c r="Z3" s="367" t="s">
        <v>10</v>
      </c>
      <c r="AA3" s="368" t="s">
        <v>11</v>
      </c>
      <c r="AB3" s="369" t="s">
        <v>12</v>
      </c>
      <c r="AC3" s="371" t="s">
        <v>13</v>
      </c>
      <c r="AD3" s="372" t="s">
        <v>9</v>
      </c>
      <c r="AE3" s="367" t="s">
        <v>10</v>
      </c>
      <c r="AF3" s="373" t="s">
        <v>11</v>
      </c>
      <c r="AG3" s="373" t="s">
        <v>12</v>
      </c>
      <c r="AH3" s="374" t="s">
        <v>13</v>
      </c>
      <c r="AI3" s="372" t="s">
        <v>9</v>
      </c>
      <c r="AJ3" s="367" t="s">
        <v>10</v>
      </c>
      <c r="AK3" s="373" t="s">
        <v>11</v>
      </c>
      <c r="AL3" s="373" t="s">
        <v>12</v>
      </c>
      <c r="AM3" s="374" t="s">
        <v>13</v>
      </c>
      <c r="AN3" s="372" t="s">
        <v>9</v>
      </c>
      <c r="AO3" s="367" t="s">
        <v>10</v>
      </c>
      <c r="AP3" s="373" t="s">
        <v>11</v>
      </c>
      <c r="AQ3" s="373" t="s">
        <v>12</v>
      </c>
      <c r="AR3" s="374" t="s">
        <v>13</v>
      </c>
    </row>
    <row r="4">
      <c r="A4" s="375" t="s">
        <v>1716</v>
      </c>
      <c r="B4" s="376" t="s">
        <v>1717</v>
      </c>
      <c r="C4" s="377">
        <v>4.0</v>
      </c>
      <c r="D4" s="378">
        <v>12.0</v>
      </c>
      <c r="E4" s="379">
        <v>3.0</v>
      </c>
      <c r="F4" s="380" t="s">
        <v>1663</v>
      </c>
      <c r="G4" s="381">
        <v>4.0</v>
      </c>
      <c r="H4" s="382">
        <v>2.0</v>
      </c>
      <c r="I4" s="377">
        <v>3.0</v>
      </c>
      <c r="J4" s="382">
        <v>2.0</v>
      </c>
      <c r="K4" s="383" t="s">
        <v>1718</v>
      </c>
      <c r="L4" s="383" t="s">
        <v>1719</v>
      </c>
      <c r="M4" s="384" t="s">
        <v>1720</v>
      </c>
      <c r="N4" s="345">
        <f>IFERROR(__xludf.DUMMYFUNCTION("SUM(C4*0.33,D4 * 
SWITCH(
LEN(F4) - LEN(SUBSTITUTE(F4,"","","""")),
0 , VLOOKUP(F4, Variables!$A:$B, 2, FALSE),
1 , VLOOKUP(index(split(F4 ,"", "", FALSE),1,1), Variables!$A:$B , 2, FALSE) + VLOOKUP(index(split(F4 ,"", "", FALSE),1,2), Variables!$A:$B , 2"&amp;", FALSE),
2 , VLOOKUP(index(split(F4 ,"", "", FALSE),1,1), Variables!$A:$B , 2, FALSE) + VLOOKUP(index(split(F4 ,"", "", FALSE),1,2), Variables!$A:$B , 2, FALSE) + VLOOKUP(index(split(F4 ,"", "", FALSE),1,3), Variables!$A:$B , 2, FALSE)
)
 ,E4,G4:J4,0,
SU"&amp;"M(IFERROR(SUM(O4:AC4)/(COUNTA(O4:AC4)/3),0),IFERROR(SUM(SUM(AD4:AR4)/(COUNTA(AD4:AR4)/3))))
)"),44.57)</f>
        <v>44.57</v>
      </c>
      <c r="O4" s="385">
        <v>2.0</v>
      </c>
      <c r="P4" s="386">
        <v>4.0</v>
      </c>
      <c r="Q4" s="387">
        <v>4.0</v>
      </c>
      <c r="R4" s="388">
        <v>4.0</v>
      </c>
      <c r="S4" s="389"/>
      <c r="T4" s="385">
        <v>-2.0</v>
      </c>
      <c r="U4" s="386">
        <v>0.0</v>
      </c>
      <c r="V4" s="387">
        <v>0.0</v>
      </c>
      <c r="W4" s="388">
        <v>0.0</v>
      </c>
      <c r="X4" s="389"/>
      <c r="Y4" s="385">
        <v>5.0</v>
      </c>
      <c r="Z4" s="386">
        <v>4.0</v>
      </c>
      <c r="AA4" s="387">
        <v>4.0</v>
      </c>
      <c r="AB4" s="388">
        <v>4.0</v>
      </c>
      <c r="AC4" s="389"/>
      <c r="AD4" s="385">
        <v>4.0</v>
      </c>
      <c r="AE4" s="386">
        <v>4.0</v>
      </c>
      <c r="AF4" s="390">
        <v>4.0</v>
      </c>
      <c r="AG4" s="390">
        <v>4.0</v>
      </c>
      <c r="AH4" s="389">
        <v>4.0</v>
      </c>
      <c r="AI4" s="385">
        <v>-3.0</v>
      </c>
      <c r="AJ4" s="386">
        <v>-3.0</v>
      </c>
      <c r="AK4" s="390">
        <v>-3.0</v>
      </c>
      <c r="AL4" s="390">
        <v>-3.0</v>
      </c>
      <c r="AM4" s="389">
        <v>-3.0</v>
      </c>
      <c r="AN4" s="385">
        <v>5.0</v>
      </c>
      <c r="AO4" s="386">
        <v>5.0</v>
      </c>
      <c r="AP4" s="390">
        <v>5.0</v>
      </c>
      <c r="AQ4" s="390">
        <v>5.0</v>
      </c>
      <c r="AR4" s="389">
        <v>5.0</v>
      </c>
    </row>
    <row r="5">
      <c r="A5" s="391" t="s">
        <v>1451</v>
      </c>
      <c r="B5" s="376" t="s">
        <v>1721</v>
      </c>
      <c r="C5" s="377">
        <v>4.0</v>
      </c>
      <c r="D5" s="378">
        <v>12.0</v>
      </c>
      <c r="E5" s="377">
        <v>4.0</v>
      </c>
      <c r="F5" s="380" t="s">
        <v>1663</v>
      </c>
      <c r="G5" s="382">
        <v>2.0</v>
      </c>
      <c r="H5" s="381">
        <v>4.0</v>
      </c>
      <c r="I5" s="377">
        <v>3.0</v>
      </c>
      <c r="J5" s="382">
        <v>2.0</v>
      </c>
      <c r="K5" s="383" t="s">
        <v>1722</v>
      </c>
      <c r="L5" s="383" t="s">
        <v>1723</v>
      </c>
      <c r="M5" s="384" t="s">
        <v>1724</v>
      </c>
      <c r="N5" s="345">
        <f>IFERROR(__xludf.DUMMYFUNCTION("SUM(C5*0.33,D5 * 
SWITCH(
LEN(F5) - LEN(SUBSTITUTE(F5,"","","""")),
0 , VLOOKUP(F5, Variables!$A:$B, 2, FALSE),
1 , VLOOKUP(index(split(F5 ,"", "", FALSE),1,1), Variables!$A:$B , 2, FALSE) + VLOOKUP(index(split(F5 ,"", "", FALSE),1,2), Variables!$A:$B , 2"&amp;", FALSE),
2 , VLOOKUP(index(split(F5 ,"", "", FALSE),1,1), Variables!$A:$B , 2, FALSE) + VLOOKUP(index(split(F5 ,"", "", FALSE),1,2), Variables!$A:$B , 2, FALSE) + VLOOKUP(index(split(F5 ,"", "", FALSE),1,3), Variables!$A:$B , 2, FALSE)
)
 ,E5,G5:J5,0,
SU"&amp;"M(IFERROR(SUM(O5:AC5)/(COUNTA(O5:AC5)/3),0),IFERROR(SUM(SUM(AD5:AR5)/(COUNTA(AD5:AR5)/3))))
)"),44.519999999999996)</f>
        <v>44.52</v>
      </c>
      <c r="O5" s="385">
        <v>2.0</v>
      </c>
      <c r="P5" s="386">
        <v>5.0</v>
      </c>
      <c r="Q5" s="387">
        <v>5.0</v>
      </c>
      <c r="R5" s="388">
        <v>5.0</v>
      </c>
      <c r="S5" s="389"/>
      <c r="T5" s="385">
        <v>-2.0</v>
      </c>
      <c r="U5" s="386">
        <v>0.0</v>
      </c>
      <c r="V5" s="387">
        <v>0.0</v>
      </c>
      <c r="W5" s="388">
        <v>0.0</v>
      </c>
      <c r="X5" s="389"/>
      <c r="Y5" s="385">
        <v>2.0</v>
      </c>
      <c r="Z5" s="386">
        <v>3.0</v>
      </c>
      <c r="AA5" s="387">
        <v>4.0</v>
      </c>
      <c r="AB5" s="388">
        <v>4.0</v>
      </c>
      <c r="AC5" s="389"/>
      <c r="AD5" s="385">
        <v>2.0</v>
      </c>
      <c r="AE5" s="386">
        <v>5.0</v>
      </c>
      <c r="AF5" s="390">
        <v>5.0</v>
      </c>
      <c r="AG5" s="390">
        <v>5.0</v>
      </c>
      <c r="AH5" s="389">
        <v>5.0</v>
      </c>
      <c r="AI5" s="385">
        <v>-3.0</v>
      </c>
      <c r="AJ5" s="386">
        <v>-5.0</v>
      </c>
      <c r="AK5" s="390">
        <v>-3.0</v>
      </c>
      <c r="AL5" s="390">
        <v>-3.0</v>
      </c>
      <c r="AM5" s="389">
        <v>-5.0</v>
      </c>
      <c r="AN5" s="385">
        <v>5.0</v>
      </c>
      <c r="AO5" s="386">
        <v>5.0</v>
      </c>
      <c r="AP5" s="390">
        <v>4.0</v>
      </c>
      <c r="AQ5" s="390">
        <v>4.0</v>
      </c>
      <c r="AR5" s="389">
        <v>5.0</v>
      </c>
    </row>
    <row r="6">
      <c r="A6" s="391" t="s">
        <v>1725</v>
      </c>
      <c r="B6" s="376" t="s">
        <v>1717</v>
      </c>
      <c r="C6" s="377">
        <v>4.0</v>
      </c>
      <c r="D6" s="378">
        <v>12.0</v>
      </c>
      <c r="E6" s="377">
        <v>4.0</v>
      </c>
      <c r="F6" s="380" t="s">
        <v>1663</v>
      </c>
      <c r="G6" s="377">
        <v>3.0</v>
      </c>
      <c r="H6" s="381">
        <v>4.0</v>
      </c>
      <c r="I6" s="377">
        <v>3.0</v>
      </c>
      <c r="J6" s="379">
        <v>1.0</v>
      </c>
      <c r="K6" s="383" t="s">
        <v>1726</v>
      </c>
      <c r="L6" s="383" t="s">
        <v>1727</v>
      </c>
      <c r="M6" s="384" t="s">
        <v>1728</v>
      </c>
      <c r="N6" s="345">
        <f>IFERROR(__xludf.DUMMYFUNCTION("SUM(C6*0.33,D6 * 
SWITCH(
LEN(F6) - LEN(SUBSTITUTE(F6,"","","""")),
0 , VLOOKUP(F6, Variables!$A:$B, 2, FALSE),
1 , VLOOKUP(index(split(F6 ,"", "", FALSE),1,1), Variables!$A:$B , 2, FALSE) + VLOOKUP(index(split(F6 ,"", "", FALSE),1,2), Variables!$A:$B , 2"&amp;", FALSE),
2 , VLOOKUP(index(split(F6 ,"", "", FALSE),1,1), Variables!$A:$B , 2, FALSE) + VLOOKUP(index(split(F6 ,"", "", FALSE),1,2), Variables!$A:$B , 2, FALSE) + VLOOKUP(index(split(F6 ,"", "", FALSE),1,3), Variables!$A:$B , 2, FALSE)
)
 ,E6,G6:J6,0,
SU"&amp;"M(IFERROR(SUM(O6:AC6)/(COUNTA(O6:AC6)/3),0),IFERROR(SUM(SUM(AD6:AR6)/(COUNTA(AD6:AR6)/3))))
)"),43.57)</f>
        <v>43.57</v>
      </c>
      <c r="O6" s="385">
        <v>2.0</v>
      </c>
      <c r="P6" s="386">
        <v>4.0</v>
      </c>
      <c r="Q6" s="387">
        <v>2.0</v>
      </c>
      <c r="R6" s="388">
        <v>4.0</v>
      </c>
      <c r="S6" s="389"/>
      <c r="T6" s="385">
        <v>-1.0</v>
      </c>
      <c r="U6" s="386">
        <v>-2.0</v>
      </c>
      <c r="V6" s="387">
        <v>-1.0</v>
      </c>
      <c r="W6" s="388">
        <v>-1.0</v>
      </c>
      <c r="X6" s="389"/>
      <c r="Y6" s="385">
        <v>4.0</v>
      </c>
      <c r="Z6" s="386">
        <v>4.0</v>
      </c>
      <c r="AA6" s="387">
        <v>4.0</v>
      </c>
      <c r="AB6" s="388">
        <v>2.0</v>
      </c>
      <c r="AC6" s="389"/>
      <c r="AD6" s="385">
        <v>4.0</v>
      </c>
      <c r="AE6" s="386">
        <v>6.0</v>
      </c>
      <c r="AF6" s="390">
        <v>4.0</v>
      </c>
      <c r="AG6" s="390">
        <v>6.0</v>
      </c>
      <c r="AH6" s="389">
        <v>2.0</v>
      </c>
      <c r="AI6" s="385">
        <v>-3.0</v>
      </c>
      <c r="AJ6" s="386">
        <v>-3.0</v>
      </c>
      <c r="AK6" s="390">
        <v>-3.0</v>
      </c>
      <c r="AL6" s="390">
        <v>-3.0</v>
      </c>
      <c r="AM6" s="389">
        <v>-3.0</v>
      </c>
      <c r="AN6" s="385">
        <v>5.0</v>
      </c>
      <c r="AO6" s="386">
        <v>5.0</v>
      </c>
      <c r="AP6" s="390">
        <v>4.0</v>
      </c>
      <c r="AQ6" s="390">
        <v>4.0</v>
      </c>
      <c r="AR6" s="389">
        <v>5.0</v>
      </c>
    </row>
    <row r="7">
      <c r="A7" s="391" t="s">
        <v>1729</v>
      </c>
      <c r="B7" s="376" t="s">
        <v>1730</v>
      </c>
      <c r="C7" s="392">
        <v>5.0</v>
      </c>
      <c r="D7" s="379">
        <v>8.0</v>
      </c>
      <c r="E7" s="378">
        <v>5.0</v>
      </c>
      <c r="F7" s="380" t="s">
        <v>1663</v>
      </c>
      <c r="G7" s="382">
        <v>2.0</v>
      </c>
      <c r="H7" s="382">
        <v>2.0</v>
      </c>
      <c r="I7" s="377">
        <v>3.0</v>
      </c>
      <c r="J7" s="381">
        <v>4.0</v>
      </c>
      <c r="K7" s="383" t="s">
        <v>1731</v>
      </c>
      <c r="L7" s="383" t="s">
        <v>1732</v>
      </c>
      <c r="M7" s="384" t="s">
        <v>1733</v>
      </c>
      <c r="N7" s="345">
        <f>IFERROR(__xludf.DUMMYFUNCTION("SUM(C7*0.33,D7 * 
SWITCH(
LEN(F7) - LEN(SUBSTITUTE(F7,"","","""")),
0 , VLOOKUP(F7, Variables!$A:$B, 2, FALSE),
1 , VLOOKUP(index(split(F7 ,"", "", FALSE),1,1), Variables!$A:$B , 2, FALSE) + VLOOKUP(index(split(F7 ,"", "", FALSE),1,2), Variables!$A:$B , 2"&amp;", FALSE),
2 , VLOOKUP(index(split(F7 ,"", "", FALSE),1,1), Variables!$A:$B , 2, FALSE) + VLOOKUP(index(split(F7 ,"", "", FALSE),1,2), Variables!$A:$B , 2, FALSE) + VLOOKUP(index(split(F7 ,"", "", FALSE),1,3), Variables!$A:$B , 2, FALSE)
)
 ,E7,G7:J7,0,
SU"&amp;"M(IFERROR(SUM(O7:AC7)/(COUNTA(O7:AC7)/3),0),IFERROR(SUM(SUM(AD7:AR7)/(COUNTA(AD7:AR7)/3))))
)"),42.166666666666664)</f>
        <v>42.16666667</v>
      </c>
      <c r="O7" s="385">
        <v>4.0</v>
      </c>
      <c r="P7" s="386">
        <v>4.0</v>
      </c>
      <c r="Q7" s="387">
        <v>4.0</v>
      </c>
      <c r="R7" s="388">
        <v>4.0</v>
      </c>
      <c r="S7" s="389"/>
      <c r="T7" s="385">
        <v>-2.0</v>
      </c>
      <c r="U7" s="386">
        <v>-2.0</v>
      </c>
      <c r="V7" s="387">
        <v>-2.0</v>
      </c>
      <c r="W7" s="388">
        <v>0.0</v>
      </c>
      <c r="X7" s="389"/>
      <c r="Y7" s="385">
        <v>5.0</v>
      </c>
      <c r="Z7" s="386">
        <v>5.0</v>
      </c>
      <c r="AA7" s="387">
        <v>5.0</v>
      </c>
      <c r="AB7" s="388">
        <v>4.0</v>
      </c>
      <c r="AC7" s="389"/>
      <c r="AD7" s="385">
        <v>4.0</v>
      </c>
      <c r="AE7" s="386">
        <v>4.0</v>
      </c>
      <c r="AF7" s="390">
        <v>4.0</v>
      </c>
      <c r="AG7" s="390">
        <v>4.0</v>
      </c>
      <c r="AH7" s="389">
        <v>4.0</v>
      </c>
      <c r="AI7" s="385">
        <v>-3.0</v>
      </c>
      <c r="AJ7" s="386">
        <v>-3.0</v>
      </c>
      <c r="AK7" s="390">
        <v>-3.0</v>
      </c>
      <c r="AL7" s="390">
        <v>-3.0</v>
      </c>
      <c r="AM7" s="389">
        <v>0.0</v>
      </c>
      <c r="AN7" s="385">
        <v>5.0</v>
      </c>
      <c r="AO7" s="386">
        <v>5.0</v>
      </c>
      <c r="AP7" s="390">
        <v>5.0</v>
      </c>
      <c r="AQ7" s="390">
        <v>5.0</v>
      </c>
      <c r="AR7" s="389">
        <v>5.0</v>
      </c>
    </row>
    <row r="8">
      <c r="A8" s="391" t="s">
        <v>1734</v>
      </c>
      <c r="B8" s="376" t="s">
        <v>1717</v>
      </c>
      <c r="C8" s="377">
        <v>4.0</v>
      </c>
      <c r="D8" s="392">
        <v>14.0</v>
      </c>
      <c r="E8" s="377">
        <v>4.0</v>
      </c>
      <c r="F8" s="380" t="s">
        <v>1663</v>
      </c>
      <c r="G8" s="393">
        <v>5.0</v>
      </c>
      <c r="H8" s="377">
        <v>3.0</v>
      </c>
      <c r="I8" s="379">
        <v>1.0</v>
      </c>
      <c r="J8" s="382">
        <v>2.0</v>
      </c>
      <c r="K8" s="383" t="s">
        <v>1735</v>
      </c>
      <c r="L8" s="383" t="s">
        <v>1736</v>
      </c>
      <c r="M8" s="384" t="s">
        <v>1720</v>
      </c>
      <c r="N8" s="345">
        <f>IFERROR(__xludf.DUMMYFUNCTION("SUM(C8*0.33,D8 * 
SWITCH(
LEN(F8) - LEN(SUBSTITUTE(F8,"","","""")),
0 , VLOOKUP(F8, Variables!$A:$B, 2, FALSE),
1 , VLOOKUP(index(split(F8 ,"", "", FALSE),1,1), Variables!$A:$B , 2, FALSE) + VLOOKUP(index(split(F8 ,"", "", FALSE),1,2), Variables!$A:$B , 2"&amp;", FALSE),
2 , VLOOKUP(index(split(F8 ,"", "", FALSE),1,1), Variables!$A:$B , 2, FALSE) + VLOOKUP(index(split(F8 ,"", "", FALSE),1,2), Variables!$A:$B , 2, FALSE) + VLOOKUP(index(split(F8 ,"", "", FALSE),1,3), Variables!$A:$B , 2, FALSE)
)
 ,E8,G8:J8,0,
SU"&amp;"M(IFERROR(SUM(O8:AC8)/(COUNTA(O8:AC8)/3),0),IFERROR(SUM(SUM(AD8:AR8)/(COUNTA(AD8:AR8)/3))))
)"),43.63666666666666)</f>
        <v>43.63666667</v>
      </c>
      <c r="O8" s="385">
        <v>2.0</v>
      </c>
      <c r="P8" s="386">
        <v>1.0</v>
      </c>
      <c r="Q8" s="387">
        <v>2.0</v>
      </c>
      <c r="R8" s="388">
        <v>2.0</v>
      </c>
      <c r="S8" s="389"/>
      <c r="T8" s="385">
        <v>-2.0</v>
      </c>
      <c r="U8" s="386">
        <v>-2.0</v>
      </c>
      <c r="V8" s="387">
        <v>0.0</v>
      </c>
      <c r="W8" s="388">
        <v>0.0</v>
      </c>
      <c r="X8" s="389"/>
      <c r="Y8" s="385">
        <v>4.0</v>
      </c>
      <c r="Z8" s="386">
        <v>4.0</v>
      </c>
      <c r="AA8" s="387">
        <v>4.0</v>
      </c>
      <c r="AB8" s="388">
        <v>2.0</v>
      </c>
      <c r="AC8" s="389"/>
      <c r="AD8" s="385">
        <v>4.0</v>
      </c>
      <c r="AE8" s="386">
        <v>4.0</v>
      </c>
      <c r="AF8" s="390">
        <v>4.0</v>
      </c>
      <c r="AG8" s="390">
        <v>4.0</v>
      </c>
      <c r="AH8" s="389">
        <v>4.0</v>
      </c>
      <c r="AI8" s="385">
        <v>-5.0</v>
      </c>
      <c r="AJ8" s="386">
        <v>-5.0</v>
      </c>
      <c r="AK8" s="390">
        <v>-3.0</v>
      </c>
      <c r="AL8" s="390">
        <v>-3.0</v>
      </c>
      <c r="AM8" s="389">
        <v>-3.0</v>
      </c>
      <c r="AN8" s="385">
        <v>5.0</v>
      </c>
      <c r="AO8" s="386">
        <v>4.0</v>
      </c>
      <c r="AP8" s="390">
        <v>4.0</v>
      </c>
      <c r="AQ8" s="390">
        <v>4.0</v>
      </c>
      <c r="AR8" s="389">
        <v>4.0</v>
      </c>
    </row>
    <row r="9">
      <c r="A9" s="391" t="s">
        <v>1737</v>
      </c>
      <c r="B9" s="376" t="s">
        <v>1738</v>
      </c>
      <c r="C9" s="392">
        <v>5.0</v>
      </c>
      <c r="D9" s="378">
        <v>12.0</v>
      </c>
      <c r="E9" s="377">
        <v>4.0</v>
      </c>
      <c r="F9" s="380" t="s">
        <v>1663</v>
      </c>
      <c r="G9" s="382">
        <v>2.0</v>
      </c>
      <c r="H9" s="382">
        <v>2.0</v>
      </c>
      <c r="I9" s="382">
        <v>2.0</v>
      </c>
      <c r="J9" s="393">
        <v>5.0</v>
      </c>
      <c r="K9" s="383" t="s">
        <v>1739</v>
      </c>
      <c r="L9" s="383" t="s">
        <v>1740</v>
      </c>
      <c r="M9" s="384" t="s">
        <v>1741</v>
      </c>
      <c r="N9" s="345">
        <f>IFERROR(__xludf.DUMMYFUNCTION("SUM(C9*0.33,D9 * 
SWITCH(
LEN(F9) - LEN(SUBSTITUTE(F9,"","","""")),
0 , VLOOKUP(F9, Variables!$A:$B, 2, FALSE),
1 , VLOOKUP(index(split(F9 ,"", "", FALSE),1,1), Variables!$A:$B , 2, FALSE) + VLOOKUP(index(split(F9 ,"", "", FALSE),1,2), Variables!$A:$B , 2"&amp;", FALSE),
2 , VLOOKUP(index(split(F9 ,"", "", FALSE),1,1), Variables!$A:$B , 2, FALSE) + VLOOKUP(index(split(F9 ,"", "", FALSE),1,2), Variables!$A:$B , 2, FALSE) + VLOOKUP(index(split(F9 ,"", "", FALSE),1,3), Variables!$A:$B , 2, FALSE)
)
 ,E9,G9:J9,0,
SU"&amp;"M(IFERROR(SUM(O9:AC9)/(COUNTA(O9:AC9)/3),0),IFERROR(SUM(SUM(AD9:AR9)/(COUNTA(AD9:AR9)/3))))
)"),42.8)</f>
        <v>42.8</v>
      </c>
      <c r="O9" s="385">
        <v>2.0</v>
      </c>
      <c r="P9" s="386">
        <v>3.0</v>
      </c>
      <c r="Q9" s="387">
        <v>4.0</v>
      </c>
      <c r="R9" s="388">
        <v>4.0</v>
      </c>
      <c r="S9" s="389"/>
      <c r="T9" s="385">
        <v>0.0</v>
      </c>
      <c r="U9" s="386">
        <v>0.0</v>
      </c>
      <c r="V9" s="387">
        <v>0.0</v>
      </c>
      <c r="W9" s="388">
        <v>0.0</v>
      </c>
      <c r="X9" s="389"/>
      <c r="Y9" s="385">
        <v>3.0</v>
      </c>
      <c r="Z9" s="386">
        <v>2.0</v>
      </c>
      <c r="AA9" s="387">
        <v>3.0</v>
      </c>
      <c r="AB9" s="388">
        <v>2.0</v>
      </c>
      <c r="AC9" s="389"/>
      <c r="AD9" s="385">
        <v>4.0</v>
      </c>
      <c r="AE9" s="386">
        <v>4.0</v>
      </c>
      <c r="AF9" s="390">
        <v>4.0</v>
      </c>
      <c r="AG9" s="390">
        <v>4.0</v>
      </c>
      <c r="AH9" s="389">
        <v>4.0</v>
      </c>
      <c r="AI9" s="385">
        <v>-3.0</v>
      </c>
      <c r="AJ9" s="386">
        <v>-3.0</v>
      </c>
      <c r="AK9" s="390">
        <v>-3.0</v>
      </c>
      <c r="AL9" s="390">
        <v>-3.0</v>
      </c>
      <c r="AM9" s="389">
        <v>-3.0</v>
      </c>
      <c r="AN9" s="385">
        <v>3.0</v>
      </c>
      <c r="AO9" s="386">
        <v>3.0</v>
      </c>
      <c r="AP9" s="390">
        <v>3.0</v>
      </c>
      <c r="AQ9" s="390">
        <v>5.0</v>
      </c>
      <c r="AR9" s="389">
        <v>3.0</v>
      </c>
    </row>
    <row r="10">
      <c r="A10" s="391" t="s">
        <v>1742</v>
      </c>
      <c r="B10" s="376" t="s">
        <v>1717</v>
      </c>
      <c r="C10" s="382">
        <v>3.0</v>
      </c>
      <c r="D10" s="378">
        <v>12.0</v>
      </c>
      <c r="E10" s="377">
        <v>4.0</v>
      </c>
      <c r="F10" s="380" t="s">
        <v>1663</v>
      </c>
      <c r="G10" s="381">
        <v>4.0</v>
      </c>
      <c r="H10" s="377">
        <v>3.0</v>
      </c>
      <c r="I10" s="382">
        <v>2.0</v>
      </c>
      <c r="J10" s="382">
        <v>2.0</v>
      </c>
      <c r="K10" s="383" t="s">
        <v>1743</v>
      </c>
      <c r="L10" s="383" t="s">
        <v>1744</v>
      </c>
      <c r="M10" s="384" t="s">
        <v>1745</v>
      </c>
      <c r="N10" s="345">
        <f>IFERROR(__xludf.DUMMYFUNCTION("SUM(C10*0.33,D10 * 
SWITCH(
LEN(F10) - LEN(SUBSTITUTE(F10,"","","""")),
0 , VLOOKUP(F10, Variables!$A:$B, 2, FALSE),
1 , VLOOKUP(index(split(F10 ,"", "", FALSE),1,1), Variables!$A:$B , 2, FALSE) + VLOOKUP(index(split(F10 ,"", "", FALSE),1,2), Variables!$A"&amp;":$B , 2, FALSE),
2 , VLOOKUP(index(split(F10 ,"", "", FALSE),1,1), Variables!$A:$B , 2, FALSE) + VLOOKUP(index(split(F10 ,"", "", FALSE),1,2), Variables!$A:$B , 2, FALSE) + VLOOKUP(index(split(F10 ,"", "", FALSE),1,3), Variables!$A:$B , 2, FALSE)
)
 ,E10,"&amp;"G10:J10,0,
SUM(IFERROR(SUM(O10:AC10)/(COUNTA(O10:AC10)/3),0),IFERROR(SUM(SUM(AD10:AR10)/(COUNTA(AD10:AR10)/3))))
)"),42.339999999999996)</f>
        <v>42.34</v>
      </c>
      <c r="O10" s="385">
        <v>2.0</v>
      </c>
      <c r="P10" s="386">
        <v>2.0</v>
      </c>
      <c r="Q10" s="387">
        <v>2.0</v>
      </c>
      <c r="R10" s="388">
        <v>4.0</v>
      </c>
      <c r="S10" s="389"/>
      <c r="T10" s="385">
        <v>-2.0</v>
      </c>
      <c r="U10" s="386">
        <v>-2.0</v>
      </c>
      <c r="V10" s="387">
        <v>-2.0</v>
      </c>
      <c r="W10" s="388">
        <v>-3.0</v>
      </c>
      <c r="X10" s="389"/>
      <c r="Y10" s="385">
        <v>4.0</v>
      </c>
      <c r="Z10" s="386">
        <v>5.0</v>
      </c>
      <c r="AA10" s="387">
        <v>4.0</v>
      </c>
      <c r="AB10" s="388">
        <v>5.0</v>
      </c>
      <c r="AC10" s="389"/>
      <c r="AD10" s="385">
        <v>4.0</v>
      </c>
      <c r="AE10" s="386">
        <v>4.0</v>
      </c>
      <c r="AF10" s="390">
        <v>4.0</v>
      </c>
      <c r="AG10" s="390">
        <v>4.0</v>
      </c>
      <c r="AH10" s="389">
        <v>4.0</v>
      </c>
      <c r="AI10" s="385">
        <v>-5.0</v>
      </c>
      <c r="AJ10" s="386">
        <v>-3.0</v>
      </c>
      <c r="AK10" s="390">
        <v>-3.0</v>
      </c>
      <c r="AL10" s="390">
        <v>-3.0</v>
      </c>
      <c r="AM10" s="389">
        <v>-3.0</v>
      </c>
      <c r="AN10" s="385">
        <v>5.0</v>
      </c>
      <c r="AO10" s="386">
        <v>5.0</v>
      </c>
      <c r="AP10" s="390">
        <v>5.0</v>
      </c>
      <c r="AQ10" s="390">
        <v>5.0</v>
      </c>
      <c r="AR10" s="389">
        <v>5.0</v>
      </c>
    </row>
    <row r="11">
      <c r="A11" s="375" t="s">
        <v>1410</v>
      </c>
      <c r="B11" s="376" t="s">
        <v>1717</v>
      </c>
      <c r="C11" s="382">
        <v>3.0</v>
      </c>
      <c r="D11" s="378">
        <v>12.0</v>
      </c>
      <c r="E11" s="379">
        <v>3.0</v>
      </c>
      <c r="F11" s="380" t="s">
        <v>1663</v>
      </c>
      <c r="G11" s="381">
        <v>4.0</v>
      </c>
      <c r="H11" s="381">
        <v>4.0</v>
      </c>
      <c r="I11" s="379">
        <v>1.0</v>
      </c>
      <c r="J11" s="382">
        <v>2.0</v>
      </c>
      <c r="K11" s="383" t="s">
        <v>1746</v>
      </c>
      <c r="L11" s="383" t="s">
        <v>1747</v>
      </c>
      <c r="M11" s="384" t="s">
        <v>1748</v>
      </c>
      <c r="N11" s="345">
        <f>IFERROR(__xludf.DUMMYFUNCTION("SUM(C11*0.33,D11 * 
SWITCH(
LEN(F11) - LEN(SUBSTITUTE(F11,"","","""")),
0 , VLOOKUP(F11, Variables!$A:$B, 2, FALSE),
1 , VLOOKUP(index(split(F11 ,"", "", FALSE),1,1), Variables!$A:$B , 2, FALSE) + VLOOKUP(index(split(F11 ,"", "", FALSE),1,2), Variables!$A"&amp;":$B , 2, FALSE),
2 , VLOOKUP(index(split(F11 ,"", "", FALSE),1,1), Variables!$A:$B , 2, FALSE) + VLOOKUP(index(split(F11 ,"", "", FALSE),1,2), Variables!$A:$B , 2, FALSE) + VLOOKUP(index(split(F11 ,"", "", FALSE),1,3), Variables!$A:$B , 2, FALSE)
)
 ,E11,"&amp;"G11:J11,0,
SUM(IFERROR(SUM(O11:AC11)/(COUNTA(O11:AC11)/3),0),IFERROR(SUM(SUM(AD11:AR11)/(COUNTA(AD11:AR11)/3))))
)"),42.04)</f>
        <v>42.04</v>
      </c>
      <c r="O11" s="385">
        <v>2.0</v>
      </c>
      <c r="P11" s="386">
        <v>3.0</v>
      </c>
      <c r="Q11" s="387">
        <v>2.0</v>
      </c>
      <c r="R11" s="388">
        <v>2.0</v>
      </c>
      <c r="S11" s="389"/>
      <c r="T11" s="385">
        <v>0.0</v>
      </c>
      <c r="U11" s="386">
        <v>0.0</v>
      </c>
      <c r="V11" s="387">
        <v>0.0</v>
      </c>
      <c r="W11" s="388">
        <v>0.0</v>
      </c>
      <c r="X11" s="389"/>
      <c r="Y11" s="385">
        <v>3.0</v>
      </c>
      <c r="Z11" s="386">
        <v>3.0</v>
      </c>
      <c r="AA11" s="387">
        <v>5.0</v>
      </c>
      <c r="AB11" s="388">
        <v>5.0</v>
      </c>
      <c r="AC11" s="389"/>
      <c r="AD11" s="385">
        <v>4.0</v>
      </c>
      <c r="AE11" s="386">
        <v>4.0</v>
      </c>
      <c r="AF11" s="390">
        <v>4.0</v>
      </c>
      <c r="AG11" s="390">
        <v>4.0</v>
      </c>
      <c r="AH11" s="389">
        <v>4.0</v>
      </c>
      <c r="AI11" s="385">
        <v>-3.0</v>
      </c>
      <c r="AJ11" s="386">
        <v>-3.0</v>
      </c>
      <c r="AK11" s="390">
        <v>-3.0</v>
      </c>
      <c r="AL11" s="390">
        <v>-3.0</v>
      </c>
      <c r="AM11" s="389">
        <v>-3.0</v>
      </c>
      <c r="AN11" s="385">
        <v>4.0</v>
      </c>
      <c r="AO11" s="386">
        <v>4.0</v>
      </c>
      <c r="AP11" s="390">
        <v>3.0</v>
      </c>
      <c r="AQ11" s="390">
        <v>4.0</v>
      </c>
      <c r="AR11" s="389">
        <v>4.0</v>
      </c>
    </row>
    <row r="12">
      <c r="A12" s="391" t="s">
        <v>1749</v>
      </c>
      <c r="B12" s="376" t="s">
        <v>1730</v>
      </c>
      <c r="C12" s="377">
        <v>4.0</v>
      </c>
      <c r="D12" s="377">
        <v>10.0</v>
      </c>
      <c r="E12" s="377">
        <v>4.0</v>
      </c>
      <c r="F12" s="380" t="s">
        <v>1663</v>
      </c>
      <c r="G12" s="382">
        <v>2.0</v>
      </c>
      <c r="H12" s="377">
        <v>3.0</v>
      </c>
      <c r="I12" s="381">
        <v>4.0</v>
      </c>
      <c r="J12" s="382">
        <v>2.0</v>
      </c>
      <c r="K12" s="383" t="s">
        <v>1750</v>
      </c>
      <c r="L12" s="383" t="s">
        <v>1751</v>
      </c>
      <c r="M12" s="384" t="s">
        <v>1724</v>
      </c>
      <c r="N12" s="345">
        <f>IFERROR(__xludf.DUMMYFUNCTION("SUM(C12*0.33,D12 * 
SWITCH(
LEN(F12) - LEN(SUBSTITUTE(F12,"","","""")),
0 , VLOOKUP(F12, Variables!$A:$B, 2, FALSE),
1 , VLOOKUP(index(split(F12 ,"", "", FALSE),1,1), Variables!$A:$B , 2, FALSE) + VLOOKUP(index(split(F12 ,"", "", FALSE),1,2), Variables!$A"&amp;":$B , 2, FALSE),
2 , VLOOKUP(index(split(F12 ,"", "", FALSE),1,1), Variables!$A:$B , 2, FALSE) + VLOOKUP(index(split(F12 ,"", "", FALSE),1,2), Variables!$A:$B , 2, FALSE) + VLOOKUP(index(split(F12 ,"", "", FALSE),1,3), Variables!$A:$B , 2, FALSE)
)
 ,E12,"&amp;"G12:J12,0,
SUM(IFERROR(SUM(O12:AC12)/(COUNTA(O12:AC12)/3),0),IFERROR(SUM(SUM(AD12:AR12)/(COUNTA(AD12:AR12)/3))))
)"),41.053333333333335)</f>
        <v>41.05333333</v>
      </c>
      <c r="O12" s="385">
        <v>2.0</v>
      </c>
      <c r="P12" s="386">
        <v>4.0</v>
      </c>
      <c r="Q12" s="387">
        <v>4.0</v>
      </c>
      <c r="R12" s="388">
        <v>4.0</v>
      </c>
      <c r="S12" s="389"/>
      <c r="T12" s="385">
        <v>-1.0</v>
      </c>
      <c r="U12" s="386">
        <v>-2.0</v>
      </c>
      <c r="V12" s="387">
        <v>-1.0</v>
      </c>
      <c r="W12" s="388">
        <v>-1.0</v>
      </c>
      <c r="X12" s="389"/>
      <c r="Y12" s="385">
        <v>4.0</v>
      </c>
      <c r="Z12" s="386">
        <v>4.0</v>
      </c>
      <c r="AA12" s="387">
        <v>4.0</v>
      </c>
      <c r="AB12" s="388">
        <v>3.0</v>
      </c>
      <c r="AC12" s="389"/>
      <c r="AD12" s="385">
        <v>4.0</v>
      </c>
      <c r="AE12" s="386">
        <v>4.0</v>
      </c>
      <c r="AF12" s="390">
        <v>4.0</v>
      </c>
      <c r="AG12" s="390">
        <v>4.0</v>
      </c>
      <c r="AH12" s="389">
        <v>4.0</v>
      </c>
      <c r="AI12" s="385">
        <v>-3.0</v>
      </c>
      <c r="AJ12" s="386">
        <v>-3.0</v>
      </c>
      <c r="AK12" s="390">
        <v>-3.0</v>
      </c>
      <c r="AL12" s="390">
        <v>-3.0</v>
      </c>
      <c r="AM12" s="389">
        <v>-3.0</v>
      </c>
      <c r="AN12" s="385">
        <v>4.0</v>
      </c>
      <c r="AO12" s="386">
        <v>4.0</v>
      </c>
      <c r="AP12" s="390">
        <v>4.0</v>
      </c>
      <c r="AQ12" s="390">
        <v>5.0</v>
      </c>
      <c r="AR12" s="389">
        <v>5.0</v>
      </c>
    </row>
    <row r="13">
      <c r="A13" s="391" t="s">
        <v>1752</v>
      </c>
      <c r="B13" s="376" t="s">
        <v>1730</v>
      </c>
      <c r="C13" s="377">
        <v>4.0</v>
      </c>
      <c r="D13" s="379">
        <v>8.0</v>
      </c>
      <c r="E13" s="378">
        <v>5.0</v>
      </c>
      <c r="F13" s="380" t="s">
        <v>1663</v>
      </c>
      <c r="G13" s="379">
        <v>1.0</v>
      </c>
      <c r="H13" s="382">
        <v>2.0</v>
      </c>
      <c r="I13" s="393">
        <v>5.0</v>
      </c>
      <c r="J13" s="377">
        <v>3.0</v>
      </c>
      <c r="K13" s="383" t="s">
        <v>1753</v>
      </c>
      <c r="L13" s="383" t="s">
        <v>1754</v>
      </c>
      <c r="M13" s="384" t="s">
        <v>1724</v>
      </c>
      <c r="N13" s="345">
        <f>IFERROR(__xludf.DUMMYFUNCTION("SUM(C13*0.33,D13 * 
SWITCH(
LEN(F13) - LEN(SUBSTITUTE(F13,"","","""")),
0 , VLOOKUP(F13, Variables!$A:$B, 2, FALSE),
1 , VLOOKUP(index(split(F13 ,"", "", FALSE),1,1), Variables!$A:$B , 2, FALSE) + VLOOKUP(index(split(F13 ,"", "", FALSE),1,2), Variables!$A"&amp;":$B , 2, FALSE),
2 , VLOOKUP(index(split(F13 ,"", "", FALSE),1,1), Variables!$A:$B , 2, FALSE) + VLOOKUP(index(split(F13 ,"", "", FALSE),1,2), Variables!$A:$B , 2, FALSE) + VLOOKUP(index(split(F13 ,"", "", FALSE),1,3), Variables!$A:$B , 2, FALSE)
)
 ,E13,"&amp;"G13:J13,0,
SUM(IFERROR(SUM(O13:AC13)/(COUNTA(O13:AC13)/3),0),IFERROR(SUM(SUM(AD13:AR13)/(COUNTA(AD13:AR13)/3))))
)"),40.086666666666666)</f>
        <v>40.08666667</v>
      </c>
      <c r="O13" s="385">
        <v>4.0</v>
      </c>
      <c r="P13" s="386">
        <v>4.0</v>
      </c>
      <c r="Q13" s="387">
        <v>4.0</v>
      </c>
      <c r="R13" s="388">
        <v>4.0</v>
      </c>
      <c r="S13" s="389"/>
      <c r="T13" s="385">
        <v>-2.0</v>
      </c>
      <c r="U13" s="386">
        <v>-2.0</v>
      </c>
      <c r="V13" s="387">
        <v>0.0</v>
      </c>
      <c r="W13" s="388">
        <v>0.0</v>
      </c>
      <c r="X13" s="389"/>
      <c r="Y13" s="385">
        <v>3.0</v>
      </c>
      <c r="Z13" s="386">
        <v>4.0</v>
      </c>
      <c r="AA13" s="387">
        <v>4.0</v>
      </c>
      <c r="AB13" s="388">
        <v>3.0</v>
      </c>
      <c r="AC13" s="389"/>
      <c r="AD13" s="385">
        <v>5.0</v>
      </c>
      <c r="AE13" s="386">
        <v>4.0</v>
      </c>
      <c r="AF13" s="390">
        <v>4.0</v>
      </c>
      <c r="AG13" s="390">
        <v>4.0</v>
      </c>
      <c r="AH13" s="389">
        <v>5.0</v>
      </c>
      <c r="AI13" s="385">
        <v>-5.0</v>
      </c>
      <c r="AJ13" s="386">
        <v>-3.0</v>
      </c>
      <c r="AK13" s="390">
        <v>-3.0</v>
      </c>
      <c r="AL13" s="390">
        <v>-3.0</v>
      </c>
      <c r="AM13" s="389">
        <v>-5.0</v>
      </c>
      <c r="AN13" s="385">
        <v>5.0</v>
      </c>
      <c r="AO13" s="386">
        <v>5.0</v>
      </c>
      <c r="AP13" s="390">
        <v>5.0</v>
      </c>
      <c r="AQ13" s="390">
        <v>5.0</v>
      </c>
      <c r="AR13" s="389">
        <v>5.0</v>
      </c>
    </row>
    <row r="14">
      <c r="A14" s="376" t="s">
        <v>1755</v>
      </c>
      <c r="B14" s="376" t="s">
        <v>1717</v>
      </c>
      <c r="C14" s="377">
        <v>4.0</v>
      </c>
      <c r="D14" s="392">
        <v>14.0</v>
      </c>
      <c r="E14" s="379">
        <v>3.0</v>
      </c>
      <c r="F14" s="380" t="s">
        <v>1663</v>
      </c>
      <c r="G14" s="393">
        <v>5.0</v>
      </c>
      <c r="H14" s="377">
        <v>3.0</v>
      </c>
      <c r="I14" s="379">
        <v>1.0</v>
      </c>
      <c r="J14" s="382">
        <v>2.0</v>
      </c>
      <c r="K14" s="383" t="s">
        <v>1756</v>
      </c>
      <c r="L14" s="383" t="s">
        <v>1757</v>
      </c>
      <c r="M14" s="384" t="s">
        <v>1758</v>
      </c>
      <c r="N14" s="345">
        <f>IFERROR(__xludf.DUMMYFUNCTION("SUM(C14*0.33,D14 * 
SWITCH(
LEN(F14) - LEN(SUBSTITUTE(F14,"","","""")),
0 , VLOOKUP(F14, Variables!$A:$B, 2, FALSE),
1 , VLOOKUP(index(split(F14 ,"", "", FALSE),1,1), Variables!$A:$B , 2, FALSE) + VLOOKUP(index(split(F14 ,"", "", FALSE),1,2), Variables!$A"&amp;":$B , 2, FALSE),
2 , VLOOKUP(index(split(F14 ,"", "", FALSE),1,1), Variables!$A:$B , 2, FALSE) + VLOOKUP(index(split(F14 ,"", "", FALSE),1,2), Variables!$A:$B , 2, FALSE) + VLOOKUP(index(split(F14 ,"", "", FALSE),1,3), Variables!$A:$B , 2, FALSE)
)
 ,E14,"&amp;"G14:J14,0,
SUM(IFERROR(SUM(O14:AC14)/(COUNTA(O14:AC14)/3),0),IFERROR(SUM(SUM(AD14:AR14)/(COUNTA(AD14:AR14)/3))))
)"),41.93666666666667)</f>
        <v>41.93666667</v>
      </c>
      <c r="O14" s="385">
        <v>1.0</v>
      </c>
      <c r="P14" s="386">
        <v>4.0</v>
      </c>
      <c r="Q14" s="387">
        <v>4.0</v>
      </c>
      <c r="R14" s="388">
        <v>4.0</v>
      </c>
      <c r="S14" s="389"/>
      <c r="T14" s="385">
        <v>-2.0</v>
      </c>
      <c r="U14" s="386">
        <v>-3.0</v>
      </c>
      <c r="V14" s="387">
        <v>-2.0</v>
      </c>
      <c r="W14" s="388">
        <v>0.0</v>
      </c>
      <c r="X14" s="389"/>
      <c r="Y14" s="385">
        <v>3.0</v>
      </c>
      <c r="Z14" s="386">
        <v>2.0</v>
      </c>
      <c r="AA14" s="387">
        <v>2.0</v>
      </c>
      <c r="AB14" s="388">
        <v>2.0</v>
      </c>
      <c r="AC14" s="389"/>
      <c r="AD14" s="385">
        <v>5.0</v>
      </c>
      <c r="AE14" s="386">
        <v>5.0</v>
      </c>
      <c r="AF14" s="390">
        <v>5.0</v>
      </c>
      <c r="AG14" s="390">
        <v>5.0</v>
      </c>
      <c r="AH14" s="389">
        <v>5.0</v>
      </c>
      <c r="AI14" s="385">
        <v>-3.0</v>
      </c>
      <c r="AJ14" s="386">
        <v>-5.0</v>
      </c>
      <c r="AK14" s="390">
        <v>-3.0</v>
      </c>
      <c r="AL14" s="390">
        <v>-3.0</v>
      </c>
      <c r="AM14" s="389">
        <v>-3.0</v>
      </c>
      <c r="AN14" s="385">
        <v>3.0</v>
      </c>
      <c r="AO14" s="386">
        <v>1.0</v>
      </c>
      <c r="AP14" s="390">
        <v>2.0</v>
      </c>
      <c r="AQ14" s="390">
        <v>3.0</v>
      </c>
      <c r="AR14" s="389">
        <v>4.0</v>
      </c>
    </row>
    <row r="15">
      <c r="A15" s="391" t="s">
        <v>1759</v>
      </c>
      <c r="B15" s="376" t="s">
        <v>1738</v>
      </c>
      <c r="C15" s="392">
        <v>5.0</v>
      </c>
      <c r="D15" s="377">
        <v>10.0</v>
      </c>
      <c r="E15" s="378">
        <v>5.0</v>
      </c>
      <c r="F15" s="380" t="s">
        <v>1663</v>
      </c>
      <c r="G15" s="377">
        <v>3.0</v>
      </c>
      <c r="H15" s="377">
        <v>3.0</v>
      </c>
      <c r="I15" s="377">
        <v>3.0</v>
      </c>
      <c r="J15" s="377">
        <v>3.0</v>
      </c>
      <c r="K15" s="343" t="s">
        <v>1760</v>
      </c>
      <c r="L15" s="383" t="s">
        <v>1761</v>
      </c>
      <c r="M15" s="384" t="s">
        <v>1762</v>
      </c>
      <c r="N15" s="345">
        <f>IFERROR(__xludf.DUMMYFUNCTION("SUM(C15*0.33,D15 * 
SWITCH(
LEN(F15) - LEN(SUBSTITUTE(F15,"","","""")),
0 , VLOOKUP(F15, Variables!$A:$B, 2, FALSE),
1 , VLOOKUP(index(split(F15 ,"", "", FALSE),1,1), Variables!$A:$B , 2, FALSE) + VLOOKUP(index(split(F15 ,"", "", FALSE),1,2), Variables!$A"&amp;":$B , 2, FALSE),
2 , VLOOKUP(index(split(F15 ,"", "", FALSE),1,1), Variables!$A:$B , 2, FALSE) + VLOOKUP(index(split(F15 ,"", "", FALSE),1,2), Variables!$A:$B , 2, FALSE) + VLOOKUP(index(split(F15 ,"", "", FALSE),1,3), Variables!$A:$B , 2, FALSE)
)
 ,E15,"&amp;"G15:J15,0,
SUM(IFERROR(SUM(O15:AC15)/(COUNTA(O15:AC15)/3),0),IFERROR(SUM(SUM(AD15:AR15)/(COUNTA(AD15:AR15)/3))))
)"),40.583333333333336)</f>
        <v>40.58333333</v>
      </c>
      <c r="O15" s="385">
        <v>2.0</v>
      </c>
      <c r="P15" s="386">
        <v>2.0</v>
      </c>
      <c r="Q15" s="387">
        <v>2.0</v>
      </c>
      <c r="R15" s="388">
        <v>2.0</v>
      </c>
      <c r="S15" s="389"/>
      <c r="T15" s="385">
        <v>-2.0</v>
      </c>
      <c r="U15" s="386">
        <v>-2.0</v>
      </c>
      <c r="V15" s="387">
        <v>-2.0</v>
      </c>
      <c r="W15" s="388">
        <v>0.0</v>
      </c>
      <c r="X15" s="389"/>
      <c r="Y15" s="385">
        <v>4.0</v>
      </c>
      <c r="Z15" s="386">
        <v>4.0</v>
      </c>
      <c r="AA15" s="387">
        <v>3.0</v>
      </c>
      <c r="AB15" s="388">
        <v>3.0</v>
      </c>
      <c r="AC15" s="389"/>
      <c r="AD15" s="385">
        <v>4.0</v>
      </c>
      <c r="AE15" s="386">
        <v>4.0</v>
      </c>
      <c r="AF15" s="390">
        <v>4.0</v>
      </c>
      <c r="AG15" s="390">
        <v>4.0</v>
      </c>
      <c r="AH15" s="389">
        <v>4.0</v>
      </c>
      <c r="AI15" s="385">
        <v>-3.0</v>
      </c>
      <c r="AJ15" s="386">
        <v>-3.0</v>
      </c>
      <c r="AK15" s="390">
        <v>-3.0</v>
      </c>
      <c r="AL15" s="390">
        <v>-3.0</v>
      </c>
      <c r="AM15" s="389">
        <v>-3.0</v>
      </c>
      <c r="AN15" s="385">
        <v>3.0</v>
      </c>
      <c r="AO15" s="386">
        <v>4.0</v>
      </c>
      <c r="AP15" s="390">
        <v>3.0</v>
      </c>
      <c r="AQ15" s="390">
        <v>4.0</v>
      </c>
      <c r="AR15" s="389">
        <v>4.0</v>
      </c>
    </row>
    <row r="16">
      <c r="A16" s="391" t="s">
        <v>1763</v>
      </c>
      <c r="B16" s="376" t="s">
        <v>1721</v>
      </c>
      <c r="C16" s="382">
        <v>3.0</v>
      </c>
      <c r="D16" s="378">
        <v>12.0</v>
      </c>
      <c r="E16" s="378">
        <v>5.0</v>
      </c>
      <c r="F16" s="380" t="s">
        <v>1663</v>
      </c>
      <c r="G16" s="381">
        <v>4.0</v>
      </c>
      <c r="H16" s="377">
        <v>3.0</v>
      </c>
      <c r="I16" s="382">
        <v>2.0</v>
      </c>
      <c r="J16" s="382">
        <v>2.0</v>
      </c>
      <c r="K16" s="383" t="s">
        <v>1764</v>
      </c>
      <c r="L16" s="383" t="s">
        <v>1765</v>
      </c>
      <c r="M16" s="384" t="s">
        <v>1766</v>
      </c>
      <c r="N16" s="345">
        <f>IFERROR(__xludf.DUMMYFUNCTION("SUM(C16*0.33,D16 * 
SWITCH(
LEN(F16) - LEN(SUBSTITUTE(F16,"","","""")),
0 , VLOOKUP(F16, Variables!$A:$B, 2, FALSE),
1 , VLOOKUP(index(split(F16 ,"", "", FALSE),1,1), Variables!$A:$B , 2, FALSE) + VLOOKUP(index(split(F16 ,"", "", FALSE),1,2), Variables!$A"&amp;":$B , 2, FALSE),
2 , VLOOKUP(index(split(F16 ,"", "", FALSE),1,1), Variables!$A:$B , 2, FALSE) + VLOOKUP(index(split(F16 ,"", "", FALSE),1,2), Variables!$A:$B , 2, FALSE) + VLOOKUP(index(split(F16 ,"", "", FALSE),1,3), Variables!$A:$B , 2, FALSE)
)
 ,E16,"&amp;"G16:J16,0,
SUM(IFERROR(SUM(O16:AC16)/(COUNTA(O16:AC16)/3),0),IFERROR(SUM(SUM(AD16:AR16)/(COUNTA(AD16:AR16)/3))))
)"),40.989999999999995)</f>
        <v>40.99</v>
      </c>
      <c r="O16" s="385">
        <v>3.0</v>
      </c>
      <c r="P16" s="386">
        <v>2.0</v>
      </c>
      <c r="Q16" s="387">
        <v>3.0</v>
      </c>
      <c r="R16" s="388">
        <v>5.0</v>
      </c>
      <c r="S16" s="389"/>
      <c r="T16" s="385">
        <v>-2.0</v>
      </c>
      <c r="U16" s="386">
        <v>-2.0</v>
      </c>
      <c r="V16" s="387">
        <v>-2.0</v>
      </c>
      <c r="W16" s="388">
        <v>0.0</v>
      </c>
      <c r="X16" s="389"/>
      <c r="Y16" s="385">
        <v>2.0</v>
      </c>
      <c r="Z16" s="386">
        <v>2.0</v>
      </c>
      <c r="AA16" s="387">
        <v>2.0</v>
      </c>
      <c r="AB16" s="388">
        <v>3.0</v>
      </c>
      <c r="AC16" s="389"/>
      <c r="AD16" s="385">
        <v>3.0</v>
      </c>
      <c r="AE16" s="386">
        <v>3.0</v>
      </c>
      <c r="AF16" s="390">
        <v>3.0</v>
      </c>
      <c r="AG16" s="390">
        <v>3.0</v>
      </c>
      <c r="AH16" s="389">
        <v>3.0</v>
      </c>
      <c r="AI16" s="385">
        <v>-3.0</v>
      </c>
      <c r="AJ16" s="386">
        <v>-3.0</v>
      </c>
      <c r="AK16" s="390">
        <v>-3.0</v>
      </c>
      <c r="AL16" s="390">
        <v>-3.0</v>
      </c>
      <c r="AM16" s="389">
        <v>-3.0</v>
      </c>
      <c r="AN16" s="385">
        <v>4.0</v>
      </c>
      <c r="AO16" s="386">
        <v>4.0</v>
      </c>
      <c r="AP16" s="390">
        <v>5.0</v>
      </c>
      <c r="AQ16" s="390">
        <v>3.0</v>
      </c>
      <c r="AR16" s="389">
        <v>4.0</v>
      </c>
    </row>
    <row r="17">
      <c r="A17" s="391" t="s">
        <v>1767</v>
      </c>
      <c r="B17" s="376" t="s">
        <v>1717</v>
      </c>
      <c r="C17" s="382">
        <v>3.0</v>
      </c>
      <c r="D17" s="378">
        <v>12.0</v>
      </c>
      <c r="E17" s="378">
        <v>5.0</v>
      </c>
      <c r="F17" s="380" t="s">
        <v>1663</v>
      </c>
      <c r="G17" s="393">
        <v>5.0</v>
      </c>
      <c r="H17" s="382">
        <v>2.0</v>
      </c>
      <c r="I17" s="382">
        <v>2.0</v>
      </c>
      <c r="J17" s="382">
        <v>2.0</v>
      </c>
      <c r="K17" s="383" t="s">
        <v>1768</v>
      </c>
      <c r="L17" s="383" t="s">
        <v>1769</v>
      </c>
      <c r="M17" s="384" t="s">
        <v>1762</v>
      </c>
      <c r="N17" s="345">
        <f>IFERROR(__xludf.DUMMYFUNCTION("SUM(C17*0.33,D17 * 
SWITCH(
LEN(F17) - LEN(SUBSTITUTE(F17,"","","""")),
0 , VLOOKUP(F17, Variables!$A:$B, 2, FALSE),
1 , VLOOKUP(index(split(F17 ,"", "", FALSE),1,1), Variables!$A:$B , 2, FALSE) + VLOOKUP(index(split(F17 ,"", "", FALSE),1,2), Variables!$A"&amp;":$B , 2, FALSE),
2 , VLOOKUP(index(split(F17 ,"", "", FALSE),1,1), Variables!$A:$B , 2, FALSE) + VLOOKUP(index(split(F17 ,"", "", FALSE),1,2), Variables!$A:$B , 2, FALSE) + VLOOKUP(index(split(F17 ,"", "", FALSE),1,3), Variables!$A:$B , 2, FALSE)
)
 ,E17,"&amp;"G17:J17,0,
SUM(IFERROR(SUM(O17:AC17)/(COUNTA(O17:AC17)/3),0),IFERROR(SUM(SUM(AD17:AR17)/(COUNTA(AD17:AR17)/3))))
)"),40.69)</f>
        <v>40.69</v>
      </c>
      <c r="O17" s="385">
        <v>2.0</v>
      </c>
      <c r="P17" s="386">
        <v>2.0</v>
      </c>
      <c r="Q17" s="387">
        <v>2.0</v>
      </c>
      <c r="R17" s="388">
        <v>2.0</v>
      </c>
      <c r="S17" s="389"/>
      <c r="T17" s="385">
        <v>-2.0</v>
      </c>
      <c r="U17" s="386">
        <v>-2.0</v>
      </c>
      <c r="V17" s="387">
        <v>0.0</v>
      </c>
      <c r="W17" s="388">
        <v>0.0</v>
      </c>
      <c r="X17" s="389"/>
      <c r="Y17" s="385">
        <v>3.0</v>
      </c>
      <c r="Z17" s="386">
        <v>3.0</v>
      </c>
      <c r="AA17" s="387">
        <v>4.0</v>
      </c>
      <c r="AB17" s="388">
        <v>4.0</v>
      </c>
      <c r="AC17" s="389"/>
      <c r="AD17" s="385">
        <v>2.0</v>
      </c>
      <c r="AE17" s="386">
        <v>2.0</v>
      </c>
      <c r="AF17" s="390">
        <v>2.0</v>
      </c>
      <c r="AG17" s="390">
        <v>2.0</v>
      </c>
      <c r="AH17" s="389">
        <v>2.0</v>
      </c>
      <c r="AI17" s="385">
        <v>-3.0</v>
      </c>
      <c r="AJ17" s="386">
        <v>-3.0</v>
      </c>
      <c r="AK17" s="390">
        <v>-3.0</v>
      </c>
      <c r="AL17" s="390">
        <v>-3.0</v>
      </c>
      <c r="AM17" s="389">
        <v>-3.0</v>
      </c>
      <c r="AN17" s="385">
        <v>5.0</v>
      </c>
      <c r="AO17" s="386">
        <v>4.0</v>
      </c>
      <c r="AP17" s="390">
        <v>4.0</v>
      </c>
      <c r="AQ17" s="390">
        <v>4.0</v>
      </c>
      <c r="AR17" s="389">
        <v>4.0</v>
      </c>
    </row>
    <row r="18">
      <c r="A18" s="391" t="s">
        <v>1770</v>
      </c>
      <c r="B18" s="376" t="s">
        <v>1730</v>
      </c>
      <c r="C18" s="377">
        <v>4.0</v>
      </c>
      <c r="D18" s="377">
        <v>10.0</v>
      </c>
      <c r="E18" s="377">
        <v>4.0</v>
      </c>
      <c r="F18" s="380" t="s">
        <v>1663</v>
      </c>
      <c r="G18" s="382">
        <v>2.0</v>
      </c>
      <c r="H18" s="377">
        <v>3.0</v>
      </c>
      <c r="I18" s="377">
        <v>3.0</v>
      </c>
      <c r="J18" s="377">
        <v>3.0</v>
      </c>
      <c r="K18" s="383" t="s">
        <v>1771</v>
      </c>
      <c r="L18" s="383" t="s">
        <v>1772</v>
      </c>
      <c r="M18" s="384" t="s">
        <v>1748</v>
      </c>
      <c r="N18" s="345">
        <f>IFERROR(__xludf.DUMMYFUNCTION("SUM(C18*0.33,D18 * 
SWITCH(
LEN(F18) - LEN(SUBSTITUTE(F18,"","","""")),
0 , VLOOKUP(F18, Variables!$A:$B, 2, FALSE),
1 , VLOOKUP(index(split(F18 ,"", "", FALSE),1,1), Variables!$A:$B , 2, FALSE) + VLOOKUP(index(split(F18 ,"", "", FALSE),1,2), Variables!$A"&amp;":$B , 2, FALSE),
2 , VLOOKUP(index(split(F18 ,"", "", FALSE),1,1), Variables!$A:$B , 2, FALSE) + VLOOKUP(index(split(F18 ,"", "", FALSE),1,2), Variables!$A:$B , 2, FALSE) + VLOOKUP(index(split(F18 ,"", "", FALSE),1,3), Variables!$A:$B , 2, FALSE)
)
 ,E18,"&amp;"G18:J18,0,
SUM(IFERROR(SUM(O18:AC18)/(COUNTA(O18:AC18)/3),0),IFERROR(SUM(SUM(AD18:AR18)/(COUNTA(AD18:AR18)/3))))
)"),39.95333333333333)</f>
        <v>39.95333333</v>
      </c>
      <c r="O18" s="385">
        <v>4.0</v>
      </c>
      <c r="P18" s="386">
        <v>4.0</v>
      </c>
      <c r="Q18" s="387">
        <v>4.0</v>
      </c>
      <c r="R18" s="388">
        <v>4.0</v>
      </c>
      <c r="S18" s="389"/>
      <c r="T18" s="385">
        <v>0.0</v>
      </c>
      <c r="U18" s="386">
        <v>0.0</v>
      </c>
      <c r="V18" s="387">
        <v>0.0</v>
      </c>
      <c r="W18" s="388">
        <v>0.0</v>
      </c>
      <c r="X18" s="389"/>
      <c r="Y18" s="385">
        <v>4.0</v>
      </c>
      <c r="Z18" s="386">
        <v>4.0</v>
      </c>
      <c r="AA18" s="387">
        <v>3.0</v>
      </c>
      <c r="AB18" s="388">
        <v>3.0</v>
      </c>
      <c r="AC18" s="389"/>
      <c r="AD18" s="385">
        <v>5.0</v>
      </c>
      <c r="AE18" s="386">
        <v>5.0</v>
      </c>
      <c r="AF18" s="390">
        <v>5.0</v>
      </c>
      <c r="AG18" s="390">
        <v>5.0</v>
      </c>
      <c r="AH18" s="389">
        <v>3.0</v>
      </c>
      <c r="AI18" s="385">
        <v>-3.0</v>
      </c>
      <c r="AJ18" s="386">
        <v>-5.0</v>
      </c>
      <c r="AK18" s="390">
        <v>-3.0</v>
      </c>
      <c r="AL18" s="390">
        <v>-3.0</v>
      </c>
      <c r="AM18" s="389">
        <v>-5.0</v>
      </c>
      <c r="AN18" s="385">
        <v>0.0</v>
      </c>
      <c r="AO18" s="386">
        <v>2.0</v>
      </c>
      <c r="AP18" s="390">
        <v>2.0</v>
      </c>
      <c r="AQ18" s="390">
        <v>2.0</v>
      </c>
      <c r="AR18" s="389">
        <v>4.0</v>
      </c>
    </row>
    <row r="19">
      <c r="A19" s="391" t="s">
        <v>1773</v>
      </c>
      <c r="B19" s="376" t="s">
        <v>1717</v>
      </c>
      <c r="C19" s="392">
        <v>5.0</v>
      </c>
      <c r="D19" s="377">
        <v>10.0</v>
      </c>
      <c r="E19" s="377">
        <v>4.0</v>
      </c>
      <c r="F19" s="380" t="s">
        <v>1663</v>
      </c>
      <c r="G19" s="381">
        <v>4.0</v>
      </c>
      <c r="H19" s="382">
        <v>2.0</v>
      </c>
      <c r="I19" s="379">
        <v>1.0</v>
      </c>
      <c r="J19" s="381">
        <v>4.0</v>
      </c>
      <c r="K19" s="383" t="s">
        <v>1774</v>
      </c>
      <c r="L19" s="383" t="s">
        <v>1775</v>
      </c>
      <c r="M19" s="384" t="s">
        <v>1728</v>
      </c>
      <c r="N19" s="345">
        <f>IFERROR(__xludf.DUMMYFUNCTION("SUM(C19*0.33,D19 * 
SWITCH(
LEN(F19) - LEN(SUBSTITUTE(F19,"","","""")),
0 , VLOOKUP(F19, Variables!$A:$B, 2, FALSE),
1 , VLOOKUP(index(split(F19 ,"", "", FALSE),1,1), Variables!$A:$B , 2, FALSE) + VLOOKUP(index(split(F19 ,"", "", FALSE),1,2), Variables!$A"&amp;":$B , 2, FALSE),
2 , VLOOKUP(index(split(F19 ,"", "", FALSE),1,1), Variables!$A:$B , 2, FALSE) + VLOOKUP(index(split(F19 ,"", "", FALSE),1,2), Variables!$A:$B , 2, FALSE) + VLOOKUP(index(split(F19 ,"", "", FALSE),1,3), Variables!$A:$B , 2, FALSE)
)
 ,E19,"&amp;"G19:J19,0,
SUM(IFERROR(SUM(O19:AC19)/(COUNTA(O19:AC19)/3),0),IFERROR(SUM(SUM(AD19:AR19)/(COUNTA(AD19:AR19)/3))))
)"),39.93333333333334)</f>
        <v>39.93333333</v>
      </c>
      <c r="O19" s="385">
        <v>2.0</v>
      </c>
      <c r="P19" s="386">
        <v>2.0</v>
      </c>
      <c r="Q19" s="387">
        <v>2.0</v>
      </c>
      <c r="R19" s="388">
        <v>2.0</v>
      </c>
      <c r="S19" s="389"/>
      <c r="T19" s="385">
        <v>-3.0</v>
      </c>
      <c r="U19" s="386">
        <v>-3.0</v>
      </c>
      <c r="V19" s="387">
        <v>-3.0</v>
      </c>
      <c r="W19" s="388">
        <v>-1.0</v>
      </c>
      <c r="X19" s="389"/>
      <c r="Y19" s="385">
        <v>4.0</v>
      </c>
      <c r="Z19" s="386">
        <v>2.0</v>
      </c>
      <c r="AA19" s="387">
        <v>3.0</v>
      </c>
      <c r="AB19" s="388">
        <v>4.0</v>
      </c>
      <c r="AC19" s="389"/>
      <c r="AD19" s="385">
        <v>5.0</v>
      </c>
      <c r="AE19" s="386">
        <v>5.0</v>
      </c>
      <c r="AF19" s="390">
        <v>5.0</v>
      </c>
      <c r="AG19" s="390">
        <v>6.0</v>
      </c>
      <c r="AH19" s="389">
        <v>6.0</v>
      </c>
      <c r="AI19" s="385">
        <v>-3.0</v>
      </c>
      <c r="AJ19" s="386">
        <v>-3.0</v>
      </c>
      <c r="AK19" s="390">
        <v>-3.0</v>
      </c>
      <c r="AL19" s="390">
        <v>-3.0</v>
      </c>
      <c r="AM19" s="389">
        <v>-3.0</v>
      </c>
      <c r="AN19" s="385">
        <v>5.0</v>
      </c>
      <c r="AO19" s="386">
        <v>5.0</v>
      </c>
      <c r="AP19" s="390">
        <v>5.0</v>
      </c>
      <c r="AQ19" s="390">
        <v>4.0</v>
      </c>
      <c r="AR19" s="389">
        <v>5.0</v>
      </c>
    </row>
    <row r="20">
      <c r="A20" s="391" t="s">
        <v>1449</v>
      </c>
      <c r="B20" s="376" t="s">
        <v>1738</v>
      </c>
      <c r="C20" s="392">
        <v>5.0</v>
      </c>
      <c r="D20" s="379">
        <v>8.0</v>
      </c>
      <c r="E20" s="378">
        <v>5.0</v>
      </c>
      <c r="F20" s="380" t="s">
        <v>1663</v>
      </c>
      <c r="G20" s="382">
        <v>2.0</v>
      </c>
      <c r="H20" s="382">
        <v>2.0</v>
      </c>
      <c r="I20" s="377">
        <v>3.0</v>
      </c>
      <c r="J20" s="381">
        <v>4.0</v>
      </c>
      <c r="K20" s="383" t="s">
        <v>1776</v>
      </c>
      <c r="L20" s="383" t="s">
        <v>1777</v>
      </c>
      <c r="M20" s="384" t="s">
        <v>1724</v>
      </c>
      <c r="N20" s="345">
        <f>IFERROR(__xludf.DUMMYFUNCTION("SUM(C20*0.33,D20 * 
SWITCH(
LEN(F20) - LEN(SUBSTITUTE(F20,"","","""")),
0 , VLOOKUP(F20, Variables!$A:$B, 2, FALSE),
1 , VLOOKUP(index(split(F20 ,"", "", FALSE),1,1), Variables!$A:$B , 2, FALSE) + VLOOKUP(index(split(F20 ,"", "", FALSE),1,2), Variables!$A"&amp;":$B , 2, FALSE),
2 , VLOOKUP(index(split(F20 ,"", "", FALSE),1,1), Variables!$A:$B , 2, FALSE) + VLOOKUP(index(split(F20 ,"", "", FALSE),1,2), Variables!$A:$B , 2, FALSE) + VLOOKUP(index(split(F20 ,"", "", FALSE),1,3), Variables!$A:$B , 2, FALSE)
)
 ,E20,"&amp;"G20:J20,0,
SUM(IFERROR(SUM(O20:AC20)/(COUNTA(O20:AC20)/3),0),IFERROR(SUM(SUM(AD20:AR20)/(COUNTA(AD20:AR20)/3))))
)"),39.11666666666667)</f>
        <v>39.11666667</v>
      </c>
      <c r="O20" s="385">
        <v>2.0</v>
      </c>
      <c r="P20" s="386">
        <v>2.0</v>
      </c>
      <c r="Q20" s="387">
        <v>2.0</v>
      </c>
      <c r="R20" s="388">
        <v>2.0</v>
      </c>
      <c r="S20" s="389"/>
      <c r="T20" s="385">
        <v>-2.0</v>
      </c>
      <c r="U20" s="386">
        <v>-2.0</v>
      </c>
      <c r="V20" s="387">
        <v>0.0</v>
      </c>
      <c r="W20" s="388">
        <v>0.0</v>
      </c>
      <c r="X20" s="389"/>
      <c r="Y20" s="385">
        <v>4.0</v>
      </c>
      <c r="Z20" s="386">
        <v>3.0</v>
      </c>
      <c r="AA20" s="387">
        <v>4.0</v>
      </c>
      <c r="AB20" s="388">
        <v>5.0</v>
      </c>
      <c r="AC20" s="389"/>
      <c r="AD20" s="385">
        <v>2.0</v>
      </c>
      <c r="AE20" s="386">
        <v>6.0</v>
      </c>
      <c r="AF20" s="390">
        <v>4.0</v>
      </c>
      <c r="AG20" s="390">
        <v>4.0</v>
      </c>
      <c r="AH20" s="389">
        <v>3.0</v>
      </c>
      <c r="AI20" s="385">
        <v>-3.0</v>
      </c>
      <c r="AJ20" s="386">
        <v>-3.0</v>
      </c>
      <c r="AK20" s="390">
        <v>-3.0</v>
      </c>
      <c r="AL20" s="390">
        <v>-3.0</v>
      </c>
      <c r="AM20" s="389">
        <v>-3.0</v>
      </c>
      <c r="AN20" s="385">
        <v>5.0</v>
      </c>
      <c r="AO20" s="386">
        <v>5.0</v>
      </c>
      <c r="AP20" s="390">
        <v>5.0</v>
      </c>
      <c r="AQ20" s="390">
        <v>5.0</v>
      </c>
      <c r="AR20" s="389">
        <v>5.0</v>
      </c>
    </row>
    <row r="21" ht="15.75" customHeight="1">
      <c r="A21" s="391" t="s">
        <v>1778</v>
      </c>
      <c r="B21" s="376" t="s">
        <v>1717</v>
      </c>
      <c r="C21" s="377">
        <v>4.0</v>
      </c>
      <c r="D21" s="392">
        <v>14.0</v>
      </c>
      <c r="E21" s="379">
        <v>3.0</v>
      </c>
      <c r="F21" s="380" t="s">
        <v>1663</v>
      </c>
      <c r="G21" s="392">
        <v>6.0</v>
      </c>
      <c r="H21" s="382">
        <v>2.0</v>
      </c>
      <c r="I21" s="379">
        <v>1.0</v>
      </c>
      <c r="J21" s="382">
        <v>2.0</v>
      </c>
      <c r="K21" s="383" t="s">
        <v>1779</v>
      </c>
      <c r="L21" s="383" t="s">
        <v>1780</v>
      </c>
      <c r="M21" s="384" t="s">
        <v>1758</v>
      </c>
      <c r="N21" s="345">
        <f>IFERROR(__xludf.DUMMYFUNCTION("SUM(C21*0.33,D21 * 
SWITCH(
LEN(F21) - LEN(SUBSTITUTE(F21,"","","""")),
0 , VLOOKUP(F21, Variables!$A:$B, 2, FALSE),
1 , VLOOKUP(index(split(F21 ,"", "", FALSE),1,1), Variables!$A:$B , 2, FALSE) + VLOOKUP(index(split(F21 ,"", "", FALSE),1,2), Variables!$A"&amp;":$B , 2, FALSE),
2 , VLOOKUP(index(split(F21 ,"", "", FALSE),1,1), Variables!$A:$B , 2, FALSE) + VLOOKUP(index(split(F21 ,"", "", FALSE),1,2), Variables!$A:$B , 2, FALSE) + VLOOKUP(index(split(F21 ,"", "", FALSE),1,3), Variables!$A:$B , 2, FALSE)
)
 ,E21,"&amp;"G21:J21,0,
SUM(IFERROR(SUM(O21:AC21)/(COUNTA(O21:AC21)/3),0),IFERROR(SUM(SUM(AD21:AR21)/(COUNTA(AD21:AR21)/3))))
)"),40.88666666666666)</f>
        <v>40.88666667</v>
      </c>
      <c r="O21" s="385">
        <v>2.0</v>
      </c>
      <c r="P21" s="386">
        <v>2.0</v>
      </c>
      <c r="Q21" s="387">
        <v>2.0</v>
      </c>
      <c r="R21" s="388">
        <v>2.0</v>
      </c>
      <c r="S21" s="389"/>
      <c r="T21" s="385">
        <v>-2.0</v>
      </c>
      <c r="U21" s="386">
        <v>-2.0</v>
      </c>
      <c r="V21" s="387">
        <v>-2.0</v>
      </c>
      <c r="W21" s="388">
        <v>-3.0</v>
      </c>
      <c r="X21" s="389"/>
      <c r="Y21" s="385">
        <v>5.0</v>
      </c>
      <c r="Z21" s="386">
        <v>2.0</v>
      </c>
      <c r="AA21" s="387">
        <v>2.0</v>
      </c>
      <c r="AB21" s="388">
        <v>2.0</v>
      </c>
      <c r="AC21" s="389"/>
      <c r="AD21" s="385">
        <v>4.0</v>
      </c>
      <c r="AE21" s="386">
        <v>4.0</v>
      </c>
      <c r="AF21" s="390">
        <v>4.0</v>
      </c>
      <c r="AG21" s="390">
        <v>4.0</v>
      </c>
      <c r="AH21" s="389">
        <v>4.0</v>
      </c>
      <c r="AI21" s="385">
        <v>-5.0</v>
      </c>
      <c r="AJ21" s="386">
        <v>-5.0</v>
      </c>
      <c r="AK21" s="390">
        <v>-3.0</v>
      </c>
      <c r="AL21" s="390">
        <v>-3.0</v>
      </c>
      <c r="AM21" s="389">
        <v>-5.0</v>
      </c>
      <c r="AN21" s="385">
        <v>5.0</v>
      </c>
      <c r="AO21" s="386">
        <v>5.0</v>
      </c>
      <c r="AP21" s="390">
        <v>4.0</v>
      </c>
      <c r="AQ21" s="390">
        <v>4.0</v>
      </c>
      <c r="AR21" s="389">
        <v>5.0</v>
      </c>
    </row>
    <row r="22" ht="15.75" customHeight="1">
      <c r="A22" s="391" t="s">
        <v>1781</v>
      </c>
      <c r="B22" s="376" t="s">
        <v>1721</v>
      </c>
      <c r="C22" s="382">
        <v>3.0</v>
      </c>
      <c r="D22" s="378">
        <v>12.0</v>
      </c>
      <c r="E22" s="377">
        <v>4.0</v>
      </c>
      <c r="F22" s="380" t="s">
        <v>1663</v>
      </c>
      <c r="G22" s="379">
        <v>1.0</v>
      </c>
      <c r="H22" s="381">
        <v>4.0</v>
      </c>
      <c r="I22" s="381">
        <v>4.0</v>
      </c>
      <c r="J22" s="382">
        <v>2.0</v>
      </c>
      <c r="K22" s="383" t="s">
        <v>1782</v>
      </c>
      <c r="L22" s="383" t="s">
        <v>1783</v>
      </c>
      <c r="M22" s="384" t="s">
        <v>1762</v>
      </c>
      <c r="N22" s="345">
        <f>IFERROR(__xludf.DUMMYFUNCTION("SUM(C22*0.33,D22 * 
SWITCH(
LEN(F22) - LEN(SUBSTITUTE(F22,"","","""")),
0 , VLOOKUP(F22, Variables!$A:$B, 2, FALSE),
1 , VLOOKUP(index(split(F22 ,"", "", FALSE),1,1), Variables!$A:$B , 2, FALSE) + VLOOKUP(index(split(F22 ,"", "", FALSE),1,2), Variables!$A"&amp;":$B , 2, FALSE),
2 , VLOOKUP(index(split(F22 ,"", "", FALSE),1,1), Variables!$A:$B , 2, FALSE) + VLOOKUP(index(split(F22 ,"", "", FALSE),1,2), Variables!$A:$B , 2, FALSE) + VLOOKUP(index(split(F22 ,"", "", FALSE),1,3), Variables!$A:$B , 2, FALSE)
)
 ,E22,"&amp;"G22:J22,0,
SUM(IFERROR(SUM(O22:AC22)/(COUNTA(O22:AC22)/3),0),IFERROR(SUM(SUM(AD22:AR22)/(COUNTA(AD22:AR22)/3))))
)"),40.19)</f>
        <v>40.19</v>
      </c>
      <c r="O22" s="385">
        <v>2.0</v>
      </c>
      <c r="P22" s="386">
        <v>4.0</v>
      </c>
      <c r="Q22" s="387">
        <v>4.0</v>
      </c>
      <c r="R22" s="388">
        <v>4.0</v>
      </c>
      <c r="S22" s="389"/>
      <c r="T22" s="385">
        <v>-2.0</v>
      </c>
      <c r="U22" s="386">
        <v>-3.0</v>
      </c>
      <c r="V22" s="387">
        <v>-2.0</v>
      </c>
      <c r="W22" s="388">
        <v>-2.0</v>
      </c>
      <c r="X22" s="389"/>
      <c r="Y22" s="385">
        <v>3.0</v>
      </c>
      <c r="Z22" s="386">
        <v>2.0</v>
      </c>
      <c r="AA22" s="387">
        <v>3.0</v>
      </c>
      <c r="AB22" s="388">
        <v>3.0</v>
      </c>
      <c r="AC22" s="389"/>
      <c r="AD22" s="385">
        <v>2.0</v>
      </c>
      <c r="AE22" s="386">
        <v>5.0</v>
      </c>
      <c r="AF22" s="390">
        <v>5.0</v>
      </c>
      <c r="AG22" s="390">
        <v>5.0</v>
      </c>
      <c r="AH22" s="389">
        <v>5.0</v>
      </c>
      <c r="AI22" s="385">
        <v>-5.0</v>
      </c>
      <c r="AJ22" s="386">
        <v>-5.0</v>
      </c>
      <c r="AK22" s="390">
        <v>-5.0</v>
      </c>
      <c r="AL22" s="390">
        <v>-3.0</v>
      </c>
      <c r="AM22" s="389">
        <v>-5.0</v>
      </c>
      <c r="AN22" s="385">
        <v>5.0</v>
      </c>
      <c r="AO22" s="386">
        <v>4.0</v>
      </c>
      <c r="AP22" s="390">
        <v>4.0</v>
      </c>
      <c r="AQ22" s="390">
        <v>4.0</v>
      </c>
      <c r="AR22" s="389">
        <v>5.0</v>
      </c>
    </row>
    <row r="23" ht="15.75" customHeight="1">
      <c r="A23" s="391" t="s">
        <v>1784</v>
      </c>
      <c r="B23" s="376" t="s">
        <v>1721</v>
      </c>
      <c r="C23" s="392">
        <v>5.0</v>
      </c>
      <c r="D23" s="377">
        <v>10.0</v>
      </c>
      <c r="E23" s="377">
        <v>4.0</v>
      </c>
      <c r="F23" s="380" t="s">
        <v>1663</v>
      </c>
      <c r="G23" s="382">
        <v>2.0</v>
      </c>
      <c r="H23" s="377">
        <v>3.0</v>
      </c>
      <c r="I23" s="382">
        <v>2.0</v>
      </c>
      <c r="J23" s="381">
        <v>4.0</v>
      </c>
      <c r="K23" s="383" t="s">
        <v>1785</v>
      </c>
      <c r="L23" s="383" t="s">
        <v>1786</v>
      </c>
      <c r="M23" s="384" t="s">
        <v>1724</v>
      </c>
      <c r="N23" s="345">
        <f>IFERROR(__xludf.DUMMYFUNCTION("SUM(C23*0.33,D23 * 
SWITCH(
LEN(F23) - LEN(SUBSTITUTE(F23,"","","""")),
0 , VLOOKUP(F23, Variables!$A:$B, 2, FALSE),
1 , VLOOKUP(index(split(F23 ,"", "", FALSE),1,1), Variables!$A:$B , 2, FALSE) + VLOOKUP(index(split(F23 ,"", "", FALSE),1,2), Variables!$A"&amp;":$B , 2, FALSE),
2 , VLOOKUP(index(split(F23 ,"", "", FALSE),1,1), Variables!$A:$B , 2, FALSE) + VLOOKUP(index(split(F23 ,"", "", FALSE),1,2), Variables!$A:$B , 2, FALSE) + VLOOKUP(index(split(F23 ,"", "", FALSE),1,3), Variables!$A:$B , 2, FALSE)
)
 ,E23,"&amp;"G23:J23,0,
SUM(IFERROR(SUM(O23:AC23)/(COUNTA(O23:AC23)/3),0),IFERROR(SUM(SUM(AD23:AR23)/(COUNTA(AD23:AR23)/3))))
)"),39.18333333333334)</f>
        <v>39.18333333</v>
      </c>
      <c r="O23" s="385">
        <v>4.0</v>
      </c>
      <c r="P23" s="386">
        <v>4.0</v>
      </c>
      <c r="Q23" s="387">
        <v>4.0</v>
      </c>
      <c r="R23" s="388">
        <v>4.0</v>
      </c>
      <c r="S23" s="389">
        <v>4.0</v>
      </c>
      <c r="T23" s="385">
        <v>-2.0</v>
      </c>
      <c r="U23" s="386">
        <v>-2.0</v>
      </c>
      <c r="V23" s="387">
        <v>-2.0</v>
      </c>
      <c r="W23" s="388">
        <v>-3.0</v>
      </c>
      <c r="X23" s="389">
        <v>-2.0</v>
      </c>
      <c r="Y23" s="385">
        <v>4.0</v>
      </c>
      <c r="Z23" s="386">
        <v>3.0</v>
      </c>
      <c r="AA23" s="387">
        <v>4.0</v>
      </c>
      <c r="AB23" s="388">
        <v>4.0</v>
      </c>
      <c r="AC23" s="389">
        <v>3.0</v>
      </c>
      <c r="AD23" s="385">
        <v>4.0</v>
      </c>
      <c r="AE23" s="386">
        <v>4.0</v>
      </c>
      <c r="AF23" s="390">
        <v>4.0</v>
      </c>
      <c r="AG23" s="390">
        <v>4.0</v>
      </c>
      <c r="AH23" s="389">
        <v>4.0</v>
      </c>
      <c r="AI23" s="385">
        <v>-3.0</v>
      </c>
      <c r="AJ23" s="386">
        <v>-3.0</v>
      </c>
      <c r="AK23" s="390">
        <v>-3.0</v>
      </c>
      <c r="AL23" s="390">
        <v>-3.0</v>
      </c>
      <c r="AM23" s="389">
        <v>-3.0</v>
      </c>
      <c r="AN23" s="385">
        <v>3.0</v>
      </c>
      <c r="AO23" s="386">
        <v>2.0</v>
      </c>
      <c r="AP23" s="390">
        <v>3.0</v>
      </c>
      <c r="AQ23" s="390">
        <v>2.0</v>
      </c>
      <c r="AR23" s="389">
        <v>4.0</v>
      </c>
    </row>
    <row r="24" ht="15.75" customHeight="1">
      <c r="A24" s="391" t="s">
        <v>1787</v>
      </c>
      <c r="B24" s="376" t="s">
        <v>1717</v>
      </c>
      <c r="C24" s="377">
        <v>4.0</v>
      </c>
      <c r="D24" s="378">
        <v>12.0</v>
      </c>
      <c r="E24" s="377">
        <v>4.0</v>
      </c>
      <c r="F24" s="376" t="s">
        <v>1788</v>
      </c>
      <c r="G24" s="381">
        <v>4.0</v>
      </c>
      <c r="H24" s="382">
        <v>2.0</v>
      </c>
      <c r="I24" s="382">
        <v>2.0</v>
      </c>
      <c r="J24" s="377">
        <v>3.0</v>
      </c>
      <c r="K24" s="383" t="s">
        <v>1789</v>
      </c>
      <c r="L24" s="383" t="s">
        <v>1790</v>
      </c>
      <c r="M24" s="384" t="s">
        <v>1741</v>
      </c>
      <c r="N24" s="345">
        <f>IFERROR(__xludf.DUMMYFUNCTION("SUM(C24*0.33,D24 * 
SWITCH(
LEN(F24) - LEN(SUBSTITUTE(F24,"","","""")),
0 , VLOOKUP(F24, Variables!$A:$B, 2, FALSE),
1 , VLOOKUP(index(split(F24 ,"", "", FALSE),1,1), Variables!$A:$B , 2, FALSE) + VLOOKUP(index(split(F24 ,"", "", FALSE),1,2), Variables!$A"&amp;":$B , 2, FALSE),
2 , VLOOKUP(index(split(F24 ,"", "", FALSE),1,1), Variables!$A:$B , 2, FALSE) + VLOOKUP(index(split(F24 ,"", "", FALSE),1,2), Variables!$A:$B , 2, FALSE) + VLOOKUP(index(split(F24 ,"", "", FALSE),1,3), Variables!$A:$B , 2, FALSE)
)
 ,E24,"&amp;"G24:J24,0,
SUM(IFERROR(SUM(O24:AC24)/(COUNTA(O24:AC24)/3),0),IFERROR(SUM(SUM(AD24:AR24)/(COUNTA(AD24:AR24)/3))))
)"),48.77)</f>
        <v>48.77</v>
      </c>
      <c r="O24" s="385">
        <v>1.0</v>
      </c>
      <c r="P24" s="386">
        <v>4.0</v>
      </c>
      <c r="Q24" s="387">
        <v>2.0</v>
      </c>
      <c r="R24" s="388">
        <v>4.0</v>
      </c>
      <c r="S24" s="389"/>
      <c r="T24" s="385">
        <v>-3.0</v>
      </c>
      <c r="U24" s="386">
        <v>-3.0</v>
      </c>
      <c r="V24" s="387">
        <v>-1.0</v>
      </c>
      <c r="W24" s="388">
        <v>-1.0</v>
      </c>
      <c r="X24" s="389"/>
      <c r="Y24" s="385">
        <v>1.0</v>
      </c>
      <c r="Z24" s="386">
        <v>1.0</v>
      </c>
      <c r="AA24" s="387">
        <v>1.0</v>
      </c>
      <c r="AB24" s="388">
        <v>3.0</v>
      </c>
      <c r="AC24" s="389"/>
      <c r="AD24" s="385">
        <v>4.0</v>
      </c>
      <c r="AE24" s="386">
        <v>4.0</v>
      </c>
      <c r="AF24" s="390">
        <v>4.0</v>
      </c>
      <c r="AG24" s="390">
        <v>4.0</v>
      </c>
      <c r="AH24" s="389">
        <v>5.0</v>
      </c>
      <c r="AI24" s="385">
        <v>-5.0</v>
      </c>
      <c r="AJ24" s="386">
        <v>-5.0</v>
      </c>
      <c r="AK24" s="390">
        <v>-5.0</v>
      </c>
      <c r="AL24" s="390">
        <v>-5.0</v>
      </c>
      <c r="AM24" s="389">
        <v>-5.0</v>
      </c>
      <c r="AN24" s="385">
        <v>5.0</v>
      </c>
      <c r="AO24" s="386">
        <v>5.0</v>
      </c>
      <c r="AP24" s="390">
        <v>5.0</v>
      </c>
      <c r="AQ24" s="390">
        <v>5.0</v>
      </c>
      <c r="AR24" s="389">
        <v>5.0</v>
      </c>
    </row>
    <row r="25" ht="15.75" customHeight="1">
      <c r="A25" s="391" t="s">
        <v>1791</v>
      </c>
      <c r="B25" s="376" t="s">
        <v>1717</v>
      </c>
      <c r="C25" s="382">
        <v>3.0</v>
      </c>
      <c r="D25" s="392">
        <v>14.0</v>
      </c>
      <c r="E25" s="377">
        <v>4.0</v>
      </c>
      <c r="F25" s="380" t="s">
        <v>1663</v>
      </c>
      <c r="G25" s="393">
        <v>5.0</v>
      </c>
      <c r="H25" s="377">
        <v>3.0</v>
      </c>
      <c r="I25" s="382">
        <v>2.0</v>
      </c>
      <c r="J25" s="379">
        <v>1.0</v>
      </c>
      <c r="K25" s="383" t="s">
        <v>1792</v>
      </c>
      <c r="L25" s="383" t="s">
        <v>1793</v>
      </c>
      <c r="M25" s="384" t="s">
        <v>1724</v>
      </c>
      <c r="N25" s="345">
        <f>IFERROR(__xludf.DUMMYFUNCTION("SUM(C25*0.33,D25 * 
SWITCH(
LEN(F25) - LEN(SUBSTITUTE(F25,"","","""")),
0 , VLOOKUP(F25, Variables!$A:$B, 2, FALSE),
1 , VLOOKUP(index(split(F25 ,"", "", FALSE),1,1), Variables!$A:$B , 2, FALSE) + VLOOKUP(index(split(F25 ,"", "", FALSE),1,2), Variables!$A"&amp;":$B , 2, FALSE),
2 , VLOOKUP(index(split(F25 ,"", "", FALSE),1,1), Variables!$A:$B , 2, FALSE) + VLOOKUP(index(split(F25 ,"", "", FALSE),1,2), Variables!$A:$B , 2, FALSE) + VLOOKUP(index(split(F25 ,"", "", FALSE),1,3), Variables!$A:$B , 2, FALSE)
)
 ,E25,"&amp;"G25:J25,0,
SUM(IFERROR(SUM(O25:AC25)/(COUNTA(O25:AC25)/3),0),IFERROR(SUM(SUM(AD25:AR25)/(COUNTA(AD25:AR25)/3))))
)"),40.35666666666667)</f>
        <v>40.35666667</v>
      </c>
      <c r="O25" s="385">
        <v>2.0</v>
      </c>
      <c r="P25" s="386">
        <v>2.0</v>
      </c>
      <c r="Q25" s="387">
        <v>2.0</v>
      </c>
      <c r="R25" s="388">
        <v>2.0</v>
      </c>
      <c r="S25" s="389"/>
      <c r="T25" s="385">
        <v>-3.0</v>
      </c>
      <c r="U25" s="386">
        <v>-2.0</v>
      </c>
      <c r="V25" s="387">
        <v>-2.0</v>
      </c>
      <c r="W25" s="388">
        <v>-2.0</v>
      </c>
      <c r="X25" s="389"/>
      <c r="Y25" s="385">
        <v>3.0</v>
      </c>
      <c r="Z25" s="386">
        <v>3.0</v>
      </c>
      <c r="AA25" s="387">
        <v>2.0</v>
      </c>
      <c r="AB25" s="388">
        <v>3.0</v>
      </c>
      <c r="AC25" s="389"/>
      <c r="AD25" s="385">
        <v>2.0</v>
      </c>
      <c r="AE25" s="386">
        <v>4.0</v>
      </c>
      <c r="AF25" s="390">
        <v>2.0</v>
      </c>
      <c r="AG25" s="390">
        <v>4.0</v>
      </c>
      <c r="AH25" s="389">
        <v>2.0</v>
      </c>
      <c r="AI25" s="385">
        <v>-3.0</v>
      </c>
      <c r="AJ25" s="386">
        <v>-3.0</v>
      </c>
      <c r="AK25" s="390">
        <v>-3.0</v>
      </c>
      <c r="AL25" s="390">
        <v>-3.0</v>
      </c>
      <c r="AM25" s="389">
        <v>-3.0</v>
      </c>
      <c r="AN25" s="385">
        <v>3.0</v>
      </c>
      <c r="AO25" s="386">
        <v>5.0</v>
      </c>
      <c r="AP25" s="390">
        <v>2.0</v>
      </c>
      <c r="AQ25" s="390">
        <v>3.0</v>
      </c>
      <c r="AR25" s="389">
        <v>4.0</v>
      </c>
    </row>
    <row r="26" ht="15.75" customHeight="1">
      <c r="A26" s="391" t="s">
        <v>1794</v>
      </c>
      <c r="B26" s="376" t="s">
        <v>1721</v>
      </c>
      <c r="C26" s="377">
        <v>4.0</v>
      </c>
      <c r="D26" s="378">
        <v>12.0</v>
      </c>
      <c r="E26" s="377">
        <v>4.0</v>
      </c>
      <c r="F26" s="394" t="s">
        <v>1663</v>
      </c>
      <c r="G26" s="382">
        <v>2.0</v>
      </c>
      <c r="H26" s="381">
        <v>4.0</v>
      </c>
      <c r="I26" s="377">
        <v>3.0</v>
      </c>
      <c r="J26" s="382">
        <v>2.0</v>
      </c>
      <c r="K26" s="383" t="s">
        <v>1795</v>
      </c>
      <c r="L26" s="383" t="s">
        <v>1796</v>
      </c>
      <c r="M26" s="384" t="s">
        <v>1797</v>
      </c>
      <c r="N26" s="345">
        <f>IFERROR(__xludf.DUMMYFUNCTION("SUM(C26*0.33,D26 * 
SWITCH(
LEN(F26) - LEN(SUBSTITUTE(F26,"","","""")),
0 , VLOOKUP(F26, Variables!$A:$B, 2, FALSE),
1 , VLOOKUP(index(split(F26 ,"", "", FALSE),1,1), Variables!$A:$B , 2, FALSE) + VLOOKUP(index(split(F26 ,"", "", FALSE),1,2), Variables!$A"&amp;":$B , 2, FALSE),
2 , VLOOKUP(index(split(F26 ,"", "", FALSE),1,1), Variables!$A:$B , 2, FALSE) + VLOOKUP(index(split(F26 ,"", "", FALSE),1,2), Variables!$A:$B , 2, FALSE) + VLOOKUP(index(split(F26 ,"", "", FALSE),1,3), Variables!$A:$B , 2, FALSE)
)
 ,E26,"&amp;"G26:J26,0,
SUM(IFERROR(SUM(O26:AC26)/(COUNTA(O26:AC26)/3),0),IFERROR(SUM(SUM(AD26:AR26)/(COUNTA(AD26:AR26)/3))))
)"),39.67)</f>
        <v>39.67</v>
      </c>
      <c r="O26" s="385">
        <v>3.0</v>
      </c>
      <c r="P26" s="386">
        <v>4.0</v>
      </c>
      <c r="Q26" s="387">
        <v>5.0</v>
      </c>
      <c r="R26" s="388">
        <v>4.0</v>
      </c>
      <c r="S26" s="389"/>
      <c r="T26" s="385">
        <v>-2.0</v>
      </c>
      <c r="U26" s="386">
        <v>-2.0</v>
      </c>
      <c r="V26" s="387">
        <v>-2.0</v>
      </c>
      <c r="W26" s="388">
        <v>0.0</v>
      </c>
      <c r="X26" s="389"/>
      <c r="Y26" s="385">
        <v>4.0</v>
      </c>
      <c r="Z26" s="386">
        <v>3.0</v>
      </c>
      <c r="AA26" s="387">
        <v>3.0</v>
      </c>
      <c r="AB26" s="388">
        <v>3.0</v>
      </c>
      <c r="AC26" s="389"/>
      <c r="AD26" s="385">
        <v>3.0</v>
      </c>
      <c r="AE26" s="386">
        <v>3.0</v>
      </c>
      <c r="AF26" s="390">
        <v>3.0</v>
      </c>
      <c r="AG26" s="390">
        <v>3.0</v>
      </c>
      <c r="AH26" s="389">
        <v>2.0</v>
      </c>
      <c r="AI26" s="385">
        <v>-3.0</v>
      </c>
      <c r="AJ26" s="386">
        <v>-5.0</v>
      </c>
      <c r="AK26" s="390">
        <v>-5.0</v>
      </c>
      <c r="AL26" s="390">
        <v>-5.0</v>
      </c>
      <c r="AM26" s="389">
        <v>-5.0</v>
      </c>
      <c r="AN26" s="385">
        <v>4.0</v>
      </c>
      <c r="AO26" s="386">
        <v>3.0</v>
      </c>
      <c r="AP26" s="390">
        <v>4.0</v>
      </c>
      <c r="AQ26" s="390">
        <v>3.0</v>
      </c>
      <c r="AR26" s="389">
        <v>3.0</v>
      </c>
    </row>
    <row r="27" ht="15.75" customHeight="1">
      <c r="A27" s="391" t="s">
        <v>1798</v>
      </c>
      <c r="B27" s="376" t="s">
        <v>1721</v>
      </c>
      <c r="C27" s="377">
        <v>4.0</v>
      </c>
      <c r="D27" s="377">
        <v>10.0</v>
      </c>
      <c r="E27" s="377">
        <v>4.0</v>
      </c>
      <c r="F27" s="380" t="s">
        <v>1663</v>
      </c>
      <c r="G27" s="382">
        <v>2.0</v>
      </c>
      <c r="H27" s="377">
        <v>3.0</v>
      </c>
      <c r="I27" s="377">
        <v>3.0</v>
      </c>
      <c r="J27" s="377">
        <v>3.0</v>
      </c>
      <c r="K27" s="383" t="s">
        <v>1799</v>
      </c>
      <c r="L27" s="383" t="s">
        <v>1800</v>
      </c>
      <c r="M27" s="384" t="s">
        <v>1728</v>
      </c>
      <c r="N27" s="345">
        <f>IFERROR(__xludf.DUMMYFUNCTION("SUM(C27*0.33,D27 * 
SWITCH(
LEN(F27) - LEN(SUBSTITUTE(F27,"","","""")),
0 , VLOOKUP(F27, Variables!$A:$B, 2, FALSE),
1 , VLOOKUP(index(split(F27 ,"", "", FALSE),1,1), Variables!$A:$B , 2, FALSE) + VLOOKUP(index(split(F27 ,"", "", FALSE),1,2), Variables!$A"&amp;":$B , 2, FALSE),
2 , VLOOKUP(index(split(F27 ,"", "", FALSE),1,1), Variables!$A:$B , 2, FALSE) + VLOOKUP(index(split(F27 ,"", "", FALSE),1,2), Variables!$A:$B , 2, FALSE) + VLOOKUP(index(split(F27 ,"", "", FALSE),1,3), Variables!$A:$B , 2, FALSE)
)
 ,E27,"&amp;"G27:J27,0,
SUM(IFERROR(SUM(O27:AC27)/(COUNTA(O27:AC27)/3),0),IFERROR(SUM(SUM(AD27:AR27)/(COUNTA(AD27:AR27)/3))))
)"),38.95333333333333)</f>
        <v>38.95333333</v>
      </c>
      <c r="O27" s="385">
        <v>2.0</v>
      </c>
      <c r="P27" s="386">
        <v>2.0</v>
      </c>
      <c r="Q27" s="387">
        <v>2.0</v>
      </c>
      <c r="R27" s="388">
        <v>2.0</v>
      </c>
      <c r="S27" s="389"/>
      <c r="T27" s="385">
        <v>-1.0</v>
      </c>
      <c r="U27" s="386">
        <v>-1.0</v>
      </c>
      <c r="V27" s="387">
        <v>-1.0</v>
      </c>
      <c r="W27" s="388">
        <v>-2.0</v>
      </c>
      <c r="X27" s="389"/>
      <c r="Y27" s="385">
        <v>5.0</v>
      </c>
      <c r="Z27" s="386">
        <v>5.0</v>
      </c>
      <c r="AA27" s="387">
        <v>4.0</v>
      </c>
      <c r="AB27" s="388">
        <v>5.0</v>
      </c>
      <c r="AC27" s="389"/>
      <c r="AD27" s="385">
        <v>2.0</v>
      </c>
      <c r="AE27" s="386">
        <v>3.0</v>
      </c>
      <c r="AF27" s="390">
        <v>3.0</v>
      </c>
      <c r="AG27" s="390">
        <v>2.0</v>
      </c>
      <c r="AH27" s="389">
        <v>2.0</v>
      </c>
      <c r="AI27" s="385">
        <v>-3.0</v>
      </c>
      <c r="AJ27" s="386">
        <v>-3.0</v>
      </c>
      <c r="AK27" s="390">
        <v>-3.0</v>
      </c>
      <c r="AL27" s="390">
        <v>-3.0</v>
      </c>
      <c r="AM27" s="389">
        <v>-3.0</v>
      </c>
      <c r="AN27" s="385">
        <v>5.0</v>
      </c>
      <c r="AO27" s="386">
        <v>5.0</v>
      </c>
      <c r="AP27" s="390">
        <v>4.0</v>
      </c>
      <c r="AQ27" s="390">
        <v>3.0</v>
      </c>
      <c r="AR27" s="389">
        <v>5.0</v>
      </c>
    </row>
    <row r="28" ht="15.75" customHeight="1">
      <c r="A28" s="395" t="s">
        <v>1801</v>
      </c>
      <c r="B28" s="396" t="s">
        <v>1717</v>
      </c>
      <c r="C28" s="377">
        <v>4.0</v>
      </c>
      <c r="D28" s="378">
        <v>12.0</v>
      </c>
      <c r="E28" s="377">
        <v>4.0</v>
      </c>
      <c r="F28" s="380" t="s">
        <v>1663</v>
      </c>
      <c r="G28" s="377">
        <v>3.0</v>
      </c>
      <c r="H28" s="377">
        <v>3.0</v>
      </c>
      <c r="I28" s="381">
        <v>4.0</v>
      </c>
      <c r="J28" s="379">
        <v>1.0</v>
      </c>
      <c r="K28" s="383" t="s">
        <v>1802</v>
      </c>
      <c r="L28" s="383" t="s">
        <v>1803</v>
      </c>
      <c r="M28" s="384" t="s">
        <v>1804</v>
      </c>
      <c r="N28" s="345">
        <f>IFERROR(__xludf.DUMMYFUNCTION("SUM(C28*0.33,D28 * 
SWITCH(
LEN(F28) - LEN(SUBSTITUTE(F28,"","","""")),
0 , VLOOKUP(F28, Variables!$A:$B, 2, FALSE),
1 , VLOOKUP(index(split(F28 ,"", "", FALSE),1,1), Variables!$A:$B , 2, FALSE) + VLOOKUP(index(split(F28 ,"", "", FALSE),1,2), Variables!$A"&amp;":$B , 2, FALSE),
2 , VLOOKUP(index(split(F28 ,"", "", FALSE),1,1), Variables!$A:$B , 2, FALSE) + VLOOKUP(index(split(F28 ,"", "", FALSE),1,2), Variables!$A:$B , 2, FALSE) + VLOOKUP(index(split(F28 ,"", "", FALSE),1,3), Variables!$A:$B , 2, FALSE)
)
 ,E28,"&amp;"G28:J28,0,
SUM(IFERROR(SUM(O28:AC28)/(COUNTA(O28:AC28)/3),0),IFERROR(SUM(SUM(AD28:AR28)/(COUNTA(AD28:AR28)/3))))
)"),39.52)</f>
        <v>39.52</v>
      </c>
      <c r="O28" s="385">
        <v>2.0</v>
      </c>
      <c r="P28" s="386">
        <v>2.0</v>
      </c>
      <c r="Q28" s="387">
        <v>2.0</v>
      </c>
      <c r="R28" s="388">
        <v>2.0</v>
      </c>
      <c r="S28" s="389">
        <v>2.0</v>
      </c>
      <c r="T28" s="385">
        <v>0.0</v>
      </c>
      <c r="U28" s="386">
        <v>-2.0</v>
      </c>
      <c r="V28" s="387">
        <v>-2.0</v>
      </c>
      <c r="W28" s="388">
        <v>0.0</v>
      </c>
      <c r="X28" s="389">
        <v>-2.0</v>
      </c>
      <c r="Y28" s="385">
        <v>4.0</v>
      </c>
      <c r="Z28" s="386">
        <v>3.0</v>
      </c>
      <c r="AA28" s="387">
        <v>3.0</v>
      </c>
      <c r="AB28" s="388">
        <v>4.0</v>
      </c>
      <c r="AC28" s="389">
        <v>4.0</v>
      </c>
      <c r="AD28" s="385">
        <v>5.0</v>
      </c>
      <c r="AE28" s="386">
        <v>2.0</v>
      </c>
      <c r="AF28" s="390">
        <v>2.0</v>
      </c>
      <c r="AG28" s="390">
        <v>2.0</v>
      </c>
      <c r="AH28" s="389">
        <v>2.0</v>
      </c>
      <c r="AI28" s="385">
        <v>-3.0</v>
      </c>
      <c r="AJ28" s="386">
        <v>-3.0</v>
      </c>
      <c r="AK28" s="390">
        <v>-3.0</v>
      </c>
      <c r="AL28" s="390">
        <v>-3.0</v>
      </c>
      <c r="AM28" s="389">
        <v>-3.0</v>
      </c>
      <c r="AN28" s="385">
        <v>4.0</v>
      </c>
      <c r="AO28" s="386">
        <v>3.0</v>
      </c>
      <c r="AP28" s="390">
        <v>3.0</v>
      </c>
      <c r="AQ28" s="390">
        <v>3.0</v>
      </c>
      <c r="AR28" s="389">
        <v>3.0</v>
      </c>
    </row>
    <row r="29" ht="15.75" customHeight="1">
      <c r="A29" s="391" t="s">
        <v>1805</v>
      </c>
      <c r="B29" s="376" t="s">
        <v>1717</v>
      </c>
      <c r="C29" s="377">
        <v>4.0</v>
      </c>
      <c r="D29" s="378">
        <v>12.0</v>
      </c>
      <c r="E29" s="377">
        <v>4.0</v>
      </c>
      <c r="F29" s="380" t="s">
        <v>1663</v>
      </c>
      <c r="G29" s="377">
        <v>3.0</v>
      </c>
      <c r="H29" s="381">
        <v>4.0</v>
      </c>
      <c r="I29" s="379">
        <v>1.0</v>
      </c>
      <c r="J29" s="377">
        <v>3.0</v>
      </c>
      <c r="K29" s="383" t="s">
        <v>1806</v>
      </c>
      <c r="L29" s="383" t="s">
        <v>1807</v>
      </c>
      <c r="M29" s="384" t="s">
        <v>1808</v>
      </c>
      <c r="N29" s="345">
        <f>IFERROR(__xludf.DUMMYFUNCTION("SUM(C29*0.33,D29 * 
SWITCH(
LEN(F29) - LEN(SUBSTITUTE(F29,"","","""")),
0 , VLOOKUP(F29, Variables!$A:$B, 2, FALSE),
1 , VLOOKUP(index(split(F29 ,"", "", FALSE),1,1), Variables!$A:$B , 2, FALSE) + VLOOKUP(index(split(F29 ,"", "", FALSE),1,2), Variables!$A"&amp;":$B , 2, FALSE),
2 , VLOOKUP(index(split(F29 ,"", "", FALSE),1,1), Variables!$A:$B , 2, FALSE) + VLOOKUP(index(split(F29 ,"", "", FALSE),1,2), Variables!$A:$B , 2, FALSE) + VLOOKUP(index(split(F29 ,"", "", FALSE),1,3), Variables!$A:$B , 2, FALSE)
)
 ,E29,"&amp;"G29:J29,0,
SUM(IFERROR(SUM(O29:AC29)/(COUNTA(O29:AC29)/3),0),IFERROR(SUM(SUM(AD29:AR29)/(COUNTA(AD29:AR29)/3))))
)"),39.52)</f>
        <v>39.52</v>
      </c>
      <c r="O29" s="385">
        <v>2.0</v>
      </c>
      <c r="P29" s="386">
        <v>2.0</v>
      </c>
      <c r="Q29" s="387">
        <v>2.0</v>
      </c>
      <c r="R29" s="388">
        <v>4.0</v>
      </c>
      <c r="S29" s="389"/>
      <c r="T29" s="385">
        <v>-3.0</v>
      </c>
      <c r="U29" s="386">
        <v>-3.0</v>
      </c>
      <c r="V29" s="387">
        <v>-2.0</v>
      </c>
      <c r="W29" s="388">
        <v>-1.0</v>
      </c>
      <c r="X29" s="389"/>
      <c r="Y29" s="385">
        <v>5.0</v>
      </c>
      <c r="Z29" s="386">
        <v>5.0</v>
      </c>
      <c r="AA29" s="387">
        <v>4.0</v>
      </c>
      <c r="AB29" s="388">
        <v>5.0</v>
      </c>
      <c r="AC29" s="389"/>
      <c r="AD29" s="385">
        <v>4.0</v>
      </c>
      <c r="AE29" s="386">
        <v>2.0</v>
      </c>
      <c r="AF29" s="390">
        <v>2.0</v>
      </c>
      <c r="AG29" s="390">
        <v>4.0</v>
      </c>
      <c r="AH29" s="389">
        <v>2.0</v>
      </c>
      <c r="AI29" s="385">
        <v>-5.0</v>
      </c>
      <c r="AJ29" s="386">
        <v>-5.0</v>
      </c>
      <c r="AK29" s="390">
        <v>-5.0</v>
      </c>
      <c r="AL29" s="390">
        <v>-3.0</v>
      </c>
      <c r="AM29" s="389">
        <v>-5.0</v>
      </c>
      <c r="AN29" s="385">
        <v>5.0</v>
      </c>
      <c r="AO29" s="386">
        <v>4.0</v>
      </c>
      <c r="AP29" s="390">
        <v>3.0</v>
      </c>
      <c r="AQ29" s="390">
        <v>4.0</v>
      </c>
      <c r="AR29" s="389">
        <v>4.0</v>
      </c>
    </row>
    <row r="30" ht="15.75" customHeight="1">
      <c r="A30" s="391" t="s">
        <v>1809</v>
      </c>
      <c r="B30" s="376" t="s">
        <v>1730</v>
      </c>
      <c r="C30" s="377">
        <v>4.0</v>
      </c>
      <c r="D30" s="377">
        <v>10.0</v>
      </c>
      <c r="E30" s="377">
        <v>4.0</v>
      </c>
      <c r="F30" s="380" t="s">
        <v>1663</v>
      </c>
      <c r="G30" s="379">
        <v>1.0</v>
      </c>
      <c r="H30" s="382">
        <v>2.0</v>
      </c>
      <c r="I30" s="381">
        <v>4.0</v>
      </c>
      <c r="J30" s="381">
        <v>4.0</v>
      </c>
      <c r="K30" s="383" t="s">
        <v>1810</v>
      </c>
      <c r="L30" s="383" t="s">
        <v>1811</v>
      </c>
      <c r="M30" s="384" t="s">
        <v>1741</v>
      </c>
      <c r="N30" s="345">
        <f>IFERROR(__xludf.DUMMYFUNCTION("SUM(C30*0.33,D30 * 
SWITCH(
LEN(F30) - LEN(SUBSTITUTE(F30,"","","""")),
0 , VLOOKUP(F30, Variables!$A:$B, 2, FALSE),
1 , VLOOKUP(index(split(F30 ,"", "", FALSE),1,1), Variables!$A:$B , 2, FALSE) + VLOOKUP(index(split(F30 ,"", "", FALSE),1,2), Variables!$A"&amp;":$B , 2, FALSE),
2 , VLOOKUP(index(split(F30 ,"", "", FALSE),1,1), Variables!$A:$B , 2, FALSE) + VLOOKUP(index(split(F30 ,"", "", FALSE),1,2), Variables!$A:$B , 2, FALSE) + VLOOKUP(index(split(F30 ,"", "", FALSE),1,3), Variables!$A:$B , 2, FALSE)
)
 ,E30,"&amp;"G30:J30,0,
SUM(IFERROR(SUM(O30:AC30)/(COUNTA(O30:AC30)/3),0),IFERROR(SUM(SUM(AD30:AR30)/(COUNTA(AD30:AR30)/3))))
)"),38.803333333333335)</f>
        <v>38.80333333</v>
      </c>
      <c r="O30" s="385">
        <v>2.0</v>
      </c>
      <c r="P30" s="386">
        <v>2.0</v>
      </c>
      <c r="Q30" s="387">
        <v>2.0</v>
      </c>
      <c r="R30" s="388">
        <v>2.0</v>
      </c>
      <c r="S30" s="389"/>
      <c r="T30" s="385">
        <v>0.0</v>
      </c>
      <c r="U30" s="386">
        <v>0.0</v>
      </c>
      <c r="V30" s="387">
        <v>0.0</v>
      </c>
      <c r="W30" s="388">
        <v>0.0</v>
      </c>
      <c r="X30" s="389"/>
      <c r="Y30" s="385">
        <v>4.0</v>
      </c>
      <c r="Z30" s="386">
        <v>5.0</v>
      </c>
      <c r="AA30" s="387">
        <v>5.0</v>
      </c>
      <c r="AB30" s="388">
        <v>5.0</v>
      </c>
      <c r="AC30" s="389"/>
      <c r="AD30" s="385">
        <v>4.0</v>
      </c>
      <c r="AE30" s="386">
        <v>4.0</v>
      </c>
      <c r="AF30" s="390">
        <v>4.0</v>
      </c>
      <c r="AG30" s="390">
        <v>4.0</v>
      </c>
      <c r="AH30" s="389">
        <v>4.0</v>
      </c>
      <c r="AI30" s="385">
        <v>-3.0</v>
      </c>
      <c r="AJ30" s="386">
        <v>-3.0</v>
      </c>
      <c r="AK30" s="390">
        <v>-3.0</v>
      </c>
      <c r="AL30" s="390">
        <v>-3.0</v>
      </c>
      <c r="AM30" s="389">
        <v>-5.0</v>
      </c>
      <c r="AN30" s="385">
        <v>3.0</v>
      </c>
      <c r="AO30" s="386">
        <v>1.0</v>
      </c>
      <c r="AP30" s="390">
        <v>2.0</v>
      </c>
      <c r="AQ30" s="390">
        <v>2.0</v>
      </c>
      <c r="AR30" s="389">
        <v>1.0</v>
      </c>
    </row>
    <row r="31" ht="15.75" customHeight="1">
      <c r="A31" s="391" t="s">
        <v>1812</v>
      </c>
      <c r="B31" s="376" t="s">
        <v>1717</v>
      </c>
      <c r="C31" s="382">
        <v>3.0</v>
      </c>
      <c r="D31" s="392">
        <v>14.0</v>
      </c>
      <c r="E31" s="377">
        <v>4.0</v>
      </c>
      <c r="F31" s="380" t="s">
        <v>1663</v>
      </c>
      <c r="G31" s="377">
        <v>3.0</v>
      </c>
      <c r="H31" s="377">
        <v>3.0</v>
      </c>
      <c r="I31" s="382">
        <v>2.0</v>
      </c>
      <c r="J31" s="377">
        <v>3.0</v>
      </c>
      <c r="K31" s="383" t="s">
        <v>1813</v>
      </c>
      <c r="L31" s="383" t="s">
        <v>1814</v>
      </c>
      <c r="M31" s="384" t="s">
        <v>1797</v>
      </c>
      <c r="N31" s="345">
        <f>IFERROR(__xludf.DUMMYFUNCTION("SUM(C31*0.33,D31 * 
SWITCH(
LEN(F31) - LEN(SUBSTITUTE(F31,"","","""")),
0 , VLOOKUP(F31, Variables!$A:$B, 2, FALSE),
1 , VLOOKUP(index(split(F31 ,"", "", FALSE),1,1), Variables!$A:$B , 2, FALSE) + VLOOKUP(index(split(F31 ,"", "", FALSE),1,2), Variables!$A"&amp;":$B , 2, FALSE),
2 , VLOOKUP(index(split(F31 ,"", "", FALSE),1,1), Variables!$A:$B , 2, FALSE) + VLOOKUP(index(split(F31 ,"", "", FALSE),1,2), Variables!$A:$B , 2, FALSE) + VLOOKUP(index(split(F31 ,"", "", FALSE),1,3), Variables!$A:$B , 2, FALSE)
)
 ,E31,"&amp;"G31:J31,0,
SUM(IFERROR(SUM(O31:AC31)/(COUNTA(O31:AC31)/3),0),IFERROR(SUM(SUM(AD31:AR31)/(COUNTA(AD31:AR31)/3))))
)"),40.00666666666667)</f>
        <v>40.00666667</v>
      </c>
      <c r="O31" s="385">
        <v>2.0</v>
      </c>
      <c r="P31" s="386">
        <v>1.0</v>
      </c>
      <c r="Q31" s="387">
        <v>2.0</v>
      </c>
      <c r="R31" s="388">
        <v>2.0</v>
      </c>
      <c r="S31" s="389"/>
      <c r="T31" s="385">
        <v>-2.0</v>
      </c>
      <c r="U31" s="386">
        <v>-2.0</v>
      </c>
      <c r="V31" s="387">
        <v>-2.0</v>
      </c>
      <c r="W31" s="388">
        <v>0.0</v>
      </c>
      <c r="X31" s="389"/>
      <c r="Y31" s="385">
        <v>4.0</v>
      </c>
      <c r="Z31" s="386">
        <v>2.0</v>
      </c>
      <c r="AA31" s="387">
        <v>2.0</v>
      </c>
      <c r="AB31" s="388">
        <v>2.0</v>
      </c>
      <c r="AC31" s="389"/>
      <c r="AD31" s="385">
        <v>4.0</v>
      </c>
      <c r="AE31" s="386">
        <v>4.0</v>
      </c>
      <c r="AF31" s="390">
        <v>4.0</v>
      </c>
      <c r="AG31" s="390">
        <v>4.0</v>
      </c>
      <c r="AH31" s="389">
        <v>4.0</v>
      </c>
      <c r="AI31" s="385">
        <v>-5.0</v>
      </c>
      <c r="AJ31" s="386">
        <v>-5.0</v>
      </c>
      <c r="AK31" s="390">
        <v>-5.0</v>
      </c>
      <c r="AL31" s="390">
        <v>-5.0</v>
      </c>
      <c r="AM31" s="389">
        <v>-5.0</v>
      </c>
      <c r="AN31" s="385">
        <v>3.0</v>
      </c>
      <c r="AO31" s="386">
        <v>4.0</v>
      </c>
      <c r="AP31" s="390">
        <v>3.0</v>
      </c>
      <c r="AQ31" s="390">
        <v>4.0</v>
      </c>
      <c r="AR31" s="389">
        <v>4.0</v>
      </c>
    </row>
    <row r="32" ht="15.75" customHeight="1">
      <c r="A32" s="391" t="s">
        <v>1815</v>
      </c>
      <c r="B32" s="376" t="s">
        <v>1730</v>
      </c>
      <c r="C32" s="377">
        <v>4.0</v>
      </c>
      <c r="D32" s="378">
        <v>12.0</v>
      </c>
      <c r="E32" s="379">
        <v>3.0</v>
      </c>
      <c r="F32" s="380" t="s">
        <v>1663</v>
      </c>
      <c r="G32" s="377">
        <v>3.0</v>
      </c>
      <c r="H32" s="382">
        <v>2.0</v>
      </c>
      <c r="I32" s="381">
        <v>4.0</v>
      </c>
      <c r="J32" s="382">
        <v>2.0</v>
      </c>
      <c r="K32" s="383" t="s">
        <v>1816</v>
      </c>
      <c r="L32" s="383" t="s">
        <v>1817</v>
      </c>
      <c r="M32" s="384" t="s">
        <v>1762</v>
      </c>
      <c r="N32" s="345">
        <f>IFERROR(__xludf.DUMMYFUNCTION("SUM(C32*0.33,D32 * 
SWITCH(
LEN(F32) - LEN(SUBSTITUTE(F32,"","","""")),
0 , VLOOKUP(F32, Variables!$A:$B, 2, FALSE),
1 , VLOOKUP(index(split(F32 ,"", "", FALSE),1,1), Variables!$A:$B , 2, FALSE) + VLOOKUP(index(split(F32 ,"", "", FALSE),1,2), Variables!$A"&amp;":$B , 2, FALSE),
2 , VLOOKUP(index(split(F32 ,"", "", FALSE),1,1), Variables!$A:$B , 2, FALSE) + VLOOKUP(index(split(F32 ,"", "", FALSE),1,2), Variables!$A:$B , 2, FALSE) + VLOOKUP(index(split(F32 ,"", "", FALSE),1,3), Variables!$A:$B , 2, FALSE)
)
 ,E32,"&amp;"G32:J32,0,
SUM(IFERROR(SUM(O32:AC32)/(COUNTA(O32:AC32)/3),0),IFERROR(SUM(SUM(AD32:AR32)/(COUNTA(AD32:AR32)/3))))
)"),39.32)</f>
        <v>39.32</v>
      </c>
      <c r="O32" s="385">
        <v>2.0</v>
      </c>
      <c r="P32" s="386">
        <v>2.0</v>
      </c>
      <c r="Q32" s="387">
        <v>2.0</v>
      </c>
      <c r="R32" s="388">
        <v>2.0</v>
      </c>
      <c r="S32" s="389"/>
      <c r="T32" s="385">
        <v>0.0</v>
      </c>
      <c r="U32" s="386">
        <v>-2.0</v>
      </c>
      <c r="V32" s="387">
        <v>-2.0</v>
      </c>
      <c r="W32" s="388">
        <v>-3.0</v>
      </c>
      <c r="X32" s="389"/>
      <c r="Y32" s="385">
        <v>5.0</v>
      </c>
      <c r="Z32" s="386">
        <v>4.0</v>
      </c>
      <c r="AA32" s="387">
        <v>2.0</v>
      </c>
      <c r="AB32" s="388">
        <v>4.0</v>
      </c>
      <c r="AC32" s="389"/>
      <c r="AD32" s="385">
        <v>2.0</v>
      </c>
      <c r="AE32" s="386">
        <v>4.0</v>
      </c>
      <c r="AF32" s="390">
        <v>4.0</v>
      </c>
      <c r="AG32" s="390">
        <v>4.0</v>
      </c>
      <c r="AH32" s="389">
        <v>4.0</v>
      </c>
      <c r="AI32" s="385">
        <v>-5.0</v>
      </c>
      <c r="AJ32" s="386">
        <v>-3.0</v>
      </c>
      <c r="AK32" s="390">
        <v>-3.0</v>
      </c>
      <c r="AL32" s="390">
        <v>-3.0</v>
      </c>
      <c r="AM32" s="389">
        <v>-3.0</v>
      </c>
      <c r="AN32" s="385">
        <v>5.0</v>
      </c>
      <c r="AO32" s="386">
        <v>4.0</v>
      </c>
      <c r="AP32" s="390">
        <v>3.0</v>
      </c>
      <c r="AQ32" s="390">
        <v>4.0</v>
      </c>
      <c r="AR32" s="389">
        <v>3.0</v>
      </c>
    </row>
    <row r="33" ht="15.75" customHeight="1">
      <c r="A33" s="391" t="s">
        <v>1818</v>
      </c>
      <c r="B33" s="376" t="s">
        <v>1738</v>
      </c>
      <c r="C33" s="377">
        <v>4.0</v>
      </c>
      <c r="D33" s="377">
        <v>10.0</v>
      </c>
      <c r="E33" s="377">
        <v>4.0</v>
      </c>
      <c r="F33" s="380" t="s">
        <v>1663</v>
      </c>
      <c r="G33" s="377">
        <v>3.0</v>
      </c>
      <c r="H33" s="382">
        <v>2.0</v>
      </c>
      <c r="I33" s="382">
        <v>2.0</v>
      </c>
      <c r="J33" s="381">
        <v>4.0</v>
      </c>
      <c r="K33" s="383" t="s">
        <v>1819</v>
      </c>
      <c r="L33" s="383" t="s">
        <v>1820</v>
      </c>
      <c r="M33" s="384" t="s">
        <v>1733</v>
      </c>
      <c r="N33" s="345">
        <f>IFERROR(__xludf.DUMMYFUNCTION("SUM(C33*0.33,D33 * 
SWITCH(
LEN(F33) - LEN(SUBSTITUTE(F33,"","","""")),
0 , VLOOKUP(F33, Variables!$A:$B, 2, FALSE),
1 , VLOOKUP(index(split(F33 ,"", "", FALSE),1,1), Variables!$A:$B , 2, FALSE) + VLOOKUP(index(split(F33 ,"", "", FALSE),1,2), Variables!$A"&amp;":$B , 2, FALSE),
2 , VLOOKUP(index(split(F33 ,"", "", FALSE),1,1), Variables!$A:$B , 2, FALSE) + VLOOKUP(index(split(F33 ,"", "", FALSE),1,2), Variables!$A:$B , 2, FALSE) + VLOOKUP(index(split(F33 ,"", "", FALSE),1,3), Variables!$A:$B , 2, FALSE)
)
 ,E33,"&amp;"G33:J33,0,
SUM(IFERROR(SUM(O33:AC33)/(COUNTA(O33:AC33)/3),0),IFERROR(SUM(SUM(AD33:AR33)/(COUNTA(AD33:AR33)/3))))
)"),38.653333333333336)</f>
        <v>38.65333333</v>
      </c>
      <c r="O33" s="385">
        <v>2.0</v>
      </c>
      <c r="P33" s="386">
        <v>2.0</v>
      </c>
      <c r="Q33" s="387">
        <v>2.0</v>
      </c>
      <c r="R33" s="388">
        <v>2.0</v>
      </c>
      <c r="S33" s="389"/>
      <c r="T33" s="385">
        <v>0.0</v>
      </c>
      <c r="U33" s="386">
        <v>-1.0</v>
      </c>
      <c r="V33" s="387">
        <v>-1.0</v>
      </c>
      <c r="W33" s="388">
        <v>-1.0</v>
      </c>
      <c r="X33" s="389"/>
      <c r="Y33" s="385">
        <v>3.0</v>
      </c>
      <c r="Z33" s="386">
        <v>2.0</v>
      </c>
      <c r="AA33" s="387">
        <v>3.0</v>
      </c>
      <c r="AB33" s="388">
        <v>3.0</v>
      </c>
      <c r="AC33" s="389"/>
      <c r="AD33" s="385">
        <v>4.0</v>
      </c>
      <c r="AE33" s="386">
        <v>4.0</v>
      </c>
      <c r="AF33" s="390">
        <v>4.0</v>
      </c>
      <c r="AG33" s="390">
        <v>4.0</v>
      </c>
      <c r="AH33" s="389">
        <v>4.0</v>
      </c>
      <c r="AI33" s="385">
        <v>-3.0</v>
      </c>
      <c r="AJ33" s="386">
        <v>-3.0</v>
      </c>
      <c r="AK33" s="390">
        <v>-3.0</v>
      </c>
      <c r="AL33" s="390">
        <v>-3.0</v>
      </c>
      <c r="AM33" s="389">
        <v>-3.0</v>
      </c>
      <c r="AN33" s="385">
        <v>4.0</v>
      </c>
      <c r="AO33" s="386">
        <v>4.0</v>
      </c>
      <c r="AP33" s="390">
        <v>4.0</v>
      </c>
      <c r="AQ33" s="390">
        <v>4.0</v>
      </c>
      <c r="AR33" s="389">
        <v>4.0</v>
      </c>
    </row>
    <row r="34" ht="15.75" customHeight="1">
      <c r="A34" s="391" t="s">
        <v>1821</v>
      </c>
      <c r="B34" s="376" t="s">
        <v>1717</v>
      </c>
      <c r="C34" s="377">
        <v>4.0</v>
      </c>
      <c r="D34" s="378">
        <v>12.0</v>
      </c>
      <c r="E34" s="377">
        <v>4.0</v>
      </c>
      <c r="F34" s="380" t="s">
        <v>1663</v>
      </c>
      <c r="G34" s="381">
        <v>4.0</v>
      </c>
      <c r="H34" s="382">
        <v>2.0</v>
      </c>
      <c r="I34" s="377">
        <v>3.0</v>
      </c>
      <c r="J34" s="382">
        <v>2.0</v>
      </c>
      <c r="K34" s="383" t="s">
        <v>1822</v>
      </c>
      <c r="L34" s="383" t="s">
        <v>1823</v>
      </c>
      <c r="M34" s="384" t="s">
        <v>1724</v>
      </c>
      <c r="N34" s="345">
        <f>IFERROR(__xludf.DUMMYFUNCTION("SUM(C34*0.33,D34 * 
SWITCH(
LEN(F34) - LEN(SUBSTITUTE(F34,"","","""")),
0 , VLOOKUP(F34, Variables!$A:$B, 2, FALSE),
1 , VLOOKUP(index(split(F34 ,"", "", FALSE),1,1), Variables!$A:$B , 2, FALSE) + VLOOKUP(index(split(F34 ,"", "", FALSE),1,2), Variables!$A"&amp;":$B , 2, FALSE),
2 , VLOOKUP(index(split(F34 ,"", "", FALSE),1,1), Variables!$A:$B , 2, FALSE) + VLOOKUP(index(split(F34 ,"", "", FALSE),1,2), Variables!$A:$B , 2, FALSE) + VLOOKUP(index(split(F34 ,"", "", FALSE),1,3), Variables!$A:$B , 2, FALSE)
)
 ,E34,"&amp;"G34:J34,0,
SUM(IFERROR(SUM(O34:AC34)/(COUNTA(O34:AC34)/3),0),IFERROR(SUM(SUM(AD34:AR34)/(COUNTA(AD34:AR34)/3))))
)"),38.87)</f>
        <v>38.87</v>
      </c>
      <c r="O34" s="385">
        <v>2.0</v>
      </c>
      <c r="P34" s="386">
        <v>1.0</v>
      </c>
      <c r="Q34" s="387">
        <v>2.0</v>
      </c>
      <c r="R34" s="388">
        <v>2.0</v>
      </c>
      <c r="S34" s="389"/>
      <c r="T34" s="385">
        <v>-3.0</v>
      </c>
      <c r="U34" s="386">
        <v>-3.0</v>
      </c>
      <c r="V34" s="387">
        <v>-3.0</v>
      </c>
      <c r="W34" s="388">
        <v>-2.0</v>
      </c>
      <c r="X34" s="389"/>
      <c r="Y34" s="385">
        <v>4.0</v>
      </c>
      <c r="Z34" s="386">
        <v>4.0</v>
      </c>
      <c r="AA34" s="387">
        <v>4.0</v>
      </c>
      <c r="AB34" s="388">
        <v>3.0</v>
      </c>
      <c r="AC34" s="389"/>
      <c r="AD34" s="385">
        <v>2.0</v>
      </c>
      <c r="AE34" s="386">
        <v>4.0</v>
      </c>
      <c r="AF34" s="390">
        <v>4.0</v>
      </c>
      <c r="AG34" s="390">
        <v>4.0</v>
      </c>
      <c r="AH34" s="389">
        <v>4.0</v>
      </c>
      <c r="AI34" s="385">
        <v>-5.0</v>
      </c>
      <c r="AJ34" s="386">
        <v>-3.0</v>
      </c>
      <c r="AK34" s="390">
        <v>-3.0</v>
      </c>
      <c r="AL34" s="390">
        <v>-3.0</v>
      </c>
      <c r="AM34" s="389">
        <v>-3.0</v>
      </c>
      <c r="AN34" s="385">
        <v>4.0</v>
      </c>
      <c r="AO34" s="386">
        <v>4.0</v>
      </c>
      <c r="AP34" s="390">
        <v>4.0</v>
      </c>
      <c r="AQ34" s="390">
        <v>3.0</v>
      </c>
      <c r="AR34" s="389">
        <v>3.0</v>
      </c>
    </row>
    <row r="35" ht="15.75" customHeight="1">
      <c r="A35" s="391" t="s">
        <v>1824</v>
      </c>
      <c r="B35" s="376" t="s">
        <v>1717</v>
      </c>
      <c r="C35" s="392">
        <v>5.0</v>
      </c>
      <c r="D35" s="377">
        <v>10.0</v>
      </c>
      <c r="E35" s="377">
        <v>4.0</v>
      </c>
      <c r="F35" s="380" t="s">
        <v>1663</v>
      </c>
      <c r="G35" s="377">
        <v>3.0</v>
      </c>
      <c r="H35" s="382">
        <v>2.0</v>
      </c>
      <c r="I35" s="382">
        <v>2.0</v>
      </c>
      <c r="J35" s="381">
        <v>4.0</v>
      </c>
      <c r="K35" s="383" t="s">
        <v>1825</v>
      </c>
      <c r="L35" s="383" t="s">
        <v>1826</v>
      </c>
      <c r="M35" s="384" t="s">
        <v>1827</v>
      </c>
      <c r="N35" s="345">
        <f>IFERROR(__xludf.DUMMYFUNCTION("SUM(C35*0.33,D35 * 
SWITCH(
LEN(F35) - LEN(SUBSTITUTE(F35,"","","""")),
0 , VLOOKUP(F35, Variables!$A:$B, 2, FALSE),
1 , VLOOKUP(index(split(F35 ,"", "", FALSE),1,1), Variables!$A:$B , 2, FALSE) + VLOOKUP(index(split(F35 ,"", "", FALSE),1,2), Variables!$A"&amp;":$B , 2, FALSE),
2 , VLOOKUP(index(split(F35 ,"", "", FALSE),1,1), Variables!$A:$B , 2, FALSE) + VLOOKUP(index(split(F35 ,"", "", FALSE),1,2), Variables!$A:$B , 2, FALSE) + VLOOKUP(index(split(F35 ,"", "", FALSE),1,3), Variables!$A:$B , 2, FALSE)
)
 ,E35,"&amp;"G35:J35,0,
SUM(IFERROR(SUM(O35:AC35)/(COUNTA(O35:AC35)/3),0),IFERROR(SUM(SUM(AD35:AR35)/(COUNTA(AD35:AR35)/3))))
)"),37.88333333333333)</f>
        <v>37.88333333</v>
      </c>
      <c r="O35" s="385">
        <v>2.0</v>
      </c>
      <c r="P35" s="386">
        <v>2.0</v>
      </c>
      <c r="Q35" s="387">
        <v>2.0</v>
      </c>
      <c r="R35" s="388">
        <v>2.0</v>
      </c>
      <c r="S35" s="389"/>
      <c r="T35" s="385">
        <v>0.0</v>
      </c>
      <c r="U35" s="386">
        <v>0.0</v>
      </c>
      <c r="V35" s="387">
        <v>0.0</v>
      </c>
      <c r="W35" s="388">
        <v>0.0</v>
      </c>
      <c r="X35" s="389"/>
      <c r="Y35" s="385">
        <v>3.0</v>
      </c>
      <c r="Z35" s="386">
        <v>4.0</v>
      </c>
      <c r="AA35" s="387">
        <v>3.0</v>
      </c>
      <c r="AB35" s="388">
        <v>4.0</v>
      </c>
      <c r="AC35" s="389"/>
      <c r="AD35" s="385">
        <v>4.0</v>
      </c>
      <c r="AE35" s="386">
        <v>4.0</v>
      </c>
      <c r="AF35" s="390">
        <v>4.0</v>
      </c>
      <c r="AG35" s="390">
        <v>4.0</v>
      </c>
      <c r="AH35" s="389">
        <v>4.0</v>
      </c>
      <c r="AI35" s="385">
        <v>-5.0</v>
      </c>
      <c r="AJ35" s="386">
        <v>-5.0</v>
      </c>
      <c r="AK35" s="390">
        <v>-5.0</v>
      </c>
      <c r="AL35" s="390">
        <v>-5.0</v>
      </c>
      <c r="AM35" s="389">
        <v>-5.0</v>
      </c>
      <c r="AN35" s="385">
        <v>5.0</v>
      </c>
      <c r="AO35" s="386">
        <v>3.0</v>
      </c>
      <c r="AP35" s="390">
        <v>3.0</v>
      </c>
      <c r="AQ35" s="390">
        <v>3.0</v>
      </c>
      <c r="AR35" s="389">
        <v>3.0</v>
      </c>
    </row>
    <row r="36" ht="15.75" customHeight="1">
      <c r="A36" s="391" t="s">
        <v>1828</v>
      </c>
      <c r="B36" s="376" t="s">
        <v>1738</v>
      </c>
      <c r="C36" s="377">
        <v>4.0</v>
      </c>
      <c r="D36" s="377">
        <v>10.0</v>
      </c>
      <c r="E36" s="377">
        <v>4.0</v>
      </c>
      <c r="F36" s="380" t="s">
        <v>1663</v>
      </c>
      <c r="G36" s="377">
        <v>3.0</v>
      </c>
      <c r="H36" s="379">
        <v>1.0</v>
      </c>
      <c r="I36" s="382">
        <v>2.0</v>
      </c>
      <c r="J36" s="393">
        <v>5.0</v>
      </c>
      <c r="K36" s="383" t="s">
        <v>1829</v>
      </c>
      <c r="L36" s="383" t="s">
        <v>1830</v>
      </c>
      <c r="M36" s="384" t="s">
        <v>1797</v>
      </c>
      <c r="N36" s="345">
        <f>IFERROR(__xludf.DUMMYFUNCTION("SUM(C36*0.33,D36 * 
SWITCH(
LEN(F36) - LEN(SUBSTITUTE(F36,"","","""")),
0 , VLOOKUP(F36, Variables!$A:$B, 2, FALSE),
1 , VLOOKUP(index(split(F36 ,"", "", FALSE),1,1), Variables!$A:$B , 2, FALSE) + VLOOKUP(index(split(F36 ,"", "", FALSE),1,2), Variables!$A"&amp;":$B , 2, FALSE),
2 , VLOOKUP(index(split(F36 ,"", "", FALSE),1,1), Variables!$A:$B , 2, FALSE) + VLOOKUP(index(split(F36 ,"", "", FALSE),1,2), Variables!$A:$B , 2, FALSE) + VLOOKUP(index(split(F36 ,"", "", FALSE),1,3), Variables!$A:$B , 2, FALSE)
)
 ,E36,"&amp;"G36:J36,0,
SUM(IFERROR(SUM(O36:AC36)/(COUNTA(O36:AC36)/3),0),IFERROR(SUM(SUM(AD36:AR36)/(COUNTA(AD36:AR36)/3))))
)"),37.653333333333336)</f>
        <v>37.65333333</v>
      </c>
      <c r="O36" s="385">
        <v>2.0</v>
      </c>
      <c r="P36" s="386">
        <v>4.0</v>
      </c>
      <c r="Q36" s="387">
        <v>4.0</v>
      </c>
      <c r="R36" s="388">
        <v>4.0</v>
      </c>
      <c r="S36" s="389"/>
      <c r="T36" s="385">
        <v>-2.0</v>
      </c>
      <c r="U36" s="386">
        <v>-2.0</v>
      </c>
      <c r="V36" s="387">
        <v>0.0</v>
      </c>
      <c r="W36" s="388">
        <v>0.0</v>
      </c>
      <c r="X36" s="389"/>
      <c r="Y36" s="385">
        <v>1.0</v>
      </c>
      <c r="Z36" s="386">
        <v>2.0</v>
      </c>
      <c r="AA36" s="387">
        <v>2.0</v>
      </c>
      <c r="AB36" s="388">
        <v>1.0</v>
      </c>
      <c r="AC36" s="389"/>
      <c r="AD36" s="385">
        <v>4.0</v>
      </c>
      <c r="AE36" s="386">
        <v>4.0</v>
      </c>
      <c r="AF36" s="390">
        <v>4.0</v>
      </c>
      <c r="AG36" s="390">
        <v>4.0</v>
      </c>
      <c r="AH36" s="389">
        <v>4.0</v>
      </c>
      <c r="AI36" s="385">
        <v>-3.0</v>
      </c>
      <c r="AJ36" s="386">
        <v>-5.0</v>
      </c>
      <c r="AK36" s="390">
        <v>-5.0</v>
      </c>
      <c r="AL36" s="390">
        <v>-5.0</v>
      </c>
      <c r="AM36" s="389">
        <v>-5.0</v>
      </c>
      <c r="AN36" s="385">
        <v>5.0</v>
      </c>
      <c r="AO36" s="386">
        <v>4.0</v>
      </c>
      <c r="AP36" s="390">
        <v>4.0</v>
      </c>
      <c r="AQ36" s="390">
        <v>5.0</v>
      </c>
      <c r="AR36" s="389">
        <v>5.0</v>
      </c>
    </row>
    <row r="37" ht="15.75" customHeight="1">
      <c r="A37" s="391" t="s">
        <v>1408</v>
      </c>
      <c r="B37" s="376" t="s">
        <v>1730</v>
      </c>
      <c r="C37" s="382">
        <v>3.0</v>
      </c>
      <c r="D37" s="377">
        <v>10.0</v>
      </c>
      <c r="E37" s="377">
        <v>4.0</v>
      </c>
      <c r="F37" s="380" t="s">
        <v>1663</v>
      </c>
      <c r="G37" s="377">
        <v>3.0</v>
      </c>
      <c r="H37" s="377">
        <v>3.0</v>
      </c>
      <c r="I37" s="381">
        <v>4.0</v>
      </c>
      <c r="J37" s="379">
        <v>1.0</v>
      </c>
      <c r="K37" s="383" t="s">
        <v>1831</v>
      </c>
      <c r="L37" s="383" t="s">
        <v>1832</v>
      </c>
      <c r="M37" s="384" t="s">
        <v>1733</v>
      </c>
      <c r="N37" s="345">
        <f>IFERROR(__xludf.DUMMYFUNCTION("SUM(C37*0.33,D37 * 
SWITCH(
LEN(F37) - LEN(SUBSTITUTE(F37,"","","""")),
0 , VLOOKUP(F37, Variables!$A:$B, 2, FALSE),
1 , VLOOKUP(index(split(F37 ,"", "", FALSE),1,1), Variables!$A:$B , 2, FALSE) + VLOOKUP(index(split(F37 ,"", "", FALSE),1,2), Variables!$A"&amp;":$B , 2, FALSE),
2 , VLOOKUP(index(split(F37 ,"", "", FALSE),1,1), Variables!$A:$B , 2, FALSE) + VLOOKUP(index(split(F37 ,"", "", FALSE),1,2), Variables!$A:$B , 2, FALSE) + VLOOKUP(index(split(F37 ,"", "", FALSE),1,3), Variables!$A:$B , 2, FALSE)
)
 ,E37,"&amp;"G37:J37,0,
SUM(IFERROR(SUM(O37:AC37)/(COUNTA(O37:AC37)/3),0),IFERROR(SUM(SUM(AD37:AR37)/(COUNTA(AD37:AR37)/3))))
)"),37.60025641025641)</f>
        <v>37.60025641</v>
      </c>
      <c r="O37" s="385">
        <v>1.0</v>
      </c>
      <c r="P37" s="386">
        <v>5.0</v>
      </c>
      <c r="Q37" s="387">
        <v>3.0</v>
      </c>
      <c r="R37" s="388">
        <v>2.0</v>
      </c>
      <c r="S37" s="389">
        <v>5.0</v>
      </c>
      <c r="T37" s="385">
        <v>-3.0</v>
      </c>
      <c r="U37" s="386">
        <v>-3.0</v>
      </c>
      <c r="V37" s="387"/>
      <c r="W37" s="388">
        <v>-1.0</v>
      </c>
      <c r="X37" s="389">
        <v>-3.0</v>
      </c>
      <c r="Y37" s="385">
        <v>3.0</v>
      </c>
      <c r="Z37" s="386">
        <v>5.0</v>
      </c>
      <c r="AA37" s="387"/>
      <c r="AB37" s="388">
        <v>3.0</v>
      </c>
      <c r="AC37" s="389">
        <v>5.0</v>
      </c>
      <c r="AD37" s="385">
        <v>2.0</v>
      </c>
      <c r="AE37" s="386">
        <v>3.0</v>
      </c>
      <c r="AF37" s="390">
        <v>2.0</v>
      </c>
      <c r="AG37" s="390">
        <v>2.0</v>
      </c>
      <c r="AH37" s="389">
        <v>5.0</v>
      </c>
      <c r="AI37" s="385">
        <v>-5.0</v>
      </c>
      <c r="AJ37" s="386">
        <v>-5.0</v>
      </c>
      <c r="AK37" s="390">
        <v>-5.0</v>
      </c>
      <c r="AL37" s="390">
        <v>-3.0</v>
      </c>
      <c r="AM37" s="389">
        <v>-3.0</v>
      </c>
      <c r="AN37" s="385">
        <v>5.0</v>
      </c>
      <c r="AO37" s="386">
        <v>5.0</v>
      </c>
      <c r="AP37" s="390">
        <v>4.0</v>
      </c>
      <c r="AQ37" s="390">
        <v>4.0</v>
      </c>
      <c r="AR37" s="389">
        <v>5.0</v>
      </c>
    </row>
    <row r="38" ht="15.75" customHeight="1">
      <c r="A38" s="391" t="s">
        <v>1833</v>
      </c>
      <c r="B38" s="376" t="s">
        <v>1738</v>
      </c>
      <c r="C38" s="377">
        <v>4.0</v>
      </c>
      <c r="D38" s="378">
        <v>12.0</v>
      </c>
      <c r="E38" s="378">
        <v>5.0</v>
      </c>
      <c r="F38" s="380" t="s">
        <v>1663</v>
      </c>
      <c r="G38" s="377">
        <v>3.0</v>
      </c>
      <c r="H38" s="377">
        <v>3.0</v>
      </c>
      <c r="I38" s="382">
        <v>2.0</v>
      </c>
      <c r="J38" s="381">
        <v>4.0</v>
      </c>
      <c r="K38" s="383" t="s">
        <v>1834</v>
      </c>
      <c r="L38" s="383" t="s">
        <v>1835</v>
      </c>
      <c r="M38" s="384" t="s">
        <v>1745</v>
      </c>
      <c r="N38" s="345">
        <f>IFERROR(__xludf.DUMMYFUNCTION("SUM(C38*0.33,D38 * 
SWITCH(
LEN(F38) - LEN(SUBSTITUTE(F38,"","","""")),
0 , VLOOKUP(F38, Variables!$A:$B, 2, FALSE),
1 , VLOOKUP(index(split(F38 ,"", "", FALSE),1,1), Variables!$A:$B , 2, FALSE) + VLOOKUP(index(split(F38 ,"", "", FALSE),1,2), Variables!$A"&amp;":$B , 2, FALSE),
2 , VLOOKUP(index(split(F38 ,"", "", FALSE),1,1), Variables!$A:$B , 2, FALSE) + VLOOKUP(index(split(F38 ,"", "", FALSE),1,2), Variables!$A:$B , 2, FALSE) + VLOOKUP(index(split(F38 ,"", "", FALSE),1,3), Variables!$A:$B , 2, FALSE)
)
 ,E38,"&amp;"G38:J38,0,
SUM(IFERROR(SUM(O38:AC38)/(COUNTA(O38:AC38)/3),0),IFERROR(SUM(SUM(AD38:AR38)/(COUNTA(AD38:AR38)/3))))
)"),38.17)</f>
        <v>38.17</v>
      </c>
      <c r="O38" s="385">
        <v>2.0</v>
      </c>
      <c r="P38" s="386">
        <v>2.0</v>
      </c>
      <c r="Q38" s="387">
        <v>2.0</v>
      </c>
      <c r="R38" s="388">
        <v>2.0</v>
      </c>
      <c r="S38" s="389"/>
      <c r="T38" s="385">
        <v>-3.0</v>
      </c>
      <c r="U38" s="386">
        <v>-3.0</v>
      </c>
      <c r="V38" s="387">
        <v>0.0</v>
      </c>
      <c r="W38" s="388">
        <v>-2.0</v>
      </c>
      <c r="X38" s="389"/>
      <c r="Y38" s="385">
        <v>1.0</v>
      </c>
      <c r="Z38" s="386">
        <v>1.0</v>
      </c>
      <c r="AA38" s="387">
        <v>2.0</v>
      </c>
      <c r="AB38" s="388">
        <v>1.0</v>
      </c>
      <c r="AC38" s="389"/>
      <c r="AD38" s="385">
        <v>2.0</v>
      </c>
      <c r="AE38" s="386">
        <v>2.0</v>
      </c>
      <c r="AF38" s="390">
        <v>2.0</v>
      </c>
      <c r="AG38" s="390">
        <v>2.0</v>
      </c>
      <c r="AH38" s="389">
        <v>2.0</v>
      </c>
      <c r="AI38" s="385">
        <v>-3.0</v>
      </c>
      <c r="AJ38" s="386">
        <v>-3.0</v>
      </c>
      <c r="AK38" s="390">
        <v>-3.0</v>
      </c>
      <c r="AL38" s="390">
        <v>-3.0</v>
      </c>
      <c r="AM38" s="389">
        <v>-3.0</v>
      </c>
      <c r="AN38" s="385">
        <v>4.0</v>
      </c>
      <c r="AO38" s="386">
        <v>5.0</v>
      </c>
      <c r="AP38" s="390">
        <v>3.0</v>
      </c>
      <c r="AQ38" s="390">
        <v>2.0</v>
      </c>
      <c r="AR38" s="389">
        <v>4.0</v>
      </c>
    </row>
    <row r="39" ht="15.75" customHeight="1">
      <c r="A39" s="391" t="s">
        <v>1836</v>
      </c>
      <c r="B39" s="396" t="s">
        <v>1721</v>
      </c>
      <c r="C39" s="377">
        <v>4.0</v>
      </c>
      <c r="D39" s="377">
        <v>10.0</v>
      </c>
      <c r="E39" s="377">
        <v>4.0</v>
      </c>
      <c r="F39" s="380" t="s">
        <v>1663</v>
      </c>
      <c r="G39" s="382">
        <v>2.0</v>
      </c>
      <c r="H39" s="381">
        <v>4.0</v>
      </c>
      <c r="I39" s="377">
        <v>3.0</v>
      </c>
      <c r="J39" s="382">
        <v>2.0</v>
      </c>
      <c r="K39" s="383" t="s">
        <v>1837</v>
      </c>
      <c r="L39" s="383" t="s">
        <v>1838</v>
      </c>
      <c r="M39" s="384" t="s">
        <v>1745</v>
      </c>
      <c r="N39" s="345">
        <f>IFERROR(__xludf.DUMMYFUNCTION("SUM(C39*0.33,D39 * 
SWITCH(
LEN(F39) - LEN(SUBSTITUTE(F39,"","","""")),
0 , VLOOKUP(F39, Variables!$A:$B, 2, FALSE),
1 , VLOOKUP(index(split(F39 ,"", "", FALSE),1,1), Variables!$A:$B , 2, FALSE) + VLOOKUP(index(split(F39 ,"", "", FALSE),1,2), Variables!$A"&amp;":$B , 2, FALSE),
2 , VLOOKUP(index(split(F39 ,"", "", FALSE),1,1), Variables!$A:$B , 2, FALSE) + VLOOKUP(index(split(F39 ,"", "", FALSE),1,2), Variables!$A:$B , 2, FALSE) + VLOOKUP(index(split(F39 ,"", "", FALSE),1,3), Variables!$A:$B , 2, FALSE)
)
 ,E39,"&amp;"G39:J39,0,
SUM(IFERROR(SUM(O39:AC39)/(COUNTA(O39:AC39)/3),0),IFERROR(SUM(SUM(AD39:AR39)/(COUNTA(AD39:AR39)/3))))
)"),37.50333333333333)</f>
        <v>37.50333333</v>
      </c>
      <c r="O39" s="385">
        <v>2.0</v>
      </c>
      <c r="P39" s="386">
        <v>2.0</v>
      </c>
      <c r="Q39" s="387">
        <v>5.0</v>
      </c>
      <c r="R39" s="388">
        <v>3.0</v>
      </c>
      <c r="S39" s="389"/>
      <c r="T39" s="385">
        <v>-2.0</v>
      </c>
      <c r="U39" s="386">
        <v>-3.0</v>
      </c>
      <c r="V39" s="387">
        <v>-2.0</v>
      </c>
      <c r="W39" s="388">
        <v>-3.0</v>
      </c>
      <c r="X39" s="389"/>
      <c r="Y39" s="385">
        <v>3.0</v>
      </c>
      <c r="Z39" s="386">
        <v>4.0</v>
      </c>
      <c r="AA39" s="387">
        <v>4.0</v>
      </c>
      <c r="AB39" s="388">
        <v>4.0</v>
      </c>
      <c r="AC39" s="389"/>
      <c r="AD39" s="385">
        <v>4.0</v>
      </c>
      <c r="AE39" s="386">
        <v>4.0</v>
      </c>
      <c r="AF39" s="390">
        <v>4.0</v>
      </c>
      <c r="AG39" s="390">
        <v>5.0</v>
      </c>
      <c r="AH39" s="389">
        <v>4.0</v>
      </c>
      <c r="AI39" s="385">
        <v>-5.0</v>
      </c>
      <c r="AJ39" s="386">
        <v>-5.0</v>
      </c>
      <c r="AK39" s="390">
        <v>-5.0</v>
      </c>
      <c r="AL39" s="390">
        <v>-5.0</v>
      </c>
      <c r="AM39" s="389">
        <v>-5.0</v>
      </c>
      <c r="AN39" s="385">
        <v>5.0</v>
      </c>
      <c r="AO39" s="386">
        <v>4.0</v>
      </c>
      <c r="AP39" s="390">
        <v>4.0</v>
      </c>
      <c r="AQ39" s="390">
        <v>5.0</v>
      </c>
      <c r="AR39" s="389">
        <v>4.0</v>
      </c>
    </row>
    <row r="40" ht="15.75" customHeight="1">
      <c r="A40" s="391" t="s">
        <v>1839</v>
      </c>
      <c r="B40" s="376" t="s">
        <v>1738</v>
      </c>
      <c r="C40" s="392">
        <v>5.0</v>
      </c>
      <c r="D40" s="377">
        <v>10.0</v>
      </c>
      <c r="E40" s="377">
        <v>4.0</v>
      </c>
      <c r="F40" s="380" t="s">
        <v>1663</v>
      </c>
      <c r="G40" s="382">
        <v>2.0</v>
      </c>
      <c r="H40" s="381">
        <v>4.0</v>
      </c>
      <c r="I40" s="382">
        <v>2.0</v>
      </c>
      <c r="J40" s="377">
        <v>3.0</v>
      </c>
      <c r="K40" s="383" t="s">
        <v>1840</v>
      </c>
      <c r="L40" s="383" t="s">
        <v>1841</v>
      </c>
      <c r="M40" s="384" t="s">
        <v>1766</v>
      </c>
      <c r="N40" s="345">
        <f>IFERROR(__xludf.DUMMYFUNCTION("SUM(C40*0.33,D40 * 
SWITCH(
LEN(F40) - LEN(SUBSTITUTE(F40,"","","""")),
0 , VLOOKUP(F40, Variables!$A:$B, 2, FALSE),
1 , VLOOKUP(index(split(F40 ,"", "", FALSE),1,1), Variables!$A:$B , 2, FALSE) + VLOOKUP(index(split(F40 ,"", "", FALSE),1,2), Variables!$A"&amp;":$B , 2, FALSE),
2 , VLOOKUP(index(split(F40 ,"", "", FALSE),1,1), Variables!$A:$B , 2, FALSE) + VLOOKUP(index(split(F40 ,"", "", FALSE),1,2), Variables!$A:$B , 2, FALSE) + VLOOKUP(index(split(F40 ,"", "", FALSE),1,3), Variables!$A:$B , 2, FALSE)
)
 ,E40,"&amp;"G40:J40,0,
SUM(IFERROR(SUM(O40:AC40)/(COUNTA(O40:AC40)/3),0),IFERROR(SUM(SUM(AD40:AR40)/(COUNTA(AD40:AR40)/3))))
)"),37.43333333333334)</f>
        <v>37.43333333</v>
      </c>
      <c r="O40" s="385">
        <v>4.0</v>
      </c>
      <c r="P40" s="386">
        <v>4.0</v>
      </c>
      <c r="Q40" s="387">
        <v>4.0</v>
      </c>
      <c r="R40" s="388">
        <v>4.0</v>
      </c>
      <c r="S40" s="389"/>
      <c r="T40" s="385">
        <v>-2.0</v>
      </c>
      <c r="U40" s="386">
        <v>-2.0</v>
      </c>
      <c r="V40" s="387">
        <v>-2.0</v>
      </c>
      <c r="W40" s="388">
        <v>-2.0</v>
      </c>
      <c r="X40" s="389"/>
      <c r="Y40" s="385">
        <v>3.0</v>
      </c>
      <c r="Z40" s="386">
        <v>3.0</v>
      </c>
      <c r="AA40" s="387">
        <v>3.0</v>
      </c>
      <c r="AB40" s="388">
        <v>4.0</v>
      </c>
      <c r="AC40" s="389"/>
      <c r="AD40" s="385">
        <v>5.0</v>
      </c>
      <c r="AE40" s="386">
        <v>3.0</v>
      </c>
      <c r="AF40" s="390">
        <v>3.0</v>
      </c>
      <c r="AG40" s="390">
        <v>3.0</v>
      </c>
      <c r="AH40" s="389">
        <v>3.0</v>
      </c>
      <c r="AI40" s="385">
        <v>-3.0</v>
      </c>
      <c r="AJ40" s="386">
        <v>-3.0</v>
      </c>
      <c r="AK40" s="390">
        <v>-5.0</v>
      </c>
      <c r="AL40" s="390">
        <v>-5.0</v>
      </c>
      <c r="AM40" s="389">
        <v>-3.0</v>
      </c>
      <c r="AN40" s="385">
        <v>3.0</v>
      </c>
      <c r="AO40" s="386">
        <v>2.0</v>
      </c>
      <c r="AP40" s="390">
        <v>2.0</v>
      </c>
      <c r="AQ40" s="390">
        <v>2.0</v>
      </c>
      <c r="AR40" s="389">
        <v>4.0</v>
      </c>
    </row>
    <row r="41" ht="15.75" customHeight="1">
      <c r="A41" s="376" t="s">
        <v>1842</v>
      </c>
      <c r="B41" s="376" t="s">
        <v>1730</v>
      </c>
      <c r="C41" s="377">
        <v>4.0</v>
      </c>
      <c r="D41" s="377">
        <v>10.0</v>
      </c>
      <c r="E41" s="378">
        <v>5.0</v>
      </c>
      <c r="F41" s="380" t="s">
        <v>1663</v>
      </c>
      <c r="G41" s="379">
        <v>1.0</v>
      </c>
      <c r="H41" s="381">
        <v>4.0</v>
      </c>
      <c r="I41" s="381">
        <v>4.0</v>
      </c>
      <c r="J41" s="382">
        <v>2.0</v>
      </c>
      <c r="K41" s="383" t="s">
        <v>1843</v>
      </c>
      <c r="L41" s="383" t="s">
        <v>1844</v>
      </c>
      <c r="M41" s="384" t="s">
        <v>1797</v>
      </c>
      <c r="N41" s="345">
        <f>IFERROR(__xludf.DUMMYFUNCTION("SUM(C41*0.33,D41 * 
SWITCH(
LEN(F41) - LEN(SUBSTITUTE(F41,"","","""")),
0 , VLOOKUP(F41, Variables!$A:$B, 2, FALSE),
1 , VLOOKUP(index(split(F41 ,"", "", FALSE),1,1), Variables!$A:$B , 2, FALSE) + VLOOKUP(index(split(F41 ,"", "", FALSE),1,2), Variables!$A"&amp;":$B , 2, FALSE),
2 , VLOOKUP(index(split(F41 ,"", "", FALSE),1,1), Variables!$A:$B , 2, FALSE) + VLOOKUP(index(split(F41 ,"", "", FALSE),1,2), Variables!$A:$B , 2, FALSE) + VLOOKUP(index(split(F41 ,"", "", FALSE),1,3), Variables!$A:$B , 2, FALSE)
)
 ,E41,"&amp;"G41:J41,0,
SUM(IFERROR(SUM(O41:AC41)/(COUNTA(O41:AC41)/3),0),IFERROR(SUM(SUM(AD41:AR41)/(COUNTA(AD41:AR41)/3))))
)"),37.403333333333336)</f>
        <v>37.40333333</v>
      </c>
      <c r="O41" s="385">
        <v>2.0</v>
      </c>
      <c r="P41" s="386">
        <v>2.0</v>
      </c>
      <c r="Q41" s="387">
        <v>2.0</v>
      </c>
      <c r="R41" s="388">
        <v>2.0</v>
      </c>
      <c r="S41" s="389"/>
      <c r="T41" s="385">
        <v>-3.0</v>
      </c>
      <c r="U41" s="386">
        <v>-2.0</v>
      </c>
      <c r="V41" s="387">
        <v>-1.0</v>
      </c>
      <c r="W41" s="388">
        <v>-2.0</v>
      </c>
      <c r="X41" s="389"/>
      <c r="Y41" s="385">
        <v>5.0</v>
      </c>
      <c r="Z41" s="386">
        <v>3.0</v>
      </c>
      <c r="AA41" s="387">
        <v>3.0</v>
      </c>
      <c r="AB41" s="388">
        <v>4.0</v>
      </c>
      <c r="AC41" s="389"/>
      <c r="AD41" s="385">
        <v>5.0</v>
      </c>
      <c r="AE41" s="386">
        <v>5.0</v>
      </c>
      <c r="AF41" s="390">
        <v>5.0</v>
      </c>
      <c r="AG41" s="390">
        <v>5.0</v>
      </c>
      <c r="AH41" s="389">
        <v>5.0</v>
      </c>
      <c r="AI41" s="385">
        <v>-3.0</v>
      </c>
      <c r="AJ41" s="386">
        <v>-3.0</v>
      </c>
      <c r="AK41" s="390">
        <v>-3.0</v>
      </c>
      <c r="AL41" s="390">
        <v>-3.0</v>
      </c>
      <c r="AM41" s="389">
        <v>-3.0</v>
      </c>
      <c r="AN41" s="385">
        <v>1.0</v>
      </c>
      <c r="AO41" s="386">
        <v>1.0</v>
      </c>
      <c r="AP41" s="390">
        <v>1.0</v>
      </c>
      <c r="AQ41" s="390">
        <v>1.0</v>
      </c>
      <c r="AR41" s="389">
        <v>1.0</v>
      </c>
    </row>
    <row r="42" ht="15.75" customHeight="1">
      <c r="A42" s="391" t="s">
        <v>1845</v>
      </c>
      <c r="B42" s="376" t="s">
        <v>1738</v>
      </c>
      <c r="C42" s="377">
        <v>4.0</v>
      </c>
      <c r="D42" s="379">
        <v>8.0</v>
      </c>
      <c r="E42" s="378">
        <v>5.0</v>
      </c>
      <c r="F42" s="380" t="s">
        <v>1663</v>
      </c>
      <c r="G42" s="382">
        <v>2.0</v>
      </c>
      <c r="H42" s="382">
        <v>2.0</v>
      </c>
      <c r="I42" s="377">
        <v>3.0</v>
      </c>
      <c r="J42" s="381">
        <v>4.0</v>
      </c>
      <c r="K42" s="383" t="s">
        <v>1846</v>
      </c>
      <c r="L42" s="383" t="s">
        <v>1847</v>
      </c>
      <c r="M42" s="384" t="s">
        <v>1748</v>
      </c>
      <c r="N42" s="345">
        <f>IFERROR(__xludf.DUMMYFUNCTION("SUM(C42*0.33,D42 * 
SWITCH(
LEN(F42) - LEN(SUBSTITUTE(F42,"","","""")),
0 , VLOOKUP(F42, Variables!$A:$B, 2, FALSE),
1 , VLOOKUP(index(split(F42 ,"", "", FALSE),1,1), Variables!$A:$B , 2, FALSE) + VLOOKUP(index(split(F42 ,"", "", FALSE),1,2), Variables!$A"&amp;":$B , 2, FALSE),
2 , VLOOKUP(index(split(F42 ,"", "", FALSE),1,1), Variables!$A:$B , 2, FALSE) + VLOOKUP(index(split(F42 ,"", "", FALSE),1,2), Variables!$A:$B , 2, FALSE) + VLOOKUP(index(split(F42 ,"", "", FALSE),1,3), Variables!$A:$B , 2, FALSE)
)
 ,E42,"&amp;"G42:J42,0,
SUM(IFERROR(SUM(O42:AC42)/(COUNTA(O42:AC42)/3),0),IFERROR(SUM(SUM(AD42:AR42)/(COUNTA(AD42:AR42)/3))))
)"),36.586666666666666)</f>
        <v>36.58666667</v>
      </c>
      <c r="O42" s="385">
        <v>2.0</v>
      </c>
      <c r="P42" s="386">
        <v>4.0</v>
      </c>
      <c r="Q42" s="387">
        <v>4.0</v>
      </c>
      <c r="R42" s="388">
        <v>4.0</v>
      </c>
      <c r="S42" s="389"/>
      <c r="T42" s="385">
        <v>-2.0</v>
      </c>
      <c r="U42" s="386">
        <v>-2.0</v>
      </c>
      <c r="V42" s="387">
        <v>-2.0</v>
      </c>
      <c r="W42" s="388">
        <v>0.0</v>
      </c>
      <c r="X42" s="389"/>
      <c r="Y42" s="385">
        <v>3.0</v>
      </c>
      <c r="Z42" s="386">
        <v>3.0</v>
      </c>
      <c r="AA42" s="387">
        <v>3.0</v>
      </c>
      <c r="AB42" s="388">
        <v>3.0</v>
      </c>
      <c r="AC42" s="389"/>
      <c r="AD42" s="385">
        <v>4.0</v>
      </c>
      <c r="AE42" s="386">
        <v>3.0</v>
      </c>
      <c r="AF42" s="390">
        <v>4.0</v>
      </c>
      <c r="AG42" s="390">
        <v>4.0</v>
      </c>
      <c r="AH42" s="389">
        <v>2.0</v>
      </c>
      <c r="AI42" s="385">
        <v>-5.0</v>
      </c>
      <c r="AJ42" s="386">
        <v>-3.0</v>
      </c>
      <c r="AK42" s="390">
        <v>-3.0</v>
      </c>
      <c r="AL42" s="390">
        <v>-3.0</v>
      </c>
      <c r="AM42" s="389">
        <v>-3.0</v>
      </c>
      <c r="AN42" s="385">
        <v>4.0</v>
      </c>
      <c r="AO42" s="386">
        <v>3.0</v>
      </c>
      <c r="AP42" s="390">
        <v>3.0</v>
      </c>
      <c r="AQ42" s="390">
        <v>5.0</v>
      </c>
      <c r="AR42" s="389">
        <v>3.0</v>
      </c>
    </row>
    <row r="43" ht="15.75" customHeight="1">
      <c r="A43" s="391" t="s">
        <v>1848</v>
      </c>
      <c r="B43" s="376" t="s">
        <v>1730</v>
      </c>
      <c r="C43" s="377">
        <v>4.0</v>
      </c>
      <c r="D43" s="377">
        <v>10.0</v>
      </c>
      <c r="E43" s="377">
        <v>4.0</v>
      </c>
      <c r="F43" s="380" t="s">
        <v>1663</v>
      </c>
      <c r="G43" s="379">
        <v>1.0</v>
      </c>
      <c r="H43" s="377">
        <v>3.0</v>
      </c>
      <c r="I43" s="393">
        <v>5.0</v>
      </c>
      <c r="J43" s="382">
        <v>2.0</v>
      </c>
      <c r="K43" s="383" t="s">
        <v>1849</v>
      </c>
      <c r="L43" s="383" t="s">
        <v>1850</v>
      </c>
      <c r="M43" s="384" t="s">
        <v>1808</v>
      </c>
      <c r="N43" s="345">
        <f>IFERROR(__xludf.DUMMYFUNCTION("SUM(C43*0.33,D43 * 
SWITCH(
LEN(F43) - LEN(SUBSTITUTE(F43,"","","""")),
0 , VLOOKUP(F43, Variables!$A:$B, 2, FALSE),
1 , VLOOKUP(index(split(F43 ,"", "", FALSE),1,1), Variables!$A:$B , 2, FALSE) + VLOOKUP(index(split(F43 ,"", "", FALSE),1,2), Variables!$A"&amp;":$B , 2, FALSE),
2 , VLOOKUP(index(split(F43 ,"", "", FALSE),1,1), Variables!$A:$B , 2, FALSE) + VLOOKUP(index(split(F43 ,"", "", FALSE),1,2), Variables!$A:$B , 2, FALSE) + VLOOKUP(index(split(F43 ,"", "", FALSE),1,3), Variables!$A:$B , 2, FALSE)
)
 ,E43,"&amp;"G43:J43,0,
SUM(IFERROR(SUM(O43:AC43)/(COUNTA(O43:AC43)/3),0),IFERROR(SUM(SUM(AD43:AR43)/(COUNTA(AD43:AR43)/3))))
)"),37.00333333333333)</f>
        <v>37.00333333</v>
      </c>
      <c r="O43" s="385">
        <v>2.0</v>
      </c>
      <c r="P43" s="386">
        <v>2.0</v>
      </c>
      <c r="Q43" s="387">
        <v>2.0</v>
      </c>
      <c r="R43" s="388">
        <v>2.0</v>
      </c>
      <c r="S43" s="389"/>
      <c r="T43" s="385">
        <v>-3.0</v>
      </c>
      <c r="U43" s="386">
        <v>-3.0</v>
      </c>
      <c r="V43" s="387">
        <v>-2.0</v>
      </c>
      <c r="W43" s="388">
        <v>-2.0</v>
      </c>
      <c r="X43" s="389"/>
      <c r="Y43" s="385">
        <v>5.0</v>
      </c>
      <c r="Z43" s="386">
        <v>4.0</v>
      </c>
      <c r="AA43" s="387">
        <v>4.0</v>
      </c>
      <c r="AB43" s="388">
        <v>4.0</v>
      </c>
      <c r="AC43" s="389"/>
      <c r="AD43" s="385">
        <v>2.0</v>
      </c>
      <c r="AE43" s="386">
        <v>2.0</v>
      </c>
      <c r="AF43" s="390">
        <v>2.0</v>
      </c>
      <c r="AG43" s="390">
        <v>2.0</v>
      </c>
      <c r="AH43" s="389">
        <v>2.0</v>
      </c>
      <c r="AI43" s="385">
        <v>-3.0</v>
      </c>
      <c r="AJ43" s="386">
        <v>-3.0</v>
      </c>
      <c r="AK43" s="390">
        <v>-3.0</v>
      </c>
      <c r="AL43" s="390">
        <v>-3.0</v>
      </c>
      <c r="AM43" s="389">
        <v>-3.0</v>
      </c>
      <c r="AN43" s="385">
        <v>5.0</v>
      </c>
      <c r="AO43" s="386">
        <v>5.0</v>
      </c>
      <c r="AP43" s="390">
        <v>5.0</v>
      </c>
      <c r="AQ43" s="390">
        <v>4.0</v>
      </c>
      <c r="AR43" s="389">
        <v>4.0</v>
      </c>
    </row>
    <row r="44" ht="15.75" customHeight="1">
      <c r="A44" s="391" t="s">
        <v>1851</v>
      </c>
      <c r="B44" s="376" t="s">
        <v>1738</v>
      </c>
      <c r="C44" s="377">
        <v>4.0</v>
      </c>
      <c r="D44" s="377">
        <v>10.0</v>
      </c>
      <c r="E44" s="377">
        <v>4.0</v>
      </c>
      <c r="F44" s="380" t="s">
        <v>1663</v>
      </c>
      <c r="G44" s="377">
        <v>3.0</v>
      </c>
      <c r="H44" s="382">
        <v>2.0</v>
      </c>
      <c r="I44" s="382">
        <v>2.0</v>
      </c>
      <c r="J44" s="381">
        <v>4.0</v>
      </c>
      <c r="K44" s="383" t="s">
        <v>1852</v>
      </c>
      <c r="L44" s="383" t="s">
        <v>1853</v>
      </c>
      <c r="M44" s="384" t="s">
        <v>1827</v>
      </c>
      <c r="N44" s="345">
        <f>IFERROR(__xludf.DUMMYFUNCTION("SUM(C44*0.33,D44 * 
SWITCH(
LEN(F44) - LEN(SUBSTITUTE(F44,"","","""")),
0 , VLOOKUP(F44, Variables!$A:$B, 2, FALSE),
1 , VLOOKUP(index(split(F44 ,"", "", FALSE),1,1), Variables!$A:$B , 2, FALSE) + VLOOKUP(index(split(F44 ,"", "", FALSE),1,2), Variables!$A"&amp;":$B , 2, FALSE),
2 , VLOOKUP(index(split(F44 ,"", "", FALSE),1,1), Variables!$A:$B , 2, FALSE) + VLOOKUP(index(split(F44 ,"", "", FALSE),1,2), Variables!$A:$B , 2, FALSE) + VLOOKUP(index(split(F44 ,"", "", FALSE),1,3), Variables!$A:$B , 2, FALSE)
)
 ,E44,"&amp;"G44:J44,0,
SUM(IFERROR(SUM(O44:AC44)/(COUNTA(O44:AC44)/3),0),IFERROR(SUM(SUM(AD44:AR44)/(COUNTA(AD44:AR44)/3))))
)"),37.00333333333333)</f>
        <v>37.00333333</v>
      </c>
      <c r="O44" s="385">
        <v>2.0</v>
      </c>
      <c r="P44" s="386">
        <v>2.0</v>
      </c>
      <c r="Q44" s="387">
        <v>2.0</v>
      </c>
      <c r="R44" s="388">
        <v>2.0</v>
      </c>
      <c r="S44" s="389"/>
      <c r="T44" s="385">
        <v>-2.0</v>
      </c>
      <c r="U44" s="386">
        <v>-2.0</v>
      </c>
      <c r="V44" s="387">
        <v>-2.0</v>
      </c>
      <c r="W44" s="388">
        <v>-3.0</v>
      </c>
      <c r="X44" s="389"/>
      <c r="Y44" s="385">
        <v>3.0</v>
      </c>
      <c r="Z44" s="386">
        <v>3.0</v>
      </c>
      <c r="AA44" s="387">
        <v>3.0</v>
      </c>
      <c r="AB44" s="388">
        <v>3.0</v>
      </c>
      <c r="AC44" s="389"/>
      <c r="AD44" s="385">
        <v>4.0</v>
      </c>
      <c r="AE44" s="386">
        <v>5.0</v>
      </c>
      <c r="AF44" s="390">
        <v>4.0</v>
      </c>
      <c r="AG44" s="390">
        <v>4.0</v>
      </c>
      <c r="AH44" s="389">
        <v>4.0</v>
      </c>
      <c r="AI44" s="385">
        <v>-5.0</v>
      </c>
      <c r="AJ44" s="386">
        <v>-5.0</v>
      </c>
      <c r="AK44" s="390">
        <v>-5.0</v>
      </c>
      <c r="AL44" s="390">
        <v>-3.0</v>
      </c>
      <c r="AM44" s="389">
        <v>-5.0</v>
      </c>
      <c r="AN44" s="385">
        <v>5.0</v>
      </c>
      <c r="AO44" s="386">
        <v>5.0</v>
      </c>
      <c r="AP44" s="390">
        <v>5.0</v>
      </c>
      <c r="AQ44" s="390">
        <v>5.0</v>
      </c>
      <c r="AR44" s="389">
        <v>5.0</v>
      </c>
    </row>
    <row r="45" ht="15.75" customHeight="1">
      <c r="A45" s="391" t="s">
        <v>1854</v>
      </c>
      <c r="B45" s="376" t="s">
        <v>1738</v>
      </c>
      <c r="C45" s="392">
        <v>5.0</v>
      </c>
      <c r="D45" s="377">
        <v>10.0</v>
      </c>
      <c r="E45" s="377">
        <v>4.0</v>
      </c>
      <c r="F45" s="380" t="s">
        <v>1663</v>
      </c>
      <c r="G45" s="377">
        <v>3.0</v>
      </c>
      <c r="H45" s="379">
        <v>1.0</v>
      </c>
      <c r="I45" s="382">
        <v>2.0</v>
      </c>
      <c r="J45" s="393">
        <v>5.0</v>
      </c>
      <c r="K45" s="383" t="s">
        <v>1855</v>
      </c>
      <c r="L45" s="383" t="s">
        <v>1856</v>
      </c>
      <c r="M45" s="384" t="s">
        <v>1720</v>
      </c>
      <c r="N45" s="345">
        <f>IFERROR(__xludf.DUMMYFUNCTION("SUM(C45*0.33,D45 * 
SWITCH(
LEN(F45) - LEN(SUBSTITUTE(F45,"","","""")),
0 , VLOOKUP(F45, Variables!$A:$B, 2, FALSE),
1 , VLOOKUP(index(split(F45 ,"", "", FALSE),1,1), Variables!$A:$B , 2, FALSE) + VLOOKUP(index(split(F45 ,"", "", FALSE),1,2), Variables!$A"&amp;":$B , 2, FALSE),
2 , VLOOKUP(index(split(F45 ,"", "", FALSE),1,1), Variables!$A:$B , 2, FALSE) + VLOOKUP(index(split(F45 ,"", "", FALSE),1,2), Variables!$A:$B , 2, FALSE) + VLOOKUP(index(split(F45 ,"", "", FALSE),1,3), Variables!$A:$B , 2, FALSE)
)
 ,E45,"&amp;"G45:J45,0,
SUM(IFERROR(SUM(O45:AC45)/(COUNTA(O45:AC45)/3),0),IFERROR(SUM(SUM(AD45:AR45)/(COUNTA(AD45:AR45)/3))))
)"),36.88333333333333)</f>
        <v>36.88333333</v>
      </c>
      <c r="O45" s="385">
        <v>4.0</v>
      </c>
      <c r="P45" s="386">
        <v>4.0</v>
      </c>
      <c r="Q45" s="387">
        <v>4.0</v>
      </c>
      <c r="R45" s="388">
        <v>4.0</v>
      </c>
      <c r="S45" s="389"/>
      <c r="T45" s="385">
        <v>-2.0</v>
      </c>
      <c r="U45" s="386">
        <v>-2.0</v>
      </c>
      <c r="V45" s="387">
        <v>-2.0</v>
      </c>
      <c r="W45" s="388">
        <v>0.0</v>
      </c>
      <c r="X45" s="389"/>
      <c r="Y45" s="385">
        <v>4.0</v>
      </c>
      <c r="Z45" s="386">
        <v>3.0</v>
      </c>
      <c r="AA45" s="387">
        <v>3.0</v>
      </c>
      <c r="AB45" s="388">
        <v>2.0</v>
      </c>
      <c r="AC45" s="389"/>
      <c r="AD45" s="385">
        <v>2.0</v>
      </c>
      <c r="AE45" s="386">
        <v>2.0</v>
      </c>
      <c r="AF45" s="390">
        <v>2.0</v>
      </c>
      <c r="AG45" s="390">
        <v>2.0</v>
      </c>
      <c r="AH45" s="389">
        <v>2.0</v>
      </c>
      <c r="AI45" s="385">
        <v>-3.0</v>
      </c>
      <c r="AJ45" s="386">
        <v>-4.0</v>
      </c>
      <c r="AK45" s="390">
        <v>-3.0</v>
      </c>
      <c r="AL45" s="390">
        <v>-3.0</v>
      </c>
      <c r="AM45" s="389">
        <v>-5.0</v>
      </c>
      <c r="AN45" s="385">
        <v>3.0</v>
      </c>
      <c r="AO45" s="386">
        <v>3.0</v>
      </c>
      <c r="AP45" s="390">
        <v>3.0</v>
      </c>
      <c r="AQ45" s="390">
        <v>2.0</v>
      </c>
      <c r="AR45" s="389">
        <v>4.0</v>
      </c>
    </row>
    <row r="46" ht="15.75" customHeight="1">
      <c r="A46" s="391" t="s">
        <v>1857</v>
      </c>
      <c r="B46" s="376" t="s">
        <v>1717</v>
      </c>
      <c r="C46" s="392">
        <v>5.0</v>
      </c>
      <c r="D46" s="377">
        <v>10.0</v>
      </c>
      <c r="E46" s="378">
        <v>5.0</v>
      </c>
      <c r="F46" s="376" t="s">
        <v>1858</v>
      </c>
      <c r="G46" s="381">
        <v>4.0</v>
      </c>
      <c r="H46" s="382">
        <v>2.0</v>
      </c>
      <c r="I46" s="379">
        <v>1.0</v>
      </c>
      <c r="J46" s="381">
        <v>4.0</v>
      </c>
      <c r="K46" s="383" t="s">
        <v>1859</v>
      </c>
      <c r="L46" s="383" t="s">
        <v>1860</v>
      </c>
      <c r="M46" s="384" t="s">
        <v>1861</v>
      </c>
      <c r="N46" s="345">
        <f>IFERROR(__xludf.DUMMYFUNCTION("SUM(C46*0.33,D46 * 
SWITCH(
LEN(F46) - LEN(SUBSTITUTE(F46,"","","""")),
0 , VLOOKUP(F46, Variables!$A:$B, 2, FALSE),
1 , VLOOKUP(index(split(F46 ,"", "", FALSE),1,1), Variables!$A:$B , 2, FALSE) + VLOOKUP(index(split(F46 ,"", "", FALSE),1,2), Variables!$A"&amp;":$B , 2, FALSE),
2 , VLOOKUP(index(split(F46 ,"", "", FALSE),1,1), Variables!$A:$B , 2, FALSE) + VLOOKUP(index(split(F46 ,"", "", FALSE),1,2), Variables!$A:$B , 2, FALSE) + VLOOKUP(index(split(F46 ,"", "", FALSE),1,3), Variables!$A:$B , 2, FALSE)
)
 ,E46,"&amp;"G46:J46,0,
SUM(IFERROR(SUM(O46:AC46)/(COUNTA(O46:AC46)/3),0),IFERROR(SUM(SUM(AD46:AR46)/(COUNTA(AD46:AR46)/3))))
)"),30.816666666666666)</f>
        <v>30.81666667</v>
      </c>
      <c r="O46" s="385">
        <v>2.0</v>
      </c>
      <c r="P46" s="386">
        <v>2.0</v>
      </c>
      <c r="Q46" s="387">
        <v>2.0</v>
      </c>
      <c r="R46" s="388">
        <v>2.0</v>
      </c>
      <c r="S46" s="389"/>
      <c r="T46" s="385">
        <v>-2.0</v>
      </c>
      <c r="U46" s="386">
        <v>0.0</v>
      </c>
      <c r="V46" s="387">
        <v>-1.0</v>
      </c>
      <c r="W46" s="388">
        <v>0.0</v>
      </c>
      <c r="X46" s="389"/>
      <c r="Y46" s="385">
        <v>3.0</v>
      </c>
      <c r="Z46" s="386">
        <v>4.0</v>
      </c>
      <c r="AA46" s="387">
        <v>3.0</v>
      </c>
      <c r="AB46" s="388">
        <v>3.0</v>
      </c>
      <c r="AC46" s="389"/>
      <c r="AD46" s="385">
        <v>5.0</v>
      </c>
      <c r="AE46" s="386">
        <v>2.0</v>
      </c>
      <c r="AF46" s="390">
        <v>2.0</v>
      </c>
      <c r="AG46" s="390">
        <v>2.0</v>
      </c>
      <c r="AH46" s="389">
        <v>2.0</v>
      </c>
      <c r="AI46" s="385">
        <v>-5.0</v>
      </c>
      <c r="AJ46" s="386">
        <v>-5.0</v>
      </c>
      <c r="AK46" s="390">
        <v>-5.0</v>
      </c>
      <c r="AL46" s="390">
        <v>-5.0</v>
      </c>
      <c r="AM46" s="389">
        <v>-5.0</v>
      </c>
      <c r="AN46" s="385">
        <v>5.0</v>
      </c>
      <c r="AO46" s="386">
        <v>4.0</v>
      </c>
      <c r="AP46" s="390">
        <v>4.0</v>
      </c>
      <c r="AQ46" s="390">
        <v>5.0</v>
      </c>
      <c r="AR46" s="389">
        <v>4.0</v>
      </c>
    </row>
    <row r="47" ht="15.75" customHeight="1">
      <c r="A47" s="391" t="s">
        <v>1862</v>
      </c>
      <c r="B47" s="376" t="s">
        <v>1721</v>
      </c>
      <c r="C47" s="377">
        <v>4.0</v>
      </c>
      <c r="D47" s="377">
        <v>10.0</v>
      </c>
      <c r="E47" s="377">
        <v>4.0</v>
      </c>
      <c r="F47" s="380" t="s">
        <v>1663</v>
      </c>
      <c r="G47" s="382">
        <v>2.0</v>
      </c>
      <c r="H47" s="381">
        <v>4.0</v>
      </c>
      <c r="I47" s="377">
        <v>3.0</v>
      </c>
      <c r="J47" s="382">
        <v>2.0</v>
      </c>
      <c r="K47" s="383" t="s">
        <v>1863</v>
      </c>
      <c r="L47" s="383" t="s">
        <v>1864</v>
      </c>
      <c r="M47" s="384" t="s">
        <v>1748</v>
      </c>
      <c r="N47" s="345">
        <f>IFERROR(__xludf.DUMMYFUNCTION("SUM(C47*0.33,D47 * 
SWITCH(
LEN(F47) - LEN(SUBSTITUTE(F47,"","","""")),
0 , VLOOKUP(F47, Variables!$A:$B, 2, FALSE),
1 , VLOOKUP(index(split(F47 ,"", "", FALSE),1,1), Variables!$A:$B , 2, FALSE) + VLOOKUP(index(split(F47 ,"", "", FALSE),1,2), Variables!$A"&amp;":$B , 2, FALSE),
2 , VLOOKUP(index(split(F47 ,"", "", FALSE),1,1), Variables!$A:$B , 2, FALSE) + VLOOKUP(index(split(F47 ,"", "", FALSE),1,2), Variables!$A:$B , 2, FALSE) + VLOOKUP(index(split(F47 ,"", "", FALSE),1,3), Variables!$A:$B , 2, FALSE)
)
 ,E47,"&amp;"G47:J47,0,
SUM(IFERROR(SUM(O47:AC47)/(COUNTA(O47:AC47)/3),0),IFERROR(SUM(SUM(AD47:AR47)/(COUNTA(AD47:AR47)/3))))
)"),35.70333333333333)</f>
        <v>35.70333333</v>
      </c>
      <c r="O47" s="385">
        <v>2.0</v>
      </c>
      <c r="P47" s="386">
        <v>2.0</v>
      </c>
      <c r="Q47" s="387">
        <v>2.0</v>
      </c>
      <c r="R47" s="388">
        <v>2.0</v>
      </c>
      <c r="S47" s="389"/>
      <c r="T47" s="385">
        <v>-3.0</v>
      </c>
      <c r="U47" s="386">
        <v>-3.0</v>
      </c>
      <c r="V47" s="387">
        <v>-3.0</v>
      </c>
      <c r="W47" s="388">
        <v>-2.0</v>
      </c>
      <c r="X47" s="389"/>
      <c r="Y47" s="385">
        <v>3.0</v>
      </c>
      <c r="Z47" s="386">
        <v>3.0</v>
      </c>
      <c r="AA47" s="387">
        <v>3.0</v>
      </c>
      <c r="AB47" s="388">
        <v>3.0</v>
      </c>
      <c r="AC47" s="389"/>
      <c r="AD47" s="385">
        <v>4.0</v>
      </c>
      <c r="AE47" s="386">
        <v>4.0</v>
      </c>
      <c r="AF47" s="390">
        <v>4.0</v>
      </c>
      <c r="AG47" s="390">
        <v>4.0</v>
      </c>
      <c r="AH47" s="389">
        <v>4.0</v>
      </c>
      <c r="AI47" s="385">
        <v>-3.0</v>
      </c>
      <c r="AJ47" s="386">
        <v>-3.0</v>
      </c>
      <c r="AK47" s="390">
        <v>-3.0</v>
      </c>
      <c r="AL47" s="390">
        <v>-3.0</v>
      </c>
      <c r="AM47" s="389">
        <v>-3.0</v>
      </c>
      <c r="AN47" s="385">
        <v>2.0</v>
      </c>
      <c r="AO47" s="386">
        <v>2.0</v>
      </c>
      <c r="AP47" s="390">
        <v>3.0</v>
      </c>
      <c r="AQ47" s="390">
        <v>4.0</v>
      </c>
      <c r="AR47" s="389">
        <v>3.0</v>
      </c>
    </row>
    <row r="48" ht="15.75" customHeight="1">
      <c r="A48" s="391" t="s">
        <v>1865</v>
      </c>
      <c r="B48" s="376" t="s">
        <v>1717</v>
      </c>
      <c r="C48" s="377">
        <v>4.0</v>
      </c>
      <c r="D48" s="377">
        <v>10.0</v>
      </c>
      <c r="E48" s="377">
        <v>4.0</v>
      </c>
      <c r="F48" s="380" t="s">
        <v>1663</v>
      </c>
      <c r="G48" s="377">
        <v>3.0</v>
      </c>
      <c r="H48" s="377">
        <v>3.0</v>
      </c>
      <c r="I48" s="382">
        <v>2.0</v>
      </c>
      <c r="J48" s="377">
        <v>3.0</v>
      </c>
      <c r="K48" s="383" t="s">
        <v>1866</v>
      </c>
      <c r="L48" s="383" t="s">
        <v>1867</v>
      </c>
      <c r="M48" s="384" t="s">
        <v>1758</v>
      </c>
      <c r="N48" s="345">
        <f>IFERROR(__xludf.DUMMYFUNCTION("SUM(C48*0.33,D48 * 
SWITCH(
LEN(F48) - LEN(SUBSTITUTE(F48,"","","""")),
0 , VLOOKUP(F48, Variables!$A:$B, 2, FALSE),
1 , VLOOKUP(index(split(F48 ,"", "", FALSE),1,1), Variables!$A:$B , 2, FALSE) + VLOOKUP(index(split(F48 ,"", "", FALSE),1,2), Variables!$A"&amp;":$B , 2, FALSE),
2 , VLOOKUP(index(split(F48 ,"", "", FALSE),1,1), Variables!$A:$B , 2, FALSE) + VLOOKUP(index(split(F48 ,"", "", FALSE),1,2), Variables!$A:$B , 2, FALSE) + VLOOKUP(index(split(F48 ,"", "", FALSE),1,3), Variables!$A:$B , 2, FALSE)
)
 ,E48,"&amp;"G48:J48,0,
SUM(IFERROR(SUM(O48:AC48)/(COUNTA(O48:AC48)/3),0),IFERROR(SUM(SUM(AD48:AR48)/(COUNTA(AD48:AR48)/3))))
)"),35.653333333333336)</f>
        <v>35.65333333</v>
      </c>
      <c r="O48" s="385">
        <v>2.0</v>
      </c>
      <c r="P48" s="386">
        <v>2.0</v>
      </c>
      <c r="Q48" s="387">
        <v>2.0</v>
      </c>
      <c r="R48" s="388">
        <v>2.0</v>
      </c>
      <c r="S48" s="389"/>
      <c r="T48" s="385">
        <v>-2.0</v>
      </c>
      <c r="U48" s="386">
        <v>-2.0</v>
      </c>
      <c r="V48" s="387">
        <v>-2.0</v>
      </c>
      <c r="W48" s="388">
        <v>-2.0</v>
      </c>
      <c r="X48" s="389"/>
      <c r="Y48" s="385">
        <v>4.0</v>
      </c>
      <c r="Z48" s="386">
        <v>4.0</v>
      </c>
      <c r="AA48" s="387">
        <v>4.0</v>
      </c>
      <c r="AB48" s="388">
        <v>4.0</v>
      </c>
      <c r="AC48" s="389"/>
      <c r="AD48" s="385">
        <v>4.0</v>
      </c>
      <c r="AE48" s="386">
        <v>4.0</v>
      </c>
      <c r="AF48" s="390">
        <v>4.0</v>
      </c>
      <c r="AG48" s="390">
        <v>4.0</v>
      </c>
      <c r="AH48" s="389">
        <v>4.0</v>
      </c>
      <c r="AI48" s="385">
        <v>-5.0</v>
      </c>
      <c r="AJ48" s="386">
        <v>-5.0</v>
      </c>
      <c r="AK48" s="390">
        <v>-5.0</v>
      </c>
      <c r="AL48" s="390">
        <v>-5.0</v>
      </c>
      <c r="AM48" s="389">
        <v>-5.0</v>
      </c>
      <c r="AN48" s="385">
        <v>3.0</v>
      </c>
      <c r="AO48" s="386">
        <v>3.0</v>
      </c>
      <c r="AP48" s="390">
        <v>3.0</v>
      </c>
      <c r="AQ48" s="390">
        <v>4.0</v>
      </c>
      <c r="AR48" s="389">
        <v>2.0</v>
      </c>
    </row>
    <row r="49" ht="15.75" customHeight="1">
      <c r="A49" s="391" t="s">
        <v>1868</v>
      </c>
      <c r="B49" s="376" t="s">
        <v>1730</v>
      </c>
      <c r="C49" s="377">
        <v>4.0</v>
      </c>
      <c r="D49" s="379">
        <v>8.0</v>
      </c>
      <c r="E49" s="378">
        <v>5.0</v>
      </c>
      <c r="F49" s="376" t="s">
        <v>1788</v>
      </c>
      <c r="G49" s="379">
        <v>1.0</v>
      </c>
      <c r="H49" s="382">
        <v>2.0</v>
      </c>
      <c r="I49" s="381">
        <v>4.0</v>
      </c>
      <c r="J49" s="381">
        <v>4.0</v>
      </c>
      <c r="K49" s="383" t="s">
        <v>1869</v>
      </c>
      <c r="L49" s="383" t="s">
        <v>1870</v>
      </c>
      <c r="M49" s="384" t="s">
        <v>1861</v>
      </c>
      <c r="N49" s="345">
        <f>IFERROR(__xludf.DUMMYFUNCTION("SUM(C49*0.33,D49 * 
SWITCH(
LEN(F49) - LEN(SUBSTITUTE(F49,"","","""")),
0 , VLOOKUP(F49, Variables!$A:$B, 2, FALSE),
1 , VLOOKUP(index(split(F49 ,"", "", FALSE),1,1), Variables!$A:$B , 2, FALSE) + VLOOKUP(index(split(F49 ,"", "", FALSE),1,2), Variables!$A"&amp;":$B , 2, FALSE),
2 , VLOOKUP(index(split(F49 ,"", "", FALSE),1,1), Variables!$A:$B , 2, FALSE) + VLOOKUP(index(split(F49 ,"", "", FALSE),1,2), Variables!$A:$B , 2, FALSE) + VLOOKUP(index(split(F49 ,"", "", FALSE),1,3), Variables!$A:$B , 2, FALSE)
)
 ,E49,"&amp;"G49:J49,0,
SUM(IFERROR(SUM(O49:AC49)/(COUNTA(O49:AC49)/3),0),IFERROR(SUM(SUM(AD49:AR49)/(COUNTA(AD49:AR49)/3))))
)"),40.553333333333335)</f>
        <v>40.55333333</v>
      </c>
      <c r="O49" s="385">
        <v>2.0</v>
      </c>
      <c r="P49" s="386">
        <v>2.0</v>
      </c>
      <c r="Q49" s="387">
        <v>2.0</v>
      </c>
      <c r="R49" s="388">
        <v>2.0</v>
      </c>
      <c r="S49" s="389"/>
      <c r="T49" s="385">
        <v>-2.0</v>
      </c>
      <c r="U49" s="386">
        <v>0.0</v>
      </c>
      <c r="V49" s="387">
        <v>-2.0</v>
      </c>
      <c r="W49" s="388">
        <v>0.0</v>
      </c>
      <c r="X49" s="389"/>
      <c r="Y49" s="385">
        <v>3.0</v>
      </c>
      <c r="Z49" s="386">
        <v>4.0</v>
      </c>
      <c r="AA49" s="387">
        <v>3.0</v>
      </c>
      <c r="AB49" s="388">
        <v>4.0</v>
      </c>
      <c r="AC49" s="389"/>
      <c r="AD49" s="385">
        <v>2.0</v>
      </c>
      <c r="AE49" s="386">
        <v>2.0</v>
      </c>
      <c r="AF49" s="390">
        <v>2.0</v>
      </c>
      <c r="AG49" s="390">
        <v>2.0</v>
      </c>
      <c r="AH49" s="389">
        <v>2.0</v>
      </c>
      <c r="AI49" s="385">
        <v>-5.0</v>
      </c>
      <c r="AJ49" s="386">
        <v>-5.0</v>
      </c>
      <c r="AK49" s="390">
        <v>-5.0</v>
      </c>
      <c r="AL49" s="390">
        <v>-3.0</v>
      </c>
      <c r="AM49" s="389">
        <v>-3.0</v>
      </c>
      <c r="AN49" s="385">
        <v>4.0</v>
      </c>
      <c r="AO49" s="386">
        <v>3.0</v>
      </c>
      <c r="AP49" s="390">
        <v>3.0</v>
      </c>
      <c r="AQ49" s="390">
        <v>4.0</v>
      </c>
      <c r="AR49" s="389">
        <v>4.0</v>
      </c>
    </row>
    <row r="50" ht="15.75" customHeight="1">
      <c r="A50" s="391" t="s">
        <v>1871</v>
      </c>
      <c r="B50" s="376" t="s">
        <v>1730</v>
      </c>
      <c r="C50" s="392">
        <v>5.0</v>
      </c>
      <c r="D50" s="379">
        <v>8.0</v>
      </c>
      <c r="E50" s="378">
        <v>5.0</v>
      </c>
      <c r="F50" s="380" t="s">
        <v>1663</v>
      </c>
      <c r="G50" s="379">
        <v>1.0</v>
      </c>
      <c r="H50" s="377">
        <v>3.0</v>
      </c>
      <c r="I50" s="381">
        <v>4.0</v>
      </c>
      <c r="J50" s="377">
        <v>3.0</v>
      </c>
      <c r="K50" s="383" t="s">
        <v>1872</v>
      </c>
      <c r="L50" s="383" t="s">
        <v>1873</v>
      </c>
      <c r="M50" s="384" t="s">
        <v>1745</v>
      </c>
      <c r="N50" s="345">
        <f>IFERROR(__xludf.DUMMYFUNCTION("SUM(C50*0.33,D50 * 
SWITCH(
LEN(F50) - LEN(SUBSTITUTE(F50,"","","""")),
0 , VLOOKUP(F50, Variables!$A:$B, 2, FALSE),
1 , VLOOKUP(index(split(F50 ,"", "", FALSE),1,1), Variables!$A:$B , 2, FALSE) + VLOOKUP(index(split(F50 ,"", "", FALSE),1,2), Variables!$A"&amp;":$B , 2, FALSE),
2 , VLOOKUP(index(split(F50 ,"", "", FALSE),1,1), Variables!$A:$B , 2, FALSE) + VLOOKUP(index(split(F50 ,"", "", FALSE),1,2), Variables!$A:$B , 2, FALSE) + VLOOKUP(index(split(F50 ,"", "", FALSE),1,3), Variables!$A:$B , 2, FALSE)
)
 ,E50,"&amp;"G50:J50,0,
SUM(IFERROR(SUM(O50:AC50)/(COUNTA(O50:AC50)/3),0),IFERROR(SUM(SUM(AD50:AR50)/(COUNTA(AD50:AR50)/3))))
)"),34.61666666666667)</f>
        <v>34.61666667</v>
      </c>
      <c r="O50" s="385">
        <v>2.0</v>
      </c>
      <c r="P50" s="386">
        <v>1.0</v>
      </c>
      <c r="Q50" s="387">
        <v>2.0</v>
      </c>
      <c r="R50" s="388">
        <v>2.0</v>
      </c>
      <c r="S50" s="389"/>
      <c r="T50" s="385">
        <v>0.0</v>
      </c>
      <c r="U50" s="386">
        <v>0.0</v>
      </c>
      <c r="V50" s="387">
        <v>0.0</v>
      </c>
      <c r="W50" s="388">
        <v>0.0</v>
      </c>
      <c r="X50" s="389"/>
      <c r="Y50" s="385">
        <v>4.0</v>
      </c>
      <c r="Z50" s="386">
        <v>3.0</v>
      </c>
      <c r="AA50" s="387">
        <v>3.0</v>
      </c>
      <c r="AB50" s="388">
        <v>5.0</v>
      </c>
      <c r="AC50" s="389"/>
      <c r="AD50" s="385">
        <v>2.0</v>
      </c>
      <c r="AE50" s="386">
        <v>2.0</v>
      </c>
      <c r="AF50" s="390">
        <v>2.0</v>
      </c>
      <c r="AG50" s="390">
        <v>2.0</v>
      </c>
      <c r="AH50" s="389">
        <v>2.0</v>
      </c>
      <c r="AI50" s="385">
        <v>-5.0</v>
      </c>
      <c r="AJ50" s="386">
        <v>-5.0</v>
      </c>
      <c r="AK50" s="390">
        <v>-5.0</v>
      </c>
      <c r="AL50" s="390">
        <v>-3.0</v>
      </c>
      <c r="AM50" s="389">
        <v>-3.0</v>
      </c>
      <c r="AN50" s="385">
        <v>3.0</v>
      </c>
      <c r="AO50" s="386">
        <v>1.0</v>
      </c>
      <c r="AP50" s="390">
        <v>3.0</v>
      </c>
      <c r="AQ50" s="390">
        <v>4.0</v>
      </c>
      <c r="AR50" s="389">
        <v>4.0</v>
      </c>
    </row>
    <row r="51" ht="15.75" customHeight="1">
      <c r="A51" s="391" t="s">
        <v>1874</v>
      </c>
      <c r="B51" s="376" t="s">
        <v>1721</v>
      </c>
      <c r="C51" s="377">
        <v>4.0</v>
      </c>
      <c r="D51" s="377">
        <v>10.0</v>
      </c>
      <c r="E51" s="377">
        <v>4.0</v>
      </c>
      <c r="F51" s="380" t="s">
        <v>1663</v>
      </c>
      <c r="G51" s="382">
        <v>2.0</v>
      </c>
      <c r="H51" s="377">
        <v>3.0</v>
      </c>
      <c r="I51" s="377">
        <v>3.0</v>
      </c>
      <c r="J51" s="377">
        <v>3.0</v>
      </c>
      <c r="K51" s="383" t="s">
        <v>1875</v>
      </c>
      <c r="L51" s="383" t="s">
        <v>1876</v>
      </c>
      <c r="M51" s="384" t="s">
        <v>1720</v>
      </c>
      <c r="N51" s="345">
        <f>IFERROR(__xludf.DUMMYFUNCTION("SUM(C51*0.33,D51 * 
SWITCH(
LEN(F51) - LEN(SUBSTITUTE(F51,"","","""")),
0 , VLOOKUP(F51, Variables!$A:$B, 2, FALSE),
1 , VLOOKUP(index(split(F51 ,"", "", FALSE),1,1), Variables!$A:$B , 2, FALSE) + VLOOKUP(index(split(F51 ,"", "", FALSE),1,2), Variables!$A"&amp;":$B , 2, FALSE),
2 , VLOOKUP(index(split(F51 ,"", "", FALSE),1,1), Variables!$A:$B , 2, FALSE) + VLOOKUP(index(split(F51 ,"", "", FALSE),1,2), Variables!$A:$B , 2, FALSE) + VLOOKUP(index(split(F51 ,"", "", FALSE),1,3), Variables!$A:$B , 2, FALSE)
)
 ,E51,"&amp;"G51:J51,0,
SUM(IFERROR(SUM(O51:AC51)/(COUNTA(O51:AC51)/3),0),IFERROR(SUM(SUM(AD51:AR51)/(COUNTA(AD51:AR51)/3))))
)"),35.25333333333333)</f>
        <v>35.25333333</v>
      </c>
      <c r="O51" s="385">
        <v>5.0</v>
      </c>
      <c r="P51" s="386">
        <v>5.0</v>
      </c>
      <c r="Q51" s="387">
        <v>4.0</v>
      </c>
      <c r="R51" s="388">
        <v>3.0</v>
      </c>
      <c r="S51" s="389"/>
      <c r="T51" s="385">
        <v>-3.0</v>
      </c>
      <c r="U51" s="386">
        <v>-3.0</v>
      </c>
      <c r="V51" s="387">
        <v>-3.0</v>
      </c>
      <c r="W51" s="388">
        <v>-1.0</v>
      </c>
      <c r="X51" s="389"/>
      <c r="Y51" s="385">
        <v>3.0</v>
      </c>
      <c r="Z51" s="386">
        <v>3.0</v>
      </c>
      <c r="AA51" s="387">
        <v>2.0</v>
      </c>
      <c r="AB51" s="388">
        <v>1.0</v>
      </c>
      <c r="AC51" s="389"/>
      <c r="AD51" s="385">
        <v>2.0</v>
      </c>
      <c r="AE51" s="386">
        <v>2.0</v>
      </c>
      <c r="AF51" s="390">
        <v>2.0</v>
      </c>
      <c r="AG51" s="390">
        <v>2.0</v>
      </c>
      <c r="AH51" s="389">
        <v>2.0</v>
      </c>
      <c r="AI51" s="385">
        <v>-5.0</v>
      </c>
      <c r="AJ51" s="386">
        <v>-3.0</v>
      </c>
      <c r="AK51" s="390">
        <v>-3.0</v>
      </c>
      <c r="AL51" s="390">
        <v>-3.0</v>
      </c>
      <c r="AM51" s="389">
        <v>-3.0</v>
      </c>
      <c r="AN51" s="385">
        <v>3.0</v>
      </c>
      <c r="AO51" s="386">
        <v>3.0</v>
      </c>
      <c r="AP51" s="390">
        <v>2.0</v>
      </c>
      <c r="AQ51" s="390">
        <v>3.0</v>
      </c>
      <c r="AR51" s="389">
        <v>4.0</v>
      </c>
    </row>
    <row r="52" ht="15.75" customHeight="1">
      <c r="A52" s="391" t="s">
        <v>1877</v>
      </c>
      <c r="B52" s="376" t="s">
        <v>1738</v>
      </c>
      <c r="C52" s="377">
        <v>4.0</v>
      </c>
      <c r="D52" s="379">
        <v>8.0</v>
      </c>
      <c r="E52" s="378">
        <v>5.0</v>
      </c>
      <c r="F52" s="380" t="s">
        <v>1663</v>
      </c>
      <c r="G52" s="379">
        <v>1.0</v>
      </c>
      <c r="H52" s="377">
        <v>3.0</v>
      </c>
      <c r="I52" s="382">
        <v>2.0</v>
      </c>
      <c r="J52" s="393">
        <v>5.0</v>
      </c>
      <c r="K52" s="383" t="s">
        <v>1878</v>
      </c>
      <c r="L52" s="383" t="s">
        <v>1879</v>
      </c>
      <c r="M52" s="384" t="s">
        <v>1724</v>
      </c>
      <c r="N52" s="345">
        <f>IFERROR(__xludf.DUMMYFUNCTION("SUM(C52*0.33,D52 * 
SWITCH(
LEN(F52) - LEN(SUBSTITUTE(F52,"","","""")),
0 , VLOOKUP(F52, Variables!$A:$B, 2, FALSE),
1 , VLOOKUP(index(split(F52 ,"", "", FALSE),1,1), Variables!$A:$B , 2, FALSE) + VLOOKUP(index(split(F52 ,"", "", FALSE),1,2), Variables!$A"&amp;":$B , 2, FALSE),
2 , VLOOKUP(index(split(F52 ,"", "", FALSE),1,1), Variables!$A:$B , 2, FALSE) + VLOOKUP(index(split(F52 ,"", "", FALSE),1,2), Variables!$A:$B , 2, FALSE) + VLOOKUP(index(split(F52 ,"", "", FALSE),1,3), Variables!$A:$B , 2, FALSE)
)
 ,E52,"&amp;"G52:J52,0,
SUM(IFERROR(SUM(O52:AC52)/(COUNTA(O52:AC52)/3),0),IFERROR(SUM(SUM(AD52:AR52)/(COUNTA(AD52:AR52)/3))))
)"),34.586666666666666)</f>
        <v>34.58666667</v>
      </c>
      <c r="O52" s="385">
        <v>2.0</v>
      </c>
      <c r="P52" s="386">
        <v>2.0</v>
      </c>
      <c r="Q52" s="387">
        <v>2.0</v>
      </c>
      <c r="R52" s="388">
        <v>2.0</v>
      </c>
      <c r="S52" s="389"/>
      <c r="T52" s="385">
        <v>-2.0</v>
      </c>
      <c r="U52" s="386">
        <v>-2.0</v>
      </c>
      <c r="V52" s="387">
        <v>-2.0</v>
      </c>
      <c r="W52" s="388">
        <v>-2.0</v>
      </c>
      <c r="X52" s="389"/>
      <c r="Y52" s="385">
        <v>5.0</v>
      </c>
      <c r="Z52" s="386">
        <v>5.0</v>
      </c>
      <c r="AA52" s="387">
        <v>5.0</v>
      </c>
      <c r="AB52" s="388">
        <v>5.0</v>
      </c>
      <c r="AC52" s="389"/>
      <c r="AD52" s="385">
        <v>2.0</v>
      </c>
      <c r="AE52" s="386">
        <v>2.0</v>
      </c>
      <c r="AF52" s="390">
        <v>2.0</v>
      </c>
      <c r="AG52" s="390">
        <v>2.0</v>
      </c>
      <c r="AH52" s="389">
        <v>2.0</v>
      </c>
      <c r="AI52" s="385">
        <v>-3.0</v>
      </c>
      <c r="AJ52" s="386">
        <v>-3.0</v>
      </c>
      <c r="AK52" s="390">
        <v>-3.0</v>
      </c>
      <c r="AL52" s="390">
        <v>-3.0</v>
      </c>
      <c r="AM52" s="389">
        <v>-3.0</v>
      </c>
      <c r="AN52" s="385">
        <v>3.0</v>
      </c>
      <c r="AO52" s="386">
        <v>2.0</v>
      </c>
      <c r="AP52" s="390">
        <v>2.0</v>
      </c>
      <c r="AQ52" s="390">
        <v>4.0</v>
      </c>
      <c r="AR52" s="389">
        <v>2.0</v>
      </c>
    </row>
    <row r="53" ht="15.75" customHeight="1">
      <c r="A53" s="391" t="s">
        <v>1880</v>
      </c>
      <c r="B53" s="376" t="s">
        <v>1738</v>
      </c>
      <c r="C53" s="377">
        <v>4.0</v>
      </c>
      <c r="D53" s="392">
        <v>14.0</v>
      </c>
      <c r="E53" s="378">
        <v>5.0</v>
      </c>
      <c r="F53" s="376" t="s">
        <v>1858</v>
      </c>
      <c r="G53" s="377">
        <v>3.0</v>
      </c>
      <c r="H53" s="379">
        <v>1.0</v>
      </c>
      <c r="I53" s="382">
        <v>2.0</v>
      </c>
      <c r="J53" s="393">
        <v>5.0</v>
      </c>
      <c r="K53" s="383" t="s">
        <v>1881</v>
      </c>
      <c r="L53" s="383" t="s">
        <v>1882</v>
      </c>
      <c r="M53" s="384" t="s">
        <v>1883</v>
      </c>
      <c r="N53" s="345">
        <f>IFERROR(__xludf.DUMMYFUNCTION("SUM(C53*0.33,D53 * 
SWITCH(
LEN(F53) - LEN(SUBSTITUTE(F53,"","","""")),
0 , VLOOKUP(F53, Variables!$A:$B, 2, FALSE),
1 , VLOOKUP(index(split(F53 ,"", "", FALSE),1,1), Variables!$A:$B , 2, FALSE) + VLOOKUP(index(split(F53 ,"", "", FALSE),1,2), Variables!$A"&amp;":$B , 2, FALSE),
2 , VLOOKUP(index(split(F53 ,"", "", FALSE),1,1), Variables!$A:$B , 2, FALSE) + VLOOKUP(index(split(F53 ,"", "", FALSE),1,2), Variables!$A:$B , 2, FALSE) + VLOOKUP(index(split(F53 ,"", "", FALSE),1,3), Variables!$A:$B , 2, FALSE)
)
 ,E53,"&amp;"G53:J53,0,
SUM(IFERROR(SUM(O53:AC53)/(COUNTA(O53:AC53)/3),0),IFERROR(SUM(SUM(AD53:AR53)/(COUNTA(AD53:AR53)/3))))
)"),28.10333333333333)</f>
        <v>28.10333333</v>
      </c>
      <c r="O53" s="385">
        <v>3.0</v>
      </c>
      <c r="P53" s="386">
        <v>2.0</v>
      </c>
      <c r="Q53" s="387">
        <v>3.0</v>
      </c>
      <c r="R53" s="388">
        <v>1.0</v>
      </c>
      <c r="S53" s="389"/>
      <c r="T53" s="385">
        <v>-3.0</v>
      </c>
      <c r="U53" s="386">
        <v>-3.0</v>
      </c>
      <c r="V53" s="387">
        <v>-3.0</v>
      </c>
      <c r="W53" s="388">
        <v>-1.0</v>
      </c>
      <c r="X53" s="389"/>
      <c r="Y53" s="385">
        <v>2.0</v>
      </c>
      <c r="Z53" s="386">
        <v>3.0</v>
      </c>
      <c r="AA53" s="387">
        <v>2.0</v>
      </c>
      <c r="AB53" s="388">
        <v>3.0</v>
      </c>
      <c r="AC53" s="389"/>
      <c r="AD53" s="385">
        <v>2.0</v>
      </c>
      <c r="AE53" s="386">
        <v>2.0</v>
      </c>
      <c r="AF53" s="390">
        <v>2.0</v>
      </c>
      <c r="AG53" s="390">
        <v>2.0</v>
      </c>
      <c r="AH53" s="389">
        <v>2.0</v>
      </c>
      <c r="AI53" s="385">
        <v>-3.0</v>
      </c>
      <c r="AJ53" s="386">
        <v>-5.0</v>
      </c>
      <c r="AK53" s="390">
        <v>-5.0</v>
      </c>
      <c r="AL53" s="390">
        <v>-5.0</v>
      </c>
      <c r="AM53" s="389">
        <v>-5.0</v>
      </c>
      <c r="AN53" s="385">
        <v>1.0</v>
      </c>
      <c r="AO53" s="386">
        <v>2.0</v>
      </c>
      <c r="AP53" s="390">
        <v>2.0</v>
      </c>
      <c r="AQ53" s="390">
        <v>2.0</v>
      </c>
      <c r="AR53" s="389">
        <v>2.0</v>
      </c>
    </row>
    <row r="54" ht="15.75" customHeight="1">
      <c r="A54" s="391" t="s">
        <v>1884</v>
      </c>
      <c r="B54" s="376" t="s">
        <v>1738</v>
      </c>
      <c r="C54" s="377">
        <v>4.0</v>
      </c>
      <c r="D54" s="378">
        <v>12.0</v>
      </c>
      <c r="E54" s="377">
        <v>4.0</v>
      </c>
      <c r="F54" s="380" t="s">
        <v>1663</v>
      </c>
      <c r="G54" s="377">
        <v>3.0</v>
      </c>
      <c r="H54" s="377">
        <v>3.0</v>
      </c>
      <c r="I54" s="382">
        <v>2.0</v>
      </c>
      <c r="J54" s="377">
        <v>3.0</v>
      </c>
      <c r="K54" s="383" t="s">
        <v>1885</v>
      </c>
      <c r="L54" s="383" t="s">
        <v>1886</v>
      </c>
      <c r="M54" s="384" t="s">
        <v>1861</v>
      </c>
      <c r="N54" s="345">
        <f>IFERROR(__xludf.DUMMYFUNCTION("SUM(C54*0.33,D54 * 
SWITCH(
LEN(F54) - LEN(SUBSTITUTE(F54,"","","""")),
0 , VLOOKUP(F54, Variables!$A:$B, 2, FALSE),
1 , VLOOKUP(index(split(F54 ,"", "", FALSE),1,1), Variables!$A:$B , 2, FALSE) + VLOOKUP(index(split(F54 ,"", "", FALSE),1,2), Variables!$A"&amp;":$B , 2, FALSE),
2 , VLOOKUP(index(split(F54 ,"", "", FALSE),1,1), Variables!$A:$B , 2, FALSE) + VLOOKUP(index(split(F54 ,"", "", FALSE),1,2), Variables!$A:$B , 2, FALSE) + VLOOKUP(index(split(F54 ,"", "", FALSE),1,3), Variables!$A:$B , 2, FALSE)
)
 ,E54,"&amp;"G54:J54,0,
SUM(IFERROR(SUM(O54:AC54)/(COUNTA(O54:AC54)/3),0),IFERROR(SUM(SUM(AD54:AR54)/(COUNTA(AD54:AR54)/3))))
)"),35.67)</f>
        <v>35.67</v>
      </c>
      <c r="O54" s="385">
        <v>2.0</v>
      </c>
      <c r="P54" s="386">
        <v>2.0</v>
      </c>
      <c r="Q54" s="387">
        <v>2.0</v>
      </c>
      <c r="R54" s="388">
        <v>2.0</v>
      </c>
      <c r="S54" s="389"/>
      <c r="T54" s="385">
        <v>-2.0</v>
      </c>
      <c r="U54" s="386">
        <v>-2.0</v>
      </c>
      <c r="V54" s="387">
        <v>-2.0</v>
      </c>
      <c r="W54" s="388">
        <v>0.0</v>
      </c>
      <c r="X54" s="389"/>
      <c r="Y54" s="385">
        <v>3.0</v>
      </c>
      <c r="Z54" s="386">
        <v>2.0</v>
      </c>
      <c r="AA54" s="387">
        <v>2.0</v>
      </c>
      <c r="AB54" s="388">
        <v>2.0</v>
      </c>
      <c r="AC54" s="389"/>
      <c r="AD54" s="385">
        <v>2.0</v>
      </c>
      <c r="AE54" s="386">
        <v>2.0</v>
      </c>
      <c r="AF54" s="390">
        <v>2.0</v>
      </c>
      <c r="AG54" s="390">
        <v>2.0</v>
      </c>
      <c r="AH54" s="389">
        <v>2.0</v>
      </c>
      <c r="AI54" s="385">
        <v>-3.0</v>
      </c>
      <c r="AJ54" s="386">
        <v>-3.0</v>
      </c>
      <c r="AK54" s="390">
        <v>-3.0</v>
      </c>
      <c r="AL54" s="390">
        <v>-3.0</v>
      </c>
      <c r="AM54" s="389">
        <v>-3.0</v>
      </c>
      <c r="AN54" s="385">
        <v>1.0</v>
      </c>
      <c r="AO54" s="386">
        <v>2.0</v>
      </c>
      <c r="AP54" s="390">
        <v>2.0</v>
      </c>
      <c r="AQ54" s="390">
        <v>1.0</v>
      </c>
      <c r="AR54" s="389">
        <v>2.0</v>
      </c>
    </row>
    <row r="55" ht="15.75" customHeight="1">
      <c r="A55" s="391" t="s">
        <v>1887</v>
      </c>
      <c r="B55" s="376" t="s">
        <v>1738</v>
      </c>
      <c r="C55" s="377">
        <v>4.0</v>
      </c>
      <c r="D55" s="377">
        <v>10.0</v>
      </c>
      <c r="E55" s="377">
        <v>4.0</v>
      </c>
      <c r="F55" s="394" t="s">
        <v>1663</v>
      </c>
      <c r="G55" s="377">
        <v>3.0</v>
      </c>
      <c r="H55" s="377">
        <v>3.0</v>
      </c>
      <c r="I55" s="377">
        <v>3.0</v>
      </c>
      <c r="J55" s="377">
        <v>3.0</v>
      </c>
      <c r="K55" s="383" t="s">
        <v>1888</v>
      </c>
      <c r="L55" s="383" t="s">
        <v>1889</v>
      </c>
      <c r="M55" s="384" t="s">
        <v>1758</v>
      </c>
      <c r="N55" s="345">
        <f>IFERROR(__xludf.DUMMYFUNCTION("SUM(C55*0.33,D55 * 
SWITCH(
LEN(F55) - LEN(SUBSTITUTE(F55,"","","""")),
0 , VLOOKUP(F55, Variables!$A:$B, 2, FALSE),
1 , VLOOKUP(index(split(F55 ,"", "", FALSE),1,1), Variables!$A:$B , 2, FALSE) + VLOOKUP(index(split(F55 ,"", "", FALSE),1,2), Variables!$A"&amp;":$B , 2, FALSE),
2 , VLOOKUP(index(split(F55 ,"", "", FALSE),1,1), Variables!$A:$B , 2, FALSE) + VLOOKUP(index(split(F55 ,"", "", FALSE),1,2), Variables!$A:$B , 2, FALSE) + VLOOKUP(index(split(F55 ,"", "", FALSE),1,3), Variables!$A:$B , 2, FALSE)
)
 ,E55,"&amp;"G55:J55,0,
SUM(IFERROR(SUM(O55:AC55)/(COUNTA(O55:AC55)/3),0),IFERROR(SUM(SUM(AD55:AR55)/(COUNTA(AD55:AR55)/3))))
)"),34.778333333333336)</f>
        <v>34.77833333</v>
      </c>
      <c r="O55" s="385">
        <v>2.0</v>
      </c>
      <c r="P55" s="386">
        <v>2.0</v>
      </c>
      <c r="Q55" s="387">
        <v>2.0</v>
      </c>
      <c r="R55" s="388">
        <v>2.0</v>
      </c>
      <c r="S55" s="389"/>
      <c r="T55" s="385">
        <v>-2.0</v>
      </c>
      <c r="U55" s="386">
        <v>-1.5</v>
      </c>
      <c r="V55" s="387">
        <v>-2.0</v>
      </c>
      <c r="W55" s="388">
        <v>-1.0</v>
      </c>
      <c r="X55" s="389"/>
      <c r="Y55" s="385">
        <v>4.0</v>
      </c>
      <c r="Z55" s="386">
        <v>3.0</v>
      </c>
      <c r="AA55" s="387">
        <v>2.0</v>
      </c>
      <c r="AB55" s="388">
        <v>2.0</v>
      </c>
      <c r="AC55" s="389"/>
      <c r="AD55" s="385">
        <v>2.0</v>
      </c>
      <c r="AE55" s="386">
        <v>2.0</v>
      </c>
      <c r="AF55" s="390">
        <v>2.0</v>
      </c>
      <c r="AG55" s="390">
        <v>2.0</v>
      </c>
      <c r="AH55" s="389">
        <v>2.0</v>
      </c>
      <c r="AI55" s="385">
        <v>-3.0</v>
      </c>
      <c r="AJ55" s="386">
        <v>-3.0</v>
      </c>
      <c r="AK55" s="390">
        <v>-3.0</v>
      </c>
      <c r="AL55" s="390">
        <v>-3.0</v>
      </c>
      <c r="AM55" s="389">
        <v>-3.0</v>
      </c>
      <c r="AN55" s="385">
        <v>1.0</v>
      </c>
      <c r="AO55" s="386">
        <v>2.0</v>
      </c>
      <c r="AP55" s="390">
        <v>2.0</v>
      </c>
      <c r="AQ55" s="390">
        <v>3.0</v>
      </c>
      <c r="AR55" s="389">
        <v>2.0</v>
      </c>
    </row>
    <row r="56" ht="15.75" customHeight="1">
      <c r="A56" s="391" t="s">
        <v>1890</v>
      </c>
      <c r="B56" s="376" t="s">
        <v>1730</v>
      </c>
      <c r="C56" s="392">
        <v>5.0</v>
      </c>
      <c r="D56" s="379">
        <v>8.0</v>
      </c>
      <c r="E56" s="377">
        <v>4.0</v>
      </c>
      <c r="F56" s="380" t="s">
        <v>1663</v>
      </c>
      <c r="G56" s="379">
        <v>1.0</v>
      </c>
      <c r="H56" s="377">
        <v>3.0</v>
      </c>
      <c r="I56" s="393">
        <v>5.0</v>
      </c>
      <c r="J56" s="382">
        <v>2.0</v>
      </c>
      <c r="K56" s="383" t="s">
        <v>1891</v>
      </c>
      <c r="L56" s="383" t="s">
        <v>1892</v>
      </c>
      <c r="M56" s="384" t="s">
        <v>1728</v>
      </c>
      <c r="N56" s="345">
        <f>IFERROR(__xludf.DUMMYFUNCTION("SUM(C56*0.33,D56 * 
SWITCH(
LEN(F56) - LEN(SUBSTITUTE(F56,"","","""")),
0 , VLOOKUP(F56, Variables!$A:$B, 2, FALSE),
1 , VLOOKUP(index(split(F56 ,"", "", FALSE),1,1), Variables!$A:$B , 2, FALSE) + VLOOKUP(index(split(F56 ,"", "", FALSE),1,2), Variables!$A"&amp;":$B , 2, FALSE),
2 , VLOOKUP(index(split(F56 ,"", "", FALSE),1,1), Variables!$A:$B , 2, FALSE) + VLOOKUP(index(split(F56 ,"", "", FALSE),1,2), Variables!$A:$B , 2, FALSE) + VLOOKUP(index(split(F56 ,"", "", FALSE),1,3), Variables!$A:$B , 2, FALSE)
)
 ,E56,"&amp;"G56:J56,0,
SUM(IFERROR(SUM(O56:AC56)/(COUNTA(O56:AC56)/3),0),IFERROR(SUM(SUM(AD56:AR56)/(COUNTA(AD56:AR56)/3))))
)"),33.666666666666664)</f>
        <v>33.66666667</v>
      </c>
      <c r="O56" s="385">
        <v>2.0</v>
      </c>
      <c r="P56" s="386">
        <v>2.0</v>
      </c>
      <c r="Q56" s="387">
        <v>2.0</v>
      </c>
      <c r="R56" s="388">
        <v>2.0</v>
      </c>
      <c r="S56" s="389"/>
      <c r="T56" s="385">
        <v>-2.0</v>
      </c>
      <c r="U56" s="386">
        <v>-2.0</v>
      </c>
      <c r="V56" s="387">
        <v>-2.0</v>
      </c>
      <c r="W56" s="388">
        <v>0.0</v>
      </c>
      <c r="X56" s="389"/>
      <c r="Y56" s="385">
        <v>4.0</v>
      </c>
      <c r="Z56" s="386">
        <v>3.0</v>
      </c>
      <c r="AA56" s="387">
        <v>3.0</v>
      </c>
      <c r="AB56" s="388">
        <v>3.0</v>
      </c>
      <c r="AC56" s="389"/>
      <c r="AD56" s="385">
        <v>2.0</v>
      </c>
      <c r="AE56" s="386">
        <v>2.0</v>
      </c>
      <c r="AF56" s="390">
        <v>2.0</v>
      </c>
      <c r="AG56" s="390">
        <v>2.0</v>
      </c>
      <c r="AH56" s="389">
        <v>2.0</v>
      </c>
      <c r="AI56" s="385">
        <v>-5.0</v>
      </c>
      <c r="AJ56" s="386">
        <v>-5.0</v>
      </c>
      <c r="AK56" s="390">
        <v>-3.0</v>
      </c>
      <c r="AL56" s="390">
        <v>-3.0</v>
      </c>
      <c r="AM56" s="389">
        <v>-3.0</v>
      </c>
      <c r="AN56" s="385">
        <v>5.0</v>
      </c>
      <c r="AO56" s="386">
        <v>5.0</v>
      </c>
      <c r="AP56" s="390">
        <v>4.0</v>
      </c>
      <c r="AQ56" s="390">
        <v>4.0</v>
      </c>
      <c r="AR56" s="389">
        <v>4.0</v>
      </c>
    </row>
    <row r="57" ht="15.75" customHeight="1">
      <c r="A57" s="391" t="s">
        <v>1893</v>
      </c>
      <c r="B57" s="376" t="s">
        <v>1721</v>
      </c>
      <c r="C57" s="382">
        <v>3.0</v>
      </c>
      <c r="D57" s="379">
        <v>8.0</v>
      </c>
      <c r="E57" s="392">
        <v>6.0</v>
      </c>
      <c r="F57" s="376" t="s">
        <v>1858</v>
      </c>
      <c r="G57" s="379">
        <v>1.0</v>
      </c>
      <c r="H57" s="393">
        <v>5.0</v>
      </c>
      <c r="I57" s="377">
        <v>3.0</v>
      </c>
      <c r="J57" s="382">
        <v>2.0</v>
      </c>
      <c r="K57" s="383" t="s">
        <v>1894</v>
      </c>
      <c r="L57" s="383" t="s">
        <v>1895</v>
      </c>
      <c r="M57" s="384" t="s">
        <v>1896</v>
      </c>
      <c r="N57" s="345">
        <f>IFERROR(__xludf.DUMMYFUNCTION("SUM(C57*0.33,D57 * 
SWITCH(
LEN(F57) - LEN(SUBSTITUTE(F57,"","","""")),
0 , VLOOKUP(F57, Variables!$A:$B, 2, FALSE),
1 , VLOOKUP(index(split(F57 ,"", "", FALSE),1,1), Variables!$A:$B , 2, FALSE) + VLOOKUP(index(split(F57 ,"", "", FALSE),1,2), Variables!$A"&amp;":$B , 2, FALSE),
2 , VLOOKUP(index(split(F57 ,"", "", FALSE),1,1), Variables!$A:$B , 2, FALSE) + VLOOKUP(index(split(F57 ,"", "", FALSE),1,2), Variables!$A:$B , 2, FALSE) + VLOOKUP(index(split(F57 ,"", "", FALSE),1,3), Variables!$A:$B , 2, FALSE)
)
 ,E57,"&amp;"G57:J57,0,
SUM(IFERROR(SUM(O57:AC57)/(COUNTA(O57:AC57)/3),0),IFERROR(SUM(SUM(AD57:AR57)/(COUNTA(AD57:AR57)/3))))
)"),29.323333333333334)</f>
        <v>29.32333333</v>
      </c>
      <c r="O57" s="385">
        <v>1.0</v>
      </c>
      <c r="P57" s="386">
        <v>2.0</v>
      </c>
      <c r="Q57" s="387">
        <v>2.0</v>
      </c>
      <c r="R57" s="388">
        <v>2.0</v>
      </c>
      <c r="S57" s="389"/>
      <c r="T57" s="385">
        <v>-2.0</v>
      </c>
      <c r="U57" s="386">
        <v>-2.0</v>
      </c>
      <c r="V57" s="387">
        <v>-2.0</v>
      </c>
      <c r="W57" s="388">
        <v>0.0</v>
      </c>
      <c r="X57" s="389"/>
      <c r="Y57" s="385">
        <v>3.0</v>
      </c>
      <c r="Z57" s="386">
        <v>2.0</v>
      </c>
      <c r="AA57" s="387">
        <v>4.0</v>
      </c>
      <c r="AB57" s="388">
        <v>2.0</v>
      </c>
      <c r="AC57" s="389"/>
      <c r="AD57" s="385">
        <v>5.0</v>
      </c>
      <c r="AE57" s="386">
        <v>3.0</v>
      </c>
      <c r="AF57" s="390">
        <v>3.0</v>
      </c>
      <c r="AG57" s="390">
        <v>3.0</v>
      </c>
      <c r="AH57" s="389">
        <v>3.0</v>
      </c>
      <c r="AI57" s="385">
        <v>-3.0</v>
      </c>
      <c r="AJ57" s="386">
        <v>-5.0</v>
      </c>
      <c r="AK57" s="390">
        <v>-5.0</v>
      </c>
      <c r="AL57" s="390">
        <v>-5.0</v>
      </c>
      <c r="AM57" s="389">
        <v>-3.0</v>
      </c>
      <c r="AN57" s="385">
        <v>4.0</v>
      </c>
      <c r="AO57" s="386">
        <v>3.0</v>
      </c>
      <c r="AP57" s="390">
        <v>3.0</v>
      </c>
      <c r="AQ57" s="390">
        <v>4.0</v>
      </c>
      <c r="AR57" s="389">
        <v>5.0</v>
      </c>
    </row>
    <row r="58" ht="15.75" customHeight="1">
      <c r="A58" s="391" t="s">
        <v>1897</v>
      </c>
      <c r="B58" s="376" t="s">
        <v>1738</v>
      </c>
      <c r="C58" s="377">
        <v>4.0</v>
      </c>
      <c r="D58" s="377">
        <v>10.0</v>
      </c>
      <c r="E58" s="378">
        <v>5.0</v>
      </c>
      <c r="F58" s="380" t="s">
        <v>1663</v>
      </c>
      <c r="G58" s="377">
        <v>3.0</v>
      </c>
      <c r="H58" s="382">
        <v>2.0</v>
      </c>
      <c r="I58" s="379">
        <v>1.0</v>
      </c>
      <c r="J58" s="393">
        <v>5.0</v>
      </c>
      <c r="K58" s="383" t="s">
        <v>1898</v>
      </c>
      <c r="L58" s="383" t="s">
        <v>1899</v>
      </c>
      <c r="M58" s="384" t="s">
        <v>1804</v>
      </c>
      <c r="N58" s="345">
        <f>IFERROR(__xludf.DUMMYFUNCTION("SUM(C58*0.33,D58 * 
SWITCH(
LEN(F58) - LEN(SUBSTITUTE(F58,"","","""")),
0 , VLOOKUP(F58, Variables!$A:$B, 2, FALSE),
1 , VLOOKUP(index(split(F58 ,"", "", FALSE),1,1), Variables!$A:$B , 2, FALSE) + VLOOKUP(index(split(F58 ,"", "", FALSE),1,2), Variables!$A"&amp;":$B , 2, FALSE),
2 , VLOOKUP(index(split(F58 ,"", "", FALSE),1,1), Variables!$A:$B , 2, FALSE) + VLOOKUP(index(split(F58 ,"", "", FALSE),1,2), Variables!$A:$B , 2, FALSE) + VLOOKUP(index(split(F58 ,"", "", FALSE),1,3), Variables!$A:$B , 2, FALSE)
)
 ,E58,"&amp;"G58:J58,0,
SUM(IFERROR(SUM(O58:AC58)/(COUNTA(O58:AC58)/3),0),IFERROR(SUM(SUM(AD58:AR58)/(COUNTA(AD58:AR58)/3))))
)"),34.153333333333336)</f>
        <v>34.15333333</v>
      </c>
      <c r="O58" s="385">
        <v>2.0</v>
      </c>
      <c r="P58" s="386">
        <v>2.0</v>
      </c>
      <c r="Q58" s="387">
        <v>2.0</v>
      </c>
      <c r="R58" s="388">
        <v>2.0</v>
      </c>
      <c r="S58" s="389"/>
      <c r="T58" s="385">
        <v>-2.0</v>
      </c>
      <c r="U58" s="386">
        <v>-3.0</v>
      </c>
      <c r="V58" s="387">
        <v>-2.0</v>
      </c>
      <c r="W58" s="388">
        <v>0.0</v>
      </c>
      <c r="X58" s="389"/>
      <c r="Y58" s="385">
        <v>1.0</v>
      </c>
      <c r="Z58" s="386">
        <v>1.0</v>
      </c>
      <c r="AA58" s="387">
        <v>2.0</v>
      </c>
      <c r="AB58" s="388">
        <v>1.0</v>
      </c>
      <c r="AC58" s="389"/>
      <c r="AD58" s="385">
        <v>4.0</v>
      </c>
      <c r="AE58" s="386">
        <v>3.0</v>
      </c>
      <c r="AF58" s="390">
        <v>2.0</v>
      </c>
      <c r="AG58" s="390">
        <v>4.0</v>
      </c>
      <c r="AH58" s="389">
        <v>4.0</v>
      </c>
      <c r="AI58" s="385">
        <v>-5.0</v>
      </c>
      <c r="AJ58" s="386">
        <v>-5.0</v>
      </c>
      <c r="AK58" s="390">
        <v>-5.0</v>
      </c>
      <c r="AL58" s="390">
        <v>-5.0</v>
      </c>
      <c r="AM58" s="389">
        <v>-3.0</v>
      </c>
      <c r="AN58" s="385">
        <v>3.0</v>
      </c>
      <c r="AO58" s="386">
        <v>2.0</v>
      </c>
      <c r="AP58" s="390">
        <v>3.0</v>
      </c>
      <c r="AQ58" s="390">
        <v>4.0</v>
      </c>
      <c r="AR58" s="389">
        <v>4.0</v>
      </c>
    </row>
    <row r="59" ht="15.75" customHeight="1">
      <c r="A59" s="391" t="s">
        <v>1900</v>
      </c>
      <c r="B59" s="376" t="s">
        <v>1721</v>
      </c>
      <c r="C59" s="379">
        <v>2.0</v>
      </c>
      <c r="D59" s="379">
        <v>8.0</v>
      </c>
      <c r="E59" s="379">
        <v>3.0</v>
      </c>
      <c r="F59" s="380" t="s">
        <v>1663</v>
      </c>
      <c r="G59" s="377">
        <v>3.0</v>
      </c>
      <c r="H59" s="377">
        <v>3.0</v>
      </c>
      <c r="I59" s="382">
        <v>2.0</v>
      </c>
      <c r="J59" s="377">
        <v>3.0</v>
      </c>
      <c r="K59" s="383" t="s">
        <v>1901</v>
      </c>
      <c r="L59" s="383" t="s">
        <v>1902</v>
      </c>
      <c r="M59" s="384" t="s">
        <v>1741</v>
      </c>
      <c r="N59" s="345">
        <f>IFERROR(__xludf.DUMMYFUNCTION("SUM(C59*0.33,D59 * 
SWITCH(
LEN(F59) - LEN(SUBSTITUTE(F59,"","","""")),
0 , VLOOKUP(F59, Variables!$A:$B, 2, FALSE),
1 , VLOOKUP(index(split(F59 ,"", "", FALSE),1,1), Variables!$A:$B , 2, FALSE) + VLOOKUP(index(split(F59 ,"", "", FALSE),1,2), Variables!$A"&amp;":$B , 2, FALSE),
2 , VLOOKUP(index(split(F59 ,"", "", FALSE),1,1), Variables!$A:$B , 2, FALSE) + VLOOKUP(index(split(F59 ,"", "", FALSE),1,2), Variables!$A:$B , 2, FALSE) + VLOOKUP(index(split(F59 ,"", "", FALSE),1,3), Variables!$A:$B , 2, FALSE)
)
 ,E59,"&amp;"G59:J59,0,
SUM(IFERROR(SUM(O59:AC59)/(COUNTA(O59:AC59)/3),0),IFERROR(SUM(SUM(AD59:AR59)/(COUNTA(AD59:AR59)/3))))
)"),33.32666666666667)</f>
        <v>33.32666667</v>
      </c>
      <c r="O59" s="385">
        <v>2.0</v>
      </c>
      <c r="P59" s="386">
        <v>2.0</v>
      </c>
      <c r="Q59" s="387">
        <v>2.0</v>
      </c>
      <c r="R59" s="388">
        <v>2.0</v>
      </c>
      <c r="S59" s="389">
        <v>2.0</v>
      </c>
      <c r="T59" s="385">
        <v>-1.0</v>
      </c>
      <c r="U59" s="386">
        <v>-1.0</v>
      </c>
      <c r="V59" s="387">
        <v>-1.0</v>
      </c>
      <c r="W59" s="388">
        <v>-1.0</v>
      </c>
      <c r="X59" s="389">
        <v>-1.0</v>
      </c>
      <c r="Y59" s="385">
        <v>5.0</v>
      </c>
      <c r="Z59" s="386">
        <v>4.0</v>
      </c>
      <c r="AA59" s="387">
        <v>4.0</v>
      </c>
      <c r="AB59" s="388">
        <v>4.0</v>
      </c>
      <c r="AC59" s="389">
        <v>3.0</v>
      </c>
      <c r="AD59" s="385">
        <v>5.0</v>
      </c>
      <c r="AE59" s="386">
        <v>5.0</v>
      </c>
      <c r="AF59" s="390">
        <v>5.0</v>
      </c>
      <c r="AG59" s="390">
        <v>5.0</v>
      </c>
      <c r="AH59" s="389">
        <v>5.0</v>
      </c>
      <c r="AI59" s="385">
        <v>-3.0</v>
      </c>
      <c r="AJ59" s="386">
        <v>-5.0</v>
      </c>
      <c r="AK59" s="390">
        <v>-5.0</v>
      </c>
      <c r="AL59" s="390">
        <v>-5.0</v>
      </c>
      <c r="AM59" s="389">
        <v>-5.0</v>
      </c>
      <c r="AN59" s="385">
        <v>3.0</v>
      </c>
      <c r="AO59" s="386">
        <v>4.0</v>
      </c>
      <c r="AP59" s="390">
        <v>3.0</v>
      </c>
      <c r="AQ59" s="390">
        <v>2.0</v>
      </c>
      <c r="AR59" s="389">
        <v>1.0</v>
      </c>
    </row>
    <row r="60" ht="15.75" customHeight="1">
      <c r="A60" s="391" t="s">
        <v>1903</v>
      </c>
      <c r="B60" s="376" t="s">
        <v>1721</v>
      </c>
      <c r="C60" s="392">
        <v>5.0</v>
      </c>
      <c r="D60" s="377">
        <v>10.0</v>
      </c>
      <c r="E60" s="377">
        <v>4.0</v>
      </c>
      <c r="F60" s="380" t="s">
        <v>1663</v>
      </c>
      <c r="G60" s="382">
        <v>2.0</v>
      </c>
      <c r="H60" s="393">
        <v>5.0</v>
      </c>
      <c r="I60" s="377">
        <v>3.0</v>
      </c>
      <c r="J60" s="379">
        <v>1.0</v>
      </c>
      <c r="K60" s="383" t="s">
        <v>1904</v>
      </c>
      <c r="L60" s="383" t="s">
        <v>1905</v>
      </c>
      <c r="M60" s="384" t="s">
        <v>1861</v>
      </c>
      <c r="N60" s="345">
        <f>IFERROR(__xludf.DUMMYFUNCTION("SUM(C60*0.33,D60 * 
SWITCH(
LEN(F60) - LEN(SUBSTITUTE(F60,"","","""")),
0 , VLOOKUP(F60, Variables!$A:$B, 2, FALSE),
1 , VLOOKUP(index(split(F60 ,"", "", FALSE),1,1), Variables!$A:$B , 2, FALSE) + VLOOKUP(index(split(F60 ,"", "", FALSE),1,2), Variables!$A"&amp;":$B , 2, FALSE),
2 , VLOOKUP(index(split(F60 ,"", "", FALSE),1,1), Variables!$A:$B , 2, FALSE) + VLOOKUP(index(split(F60 ,"", "", FALSE),1,2), Variables!$A:$B , 2, FALSE) + VLOOKUP(index(split(F60 ,"", "", FALSE),1,3), Variables!$A:$B , 2, FALSE)
)
 ,E60,"&amp;"G60:J60,0,
SUM(IFERROR(SUM(O60:AC60)/(COUNTA(O60:AC60)/3),0),IFERROR(SUM(SUM(AD60:AR60)/(COUNTA(AD60:AR60)/3))))
)"),33.63333333333333)</f>
        <v>33.63333333</v>
      </c>
      <c r="O60" s="385">
        <v>2.0</v>
      </c>
      <c r="P60" s="386">
        <v>2.0</v>
      </c>
      <c r="Q60" s="387">
        <v>2.0</v>
      </c>
      <c r="R60" s="388">
        <v>2.0</v>
      </c>
      <c r="S60" s="389"/>
      <c r="T60" s="385">
        <v>-2.0</v>
      </c>
      <c r="U60" s="386">
        <v>-2.0</v>
      </c>
      <c r="V60" s="387">
        <v>-2.0</v>
      </c>
      <c r="W60" s="388">
        <v>-2.0</v>
      </c>
      <c r="X60" s="389"/>
      <c r="Y60" s="385">
        <v>5.0</v>
      </c>
      <c r="Z60" s="386">
        <v>2.0</v>
      </c>
      <c r="AA60" s="387">
        <v>3.0</v>
      </c>
      <c r="AB60" s="388">
        <v>3.0</v>
      </c>
      <c r="AC60" s="389"/>
      <c r="AD60" s="385">
        <v>1.0</v>
      </c>
      <c r="AE60" s="386">
        <v>1.0</v>
      </c>
      <c r="AF60" s="390">
        <v>1.0</v>
      </c>
      <c r="AG60" s="390">
        <v>1.0</v>
      </c>
      <c r="AH60" s="389">
        <v>1.0</v>
      </c>
      <c r="AI60" s="385">
        <v>-5.0</v>
      </c>
      <c r="AJ60" s="386">
        <v>-5.0</v>
      </c>
      <c r="AK60" s="390">
        <v>-5.0</v>
      </c>
      <c r="AL60" s="390">
        <v>-5.0</v>
      </c>
      <c r="AM60" s="389">
        <v>-5.0</v>
      </c>
      <c r="AN60" s="385">
        <v>5.0</v>
      </c>
      <c r="AO60" s="386">
        <v>4.0</v>
      </c>
      <c r="AP60" s="390">
        <v>4.0</v>
      </c>
      <c r="AQ60" s="390">
        <v>5.0</v>
      </c>
      <c r="AR60" s="389">
        <v>4.0</v>
      </c>
    </row>
    <row r="61" ht="15.75" customHeight="1">
      <c r="A61" s="391" t="s">
        <v>1906</v>
      </c>
      <c r="B61" s="376" t="s">
        <v>1738</v>
      </c>
      <c r="C61" s="377">
        <v>4.0</v>
      </c>
      <c r="D61" s="377">
        <v>10.0</v>
      </c>
      <c r="E61" s="378">
        <v>5.0</v>
      </c>
      <c r="F61" s="380" t="s">
        <v>1663</v>
      </c>
      <c r="G61" s="377">
        <v>3.0</v>
      </c>
      <c r="H61" s="381">
        <v>4.0</v>
      </c>
      <c r="I61" s="379">
        <v>1.0</v>
      </c>
      <c r="J61" s="377">
        <v>3.0</v>
      </c>
      <c r="K61" s="383" t="s">
        <v>1907</v>
      </c>
      <c r="L61" s="383" t="s">
        <v>1908</v>
      </c>
      <c r="M61" s="384" t="s">
        <v>1733</v>
      </c>
      <c r="N61" s="345">
        <f>IFERROR(__xludf.DUMMYFUNCTION("SUM(C61*0.33,D61 * 
SWITCH(
LEN(F61) - LEN(SUBSTITUTE(F61,"","","""")),
0 , VLOOKUP(F61, Variables!$A:$B, 2, FALSE),
1 , VLOOKUP(index(split(F61 ,"", "", FALSE),1,1), Variables!$A:$B , 2, FALSE) + VLOOKUP(index(split(F61 ,"", "", FALSE),1,2), Variables!$A"&amp;":$B , 2, FALSE),
2 , VLOOKUP(index(split(F61 ,"", "", FALSE),1,1), Variables!$A:$B , 2, FALSE) + VLOOKUP(index(split(F61 ,"", "", FALSE),1,2), Variables!$A:$B , 2, FALSE) + VLOOKUP(index(split(F61 ,"", "", FALSE),1,3), Variables!$A:$B , 2, FALSE)
)
 ,E61,"&amp;"G61:J61,0,
SUM(IFERROR(SUM(O61:AC61)/(COUNTA(O61:AC61)/3),0),IFERROR(SUM(SUM(AD61:AR61)/(COUNTA(AD61:AR61)/3))))
)"),33.403333333333336)</f>
        <v>33.40333333</v>
      </c>
      <c r="O61" s="385">
        <v>2.0</v>
      </c>
      <c r="P61" s="386">
        <v>2.0</v>
      </c>
      <c r="Q61" s="387">
        <v>2.0</v>
      </c>
      <c r="R61" s="388">
        <v>2.0</v>
      </c>
      <c r="S61" s="389"/>
      <c r="T61" s="385">
        <v>-2.0</v>
      </c>
      <c r="U61" s="386">
        <v>-1.0</v>
      </c>
      <c r="V61" s="387">
        <v>-1.0</v>
      </c>
      <c r="W61" s="388">
        <v>-1.0</v>
      </c>
      <c r="X61" s="389"/>
      <c r="Y61" s="385">
        <v>3.0</v>
      </c>
      <c r="Z61" s="386">
        <v>3.0</v>
      </c>
      <c r="AA61" s="387">
        <v>3.0</v>
      </c>
      <c r="AB61" s="388">
        <v>3.0</v>
      </c>
      <c r="AC61" s="389"/>
      <c r="AD61" s="385">
        <v>2.0</v>
      </c>
      <c r="AE61" s="386">
        <v>2.0</v>
      </c>
      <c r="AF61" s="390">
        <v>2.0</v>
      </c>
      <c r="AG61" s="390">
        <v>2.0</v>
      </c>
      <c r="AH61" s="389">
        <v>2.0</v>
      </c>
      <c r="AI61" s="385">
        <v>-5.0</v>
      </c>
      <c r="AJ61" s="386">
        <v>-5.0</v>
      </c>
      <c r="AK61" s="390">
        <v>-5.0</v>
      </c>
      <c r="AL61" s="390">
        <v>-3.0</v>
      </c>
      <c r="AM61" s="389">
        <v>-3.0</v>
      </c>
      <c r="AN61" s="385">
        <v>1.0</v>
      </c>
      <c r="AO61" s="386">
        <v>1.0</v>
      </c>
      <c r="AP61" s="390">
        <v>1.0</v>
      </c>
      <c r="AQ61" s="390">
        <v>1.0</v>
      </c>
      <c r="AR61" s="389">
        <v>2.0</v>
      </c>
    </row>
    <row r="62" ht="15.75" customHeight="1">
      <c r="A62" s="391" t="s">
        <v>1909</v>
      </c>
      <c r="B62" s="376" t="s">
        <v>1730</v>
      </c>
      <c r="C62" s="392">
        <v>5.0</v>
      </c>
      <c r="D62" s="379">
        <v>8.0</v>
      </c>
      <c r="E62" s="377">
        <v>4.0</v>
      </c>
      <c r="F62" s="380" t="s">
        <v>1663</v>
      </c>
      <c r="G62" s="382">
        <v>2.0</v>
      </c>
      <c r="H62" s="382">
        <v>2.0</v>
      </c>
      <c r="I62" s="381">
        <v>4.0</v>
      </c>
      <c r="J62" s="377">
        <v>3.0</v>
      </c>
      <c r="K62" s="383" t="s">
        <v>1910</v>
      </c>
      <c r="L62" s="383" t="s">
        <v>1911</v>
      </c>
      <c r="M62" s="384" t="s">
        <v>1827</v>
      </c>
      <c r="N62" s="345">
        <f>IFERROR(__xludf.DUMMYFUNCTION("SUM(C62*0.33,D62 * 
SWITCH(
LEN(F62) - LEN(SUBSTITUTE(F62,"","","""")),
0 , VLOOKUP(F62, Variables!$A:$B, 2, FALSE),
1 , VLOOKUP(index(split(F62 ,"", "", FALSE),1,1), Variables!$A:$B , 2, FALSE) + VLOOKUP(index(split(F62 ,"", "", FALSE),1,2), Variables!$A"&amp;":$B , 2, FALSE),
2 , VLOOKUP(index(split(F62 ,"", "", FALSE),1,1), Variables!$A:$B , 2, FALSE) + VLOOKUP(index(split(F62 ,"", "", FALSE),1,2), Variables!$A:$B , 2, FALSE) + VLOOKUP(index(split(F62 ,"", "", FALSE),1,3), Variables!$A:$B , 2, FALSE)
)
 ,E62,"&amp;"G62:J62,0,
SUM(IFERROR(SUM(O62:AC62)/(COUNTA(O62:AC62)/3),0),IFERROR(SUM(SUM(AD62:AR62)/(COUNTA(AD62:AR62)/3))))
)"),32.56666666666666)</f>
        <v>32.56666667</v>
      </c>
      <c r="O62" s="385">
        <v>2.0</v>
      </c>
      <c r="P62" s="386">
        <v>2.0</v>
      </c>
      <c r="Q62" s="387">
        <v>2.0</v>
      </c>
      <c r="R62" s="388">
        <v>2.0</v>
      </c>
      <c r="S62" s="389"/>
      <c r="T62" s="385">
        <v>-3.0</v>
      </c>
      <c r="U62" s="386">
        <v>-3.0</v>
      </c>
      <c r="V62" s="387">
        <v>-3.0</v>
      </c>
      <c r="W62" s="388">
        <v>-3.0</v>
      </c>
      <c r="X62" s="389"/>
      <c r="Y62" s="385">
        <v>5.0</v>
      </c>
      <c r="Z62" s="386">
        <v>4.0</v>
      </c>
      <c r="AA62" s="387">
        <v>3.0</v>
      </c>
      <c r="AB62" s="388">
        <v>5.0</v>
      </c>
      <c r="AC62" s="389"/>
      <c r="AD62" s="385">
        <v>4.0</v>
      </c>
      <c r="AE62" s="386">
        <v>4.0</v>
      </c>
      <c r="AF62" s="390">
        <v>4.0</v>
      </c>
      <c r="AG62" s="390">
        <v>4.0</v>
      </c>
      <c r="AH62" s="389">
        <v>4.0</v>
      </c>
      <c r="AI62" s="385">
        <v>-5.0</v>
      </c>
      <c r="AJ62" s="386">
        <v>-5.0</v>
      </c>
      <c r="AK62" s="390">
        <v>-5.0</v>
      </c>
      <c r="AL62" s="390">
        <v>-5.0</v>
      </c>
      <c r="AM62" s="389">
        <v>-5.0</v>
      </c>
      <c r="AN62" s="385">
        <v>3.0</v>
      </c>
      <c r="AO62" s="386">
        <v>3.0</v>
      </c>
      <c r="AP62" s="390">
        <v>3.0</v>
      </c>
      <c r="AQ62" s="390">
        <v>3.0</v>
      </c>
      <c r="AR62" s="389">
        <v>3.0</v>
      </c>
    </row>
    <row r="63" ht="15.75" customHeight="1">
      <c r="A63" s="391" t="s">
        <v>1912</v>
      </c>
      <c r="B63" s="376" t="s">
        <v>1721</v>
      </c>
      <c r="C63" s="377">
        <v>4.0</v>
      </c>
      <c r="D63" s="379">
        <v>8.0</v>
      </c>
      <c r="E63" s="378">
        <v>5.0</v>
      </c>
      <c r="F63" s="380" t="s">
        <v>1663</v>
      </c>
      <c r="G63" s="382">
        <v>2.0</v>
      </c>
      <c r="H63" s="377">
        <v>3.0</v>
      </c>
      <c r="I63" s="381">
        <v>4.0</v>
      </c>
      <c r="J63" s="382">
        <v>2.0</v>
      </c>
      <c r="K63" s="383" t="s">
        <v>1913</v>
      </c>
      <c r="L63" s="383" t="s">
        <v>1914</v>
      </c>
      <c r="M63" s="384" t="s">
        <v>1827</v>
      </c>
      <c r="N63" s="345">
        <f>IFERROR(__xludf.DUMMYFUNCTION("SUM(C63*0.33,D63 * 
SWITCH(
LEN(F63) - LEN(SUBSTITUTE(F63,"","","""")),
0 , VLOOKUP(F63, Variables!$A:$B, 2, FALSE),
1 , VLOOKUP(index(split(F63 ,"", "", FALSE),1,1), Variables!$A:$B , 2, FALSE) + VLOOKUP(index(split(F63 ,"", "", FALSE),1,2), Variables!$A"&amp;":$B , 2, FALSE),
2 , VLOOKUP(index(split(F63 ,"", "", FALSE),1,1), Variables!$A:$B , 2, FALSE) + VLOOKUP(index(split(F63 ,"", "", FALSE),1,2), Variables!$A:$B , 2, FALSE) + VLOOKUP(index(split(F63 ,"", "", FALSE),1,3), Variables!$A:$B , 2, FALSE)
)
 ,E63,"&amp;"G63:J63,0,
SUM(IFERROR(SUM(O63:AC63)/(COUNTA(O63:AC63)/3),0),IFERROR(SUM(SUM(AD63:AR63)/(COUNTA(AD63:AR63)/3))))
)"),30.586666666666666)</f>
        <v>30.58666667</v>
      </c>
      <c r="O63" s="397">
        <v>2.0</v>
      </c>
      <c r="P63" s="398">
        <v>2.0</v>
      </c>
      <c r="Q63" s="399">
        <v>2.0</v>
      </c>
      <c r="R63" s="400">
        <v>2.0</v>
      </c>
      <c r="S63" s="401"/>
      <c r="T63" s="397">
        <v>-2.0</v>
      </c>
      <c r="U63" s="398">
        <v>-2.0</v>
      </c>
      <c r="V63" s="399">
        <v>-2.0</v>
      </c>
      <c r="W63" s="400">
        <v>0.0</v>
      </c>
      <c r="X63" s="401"/>
      <c r="Y63" s="397">
        <v>1.0</v>
      </c>
      <c r="Z63" s="398">
        <v>2.0</v>
      </c>
      <c r="AA63" s="399">
        <v>1.0</v>
      </c>
      <c r="AB63" s="400">
        <v>2.0</v>
      </c>
      <c r="AC63" s="401"/>
      <c r="AD63" s="397">
        <v>2.0</v>
      </c>
      <c r="AE63" s="398">
        <v>3.0</v>
      </c>
      <c r="AF63" s="402">
        <v>3.0</v>
      </c>
      <c r="AG63" s="402">
        <v>3.0</v>
      </c>
      <c r="AH63" s="401">
        <v>5.0</v>
      </c>
      <c r="AI63" s="397">
        <v>-5.0</v>
      </c>
      <c r="AJ63" s="398">
        <v>-5.0</v>
      </c>
      <c r="AK63" s="402">
        <v>-5.0</v>
      </c>
      <c r="AL63" s="402">
        <v>-5.0</v>
      </c>
      <c r="AM63" s="401">
        <v>-5.0</v>
      </c>
      <c r="AN63" s="397">
        <v>2.0</v>
      </c>
      <c r="AO63" s="398">
        <v>3.0</v>
      </c>
      <c r="AP63" s="402">
        <v>2.0</v>
      </c>
      <c r="AQ63" s="402">
        <v>2.0</v>
      </c>
      <c r="AR63" s="401">
        <v>3.0</v>
      </c>
    </row>
  </sheetData>
  <mergeCells count="22">
    <mergeCell ref="A1:A3"/>
    <mergeCell ref="B1:B3"/>
    <mergeCell ref="C1:C3"/>
    <mergeCell ref="D1:D3"/>
    <mergeCell ref="E1:E3"/>
    <mergeCell ref="F1:F3"/>
    <mergeCell ref="G1:G3"/>
    <mergeCell ref="O1:AC1"/>
    <mergeCell ref="AD1:AR1"/>
    <mergeCell ref="O2:S2"/>
    <mergeCell ref="T2:X2"/>
    <mergeCell ref="Y2:AC2"/>
    <mergeCell ref="AD2:AH2"/>
    <mergeCell ref="AI2:AM2"/>
    <mergeCell ref="AN2:AR2"/>
    <mergeCell ref="H1:H3"/>
    <mergeCell ref="I1:I3"/>
    <mergeCell ref="J1:J3"/>
    <mergeCell ref="K1:K3"/>
    <mergeCell ref="L1:L3"/>
    <mergeCell ref="M1:M3"/>
    <mergeCell ref="N1:N3"/>
  </mergeCell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2.63"/>
    <col customWidth="1" min="2" max="2" width="41.0"/>
    <col customWidth="1" min="3" max="3" width="3.13"/>
    <col customWidth="1" min="4" max="4" width="7.0"/>
    <col customWidth="1" min="5" max="5" width="6.25"/>
    <col customWidth="1" min="6" max="6" width="6.63"/>
    <col customWidth="1" min="7" max="7" width="5.0"/>
    <col customWidth="1" min="8" max="8" width="10.25"/>
    <col customWidth="1" min="9" max="9" width="7.0"/>
    <col customWidth="1" min="10" max="10" width="6.25"/>
    <col customWidth="1" min="11" max="11" width="6.63"/>
    <col customWidth="1" min="12" max="12" width="5.0"/>
    <col customWidth="1" min="13" max="13" width="5.63"/>
    <col customWidth="1" min="14" max="14" width="22.38"/>
  </cols>
  <sheetData>
    <row r="1">
      <c r="A1" s="228" t="s">
        <v>1915</v>
      </c>
      <c r="B1" s="403" t="s">
        <v>1916</v>
      </c>
      <c r="C1" s="404" t="s">
        <v>1917</v>
      </c>
      <c r="D1" s="158" t="s">
        <v>1918</v>
      </c>
      <c r="E1" s="80"/>
      <c r="F1" s="80"/>
      <c r="G1" s="80"/>
      <c r="H1" s="81"/>
      <c r="I1" s="158" t="s">
        <v>1919</v>
      </c>
      <c r="J1" s="80"/>
      <c r="K1" s="80"/>
      <c r="L1" s="80"/>
      <c r="M1" s="81"/>
      <c r="N1" s="140"/>
      <c r="O1" s="140"/>
      <c r="P1" s="140"/>
    </row>
    <row r="2">
      <c r="A2" s="85"/>
      <c r="B2" s="84"/>
      <c r="C2" s="84"/>
      <c r="D2" s="405" t="s">
        <v>9</v>
      </c>
      <c r="E2" s="406" t="s">
        <v>10</v>
      </c>
      <c r="F2" s="406" t="s">
        <v>11</v>
      </c>
      <c r="G2" s="406" t="s">
        <v>12</v>
      </c>
      <c r="H2" s="407" t="s">
        <v>13</v>
      </c>
      <c r="I2" s="405" t="s">
        <v>9</v>
      </c>
      <c r="J2" s="406" t="s">
        <v>10</v>
      </c>
      <c r="K2" s="406" t="s">
        <v>11</v>
      </c>
      <c r="L2" s="406" t="s">
        <v>12</v>
      </c>
      <c r="M2" s="407" t="s">
        <v>13</v>
      </c>
      <c r="N2" s="140"/>
      <c r="O2" s="140"/>
      <c r="P2" s="140"/>
    </row>
    <row r="3">
      <c r="A3" s="408" t="s">
        <v>1920</v>
      </c>
      <c r="B3" s="72" t="s">
        <v>1921</v>
      </c>
      <c r="C3" s="237">
        <f t="shared" ref="C3:C12" si="1">SUM(
IFERROR(SUM(D3:M3)/(COUNTA(D3:M3)/2),0),
)</f>
        <v>5.75</v>
      </c>
      <c r="D3" s="409">
        <v>3.0</v>
      </c>
      <c r="E3" s="11">
        <v>3.0</v>
      </c>
      <c r="F3" s="410">
        <v>3.0</v>
      </c>
      <c r="G3" s="411"/>
      <c r="H3" s="412">
        <v>3.0</v>
      </c>
      <c r="I3" s="409">
        <v>3.0</v>
      </c>
      <c r="J3" s="11">
        <v>3.0</v>
      </c>
      <c r="K3" s="410">
        <v>3.0</v>
      </c>
      <c r="L3" s="411"/>
      <c r="M3" s="412">
        <v>2.0</v>
      </c>
      <c r="N3" s="140"/>
      <c r="O3" s="140"/>
      <c r="P3" s="140"/>
    </row>
    <row r="4">
      <c r="A4" s="408" t="s">
        <v>1922</v>
      </c>
      <c r="B4" s="72" t="s">
        <v>1923</v>
      </c>
      <c r="C4" s="237">
        <f t="shared" si="1"/>
        <v>5</v>
      </c>
      <c r="D4" s="413">
        <v>1.0</v>
      </c>
      <c r="E4" s="11">
        <v>1.0</v>
      </c>
      <c r="F4" s="414">
        <v>1.0</v>
      </c>
      <c r="G4" s="415"/>
      <c r="H4" s="416"/>
      <c r="I4" s="413">
        <v>4.0</v>
      </c>
      <c r="J4" s="11">
        <v>4.0</v>
      </c>
      <c r="K4" s="414">
        <v>4.0</v>
      </c>
      <c r="L4" s="415"/>
      <c r="M4" s="416"/>
      <c r="N4" s="140"/>
      <c r="O4" s="140"/>
      <c r="P4" s="140"/>
    </row>
    <row r="5">
      <c r="A5" s="408" t="s">
        <v>1924</v>
      </c>
      <c r="B5" s="72" t="s">
        <v>1925</v>
      </c>
      <c r="C5" s="237">
        <f t="shared" si="1"/>
        <v>5.666666667</v>
      </c>
      <c r="D5" s="409">
        <v>3.0</v>
      </c>
      <c r="E5" s="11">
        <v>3.0</v>
      </c>
      <c r="F5" s="410">
        <v>3.0</v>
      </c>
      <c r="G5" s="411"/>
      <c r="H5" s="412"/>
      <c r="I5" s="409">
        <v>3.0</v>
      </c>
      <c r="J5" s="11">
        <v>2.0</v>
      </c>
      <c r="K5" s="410">
        <v>3.0</v>
      </c>
      <c r="L5" s="411"/>
      <c r="M5" s="412"/>
      <c r="N5" s="140"/>
      <c r="O5" s="140"/>
      <c r="P5" s="140"/>
    </row>
    <row r="6">
      <c r="A6" s="408" t="s">
        <v>1926</v>
      </c>
      <c r="B6" s="72" t="s">
        <v>1927</v>
      </c>
      <c r="C6" s="237">
        <f t="shared" si="1"/>
        <v>8.333333333</v>
      </c>
      <c r="D6" s="413">
        <v>4.0</v>
      </c>
      <c r="E6" s="11">
        <v>4.0</v>
      </c>
      <c r="F6" s="414">
        <v>4.0</v>
      </c>
      <c r="G6" s="415"/>
      <c r="H6" s="416"/>
      <c r="I6" s="413">
        <v>5.0</v>
      </c>
      <c r="J6" s="11">
        <v>4.0</v>
      </c>
      <c r="K6" s="414">
        <v>4.0</v>
      </c>
      <c r="L6" s="415"/>
      <c r="M6" s="416"/>
      <c r="N6" s="140"/>
      <c r="O6" s="140"/>
      <c r="P6" s="140"/>
    </row>
    <row r="7">
      <c r="A7" s="408" t="s">
        <v>1928</v>
      </c>
      <c r="B7" s="72" t="s">
        <v>1929</v>
      </c>
      <c r="C7" s="237">
        <f t="shared" si="1"/>
        <v>7.333333333</v>
      </c>
      <c r="D7" s="409">
        <v>4.0</v>
      </c>
      <c r="E7" s="11">
        <v>4.0</v>
      </c>
      <c r="F7" s="410">
        <v>4.0</v>
      </c>
      <c r="G7" s="411"/>
      <c r="H7" s="412"/>
      <c r="I7" s="409">
        <v>4.0</v>
      </c>
      <c r="J7" s="11">
        <v>2.0</v>
      </c>
      <c r="K7" s="410">
        <v>4.0</v>
      </c>
      <c r="L7" s="411"/>
      <c r="M7" s="412"/>
      <c r="N7" s="140"/>
      <c r="O7" s="140"/>
      <c r="P7" s="140"/>
    </row>
    <row r="8">
      <c r="A8" s="408" t="s">
        <v>1930</v>
      </c>
      <c r="B8" s="72" t="s">
        <v>1931</v>
      </c>
      <c r="C8" s="237">
        <f t="shared" si="1"/>
        <v>6.666666667</v>
      </c>
      <c r="D8" s="413">
        <v>3.0</v>
      </c>
      <c r="E8" s="11">
        <v>3.0</v>
      </c>
      <c r="F8" s="414">
        <v>3.0</v>
      </c>
      <c r="G8" s="415"/>
      <c r="H8" s="416"/>
      <c r="I8" s="413">
        <v>4.0</v>
      </c>
      <c r="J8" s="11">
        <v>3.0</v>
      </c>
      <c r="K8" s="414">
        <v>4.0</v>
      </c>
      <c r="L8" s="415"/>
      <c r="M8" s="416"/>
      <c r="N8" s="140"/>
      <c r="O8" s="140"/>
      <c r="P8" s="140"/>
    </row>
    <row r="9">
      <c r="A9" s="408" t="s">
        <v>1932</v>
      </c>
      <c r="B9" s="72" t="s">
        <v>1933</v>
      </c>
      <c r="C9" s="237">
        <f t="shared" si="1"/>
        <v>6.666666667</v>
      </c>
      <c r="D9" s="409">
        <v>3.0</v>
      </c>
      <c r="E9" s="11">
        <v>4.0</v>
      </c>
      <c r="F9" s="410">
        <v>4.0</v>
      </c>
      <c r="G9" s="411"/>
      <c r="H9" s="412"/>
      <c r="I9" s="409">
        <v>3.0</v>
      </c>
      <c r="J9" s="11">
        <v>3.0</v>
      </c>
      <c r="K9" s="410">
        <v>3.0</v>
      </c>
      <c r="L9" s="411"/>
      <c r="M9" s="412"/>
      <c r="N9" s="140"/>
      <c r="O9" s="140"/>
      <c r="P9" s="140"/>
    </row>
    <row r="10">
      <c r="A10" s="408" t="s">
        <v>1934</v>
      </c>
      <c r="B10" s="72" t="s">
        <v>1935</v>
      </c>
      <c r="C10" s="237">
        <f t="shared" si="1"/>
        <v>7.333333333</v>
      </c>
      <c r="D10" s="413">
        <v>4.0</v>
      </c>
      <c r="E10" s="11">
        <v>4.0</v>
      </c>
      <c r="F10" s="414">
        <v>4.0</v>
      </c>
      <c r="G10" s="415"/>
      <c r="H10" s="416"/>
      <c r="I10" s="413">
        <v>4.0</v>
      </c>
      <c r="J10" s="11">
        <v>3.0</v>
      </c>
      <c r="K10" s="414">
        <v>3.0</v>
      </c>
      <c r="L10" s="415"/>
      <c r="M10" s="416"/>
      <c r="N10" s="140"/>
      <c r="O10" s="140"/>
      <c r="P10" s="140"/>
    </row>
    <row r="11">
      <c r="A11" s="408" t="s">
        <v>1936</v>
      </c>
      <c r="B11" s="72" t="s">
        <v>1937</v>
      </c>
      <c r="C11" s="237">
        <f t="shared" si="1"/>
        <v>4.666666667</v>
      </c>
      <c r="D11" s="409">
        <v>2.0</v>
      </c>
      <c r="E11" s="11">
        <v>2.0</v>
      </c>
      <c r="F11" s="410">
        <v>2.0</v>
      </c>
      <c r="G11" s="411"/>
      <c r="H11" s="412"/>
      <c r="I11" s="409">
        <v>3.0</v>
      </c>
      <c r="J11" s="11">
        <v>3.0</v>
      </c>
      <c r="K11" s="410">
        <v>2.0</v>
      </c>
      <c r="L11" s="411"/>
      <c r="M11" s="412"/>
      <c r="N11" s="140"/>
      <c r="O11" s="140"/>
      <c r="P11" s="140"/>
    </row>
    <row r="12">
      <c r="A12" s="408" t="s">
        <v>1938</v>
      </c>
      <c r="B12" s="72" t="s">
        <v>1939</v>
      </c>
      <c r="C12" s="237">
        <f t="shared" si="1"/>
        <v>5.666666667</v>
      </c>
      <c r="D12" s="417">
        <v>2.0</v>
      </c>
      <c r="E12" s="89">
        <v>2.0</v>
      </c>
      <c r="F12" s="418">
        <v>3.0</v>
      </c>
      <c r="G12" s="419"/>
      <c r="H12" s="420"/>
      <c r="I12" s="417">
        <v>2.0</v>
      </c>
      <c r="J12" s="89">
        <v>4.0</v>
      </c>
      <c r="K12" s="418">
        <v>4.0</v>
      </c>
      <c r="L12" s="419"/>
      <c r="M12" s="420"/>
      <c r="N12" s="140"/>
      <c r="O12" s="140"/>
      <c r="P12" s="140"/>
    </row>
    <row r="13">
      <c r="A13" s="72"/>
      <c r="B13" s="72"/>
      <c r="C13" s="237"/>
      <c r="D13" s="140"/>
      <c r="E13" s="140"/>
      <c r="F13" s="140"/>
      <c r="G13" s="140"/>
      <c r="H13" s="140"/>
      <c r="I13" s="140"/>
      <c r="J13" s="140"/>
      <c r="K13" s="140"/>
      <c r="L13" s="140"/>
      <c r="M13" s="140"/>
      <c r="N13" s="140"/>
      <c r="O13" s="140"/>
      <c r="P13" s="140"/>
    </row>
    <row r="14">
      <c r="A14" s="72"/>
      <c r="B14" s="72"/>
      <c r="C14" s="237"/>
      <c r="D14" s="140"/>
      <c r="E14" s="140"/>
      <c r="F14" s="140"/>
      <c r="G14" s="140"/>
      <c r="H14" s="140"/>
      <c r="I14" s="140"/>
      <c r="J14" s="140"/>
      <c r="K14" s="140"/>
      <c r="L14" s="140"/>
      <c r="M14" s="140"/>
      <c r="N14" s="140"/>
      <c r="O14" s="140"/>
      <c r="P14" s="140"/>
    </row>
    <row r="15">
      <c r="A15" s="140"/>
      <c r="B15" s="140"/>
      <c r="C15" s="237"/>
      <c r="D15" s="140"/>
      <c r="E15" s="140"/>
      <c r="F15" s="140"/>
      <c r="G15" s="140"/>
      <c r="H15" s="140"/>
      <c r="I15" s="140"/>
      <c r="J15" s="140"/>
      <c r="K15" s="140"/>
      <c r="L15" s="140"/>
      <c r="M15" s="140"/>
      <c r="N15" s="140"/>
      <c r="O15" s="140"/>
      <c r="P15" s="140"/>
    </row>
    <row r="16">
      <c r="A16" s="140"/>
      <c r="B16" s="140"/>
      <c r="C16" s="237"/>
      <c r="D16" s="140"/>
      <c r="E16" s="140"/>
      <c r="F16" s="140"/>
      <c r="G16" s="140"/>
      <c r="H16" s="140"/>
      <c r="I16" s="140"/>
      <c r="J16" s="140"/>
      <c r="K16" s="140"/>
      <c r="L16" s="140"/>
      <c r="M16" s="140"/>
      <c r="N16" s="140"/>
      <c r="O16" s="140"/>
      <c r="P16" s="140"/>
    </row>
    <row r="17">
      <c r="A17" s="140"/>
      <c r="B17" s="140"/>
      <c r="C17" s="237"/>
      <c r="D17" s="140"/>
      <c r="E17" s="140"/>
      <c r="F17" s="140"/>
      <c r="G17" s="140"/>
      <c r="H17" s="140"/>
      <c r="I17" s="140"/>
      <c r="J17" s="140"/>
      <c r="K17" s="140"/>
      <c r="L17" s="140"/>
      <c r="M17" s="140"/>
      <c r="N17" s="140"/>
      <c r="O17" s="140"/>
      <c r="P17" s="140"/>
    </row>
    <row r="18">
      <c r="A18" s="140"/>
      <c r="B18" s="140"/>
      <c r="C18" s="237"/>
      <c r="D18" s="140"/>
      <c r="E18" s="140"/>
      <c r="F18" s="140"/>
      <c r="G18" s="140"/>
      <c r="H18" s="140"/>
      <c r="I18" s="140"/>
      <c r="J18" s="140"/>
      <c r="K18" s="140"/>
      <c r="L18" s="140"/>
      <c r="M18" s="140"/>
      <c r="N18" s="140"/>
      <c r="O18" s="140"/>
      <c r="P18" s="140"/>
    </row>
    <row r="19">
      <c r="A19" s="140"/>
      <c r="B19" s="140"/>
      <c r="C19" s="237"/>
      <c r="D19" s="140"/>
      <c r="E19" s="140"/>
      <c r="F19" s="140"/>
      <c r="G19" s="140"/>
      <c r="H19" s="140"/>
      <c r="I19" s="140"/>
      <c r="J19" s="140"/>
      <c r="K19" s="140"/>
      <c r="L19" s="140"/>
      <c r="M19" s="140"/>
      <c r="N19" s="140"/>
      <c r="O19" s="140"/>
      <c r="P19" s="140"/>
    </row>
    <row r="20">
      <c r="A20" s="140"/>
      <c r="B20" s="140"/>
      <c r="C20" s="237"/>
      <c r="D20" s="140"/>
      <c r="E20" s="140"/>
      <c r="F20" s="140"/>
      <c r="G20" s="140"/>
      <c r="H20" s="140"/>
      <c r="I20" s="140"/>
      <c r="J20" s="140"/>
      <c r="K20" s="140"/>
      <c r="L20" s="140"/>
      <c r="M20" s="140"/>
      <c r="N20" s="140"/>
      <c r="O20" s="140"/>
      <c r="P20" s="140"/>
    </row>
    <row r="21" ht="15.75" customHeight="1">
      <c r="A21" s="140"/>
      <c r="B21" s="140"/>
      <c r="C21" s="237"/>
      <c r="D21" s="140"/>
      <c r="E21" s="140"/>
      <c r="F21" s="140"/>
      <c r="G21" s="140"/>
      <c r="H21" s="140"/>
      <c r="I21" s="140"/>
      <c r="J21" s="140"/>
      <c r="K21" s="140"/>
      <c r="L21" s="140"/>
      <c r="M21" s="140"/>
      <c r="N21" s="140"/>
      <c r="O21" s="140"/>
      <c r="P21" s="140"/>
    </row>
    <row r="22" ht="15.75" customHeight="1">
      <c r="A22" s="140"/>
      <c r="B22" s="140"/>
      <c r="C22" s="237"/>
      <c r="D22" s="140"/>
      <c r="E22" s="140"/>
      <c r="F22" s="140"/>
      <c r="G22" s="140"/>
      <c r="H22" s="140"/>
      <c r="I22" s="140"/>
      <c r="J22" s="140"/>
      <c r="K22" s="140"/>
      <c r="L22" s="140"/>
      <c r="M22" s="140"/>
      <c r="N22" s="140"/>
      <c r="O22" s="140"/>
      <c r="P22" s="140"/>
    </row>
    <row r="23" ht="15.75" customHeight="1">
      <c r="A23" s="140"/>
      <c r="B23" s="140"/>
      <c r="C23" s="237"/>
      <c r="D23" s="140"/>
      <c r="E23" s="140"/>
      <c r="F23" s="140"/>
      <c r="G23" s="140"/>
      <c r="H23" s="140"/>
      <c r="I23" s="140"/>
      <c r="J23" s="140"/>
      <c r="K23" s="140"/>
      <c r="L23" s="140"/>
      <c r="M23" s="140"/>
      <c r="N23" s="140"/>
      <c r="O23" s="140"/>
      <c r="P23" s="140"/>
    </row>
    <row r="24" ht="15.75" customHeight="1">
      <c r="A24" s="140"/>
      <c r="B24" s="140"/>
      <c r="C24" s="237"/>
      <c r="D24" s="140"/>
      <c r="E24" s="140"/>
      <c r="F24" s="140"/>
      <c r="G24" s="140"/>
      <c r="H24" s="140"/>
      <c r="I24" s="140"/>
      <c r="J24" s="140"/>
      <c r="K24" s="140"/>
      <c r="L24" s="140"/>
      <c r="M24" s="140"/>
      <c r="N24" s="140"/>
      <c r="O24" s="140"/>
      <c r="P24" s="140"/>
    </row>
    <row r="25" ht="15.75" customHeight="1">
      <c r="A25" s="140"/>
      <c r="B25" s="140"/>
      <c r="C25" s="237"/>
      <c r="D25" s="140"/>
      <c r="E25" s="140"/>
      <c r="F25" s="140"/>
      <c r="G25" s="140"/>
      <c r="H25" s="140"/>
      <c r="I25" s="140"/>
      <c r="J25" s="140"/>
      <c r="K25" s="140"/>
      <c r="L25" s="140"/>
      <c r="M25" s="140"/>
      <c r="N25" s="140"/>
      <c r="O25" s="140"/>
      <c r="P25" s="140"/>
    </row>
    <row r="26" ht="15.75" customHeight="1">
      <c r="A26" s="140"/>
      <c r="B26" s="140"/>
      <c r="C26" s="237"/>
      <c r="D26" s="140"/>
      <c r="E26" s="140"/>
      <c r="F26" s="140"/>
      <c r="G26" s="140"/>
      <c r="H26" s="140"/>
      <c r="I26" s="140"/>
      <c r="J26" s="140"/>
      <c r="K26" s="140"/>
      <c r="L26" s="140"/>
      <c r="M26" s="140"/>
      <c r="N26" s="140"/>
      <c r="O26" s="140"/>
      <c r="P26" s="140"/>
    </row>
    <row r="27" ht="15.75" customHeight="1">
      <c r="A27" s="140"/>
      <c r="B27" s="140"/>
      <c r="C27" s="237"/>
      <c r="D27" s="140"/>
      <c r="E27" s="140"/>
      <c r="F27" s="140"/>
      <c r="G27" s="140"/>
      <c r="H27" s="140"/>
      <c r="I27" s="140"/>
      <c r="J27" s="140"/>
      <c r="K27" s="140"/>
      <c r="L27" s="140"/>
      <c r="M27" s="140"/>
      <c r="N27" s="140"/>
      <c r="O27" s="140"/>
      <c r="P27" s="140"/>
    </row>
    <row r="28" ht="15.75" customHeight="1">
      <c r="A28" s="140"/>
      <c r="B28" s="140"/>
      <c r="C28" s="237"/>
      <c r="D28" s="140"/>
      <c r="E28" s="140"/>
      <c r="F28" s="140"/>
      <c r="G28" s="140"/>
      <c r="H28" s="140"/>
      <c r="I28" s="140"/>
      <c r="J28" s="140"/>
      <c r="K28" s="140"/>
      <c r="L28" s="140"/>
      <c r="M28" s="140"/>
      <c r="N28" s="140"/>
      <c r="O28" s="140"/>
      <c r="P28" s="140"/>
    </row>
    <row r="29" ht="15.75" customHeight="1">
      <c r="A29" s="140"/>
      <c r="B29" s="140"/>
      <c r="C29" s="237"/>
      <c r="D29" s="140"/>
      <c r="E29" s="140"/>
      <c r="F29" s="140"/>
      <c r="G29" s="140"/>
      <c r="H29" s="140"/>
      <c r="I29" s="140"/>
      <c r="J29" s="140"/>
      <c r="K29" s="140"/>
      <c r="L29" s="140"/>
      <c r="M29" s="140"/>
      <c r="N29" s="140"/>
      <c r="O29" s="140"/>
      <c r="P29" s="140"/>
    </row>
    <row r="30" ht="15.75" customHeight="1">
      <c r="A30" s="140"/>
      <c r="B30" s="140"/>
      <c r="C30" s="237"/>
      <c r="D30" s="140"/>
      <c r="E30" s="140"/>
      <c r="F30" s="140"/>
      <c r="G30" s="140"/>
      <c r="H30" s="140"/>
      <c r="I30" s="140"/>
      <c r="J30" s="140"/>
      <c r="K30" s="140"/>
      <c r="L30" s="140"/>
      <c r="M30" s="140"/>
      <c r="N30" s="140"/>
      <c r="O30" s="140"/>
      <c r="P30" s="140"/>
    </row>
    <row r="31" ht="15.75" customHeight="1">
      <c r="A31" s="140"/>
      <c r="B31" s="140"/>
      <c r="C31" s="237"/>
      <c r="D31" s="140"/>
      <c r="E31" s="140"/>
      <c r="F31" s="140"/>
      <c r="G31" s="140"/>
      <c r="H31" s="140"/>
      <c r="I31" s="140"/>
      <c r="J31" s="140"/>
      <c r="K31" s="140"/>
      <c r="L31" s="140"/>
      <c r="M31" s="140"/>
      <c r="N31" s="140"/>
      <c r="O31" s="140"/>
      <c r="P31" s="140"/>
    </row>
    <row r="32" ht="15.75" customHeight="1">
      <c r="A32" s="140"/>
      <c r="B32" s="140"/>
      <c r="C32" s="237"/>
      <c r="D32" s="140"/>
      <c r="E32" s="140"/>
      <c r="F32" s="140"/>
      <c r="G32" s="140"/>
      <c r="H32" s="140"/>
      <c r="I32" s="140"/>
      <c r="J32" s="140"/>
      <c r="K32" s="140"/>
      <c r="L32" s="140"/>
      <c r="M32" s="140"/>
      <c r="N32" s="140"/>
      <c r="O32" s="140"/>
      <c r="P32" s="140"/>
    </row>
    <row r="33" ht="15.75" customHeight="1">
      <c r="A33" s="140"/>
      <c r="B33" s="140"/>
      <c r="C33" s="237"/>
      <c r="D33" s="140"/>
      <c r="E33" s="140"/>
      <c r="F33" s="140"/>
      <c r="G33" s="140"/>
      <c r="H33" s="140"/>
      <c r="I33" s="140"/>
      <c r="J33" s="140"/>
      <c r="K33" s="140"/>
      <c r="L33" s="140"/>
      <c r="M33" s="140"/>
      <c r="N33" s="140"/>
      <c r="O33" s="140"/>
      <c r="P33" s="140"/>
    </row>
    <row r="34" ht="15.75" customHeight="1">
      <c r="A34" s="140"/>
      <c r="B34" s="140"/>
      <c r="C34" s="237"/>
      <c r="D34" s="140"/>
      <c r="E34" s="140"/>
      <c r="F34" s="140"/>
      <c r="G34" s="140"/>
      <c r="H34" s="140"/>
      <c r="I34" s="140"/>
      <c r="J34" s="140"/>
      <c r="K34" s="140"/>
      <c r="L34" s="140"/>
      <c r="M34" s="140"/>
      <c r="N34" s="140"/>
      <c r="O34" s="140"/>
      <c r="P34" s="140"/>
    </row>
    <row r="35" ht="15.75" customHeight="1">
      <c r="A35" s="140"/>
      <c r="B35" s="140"/>
      <c r="C35" s="237"/>
      <c r="D35" s="140"/>
      <c r="E35" s="140"/>
      <c r="F35" s="140"/>
      <c r="G35" s="140"/>
      <c r="H35" s="140"/>
      <c r="I35" s="140"/>
      <c r="J35" s="140"/>
      <c r="K35" s="140"/>
      <c r="L35" s="140"/>
      <c r="M35" s="140"/>
      <c r="N35" s="140"/>
      <c r="O35" s="140"/>
      <c r="P35" s="140"/>
    </row>
    <row r="36" ht="15.75" customHeight="1">
      <c r="A36" s="140"/>
      <c r="B36" s="140"/>
      <c r="C36" s="237"/>
      <c r="D36" s="140"/>
      <c r="E36" s="140"/>
      <c r="F36" s="140"/>
      <c r="G36" s="140"/>
      <c r="H36" s="140"/>
      <c r="I36" s="140"/>
      <c r="J36" s="140"/>
      <c r="K36" s="140"/>
      <c r="L36" s="140"/>
      <c r="M36" s="140"/>
      <c r="N36" s="140"/>
      <c r="O36" s="140"/>
      <c r="P36" s="140"/>
    </row>
    <row r="37" ht="15.75" customHeight="1">
      <c r="A37" s="140"/>
      <c r="B37" s="140"/>
      <c r="C37" s="237"/>
      <c r="D37" s="140"/>
      <c r="E37" s="140"/>
      <c r="F37" s="140"/>
      <c r="G37" s="140"/>
      <c r="H37" s="140"/>
      <c r="I37" s="140"/>
      <c r="J37" s="140"/>
      <c r="K37" s="140"/>
      <c r="L37" s="140"/>
      <c r="M37" s="140"/>
      <c r="N37" s="140"/>
      <c r="O37" s="140"/>
      <c r="P37" s="140"/>
    </row>
    <row r="38" ht="15.75" customHeight="1">
      <c r="A38" s="140"/>
      <c r="B38" s="140"/>
      <c r="C38" s="237"/>
      <c r="D38" s="140"/>
      <c r="E38" s="140"/>
      <c r="F38" s="140"/>
      <c r="G38" s="140"/>
      <c r="H38" s="140"/>
      <c r="I38" s="140"/>
      <c r="J38" s="140"/>
      <c r="K38" s="140"/>
      <c r="L38" s="140"/>
      <c r="M38" s="140"/>
      <c r="N38" s="140"/>
      <c r="O38" s="140"/>
      <c r="P38" s="140"/>
    </row>
    <row r="39" ht="15.75" customHeight="1">
      <c r="A39" s="140"/>
      <c r="B39" s="140"/>
      <c r="C39" s="237"/>
      <c r="D39" s="140"/>
      <c r="E39" s="140"/>
      <c r="F39" s="140"/>
      <c r="G39" s="140"/>
      <c r="H39" s="140"/>
      <c r="I39" s="140"/>
      <c r="J39" s="140"/>
      <c r="K39" s="140"/>
      <c r="L39" s="140"/>
      <c r="M39" s="140"/>
      <c r="N39" s="140"/>
      <c r="O39" s="140"/>
      <c r="P39" s="140"/>
    </row>
    <row r="40" ht="15.75" customHeight="1">
      <c r="A40" s="140"/>
      <c r="B40" s="140"/>
      <c r="C40" s="237"/>
      <c r="D40" s="140"/>
      <c r="E40" s="140"/>
      <c r="F40" s="140"/>
      <c r="G40" s="140"/>
      <c r="H40" s="140"/>
      <c r="I40" s="140"/>
      <c r="J40" s="140"/>
      <c r="K40" s="140"/>
      <c r="L40" s="140"/>
      <c r="M40" s="140"/>
      <c r="N40" s="140"/>
      <c r="O40" s="140"/>
      <c r="P40" s="140"/>
    </row>
    <row r="41" ht="15.75" customHeight="1">
      <c r="A41" s="140"/>
      <c r="B41" s="140"/>
      <c r="C41" s="237"/>
      <c r="D41" s="140"/>
      <c r="E41" s="140"/>
      <c r="F41" s="140"/>
      <c r="G41" s="140"/>
      <c r="H41" s="140"/>
      <c r="I41" s="140"/>
      <c r="J41" s="140"/>
      <c r="K41" s="140"/>
      <c r="L41" s="140"/>
      <c r="M41" s="140"/>
      <c r="N41" s="140"/>
      <c r="O41" s="140"/>
      <c r="P41" s="140"/>
    </row>
    <row r="42" ht="15.75" customHeight="1">
      <c r="A42" s="140"/>
      <c r="B42" s="140"/>
      <c r="C42" s="237"/>
      <c r="D42" s="140"/>
      <c r="E42" s="140"/>
      <c r="F42" s="140"/>
      <c r="G42" s="140"/>
      <c r="H42" s="140"/>
      <c r="I42" s="140"/>
      <c r="J42" s="140"/>
      <c r="K42" s="140"/>
      <c r="L42" s="140"/>
      <c r="M42" s="140"/>
      <c r="N42" s="140"/>
      <c r="O42" s="140"/>
      <c r="P42" s="140"/>
    </row>
    <row r="43" ht="15.75" customHeight="1">
      <c r="A43" s="140"/>
      <c r="B43" s="140"/>
      <c r="C43" s="237"/>
      <c r="D43" s="140"/>
      <c r="E43" s="140"/>
      <c r="F43" s="140"/>
      <c r="G43" s="140"/>
      <c r="H43" s="140"/>
      <c r="I43" s="140"/>
      <c r="J43" s="140"/>
      <c r="K43" s="140"/>
      <c r="L43" s="140"/>
      <c r="M43" s="140"/>
      <c r="N43" s="140"/>
      <c r="O43" s="140"/>
      <c r="P43" s="140"/>
    </row>
    <row r="44" ht="15.75" customHeight="1">
      <c r="A44" s="140"/>
      <c r="B44" s="140"/>
      <c r="C44" s="237"/>
      <c r="D44" s="140"/>
      <c r="E44" s="140"/>
      <c r="F44" s="140"/>
      <c r="G44" s="140"/>
      <c r="H44" s="140"/>
      <c r="I44" s="140"/>
      <c r="J44" s="140"/>
      <c r="K44" s="140"/>
      <c r="L44" s="140"/>
      <c r="M44" s="140"/>
      <c r="N44" s="140"/>
      <c r="O44" s="140"/>
      <c r="P44" s="140"/>
    </row>
    <row r="45" ht="15.75" customHeight="1">
      <c r="A45" s="140"/>
      <c r="B45" s="140"/>
      <c r="C45" s="237"/>
      <c r="D45" s="140"/>
      <c r="E45" s="140"/>
      <c r="F45" s="140"/>
      <c r="G45" s="140"/>
      <c r="H45" s="140"/>
      <c r="I45" s="140"/>
      <c r="J45" s="140"/>
      <c r="K45" s="140"/>
      <c r="L45" s="140"/>
      <c r="M45" s="140"/>
      <c r="N45" s="140"/>
      <c r="O45" s="140"/>
      <c r="P45" s="140"/>
    </row>
    <row r="46" ht="15.75" customHeight="1">
      <c r="A46" s="140"/>
      <c r="B46" s="140"/>
      <c r="C46" s="237"/>
      <c r="D46" s="140"/>
      <c r="E46" s="140"/>
      <c r="F46" s="140"/>
      <c r="G46" s="140"/>
      <c r="H46" s="140"/>
      <c r="I46" s="140"/>
      <c r="J46" s="140"/>
      <c r="K46" s="140"/>
      <c r="L46" s="140"/>
      <c r="M46" s="140"/>
      <c r="N46" s="140"/>
      <c r="O46" s="140"/>
      <c r="P46" s="140"/>
    </row>
    <row r="47" ht="15.75" customHeight="1">
      <c r="A47" s="140"/>
      <c r="B47" s="140"/>
      <c r="C47" s="237"/>
      <c r="D47" s="140"/>
      <c r="E47" s="140"/>
      <c r="F47" s="140"/>
      <c r="G47" s="140"/>
      <c r="H47" s="140"/>
      <c r="I47" s="140"/>
      <c r="J47" s="140"/>
      <c r="K47" s="140"/>
      <c r="L47" s="140"/>
      <c r="M47" s="140"/>
      <c r="N47" s="140"/>
      <c r="O47" s="140"/>
      <c r="P47" s="140"/>
    </row>
    <row r="48" ht="15.75" customHeight="1">
      <c r="A48" s="140"/>
      <c r="B48" s="140"/>
      <c r="C48" s="237"/>
      <c r="D48" s="140"/>
      <c r="E48" s="140"/>
      <c r="F48" s="140"/>
      <c r="G48" s="140"/>
      <c r="H48" s="140"/>
      <c r="I48" s="140"/>
      <c r="J48" s="140"/>
      <c r="K48" s="140"/>
      <c r="L48" s="140"/>
      <c r="M48" s="140"/>
      <c r="N48" s="140"/>
      <c r="O48" s="140"/>
      <c r="P48" s="140"/>
    </row>
    <row r="49" ht="15.75" customHeight="1">
      <c r="A49" s="140"/>
      <c r="B49" s="140"/>
      <c r="C49" s="237"/>
      <c r="D49" s="140"/>
      <c r="E49" s="140"/>
      <c r="F49" s="140"/>
      <c r="G49" s="140"/>
      <c r="H49" s="140"/>
      <c r="I49" s="140"/>
      <c r="J49" s="140"/>
      <c r="K49" s="140"/>
      <c r="L49" s="140"/>
      <c r="M49" s="140"/>
      <c r="N49" s="140"/>
      <c r="O49" s="140"/>
      <c r="P49" s="140"/>
    </row>
    <row r="50" ht="15.75" customHeight="1">
      <c r="A50" s="140"/>
      <c r="B50" s="140"/>
      <c r="C50" s="237"/>
      <c r="D50" s="140"/>
      <c r="E50" s="140"/>
      <c r="F50" s="140"/>
      <c r="G50" s="140"/>
      <c r="H50" s="140"/>
      <c r="I50" s="140"/>
      <c r="J50" s="140"/>
      <c r="K50" s="140"/>
      <c r="L50" s="140"/>
      <c r="M50" s="140"/>
      <c r="N50" s="140"/>
      <c r="O50" s="140"/>
      <c r="P50" s="140"/>
    </row>
    <row r="51" ht="15.75" customHeight="1">
      <c r="A51" s="140"/>
      <c r="B51" s="140"/>
      <c r="C51" s="237"/>
      <c r="D51" s="140"/>
      <c r="E51" s="140"/>
      <c r="F51" s="140"/>
      <c r="G51" s="140"/>
      <c r="H51" s="140"/>
      <c r="I51" s="140"/>
      <c r="J51" s="140"/>
      <c r="K51" s="140"/>
      <c r="L51" s="140"/>
      <c r="M51" s="140"/>
      <c r="N51" s="140"/>
      <c r="O51" s="140"/>
      <c r="P51" s="140"/>
    </row>
    <row r="52" ht="15.75" customHeight="1">
      <c r="A52" s="140"/>
      <c r="B52" s="140"/>
      <c r="C52" s="237"/>
      <c r="D52" s="140"/>
      <c r="E52" s="140"/>
      <c r="F52" s="140"/>
      <c r="G52" s="140"/>
      <c r="H52" s="140"/>
      <c r="I52" s="140"/>
      <c r="J52" s="140"/>
      <c r="K52" s="140"/>
      <c r="L52" s="140"/>
      <c r="M52" s="140"/>
      <c r="N52" s="140"/>
      <c r="O52" s="140"/>
      <c r="P52" s="140"/>
    </row>
    <row r="53" ht="15.75" customHeight="1">
      <c r="A53" s="140"/>
      <c r="B53" s="140"/>
      <c r="C53" s="237"/>
      <c r="D53" s="140"/>
      <c r="E53" s="140"/>
      <c r="F53" s="140"/>
      <c r="G53" s="140"/>
      <c r="H53" s="140"/>
      <c r="I53" s="140"/>
      <c r="J53" s="140"/>
      <c r="K53" s="140"/>
      <c r="L53" s="140"/>
      <c r="M53" s="140"/>
      <c r="N53" s="140"/>
      <c r="O53" s="140"/>
      <c r="P53" s="140"/>
    </row>
    <row r="54" ht="15.75" customHeight="1">
      <c r="A54" s="140"/>
      <c r="B54" s="140"/>
      <c r="C54" s="237"/>
      <c r="D54" s="140"/>
      <c r="E54" s="140"/>
      <c r="F54" s="140"/>
      <c r="G54" s="140"/>
      <c r="H54" s="140"/>
      <c r="I54" s="140"/>
      <c r="J54" s="140"/>
      <c r="K54" s="140"/>
      <c r="L54" s="140"/>
      <c r="M54" s="140"/>
      <c r="N54" s="140"/>
      <c r="O54" s="140"/>
      <c r="P54" s="140"/>
    </row>
    <row r="55" ht="15.75" customHeight="1">
      <c r="A55" s="140"/>
      <c r="B55" s="140"/>
      <c r="C55" s="237"/>
      <c r="D55" s="140"/>
      <c r="E55" s="140"/>
      <c r="F55" s="140"/>
      <c r="G55" s="140"/>
      <c r="H55" s="140"/>
      <c r="I55" s="140"/>
      <c r="J55" s="140"/>
      <c r="K55" s="140"/>
      <c r="L55" s="140"/>
      <c r="M55" s="140"/>
      <c r="N55" s="140"/>
      <c r="O55" s="140"/>
      <c r="P55" s="140"/>
    </row>
    <row r="56" ht="15.75" customHeight="1">
      <c r="A56" s="140"/>
      <c r="B56" s="140"/>
      <c r="C56" s="237"/>
      <c r="D56" s="140"/>
      <c r="E56" s="140"/>
      <c r="F56" s="140"/>
      <c r="G56" s="140"/>
      <c r="H56" s="140"/>
      <c r="I56" s="140"/>
      <c r="J56" s="140"/>
      <c r="K56" s="140"/>
      <c r="L56" s="140"/>
      <c r="M56" s="140"/>
      <c r="N56" s="140"/>
      <c r="O56" s="140"/>
      <c r="P56" s="140"/>
    </row>
    <row r="57" ht="15.75" customHeight="1">
      <c r="A57" s="140"/>
      <c r="B57" s="140"/>
      <c r="C57" s="237"/>
      <c r="D57" s="140"/>
      <c r="E57" s="140"/>
      <c r="F57" s="140"/>
      <c r="G57" s="140"/>
      <c r="H57" s="140"/>
      <c r="I57" s="140"/>
      <c r="J57" s="140"/>
      <c r="K57" s="140"/>
      <c r="L57" s="140"/>
      <c r="M57" s="140"/>
      <c r="N57" s="140"/>
      <c r="O57" s="140"/>
      <c r="P57" s="140"/>
    </row>
    <row r="58" ht="15.75" customHeight="1">
      <c r="A58" s="140"/>
      <c r="B58" s="140"/>
      <c r="C58" s="237"/>
      <c r="D58" s="140"/>
      <c r="E58" s="140"/>
      <c r="F58" s="140"/>
      <c r="G58" s="140"/>
      <c r="H58" s="140"/>
      <c r="I58" s="140"/>
      <c r="J58" s="140"/>
      <c r="K58" s="140"/>
      <c r="L58" s="140"/>
      <c r="M58" s="140"/>
      <c r="N58" s="140"/>
      <c r="O58" s="140"/>
      <c r="P58" s="140"/>
    </row>
    <row r="59" ht="15.75" customHeight="1">
      <c r="A59" s="140"/>
      <c r="B59" s="140"/>
      <c r="C59" s="237"/>
      <c r="D59" s="140"/>
      <c r="E59" s="140"/>
      <c r="F59" s="140"/>
      <c r="G59" s="140"/>
      <c r="H59" s="140"/>
      <c r="I59" s="140"/>
      <c r="J59" s="140"/>
      <c r="K59" s="140"/>
      <c r="L59" s="140"/>
      <c r="M59" s="140"/>
      <c r="N59" s="140"/>
      <c r="O59" s="140"/>
      <c r="P59" s="140"/>
    </row>
    <row r="60" ht="15.75" customHeight="1">
      <c r="A60" s="140"/>
      <c r="B60" s="140"/>
      <c r="C60" s="237"/>
      <c r="D60" s="140"/>
      <c r="E60" s="140"/>
      <c r="F60" s="140"/>
      <c r="G60" s="140"/>
      <c r="H60" s="140"/>
      <c r="I60" s="140"/>
      <c r="J60" s="140"/>
      <c r="K60" s="140"/>
      <c r="L60" s="140"/>
      <c r="M60" s="140"/>
      <c r="N60" s="140"/>
      <c r="O60" s="140"/>
      <c r="P60" s="140"/>
    </row>
    <row r="61" ht="15.75" customHeight="1">
      <c r="A61" s="140"/>
      <c r="B61" s="140"/>
      <c r="C61" s="237"/>
      <c r="D61" s="140"/>
      <c r="E61" s="140"/>
      <c r="F61" s="140"/>
      <c r="G61" s="140"/>
      <c r="H61" s="140"/>
      <c r="I61" s="140"/>
      <c r="J61" s="140"/>
      <c r="K61" s="140"/>
      <c r="L61" s="140"/>
      <c r="M61" s="140"/>
      <c r="N61" s="140"/>
      <c r="O61" s="140"/>
      <c r="P61" s="140"/>
    </row>
    <row r="62" ht="15.75" customHeight="1">
      <c r="A62" s="140"/>
      <c r="B62" s="140"/>
      <c r="C62" s="237"/>
      <c r="D62" s="140"/>
      <c r="E62" s="140"/>
      <c r="F62" s="140"/>
      <c r="G62" s="140"/>
      <c r="H62" s="140"/>
      <c r="I62" s="140"/>
      <c r="J62" s="140"/>
      <c r="K62" s="140"/>
      <c r="L62" s="140"/>
      <c r="M62" s="140"/>
      <c r="N62" s="140"/>
      <c r="O62" s="140"/>
      <c r="P62" s="140"/>
    </row>
    <row r="63" ht="15.75" customHeight="1">
      <c r="A63" s="140"/>
      <c r="B63" s="140"/>
      <c r="C63" s="237"/>
      <c r="D63" s="140"/>
      <c r="E63" s="140"/>
      <c r="F63" s="140"/>
      <c r="G63" s="140"/>
      <c r="H63" s="140"/>
      <c r="I63" s="140"/>
      <c r="J63" s="140"/>
      <c r="K63" s="140"/>
      <c r="L63" s="140"/>
      <c r="M63" s="140"/>
      <c r="N63" s="140"/>
      <c r="O63" s="140"/>
      <c r="P63" s="140"/>
    </row>
    <row r="64" ht="15.75" customHeight="1">
      <c r="A64" s="140"/>
      <c r="B64" s="140"/>
      <c r="C64" s="237"/>
      <c r="D64" s="140"/>
      <c r="E64" s="140"/>
      <c r="F64" s="140"/>
      <c r="G64" s="140"/>
      <c r="H64" s="140"/>
      <c r="I64" s="140"/>
      <c r="J64" s="140"/>
      <c r="K64" s="140"/>
      <c r="L64" s="140"/>
      <c r="M64" s="140"/>
      <c r="N64" s="140"/>
      <c r="O64" s="140"/>
      <c r="P64" s="140"/>
    </row>
    <row r="65" ht="15.75" customHeight="1">
      <c r="A65" s="140"/>
      <c r="B65" s="140"/>
      <c r="C65" s="237"/>
      <c r="D65" s="140"/>
      <c r="E65" s="140"/>
      <c r="F65" s="140"/>
      <c r="G65" s="140"/>
      <c r="H65" s="140"/>
      <c r="I65" s="140"/>
      <c r="J65" s="140"/>
      <c r="K65" s="140"/>
      <c r="L65" s="140"/>
      <c r="M65" s="140"/>
      <c r="N65" s="140"/>
      <c r="O65" s="140"/>
      <c r="P65" s="140"/>
    </row>
    <row r="66" ht="15.75" customHeight="1">
      <c r="A66" s="140"/>
      <c r="B66" s="140"/>
      <c r="C66" s="237"/>
      <c r="D66" s="140"/>
      <c r="E66" s="140"/>
      <c r="F66" s="140"/>
      <c r="G66" s="140"/>
      <c r="H66" s="140"/>
      <c r="I66" s="140"/>
      <c r="J66" s="140"/>
      <c r="K66" s="140"/>
      <c r="L66" s="140"/>
      <c r="M66" s="140"/>
      <c r="N66" s="140"/>
      <c r="O66" s="140"/>
      <c r="P66" s="140"/>
    </row>
    <row r="67" ht="15.75" customHeight="1">
      <c r="A67" s="140"/>
      <c r="B67" s="140"/>
      <c r="C67" s="237"/>
      <c r="D67" s="140"/>
      <c r="E67" s="140"/>
      <c r="F67" s="140"/>
      <c r="G67" s="140"/>
      <c r="H67" s="140"/>
      <c r="I67" s="140"/>
      <c r="J67" s="140"/>
      <c r="K67" s="140"/>
      <c r="L67" s="140"/>
      <c r="M67" s="140"/>
      <c r="N67" s="140"/>
      <c r="O67" s="140"/>
      <c r="P67" s="140"/>
    </row>
    <row r="68" ht="15.75" customHeight="1">
      <c r="A68" s="140"/>
      <c r="B68" s="140"/>
      <c r="C68" s="237"/>
      <c r="D68" s="140"/>
      <c r="E68" s="140"/>
      <c r="F68" s="140"/>
      <c r="G68" s="140"/>
      <c r="H68" s="140"/>
      <c r="I68" s="140"/>
      <c r="J68" s="140"/>
      <c r="K68" s="140"/>
      <c r="L68" s="140"/>
      <c r="M68" s="140"/>
      <c r="N68" s="140"/>
      <c r="O68" s="140"/>
      <c r="P68" s="140"/>
    </row>
    <row r="69" ht="15.75" customHeight="1">
      <c r="A69" s="140"/>
      <c r="B69" s="140"/>
      <c r="C69" s="237"/>
      <c r="D69" s="140"/>
      <c r="E69" s="140"/>
      <c r="F69" s="140"/>
      <c r="G69" s="140"/>
      <c r="H69" s="140"/>
      <c r="I69" s="140"/>
      <c r="J69" s="140"/>
      <c r="K69" s="140"/>
      <c r="L69" s="140"/>
      <c r="M69" s="140"/>
      <c r="N69" s="140"/>
      <c r="O69" s="140"/>
      <c r="P69" s="140"/>
    </row>
    <row r="70" ht="15.75" customHeight="1">
      <c r="A70" s="140"/>
      <c r="B70" s="140"/>
      <c r="C70" s="237"/>
      <c r="D70" s="140"/>
      <c r="E70" s="140"/>
      <c r="F70" s="140"/>
      <c r="G70" s="140"/>
      <c r="H70" s="140"/>
      <c r="I70" s="140"/>
      <c r="J70" s="140"/>
      <c r="K70" s="140"/>
      <c r="L70" s="140"/>
      <c r="M70" s="140"/>
      <c r="N70" s="140"/>
      <c r="O70" s="140"/>
      <c r="P70" s="140"/>
    </row>
    <row r="71" ht="15.75" customHeight="1">
      <c r="A71" s="140"/>
      <c r="B71" s="140"/>
      <c r="C71" s="237"/>
      <c r="D71" s="140"/>
      <c r="E71" s="140"/>
      <c r="F71" s="140"/>
      <c r="G71" s="140"/>
      <c r="H71" s="140"/>
      <c r="I71" s="140"/>
      <c r="J71" s="140"/>
      <c r="K71" s="140"/>
      <c r="L71" s="140"/>
      <c r="M71" s="140"/>
      <c r="N71" s="140"/>
      <c r="O71" s="140"/>
      <c r="P71" s="140"/>
    </row>
    <row r="72" ht="15.75" customHeight="1">
      <c r="A72" s="140"/>
      <c r="B72" s="140"/>
      <c r="C72" s="237"/>
      <c r="D72" s="140"/>
      <c r="E72" s="140"/>
      <c r="F72" s="140"/>
      <c r="G72" s="140"/>
      <c r="H72" s="140"/>
      <c r="I72" s="140"/>
      <c r="J72" s="140"/>
      <c r="K72" s="140"/>
      <c r="L72" s="140"/>
      <c r="M72" s="140"/>
      <c r="N72" s="140"/>
      <c r="O72" s="140"/>
      <c r="P72" s="140"/>
    </row>
    <row r="73" ht="15.75" customHeight="1">
      <c r="A73" s="140"/>
      <c r="B73" s="140"/>
      <c r="C73" s="237"/>
      <c r="D73" s="140"/>
      <c r="E73" s="140"/>
      <c r="F73" s="140"/>
      <c r="G73" s="140"/>
      <c r="H73" s="140"/>
      <c r="I73" s="140"/>
      <c r="J73" s="140"/>
      <c r="K73" s="140"/>
      <c r="L73" s="140"/>
      <c r="M73" s="140"/>
      <c r="N73" s="140"/>
      <c r="O73" s="140"/>
      <c r="P73" s="140"/>
    </row>
    <row r="74" ht="15.75" customHeight="1">
      <c r="A74" s="140"/>
      <c r="B74" s="140"/>
      <c r="C74" s="237"/>
      <c r="D74" s="140"/>
      <c r="E74" s="140"/>
      <c r="F74" s="140"/>
      <c r="G74" s="140"/>
      <c r="H74" s="140"/>
      <c r="I74" s="140"/>
      <c r="J74" s="140"/>
      <c r="K74" s="140"/>
      <c r="L74" s="140"/>
      <c r="M74" s="140"/>
      <c r="N74" s="140"/>
      <c r="O74" s="140"/>
      <c r="P74" s="140"/>
    </row>
    <row r="75" ht="15.75" customHeight="1">
      <c r="A75" s="140"/>
      <c r="B75" s="140"/>
      <c r="C75" s="237"/>
      <c r="D75" s="140"/>
      <c r="E75" s="140"/>
      <c r="F75" s="140"/>
      <c r="G75" s="140"/>
      <c r="H75" s="140"/>
      <c r="I75" s="140"/>
      <c r="J75" s="140"/>
      <c r="K75" s="140"/>
      <c r="L75" s="140"/>
      <c r="M75" s="140"/>
      <c r="N75" s="140"/>
      <c r="O75" s="140"/>
      <c r="P75" s="140"/>
    </row>
    <row r="76" ht="15.75" customHeight="1">
      <c r="A76" s="140"/>
      <c r="B76" s="140"/>
      <c r="C76" s="237"/>
      <c r="D76" s="140"/>
      <c r="E76" s="140"/>
      <c r="F76" s="140"/>
      <c r="G76" s="140"/>
      <c r="H76" s="140"/>
      <c r="I76" s="140"/>
      <c r="J76" s="140"/>
      <c r="K76" s="140"/>
      <c r="L76" s="140"/>
      <c r="M76" s="140"/>
      <c r="N76" s="140"/>
      <c r="O76" s="140"/>
      <c r="P76" s="140"/>
    </row>
    <row r="77" ht="15.75" customHeight="1">
      <c r="A77" s="140"/>
      <c r="B77" s="140"/>
      <c r="C77" s="237"/>
      <c r="D77" s="140"/>
      <c r="E77" s="140"/>
      <c r="F77" s="140"/>
      <c r="G77" s="140"/>
      <c r="H77" s="140"/>
      <c r="I77" s="140"/>
      <c r="J77" s="140"/>
      <c r="K77" s="140"/>
      <c r="L77" s="140"/>
      <c r="M77" s="140"/>
      <c r="N77" s="140"/>
      <c r="O77" s="140"/>
      <c r="P77" s="140"/>
    </row>
    <row r="78" ht="15.75" customHeight="1">
      <c r="A78" s="140"/>
      <c r="B78" s="140"/>
      <c r="C78" s="237"/>
      <c r="D78" s="140"/>
      <c r="E78" s="140"/>
      <c r="F78" s="140"/>
      <c r="G78" s="140"/>
      <c r="H78" s="140"/>
      <c r="I78" s="140"/>
      <c r="J78" s="140"/>
      <c r="K78" s="140"/>
      <c r="L78" s="140"/>
      <c r="M78" s="140"/>
      <c r="N78" s="140"/>
      <c r="O78" s="140"/>
      <c r="P78" s="140"/>
    </row>
    <row r="79" ht="15.75" customHeight="1">
      <c r="A79" s="140"/>
      <c r="B79" s="140"/>
      <c r="C79" s="237"/>
      <c r="D79" s="140"/>
      <c r="E79" s="140"/>
      <c r="F79" s="140"/>
      <c r="G79" s="140"/>
      <c r="H79" s="140"/>
      <c r="I79" s="140"/>
      <c r="J79" s="140"/>
      <c r="K79" s="140"/>
      <c r="L79" s="140"/>
      <c r="M79" s="140"/>
      <c r="N79" s="140"/>
      <c r="O79" s="140"/>
      <c r="P79" s="140"/>
    </row>
    <row r="80" ht="15.75" customHeight="1">
      <c r="A80" s="140"/>
      <c r="B80" s="140"/>
      <c r="C80" s="237"/>
      <c r="D80" s="140"/>
      <c r="E80" s="140"/>
      <c r="F80" s="140"/>
      <c r="G80" s="140"/>
      <c r="H80" s="140"/>
      <c r="I80" s="140"/>
      <c r="J80" s="140"/>
      <c r="K80" s="140"/>
      <c r="L80" s="140"/>
      <c r="M80" s="140"/>
      <c r="N80" s="140"/>
      <c r="O80" s="140"/>
      <c r="P80" s="140"/>
    </row>
    <row r="81" ht="15.75" customHeight="1">
      <c r="A81" s="140"/>
      <c r="B81" s="140"/>
      <c r="C81" s="237"/>
      <c r="D81" s="140"/>
      <c r="E81" s="140"/>
      <c r="F81" s="140"/>
      <c r="G81" s="140"/>
      <c r="H81" s="140"/>
      <c r="I81" s="140"/>
      <c r="J81" s="140"/>
      <c r="K81" s="140"/>
      <c r="L81" s="140"/>
      <c r="M81" s="140"/>
      <c r="N81" s="140"/>
      <c r="O81" s="140"/>
      <c r="P81" s="140"/>
    </row>
    <row r="82" ht="15.75" customHeight="1">
      <c r="A82" s="140"/>
      <c r="B82" s="140"/>
      <c r="C82" s="237"/>
      <c r="D82" s="140"/>
      <c r="E82" s="140"/>
      <c r="F82" s="140"/>
      <c r="G82" s="140"/>
      <c r="H82" s="140"/>
      <c r="I82" s="140"/>
      <c r="J82" s="140"/>
      <c r="K82" s="140"/>
      <c r="L82" s="140"/>
      <c r="M82" s="140"/>
      <c r="N82" s="140"/>
      <c r="O82" s="140"/>
      <c r="P82" s="140"/>
    </row>
    <row r="83" ht="15.75" customHeight="1">
      <c r="A83" s="140"/>
      <c r="B83" s="140"/>
      <c r="C83" s="237"/>
      <c r="D83" s="140"/>
      <c r="E83" s="140"/>
      <c r="F83" s="140"/>
      <c r="G83" s="140"/>
      <c r="H83" s="140"/>
      <c r="I83" s="140"/>
      <c r="J83" s="140"/>
      <c r="K83" s="140"/>
      <c r="L83" s="140"/>
      <c r="M83" s="140"/>
      <c r="N83" s="140"/>
      <c r="O83" s="140"/>
      <c r="P83" s="140"/>
    </row>
    <row r="84" ht="15.75" customHeight="1">
      <c r="A84" s="140"/>
      <c r="B84" s="140"/>
      <c r="C84" s="237"/>
      <c r="D84" s="140"/>
      <c r="E84" s="140"/>
      <c r="F84" s="140"/>
      <c r="G84" s="140"/>
      <c r="H84" s="140"/>
      <c r="I84" s="140"/>
      <c r="J84" s="140"/>
      <c r="K84" s="140"/>
      <c r="L84" s="140"/>
      <c r="M84" s="140"/>
      <c r="N84" s="140"/>
      <c r="O84" s="140"/>
      <c r="P84" s="140"/>
    </row>
    <row r="85" ht="15.75" customHeight="1">
      <c r="A85" s="140"/>
      <c r="B85" s="140"/>
      <c r="C85" s="237"/>
      <c r="D85" s="140"/>
      <c r="E85" s="140"/>
      <c r="F85" s="140"/>
      <c r="G85" s="140"/>
      <c r="H85" s="140"/>
      <c r="I85" s="140"/>
      <c r="J85" s="140"/>
      <c r="K85" s="140"/>
      <c r="L85" s="140"/>
      <c r="M85" s="140"/>
      <c r="N85" s="140"/>
      <c r="O85" s="140"/>
      <c r="P85" s="140"/>
    </row>
    <row r="86" ht="15.75" customHeight="1">
      <c r="A86" s="140"/>
      <c r="B86" s="140"/>
      <c r="C86" s="237"/>
      <c r="D86" s="140"/>
      <c r="E86" s="140"/>
      <c r="F86" s="140"/>
      <c r="G86" s="140"/>
      <c r="H86" s="140"/>
      <c r="I86" s="140"/>
      <c r="J86" s="140"/>
      <c r="K86" s="140"/>
      <c r="L86" s="140"/>
      <c r="M86" s="140"/>
      <c r="N86" s="140"/>
      <c r="O86" s="140"/>
      <c r="P86" s="140"/>
    </row>
    <row r="87" ht="15.75" customHeight="1">
      <c r="A87" s="140"/>
      <c r="B87" s="140"/>
      <c r="C87" s="237"/>
      <c r="D87" s="140"/>
      <c r="E87" s="140"/>
      <c r="F87" s="140"/>
      <c r="G87" s="140"/>
      <c r="H87" s="140"/>
      <c r="I87" s="140"/>
      <c r="J87" s="140"/>
      <c r="K87" s="140"/>
      <c r="L87" s="140"/>
      <c r="M87" s="140"/>
      <c r="N87" s="140"/>
      <c r="O87" s="140"/>
      <c r="P87" s="140"/>
    </row>
    <row r="88" ht="15.75" customHeight="1">
      <c r="A88" s="140"/>
      <c r="B88" s="140"/>
      <c r="C88" s="237"/>
      <c r="D88" s="140"/>
      <c r="E88" s="140"/>
      <c r="F88" s="140"/>
      <c r="G88" s="140"/>
      <c r="H88" s="140"/>
      <c r="I88" s="140"/>
      <c r="J88" s="140"/>
      <c r="K88" s="140"/>
      <c r="L88" s="140"/>
      <c r="M88" s="140"/>
      <c r="N88" s="140"/>
      <c r="O88" s="140"/>
      <c r="P88" s="140"/>
    </row>
    <row r="89" ht="15.75" customHeight="1">
      <c r="A89" s="140"/>
      <c r="B89" s="140"/>
      <c r="C89" s="237"/>
      <c r="D89" s="140"/>
      <c r="E89" s="140"/>
      <c r="F89" s="140"/>
      <c r="G89" s="140"/>
      <c r="H89" s="140"/>
      <c r="I89" s="140"/>
      <c r="J89" s="140"/>
      <c r="K89" s="140"/>
      <c r="L89" s="140"/>
      <c r="M89" s="140"/>
      <c r="N89" s="140"/>
      <c r="O89" s="140"/>
      <c r="P89" s="140"/>
    </row>
    <row r="90" ht="15.75" customHeight="1">
      <c r="A90" s="140"/>
      <c r="B90" s="140"/>
      <c r="C90" s="237"/>
      <c r="D90" s="140"/>
      <c r="E90" s="140"/>
      <c r="F90" s="140"/>
      <c r="G90" s="140"/>
      <c r="H90" s="140"/>
      <c r="I90" s="140"/>
      <c r="J90" s="140"/>
      <c r="K90" s="140"/>
      <c r="L90" s="140"/>
      <c r="M90" s="140"/>
      <c r="N90" s="140"/>
      <c r="O90" s="140"/>
      <c r="P90" s="140"/>
    </row>
    <row r="91" ht="15.75" customHeight="1">
      <c r="A91" s="140"/>
      <c r="B91" s="140"/>
      <c r="C91" s="237"/>
      <c r="D91" s="140"/>
      <c r="E91" s="140"/>
      <c r="F91" s="140"/>
      <c r="G91" s="140"/>
      <c r="H91" s="140"/>
      <c r="I91" s="140"/>
      <c r="J91" s="140"/>
      <c r="K91" s="140"/>
      <c r="L91" s="140"/>
      <c r="M91" s="140"/>
      <c r="N91" s="140"/>
      <c r="O91" s="140"/>
      <c r="P91" s="140"/>
    </row>
    <row r="92" ht="15.75" customHeight="1">
      <c r="A92" s="140"/>
      <c r="B92" s="140"/>
      <c r="C92" s="237"/>
      <c r="D92" s="140"/>
      <c r="E92" s="140"/>
      <c r="F92" s="140"/>
      <c r="G92" s="140"/>
      <c r="H92" s="140"/>
      <c r="I92" s="140"/>
      <c r="J92" s="140"/>
      <c r="K92" s="140"/>
      <c r="L92" s="140"/>
      <c r="M92" s="140"/>
      <c r="N92" s="140"/>
      <c r="O92" s="140"/>
      <c r="P92" s="140"/>
    </row>
    <row r="93" ht="15.75" customHeight="1">
      <c r="A93" s="140"/>
      <c r="B93" s="140"/>
      <c r="C93" s="237"/>
      <c r="D93" s="140"/>
      <c r="E93" s="140"/>
      <c r="F93" s="140"/>
      <c r="G93" s="140"/>
      <c r="H93" s="140"/>
      <c r="I93" s="140"/>
      <c r="J93" s="140"/>
      <c r="K93" s="140"/>
      <c r="L93" s="140"/>
      <c r="M93" s="140"/>
      <c r="N93" s="140"/>
      <c r="O93" s="140"/>
      <c r="P93" s="140"/>
    </row>
    <row r="94" ht="15.75" customHeight="1">
      <c r="A94" s="140"/>
      <c r="B94" s="140"/>
      <c r="C94" s="237"/>
      <c r="D94" s="140"/>
      <c r="E94" s="140"/>
      <c r="F94" s="140"/>
      <c r="G94" s="140"/>
      <c r="H94" s="140"/>
      <c r="I94" s="140"/>
      <c r="J94" s="140"/>
      <c r="K94" s="140"/>
      <c r="L94" s="140"/>
      <c r="M94" s="140"/>
      <c r="N94" s="140"/>
      <c r="O94" s="140"/>
      <c r="P94" s="140"/>
    </row>
    <row r="95" ht="15.75" customHeight="1">
      <c r="A95" s="140"/>
      <c r="B95" s="140"/>
      <c r="C95" s="237"/>
      <c r="D95" s="140"/>
      <c r="E95" s="140"/>
      <c r="F95" s="140"/>
      <c r="G95" s="140"/>
      <c r="H95" s="140"/>
      <c r="I95" s="140"/>
      <c r="J95" s="140"/>
      <c r="K95" s="140"/>
      <c r="L95" s="140"/>
      <c r="M95" s="140"/>
      <c r="N95" s="140"/>
      <c r="O95" s="140"/>
      <c r="P95" s="140"/>
    </row>
    <row r="96" ht="15.75" customHeight="1">
      <c r="A96" s="140"/>
      <c r="B96" s="140"/>
      <c r="C96" s="237"/>
      <c r="D96" s="140"/>
      <c r="E96" s="140"/>
      <c r="F96" s="140"/>
      <c r="G96" s="140"/>
      <c r="H96" s="140"/>
      <c r="I96" s="140"/>
      <c r="J96" s="140"/>
      <c r="K96" s="140"/>
      <c r="L96" s="140"/>
      <c r="M96" s="140"/>
      <c r="N96" s="140"/>
      <c r="O96" s="140"/>
      <c r="P96" s="140"/>
    </row>
    <row r="97" ht="15.75" customHeight="1">
      <c r="A97" s="140"/>
      <c r="B97" s="140"/>
      <c r="C97" s="237"/>
      <c r="D97" s="140"/>
      <c r="E97" s="140"/>
      <c r="F97" s="140"/>
      <c r="G97" s="140"/>
      <c r="H97" s="140"/>
      <c r="I97" s="140"/>
      <c r="J97" s="140"/>
      <c r="K97" s="140"/>
      <c r="L97" s="140"/>
      <c r="M97" s="140"/>
      <c r="N97" s="140"/>
      <c r="O97" s="140"/>
      <c r="P97" s="140"/>
    </row>
    <row r="98" ht="15.75" customHeight="1">
      <c r="A98" s="140"/>
      <c r="B98" s="140"/>
      <c r="C98" s="237"/>
      <c r="D98" s="140"/>
      <c r="E98" s="140"/>
      <c r="F98" s="140"/>
      <c r="G98" s="140"/>
      <c r="H98" s="140"/>
      <c r="I98" s="140"/>
      <c r="J98" s="140"/>
      <c r="K98" s="140"/>
      <c r="L98" s="140"/>
      <c r="M98" s="140"/>
      <c r="N98" s="140"/>
      <c r="O98" s="140"/>
      <c r="P98" s="140"/>
    </row>
    <row r="99" ht="15.75" customHeight="1">
      <c r="A99" s="140"/>
      <c r="B99" s="140"/>
      <c r="C99" s="237"/>
      <c r="D99" s="140"/>
      <c r="E99" s="140"/>
      <c r="F99" s="140"/>
      <c r="G99" s="140"/>
      <c r="H99" s="140"/>
      <c r="I99" s="140"/>
      <c r="J99" s="140"/>
      <c r="K99" s="140"/>
      <c r="L99" s="140"/>
      <c r="M99" s="140"/>
      <c r="N99" s="140"/>
      <c r="O99" s="140"/>
      <c r="P99" s="140"/>
    </row>
    <row r="100" ht="15.75" customHeight="1">
      <c r="A100" s="140"/>
      <c r="B100" s="140"/>
      <c r="C100" s="237"/>
      <c r="D100" s="140"/>
      <c r="E100" s="140"/>
      <c r="F100" s="140"/>
      <c r="G100" s="140"/>
      <c r="H100" s="140"/>
      <c r="I100" s="140"/>
      <c r="J100" s="140"/>
      <c r="K100" s="140"/>
      <c r="L100" s="140"/>
      <c r="M100" s="140"/>
      <c r="N100" s="140"/>
      <c r="O100" s="140"/>
      <c r="P100" s="140"/>
    </row>
    <row r="101" ht="15.75" customHeight="1">
      <c r="A101" s="140"/>
      <c r="B101" s="140"/>
      <c r="C101" s="237"/>
      <c r="D101" s="140"/>
      <c r="E101" s="140"/>
      <c r="F101" s="140"/>
      <c r="G101" s="140"/>
      <c r="H101" s="140"/>
      <c r="I101" s="140"/>
      <c r="J101" s="140"/>
      <c r="K101" s="140"/>
      <c r="L101" s="140"/>
      <c r="M101" s="140"/>
      <c r="N101" s="140"/>
      <c r="O101" s="140"/>
      <c r="P101" s="140"/>
    </row>
    <row r="102" ht="15.75" customHeight="1">
      <c r="A102" s="140"/>
      <c r="B102" s="140"/>
      <c r="C102" s="237"/>
      <c r="D102" s="140"/>
      <c r="E102" s="140"/>
      <c r="F102" s="140"/>
      <c r="G102" s="140"/>
      <c r="H102" s="140"/>
      <c r="I102" s="140"/>
      <c r="J102" s="140"/>
      <c r="K102" s="140"/>
      <c r="L102" s="140"/>
      <c r="M102" s="140"/>
      <c r="N102" s="140"/>
      <c r="O102" s="140"/>
      <c r="P102" s="140"/>
    </row>
    <row r="103" ht="15.75" customHeight="1">
      <c r="A103" s="140"/>
      <c r="B103" s="140"/>
      <c r="C103" s="237"/>
      <c r="D103" s="140"/>
      <c r="E103" s="140"/>
      <c r="F103" s="140"/>
      <c r="G103" s="140"/>
      <c r="H103" s="140"/>
      <c r="I103" s="140"/>
      <c r="J103" s="140"/>
      <c r="K103" s="140"/>
      <c r="L103" s="140"/>
      <c r="M103" s="140"/>
      <c r="N103" s="140"/>
      <c r="O103" s="140"/>
      <c r="P103" s="140"/>
    </row>
    <row r="104" ht="15.75" customHeight="1">
      <c r="A104" s="140"/>
      <c r="B104" s="140"/>
      <c r="C104" s="237"/>
      <c r="D104" s="140"/>
      <c r="E104" s="140"/>
      <c r="F104" s="140"/>
      <c r="G104" s="140"/>
      <c r="H104" s="140"/>
      <c r="I104" s="140"/>
      <c r="J104" s="140"/>
      <c r="K104" s="140"/>
      <c r="L104" s="140"/>
      <c r="M104" s="140"/>
      <c r="N104" s="140"/>
      <c r="O104" s="140"/>
      <c r="P104" s="140"/>
    </row>
    <row r="105" ht="15.75" customHeight="1">
      <c r="A105" s="140"/>
      <c r="B105" s="140"/>
      <c r="C105" s="237"/>
      <c r="D105" s="140"/>
      <c r="E105" s="140"/>
      <c r="F105" s="140"/>
      <c r="G105" s="140"/>
      <c r="H105" s="140"/>
      <c r="I105" s="140"/>
      <c r="J105" s="140"/>
      <c r="K105" s="140"/>
      <c r="L105" s="140"/>
      <c r="M105" s="140"/>
      <c r="N105" s="140"/>
      <c r="O105" s="140"/>
      <c r="P105" s="140"/>
    </row>
    <row r="106" ht="15.75" customHeight="1">
      <c r="A106" s="140"/>
      <c r="B106" s="140"/>
      <c r="C106" s="237"/>
      <c r="D106" s="140"/>
      <c r="E106" s="140"/>
      <c r="F106" s="140"/>
      <c r="G106" s="140"/>
      <c r="H106" s="140"/>
      <c r="I106" s="140"/>
      <c r="J106" s="140"/>
      <c r="K106" s="140"/>
      <c r="L106" s="140"/>
      <c r="M106" s="140"/>
      <c r="N106" s="140"/>
      <c r="O106" s="140"/>
      <c r="P106" s="140"/>
    </row>
    <row r="107" ht="15.75" customHeight="1">
      <c r="A107" s="140"/>
      <c r="B107" s="140"/>
      <c r="C107" s="237"/>
      <c r="D107" s="140"/>
      <c r="E107" s="140"/>
      <c r="F107" s="140"/>
      <c r="G107" s="140"/>
      <c r="H107" s="140"/>
      <c r="I107" s="140"/>
      <c r="J107" s="140"/>
      <c r="K107" s="140"/>
      <c r="L107" s="140"/>
      <c r="M107" s="140"/>
      <c r="N107" s="140"/>
      <c r="O107" s="140"/>
      <c r="P107" s="140"/>
    </row>
    <row r="108" ht="15.75" customHeight="1">
      <c r="A108" s="140"/>
      <c r="B108" s="140"/>
      <c r="C108" s="237"/>
      <c r="D108" s="140"/>
      <c r="E108" s="140"/>
      <c r="F108" s="140"/>
      <c r="G108" s="140"/>
      <c r="H108" s="140"/>
      <c r="I108" s="140"/>
      <c r="J108" s="140"/>
      <c r="K108" s="140"/>
      <c r="L108" s="140"/>
      <c r="M108" s="140"/>
      <c r="N108" s="140"/>
      <c r="O108" s="140"/>
      <c r="P108" s="140"/>
    </row>
    <row r="109" ht="15.75" customHeight="1">
      <c r="A109" s="140"/>
      <c r="B109" s="140"/>
      <c r="C109" s="237"/>
      <c r="D109" s="140"/>
      <c r="E109" s="140"/>
      <c r="F109" s="140"/>
      <c r="G109" s="140"/>
      <c r="H109" s="140"/>
      <c r="I109" s="140"/>
      <c r="J109" s="140"/>
      <c r="K109" s="140"/>
      <c r="L109" s="140"/>
      <c r="M109" s="140"/>
      <c r="N109" s="140"/>
      <c r="O109" s="140"/>
      <c r="P109" s="140"/>
    </row>
    <row r="110" ht="15.75" customHeight="1">
      <c r="A110" s="140"/>
      <c r="B110" s="140"/>
      <c r="C110" s="237"/>
      <c r="D110" s="140"/>
      <c r="E110" s="140"/>
      <c r="F110" s="140"/>
      <c r="G110" s="140"/>
      <c r="H110" s="140"/>
      <c r="I110" s="140"/>
      <c r="J110" s="140"/>
      <c r="K110" s="140"/>
      <c r="L110" s="140"/>
      <c r="M110" s="140"/>
      <c r="N110" s="140"/>
      <c r="O110" s="140"/>
      <c r="P110" s="140"/>
    </row>
    <row r="111" ht="15.75" customHeight="1">
      <c r="A111" s="140"/>
      <c r="B111" s="140"/>
      <c r="C111" s="237"/>
      <c r="D111" s="140"/>
      <c r="E111" s="140"/>
      <c r="F111" s="140"/>
      <c r="G111" s="140"/>
      <c r="H111" s="140"/>
      <c r="I111" s="140"/>
      <c r="J111" s="140"/>
      <c r="K111" s="140"/>
      <c r="L111" s="140"/>
      <c r="M111" s="140"/>
      <c r="N111" s="140"/>
      <c r="O111" s="140"/>
      <c r="P111" s="140"/>
    </row>
    <row r="112" ht="15.75" customHeight="1">
      <c r="A112" s="140"/>
      <c r="B112" s="140"/>
      <c r="C112" s="237"/>
      <c r="D112" s="140"/>
      <c r="E112" s="140"/>
      <c r="F112" s="140"/>
      <c r="G112" s="140"/>
      <c r="H112" s="140"/>
      <c r="I112" s="140"/>
      <c r="J112" s="140"/>
      <c r="K112" s="140"/>
      <c r="L112" s="140"/>
      <c r="M112" s="140"/>
      <c r="N112" s="140"/>
      <c r="O112" s="140"/>
      <c r="P112" s="140"/>
    </row>
    <row r="113" ht="15.75" customHeight="1">
      <c r="A113" s="140"/>
      <c r="B113" s="140"/>
      <c r="C113" s="237"/>
      <c r="D113" s="140"/>
      <c r="E113" s="140"/>
      <c r="F113" s="140"/>
      <c r="G113" s="140"/>
      <c r="H113" s="140"/>
      <c r="I113" s="140"/>
      <c r="J113" s="140"/>
      <c r="K113" s="140"/>
      <c r="L113" s="140"/>
      <c r="M113" s="140"/>
      <c r="N113" s="140"/>
      <c r="O113" s="140"/>
      <c r="P113" s="140"/>
    </row>
    <row r="114" ht="15.75" customHeight="1">
      <c r="A114" s="140"/>
      <c r="B114" s="140"/>
      <c r="C114" s="237"/>
      <c r="D114" s="140"/>
      <c r="E114" s="140"/>
      <c r="F114" s="140"/>
      <c r="G114" s="140"/>
      <c r="H114" s="140"/>
      <c r="I114" s="140"/>
      <c r="J114" s="140"/>
      <c r="K114" s="140"/>
      <c r="L114" s="140"/>
      <c r="M114" s="140"/>
      <c r="N114" s="140"/>
      <c r="O114" s="140"/>
      <c r="P114" s="140"/>
    </row>
    <row r="115" ht="15.75" customHeight="1">
      <c r="A115" s="140"/>
      <c r="B115" s="140"/>
      <c r="C115" s="237"/>
      <c r="D115" s="140"/>
      <c r="E115" s="140"/>
      <c r="F115" s="140"/>
      <c r="G115" s="140"/>
      <c r="H115" s="140"/>
      <c r="I115" s="140"/>
      <c r="J115" s="140"/>
      <c r="K115" s="140"/>
      <c r="L115" s="140"/>
      <c r="M115" s="140"/>
      <c r="N115" s="140"/>
      <c r="O115" s="140"/>
      <c r="P115" s="140"/>
    </row>
    <row r="116" ht="15.75" customHeight="1">
      <c r="A116" s="140"/>
      <c r="B116" s="140"/>
      <c r="C116" s="237"/>
      <c r="D116" s="140"/>
      <c r="E116" s="140"/>
      <c r="F116" s="140"/>
      <c r="G116" s="140"/>
      <c r="H116" s="140"/>
      <c r="I116" s="140"/>
      <c r="J116" s="140"/>
      <c r="K116" s="140"/>
      <c r="L116" s="140"/>
      <c r="M116" s="140"/>
      <c r="N116" s="140"/>
      <c r="O116" s="140"/>
      <c r="P116" s="140"/>
    </row>
    <row r="117" ht="15.75" customHeight="1">
      <c r="A117" s="140"/>
      <c r="B117" s="140"/>
      <c r="C117" s="237"/>
      <c r="D117" s="140"/>
      <c r="E117" s="140"/>
      <c r="F117" s="140"/>
      <c r="G117" s="140"/>
      <c r="H117" s="140"/>
      <c r="I117" s="140"/>
      <c r="J117" s="140"/>
      <c r="K117" s="140"/>
      <c r="L117" s="140"/>
      <c r="M117" s="140"/>
      <c r="N117" s="140"/>
      <c r="O117" s="140"/>
      <c r="P117" s="140"/>
    </row>
    <row r="118" ht="15.75" customHeight="1">
      <c r="A118" s="140"/>
      <c r="B118" s="140"/>
      <c r="C118" s="237"/>
      <c r="D118" s="140"/>
      <c r="E118" s="140"/>
      <c r="F118" s="140"/>
      <c r="G118" s="140"/>
      <c r="H118" s="140"/>
      <c r="I118" s="140"/>
      <c r="J118" s="140"/>
      <c r="K118" s="140"/>
      <c r="L118" s="140"/>
      <c r="M118" s="140"/>
      <c r="N118" s="140"/>
      <c r="O118" s="140"/>
      <c r="P118" s="140"/>
    </row>
    <row r="119" ht="15.75" customHeight="1">
      <c r="A119" s="140"/>
      <c r="B119" s="140"/>
      <c r="C119" s="237"/>
      <c r="D119" s="140"/>
      <c r="E119" s="140"/>
      <c r="F119" s="140"/>
      <c r="G119" s="140"/>
      <c r="H119" s="140"/>
      <c r="I119" s="140"/>
      <c r="J119" s="140"/>
      <c r="K119" s="140"/>
      <c r="L119" s="140"/>
      <c r="M119" s="140"/>
      <c r="N119" s="140"/>
      <c r="O119" s="140"/>
      <c r="P119" s="140"/>
    </row>
    <row r="120" ht="15.75" customHeight="1">
      <c r="A120" s="140"/>
      <c r="B120" s="140"/>
      <c r="C120" s="237"/>
      <c r="D120" s="140"/>
      <c r="E120" s="140"/>
      <c r="F120" s="140"/>
      <c r="G120" s="140"/>
      <c r="H120" s="140"/>
      <c r="I120" s="140"/>
      <c r="J120" s="140"/>
      <c r="K120" s="140"/>
      <c r="L120" s="140"/>
      <c r="M120" s="140"/>
      <c r="N120" s="140"/>
      <c r="O120" s="140"/>
      <c r="P120" s="140"/>
    </row>
    <row r="121" ht="15.75" customHeight="1">
      <c r="A121" s="140"/>
      <c r="B121" s="140"/>
      <c r="C121" s="237"/>
      <c r="D121" s="140"/>
      <c r="E121" s="140"/>
      <c r="F121" s="140"/>
      <c r="G121" s="140"/>
      <c r="H121" s="140"/>
      <c r="I121" s="140"/>
      <c r="J121" s="140"/>
      <c r="K121" s="140"/>
      <c r="L121" s="140"/>
      <c r="M121" s="140"/>
      <c r="N121" s="140"/>
      <c r="O121" s="140"/>
      <c r="P121" s="140"/>
    </row>
    <row r="122" ht="15.75" customHeight="1">
      <c r="A122" s="140"/>
      <c r="B122" s="140"/>
      <c r="C122" s="237"/>
      <c r="D122" s="140"/>
      <c r="E122" s="140"/>
      <c r="F122" s="140"/>
      <c r="G122" s="140"/>
      <c r="H122" s="140"/>
      <c r="I122" s="140"/>
      <c r="J122" s="140"/>
      <c r="K122" s="140"/>
      <c r="L122" s="140"/>
      <c r="M122" s="140"/>
      <c r="N122" s="140"/>
      <c r="O122" s="140"/>
      <c r="P122" s="140"/>
    </row>
    <row r="123" ht="15.75" customHeight="1">
      <c r="A123" s="140"/>
      <c r="B123" s="140"/>
      <c r="C123" s="237"/>
      <c r="D123" s="140"/>
      <c r="E123" s="140"/>
      <c r="F123" s="140"/>
      <c r="G123" s="140"/>
      <c r="H123" s="140"/>
      <c r="I123" s="140"/>
      <c r="J123" s="140"/>
      <c r="K123" s="140"/>
      <c r="L123" s="140"/>
      <c r="M123" s="140"/>
      <c r="N123" s="140"/>
      <c r="O123" s="140"/>
      <c r="P123" s="140"/>
    </row>
    <row r="124" ht="15.75" customHeight="1">
      <c r="A124" s="140"/>
      <c r="B124" s="140"/>
      <c r="C124" s="237"/>
      <c r="D124" s="140"/>
      <c r="E124" s="140"/>
      <c r="F124" s="140"/>
      <c r="G124" s="140"/>
      <c r="H124" s="140"/>
      <c r="I124" s="140"/>
      <c r="J124" s="140"/>
      <c r="K124" s="140"/>
      <c r="L124" s="140"/>
      <c r="M124" s="140"/>
      <c r="N124" s="140"/>
      <c r="O124" s="140"/>
      <c r="P124" s="140"/>
    </row>
    <row r="125" ht="15.75" customHeight="1">
      <c r="A125" s="140"/>
      <c r="B125" s="140"/>
      <c r="C125" s="237"/>
      <c r="D125" s="140"/>
      <c r="E125" s="140"/>
      <c r="F125" s="140"/>
      <c r="G125" s="140"/>
      <c r="H125" s="140"/>
      <c r="I125" s="140"/>
      <c r="J125" s="140"/>
      <c r="K125" s="140"/>
      <c r="L125" s="140"/>
      <c r="M125" s="140"/>
      <c r="N125" s="140"/>
      <c r="O125" s="140"/>
      <c r="P125" s="140"/>
    </row>
    <row r="126" ht="15.75" customHeight="1">
      <c r="A126" s="140"/>
      <c r="B126" s="140"/>
      <c r="C126" s="237"/>
      <c r="D126" s="140"/>
      <c r="E126" s="140"/>
      <c r="F126" s="140"/>
      <c r="G126" s="140"/>
      <c r="H126" s="140"/>
      <c r="I126" s="140"/>
      <c r="J126" s="140"/>
      <c r="K126" s="140"/>
      <c r="L126" s="140"/>
      <c r="M126" s="140"/>
      <c r="N126" s="140"/>
      <c r="O126" s="140"/>
      <c r="P126" s="140"/>
    </row>
    <row r="127" ht="15.75" customHeight="1">
      <c r="A127" s="140"/>
      <c r="B127" s="140"/>
      <c r="C127" s="237"/>
      <c r="D127" s="140"/>
      <c r="E127" s="140"/>
      <c r="F127" s="140"/>
      <c r="G127" s="140"/>
      <c r="H127" s="140"/>
      <c r="I127" s="140"/>
      <c r="J127" s="140"/>
      <c r="K127" s="140"/>
      <c r="L127" s="140"/>
      <c r="M127" s="140"/>
      <c r="N127" s="140"/>
      <c r="O127" s="140"/>
      <c r="P127" s="140"/>
    </row>
    <row r="128" ht="15.75" customHeight="1">
      <c r="A128" s="140"/>
      <c r="B128" s="140"/>
      <c r="C128" s="237"/>
      <c r="D128" s="140"/>
      <c r="E128" s="140"/>
      <c r="F128" s="140"/>
      <c r="G128" s="140"/>
      <c r="H128" s="140"/>
      <c r="I128" s="140"/>
      <c r="J128" s="140"/>
      <c r="K128" s="140"/>
      <c r="L128" s="140"/>
      <c r="M128" s="140"/>
      <c r="N128" s="140"/>
      <c r="O128" s="140"/>
      <c r="P128" s="140"/>
    </row>
    <row r="129" ht="15.75" customHeight="1">
      <c r="A129" s="140"/>
      <c r="B129" s="140"/>
      <c r="C129" s="237"/>
      <c r="D129" s="140"/>
      <c r="E129" s="140"/>
      <c r="F129" s="140"/>
      <c r="G129" s="140"/>
      <c r="H129" s="140"/>
      <c r="I129" s="140"/>
      <c r="J129" s="140"/>
      <c r="K129" s="140"/>
      <c r="L129" s="140"/>
      <c r="M129" s="140"/>
      <c r="N129" s="140"/>
      <c r="O129" s="140"/>
      <c r="P129" s="140"/>
    </row>
    <row r="130" ht="15.75" customHeight="1">
      <c r="A130" s="140"/>
      <c r="B130" s="140"/>
      <c r="C130" s="237"/>
      <c r="D130" s="140"/>
      <c r="E130" s="140"/>
      <c r="F130" s="140"/>
      <c r="G130" s="140"/>
      <c r="H130" s="140"/>
      <c r="I130" s="140"/>
      <c r="J130" s="140"/>
      <c r="K130" s="140"/>
      <c r="L130" s="140"/>
      <c r="M130" s="140"/>
      <c r="N130" s="140"/>
      <c r="O130" s="140"/>
      <c r="P130" s="140"/>
    </row>
    <row r="131" ht="15.75" customHeight="1">
      <c r="A131" s="140"/>
      <c r="B131" s="140"/>
      <c r="C131" s="237"/>
      <c r="D131" s="140"/>
      <c r="E131" s="140"/>
      <c r="F131" s="140"/>
      <c r="G131" s="140"/>
      <c r="H131" s="140"/>
      <c r="I131" s="140"/>
      <c r="J131" s="140"/>
      <c r="K131" s="140"/>
      <c r="L131" s="140"/>
      <c r="M131" s="140"/>
      <c r="N131" s="140"/>
      <c r="O131" s="140"/>
      <c r="P131" s="140"/>
    </row>
    <row r="132" ht="15.75" customHeight="1">
      <c r="A132" s="140"/>
      <c r="B132" s="140"/>
      <c r="C132" s="237"/>
      <c r="D132" s="140"/>
      <c r="E132" s="140"/>
      <c r="F132" s="140"/>
      <c r="G132" s="140"/>
      <c r="H132" s="140"/>
      <c r="I132" s="140"/>
      <c r="J132" s="140"/>
      <c r="K132" s="140"/>
      <c r="L132" s="140"/>
      <c r="M132" s="140"/>
      <c r="N132" s="140"/>
      <c r="O132" s="140"/>
      <c r="P132" s="140"/>
    </row>
    <row r="133" ht="15.75" customHeight="1">
      <c r="A133" s="140"/>
      <c r="B133" s="140"/>
      <c r="C133" s="237"/>
      <c r="D133" s="140"/>
      <c r="E133" s="140"/>
      <c r="F133" s="140"/>
      <c r="G133" s="140"/>
      <c r="H133" s="140"/>
      <c r="I133" s="140"/>
      <c r="J133" s="140"/>
      <c r="K133" s="140"/>
      <c r="L133" s="140"/>
      <c r="M133" s="140"/>
      <c r="N133" s="140"/>
      <c r="O133" s="140"/>
      <c r="P133" s="140"/>
    </row>
    <row r="134" ht="15.75" customHeight="1">
      <c r="A134" s="140"/>
      <c r="B134" s="140"/>
      <c r="C134" s="237"/>
      <c r="D134" s="140"/>
      <c r="E134" s="140"/>
      <c r="F134" s="140"/>
      <c r="G134" s="140"/>
      <c r="H134" s="140"/>
      <c r="I134" s="140"/>
      <c r="J134" s="140"/>
      <c r="K134" s="140"/>
      <c r="L134" s="140"/>
      <c r="M134" s="140"/>
      <c r="N134" s="140"/>
      <c r="O134" s="140"/>
      <c r="P134" s="140"/>
    </row>
    <row r="135" ht="15.75" customHeight="1">
      <c r="A135" s="140"/>
      <c r="B135" s="140"/>
      <c r="C135" s="237"/>
      <c r="D135" s="140"/>
      <c r="E135" s="140"/>
      <c r="F135" s="140"/>
      <c r="G135" s="140"/>
      <c r="H135" s="140"/>
      <c r="I135" s="140"/>
      <c r="J135" s="140"/>
      <c r="K135" s="140"/>
      <c r="L135" s="140"/>
      <c r="M135" s="140"/>
      <c r="N135" s="140"/>
      <c r="O135" s="140"/>
      <c r="P135" s="140"/>
    </row>
    <row r="136" ht="15.75" customHeight="1">
      <c r="A136" s="140"/>
      <c r="B136" s="140"/>
      <c r="C136" s="237"/>
      <c r="D136" s="140"/>
      <c r="E136" s="140"/>
      <c r="F136" s="140"/>
      <c r="G136" s="140"/>
      <c r="H136" s="140"/>
      <c r="I136" s="140"/>
      <c r="J136" s="140"/>
      <c r="K136" s="140"/>
      <c r="L136" s="140"/>
      <c r="M136" s="140"/>
      <c r="N136" s="140"/>
      <c r="O136" s="140"/>
      <c r="P136" s="140"/>
    </row>
    <row r="137" ht="15.75" customHeight="1">
      <c r="A137" s="140"/>
      <c r="B137" s="140"/>
      <c r="C137" s="237"/>
      <c r="D137" s="140"/>
      <c r="E137" s="140"/>
      <c r="F137" s="140"/>
      <c r="G137" s="140"/>
      <c r="H137" s="140"/>
      <c r="I137" s="140"/>
      <c r="J137" s="140"/>
      <c r="K137" s="140"/>
      <c r="L137" s="140"/>
      <c r="M137" s="140"/>
      <c r="N137" s="140"/>
      <c r="O137" s="140"/>
      <c r="P137" s="140"/>
    </row>
    <row r="138" ht="15.75" customHeight="1">
      <c r="A138" s="140"/>
      <c r="B138" s="140"/>
      <c r="C138" s="237"/>
      <c r="D138" s="140"/>
      <c r="E138" s="140"/>
      <c r="F138" s="140"/>
      <c r="G138" s="140"/>
      <c r="H138" s="140"/>
      <c r="I138" s="140"/>
      <c r="J138" s="140"/>
      <c r="K138" s="140"/>
      <c r="L138" s="140"/>
      <c r="M138" s="140"/>
      <c r="N138" s="140"/>
      <c r="O138" s="140"/>
      <c r="P138" s="140"/>
    </row>
    <row r="139" ht="15.75" customHeight="1">
      <c r="A139" s="140"/>
      <c r="B139" s="140"/>
      <c r="C139" s="237"/>
      <c r="D139" s="140"/>
      <c r="E139" s="140"/>
      <c r="F139" s="140"/>
      <c r="G139" s="140"/>
      <c r="H139" s="140"/>
      <c r="I139" s="140"/>
      <c r="J139" s="140"/>
      <c r="K139" s="140"/>
      <c r="L139" s="140"/>
      <c r="M139" s="140"/>
      <c r="N139" s="140"/>
      <c r="O139" s="140"/>
      <c r="P139" s="140"/>
    </row>
    <row r="140" ht="15.75" customHeight="1">
      <c r="A140" s="140"/>
      <c r="B140" s="140"/>
      <c r="C140" s="237"/>
      <c r="D140" s="140"/>
      <c r="E140" s="140"/>
      <c r="F140" s="140"/>
      <c r="G140" s="140"/>
      <c r="H140" s="140"/>
      <c r="I140" s="140"/>
      <c r="J140" s="140"/>
      <c r="K140" s="140"/>
      <c r="L140" s="140"/>
      <c r="M140" s="140"/>
      <c r="N140" s="140"/>
      <c r="O140" s="140"/>
      <c r="P140" s="140"/>
    </row>
    <row r="141" ht="15.75" customHeight="1">
      <c r="A141" s="140"/>
      <c r="B141" s="140"/>
      <c r="C141" s="237"/>
      <c r="D141" s="140"/>
      <c r="E141" s="140"/>
      <c r="F141" s="140"/>
      <c r="G141" s="140"/>
      <c r="H141" s="140"/>
      <c r="I141" s="140"/>
      <c r="J141" s="140"/>
      <c r="K141" s="140"/>
      <c r="L141" s="140"/>
      <c r="M141" s="140"/>
      <c r="N141" s="140"/>
      <c r="O141" s="140"/>
      <c r="P141" s="140"/>
    </row>
    <row r="142" ht="15.75" customHeight="1">
      <c r="A142" s="140"/>
      <c r="B142" s="140"/>
      <c r="C142" s="237"/>
      <c r="D142" s="140"/>
      <c r="E142" s="140"/>
      <c r="F142" s="140"/>
      <c r="G142" s="140"/>
      <c r="H142" s="140"/>
      <c r="I142" s="140"/>
      <c r="J142" s="140"/>
      <c r="K142" s="140"/>
      <c r="L142" s="140"/>
      <c r="M142" s="140"/>
      <c r="N142" s="140"/>
      <c r="O142" s="140"/>
      <c r="P142" s="140"/>
    </row>
    <row r="143" ht="15.75" customHeight="1">
      <c r="A143" s="140"/>
      <c r="B143" s="140"/>
      <c r="C143" s="237"/>
      <c r="D143" s="140"/>
      <c r="E143" s="140"/>
      <c r="F143" s="140"/>
      <c r="G143" s="140"/>
      <c r="H143" s="140"/>
      <c r="I143" s="140"/>
      <c r="J143" s="140"/>
      <c r="K143" s="140"/>
      <c r="L143" s="140"/>
      <c r="M143" s="140"/>
      <c r="N143" s="140"/>
      <c r="O143" s="140"/>
      <c r="P143" s="140"/>
    </row>
    <row r="144" ht="15.75" customHeight="1">
      <c r="A144" s="140"/>
      <c r="B144" s="140"/>
      <c r="C144" s="237"/>
      <c r="D144" s="140"/>
      <c r="E144" s="140"/>
      <c r="F144" s="140"/>
      <c r="G144" s="140"/>
      <c r="H144" s="140"/>
      <c r="I144" s="140"/>
      <c r="J144" s="140"/>
      <c r="K144" s="140"/>
      <c r="L144" s="140"/>
      <c r="M144" s="140"/>
      <c r="N144" s="140"/>
      <c r="O144" s="140"/>
      <c r="P144" s="140"/>
    </row>
    <row r="145" ht="15.75" customHeight="1">
      <c r="A145" s="140"/>
      <c r="B145" s="140"/>
      <c r="C145" s="237"/>
      <c r="D145" s="140"/>
      <c r="E145" s="140"/>
      <c r="F145" s="140"/>
      <c r="G145" s="140"/>
      <c r="H145" s="140"/>
      <c r="I145" s="140"/>
      <c r="J145" s="140"/>
      <c r="K145" s="140"/>
      <c r="L145" s="140"/>
      <c r="M145" s="140"/>
      <c r="N145" s="140"/>
      <c r="O145" s="140"/>
      <c r="P145" s="140"/>
    </row>
    <row r="146" ht="15.75" customHeight="1">
      <c r="A146" s="140"/>
      <c r="B146" s="140"/>
      <c r="C146" s="237"/>
      <c r="D146" s="140"/>
      <c r="E146" s="140"/>
      <c r="F146" s="140"/>
      <c r="G146" s="140"/>
      <c r="H146" s="140"/>
      <c r="I146" s="140"/>
      <c r="J146" s="140"/>
      <c r="K146" s="140"/>
      <c r="L146" s="140"/>
      <c r="M146" s="140"/>
      <c r="N146" s="140"/>
      <c r="O146" s="140"/>
      <c r="P146" s="140"/>
    </row>
    <row r="147" ht="15.75" customHeight="1">
      <c r="A147" s="140"/>
      <c r="B147" s="140"/>
      <c r="C147" s="237"/>
      <c r="D147" s="140"/>
      <c r="E147" s="140"/>
      <c r="F147" s="140"/>
      <c r="G147" s="140"/>
      <c r="H147" s="140"/>
      <c r="I147" s="140"/>
      <c r="J147" s="140"/>
      <c r="K147" s="140"/>
      <c r="L147" s="140"/>
      <c r="M147" s="140"/>
      <c r="N147" s="140"/>
      <c r="O147" s="140"/>
      <c r="P147" s="140"/>
    </row>
    <row r="148" ht="15.75" customHeight="1">
      <c r="A148" s="140"/>
      <c r="B148" s="140"/>
      <c r="C148" s="237"/>
      <c r="D148" s="140"/>
      <c r="E148" s="140"/>
      <c r="F148" s="140"/>
      <c r="G148" s="140"/>
      <c r="H148" s="140"/>
      <c r="I148" s="140"/>
      <c r="J148" s="140"/>
      <c r="K148" s="140"/>
      <c r="L148" s="140"/>
      <c r="M148" s="140"/>
      <c r="N148" s="140"/>
      <c r="O148" s="140"/>
      <c r="P148" s="140"/>
    </row>
    <row r="149" ht="15.75" customHeight="1">
      <c r="A149" s="140"/>
      <c r="B149" s="140"/>
      <c r="C149" s="237"/>
      <c r="D149" s="140"/>
      <c r="E149" s="140"/>
      <c r="F149" s="140"/>
      <c r="G149" s="140"/>
      <c r="H149" s="140"/>
      <c r="I149" s="140"/>
      <c r="J149" s="140"/>
      <c r="K149" s="140"/>
      <c r="L149" s="140"/>
      <c r="M149" s="140"/>
      <c r="N149" s="140"/>
      <c r="O149" s="140"/>
      <c r="P149" s="140"/>
    </row>
    <row r="150" ht="15.75" customHeight="1">
      <c r="A150" s="140"/>
      <c r="B150" s="140"/>
      <c r="C150" s="237"/>
      <c r="D150" s="140"/>
      <c r="E150" s="140"/>
      <c r="F150" s="140"/>
      <c r="G150" s="140"/>
      <c r="H150" s="140"/>
      <c r="I150" s="140"/>
      <c r="J150" s="140"/>
      <c r="K150" s="140"/>
      <c r="L150" s="140"/>
      <c r="M150" s="140"/>
      <c r="N150" s="140"/>
      <c r="O150" s="140"/>
      <c r="P150" s="140"/>
    </row>
    <row r="151" ht="15.75" customHeight="1">
      <c r="A151" s="140"/>
      <c r="B151" s="140"/>
      <c r="C151" s="237"/>
      <c r="D151" s="140"/>
      <c r="E151" s="140"/>
      <c r="F151" s="140"/>
      <c r="G151" s="140"/>
      <c r="H151" s="140"/>
      <c r="I151" s="140"/>
      <c r="J151" s="140"/>
      <c r="K151" s="140"/>
      <c r="L151" s="140"/>
      <c r="M151" s="140"/>
      <c r="N151" s="140"/>
      <c r="O151" s="140"/>
      <c r="P151" s="140"/>
    </row>
    <row r="152" ht="15.75" customHeight="1">
      <c r="A152" s="140"/>
      <c r="B152" s="140"/>
      <c r="C152" s="237"/>
      <c r="D152" s="140"/>
      <c r="E152" s="140"/>
      <c r="F152" s="140"/>
      <c r="G152" s="140"/>
      <c r="H152" s="140"/>
      <c r="I152" s="140"/>
      <c r="J152" s="140"/>
      <c r="K152" s="140"/>
      <c r="L152" s="140"/>
      <c r="M152" s="140"/>
      <c r="N152" s="140"/>
      <c r="O152" s="140"/>
      <c r="P152" s="140"/>
    </row>
    <row r="153" ht="15.75" customHeight="1">
      <c r="A153" s="140"/>
      <c r="B153" s="140"/>
      <c r="C153" s="237"/>
      <c r="D153" s="140"/>
      <c r="E153" s="140"/>
      <c r="F153" s="140"/>
      <c r="G153" s="140"/>
      <c r="H153" s="140"/>
      <c r="I153" s="140"/>
      <c r="J153" s="140"/>
      <c r="K153" s="140"/>
      <c r="L153" s="140"/>
      <c r="M153" s="140"/>
      <c r="N153" s="140"/>
      <c r="O153" s="140"/>
      <c r="P153" s="140"/>
    </row>
    <row r="154" ht="15.75" customHeight="1">
      <c r="A154" s="140"/>
      <c r="B154" s="140"/>
      <c r="C154" s="237"/>
      <c r="D154" s="140"/>
      <c r="E154" s="140"/>
      <c r="F154" s="140"/>
      <c r="G154" s="140"/>
      <c r="H154" s="140"/>
      <c r="I154" s="140"/>
      <c r="J154" s="140"/>
      <c r="K154" s="140"/>
      <c r="L154" s="140"/>
      <c r="M154" s="140"/>
      <c r="N154" s="140"/>
      <c r="O154" s="140"/>
      <c r="P154" s="140"/>
    </row>
    <row r="155" ht="15.75" customHeight="1">
      <c r="A155" s="140"/>
      <c r="B155" s="140"/>
      <c r="C155" s="237"/>
      <c r="D155" s="140"/>
      <c r="E155" s="140"/>
      <c r="F155" s="140"/>
      <c r="G155" s="140"/>
      <c r="H155" s="140"/>
      <c r="I155" s="140"/>
      <c r="J155" s="140"/>
      <c r="K155" s="140"/>
      <c r="L155" s="140"/>
      <c r="M155" s="140"/>
      <c r="N155" s="140"/>
      <c r="O155" s="140"/>
      <c r="P155" s="140"/>
    </row>
    <row r="156" ht="15.75" customHeight="1">
      <c r="A156" s="140"/>
      <c r="B156" s="140"/>
      <c r="C156" s="237"/>
      <c r="D156" s="140"/>
      <c r="E156" s="140"/>
      <c r="F156" s="140"/>
      <c r="G156" s="140"/>
      <c r="H156" s="140"/>
      <c r="I156" s="140"/>
      <c r="J156" s="140"/>
      <c r="K156" s="140"/>
      <c r="L156" s="140"/>
      <c r="M156" s="140"/>
      <c r="N156" s="140"/>
      <c r="O156" s="140"/>
      <c r="P156" s="140"/>
    </row>
    <row r="157" ht="15.75" customHeight="1">
      <c r="A157" s="140"/>
      <c r="B157" s="140"/>
      <c r="C157" s="237"/>
      <c r="D157" s="140"/>
      <c r="E157" s="140"/>
      <c r="F157" s="140"/>
      <c r="G157" s="140"/>
      <c r="H157" s="140"/>
      <c r="I157" s="140"/>
      <c r="J157" s="140"/>
      <c r="K157" s="140"/>
      <c r="L157" s="140"/>
      <c r="M157" s="140"/>
      <c r="N157" s="140"/>
      <c r="O157" s="140"/>
      <c r="P157" s="140"/>
    </row>
    <row r="158" ht="15.75" customHeight="1">
      <c r="A158" s="140"/>
      <c r="B158" s="140"/>
      <c r="C158" s="237"/>
      <c r="D158" s="140"/>
      <c r="E158" s="140"/>
      <c r="F158" s="140"/>
      <c r="G158" s="140"/>
      <c r="H158" s="140"/>
      <c r="I158" s="140"/>
      <c r="J158" s="140"/>
      <c r="K158" s="140"/>
      <c r="L158" s="140"/>
      <c r="M158" s="140"/>
      <c r="N158" s="140"/>
      <c r="O158" s="140"/>
      <c r="P158" s="140"/>
    </row>
    <row r="159" ht="15.75" customHeight="1">
      <c r="A159" s="140"/>
      <c r="B159" s="140"/>
      <c r="C159" s="237"/>
      <c r="D159" s="140"/>
      <c r="E159" s="140"/>
      <c r="F159" s="140"/>
      <c r="G159" s="140"/>
      <c r="H159" s="140"/>
      <c r="I159" s="140"/>
      <c r="J159" s="140"/>
      <c r="K159" s="140"/>
      <c r="L159" s="140"/>
      <c r="M159" s="140"/>
      <c r="N159" s="140"/>
      <c r="O159" s="140"/>
      <c r="P159" s="140"/>
    </row>
    <row r="160" ht="15.75" customHeight="1">
      <c r="A160" s="140"/>
      <c r="B160" s="140"/>
      <c r="C160" s="237"/>
      <c r="D160" s="140"/>
      <c r="E160" s="140"/>
      <c r="F160" s="140"/>
      <c r="G160" s="140"/>
      <c r="H160" s="140"/>
      <c r="I160" s="140"/>
      <c r="J160" s="140"/>
      <c r="K160" s="140"/>
      <c r="L160" s="140"/>
      <c r="M160" s="140"/>
      <c r="N160" s="140"/>
      <c r="O160" s="140"/>
      <c r="P160" s="140"/>
    </row>
    <row r="161" ht="15.75" customHeight="1">
      <c r="A161" s="140"/>
      <c r="B161" s="140"/>
      <c r="C161" s="237"/>
      <c r="D161" s="140"/>
      <c r="E161" s="140"/>
      <c r="F161" s="140"/>
      <c r="G161" s="140"/>
      <c r="H161" s="140"/>
      <c r="I161" s="140"/>
      <c r="J161" s="140"/>
      <c r="K161" s="140"/>
      <c r="L161" s="140"/>
      <c r="M161" s="140"/>
      <c r="N161" s="140"/>
      <c r="O161" s="140"/>
      <c r="P161" s="140"/>
    </row>
    <row r="162" ht="15.75" customHeight="1">
      <c r="A162" s="140"/>
      <c r="B162" s="140"/>
      <c r="C162" s="237"/>
      <c r="D162" s="140"/>
      <c r="E162" s="140"/>
      <c r="F162" s="140"/>
      <c r="G162" s="140"/>
      <c r="H162" s="140"/>
      <c r="I162" s="140"/>
      <c r="J162" s="140"/>
      <c r="K162" s="140"/>
      <c r="L162" s="140"/>
      <c r="M162" s="140"/>
      <c r="N162" s="140"/>
      <c r="O162" s="140"/>
      <c r="P162" s="140"/>
    </row>
    <row r="163" ht="15.75" customHeight="1">
      <c r="A163" s="140"/>
      <c r="B163" s="140"/>
      <c r="C163" s="237"/>
      <c r="D163" s="140"/>
      <c r="E163" s="140"/>
      <c r="F163" s="140"/>
      <c r="G163" s="140"/>
      <c r="H163" s="140"/>
      <c r="I163" s="140"/>
      <c r="J163" s="140"/>
      <c r="K163" s="140"/>
      <c r="L163" s="140"/>
      <c r="M163" s="140"/>
      <c r="N163" s="140"/>
      <c r="O163" s="140"/>
      <c r="P163" s="140"/>
    </row>
    <row r="164" ht="15.75" customHeight="1">
      <c r="A164" s="140"/>
      <c r="B164" s="140"/>
      <c r="C164" s="237"/>
      <c r="D164" s="140"/>
      <c r="E164" s="140"/>
      <c r="F164" s="140"/>
      <c r="G164" s="140"/>
      <c r="H164" s="140"/>
      <c r="I164" s="140"/>
      <c r="J164" s="140"/>
      <c r="K164" s="140"/>
      <c r="L164" s="140"/>
      <c r="M164" s="140"/>
      <c r="N164" s="140"/>
      <c r="O164" s="140"/>
      <c r="P164" s="140"/>
    </row>
    <row r="165" ht="15.75" customHeight="1">
      <c r="A165" s="140"/>
      <c r="B165" s="140"/>
      <c r="C165" s="237"/>
      <c r="D165" s="140"/>
      <c r="E165" s="140"/>
      <c r="F165" s="140"/>
      <c r="G165" s="140"/>
      <c r="H165" s="140"/>
      <c r="I165" s="140"/>
      <c r="J165" s="140"/>
      <c r="K165" s="140"/>
      <c r="L165" s="140"/>
      <c r="M165" s="140"/>
      <c r="N165" s="140"/>
      <c r="O165" s="140"/>
      <c r="P165" s="140"/>
    </row>
    <row r="166" ht="15.75" customHeight="1">
      <c r="A166" s="140"/>
      <c r="B166" s="140"/>
      <c r="C166" s="237"/>
      <c r="D166" s="140"/>
      <c r="E166" s="140"/>
      <c r="F166" s="140"/>
      <c r="G166" s="140"/>
      <c r="H166" s="140"/>
      <c r="I166" s="140"/>
      <c r="J166" s="140"/>
      <c r="K166" s="140"/>
      <c r="L166" s="140"/>
      <c r="M166" s="140"/>
      <c r="N166" s="140"/>
      <c r="O166" s="140"/>
      <c r="P166" s="140"/>
    </row>
    <row r="167" ht="15.75" customHeight="1">
      <c r="A167" s="140"/>
      <c r="B167" s="140"/>
      <c r="C167" s="237"/>
      <c r="D167" s="140"/>
      <c r="E167" s="140"/>
      <c r="F167" s="140"/>
      <c r="G167" s="140"/>
      <c r="H167" s="140"/>
      <c r="I167" s="140"/>
      <c r="J167" s="140"/>
      <c r="K167" s="140"/>
      <c r="L167" s="140"/>
      <c r="M167" s="140"/>
      <c r="N167" s="140"/>
      <c r="O167" s="140"/>
      <c r="P167" s="140"/>
    </row>
    <row r="168" ht="15.75" customHeight="1">
      <c r="A168" s="140"/>
      <c r="B168" s="140"/>
      <c r="C168" s="237"/>
      <c r="D168" s="140"/>
      <c r="E168" s="140"/>
      <c r="F168" s="140"/>
      <c r="G168" s="140"/>
      <c r="H168" s="140"/>
      <c r="I168" s="140"/>
      <c r="J168" s="140"/>
      <c r="K168" s="140"/>
      <c r="L168" s="140"/>
      <c r="M168" s="140"/>
      <c r="N168" s="140"/>
      <c r="O168" s="140"/>
      <c r="P168" s="140"/>
    </row>
    <row r="169" ht="15.75" customHeight="1">
      <c r="A169" s="140"/>
      <c r="B169" s="140"/>
      <c r="C169" s="237"/>
      <c r="D169" s="140"/>
      <c r="E169" s="140"/>
      <c r="F169" s="140"/>
      <c r="G169" s="140"/>
      <c r="H169" s="140"/>
      <c r="I169" s="140"/>
      <c r="J169" s="140"/>
      <c r="K169" s="140"/>
      <c r="L169" s="140"/>
      <c r="M169" s="140"/>
      <c r="N169" s="140"/>
      <c r="O169" s="140"/>
      <c r="P169" s="140"/>
    </row>
    <row r="170" ht="15.75" customHeight="1">
      <c r="A170" s="140"/>
      <c r="B170" s="140"/>
      <c r="C170" s="237"/>
      <c r="D170" s="140"/>
      <c r="E170" s="140"/>
      <c r="F170" s="140"/>
      <c r="G170" s="140"/>
      <c r="H170" s="140"/>
      <c r="I170" s="140"/>
      <c r="J170" s="140"/>
      <c r="K170" s="140"/>
      <c r="L170" s="140"/>
      <c r="M170" s="140"/>
      <c r="N170" s="140"/>
      <c r="O170" s="140"/>
      <c r="P170" s="140"/>
    </row>
    <row r="171" ht="15.75" customHeight="1">
      <c r="A171" s="140"/>
      <c r="B171" s="140"/>
      <c r="C171" s="237"/>
      <c r="D171" s="140"/>
      <c r="E171" s="140"/>
      <c r="F171" s="140"/>
      <c r="G171" s="140"/>
      <c r="H171" s="140"/>
      <c r="I171" s="140"/>
      <c r="J171" s="140"/>
      <c r="K171" s="140"/>
      <c r="L171" s="140"/>
      <c r="M171" s="140"/>
      <c r="N171" s="140"/>
      <c r="O171" s="140"/>
      <c r="P171" s="140"/>
    </row>
    <row r="172" ht="15.75" customHeight="1">
      <c r="A172" s="140"/>
      <c r="B172" s="140"/>
      <c r="C172" s="237"/>
      <c r="D172" s="140"/>
      <c r="E172" s="140"/>
      <c r="F172" s="140"/>
      <c r="G172" s="140"/>
      <c r="H172" s="140"/>
      <c r="I172" s="140"/>
      <c r="J172" s="140"/>
      <c r="K172" s="140"/>
      <c r="L172" s="140"/>
      <c r="M172" s="140"/>
      <c r="N172" s="140"/>
      <c r="O172" s="140"/>
      <c r="P172" s="140"/>
    </row>
    <row r="173" ht="15.75" customHeight="1">
      <c r="A173" s="140"/>
      <c r="B173" s="140"/>
      <c r="C173" s="237"/>
      <c r="D173" s="140"/>
      <c r="E173" s="140"/>
      <c r="F173" s="140"/>
      <c r="G173" s="140"/>
      <c r="H173" s="140"/>
      <c r="I173" s="140"/>
      <c r="J173" s="140"/>
      <c r="K173" s="140"/>
      <c r="L173" s="140"/>
      <c r="M173" s="140"/>
      <c r="N173" s="140"/>
      <c r="O173" s="140"/>
      <c r="P173" s="140"/>
    </row>
    <row r="174" ht="15.75" customHeight="1">
      <c r="A174" s="140"/>
      <c r="B174" s="140"/>
      <c r="C174" s="237"/>
      <c r="D174" s="140"/>
      <c r="E174" s="140"/>
      <c r="F174" s="140"/>
      <c r="G174" s="140"/>
      <c r="H174" s="140"/>
      <c r="I174" s="140"/>
      <c r="J174" s="140"/>
      <c r="K174" s="140"/>
      <c r="L174" s="140"/>
      <c r="M174" s="140"/>
      <c r="N174" s="140"/>
      <c r="O174" s="140"/>
      <c r="P174" s="140"/>
    </row>
    <row r="175" ht="15.75" customHeight="1">
      <c r="A175" s="140"/>
      <c r="B175" s="140"/>
      <c r="C175" s="237"/>
      <c r="D175" s="140"/>
      <c r="E175" s="140"/>
      <c r="F175" s="140"/>
      <c r="G175" s="140"/>
      <c r="H175" s="140"/>
      <c r="I175" s="140"/>
      <c r="J175" s="140"/>
      <c r="K175" s="140"/>
      <c r="L175" s="140"/>
      <c r="M175" s="140"/>
      <c r="N175" s="140"/>
      <c r="O175" s="140"/>
      <c r="P175" s="140"/>
    </row>
    <row r="176" ht="15.75" customHeight="1">
      <c r="A176" s="140"/>
      <c r="B176" s="140"/>
      <c r="C176" s="237"/>
      <c r="D176" s="140"/>
      <c r="E176" s="140"/>
      <c r="F176" s="140"/>
      <c r="G176" s="140"/>
      <c r="H176" s="140"/>
      <c r="I176" s="140"/>
      <c r="J176" s="140"/>
      <c r="K176" s="140"/>
      <c r="L176" s="140"/>
      <c r="M176" s="140"/>
      <c r="N176" s="140"/>
      <c r="O176" s="140"/>
      <c r="P176" s="140"/>
    </row>
    <row r="177" ht="15.75" customHeight="1">
      <c r="A177" s="140"/>
      <c r="B177" s="140"/>
      <c r="C177" s="237"/>
      <c r="D177" s="140"/>
      <c r="E177" s="140"/>
      <c r="F177" s="140"/>
      <c r="G177" s="140"/>
      <c r="H177" s="140"/>
      <c r="I177" s="140"/>
      <c r="J177" s="140"/>
      <c r="K177" s="140"/>
      <c r="L177" s="140"/>
      <c r="M177" s="140"/>
      <c r="N177" s="140"/>
      <c r="O177" s="140"/>
      <c r="P177" s="140"/>
    </row>
    <row r="178" ht="15.75" customHeight="1">
      <c r="A178" s="140"/>
      <c r="B178" s="140"/>
      <c r="C178" s="237"/>
      <c r="D178" s="140"/>
      <c r="E178" s="140"/>
      <c r="F178" s="140"/>
      <c r="G178" s="140"/>
      <c r="H178" s="140"/>
      <c r="I178" s="140"/>
      <c r="J178" s="140"/>
      <c r="K178" s="140"/>
      <c r="L178" s="140"/>
      <c r="M178" s="140"/>
      <c r="N178" s="140"/>
      <c r="O178" s="140"/>
      <c r="P178" s="140"/>
    </row>
    <row r="179" ht="15.75" customHeight="1">
      <c r="A179" s="140"/>
      <c r="B179" s="140"/>
      <c r="C179" s="237"/>
      <c r="D179" s="140"/>
      <c r="E179" s="140"/>
      <c r="F179" s="140"/>
      <c r="G179" s="140"/>
      <c r="H179" s="140"/>
      <c r="I179" s="140"/>
      <c r="J179" s="140"/>
      <c r="K179" s="140"/>
      <c r="L179" s="140"/>
      <c r="M179" s="140"/>
      <c r="N179" s="140"/>
      <c r="O179" s="140"/>
      <c r="P179" s="140"/>
    </row>
    <row r="180" ht="15.75" customHeight="1">
      <c r="A180" s="140"/>
      <c r="B180" s="140"/>
      <c r="C180" s="237"/>
      <c r="D180" s="140"/>
      <c r="E180" s="140"/>
      <c r="F180" s="140"/>
      <c r="G180" s="140"/>
      <c r="H180" s="140"/>
      <c r="I180" s="140"/>
      <c r="J180" s="140"/>
      <c r="K180" s="140"/>
      <c r="L180" s="140"/>
      <c r="M180" s="140"/>
      <c r="N180" s="140"/>
      <c r="O180" s="140"/>
      <c r="P180" s="140"/>
    </row>
    <row r="181" ht="15.75" customHeight="1">
      <c r="A181" s="140"/>
      <c r="B181" s="140"/>
      <c r="C181" s="237"/>
      <c r="D181" s="140"/>
      <c r="E181" s="140"/>
      <c r="F181" s="140"/>
      <c r="G181" s="140"/>
      <c r="H181" s="140"/>
      <c r="I181" s="140"/>
      <c r="J181" s="140"/>
      <c r="K181" s="140"/>
      <c r="L181" s="140"/>
      <c r="M181" s="140"/>
      <c r="N181" s="140"/>
      <c r="O181" s="140"/>
      <c r="P181" s="140"/>
    </row>
    <row r="182" ht="15.75" customHeight="1">
      <c r="A182" s="140"/>
      <c r="B182" s="140"/>
      <c r="C182" s="237"/>
      <c r="D182" s="140"/>
      <c r="E182" s="140"/>
      <c r="F182" s="140"/>
      <c r="G182" s="140"/>
      <c r="H182" s="140"/>
      <c r="I182" s="140"/>
      <c r="J182" s="140"/>
      <c r="K182" s="140"/>
      <c r="L182" s="140"/>
      <c r="M182" s="140"/>
      <c r="N182" s="140"/>
      <c r="O182" s="140"/>
      <c r="P182" s="140"/>
    </row>
    <row r="183" ht="15.75" customHeight="1">
      <c r="A183" s="140"/>
      <c r="B183" s="140"/>
      <c r="C183" s="237"/>
      <c r="D183" s="140"/>
      <c r="E183" s="140"/>
      <c r="F183" s="140"/>
      <c r="G183" s="140"/>
      <c r="H183" s="140"/>
      <c r="I183" s="140"/>
      <c r="J183" s="140"/>
      <c r="K183" s="140"/>
      <c r="L183" s="140"/>
      <c r="M183" s="140"/>
      <c r="N183" s="140"/>
      <c r="O183" s="140"/>
      <c r="P183" s="140"/>
    </row>
    <row r="184" ht="15.75" customHeight="1">
      <c r="A184" s="140"/>
      <c r="B184" s="140"/>
      <c r="C184" s="237"/>
      <c r="D184" s="140"/>
      <c r="E184" s="140"/>
      <c r="F184" s="140"/>
      <c r="G184" s="140"/>
      <c r="H184" s="140"/>
      <c r="I184" s="140"/>
      <c r="J184" s="140"/>
      <c r="K184" s="140"/>
      <c r="L184" s="140"/>
      <c r="M184" s="140"/>
      <c r="N184" s="140"/>
      <c r="O184" s="140"/>
      <c r="P184" s="140"/>
    </row>
    <row r="185" ht="15.75" customHeight="1">
      <c r="A185" s="140"/>
      <c r="B185" s="140"/>
      <c r="C185" s="237"/>
      <c r="D185" s="140"/>
      <c r="E185" s="140"/>
      <c r="F185" s="140"/>
      <c r="G185" s="140"/>
      <c r="H185" s="140"/>
      <c r="I185" s="140"/>
      <c r="J185" s="140"/>
      <c r="K185" s="140"/>
      <c r="L185" s="140"/>
      <c r="M185" s="140"/>
      <c r="N185" s="140"/>
      <c r="O185" s="140"/>
      <c r="P185" s="140"/>
    </row>
    <row r="186" ht="15.75" customHeight="1">
      <c r="A186" s="140"/>
      <c r="B186" s="140"/>
      <c r="C186" s="237"/>
      <c r="D186" s="140"/>
      <c r="E186" s="140"/>
      <c r="F186" s="140"/>
      <c r="G186" s="140"/>
      <c r="H186" s="140"/>
      <c r="I186" s="140"/>
      <c r="J186" s="140"/>
      <c r="K186" s="140"/>
      <c r="L186" s="140"/>
      <c r="M186" s="140"/>
      <c r="N186" s="140"/>
      <c r="O186" s="140"/>
      <c r="P186" s="140"/>
    </row>
    <row r="187" ht="15.75" customHeight="1">
      <c r="A187" s="140"/>
      <c r="B187" s="140"/>
      <c r="C187" s="237"/>
      <c r="D187" s="140"/>
      <c r="E187" s="140"/>
      <c r="F187" s="140"/>
      <c r="G187" s="140"/>
      <c r="H187" s="140"/>
      <c r="I187" s="140"/>
      <c r="J187" s="140"/>
      <c r="K187" s="140"/>
      <c r="L187" s="140"/>
      <c r="M187" s="140"/>
      <c r="N187" s="140"/>
      <c r="O187" s="140"/>
      <c r="P187" s="140"/>
    </row>
    <row r="188" ht="15.75" customHeight="1">
      <c r="A188" s="140"/>
      <c r="B188" s="140"/>
      <c r="C188" s="237"/>
      <c r="D188" s="140"/>
      <c r="E188" s="140"/>
      <c r="F188" s="140"/>
      <c r="G188" s="140"/>
      <c r="H188" s="140"/>
      <c r="I188" s="140"/>
      <c r="J188" s="140"/>
      <c r="K188" s="140"/>
      <c r="L188" s="140"/>
      <c r="M188" s="140"/>
      <c r="N188" s="140"/>
      <c r="O188" s="140"/>
      <c r="P188" s="140"/>
    </row>
    <row r="189" ht="15.75" customHeight="1">
      <c r="A189" s="140"/>
      <c r="B189" s="140"/>
      <c r="C189" s="237"/>
      <c r="D189" s="140"/>
      <c r="E189" s="140"/>
      <c r="F189" s="140"/>
      <c r="G189" s="140"/>
      <c r="H189" s="140"/>
      <c r="I189" s="140"/>
      <c r="J189" s="140"/>
      <c r="K189" s="140"/>
      <c r="L189" s="140"/>
      <c r="M189" s="140"/>
      <c r="N189" s="140"/>
      <c r="O189" s="140"/>
      <c r="P189" s="140"/>
    </row>
    <row r="190" ht="15.75" customHeight="1">
      <c r="A190" s="140"/>
      <c r="B190" s="140"/>
      <c r="C190" s="237"/>
      <c r="D190" s="140"/>
      <c r="E190" s="140"/>
      <c r="F190" s="140"/>
      <c r="G190" s="140"/>
      <c r="H190" s="140"/>
      <c r="I190" s="140"/>
      <c r="J190" s="140"/>
      <c r="K190" s="140"/>
      <c r="L190" s="140"/>
      <c r="M190" s="140"/>
      <c r="N190" s="140"/>
      <c r="O190" s="140"/>
      <c r="P190" s="140"/>
    </row>
    <row r="191" ht="15.75" customHeight="1">
      <c r="A191" s="140"/>
      <c r="B191" s="140"/>
      <c r="C191" s="237"/>
      <c r="D191" s="140"/>
      <c r="E191" s="140"/>
      <c r="F191" s="140"/>
      <c r="G191" s="140"/>
      <c r="H191" s="140"/>
      <c r="I191" s="140"/>
      <c r="J191" s="140"/>
      <c r="K191" s="140"/>
      <c r="L191" s="140"/>
      <c r="M191" s="140"/>
      <c r="N191" s="140"/>
      <c r="O191" s="140"/>
      <c r="P191" s="140"/>
    </row>
    <row r="192" ht="15.75" customHeight="1">
      <c r="A192" s="140"/>
      <c r="B192" s="140"/>
      <c r="C192" s="237"/>
      <c r="D192" s="140"/>
      <c r="E192" s="140"/>
      <c r="F192" s="140"/>
      <c r="G192" s="140"/>
      <c r="H192" s="140"/>
      <c r="I192" s="140"/>
      <c r="J192" s="140"/>
      <c r="K192" s="140"/>
      <c r="L192" s="140"/>
      <c r="M192" s="140"/>
      <c r="N192" s="140"/>
      <c r="O192" s="140"/>
      <c r="P192" s="140"/>
    </row>
    <row r="193" ht="15.75" customHeight="1">
      <c r="A193" s="140"/>
      <c r="B193" s="140"/>
      <c r="C193" s="237"/>
      <c r="D193" s="140"/>
      <c r="E193" s="140"/>
      <c r="F193" s="140"/>
      <c r="G193" s="140"/>
      <c r="H193" s="140"/>
      <c r="I193" s="140"/>
      <c r="J193" s="140"/>
      <c r="K193" s="140"/>
      <c r="L193" s="140"/>
      <c r="M193" s="140"/>
      <c r="N193" s="140"/>
      <c r="O193" s="140"/>
      <c r="P193" s="140"/>
    </row>
    <row r="194" ht="15.75" customHeight="1">
      <c r="A194" s="140"/>
      <c r="B194" s="140"/>
      <c r="C194" s="237"/>
      <c r="D194" s="140"/>
      <c r="E194" s="140"/>
      <c r="F194" s="140"/>
      <c r="G194" s="140"/>
      <c r="H194" s="140"/>
      <c r="I194" s="140"/>
      <c r="J194" s="140"/>
      <c r="K194" s="140"/>
      <c r="L194" s="140"/>
      <c r="M194" s="140"/>
      <c r="N194" s="140"/>
      <c r="O194" s="140"/>
      <c r="P194" s="140"/>
    </row>
    <row r="195" ht="15.75" customHeight="1">
      <c r="A195" s="140"/>
      <c r="B195" s="140"/>
      <c r="C195" s="237"/>
      <c r="D195" s="140"/>
      <c r="E195" s="140"/>
      <c r="F195" s="140"/>
      <c r="G195" s="140"/>
      <c r="H195" s="140"/>
      <c r="I195" s="140"/>
      <c r="J195" s="140"/>
      <c r="K195" s="140"/>
      <c r="L195" s="140"/>
      <c r="M195" s="140"/>
      <c r="N195" s="140"/>
      <c r="O195" s="140"/>
      <c r="P195" s="140"/>
    </row>
    <row r="196" ht="15.75" customHeight="1">
      <c r="A196" s="140"/>
      <c r="B196" s="140"/>
      <c r="C196" s="237"/>
      <c r="D196" s="140"/>
      <c r="E196" s="140"/>
      <c r="F196" s="140"/>
      <c r="G196" s="140"/>
      <c r="H196" s="140"/>
      <c r="I196" s="140"/>
      <c r="J196" s="140"/>
      <c r="K196" s="140"/>
      <c r="L196" s="140"/>
      <c r="M196" s="140"/>
      <c r="N196" s="140"/>
      <c r="O196" s="140"/>
      <c r="P196" s="140"/>
    </row>
    <row r="197" ht="15.75" customHeight="1">
      <c r="A197" s="140"/>
      <c r="B197" s="140"/>
      <c r="C197" s="237"/>
      <c r="D197" s="140"/>
      <c r="E197" s="140"/>
      <c r="F197" s="140"/>
      <c r="G197" s="140"/>
      <c r="H197" s="140"/>
      <c r="I197" s="140"/>
      <c r="J197" s="140"/>
      <c r="K197" s="140"/>
      <c r="L197" s="140"/>
      <c r="M197" s="140"/>
      <c r="N197" s="140"/>
      <c r="O197" s="140"/>
      <c r="P197" s="140"/>
    </row>
    <row r="198" ht="15.75" customHeight="1">
      <c r="A198" s="140"/>
      <c r="B198" s="140"/>
      <c r="C198" s="237"/>
      <c r="D198" s="140"/>
      <c r="E198" s="140"/>
      <c r="F198" s="140"/>
      <c r="G198" s="140"/>
      <c r="H198" s="140"/>
      <c r="I198" s="140"/>
      <c r="J198" s="140"/>
      <c r="K198" s="140"/>
      <c r="L198" s="140"/>
      <c r="M198" s="140"/>
      <c r="N198" s="140"/>
      <c r="O198" s="140"/>
      <c r="P198" s="140"/>
    </row>
    <row r="199" ht="15.75" customHeight="1">
      <c r="A199" s="140"/>
      <c r="B199" s="140"/>
      <c r="C199" s="237"/>
      <c r="D199" s="140"/>
      <c r="E199" s="140"/>
      <c r="F199" s="140"/>
      <c r="G199" s="140"/>
      <c r="H199" s="140"/>
      <c r="I199" s="140"/>
      <c r="J199" s="140"/>
      <c r="K199" s="140"/>
      <c r="L199" s="140"/>
      <c r="M199" s="140"/>
      <c r="N199" s="140"/>
      <c r="O199" s="140"/>
      <c r="P199" s="140"/>
    </row>
    <row r="200" ht="15.75" customHeight="1">
      <c r="A200" s="140"/>
      <c r="B200" s="140"/>
      <c r="C200" s="237"/>
      <c r="D200" s="140"/>
      <c r="E200" s="140"/>
      <c r="F200" s="140"/>
      <c r="G200" s="140"/>
      <c r="H200" s="140"/>
      <c r="I200" s="140"/>
      <c r="J200" s="140"/>
      <c r="K200" s="140"/>
      <c r="L200" s="140"/>
      <c r="M200" s="140"/>
      <c r="N200" s="140"/>
      <c r="O200" s="140"/>
      <c r="P200" s="140"/>
    </row>
    <row r="201" ht="15.75" customHeight="1">
      <c r="A201" s="140"/>
      <c r="B201" s="140"/>
      <c r="C201" s="237"/>
      <c r="D201" s="140"/>
      <c r="E201" s="140"/>
      <c r="F201" s="140"/>
      <c r="G201" s="140"/>
      <c r="H201" s="140"/>
      <c r="I201" s="140"/>
      <c r="J201" s="140"/>
      <c r="K201" s="140"/>
      <c r="L201" s="140"/>
      <c r="M201" s="140"/>
      <c r="N201" s="140"/>
      <c r="O201" s="140"/>
      <c r="P201" s="140"/>
    </row>
    <row r="202" ht="15.75" customHeight="1">
      <c r="A202" s="140"/>
      <c r="B202" s="140"/>
      <c r="C202" s="237"/>
      <c r="D202" s="140"/>
      <c r="E202" s="140"/>
      <c r="F202" s="140"/>
      <c r="G202" s="140"/>
      <c r="H202" s="140"/>
      <c r="I202" s="140"/>
      <c r="J202" s="140"/>
      <c r="K202" s="140"/>
      <c r="L202" s="140"/>
      <c r="M202" s="140"/>
      <c r="N202" s="140"/>
      <c r="O202" s="140"/>
      <c r="P202" s="140"/>
    </row>
    <row r="203" ht="15.75" customHeight="1">
      <c r="A203" s="140"/>
      <c r="B203" s="140"/>
      <c r="C203" s="237"/>
      <c r="D203" s="140"/>
      <c r="E203" s="140"/>
      <c r="F203" s="140"/>
      <c r="G203" s="140"/>
      <c r="H203" s="140"/>
      <c r="I203" s="140"/>
      <c r="J203" s="140"/>
      <c r="K203" s="140"/>
      <c r="L203" s="140"/>
      <c r="M203" s="140"/>
      <c r="N203" s="140"/>
      <c r="O203" s="140"/>
      <c r="P203" s="140"/>
    </row>
    <row r="204" ht="15.75" customHeight="1">
      <c r="A204" s="140"/>
      <c r="B204" s="140"/>
      <c r="C204" s="237"/>
      <c r="D204" s="140"/>
      <c r="E204" s="140"/>
      <c r="F204" s="140"/>
      <c r="G204" s="140"/>
      <c r="H204" s="140"/>
      <c r="I204" s="140"/>
      <c r="J204" s="140"/>
      <c r="K204" s="140"/>
      <c r="L204" s="140"/>
      <c r="M204" s="140"/>
      <c r="N204" s="140"/>
      <c r="O204" s="140"/>
      <c r="P204" s="140"/>
    </row>
    <row r="205" ht="15.75" customHeight="1">
      <c r="A205" s="140"/>
      <c r="B205" s="140"/>
      <c r="C205" s="237"/>
      <c r="D205" s="140"/>
      <c r="E205" s="140"/>
      <c r="F205" s="140"/>
      <c r="G205" s="140"/>
      <c r="H205" s="140"/>
      <c r="I205" s="140"/>
      <c r="J205" s="140"/>
      <c r="K205" s="140"/>
      <c r="L205" s="140"/>
      <c r="M205" s="140"/>
      <c r="N205" s="140"/>
      <c r="O205" s="140"/>
      <c r="P205" s="140"/>
    </row>
    <row r="206" ht="15.75" customHeight="1">
      <c r="A206" s="140"/>
      <c r="B206" s="140"/>
      <c r="C206" s="237"/>
      <c r="D206" s="140"/>
      <c r="E206" s="140"/>
      <c r="F206" s="140"/>
      <c r="G206" s="140"/>
      <c r="H206" s="140"/>
      <c r="I206" s="140"/>
      <c r="J206" s="140"/>
      <c r="K206" s="140"/>
      <c r="L206" s="140"/>
      <c r="M206" s="140"/>
      <c r="N206" s="140"/>
      <c r="O206" s="140"/>
      <c r="P206" s="140"/>
    </row>
    <row r="207" ht="15.75" customHeight="1">
      <c r="A207" s="140"/>
      <c r="B207" s="140"/>
      <c r="C207" s="237"/>
      <c r="D207" s="140"/>
      <c r="E207" s="140"/>
      <c r="F207" s="140"/>
      <c r="G207" s="140"/>
      <c r="H207" s="140"/>
      <c r="I207" s="140"/>
      <c r="J207" s="140"/>
      <c r="K207" s="140"/>
      <c r="L207" s="140"/>
      <c r="M207" s="140"/>
      <c r="N207" s="140"/>
      <c r="O207" s="140"/>
      <c r="P207" s="140"/>
    </row>
    <row r="208" ht="15.75" customHeight="1">
      <c r="A208" s="140"/>
      <c r="B208" s="140"/>
      <c r="C208" s="237"/>
      <c r="D208" s="140"/>
      <c r="E208" s="140"/>
      <c r="F208" s="140"/>
      <c r="G208" s="140"/>
      <c r="H208" s="140"/>
      <c r="I208" s="140"/>
      <c r="J208" s="140"/>
      <c r="K208" s="140"/>
      <c r="L208" s="140"/>
      <c r="M208" s="140"/>
      <c r="N208" s="140"/>
      <c r="O208" s="140"/>
      <c r="P208" s="140"/>
    </row>
    <row r="209" ht="15.75" customHeight="1">
      <c r="A209" s="140"/>
      <c r="B209" s="140"/>
      <c r="C209" s="237"/>
      <c r="D209" s="140"/>
      <c r="E209" s="140"/>
      <c r="F209" s="140"/>
      <c r="G209" s="140"/>
      <c r="H209" s="140"/>
      <c r="I209" s="140"/>
      <c r="J209" s="140"/>
      <c r="K209" s="140"/>
      <c r="L209" s="140"/>
      <c r="M209" s="140"/>
      <c r="N209" s="140"/>
      <c r="O209" s="140"/>
      <c r="P209" s="140"/>
    </row>
    <row r="210" ht="15.75" customHeight="1">
      <c r="A210" s="140"/>
      <c r="B210" s="140"/>
      <c r="C210" s="237"/>
      <c r="D210" s="140"/>
      <c r="E210" s="140"/>
      <c r="F210" s="140"/>
      <c r="G210" s="140"/>
      <c r="H210" s="140"/>
      <c r="I210" s="140"/>
      <c r="J210" s="140"/>
      <c r="K210" s="140"/>
      <c r="L210" s="140"/>
      <c r="M210" s="140"/>
      <c r="N210" s="140"/>
      <c r="O210" s="140"/>
      <c r="P210" s="140"/>
    </row>
    <row r="211" ht="15.75" customHeight="1">
      <c r="A211" s="140"/>
      <c r="B211" s="140"/>
      <c r="C211" s="237"/>
      <c r="D211" s="140"/>
      <c r="E211" s="140"/>
      <c r="F211" s="140"/>
      <c r="G211" s="140"/>
      <c r="H211" s="140"/>
      <c r="I211" s="140"/>
      <c r="J211" s="140"/>
      <c r="K211" s="140"/>
      <c r="L211" s="140"/>
      <c r="M211" s="140"/>
      <c r="N211" s="140"/>
      <c r="O211" s="140"/>
      <c r="P211" s="140"/>
    </row>
    <row r="212" ht="15.75" customHeight="1">
      <c r="A212" s="140"/>
      <c r="B212" s="140"/>
      <c r="C212" s="237"/>
      <c r="D212" s="140"/>
      <c r="E212" s="140"/>
      <c r="F212" s="140"/>
      <c r="G212" s="140"/>
      <c r="H212" s="140"/>
      <c r="I212" s="140"/>
      <c r="J212" s="140"/>
      <c r="K212" s="140"/>
      <c r="L212" s="140"/>
      <c r="M212" s="140"/>
      <c r="N212" s="140"/>
      <c r="O212" s="140"/>
      <c r="P212" s="140"/>
    </row>
    <row r="213" ht="15.75" customHeight="1">
      <c r="A213" s="140"/>
      <c r="B213" s="140"/>
      <c r="C213" s="237"/>
      <c r="D213" s="140"/>
      <c r="E213" s="140"/>
      <c r="F213" s="140"/>
      <c r="G213" s="140"/>
      <c r="H213" s="140"/>
      <c r="I213" s="140"/>
      <c r="J213" s="140"/>
      <c r="K213" s="140"/>
      <c r="L213" s="140"/>
      <c r="M213" s="140"/>
      <c r="N213" s="140"/>
      <c r="O213" s="140"/>
      <c r="P213" s="140"/>
    </row>
    <row r="214" ht="15.75" customHeight="1">
      <c r="A214" s="140"/>
      <c r="B214" s="140"/>
      <c r="C214" s="237"/>
      <c r="D214" s="140"/>
      <c r="E214" s="140"/>
      <c r="F214" s="140"/>
      <c r="G214" s="140"/>
      <c r="H214" s="140"/>
      <c r="I214" s="140"/>
      <c r="J214" s="140"/>
      <c r="K214" s="140"/>
      <c r="L214" s="140"/>
      <c r="M214" s="140"/>
      <c r="N214" s="140"/>
      <c r="O214" s="140"/>
      <c r="P214" s="140"/>
    </row>
    <row r="215" ht="15.75" customHeight="1">
      <c r="A215" s="140"/>
      <c r="B215" s="140"/>
      <c r="C215" s="237"/>
      <c r="D215" s="140"/>
      <c r="E215" s="140"/>
      <c r="F215" s="140"/>
      <c r="G215" s="140"/>
      <c r="H215" s="140"/>
      <c r="I215" s="140"/>
      <c r="J215" s="140"/>
      <c r="K215" s="140"/>
      <c r="L215" s="140"/>
      <c r="M215" s="140"/>
      <c r="N215" s="140"/>
      <c r="O215" s="140"/>
      <c r="P215" s="140"/>
    </row>
    <row r="216" ht="15.75" customHeight="1">
      <c r="A216" s="140"/>
      <c r="B216" s="140"/>
      <c r="C216" s="237"/>
      <c r="D216" s="140"/>
      <c r="E216" s="140"/>
      <c r="F216" s="140"/>
      <c r="G216" s="140"/>
      <c r="H216" s="140"/>
      <c r="I216" s="140"/>
      <c r="J216" s="140"/>
      <c r="K216" s="140"/>
      <c r="L216" s="140"/>
      <c r="M216" s="140"/>
      <c r="N216" s="140"/>
      <c r="O216" s="140"/>
      <c r="P216" s="140"/>
    </row>
    <row r="217" ht="15.75" customHeight="1">
      <c r="A217" s="140"/>
      <c r="B217" s="140"/>
      <c r="C217" s="237"/>
      <c r="D217" s="140"/>
      <c r="E217" s="140"/>
      <c r="F217" s="140"/>
      <c r="G217" s="140"/>
      <c r="H217" s="140"/>
      <c r="I217" s="140"/>
      <c r="J217" s="140"/>
      <c r="K217" s="140"/>
      <c r="L217" s="140"/>
      <c r="M217" s="140"/>
      <c r="N217" s="140"/>
      <c r="O217" s="140"/>
      <c r="P217" s="140"/>
    </row>
    <row r="218" ht="15.75" customHeight="1">
      <c r="A218" s="140"/>
      <c r="B218" s="140"/>
      <c r="C218" s="237"/>
      <c r="D218" s="140"/>
      <c r="E218" s="140"/>
      <c r="F218" s="140"/>
      <c r="G218" s="140"/>
      <c r="H218" s="140"/>
      <c r="I218" s="140"/>
      <c r="J218" s="140"/>
      <c r="K218" s="140"/>
      <c r="L218" s="140"/>
      <c r="M218" s="140"/>
      <c r="N218" s="140"/>
      <c r="O218" s="140"/>
      <c r="P218" s="140"/>
    </row>
    <row r="219" ht="15.75" customHeight="1">
      <c r="A219" s="140"/>
      <c r="B219" s="140"/>
      <c r="C219" s="237"/>
      <c r="D219" s="140"/>
      <c r="E219" s="140"/>
      <c r="F219" s="140"/>
      <c r="G219" s="140"/>
      <c r="H219" s="140"/>
      <c r="I219" s="140"/>
      <c r="J219" s="140"/>
      <c r="K219" s="140"/>
      <c r="L219" s="140"/>
      <c r="M219" s="140"/>
      <c r="N219" s="140"/>
      <c r="O219" s="140"/>
      <c r="P219" s="140"/>
    </row>
    <row r="220" ht="15.75" customHeight="1">
      <c r="A220" s="140"/>
      <c r="B220" s="140"/>
      <c r="C220" s="237"/>
      <c r="D220" s="140"/>
      <c r="E220" s="140"/>
      <c r="F220" s="140"/>
      <c r="G220" s="140"/>
      <c r="H220" s="140"/>
      <c r="I220" s="140"/>
      <c r="J220" s="140"/>
      <c r="K220" s="140"/>
      <c r="L220" s="140"/>
      <c r="M220" s="140"/>
      <c r="N220" s="140"/>
      <c r="O220" s="140"/>
      <c r="P220" s="140"/>
    </row>
    <row r="221" ht="15.75" customHeight="1">
      <c r="C221" s="258"/>
    </row>
    <row r="222" ht="15.75" customHeight="1">
      <c r="C222" s="258"/>
    </row>
    <row r="223" ht="15.75" customHeight="1">
      <c r="C223" s="258"/>
    </row>
    <row r="224" ht="15.75" customHeight="1">
      <c r="C224" s="258"/>
    </row>
    <row r="225" ht="15.75" customHeight="1">
      <c r="C225" s="258"/>
    </row>
    <row r="226" ht="15.75" customHeight="1">
      <c r="C226" s="258"/>
    </row>
    <row r="227" ht="15.75" customHeight="1">
      <c r="C227" s="258"/>
    </row>
    <row r="228" ht="15.75" customHeight="1">
      <c r="C228" s="258"/>
    </row>
    <row r="229" ht="15.75" customHeight="1">
      <c r="C229" s="258"/>
    </row>
    <row r="230" ht="15.75" customHeight="1">
      <c r="C230" s="258"/>
    </row>
    <row r="231" ht="15.75" customHeight="1">
      <c r="C231" s="258"/>
    </row>
    <row r="232" ht="15.75" customHeight="1">
      <c r="C232" s="258"/>
    </row>
    <row r="233" ht="15.75" customHeight="1">
      <c r="C233" s="258"/>
    </row>
    <row r="234" ht="15.75" customHeight="1">
      <c r="C234" s="258"/>
    </row>
    <row r="235" ht="15.75" customHeight="1">
      <c r="C235" s="258"/>
    </row>
    <row r="236" ht="15.75" customHeight="1">
      <c r="C236" s="258"/>
    </row>
    <row r="237" ht="15.75" customHeight="1">
      <c r="C237" s="258"/>
    </row>
    <row r="238" ht="15.75" customHeight="1">
      <c r="C238" s="258"/>
    </row>
    <row r="239" ht="15.75" customHeight="1">
      <c r="C239" s="258"/>
    </row>
    <row r="240" ht="15.75" customHeight="1">
      <c r="C240" s="258"/>
    </row>
    <row r="241" ht="15.75" customHeight="1">
      <c r="C241" s="258"/>
    </row>
    <row r="242" ht="15.75" customHeight="1">
      <c r="C242" s="258"/>
    </row>
    <row r="243" ht="15.75" customHeight="1">
      <c r="C243" s="258"/>
    </row>
    <row r="244" ht="15.75" customHeight="1">
      <c r="C244" s="258"/>
    </row>
    <row r="245" ht="15.75" customHeight="1">
      <c r="C245" s="258"/>
    </row>
    <row r="246" ht="15.75" customHeight="1">
      <c r="C246" s="258"/>
    </row>
    <row r="247" ht="15.75" customHeight="1">
      <c r="C247" s="258"/>
    </row>
    <row r="248" ht="15.75" customHeight="1">
      <c r="C248" s="258"/>
    </row>
    <row r="249" ht="15.75" customHeight="1">
      <c r="C249" s="258"/>
    </row>
    <row r="250" ht="15.75" customHeight="1">
      <c r="C250" s="258"/>
    </row>
    <row r="251" ht="15.75" customHeight="1">
      <c r="C251" s="258"/>
    </row>
    <row r="252" ht="15.75" customHeight="1">
      <c r="C252" s="258"/>
    </row>
    <row r="253" ht="15.75" customHeight="1">
      <c r="C253" s="258"/>
    </row>
    <row r="254" ht="15.75" customHeight="1">
      <c r="C254" s="258"/>
    </row>
    <row r="255" ht="15.75" customHeight="1">
      <c r="C255" s="258"/>
    </row>
    <row r="256" ht="15.75" customHeight="1">
      <c r="C256" s="258"/>
    </row>
    <row r="257" ht="15.75" customHeight="1">
      <c r="C257" s="258"/>
    </row>
    <row r="258" ht="15.75" customHeight="1">
      <c r="C258" s="258"/>
    </row>
    <row r="259" ht="15.75" customHeight="1">
      <c r="C259" s="258"/>
    </row>
    <row r="260" ht="15.75" customHeight="1">
      <c r="C260" s="258"/>
    </row>
    <row r="261" ht="15.75" customHeight="1">
      <c r="C261" s="258"/>
    </row>
    <row r="262" ht="15.75" customHeight="1">
      <c r="C262" s="258"/>
    </row>
    <row r="263" ht="15.75" customHeight="1">
      <c r="C263" s="258"/>
    </row>
    <row r="264" ht="15.75" customHeight="1">
      <c r="C264" s="258"/>
    </row>
    <row r="265" ht="15.75" customHeight="1">
      <c r="C265" s="258"/>
    </row>
    <row r="266" ht="15.75" customHeight="1">
      <c r="C266" s="258"/>
    </row>
    <row r="267" ht="15.75" customHeight="1">
      <c r="C267" s="258"/>
    </row>
    <row r="268" ht="15.75" customHeight="1">
      <c r="C268" s="258"/>
    </row>
    <row r="269" ht="15.75" customHeight="1">
      <c r="C269" s="258"/>
    </row>
    <row r="270" ht="15.75" customHeight="1">
      <c r="C270" s="258"/>
    </row>
    <row r="271" ht="15.75" customHeight="1">
      <c r="C271" s="258"/>
    </row>
    <row r="272" ht="15.75" customHeight="1">
      <c r="C272" s="258"/>
    </row>
    <row r="273" ht="15.75" customHeight="1">
      <c r="C273" s="258"/>
    </row>
    <row r="274" ht="15.75" customHeight="1">
      <c r="C274" s="258"/>
    </row>
    <row r="275" ht="15.75" customHeight="1">
      <c r="C275" s="258"/>
    </row>
    <row r="276" ht="15.75" customHeight="1">
      <c r="C276" s="258"/>
    </row>
    <row r="277" ht="15.75" customHeight="1">
      <c r="C277" s="258"/>
    </row>
    <row r="278" ht="15.75" customHeight="1">
      <c r="C278" s="258"/>
    </row>
    <row r="279" ht="15.75" customHeight="1">
      <c r="C279" s="258"/>
    </row>
    <row r="280" ht="15.75" customHeight="1">
      <c r="C280" s="258"/>
    </row>
    <row r="281" ht="15.75" customHeight="1">
      <c r="C281" s="258"/>
    </row>
    <row r="282" ht="15.75" customHeight="1">
      <c r="C282" s="258"/>
    </row>
    <row r="283" ht="15.75" customHeight="1">
      <c r="C283" s="258"/>
    </row>
    <row r="284" ht="15.75" customHeight="1">
      <c r="C284" s="258"/>
    </row>
    <row r="285" ht="15.75" customHeight="1">
      <c r="C285" s="258"/>
    </row>
    <row r="286" ht="15.75" customHeight="1">
      <c r="C286" s="258"/>
    </row>
    <row r="287" ht="15.75" customHeight="1">
      <c r="C287" s="258"/>
    </row>
    <row r="288" ht="15.75" customHeight="1">
      <c r="C288" s="258"/>
    </row>
    <row r="289" ht="15.75" customHeight="1">
      <c r="C289" s="258"/>
    </row>
    <row r="290" ht="15.75" customHeight="1">
      <c r="C290" s="258"/>
    </row>
    <row r="291" ht="15.75" customHeight="1">
      <c r="C291" s="258"/>
    </row>
    <row r="292" ht="15.75" customHeight="1">
      <c r="C292" s="258"/>
    </row>
    <row r="293" ht="15.75" customHeight="1">
      <c r="C293" s="258"/>
    </row>
    <row r="294" ht="15.75" customHeight="1">
      <c r="C294" s="258"/>
    </row>
    <row r="295" ht="15.75" customHeight="1">
      <c r="C295" s="258"/>
    </row>
    <row r="296" ht="15.75" customHeight="1">
      <c r="C296" s="258"/>
    </row>
    <row r="297" ht="15.75" customHeight="1">
      <c r="C297" s="258"/>
    </row>
    <row r="298" ht="15.75" customHeight="1">
      <c r="C298" s="258"/>
    </row>
    <row r="299" ht="15.75" customHeight="1">
      <c r="C299" s="258"/>
    </row>
    <row r="300" ht="15.75" customHeight="1">
      <c r="C300" s="258"/>
    </row>
    <row r="301" ht="15.75" customHeight="1">
      <c r="C301" s="258"/>
    </row>
    <row r="302" ht="15.75" customHeight="1">
      <c r="C302" s="258"/>
    </row>
    <row r="303" ht="15.75" customHeight="1">
      <c r="C303" s="258"/>
    </row>
    <row r="304" ht="15.75" customHeight="1">
      <c r="C304" s="258"/>
    </row>
    <row r="305" ht="15.75" customHeight="1">
      <c r="C305" s="258"/>
    </row>
    <row r="306" ht="15.75" customHeight="1">
      <c r="C306" s="258"/>
    </row>
    <row r="307" ht="15.75" customHeight="1">
      <c r="C307" s="258"/>
    </row>
    <row r="308" ht="15.75" customHeight="1">
      <c r="C308" s="258"/>
    </row>
    <row r="309" ht="15.75" customHeight="1">
      <c r="C309" s="258"/>
    </row>
    <row r="310" ht="15.75" customHeight="1">
      <c r="C310" s="258"/>
    </row>
    <row r="311" ht="15.75" customHeight="1">
      <c r="C311" s="258"/>
    </row>
    <row r="312" ht="15.75" customHeight="1">
      <c r="C312" s="258"/>
    </row>
    <row r="313" ht="15.75" customHeight="1">
      <c r="C313" s="258"/>
    </row>
    <row r="314" ht="15.75" customHeight="1">
      <c r="C314" s="258"/>
    </row>
    <row r="315" ht="15.75" customHeight="1">
      <c r="C315" s="258"/>
    </row>
    <row r="316" ht="15.75" customHeight="1">
      <c r="C316" s="258"/>
    </row>
    <row r="317" ht="15.75" customHeight="1">
      <c r="C317" s="258"/>
    </row>
    <row r="318" ht="15.75" customHeight="1">
      <c r="C318" s="258"/>
    </row>
    <row r="319" ht="15.75" customHeight="1">
      <c r="C319" s="258"/>
    </row>
    <row r="320" ht="15.75" customHeight="1">
      <c r="C320" s="258"/>
    </row>
    <row r="321" ht="15.75" customHeight="1">
      <c r="C321" s="258"/>
    </row>
    <row r="322" ht="15.75" customHeight="1">
      <c r="C322" s="258"/>
    </row>
    <row r="323" ht="15.75" customHeight="1">
      <c r="C323" s="258"/>
    </row>
    <row r="324" ht="15.75" customHeight="1">
      <c r="C324" s="258"/>
    </row>
    <row r="325" ht="15.75" customHeight="1">
      <c r="C325" s="258"/>
    </row>
    <row r="326" ht="15.75" customHeight="1">
      <c r="C326" s="258"/>
    </row>
    <row r="327" ht="15.75" customHeight="1">
      <c r="C327" s="258"/>
    </row>
    <row r="328" ht="15.75" customHeight="1">
      <c r="C328" s="258"/>
    </row>
    <row r="329" ht="15.75" customHeight="1">
      <c r="C329" s="258"/>
    </row>
    <row r="330" ht="15.75" customHeight="1">
      <c r="C330" s="258"/>
    </row>
    <row r="331" ht="15.75" customHeight="1">
      <c r="C331" s="258"/>
    </row>
    <row r="332" ht="15.75" customHeight="1">
      <c r="C332" s="258"/>
    </row>
    <row r="333" ht="15.75" customHeight="1">
      <c r="C333" s="258"/>
    </row>
    <row r="334" ht="15.75" customHeight="1">
      <c r="C334" s="258"/>
    </row>
    <row r="335" ht="15.75" customHeight="1">
      <c r="C335" s="258"/>
    </row>
    <row r="336" ht="15.75" customHeight="1">
      <c r="C336" s="258"/>
    </row>
    <row r="337" ht="15.75" customHeight="1">
      <c r="C337" s="258"/>
    </row>
    <row r="338" ht="15.75" customHeight="1">
      <c r="C338" s="258"/>
    </row>
    <row r="339" ht="15.75" customHeight="1">
      <c r="C339" s="258"/>
    </row>
    <row r="340" ht="15.75" customHeight="1">
      <c r="C340" s="258"/>
    </row>
    <row r="341" ht="15.75" customHeight="1">
      <c r="C341" s="258"/>
    </row>
    <row r="342" ht="15.75" customHeight="1">
      <c r="C342" s="258"/>
    </row>
    <row r="343" ht="15.75" customHeight="1">
      <c r="C343" s="258"/>
    </row>
    <row r="344" ht="15.75" customHeight="1">
      <c r="C344" s="258"/>
    </row>
    <row r="345" ht="15.75" customHeight="1">
      <c r="C345" s="258"/>
    </row>
    <row r="346" ht="15.75" customHeight="1">
      <c r="C346" s="258"/>
    </row>
    <row r="347" ht="15.75" customHeight="1">
      <c r="C347" s="258"/>
    </row>
    <row r="348" ht="15.75" customHeight="1">
      <c r="C348" s="258"/>
    </row>
    <row r="349" ht="15.75" customHeight="1">
      <c r="C349" s="258"/>
    </row>
    <row r="350" ht="15.75" customHeight="1">
      <c r="C350" s="258"/>
    </row>
    <row r="351" ht="15.75" customHeight="1">
      <c r="C351" s="258"/>
    </row>
    <row r="352" ht="15.75" customHeight="1">
      <c r="C352" s="258"/>
    </row>
    <row r="353" ht="15.75" customHeight="1">
      <c r="C353" s="258"/>
    </row>
    <row r="354" ht="15.75" customHeight="1">
      <c r="C354" s="258"/>
    </row>
    <row r="355" ht="15.75" customHeight="1">
      <c r="C355" s="258"/>
    </row>
    <row r="356" ht="15.75" customHeight="1">
      <c r="C356" s="258"/>
    </row>
    <row r="357" ht="15.75" customHeight="1">
      <c r="C357" s="258"/>
    </row>
    <row r="358" ht="15.75" customHeight="1">
      <c r="C358" s="258"/>
    </row>
    <row r="359" ht="15.75" customHeight="1">
      <c r="C359" s="258"/>
    </row>
    <row r="360" ht="15.75" customHeight="1">
      <c r="C360" s="258"/>
    </row>
    <row r="361" ht="15.75" customHeight="1">
      <c r="C361" s="258"/>
    </row>
    <row r="362" ht="15.75" customHeight="1">
      <c r="C362" s="258"/>
    </row>
    <row r="363" ht="15.75" customHeight="1">
      <c r="C363" s="258"/>
    </row>
    <row r="364" ht="15.75" customHeight="1">
      <c r="C364" s="258"/>
    </row>
    <row r="365" ht="15.75" customHeight="1">
      <c r="C365" s="258"/>
    </row>
    <row r="366" ht="15.75" customHeight="1">
      <c r="C366" s="258"/>
    </row>
    <row r="367" ht="15.75" customHeight="1">
      <c r="C367" s="258"/>
    </row>
    <row r="368" ht="15.75" customHeight="1">
      <c r="C368" s="258"/>
    </row>
    <row r="369" ht="15.75" customHeight="1">
      <c r="C369" s="258"/>
    </row>
    <row r="370" ht="15.75" customHeight="1">
      <c r="C370" s="258"/>
    </row>
    <row r="371" ht="15.75" customHeight="1">
      <c r="C371" s="258"/>
    </row>
    <row r="372" ht="15.75" customHeight="1">
      <c r="C372" s="258"/>
    </row>
    <row r="373" ht="15.75" customHeight="1">
      <c r="C373" s="258"/>
    </row>
    <row r="374" ht="15.75" customHeight="1">
      <c r="C374" s="258"/>
    </row>
    <row r="375" ht="15.75" customHeight="1">
      <c r="C375" s="258"/>
    </row>
    <row r="376" ht="15.75" customHeight="1">
      <c r="C376" s="258"/>
    </row>
    <row r="377" ht="15.75" customHeight="1">
      <c r="C377" s="258"/>
    </row>
    <row r="378" ht="15.75" customHeight="1">
      <c r="C378" s="258"/>
    </row>
    <row r="379" ht="15.75" customHeight="1">
      <c r="C379" s="258"/>
    </row>
    <row r="380" ht="15.75" customHeight="1">
      <c r="C380" s="258"/>
    </row>
    <row r="381" ht="15.75" customHeight="1">
      <c r="C381" s="258"/>
    </row>
    <row r="382" ht="15.75" customHeight="1">
      <c r="C382" s="258"/>
    </row>
    <row r="383" ht="15.75" customHeight="1">
      <c r="C383" s="258"/>
    </row>
    <row r="384" ht="15.75" customHeight="1">
      <c r="C384" s="258"/>
    </row>
    <row r="385" ht="15.75" customHeight="1">
      <c r="C385" s="258"/>
    </row>
    <row r="386" ht="15.75" customHeight="1">
      <c r="C386" s="258"/>
    </row>
    <row r="387" ht="15.75" customHeight="1">
      <c r="C387" s="258"/>
    </row>
    <row r="388" ht="15.75" customHeight="1">
      <c r="C388" s="258"/>
    </row>
    <row r="389" ht="15.75" customHeight="1">
      <c r="C389" s="258"/>
    </row>
    <row r="390" ht="15.75" customHeight="1">
      <c r="C390" s="258"/>
    </row>
    <row r="391" ht="15.75" customHeight="1">
      <c r="C391" s="258"/>
    </row>
    <row r="392" ht="15.75" customHeight="1">
      <c r="C392" s="258"/>
    </row>
    <row r="393" ht="15.75" customHeight="1">
      <c r="C393" s="258"/>
    </row>
    <row r="394" ht="15.75" customHeight="1">
      <c r="C394" s="258"/>
    </row>
    <row r="395" ht="15.75" customHeight="1">
      <c r="C395" s="258"/>
    </row>
    <row r="396" ht="15.75" customHeight="1">
      <c r="C396" s="258"/>
    </row>
    <row r="397" ht="15.75" customHeight="1">
      <c r="C397" s="258"/>
    </row>
    <row r="398" ht="15.75" customHeight="1">
      <c r="C398" s="258"/>
    </row>
    <row r="399" ht="15.75" customHeight="1">
      <c r="C399" s="258"/>
    </row>
    <row r="400" ht="15.75" customHeight="1">
      <c r="C400" s="258"/>
    </row>
    <row r="401" ht="15.75" customHeight="1">
      <c r="C401" s="258"/>
    </row>
    <row r="402" ht="15.75" customHeight="1">
      <c r="C402" s="258"/>
    </row>
    <row r="403" ht="15.75" customHeight="1">
      <c r="C403" s="258"/>
    </row>
    <row r="404" ht="15.75" customHeight="1">
      <c r="C404" s="258"/>
    </row>
    <row r="405" ht="15.75" customHeight="1">
      <c r="C405" s="258"/>
    </row>
    <row r="406" ht="15.75" customHeight="1">
      <c r="C406" s="258"/>
    </row>
    <row r="407" ht="15.75" customHeight="1">
      <c r="C407" s="258"/>
    </row>
    <row r="408" ht="15.75" customHeight="1">
      <c r="C408" s="258"/>
    </row>
    <row r="409" ht="15.75" customHeight="1">
      <c r="C409" s="258"/>
    </row>
    <row r="410" ht="15.75" customHeight="1">
      <c r="C410" s="258"/>
    </row>
    <row r="411" ht="15.75" customHeight="1">
      <c r="C411" s="258"/>
    </row>
    <row r="412" ht="15.75" customHeight="1">
      <c r="C412" s="258"/>
    </row>
    <row r="413" ht="15.75" customHeight="1">
      <c r="C413" s="258"/>
    </row>
    <row r="414" ht="15.75" customHeight="1">
      <c r="C414" s="258"/>
    </row>
    <row r="415" ht="15.75" customHeight="1">
      <c r="C415" s="258"/>
    </row>
    <row r="416" ht="15.75" customHeight="1">
      <c r="C416" s="258"/>
    </row>
    <row r="417" ht="15.75" customHeight="1">
      <c r="C417" s="258"/>
    </row>
    <row r="418" ht="15.75" customHeight="1">
      <c r="C418" s="258"/>
    </row>
    <row r="419" ht="15.75" customHeight="1">
      <c r="C419" s="258"/>
    </row>
    <row r="420" ht="15.75" customHeight="1">
      <c r="C420" s="258"/>
    </row>
    <row r="421" ht="15.75" customHeight="1">
      <c r="C421" s="258"/>
    </row>
    <row r="422" ht="15.75" customHeight="1">
      <c r="C422" s="258"/>
    </row>
    <row r="423" ht="15.75" customHeight="1">
      <c r="C423" s="258"/>
    </row>
    <row r="424" ht="15.75" customHeight="1">
      <c r="C424" s="258"/>
    </row>
    <row r="425" ht="15.75" customHeight="1">
      <c r="C425" s="258"/>
    </row>
    <row r="426" ht="15.75" customHeight="1">
      <c r="C426" s="258"/>
    </row>
    <row r="427" ht="15.75" customHeight="1">
      <c r="C427" s="258"/>
    </row>
    <row r="428" ht="15.75" customHeight="1">
      <c r="C428" s="258"/>
    </row>
    <row r="429" ht="15.75" customHeight="1">
      <c r="C429" s="258"/>
    </row>
    <row r="430" ht="15.75" customHeight="1">
      <c r="C430" s="258"/>
    </row>
    <row r="431" ht="15.75" customHeight="1">
      <c r="C431" s="258"/>
    </row>
    <row r="432" ht="15.75" customHeight="1">
      <c r="C432" s="258"/>
    </row>
    <row r="433" ht="15.75" customHeight="1">
      <c r="C433" s="258"/>
    </row>
    <row r="434" ht="15.75" customHeight="1">
      <c r="C434" s="258"/>
    </row>
    <row r="435" ht="15.75" customHeight="1">
      <c r="C435" s="258"/>
    </row>
    <row r="436" ht="15.75" customHeight="1">
      <c r="C436" s="258"/>
    </row>
    <row r="437" ht="15.75" customHeight="1">
      <c r="C437" s="258"/>
    </row>
    <row r="438" ht="15.75" customHeight="1">
      <c r="C438" s="258"/>
    </row>
    <row r="439" ht="15.75" customHeight="1">
      <c r="C439" s="258"/>
    </row>
    <row r="440" ht="15.75" customHeight="1">
      <c r="C440" s="258"/>
    </row>
    <row r="441" ht="15.75" customHeight="1">
      <c r="C441" s="258"/>
    </row>
    <row r="442" ht="15.75" customHeight="1">
      <c r="C442" s="258"/>
    </row>
    <row r="443" ht="15.75" customHeight="1">
      <c r="C443" s="258"/>
    </row>
    <row r="444" ht="15.75" customHeight="1">
      <c r="C444" s="258"/>
    </row>
    <row r="445" ht="15.75" customHeight="1">
      <c r="C445" s="258"/>
    </row>
    <row r="446" ht="15.75" customHeight="1">
      <c r="C446" s="258"/>
    </row>
    <row r="447" ht="15.75" customHeight="1">
      <c r="C447" s="258"/>
    </row>
    <row r="448" ht="15.75" customHeight="1">
      <c r="C448" s="258"/>
    </row>
    <row r="449" ht="15.75" customHeight="1">
      <c r="C449" s="258"/>
    </row>
    <row r="450" ht="15.75" customHeight="1">
      <c r="C450" s="258"/>
    </row>
    <row r="451" ht="15.75" customHeight="1">
      <c r="C451" s="258"/>
    </row>
    <row r="452" ht="15.75" customHeight="1">
      <c r="C452" s="258"/>
    </row>
    <row r="453" ht="15.75" customHeight="1">
      <c r="C453" s="258"/>
    </row>
    <row r="454" ht="15.75" customHeight="1">
      <c r="C454" s="258"/>
    </row>
    <row r="455" ht="15.75" customHeight="1">
      <c r="C455" s="258"/>
    </row>
    <row r="456" ht="15.75" customHeight="1">
      <c r="C456" s="258"/>
    </row>
    <row r="457" ht="15.75" customHeight="1">
      <c r="C457" s="258"/>
    </row>
    <row r="458" ht="15.75" customHeight="1">
      <c r="C458" s="258"/>
    </row>
    <row r="459" ht="15.75" customHeight="1">
      <c r="C459" s="258"/>
    </row>
    <row r="460" ht="15.75" customHeight="1">
      <c r="C460" s="258"/>
    </row>
    <row r="461" ht="15.75" customHeight="1">
      <c r="C461" s="258"/>
    </row>
    <row r="462" ht="15.75" customHeight="1">
      <c r="C462" s="258"/>
    </row>
    <row r="463" ht="15.75" customHeight="1">
      <c r="C463" s="258"/>
    </row>
    <row r="464" ht="15.75" customHeight="1">
      <c r="C464" s="258"/>
    </row>
    <row r="465" ht="15.75" customHeight="1">
      <c r="C465" s="258"/>
    </row>
    <row r="466" ht="15.75" customHeight="1">
      <c r="C466" s="258"/>
    </row>
    <row r="467" ht="15.75" customHeight="1">
      <c r="C467" s="258"/>
    </row>
    <row r="468" ht="15.75" customHeight="1">
      <c r="C468" s="258"/>
    </row>
    <row r="469" ht="15.75" customHeight="1">
      <c r="C469" s="258"/>
    </row>
    <row r="470" ht="15.75" customHeight="1">
      <c r="C470" s="258"/>
    </row>
    <row r="471" ht="15.75" customHeight="1">
      <c r="C471" s="258"/>
    </row>
    <row r="472" ht="15.75" customHeight="1">
      <c r="C472" s="258"/>
    </row>
    <row r="473" ht="15.75" customHeight="1">
      <c r="C473" s="258"/>
    </row>
    <row r="474" ht="15.75" customHeight="1">
      <c r="C474" s="258"/>
    </row>
    <row r="475" ht="15.75" customHeight="1">
      <c r="C475" s="258"/>
    </row>
    <row r="476" ht="15.75" customHeight="1">
      <c r="C476" s="258"/>
    </row>
    <row r="477" ht="15.75" customHeight="1">
      <c r="C477" s="258"/>
    </row>
    <row r="478" ht="15.75" customHeight="1">
      <c r="C478" s="258"/>
    </row>
    <row r="479" ht="15.75" customHeight="1">
      <c r="C479" s="258"/>
    </row>
    <row r="480" ht="15.75" customHeight="1">
      <c r="C480" s="258"/>
    </row>
    <row r="481" ht="15.75" customHeight="1">
      <c r="C481" s="258"/>
    </row>
    <row r="482" ht="15.75" customHeight="1">
      <c r="C482" s="258"/>
    </row>
    <row r="483" ht="15.75" customHeight="1">
      <c r="C483" s="258"/>
    </row>
    <row r="484" ht="15.75" customHeight="1">
      <c r="C484" s="258"/>
    </row>
    <row r="485" ht="15.75" customHeight="1">
      <c r="C485" s="258"/>
    </row>
    <row r="486" ht="15.75" customHeight="1">
      <c r="C486" s="258"/>
    </row>
    <row r="487" ht="15.75" customHeight="1">
      <c r="C487" s="258"/>
    </row>
    <row r="488" ht="15.75" customHeight="1">
      <c r="C488" s="258"/>
    </row>
    <row r="489" ht="15.75" customHeight="1">
      <c r="C489" s="258"/>
    </row>
    <row r="490" ht="15.75" customHeight="1">
      <c r="C490" s="258"/>
    </row>
    <row r="491" ht="15.75" customHeight="1">
      <c r="C491" s="258"/>
    </row>
    <row r="492" ht="15.75" customHeight="1">
      <c r="C492" s="258"/>
    </row>
    <row r="493" ht="15.75" customHeight="1">
      <c r="C493" s="258"/>
    </row>
    <row r="494" ht="15.75" customHeight="1">
      <c r="C494" s="258"/>
    </row>
    <row r="495" ht="15.75" customHeight="1">
      <c r="C495" s="258"/>
    </row>
    <row r="496" ht="15.75" customHeight="1">
      <c r="C496" s="258"/>
    </row>
    <row r="497" ht="15.75" customHeight="1">
      <c r="C497" s="258"/>
    </row>
    <row r="498" ht="15.75" customHeight="1">
      <c r="C498" s="258"/>
    </row>
    <row r="499" ht="15.75" customHeight="1">
      <c r="C499" s="258"/>
    </row>
    <row r="500" ht="15.75" customHeight="1">
      <c r="C500" s="258"/>
    </row>
    <row r="501" ht="15.75" customHeight="1">
      <c r="C501" s="258"/>
    </row>
    <row r="502" ht="15.75" customHeight="1">
      <c r="C502" s="258"/>
    </row>
    <row r="503" ht="15.75" customHeight="1">
      <c r="C503" s="258"/>
    </row>
    <row r="504" ht="15.75" customHeight="1">
      <c r="C504" s="258"/>
    </row>
    <row r="505" ht="15.75" customHeight="1">
      <c r="C505" s="258"/>
    </row>
    <row r="506" ht="15.75" customHeight="1">
      <c r="C506" s="258"/>
    </row>
    <row r="507" ht="15.75" customHeight="1">
      <c r="C507" s="258"/>
    </row>
    <row r="508" ht="15.75" customHeight="1">
      <c r="C508" s="258"/>
    </row>
    <row r="509" ht="15.75" customHeight="1">
      <c r="C509" s="258"/>
    </row>
    <row r="510" ht="15.75" customHeight="1">
      <c r="C510" s="258"/>
    </row>
    <row r="511" ht="15.75" customHeight="1">
      <c r="C511" s="258"/>
    </row>
    <row r="512" ht="15.75" customHeight="1">
      <c r="C512" s="258"/>
    </row>
    <row r="513" ht="15.75" customHeight="1">
      <c r="C513" s="258"/>
    </row>
    <row r="514" ht="15.75" customHeight="1">
      <c r="C514" s="258"/>
    </row>
    <row r="515" ht="15.75" customHeight="1">
      <c r="C515" s="258"/>
    </row>
    <row r="516" ht="15.75" customHeight="1">
      <c r="C516" s="258"/>
    </row>
    <row r="517" ht="15.75" customHeight="1">
      <c r="C517" s="258"/>
    </row>
    <row r="518" ht="15.75" customHeight="1">
      <c r="C518" s="258"/>
    </row>
    <row r="519" ht="15.75" customHeight="1">
      <c r="C519" s="258"/>
    </row>
    <row r="520" ht="15.75" customHeight="1">
      <c r="C520" s="258"/>
    </row>
    <row r="521" ht="15.75" customHeight="1">
      <c r="C521" s="258"/>
    </row>
    <row r="522" ht="15.75" customHeight="1">
      <c r="C522" s="258"/>
    </row>
    <row r="523" ht="15.75" customHeight="1">
      <c r="C523" s="258"/>
    </row>
    <row r="524" ht="15.75" customHeight="1">
      <c r="C524" s="258"/>
    </row>
    <row r="525" ht="15.75" customHeight="1">
      <c r="C525" s="258"/>
    </row>
    <row r="526" ht="15.75" customHeight="1">
      <c r="C526" s="258"/>
    </row>
    <row r="527" ht="15.75" customHeight="1">
      <c r="C527" s="258"/>
    </row>
    <row r="528" ht="15.75" customHeight="1">
      <c r="C528" s="258"/>
    </row>
    <row r="529" ht="15.75" customHeight="1">
      <c r="C529" s="258"/>
    </row>
    <row r="530" ht="15.75" customHeight="1">
      <c r="C530" s="258"/>
    </row>
    <row r="531" ht="15.75" customHeight="1">
      <c r="C531" s="258"/>
    </row>
    <row r="532" ht="15.75" customHeight="1">
      <c r="C532" s="258"/>
    </row>
    <row r="533" ht="15.75" customHeight="1">
      <c r="C533" s="258"/>
    </row>
    <row r="534" ht="15.75" customHeight="1">
      <c r="C534" s="258"/>
    </row>
    <row r="535" ht="15.75" customHeight="1">
      <c r="C535" s="258"/>
    </row>
    <row r="536" ht="15.75" customHeight="1">
      <c r="C536" s="258"/>
    </row>
    <row r="537" ht="15.75" customHeight="1">
      <c r="C537" s="258"/>
    </row>
    <row r="538" ht="15.75" customHeight="1">
      <c r="C538" s="258"/>
    </row>
    <row r="539" ht="15.75" customHeight="1">
      <c r="C539" s="258"/>
    </row>
    <row r="540" ht="15.75" customHeight="1">
      <c r="C540" s="258"/>
    </row>
    <row r="541" ht="15.75" customHeight="1">
      <c r="C541" s="258"/>
    </row>
    <row r="542" ht="15.75" customHeight="1">
      <c r="C542" s="258"/>
    </row>
    <row r="543" ht="15.75" customHeight="1">
      <c r="C543" s="258"/>
    </row>
    <row r="544" ht="15.75" customHeight="1">
      <c r="C544" s="258"/>
    </row>
    <row r="545" ht="15.75" customHeight="1">
      <c r="C545" s="258"/>
    </row>
    <row r="546" ht="15.75" customHeight="1">
      <c r="C546" s="258"/>
    </row>
    <row r="547" ht="15.75" customHeight="1">
      <c r="C547" s="258"/>
    </row>
    <row r="548" ht="15.75" customHeight="1">
      <c r="C548" s="258"/>
    </row>
    <row r="549" ht="15.75" customHeight="1">
      <c r="C549" s="258"/>
    </row>
    <row r="550" ht="15.75" customHeight="1">
      <c r="C550" s="258"/>
    </row>
    <row r="551" ht="15.75" customHeight="1">
      <c r="C551" s="258"/>
    </row>
    <row r="552" ht="15.75" customHeight="1">
      <c r="C552" s="258"/>
    </row>
    <row r="553" ht="15.75" customHeight="1">
      <c r="C553" s="258"/>
    </row>
    <row r="554" ht="15.75" customHeight="1">
      <c r="C554" s="258"/>
    </row>
    <row r="555" ht="15.75" customHeight="1">
      <c r="C555" s="258"/>
    </row>
    <row r="556" ht="15.75" customHeight="1">
      <c r="C556" s="258"/>
    </row>
    <row r="557" ht="15.75" customHeight="1">
      <c r="C557" s="258"/>
    </row>
    <row r="558" ht="15.75" customHeight="1">
      <c r="C558" s="258"/>
    </row>
    <row r="559" ht="15.75" customHeight="1">
      <c r="C559" s="258"/>
    </row>
    <row r="560" ht="15.75" customHeight="1">
      <c r="C560" s="258"/>
    </row>
    <row r="561" ht="15.75" customHeight="1">
      <c r="C561" s="258"/>
    </row>
    <row r="562" ht="15.75" customHeight="1">
      <c r="C562" s="258"/>
    </row>
    <row r="563" ht="15.75" customHeight="1">
      <c r="C563" s="258"/>
    </row>
    <row r="564" ht="15.75" customHeight="1">
      <c r="C564" s="258"/>
    </row>
    <row r="565" ht="15.75" customHeight="1">
      <c r="C565" s="258"/>
    </row>
    <row r="566" ht="15.75" customHeight="1">
      <c r="C566" s="258"/>
    </row>
    <row r="567" ht="15.75" customHeight="1">
      <c r="C567" s="258"/>
    </row>
    <row r="568" ht="15.75" customHeight="1">
      <c r="C568" s="258"/>
    </row>
    <row r="569" ht="15.75" customHeight="1">
      <c r="C569" s="258"/>
    </row>
    <row r="570" ht="15.75" customHeight="1">
      <c r="C570" s="258"/>
    </row>
    <row r="571" ht="15.75" customHeight="1">
      <c r="C571" s="258"/>
    </row>
    <row r="572" ht="15.75" customHeight="1">
      <c r="C572" s="258"/>
    </row>
    <row r="573" ht="15.75" customHeight="1">
      <c r="C573" s="258"/>
    </row>
    <row r="574" ht="15.75" customHeight="1">
      <c r="C574" s="258"/>
    </row>
    <row r="575" ht="15.75" customHeight="1">
      <c r="C575" s="258"/>
    </row>
    <row r="576" ht="15.75" customHeight="1">
      <c r="C576" s="258"/>
    </row>
    <row r="577" ht="15.75" customHeight="1">
      <c r="C577" s="258"/>
    </row>
    <row r="578" ht="15.75" customHeight="1">
      <c r="C578" s="258"/>
    </row>
    <row r="579" ht="15.75" customHeight="1">
      <c r="C579" s="258"/>
    </row>
    <row r="580" ht="15.75" customHeight="1">
      <c r="C580" s="258"/>
    </row>
    <row r="581" ht="15.75" customHeight="1">
      <c r="C581" s="258"/>
    </row>
    <row r="582" ht="15.75" customHeight="1">
      <c r="C582" s="258"/>
    </row>
    <row r="583" ht="15.75" customHeight="1">
      <c r="C583" s="258"/>
    </row>
    <row r="584" ht="15.75" customHeight="1">
      <c r="C584" s="258"/>
    </row>
    <row r="585" ht="15.75" customHeight="1">
      <c r="C585" s="258"/>
    </row>
    <row r="586" ht="15.75" customHeight="1">
      <c r="C586" s="258"/>
    </row>
    <row r="587" ht="15.75" customHeight="1">
      <c r="C587" s="258"/>
    </row>
    <row r="588" ht="15.75" customHeight="1">
      <c r="C588" s="258"/>
    </row>
    <row r="589" ht="15.75" customHeight="1">
      <c r="C589" s="258"/>
    </row>
    <row r="590" ht="15.75" customHeight="1">
      <c r="C590" s="258"/>
    </row>
    <row r="591" ht="15.75" customHeight="1">
      <c r="C591" s="258"/>
    </row>
    <row r="592" ht="15.75" customHeight="1">
      <c r="C592" s="258"/>
    </row>
    <row r="593" ht="15.75" customHeight="1">
      <c r="C593" s="258"/>
    </row>
    <row r="594" ht="15.75" customHeight="1">
      <c r="C594" s="258"/>
    </row>
    <row r="595" ht="15.75" customHeight="1">
      <c r="C595" s="258"/>
    </row>
    <row r="596" ht="15.75" customHeight="1">
      <c r="C596" s="258"/>
    </row>
    <row r="597" ht="15.75" customHeight="1">
      <c r="C597" s="258"/>
    </row>
    <row r="598" ht="15.75" customHeight="1">
      <c r="C598" s="258"/>
    </row>
    <row r="599" ht="15.75" customHeight="1">
      <c r="C599" s="258"/>
    </row>
    <row r="600" ht="15.75" customHeight="1">
      <c r="C600" s="258"/>
    </row>
    <row r="601" ht="15.75" customHeight="1">
      <c r="C601" s="258"/>
    </row>
    <row r="602" ht="15.75" customHeight="1">
      <c r="C602" s="258"/>
    </row>
    <row r="603" ht="15.75" customHeight="1">
      <c r="C603" s="258"/>
    </row>
    <row r="604" ht="15.75" customHeight="1">
      <c r="C604" s="258"/>
    </row>
    <row r="605" ht="15.75" customHeight="1">
      <c r="C605" s="258"/>
    </row>
    <row r="606" ht="15.75" customHeight="1">
      <c r="C606" s="258"/>
    </row>
    <row r="607" ht="15.75" customHeight="1">
      <c r="C607" s="258"/>
    </row>
    <row r="608" ht="15.75" customHeight="1">
      <c r="C608" s="258"/>
    </row>
    <row r="609" ht="15.75" customHeight="1">
      <c r="C609" s="258"/>
    </row>
    <row r="610" ht="15.75" customHeight="1">
      <c r="C610" s="258"/>
    </row>
    <row r="611" ht="15.75" customHeight="1">
      <c r="C611" s="258"/>
    </row>
    <row r="612" ht="15.75" customHeight="1">
      <c r="C612" s="258"/>
    </row>
    <row r="613" ht="15.75" customHeight="1">
      <c r="C613" s="258"/>
    </row>
    <row r="614" ht="15.75" customHeight="1">
      <c r="C614" s="258"/>
    </row>
    <row r="615" ht="15.75" customHeight="1">
      <c r="C615" s="258"/>
    </row>
    <row r="616" ht="15.75" customHeight="1">
      <c r="C616" s="258"/>
    </row>
    <row r="617" ht="15.75" customHeight="1">
      <c r="C617" s="258"/>
    </row>
    <row r="618" ht="15.75" customHeight="1">
      <c r="C618" s="258"/>
    </row>
    <row r="619" ht="15.75" customHeight="1">
      <c r="C619" s="258"/>
    </row>
    <row r="620" ht="15.75" customHeight="1">
      <c r="C620" s="258"/>
    </row>
    <row r="621" ht="15.75" customHeight="1">
      <c r="C621" s="258"/>
    </row>
    <row r="622" ht="15.75" customHeight="1">
      <c r="C622" s="258"/>
    </row>
    <row r="623" ht="15.75" customHeight="1">
      <c r="C623" s="258"/>
    </row>
    <row r="624" ht="15.75" customHeight="1">
      <c r="C624" s="258"/>
    </row>
    <row r="625" ht="15.75" customHeight="1">
      <c r="C625" s="258"/>
    </row>
    <row r="626" ht="15.75" customHeight="1">
      <c r="C626" s="258"/>
    </row>
    <row r="627" ht="15.75" customHeight="1">
      <c r="C627" s="258"/>
    </row>
    <row r="628" ht="15.75" customHeight="1">
      <c r="C628" s="258"/>
    </row>
    <row r="629" ht="15.75" customHeight="1">
      <c r="C629" s="258"/>
    </row>
    <row r="630" ht="15.75" customHeight="1">
      <c r="C630" s="258"/>
    </row>
    <row r="631" ht="15.75" customHeight="1">
      <c r="C631" s="258"/>
    </row>
    <row r="632" ht="15.75" customHeight="1">
      <c r="C632" s="258"/>
    </row>
    <row r="633" ht="15.75" customHeight="1">
      <c r="C633" s="258"/>
    </row>
    <row r="634" ht="15.75" customHeight="1">
      <c r="C634" s="258"/>
    </row>
    <row r="635" ht="15.75" customHeight="1">
      <c r="C635" s="258"/>
    </row>
    <row r="636" ht="15.75" customHeight="1">
      <c r="C636" s="258"/>
    </row>
    <row r="637" ht="15.75" customHeight="1">
      <c r="C637" s="258"/>
    </row>
    <row r="638" ht="15.75" customHeight="1">
      <c r="C638" s="258"/>
    </row>
    <row r="639" ht="15.75" customHeight="1">
      <c r="C639" s="258"/>
    </row>
    <row r="640" ht="15.75" customHeight="1">
      <c r="C640" s="258"/>
    </row>
    <row r="641" ht="15.75" customHeight="1">
      <c r="C641" s="258"/>
    </row>
    <row r="642" ht="15.75" customHeight="1">
      <c r="C642" s="258"/>
    </row>
    <row r="643" ht="15.75" customHeight="1">
      <c r="C643" s="258"/>
    </row>
    <row r="644" ht="15.75" customHeight="1">
      <c r="C644" s="258"/>
    </row>
    <row r="645" ht="15.75" customHeight="1">
      <c r="C645" s="258"/>
    </row>
    <row r="646" ht="15.75" customHeight="1">
      <c r="C646" s="258"/>
    </row>
    <row r="647" ht="15.75" customHeight="1">
      <c r="C647" s="258"/>
    </row>
    <row r="648" ht="15.75" customHeight="1">
      <c r="C648" s="258"/>
    </row>
    <row r="649" ht="15.75" customHeight="1">
      <c r="C649" s="258"/>
    </row>
    <row r="650" ht="15.75" customHeight="1">
      <c r="C650" s="258"/>
    </row>
    <row r="651" ht="15.75" customHeight="1">
      <c r="C651" s="258"/>
    </row>
    <row r="652" ht="15.75" customHeight="1">
      <c r="C652" s="258"/>
    </row>
    <row r="653" ht="15.75" customHeight="1">
      <c r="C653" s="258"/>
    </row>
    <row r="654" ht="15.75" customHeight="1">
      <c r="C654" s="258"/>
    </row>
    <row r="655" ht="15.75" customHeight="1">
      <c r="C655" s="258"/>
    </row>
    <row r="656" ht="15.75" customHeight="1">
      <c r="C656" s="258"/>
    </row>
    <row r="657" ht="15.75" customHeight="1">
      <c r="C657" s="258"/>
    </row>
    <row r="658" ht="15.75" customHeight="1">
      <c r="C658" s="258"/>
    </row>
    <row r="659" ht="15.75" customHeight="1">
      <c r="C659" s="258"/>
    </row>
    <row r="660" ht="15.75" customHeight="1">
      <c r="C660" s="258"/>
    </row>
    <row r="661" ht="15.75" customHeight="1">
      <c r="C661" s="258"/>
    </row>
    <row r="662" ht="15.75" customHeight="1">
      <c r="C662" s="258"/>
    </row>
    <row r="663" ht="15.75" customHeight="1">
      <c r="C663" s="258"/>
    </row>
    <row r="664" ht="15.75" customHeight="1">
      <c r="C664" s="258"/>
    </row>
    <row r="665" ht="15.75" customHeight="1">
      <c r="C665" s="258"/>
    </row>
    <row r="666" ht="15.75" customHeight="1">
      <c r="C666" s="258"/>
    </row>
    <row r="667" ht="15.75" customHeight="1">
      <c r="C667" s="258"/>
    </row>
    <row r="668" ht="15.75" customHeight="1">
      <c r="C668" s="258"/>
    </row>
    <row r="669" ht="15.75" customHeight="1">
      <c r="C669" s="258"/>
    </row>
    <row r="670" ht="15.75" customHeight="1">
      <c r="C670" s="258"/>
    </row>
    <row r="671" ht="15.75" customHeight="1">
      <c r="C671" s="258"/>
    </row>
    <row r="672" ht="15.75" customHeight="1">
      <c r="C672" s="258"/>
    </row>
    <row r="673" ht="15.75" customHeight="1">
      <c r="C673" s="258"/>
    </row>
    <row r="674" ht="15.75" customHeight="1">
      <c r="C674" s="258"/>
    </row>
    <row r="675" ht="15.75" customHeight="1">
      <c r="C675" s="258"/>
    </row>
    <row r="676" ht="15.75" customHeight="1">
      <c r="C676" s="258"/>
    </row>
    <row r="677" ht="15.75" customHeight="1">
      <c r="C677" s="258"/>
    </row>
    <row r="678" ht="15.75" customHeight="1">
      <c r="C678" s="258"/>
    </row>
    <row r="679" ht="15.75" customHeight="1">
      <c r="C679" s="258"/>
    </row>
    <row r="680" ht="15.75" customHeight="1">
      <c r="C680" s="258"/>
    </row>
    <row r="681" ht="15.75" customHeight="1">
      <c r="C681" s="258"/>
    </row>
    <row r="682" ht="15.75" customHeight="1">
      <c r="C682" s="258"/>
    </row>
    <row r="683" ht="15.75" customHeight="1">
      <c r="C683" s="258"/>
    </row>
    <row r="684" ht="15.75" customHeight="1">
      <c r="C684" s="258"/>
    </row>
    <row r="685" ht="15.75" customHeight="1">
      <c r="C685" s="258"/>
    </row>
    <row r="686" ht="15.75" customHeight="1">
      <c r="C686" s="258"/>
    </row>
    <row r="687" ht="15.75" customHeight="1">
      <c r="C687" s="258"/>
    </row>
    <row r="688" ht="15.75" customHeight="1">
      <c r="C688" s="258"/>
    </row>
    <row r="689" ht="15.75" customHeight="1">
      <c r="C689" s="258"/>
    </row>
    <row r="690" ht="15.75" customHeight="1">
      <c r="C690" s="258"/>
    </row>
    <row r="691" ht="15.75" customHeight="1">
      <c r="C691" s="258"/>
    </row>
    <row r="692" ht="15.75" customHeight="1">
      <c r="C692" s="258"/>
    </row>
    <row r="693" ht="15.75" customHeight="1">
      <c r="C693" s="258"/>
    </row>
    <row r="694" ht="15.75" customHeight="1">
      <c r="C694" s="258"/>
    </row>
    <row r="695" ht="15.75" customHeight="1">
      <c r="C695" s="258"/>
    </row>
    <row r="696" ht="15.75" customHeight="1">
      <c r="C696" s="258"/>
    </row>
    <row r="697" ht="15.75" customHeight="1">
      <c r="C697" s="258"/>
    </row>
    <row r="698" ht="15.75" customHeight="1">
      <c r="C698" s="258"/>
    </row>
    <row r="699" ht="15.75" customHeight="1">
      <c r="C699" s="258"/>
    </row>
    <row r="700" ht="15.75" customHeight="1">
      <c r="C700" s="258"/>
    </row>
    <row r="701" ht="15.75" customHeight="1">
      <c r="C701" s="258"/>
    </row>
    <row r="702" ht="15.75" customHeight="1">
      <c r="C702" s="258"/>
    </row>
    <row r="703" ht="15.75" customHeight="1">
      <c r="C703" s="258"/>
    </row>
    <row r="704" ht="15.75" customHeight="1">
      <c r="C704" s="258"/>
    </row>
    <row r="705" ht="15.75" customHeight="1">
      <c r="C705" s="258"/>
    </row>
    <row r="706" ht="15.75" customHeight="1">
      <c r="C706" s="258"/>
    </row>
    <row r="707" ht="15.75" customHeight="1">
      <c r="C707" s="258"/>
    </row>
    <row r="708" ht="15.75" customHeight="1">
      <c r="C708" s="258"/>
    </row>
    <row r="709" ht="15.75" customHeight="1">
      <c r="C709" s="258"/>
    </row>
    <row r="710" ht="15.75" customHeight="1">
      <c r="C710" s="258"/>
    </row>
    <row r="711" ht="15.75" customHeight="1">
      <c r="C711" s="258"/>
    </row>
    <row r="712" ht="15.75" customHeight="1">
      <c r="C712" s="258"/>
    </row>
    <row r="713" ht="15.75" customHeight="1">
      <c r="C713" s="258"/>
    </row>
    <row r="714" ht="15.75" customHeight="1">
      <c r="C714" s="258"/>
    </row>
    <row r="715" ht="15.75" customHeight="1">
      <c r="C715" s="258"/>
    </row>
    <row r="716" ht="15.75" customHeight="1">
      <c r="C716" s="258"/>
    </row>
    <row r="717" ht="15.75" customHeight="1">
      <c r="C717" s="258"/>
    </row>
    <row r="718" ht="15.75" customHeight="1">
      <c r="C718" s="258"/>
    </row>
    <row r="719" ht="15.75" customHeight="1">
      <c r="C719" s="258"/>
    </row>
    <row r="720" ht="15.75" customHeight="1">
      <c r="C720" s="258"/>
    </row>
    <row r="721" ht="15.75" customHeight="1">
      <c r="C721" s="258"/>
    </row>
    <row r="722" ht="15.75" customHeight="1">
      <c r="C722" s="258"/>
    </row>
    <row r="723" ht="15.75" customHeight="1">
      <c r="C723" s="258"/>
    </row>
    <row r="724" ht="15.75" customHeight="1">
      <c r="C724" s="258"/>
    </row>
    <row r="725" ht="15.75" customHeight="1">
      <c r="C725" s="258"/>
    </row>
    <row r="726" ht="15.75" customHeight="1">
      <c r="C726" s="258"/>
    </row>
    <row r="727" ht="15.75" customHeight="1">
      <c r="C727" s="258"/>
    </row>
    <row r="728" ht="15.75" customHeight="1">
      <c r="C728" s="258"/>
    </row>
    <row r="729" ht="15.75" customHeight="1">
      <c r="C729" s="258"/>
    </row>
    <row r="730" ht="15.75" customHeight="1">
      <c r="C730" s="258"/>
    </row>
    <row r="731" ht="15.75" customHeight="1">
      <c r="C731" s="258"/>
    </row>
    <row r="732" ht="15.75" customHeight="1">
      <c r="C732" s="258"/>
    </row>
    <row r="733" ht="15.75" customHeight="1">
      <c r="C733" s="258"/>
    </row>
    <row r="734" ht="15.75" customHeight="1">
      <c r="C734" s="258"/>
    </row>
    <row r="735" ht="15.75" customHeight="1">
      <c r="C735" s="258"/>
    </row>
    <row r="736" ht="15.75" customHeight="1">
      <c r="C736" s="258"/>
    </row>
    <row r="737" ht="15.75" customHeight="1">
      <c r="C737" s="258"/>
    </row>
    <row r="738" ht="15.75" customHeight="1">
      <c r="C738" s="258"/>
    </row>
    <row r="739" ht="15.75" customHeight="1">
      <c r="C739" s="258"/>
    </row>
    <row r="740" ht="15.75" customHeight="1">
      <c r="C740" s="258"/>
    </row>
    <row r="741" ht="15.75" customHeight="1">
      <c r="C741" s="258"/>
    </row>
    <row r="742" ht="15.75" customHeight="1">
      <c r="C742" s="258"/>
    </row>
    <row r="743" ht="15.75" customHeight="1">
      <c r="C743" s="258"/>
    </row>
    <row r="744" ht="15.75" customHeight="1">
      <c r="C744" s="258"/>
    </row>
    <row r="745" ht="15.75" customHeight="1">
      <c r="C745" s="258"/>
    </row>
    <row r="746" ht="15.75" customHeight="1">
      <c r="C746" s="258"/>
    </row>
    <row r="747" ht="15.75" customHeight="1">
      <c r="C747" s="258"/>
    </row>
    <row r="748" ht="15.75" customHeight="1">
      <c r="C748" s="258"/>
    </row>
    <row r="749" ht="15.75" customHeight="1">
      <c r="C749" s="258"/>
    </row>
    <row r="750" ht="15.75" customHeight="1">
      <c r="C750" s="258"/>
    </row>
    <row r="751" ht="15.75" customHeight="1">
      <c r="C751" s="258"/>
    </row>
    <row r="752" ht="15.75" customHeight="1">
      <c r="C752" s="258"/>
    </row>
    <row r="753" ht="15.75" customHeight="1">
      <c r="C753" s="258"/>
    </row>
    <row r="754" ht="15.75" customHeight="1">
      <c r="C754" s="258"/>
    </row>
    <row r="755" ht="15.75" customHeight="1">
      <c r="C755" s="258"/>
    </row>
    <row r="756" ht="15.75" customHeight="1">
      <c r="C756" s="258"/>
    </row>
    <row r="757" ht="15.75" customHeight="1">
      <c r="C757" s="258"/>
    </row>
    <row r="758" ht="15.75" customHeight="1">
      <c r="C758" s="258"/>
    </row>
    <row r="759" ht="15.75" customHeight="1">
      <c r="C759" s="258"/>
    </row>
    <row r="760" ht="15.75" customHeight="1">
      <c r="C760" s="258"/>
    </row>
    <row r="761" ht="15.75" customHeight="1">
      <c r="C761" s="258"/>
    </row>
    <row r="762" ht="15.75" customHeight="1">
      <c r="C762" s="258"/>
    </row>
    <row r="763" ht="15.75" customHeight="1">
      <c r="C763" s="258"/>
    </row>
    <row r="764" ht="15.75" customHeight="1">
      <c r="C764" s="258"/>
    </row>
    <row r="765" ht="15.75" customHeight="1">
      <c r="C765" s="258"/>
    </row>
    <row r="766" ht="15.75" customHeight="1">
      <c r="C766" s="258"/>
    </row>
    <row r="767" ht="15.75" customHeight="1">
      <c r="C767" s="258"/>
    </row>
    <row r="768" ht="15.75" customHeight="1">
      <c r="C768" s="258"/>
    </row>
    <row r="769" ht="15.75" customHeight="1">
      <c r="C769" s="258"/>
    </row>
    <row r="770" ht="15.75" customHeight="1">
      <c r="C770" s="258"/>
    </row>
    <row r="771" ht="15.75" customHeight="1">
      <c r="C771" s="258"/>
    </row>
    <row r="772" ht="15.75" customHeight="1">
      <c r="C772" s="258"/>
    </row>
    <row r="773" ht="15.75" customHeight="1">
      <c r="C773" s="258"/>
    </row>
    <row r="774" ht="15.75" customHeight="1">
      <c r="C774" s="258"/>
    </row>
    <row r="775" ht="15.75" customHeight="1">
      <c r="C775" s="258"/>
    </row>
    <row r="776" ht="15.75" customHeight="1">
      <c r="C776" s="258"/>
    </row>
    <row r="777" ht="15.75" customHeight="1">
      <c r="C777" s="258"/>
    </row>
    <row r="778" ht="15.75" customHeight="1">
      <c r="C778" s="258"/>
    </row>
    <row r="779" ht="15.75" customHeight="1">
      <c r="C779" s="258"/>
    </row>
    <row r="780" ht="15.75" customHeight="1">
      <c r="C780" s="258"/>
    </row>
    <row r="781" ht="15.75" customHeight="1">
      <c r="C781" s="258"/>
    </row>
    <row r="782" ht="15.75" customHeight="1">
      <c r="C782" s="258"/>
    </row>
    <row r="783" ht="15.75" customHeight="1">
      <c r="C783" s="258"/>
    </row>
    <row r="784" ht="15.75" customHeight="1">
      <c r="C784" s="258"/>
    </row>
    <row r="785" ht="15.75" customHeight="1">
      <c r="C785" s="258"/>
    </row>
    <row r="786" ht="15.75" customHeight="1">
      <c r="C786" s="258"/>
    </row>
    <row r="787" ht="15.75" customHeight="1">
      <c r="C787" s="258"/>
    </row>
    <row r="788" ht="15.75" customHeight="1">
      <c r="C788" s="258"/>
    </row>
    <row r="789" ht="15.75" customHeight="1">
      <c r="C789" s="258"/>
    </row>
    <row r="790" ht="15.75" customHeight="1">
      <c r="C790" s="258"/>
    </row>
    <row r="791" ht="15.75" customHeight="1">
      <c r="C791" s="258"/>
    </row>
    <row r="792" ht="15.75" customHeight="1">
      <c r="C792" s="258"/>
    </row>
    <row r="793" ht="15.75" customHeight="1">
      <c r="C793" s="258"/>
    </row>
    <row r="794" ht="15.75" customHeight="1">
      <c r="C794" s="258"/>
    </row>
    <row r="795" ht="15.75" customHeight="1">
      <c r="C795" s="258"/>
    </row>
    <row r="796" ht="15.75" customHeight="1">
      <c r="C796" s="258"/>
    </row>
    <row r="797" ht="15.75" customHeight="1">
      <c r="C797" s="258"/>
    </row>
    <row r="798" ht="15.75" customHeight="1">
      <c r="C798" s="258"/>
    </row>
    <row r="799" ht="15.75" customHeight="1">
      <c r="C799" s="258"/>
    </row>
    <row r="800" ht="15.75" customHeight="1">
      <c r="C800" s="258"/>
    </row>
    <row r="801" ht="15.75" customHeight="1">
      <c r="C801" s="258"/>
    </row>
    <row r="802" ht="15.75" customHeight="1">
      <c r="C802" s="258"/>
    </row>
    <row r="803" ht="15.75" customHeight="1">
      <c r="C803" s="258"/>
    </row>
    <row r="804" ht="15.75" customHeight="1">
      <c r="C804" s="258"/>
    </row>
    <row r="805" ht="15.75" customHeight="1">
      <c r="C805" s="258"/>
    </row>
    <row r="806" ht="15.75" customHeight="1">
      <c r="C806" s="258"/>
    </row>
    <row r="807" ht="15.75" customHeight="1">
      <c r="C807" s="258"/>
    </row>
    <row r="808" ht="15.75" customHeight="1">
      <c r="C808" s="258"/>
    </row>
    <row r="809" ht="15.75" customHeight="1">
      <c r="C809" s="258"/>
    </row>
    <row r="810" ht="15.75" customHeight="1">
      <c r="C810" s="258"/>
    </row>
    <row r="811" ht="15.75" customHeight="1">
      <c r="C811" s="258"/>
    </row>
    <row r="812" ht="15.75" customHeight="1">
      <c r="C812" s="258"/>
    </row>
    <row r="813" ht="15.75" customHeight="1">
      <c r="C813" s="258"/>
    </row>
    <row r="814" ht="15.75" customHeight="1">
      <c r="C814" s="258"/>
    </row>
    <row r="815" ht="15.75" customHeight="1">
      <c r="C815" s="258"/>
    </row>
    <row r="816" ht="15.75" customHeight="1">
      <c r="C816" s="258"/>
    </row>
    <row r="817" ht="15.75" customHeight="1">
      <c r="C817" s="258"/>
    </row>
    <row r="818" ht="15.75" customHeight="1">
      <c r="C818" s="258"/>
    </row>
    <row r="819" ht="15.75" customHeight="1">
      <c r="C819" s="258"/>
    </row>
    <row r="820" ht="15.75" customHeight="1">
      <c r="C820" s="258"/>
    </row>
    <row r="821" ht="15.75" customHeight="1">
      <c r="C821" s="258"/>
    </row>
    <row r="822" ht="15.75" customHeight="1">
      <c r="C822" s="258"/>
    </row>
    <row r="823" ht="15.75" customHeight="1">
      <c r="C823" s="258"/>
    </row>
    <row r="824" ht="15.75" customHeight="1">
      <c r="C824" s="258"/>
    </row>
    <row r="825" ht="15.75" customHeight="1">
      <c r="C825" s="258"/>
    </row>
    <row r="826" ht="15.75" customHeight="1">
      <c r="C826" s="258"/>
    </row>
    <row r="827" ht="15.75" customHeight="1">
      <c r="C827" s="258"/>
    </row>
    <row r="828" ht="15.75" customHeight="1">
      <c r="C828" s="258"/>
    </row>
    <row r="829" ht="15.75" customHeight="1">
      <c r="C829" s="258"/>
    </row>
    <row r="830" ht="15.75" customHeight="1">
      <c r="C830" s="258"/>
    </row>
    <row r="831" ht="15.75" customHeight="1">
      <c r="C831" s="258"/>
    </row>
    <row r="832" ht="15.75" customHeight="1">
      <c r="C832" s="258"/>
    </row>
    <row r="833" ht="15.75" customHeight="1">
      <c r="C833" s="258"/>
    </row>
    <row r="834" ht="15.75" customHeight="1">
      <c r="C834" s="258"/>
    </row>
    <row r="835" ht="15.75" customHeight="1">
      <c r="C835" s="258"/>
    </row>
    <row r="836" ht="15.75" customHeight="1">
      <c r="C836" s="258"/>
    </row>
    <row r="837" ht="15.75" customHeight="1">
      <c r="C837" s="258"/>
    </row>
    <row r="838" ht="15.75" customHeight="1">
      <c r="C838" s="258"/>
    </row>
    <row r="839" ht="15.75" customHeight="1">
      <c r="C839" s="258"/>
    </row>
    <row r="840" ht="15.75" customHeight="1">
      <c r="C840" s="258"/>
    </row>
    <row r="841" ht="15.75" customHeight="1">
      <c r="C841" s="258"/>
    </row>
    <row r="842" ht="15.75" customHeight="1">
      <c r="C842" s="258"/>
    </row>
    <row r="843" ht="15.75" customHeight="1">
      <c r="C843" s="258"/>
    </row>
    <row r="844" ht="15.75" customHeight="1">
      <c r="C844" s="258"/>
    </row>
    <row r="845" ht="15.75" customHeight="1">
      <c r="C845" s="258"/>
    </row>
    <row r="846" ht="15.75" customHeight="1">
      <c r="C846" s="258"/>
    </row>
    <row r="847" ht="15.75" customHeight="1">
      <c r="C847" s="258"/>
    </row>
    <row r="848" ht="15.75" customHeight="1">
      <c r="C848" s="258"/>
    </row>
    <row r="849" ht="15.75" customHeight="1">
      <c r="C849" s="258"/>
    </row>
    <row r="850" ht="15.75" customHeight="1">
      <c r="C850" s="258"/>
    </row>
    <row r="851" ht="15.75" customHeight="1">
      <c r="C851" s="258"/>
    </row>
    <row r="852" ht="15.75" customHeight="1">
      <c r="C852" s="258"/>
    </row>
    <row r="853" ht="15.75" customHeight="1">
      <c r="C853" s="258"/>
    </row>
    <row r="854" ht="15.75" customHeight="1">
      <c r="C854" s="258"/>
    </row>
    <row r="855" ht="15.75" customHeight="1">
      <c r="C855" s="258"/>
    </row>
    <row r="856" ht="15.75" customHeight="1">
      <c r="C856" s="258"/>
    </row>
    <row r="857" ht="15.75" customHeight="1">
      <c r="C857" s="258"/>
    </row>
    <row r="858" ht="15.75" customHeight="1">
      <c r="C858" s="258"/>
    </row>
    <row r="859" ht="15.75" customHeight="1">
      <c r="C859" s="258"/>
    </row>
    <row r="860" ht="15.75" customHeight="1">
      <c r="C860" s="258"/>
    </row>
    <row r="861" ht="15.75" customHeight="1">
      <c r="C861" s="258"/>
    </row>
    <row r="862" ht="15.75" customHeight="1">
      <c r="C862" s="258"/>
    </row>
    <row r="863" ht="15.75" customHeight="1">
      <c r="C863" s="258"/>
    </row>
    <row r="864" ht="15.75" customHeight="1">
      <c r="C864" s="258"/>
    </row>
    <row r="865" ht="15.75" customHeight="1">
      <c r="C865" s="258"/>
    </row>
    <row r="866" ht="15.75" customHeight="1">
      <c r="C866" s="258"/>
    </row>
    <row r="867" ht="15.75" customHeight="1">
      <c r="C867" s="258"/>
    </row>
    <row r="868" ht="15.75" customHeight="1">
      <c r="C868" s="258"/>
    </row>
    <row r="869" ht="15.75" customHeight="1">
      <c r="C869" s="258"/>
    </row>
    <row r="870" ht="15.75" customHeight="1">
      <c r="C870" s="258"/>
    </row>
    <row r="871" ht="15.75" customHeight="1">
      <c r="C871" s="258"/>
    </row>
    <row r="872" ht="15.75" customHeight="1">
      <c r="C872" s="258"/>
    </row>
    <row r="873" ht="15.75" customHeight="1">
      <c r="C873" s="258"/>
    </row>
    <row r="874" ht="15.75" customHeight="1">
      <c r="C874" s="258"/>
    </row>
    <row r="875" ht="15.75" customHeight="1">
      <c r="C875" s="258"/>
    </row>
    <row r="876" ht="15.75" customHeight="1">
      <c r="C876" s="258"/>
    </row>
    <row r="877" ht="15.75" customHeight="1">
      <c r="C877" s="258"/>
    </row>
    <row r="878" ht="15.75" customHeight="1">
      <c r="C878" s="258"/>
    </row>
    <row r="879" ht="15.75" customHeight="1">
      <c r="C879" s="258"/>
    </row>
    <row r="880" ht="15.75" customHeight="1">
      <c r="C880" s="258"/>
    </row>
    <row r="881" ht="15.75" customHeight="1">
      <c r="C881" s="258"/>
    </row>
    <row r="882" ht="15.75" customHeight="1">
      <c r="C882" s="258"/>
    </row>
    <row r="883" ht="15.75" customHeight="1">
      <c r="C883" s="258"/>
    </row>
    <row r="884" ht="15.75" customHeight="1">
      <c r="C884" s="258"/>
    </row>
    <row r="885" ht="15.75" customHeight="1">
      <c r="C885" s="258"/>
    </row>
    <row r="886" ht="15.75" customHeight="1">
      <c r="C886" s="258"/>
    </row>
    <row r="887" ht="15.75" customHeight="1">
      <c r="C887" s="258"/>
    </row>
    <row r="888" ht="15.75" customHeight="1">
      <c r="C888" s="258"/>
    </row>
    <row r="889" ht="15.75" customHeight="1">
      <c r="C889" s="258"/>
    </row>
    <row r="890" ht="15.75" customHeight="1">
      <c r="C890" s="258"/>
    </row>
    <row r="891" ht="15.75" customHeight="1">
      <c r="C891" s="258"/>
    </row>
    <row r="892" ht="15.75" customHeight="1">
      <c r="C892" s="258"/>
    </row>
    <row r="893" ht="15.75" customHeight="1">
      <c r="C893" s="258"/>
    </row>
    <row r="894" ht="15.75" customHeight="1">
      <c r="C894" s="258"/>
    </row>
    <row r="895" ht="15.75" customHeight="1">
      <c r="C895" s="258"/>
    </row>
    <row r="896" ht="15.75" customHeight="1">
      <c r="C896" s="258"/>
    </row>
    <row r="897" ht="15.75" customHeight="1">
      <c r="C897" s="258"/>
    </row>
    <row r="898" ht="15.75" customHeight="1">
      <c r="C898" s="258"/>
    </row>
    <row r="899" ht="15.75" customHeight="1">
      <c r="C899" s="258"/>
    </row>
    <row r="900" ht="15.75" customHeight="1">
      <c r="C900" s="258"/>
    </row>
    <row r="901" ht="15.75" customHeight="1">
      <c r="C901" s="258"/>
    </row>
    <row r="902" ht="15.75" customHeight="1">
      <c r="C902" s="258"/>
    </row>
    <row r="903" ht="15.75" customHeight="1">
      <c r="C903" s="258"/>
    </row>
    <row r="904" ht="15.75" customHeight="1">
      <c r="C904" s="258"/>
    </row>
    <row r="905" ht="15.75" customHeight="1">
      <c r="C905" s="258"/>
    </row>
    <row r="906" ht="15.75" customHeight="1">
      <c r="C906" s="258"/>
    </row>
    <row r="907" ht="15.75" customHeight="1">
      <c r="C907" s="258"/>
    </row>
    <row r="908" ht="15.75" customHeight="1">
      <c r="C908" s="258"/>
    </row>
    <row r="909" ht="15.75" customHeight="1">
      <c r="C909" s="258"/>
    </row>
    <row r="910" ht="15.75" customHeight="1">
      <c r="C910" s="258"/>
    </row>
    <row r="911" ht="15.75" customHeight="1">
      <c r="C911" s="258"/>
    </row>
    <row r="912" ht="15.75" customHeight="1">
      <c r="C912" s="258"/>
    </row>
    <row r="913" ht="15.75" customHeight="1">
      <c r="C913" s="258"/>
    </row>
    <row r="914" ht="15.75" customHeight="1">
      <c r="C914" s="258"/>
    </row>
    <row r="915" ht="15.75" customHeight="1">
      <c r="C915" s="258"/>
    </row>
    <row r="916" ht="15.75" customHeight="1">
      <c r="C916" s="258"/>
    </row>
    <row r="917" ht="15.75" customHeight="1">
      <c r="C917" s="258"/>
    </row>
    <row r="918" ht="15.75" customHeight="1">
      <c r="C918" s="258"/>
    </row>
    <row r="919" ht="15.75" customHeight="1">
      <c r="C919" s="258"/>
    </row>
    <row r="920" ht="15.75" customHeight="1">
      <c r="C920" s="258"/>
    </row>
    <row r="921" ht="15.75" customHeight="1">
      <c r="C921" s="258"/>
    </row>
    <row r="922" ht="15.75" customHeight="1">
      <c r="C922" s="258"/>
    </row>
    <row r="923" ht="15.75" customHeight="1">
      <c r="C923" s="258"/>
    </row>
    <row r="924" ht="15.75" customHeight="1">
      <c r="C924" s="258"/>
    </row>
    <row r="925" ht="15.75" customHeight="1">
      <c r="C925" s="258"/>
    </row>
    <row r="926" ht="15.75" customHeight="1">
      <c r="C926" s="258"/>
    </row>
    <row r="927" ht="15.75" customHeight="1">
      <c r="C927" s="258"/>
    </row>
    <row r="928" ht="15.75" customHeight="1">
      <c r="C928" s="258"/>
    </row>
    <row r="929" ht="15.75" customHeight="1">
      <c r="C929" s="258"/>
    </row>
    <row r="930" ht="15.75" customHeight="1">
      <c r="C930" s="258"/>
    </row>
    <row r="931" ht="15.75" customHeight="1">
      <c r="C931" s="258"/>
    </row>
    <row r="932" ht="15.75" customHeight="1">
      <c r="C932" s="258"/>
    </row>
    <row r="933" ht="15.75" customHeight="1">
      <c r="C933" s="258"/>
    </row>
    <row r="934" ht="15.75" customHeight="1">
      <c r="C934" s="258"/>
    </row>
    <row r="935" ht="15.75" customHeight="1">
      <c r="C935" s="258"/>
    </row>
    <row r="936" ht="15.75" customHeight="1">
      <c r="C936" s="258"/>
    </row>
    <row r="937" ht="15.75" customHeight="1">
      <c r="C937" s="258"/>
    </row>
    <row r="938" ht="15.75" customHeight="1">
      <c r="C938" s="258"/>
    </row>
    <row r="939" ht="15.75" customHeight="1">
      <c r="C939" s="258"/>
    </row>
    <row r="940" ht="15.75" customHeight="1">
      <c r="C940" s="258"/>
    </row>
    <row r="941" ht="15.75" customHeight="1">
      <c r="C941" s="258"/>
    </row>
    <row r="942" ht="15.75" customHeight="1">
      <c r="C942" s="258"/>
    </row>
    <row r="943" ht="15.75" customHeight="1">
      <c r="C943" s="258"/>
    </row>
    <row r="944" ht="15.75" customHeight="1">
      <c r="C944" s="258"/>
    </row>
    <row r="945" ht="15.75" customHeight="1">
      <c r="C945" s="258"/>
    </row>
    <row r="946" ht="15.75" customHeight="1">
      <c r="C946" s="258"/>
    </row>
    <row r="947" ht="15.75" customHeight="1">
      <c r="C947" s="258"/>
    </row>
    <row r="948" ht="15.75" customHeight="1">
      <c r="C948" s="258"/>
    </row>
    <row r="949" ht="15.75" customHeight="1">
      <c r="C949" s="258"/>
    </row>
    <row r="950" ht="15.75" customHeight="1">
      <c r="C950" s="258"/>
    </row>
    <row r="951" ht="15.75" customHeight="1">
      <c r="C951" s="258"/>
    </row>
    <row r="952" ht="15.75" customHeight="1">
      <c r="C952" s="258"/>
    </row>
    <row r="953" ht="15.75" customHeight="1">
      <c r="C953" s="258"/>
    </row>
    <row r="954" ht="15.75" customHeight="1">
      <c r="C954" s="258"/>
    </row>
    <row r="955" ht="15.75" customHeight="1">
      <c r="C955" s="258"/>
    </row>
    <row r="956" ht="15.75" customHeight="1">
      <c r="C956" s="258"/>
    </row>
    <row r="957" ht="15.75" customHeight="1">
      <c r="C957" s="258"/>
    </row>
    <row r="958" ht="15.75" customHeight="1">
      <c r="C958" s="258"/>
    </row>
    <row r="959" ht="15.75" customHeight="1">
      <c r="C959" s="258"/>
    </row>
    <row r="960" ht="15.75" customHeight="1">
      <c r="C960" s="258"/>
    </row>
    <row r="961" ht="15.75" customHeight="1">
      <c r="C961" s="258"/>
    </row>
    <row r="962" ht="15.75" customHeight="1">
      <c r="C962" s="258"/>
    </row>
    <row r="963" ht="15.75" customHeight="1">
      <c r="C963" s="258"/>
    </row>
    <row r="964" ht="15.75" customHeight="1">
      <c r="C964" s="258"/>
    </row>
    <row r="965" ht="15.75" customHeight="1">
      <c r="C965" s="258"/>
    </row>
    <row r="966" ht="15.75" customHeight="1">
      <c r="C966" s="258"/>
    </row>
    <row r="967" ht="15.75" customHeight="1">
      <c r="C967" s="258"/>
    </row>
    <row r="968" ht="15.75" customHeight="1">
      <c r="C968" s="258"/>
    </row>
    <row r="969" ht="15.75" customHeight="1">
      <c r="C969" s="258"/>
    </row>
    <row r="970" ht="15.75" customHeight="1">
      <c r="C970" s="258"/>
    </row>
    <row r="971" ht="15.75" customHeight="1">
      <c r="C971" s="258"/>
    </row>
    <row r="972" ht="15.75" customHeight="1">
      <c r="C972" s="258"/>
    </row>
    <row r="973" ht="15.75" customHeight="1">
      <c r="C973" s="258"/>
    </row>
    <row r="974" ht="15.75" customHeight="1">
      <c r="C974" s="258"/>
    </row>
    <row r="975" ht="15.75" customHeight="1">
      <c r="C975" s="258"/>
    </row>
    <row r="976" ht="15.75" customHeight="1">
      <c r="C976" s="258"/>
    </row>
    <row r="977" ht="15.75" customHeight="1">
      <c r="C977" s="258"/>
    </row>
    <row r="978" ht="15.75" customHeight="1">
      <c r="C978" s="258"/>
    </row>
    <row r="979" ht="15.75" customHeight="1">
      <c r="C979" s="258"/>
    </row>
    <row r="980" ht="15.75" customHeight="1">
      <c r="C980" s="258"/>
    </row>
    <row r="981" ht="15.75" customHeight="1">
      <c r="C981" s="258"/>
    </row>
    <row r="982" ht="15.75" customHeight="1">
      <c r="C982" s="258"/>
    </row>
    <row r="983" ht="15.75" customHeight="1">
      <c r="C983" s="258"/>
    </row>
    <row r="984" ht="15.75" customHeight="1">
      <c r="C984" s="258"/>
    </row>
    <row r="985" ht="15.75" customHeight="1">
      <c r="C985" s="258"/>
    </row>
    <row r="986" ht="15.75" customHeight="1">
      <c r="C986" s="258"/>
    </row>
    <row r="987" ht="15.75" customHeight="1">
      <c r="C987" s="258"/>
    </row>
    <row r="988" ht="15.75" customHeight="1">
      <c r="C988" s="258"/>
    </row>
    <row r="989" ht="15.75" customHeight="1">
      <c r="C989" s="258"/>
    </row>
    <row r="990" ht="15.75" customHeight="1">
      <c r="C990" s="258"/>
    </row>
    <row r="991" ht="15.75" customHeight="1">
      <c r="C991" s="258"/>
    </row>
    <row r="992" ht="15.75" customHeight="1">
      <c r="C992" s="258"/>
    </row>
    <row r="993" ht="15.75" customHeight="1">
      <c r="C993" s="258"/>
    </row>
    <row r="994" ht="15.75" customHeight="1">
      <c r="C994" s="258"/>
    </row>
    <row r="995" ht="15.75" customHeight="1">
      <c r="C995" s="258"/>
    </row>
    <row r="996" ht="15.75" customHeight="1">
      <c r="C996" s="258"/>
    </row>
    <row r="997" ht="15.75" customHeight="1">
      <c r="C997" s="258"/>
    </row>
    <row r="998" ht="15.75" customHeight="1">
      <c r="C998" s="258"/>
    </row>
    <row r="999" ht="15.75" customHeight="1">
      <c r="C999" s="258"/>
    </row>
    <row r="1000" ht="15.75" customHeight="1">
      <c r="C1000" s="258"/>
    </row>
  </sheetData>
  <mergeCells count="5">
    <mergeCell ref="A1:A2"/>
    <mergeCell ref="B1:B2"/>
    <mergeCell ref="C1:C2"/>
    <mergeCell ref="D1:H1"/>
    <mergeCell ref="I1:M1"/>
  </mergeCells>
  <hyperlinks>
    <hyperlink r:id="rId2" ref="A3"/>
    <hyperlink r:id="rId3" ref="A4"/>
    <hyperlink r:id="rId4" ref="A5"/>
    <hyperlink r:id="rId5" ref="A6"/>
    <hyperlink r:id="rId6" ref="A7"/>
    <hyperlink r:id="rId7" ref="A8"/>
    <hyperlink r:id="rId8" ref="A9"/>
    <hyperlink r:id="rId9" ref="A10"/>
    <hyperlink r:id="rId10" ref="A11"/>
    <hyperlink r:id="rId11" ref="A12"/>
  </hyperlinks>
  <drawing r:id="rId12"/>
  <legacyDrawing r:id="rId1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hidden="1" min="1" max="1" width="14.88"/>
    <col customWidth="1" min="2" max="2" width="17.38"/>
    <col customWidth="1" min="3" max="6" width="3.13"/>
    <col customWidth="1" min="7" max="7" width="5.88"/>
    <col customWidth="1" min="8" max="8" width="4.25"/>
    <col customWidth="1" min="9" max="9" width="5.75"/>
    <col customWidth="1" min="10" max="10" width="13.63"/>
    <col customWidth="1" min="11" max="12" width="4.25"/>
    <col customWidth="1" min="13" max="13" width="8.63"/>
    <col customWidth="1" min="14" max="14" width="4.25"/>
    <col customWidth="1" min="15" max="15" width="3.38"/>
    <col customWidth="1" min="16" max="16" width="5.13"/>
  </cols>
  <sheetData>
    <row r="1">
      <c r="A1" s="421" t="s">
        <v>1940</v>
      </c>
      <c r="B1" s="422" t="s">
        <v>435</v>
      </c>
      <c r="C1" s="423" t="s">
        <v>1413</v>
      </c>
      <c r="D1" s="423" t="s">
        <v>1941</v>
      </c>
      <c r="E1" s="423" t="s">
        <v>1942</v>
      </c>
      <c r="F1" s="423" t="s">
        <v>1490</v>
      </c>
      <c r="G1" s="424" t="s">
        <v>1943</v>
      </c>
      <c r="H1" s="424" t="s">
        <v>1944</v>
      </c>
      <c r="I1" s="424" t="s">
        <v>1491</v>
      </c>
      <c r="J1" s="424" t="s">
        <v>1492</v>
      </c>
      <c r="K1" s="424" t="s">
        <v>1945</v>
      </c>
      <c r="L1" s="424" t="s">
        <v>1946</v>
      </c>
      <c r="M1" s="424" t="s">
        <v>1169</v>
      </c>
      <c r="N1" s="424" t="s">
        <v>1947</v>
      </c>
      <c r="O1" s="424" t="s">
        <v>1948</v>
      </c>
      <c r="P1" s="9" t="s">
        <v>1400</v>
      </c>
      <c r="Q1" s="9"/>
      <c r="R1" s="9"/>
      <c r="S1" s="9"/>
      <c r="T1" s="9"/>
      <c r="U1" s="9"/>
      <c r="V1" s="9"/>
      <c r="W1" s="9"/>
    </row>
    <row r="2">
      <c r="A2" s="65" t="s">
        <v>1409</v>
      </c>
      <c r="B2" s="425" t="s">
        <v>1101</v>
      </c>
      <c r="C2" s="426">
        <v>1.0</v>
      </c>
      <c r="D2" s="426">
        <v>1.0</v>
      </c>
      <c r="E2" s="426">
        <v>3.0</v>
      </c>
      <c r="F2" s="426">
        <v>4.0</v>
      </c>
      <c r="G2" s="94" t="s">
        <v>1949</v>
      </c>
      <c r="H2" s="427">
        <f>IFS(
IFERROR(SEARCH("Grey, Grey",G2),0) &gt; 0 , VLOOKUP("Grey", Variables!A:C , 2, FALSE) * 2,
IFERROR(SEARCH("Grey, Brown",G2),0) &gt; 0 , VLOOKUP("Grey", Variables!A:C , 2, FALSE)  + VLOOKUP("Brown", Variables!A:C , 2),
IFERROR(SEARCH("Black, Grey",G2),0) &gt; 0 , VLOOKUP("Black", Variables!A:C , 2) + VLOOKUP("Grey", Variables!A:C , 2, FALSE),
IFERROR(SEARCH("Black, Brown",G2),0) &gt; 0 , VLOOKUP("Black", Variables!A:C , 2) + VLOOKUP("Brown", Variables!A:C , 2),
IFERROR(SEARCH("Black",G2),0) &gt; 0 , VLOOKUP("Black", Variables!A:C , 2),
IFERROR(SEARCH("Grey",G2),0) &gt; 0 , VLOOKUP("Grey", Variables!A:C , 2, FALSE),
IFERROR(SEARCH("Brown",G2),0) &gt; 0 , VLOOKUP("Brown", Variables!A:C , 2),
0=0,0)</f>
        <v>0</v>
      </c>
      <c r="I2" s="94" t="s">
        <v>1521</v>
      </c>
      <c r="J2" s="94" t="s">
        <v>1525</v>
      </c>
      <c r="K2" s="427">
        <f>IFS(
IFERROR(SEARCH("Blue, Red, Red",J2),0) &gt; 0 , VLOOKUP("Blue", Variables!A:C , 2) + VLOOKUP("Red", Variables!A:C , 2) * 2,
IFERROR(SEARCH("Blue, Yellow, Green",J2),0) &gt; 0 , VLOOKUP("Blue", Variables!A:C , 2) + VLOOKUP("Yellow", Variables!A:C , 2 , FALSE) + VLOOKUP("Green", Variables!A:C , 2),
IFERROR(SEARCH("Blue, Red, Green",J2),0) &gt; 0 , VLOOKUP("Blue", Variables!A:C , 2) + VLOOKUP("Red", Variables!A:C , 2) + VLOOKUP("Green", Variables!A:C , 2),
IFERROR(SEARCH("Blue, Red, Yellow",J2),0) &gt; 0 , VLOOKUP("Blue", Variables!A:C , 2) + VLOOKUP("Red", Variables!A:C , 2) + VLOOKUP("Yellow", Variables!A:C , 2 , FALSE),
IFERROR(SEARCH("Blue, Yellow",J2),0) &gt; 0 , VLOOKUP("Blue", Variables!A:C , 2) + VLOOKUP("Yellow", Variables!A:C , 2 , FALSE),
IFERROR(SEARCH("Blue, Red",J2),0) &gt; 0 , VLOOKUP("Blue", Variables!A:C , 2) + VLOOKUP("Red", Variables!A:C , 2),
IFERROR(SEARCH("Green",J2),0) &gt; 0 , VLOOKUP("Green", Variables!A:C , 2),
IFERROR(SEARCH("Blue",J2),0) &gt; 0 , VLOOKUP("Blue", Variables!A:C , 2),
IFERROR(SEARCH("Yellow",J2),0) &gt; 0 , VLOOKUP("Yellow", Variables!A:C , 2 , FALSE),
0=0,0)
+
IF(I2="Ranged", 1 , 0)</f>
        <v>3.333333333</v>
      </c>
      <c r="L2" s="427">
        <f>IFERROR(
IFS(
IFERROR(SEARCH("Reanimate", B2),0) &gt; 0 ,VLOOKUP("Reanimate", vote4TRAITS!A:C , 3, FALSE),
IFERROR(SEARCH("Skye", B2),0) &gt; 0 ,VLOOKUP("Skye", vote4TRAITS!A:C , 3,FALSE),
IFERROR(SEARCH("Pico", B2),0) &gt; 0,VLOOKUP("Pico", vote4TRAITS!A:C , 3, FALSE),
IFERROR(SEARCH("Brightblaze", B2),0) &gt; 0,VLOOKUP("Brightblaze", vote4TRAITS!A:C , 3, FALSE),
IFERROR(SEARCH("The Summoned Stone", B2),0) &gt; 0,VLOOKUP("The Summoned Stone", vote4TRAITS!A:C , 3, FALSE),
IFERROR(SEARCH("Wolf", B2),0) &gt; 0,VLOOKUP("Wolf", vote4TRAITS!A:C , 3, FALSE),
IFERROR(SEARCH("Shadow Soul", B2),0) &gt; 0,VLOOKUP("Shadow Soul", vote4TRAITS!A:C , 3, FALSE),
IFERROR(SEARCH("Raven Flock", B2),0) &gt; 0,VLOOKUP("Raven Flock", vote4TRAITS!A:C , 3, FALSE),
IFERROR(SEARCH("Scourge", B2),0) &gt; 0,VLOOKUP("Scourge", vote4TRAITS!A:C , 3, FALSE),
0=0,0)
,
0)</f>
        <v>-0.25</v>
      </c>
      <c r="M2" s="428" t="s">
        <v>1177</v>
      </c>
      <c r="N2" s="427">
        <f>SUM(
IF(IFERROR(SEARCH("Black Venom",M2),0) &gt; 0 , VLOOKUP("Black Venom", vote4SURGE!A:C , 3), 0 ),
IF(IFERROR(SEARCH("Bleed",M2),0) &gt; 0 , VLOOKUP("Bleed", vote4SURGE!A:C , 3), 0 ),
IF(IFERROR(SEARCH("Blast",M2),0) &gt; 0 , VLOOKUP("Blast", vote4SURGE!A:C , 3), 0 ),
IF(IFERROR(SEARCH("Burn",M2),0) &gt; 0 , VLOOKUP("Burn", vote4SURGE!A:C , 3), 0 ),
IF(IFERROR(SEARCH("Charge",M2),0) &gt; 0 , VLOOKUP("Charge", vote4SURGE!A:C , 3), 0 ),
IF(IFERROR(SEARCH("Colonize",M2),0) &gt; 0 , VLOOKUP("Colonize", vote4SURGE!A:C , 3), 0 ),
IF(IFERROR(SEARCH("Curse",M2),0) &gt; 0 , VLOOKUP("Curse", vote4SURGE!A:C , 3), 0 ),
IF(IFERROR(SEARCH("Disease",M2),0) &gt; 0 , VLOOKUP("Disease", vote4SURGE!A:C , 3), 0 ),
IF(IFERROR(SEARCH("Doom",M2),0) &gt; 0 , VLOOKUP("Doom", vote4SURGE!A:C , 3), 0 ),
IF(IFERROR(SEARCH("Feast",M2),0) &gt; 0 , VLOOKUP("Feast", vote4SURGE!A:C , 3), 0 ),
IF(IFERROR(SEARCH("Fire Breath",M2),0) &gt; 0 , VLOOKUP("Fire Breath", vote4SURGE!A:C , 3), 0 ),
IF(IFERROR(SEARCH("Hunt",M2),0) &gt; 0 , VLOOKUP("Hunt", vote4SURGE!A:C , 3), 0 ),
IF(IFERROR(SEARCH("Immobilize",M2),0) &gt; 0 , VLOOKUP("Immobilize", vote4SURGE!A:C , 3), 0 ),
IF(IFERROR(SEARCH("Knockback",M2),0) &gt; 0 , VLOOKUP("Knockback", vote4SURGE!A:C , 3), 0 ),
IF(IFERROR(SEARCH("Lash",M2),0) &gt; 0 , VLOOKUP("Lash", vote4SURGE!A:C , 3), 0 ),
IF(IFERROR(SEARCH("Mend 2",M2),0) &gt; 0 , VLOOKUP("Mend 2", vote4SURGE!A:C , 3), 0 ),
IF(IFERROR(SEARCH("Mortal Binding",M2),0) &gt; 0 , VLOOKUP("Mortal Binding", vote4SURGE!A:C , 3), 0 ),
IF(IFERROR(SEARCH("Poison",M2),0) &gt; 0 , VLOOKUP("Poison", vote4SURGE!A:C , 3), 0 ),
IF(IFERROR(SEARCH("Stun",M2),0) &gt; 0 , VLOOKUP("Stun", vote4SURGE!A:C , 3), 0 ),
IF(IFERROR(SEARCH("Swarm",M2),0) &gt; 0 , VLOOKUP("Swarm", vote4SURGE!A:C , 3), 0 ),
IF(IFERROR(SEARCH("Terrify",M2),0) &gt; 0 , VLOOKUP("Terrify", vote4SURGE!A:C , 3), 0 ),
IF(IFERROR(SEARCH("Weaken",M2),0) &gt; 0 , VLOOKUP("Weaken", vote4SURGE!A:C , 3), 0 ),
IF(IFERROR(SEARCH("Wither",M2),0) &gt; 0 , VLOOKUP("Wither", vote4SURGE!A:C , 3), 0 ),
IFS(
IFERROR(SEARCH("Sorcery 1", M2),0) &gt; 0 ,VLOOKUP("Sorcery 1", vote4SURGE!A:C , 3),
IFERROR(SEARCH("Sorcery 2", M2),0) &gt; 0 ,VLOOKUP("Sorcery 2", vote4SURGE!A:C , 3),
IFERROR(SEARCH("Sorcery 3", M2),0) &gt; 0,VLOOKUP("Sorcery 3", vote4SURGE!A:C , 3),
0=0,0)
,
IFS(
IFERROR(SEARCH("Pierce 1", M2),0) &gt; 0 ,VLOOKUP("Pierce 1", vote4SURGE!A:C , 3),
IFERROR(SEARCH("Pierce 2", M2),0) &gt; 0 ,VLOOKUP("Pierce 2", vote4SURGE!A:C , 3),
IFERROR(SEARCH("Pierce 3", M2),0) &gt; 0,VLOOKUP("Pierce 3", vote4SURGE!A:C , 3),
IFERROR(SEARCH("Pierce 4", M2),0) &gt; 0 ,VLOOKUP("Pierce 4", vote4SURGE!A:C , 3),
0=0,0)
,
IFS(
IFERROR(SEARCH("+1 Wound", M2),0) &gt; 0 ,VLOOKUP("+1 Wound", vote4SURGE!A:C , 3),
IFERROR(SEARCH("+2 Wounds", M2),0) &gt; 0 ,VLOOKUP("+2 Wounds", vote4SURGE!A:C , 3),
IFERROR(SEARCH("+3 Wounds", M2),0) &gt; 0,VLOOKUP("+3 Wounds", vote4SURGE!A:C , 3),
IFERROR(SEARCH("+4 Wounds", M2),0) &gt; 0 ,VLOOKUP("+4 Wounds", vote4SURGE!A:C , 3),
0=0,0)
,
IFS(
IFERROR(SEARCH("+1 Range", M2),0) &gt; 0 ,VLOOKUP("+1 Range", vote4SURGE!A:C , 3),
IFERROR(SEARCH("+2 Range", M2),0) &gt; 0 ,VLOOKUP("+2 Range", vote4SURGE!A:C , 3),
IFERROR(SEARCH("+3 Range", M2),0) &gt; 0,VLOOKUP("+3 Range", vote4SURGE!A:C , 3),
0=0,0)
)
*
O2</f>
        <v>1.75</v>
      </c>
      <c r="O2" s="427">
        <f>IFS(
IFERROR(SEARCH("Blue, Red, Red",J2),0) &gt; 0 , VLOOKUP("Blue", Variables!A:C , 3) + VLOOKUP("Red", Variables!A:C , 3) * 2,
IFERROR(SEARCH("Blue, Yellow, Green",J2),0) &gt; 0 , VLOOKUP("Blue", Variables!A:C , 3) + VLOOKUP("Yellow", Variables!A:C , 3 , FALSE) + VLOOKUP("Green", Variables!A:C , 3),
IFERROR(SEARCH("Blue, Red, Green",J2),0) &gt; 0 , VLOOKUP("Blue", Variables!A:C , 3) + VLOOKUP("Red", Variables!A:C , 3) + VLOOKUP("Green", Variables!A:C , 3),
IFERROR(SEARCH("Blue, Red, Yellow",J2),0) &gt; 0 , VLOOKUP("Blue", Variables!A:C , 3) + VLOOKUP("Red", Variables!A:C , 3) + VLOOKUP("Yellow", Variables!A:C , 3 , FALSE),
IFERROR(FIND("Blue, Yellow",J2),0) &gt; 0 , VLOOKUP("Blue", Variables!A:C , 3) + VLOOKUP("Yellow", Variables!A:C , 3 , FALSE),
IFERROR(SEARCH("Blue, Red",J2),0) &gt; 0 , VLOOKUP("Blue", Variables!A:C , 3) + VLOOKUP("Red", Variables!A:C , 3),
IFERROR(SEARCH("Green",J2),0) &gt; 0 , VLOOKUP("Green", Variables!A:C , 3),
IFERROR(SEARCH("Blue",J2),0) &gt; 0 , VLOOKUP("Blue", Variables!A:C , 3),
IFERROR(SEARCH("Yellow",J2),0) &gt; 0 , VLOOKUP("Yellow", Variables!A:C , 3 , FALSE),
0=0,0)</f>
        <v>0.5</v>
      </c>
      <c r="P2" s="427">
        <f t="shared" ref="P2:P12" si="1">SUM( 
(E2 + IF(D2 &gt; 3, D2/2 - 1, D2 - 1)) * 0.33,
F2,H2,K2,L2,N2)</f>
        <v>9.823333333</v>
      </c>
      <c r="Q2" s="94"/>
      <c r="R2" s="94"/>
      <c r="S2" s="94"/>
      <c r="T2" s="94"/>
      <c r="U2" s="94"/>
      <c r="V2" s="94"/>
      <c r="W2" s="94"/>
      <c r="X2" s="258"/>
      <c r="Y2" s="258"/>
      <c r="Z2" s="258"/>
      <c r="AA2" s="258"/>
    </row>
    <row r="3">
      <c r="A3" s="65" t="s">
        <v>1818</v>
      </c>
      <c r="B3" s="425" t="s">
        <v>1130</v>
      </c>
      <c r="C3" s="426">
        <v>1.0</v>
      </c>
      <c r="D3" s="426">
        <v>1.0</v>
      </c>
      <c r="E3" s="426">
        <v>5.0</v>
      </c>
      <c r="F3" s="426" t="s">
        <v>1949</v>
      </c>
      <c r="G3" s="94" t="s">
        <v>1949</v>
      </c>
      <c r="H3" s="427">
        <f>IFS(
IFERROR(SEARCH("Grey, Grey",G3),0) &gt; 0 , VLOOKUP("Grey", Variables!A:C , 2, FALSE) * 2,
IFERROR(SEARCH("Grey, Brown",G3),0) &gt; 0 , VLOOKUP("Grey", Variables!A:C , 2, FALSE)  + VLOOKUP("Brown", Variables!A:C , 2),
IFERROR(SEARCH("Black, Grey",G3),0) &gt; 0 , VLOOKUP("Black", Variables!A:C , 2) + VLOOKUP("Grey", Variables!A:C , 2, FALSE),
IFERROR(SEARCH("Black, Brown",G3),0) &gt; 0 , VLOOKUP("Black", Variables!A:C , 2) + VLOOKUP("Brown", Variables!A:C , 2),
IFERROR(SEARCH("Black",G3),0) &gt; 0 , VLOOKUP("Black", Variables!A:C , 2),
IFERROR(SEARCH("Grey",G3),0) &gt; 0 , VLOOKUP("Grey", Variables!A:C , 2, FALSE),
IFERROR(SEARCH("Brown",G3),0) &gt; 0 , VLOOKUP("Brown", Variables!A:C , 2),
0=0,0)</f>
        <v>0</v>
      </c>
      <c r="I3" s="94" t="s">
        <v>1949</v>
      </c>
      <c r="J3" s="94" t="s">
        <v>1949</v>
      </c>
      <c r="K3" s="427">
        <f>IFS(
IFERROR(SEARCH("Blue, Red, Red",J3),0) &gt; 0 , VLOOKUP("Blue", Variables!A:C , 2) + VLOOKUP("Red", Variables!A:C , 2) * 2,
IFERROR(SEARCH("Blue, Yellow, Green",J3),0) &gt; 0 , VLOOKUP("Blue", Variables!A:C , 2) + VLOOKUP("Yellow", Variables!A:C , 2 , FALSE) + VLOOKUP("Green", Variables!A:C , 2),
IFERROR(SEARCH("Blue, Red, Green",J3),0) &gt; 0 , VLOOKUP("Blue", Variables!A:C , 2) + VLOOKUP("Red", Variables!A:C , 2) + VLOOKUP("Green", Variables!A:C , 2),
IFERROR(SEARCH("Blue, Red, Yellow",J3),0) &gt; 0 , VLOOKUP("Blue", Variables!A:C , 2) + VLOOKUP("Red", Variables!A:C , 2) + VLOOKUP("Yellow", Variables!A:C , 2 , FALSE),
IFERROR(SEARCH("Blue, Yellow",J3),0) &gt; 0 , VLOOKUP("Blue", Variables!A:C , 2) + VLOOKUP("Yellow", Variables!A:C , 2 , FALSE),
IFERROR(SEARCH("Blue, Red",J3),0) &gt; 0 , VLOOKUP("Blue", Variables!A:C , 2) + VLOOKUP("Red", Variables!A:C , 2),
IFERROR(SEARCH("Green",J3),0) &gt; 0 , VLOOKUP("Green", Variables!A:C , 2),
IFERROR(SEARCH("Blue",J3),0) &gt; 0 , VLOOKUP("Blue", Variables!A:C , 2),
IFERROR(SEARCH("Yellow",J3),0) &gt; 0 , VLOOKUP("Yellow", Variables!A:C , 2 , FALSE),
0=0,0)
+
IF(I3="Ranged", 1 , 0)</f>
        <v>0</v>
      </c>
      <c r="L3" s="427">
        <f>IFERROR(
IFS(
IFERROR(SEARCH("Reanimate", B3),0) &gt; 0 ,VLOOKUP("Reanimate", vote4TRAITS!A:C , 3, FALSE),
IFERROR(SEARCH("Skye", B3),0) &gt; 0 ,VLOOKUP("Skye", vote4TRAITS!A:C , 3,FALSE),
IFERROR(SEARCH("Pico", B3),0) &gt; 0,VLOOKUP("Pico", vote4TRAITS!A:C , 3, FALSE),
IFERROR(SEARCH("Brightblaze", B3),0) &gt; 0,VLOOKUP("Brightblaze", vote4TRAITS!A:C , 3, FALSE),
IFERROR(SEARCH("The Summoned Stone", B3),0) &gt; 0,VLOOKUP("The Summoned Stone", vote4TRAITS!A:C , 3, FALSE),
IFERROR(SEARCH("Wolf", B3),0) &gt; 0,VLOOKUP("Wolf", vote4TRAITS!A:C , 3, FALSE),
IFERROR(SEARCH("Shadow Soul", B3),0) &gt; 0,VLOOKUP("Shadow Soul", vote4TRAITS!A:C , 3, FALSE),
IFERROR(SEARCH("Raven Flock", B3),0) &gt; 0,VLOOKUP("Raven Flock", vote4TRAITS!A:C , 3, FALSE),
IFERROR(SEARCH("Scourge", B3),0) &gt; 0,VLOOKUP("Scourge", vote4TRAITS!A:C , 3, FALSE),
0=0,0)
,
0)</f>
        <v>4.333333333</v>
      </c>
      <c r="M3" s="94" t="s">
        <v>1949</v>
      </c>
      <c r="N3" s="427">
        <f>SUM(
IF(IFERROR(SEARCH("Black Venom",M3),0) &gt; 0 , VLOOKUP("Black Venom", vote4SURGE!A:C , 3), 0 ),
IF(IFERROR(SEARCH("Bleed",M3),0) &gt; 0 , VLOOKUP("Bleed", vote4SURGE!A:C , 3), 0 ),
IF(IFERROR(SEARCH("Blast",M3),0) &gt; 0 , VLOOKUP("Blast", vote4SURGE!A:C , 3), 0 ),
IF(IFERROR(SEARCH("Burn",M3),0) &gt; 0 , VLOOKUP("Burn", vote4SURGE!A:C , 3), 0 ),
IF(IFERROR(SEARCH("Charge",M3),0) &gt; 0 , VLOOKUP("Charge", vote4SURGE!A:C , 3), 0 ),
IF(IFERROR(SEARCH("Colonize",M3),0) &gt; 0 , VLOOKUP("Colonize", vote4SURGE!A:C , 3), 0 ),
IF(IFERROR(SEARCH("Curse",M3),0) &gt; 0 , VLOOKUP("Curse", vote4SURGE!A:C , 3), 0 ),
IF(IFERROR(SEARCH("Disease",M3),0) &gt; 0 , VLOOKUP("Disease", vote4SURGE!A:C , 3), 0 ),
IF(IFERROR(SEARCH("Doom",M3),0) &gt; 0 , VLOOKUP("Doom", vote4SURGE!A:C , 3), 0 ),
IF(IFERROR(SEARCH("Feast",M3),0) &gt; 0 , VLOOKUP("Feast", vote4SURGE!A:C , 3), 0 ),
IF(IFERROR(SEARCH("Fire Breath",M3),0) &gt; 0 , VLOOKUP("Fire Breath", vote4SURGE!A:C , 3), 0 ),
IF(IFERROR(SEARCH("Hunt",M3),0) &gt; 0 , VLOOKUP("Hunt", vote4SURGE!A:C , 3), 0 ),
IF(IFERROR(SEARCH("Immobilize",M3),0) &gt; 0 , VLOOKUP("Immobilize", vote4SURGE!A:C , 3), 0 ),
IF(IFERROR(SEARCH("Knockback",M3),0) &gt; 0 , VLOOKUP("Knockback", vote4SURGE!A:C , 3), 0 ),
IF(IFERROR(SEARCH("Lash",M3),0) &gt; 0 , VLOOKUP("Lash", vote4SURGE!A:C , 3), 0 ),
IF(IFERROR(SEARCH("Mend 2",M3),0) &gt; 0 , VLOOKUP("Mend 2", vote4SURGE!A:C , 3), 0 ),
IF(IFERROR(SEARCH("Mortal Binding",M3),0) &gt; 0 , VLOOKUP("Mortal Binding", vote4SURGE!A:C , 3), 0 ),
IF(IFERROR(SEARCH("Poison",M3),0) &gt; 0 , VLOOKUP("Poison", vote4SURGE!A:C , 3), 0 ),
IF(IFERROR(SEARCH("Stun",M3),0) &gt; 0 , VLOOKUP("Stun", vote4SURGE!A:C , 3), 0 ),
IF(IFERROR(SEARCH("Swarm",M3),0) &gt; 0 , VLOOKUP("Swarm", vote4SURGE!A:C , 3), 0 ),
IF(IFERROR(SEARCH("Terrify",M3),0) &gt; 0 , VLOOKUP("Terrify", vote4SURGE!A:C , 3), 0 ),
IF(IFERROR(SEARCH("Weaken",M3),0) &gt; 0 , VLOOKUP("Weaken", vote4SURGE!A:C , 3), 0 ),
IF(IFERROR(SEARCH("Wither",M3),0) &gt; 0 , VLOOKUP("Wither", vote4SURGE!A:C , 3), 0 ),
IFS(
IFERROR(SEARCH("Sorcery 1", M3),0) &gt; 0 ,VLOOKUP("Sorcery 1", vote4SURGE!A:C , 3),
IFERROR(SEARCH("Sorcery 2", M3),0) &gt; 0 ,VLOOKUP("Sorcery 2", vote4SURGE!A:C , 3),
IFERROR(SEARCH("Sorcery 3", M3),0) &gt; 0,VLOOKUP("Sorcery 3", vote4SURGE!A:C , 3),
0=0,0)
,
IFS(
IFERROR(SEARCH("Pierce 1", M3),0) &gt; 0 ,VLOOKUP("Pierce 1", vote4SURGE!A:C , 3),
IFERROR(SEARCH("Pierce 2", M3),0) &gt; 0 ,VLOOKUP("Pierce 2", vote4SURGE!A:C , 3),
IFERROR(SEARCH("Pierce 3", M3),0) &gt; 0,VLOOKUP("Pierce 3", vote4SURGE!A:C , 3),
IFERROR(SEARCH("Pierce 4", M3),0) &gt; 0 ,VLOOKUP("Pierce 4", vote4SURGE!A:C , 3),
0=0,0)
,
IFS(
IFERROR(SEARCH("+1 Wound", M3),0) &gt; 0 ,VLOOKUP("+1 Wound", vote4SURGE!A:C , 3),
IFERROR(SEARCH("+2 Wounds", M3),0) &gt; 0 ,VLOOKUP("+2 Wounds", vote4SURGE!A:C , 3),
IFERROR(SEARCH("+3 Wounds", M3),0) &gt; 0,VLOOKUP("+3 Wounds", vote4SURGE!A:C , 3),
IFERROR(SEARCH("+4 Wounds", M3),0) &gt; 0 ,VLOOKUP("+4 Wounds", vote4SURGE!A:C , 3),
0=0,0)
,
IFS(
IFERROR(SEARCH("+1 Range", M3),0) &gt; 0 ,VLOOKUP("+1 Range", vote4SURGE!A:C , 3),
IFERROR(SEARCH("+2 Range", M3),0) &gt; 0 ,VLOOKUP("+2 Range", vote4SURGE!A:C , 3),
IFERROR(SEARCH("+3 Range", M3),0) &gt; 0,VLOOKUP("+3 Range", vote4SURGE!A:C , 3),
0=0,0)
)
*
O3</f>
        <v>0</v>
      </c>
      <c r="O3" s="427">
        <f>IFS(
IFERROR(SEARCH("Blue, Red, Red",J3),0) &gt; 0 , VLOOKUP("Blue", Variables!A:C , 3) + VLOOKUP("Red", Variables!A:C , 3) * 2,
IFERROR(SEARCH("Blue, Yellow, Green",J3),0) &gt; 0 , VLOOKUP("Blue", Variables!A:C , 3) + VLOOKUP("Yellow", Variables!A:C , 3 , FALSE) + VLOOKUP("Green", Variables!A:C , 3),
IFERROR(SEARCH("Blue, Red, Green",J3),0) &gt; 0 , VLOOKUP("Blue", Variables!A:C , 3) + VLOOKUP("Red", Variables!A:C , 3) + VLOOKUP("Green", Variables!A:C , 3),
IFERROR(SEARCH("Blue, Red, Yellow",J3),0) &gt; 0 , VLOOKUP("Blue", Variables!A:C , 3) + VLOOKUP("Red", Variables!A:C , 3) + VLOOKUP("Yellow", Variables!A:C , 3 , FALSE),
IFERROR(FIND("Blue, Yellow",J3),0) &gt; 0 , VLOOKUP("Blue", Variables!A:C , 3) + VLOOKUP("Yellow", Variables!A:C , 3 , FALSE),
IFERROR(SEARCH("Blue, Red",J3),0) &gt; 0 , VLOOKUP("Blue", Variables!A:C , 3) + VLOOKUP("Red", Variables!A:C , 3),
IFERROR(SEARCH("Green",J3),0) &gt; 0 , VLOOKUP("Green", Variables!A:C , 3),
IFERROR(SEARCH("Blue",J3),0) &gt; 0 , VLOOKUP("Blue", Variables!A:C , 3),
IFERROR(SEARCH("Yellow",J3),0) &gt; 0 , VLOOKUP("Yellow", Variables!A:C , 3 , FALSE),
0=0,0)</f>
        <v>0</v>
      </c>
      <c r="P3" s="427">
        <f t="shared" si="1"/>
        <v>5.983333333</v>
      </c>
      <c r="Q3" s="94"/>
      <c r="R3" s="94"/>
      <c r="S3" s="94"/>
      <c r="T3" s="94"/>
      <c r="U3" s="94"/>
      <c r="V3" s="94"/>
      <c r="W3" s="94"/>
      <c r="X3" s="258"/>
      <c r="Y3" s="258"/>
      <c r="Z3" s="258"/>
      <c r="AA3" s="258"/>
    </row>
    <row r="4">
      <c r="A4" s="65" t="s">
        <v>1906</v>
      </c>
      <c r="B4" s="425" t="s">
        <v>1074</v>
      </c>
      <c r="C4" s="426">
        <v>1.0</v>
      </c>
      <c r="D4" s="426">
        <v>1.0</v>
      </c>
      <c r="E4" s="426"/>
      <c r="F4" s="426" t="s">
        <v>1949</v>
      </c>
      <c r="G4" s="94" t="s">
        <v>1949</v>
      </c>
      <c r="H4" s="427">
        <f>IFS(
IFERROR(SEARCH("Grey, Grey",G4),0) &gt; 0 , VLOOKUP("Grey", Variables!A:C , 2, FALSE) * 2,
IFERROR(SEARCH("Grey, Brown",G4),0) &gt; 0 , VLOOKUP("Grey", Variables!A:C , 2, FALSE)  + VLOOKUP("Brown", Variables!A:C , 2),
IFERROR(SEARCH("Black, Grey",G4),0) &gt; 0 , VLOOKUP("Black", Variables!A:C , 2) + VLOOKUP("Grey", Variables!A:C , 2, FALSE),
IFERROR(SEARCH("Black, Brown",G4),0) &gt; 0 , VLOOKUP("Black", Variables!A:C , 2) + VLOOKUP("Brown", Variables!A:C , 2),
IFERROR(SEARCH("Black",G4),0) &gt; 0 , VLOOKUP("Black", Variables!A:C , 2),
IFERROR(SEARCH("Grey",G4),0) &gt; 0 , VLOOKUP("Grey", Variables!A:C , 2, FALSE),
IFERROR(SEARCH("Brown",G4),0) &gt; 0 , VLOOKUP("Brown", Variables!A:C , 2),
0=0,0)</f>
        <v>0</v>
      </c>
      <c r="I4" s="94" t="s">
        <v>1949</v>
      </c>
      <c r="J4" s="94" t="s">
        <v>1949</v>
      </c>
      <c r="K4" s="427">
        <f>IFS(
IFERROR(SEARCH("Blue, Red, Red",J4),0) &gt; 0 , VLOOKUP("Blue", Variables!A:C , 2) + VLOOKUP("Red", Variables!A:C , 2) * 2,
IFERROR(SEARCH("Blue, Yellow, Green",J4),0) &gt; 0 , VLOOKUP("Blue", Variables!A:C , 2) + VLOOKUP("Yellow", Variables!A:C , 2 , FALSE) + VLOOKUP("Green", Variables!A:C , 2),
IFERROR(SEARCH("Blue, Red, Green",J4),0) &gt; 0 , VLOOKUP("Blue", Variables!A:C , 2) + VLOOKUP("Red", Variables!A:C , 2) + VLOOKUP("Green", Variables!A:C , 2),
IFERROR(SEARCH("Blue, Red, Yellow",J4),0) &gt; 0 , VLOOKUP("Blue", Variables!A:C , 2) + VLOOKUP("Red", Variables!A:C , 2) + VLOOKUP("Yellow", Variables!A:C , 2 , FALSE),
IFERROR(SEARCH("Blue, Yellow",J4),0) &gt; 0 , VLOOKUP("Blue", Variables!A:C , 2) + VLOOKUP("Yellow", Variables!A:C , 2 , FALSE),
IFERROR(SEARCH("Blue, Red",J4),0) &gt; 0 , VLOOKUP("Blue", Variables!A:C , 2) + VLOOKUP("Red", Variables!A:C , 2),
IFERROR(SEARCH("Green",J4),0) &gt; 0 , VLOOKUP("Green", Variables!A:C , 2),
IFERROR(SEARCH("Blue",J4),0) &gt; 0 , VLOOKUP("Blue", Variables!A:C , 2),
IFERROR(SEARCH("Yellow",J4),0) &gt; 0 , VLOOKUP("Yellow", Variables!A:C , 2 , FALSE),
0=0,0)
+
IF(I4="Ranged", 1 , 0)</f>
        <v>0</v>
      </c>
      <c r="L4" s="427">
        <f>IFERROR(
IFS(
IFERROR(SEARCH("Reanimate", B4),0) &gt; 0 ,VLOOKUP("Reanimate", vote4TRAITS!A:C , 3, FALSE),
IFERROR(SEARCH("Skye", B4),0) &gt; 0 ,VLOOKUP("Skye", vote4TRAITS!A:C , 3,FALSE),
IFERROR(SEARCH("Pico", B4),0) &gt; 0,VLOOKUP("Pico", vote4TRAITS!A:C , 3, FALSE),
IFERROR(SEARCH("Brightblaze", B4),0) &gt; 0,VLOOKUP("Brightblaze", vote4TRAITS!A:C , 3, FALSE),
IFERROR(SEARCH("The Summoned Stone", B4),0) &gt; 0,VLOOKUP("The Summoned Stone", vote4TRAITS!A:C , 3, FALSE),
IFERROR(SEARCH("Wolf", B4),0) &gt; 0,VLOOKUP("Wolf", vote4TRAITS!A:C , 3, FALSE),
IFERROR(SEARCH("Shadow Soul", B4),0) &gt; 0,VLOOKUP("Shadow Soul", vote4TRAITS!A:C , 3, FALSE),
IFERROR(SEARCH("Raven Flock", B4),0) &gt; 0,VLOOKUP("Raven Flock", vote4TRAITS!A:C , 3, FALSE),
IFERROR(SEARCH("Scourge", B4),0) &gt; 0,VLOOKUP("Scourge", vote4TRAITS!A:C , 3, FALSE),
0=0,0)
,
0)</f>
        <v>2.333333333</v>
      </c>
      <c r="M4" s="94" t="s">
        <v>1949</v>
      </c>
      <c r="N4" s="427">
        <f>SUM(
IF(IFERROR(SEARCH("Black Venom",M4),0) &gt; 0 , VLOOKUP("Black Venom", vote4SURGE!A:C , 3), 0 ),
IF(IFERROR(SEARCH("Bleed",M4),0) &gt; 0 , VLOOKUP("Bleed", vote4SURGE!A:C , 3), 0 ),
IF(IFERROR(SEARCH("Blast",M4),0) &gt; 0 , VLOOKUP("Blast", vote4SURGE!A:C , 3), 0 ),
IF(IFERROR(SEARCH("Burn",M4),0) &gt; 0 , VLOOKUP("Burn", vote4SURGE!A:C , 3), 0 ),
IF(IFERROR(SEARCH("Charge",M4),0) &gt; 0 , VLOOKUP("Charge", vote4SURGE!A:C , 3), 0 ),
IF(IFERROR(SEARCH("Colonize",M4),0) &gt; 0 , VLOOKUP("Colonize", vote4SURGE!A:C , 3), 0 ),
IF(IFERROR(SEARCH("Curse",M4),0) &gt; 0 , VLOOKUP("Curse", vote4SURGE!A:C , 3), 0 ),
IF(IFERROR(SEARCH("Disease",M4),0) &gt; 0 , VLOOKUP("Disease", vote4SURGE!A:C , 3), 0 ),
IF(IFERROR(SEARCH("Doom",M4),0) &gt; 0 , VLOOKUP("Doom", vote4SURGE!A:C , 3), 0 ),
IF(IFERROR(SEARCH("Feast",M4),0) &gt; 0 , VLOOKUP("Feast", vote4SURGE!A:C , 3), 0 ),
IF(IFERROR(SEARCH("Fire Breath",M4),0) &gt; 0 , VLOOKUP("Fire Breath", vote4SURGE!A:C , 3), 0 ),
IF(IFERROR(SEARCH("Hunt",M4),0) &gt; 0 , VLOOKUP("Hunt", vote4SURGE!A:C , 3), 0 ),
IF(IFERROR(SEARCH("Immobilize",M4),0) &gt; 0 , VLOOKUP("Immobilize", vote4SURGE!A:C , 3), 0 ),
IF(IFERROR(SEARCH("Knockback",M4),0) &gt; 0 , VLOOKUP("Knockback", vote4SURGE!A:C , 3), 0 ),
IF(IFERROR(SEARCH("Lash",M4),0) &gt; 0 , VLOOKUP("Lash", vote4SURGE!A:C , 3), 0 ),
IF(IFERROR(SEARCH("Mend 2",M4),0) &gt; 0 , VLOOKUP("Mend 2", vote4SURGE!A:C , 3), 0 ),
IF(IFERROR(SEARCH("Mortal Binding",M4),0) &gt; 0 , VLOOKUP("Mortal Binding", vote4SURGE!A:C , 3), 0 ),
IF(IFERROR(SEARCH("Poison",M4),0) &gt; 0 , VLOOKUP("Poison", vote4SURGE!A:C , 3), 0 ),
IF(IFERROR(SEARCH("Stun",M4),0) &gt; 0 , VLOOKUP("Stun", vote4SURGE!A:C , 3), 0 ),
IF(IFERROR(SEARCH("Swarm",M4),0) &gt; 0 , VLOOKUP("Swarm", vote4SURGE!A:C , 3), 0 ),
IF(IFERROR(SEARCH("Terrify",M4),0) &gt; 0 , VLOOKUP("Terrify", vote4SURGE!A:C , 3), 0 ),
IF(IFERROR(SEARCH("Weaken",M4),0) &gt; 0 , VLOOKUP("Weaken", vote4SURGE!A:C , 3), 0 ),
IF(IFERROR(SEARCH("Wither",M4),0) &gt; 0 , VLOOKUP("Wither", vote4SURGE!A:C , 3), 0 ),
IFS(
IFERROR(SEARCH("Sorcery 1", M4),0) &gt; 0 ,VLOOKUP("Sorcery 1", vote4SURGE!A:C , 3),
IFERROR(SEARCH("Sorcery 2", M4),0) &gt; 0 ,VLOOKUP("Sorcery 2", vote4SURGE!A:C , 3),
IFERROR(SEARCH("Sorcery 3", M4),0) &gt; 0,VLOOKUP("Sorcery 3", vote4SURGE!A:C , 3),
0=0,0)
,
IFS(
IFERROR(SEARCH("Pierce 1", M4),0) &gt; 0 ,VLOOKUP("Pierce 1", vote4SURGE!A:C , 3),
IFERROR(SEARCH("Pierce 2", M4),0) &gt; 0 ,VLOOKUP("Pierce 2", vote4SURGE!A:C , 3),
IFERROR(SEARCH("Pierce 3", M4),0) &gt; 0,VLOOKUP("Pierce 3", vote4SURGE!A:C , 3),
IFERROR(SEARCH("Pierce 4", M4),0) &gt; 0 ,VLOOKUP("Pierce 4", vote4SURGE!A:C , 3),
0=0,0)
,
IFS(
IFERROR(SEARCH("+1 Wound", M4),0) &gt; 0 ,VLOOKUP("+1 Wound", vote4SURGE!A:C , 3),
IFERROR(SEARCH("+2 Wounds", M4),0) &gt; 0 ,VLOOKUP("+2 Wounds", vote4SURGE!A:C , 3),
IFERROR(SEARCH("+3 Wounds", M4),0) &gt; 0,VLOOKUP("+3 Wounds", vote4SURGE!A:C , 3),
IFERROR(SEARCH("+4 Wounds", M4),0) &gt; 0 ,VLOOKUP("+4 Wounds", vote4SURGE!A:C , 3),
0=0,0)
,
IFS(
IFERROR(SEARCH("+1 Range", M4),0) &gt; 0 ,VLOOKUP("+1 Range", vote4SURGE!A:C , 3),
IFERROR(SEARCH("+2 Range", M4),0) &gt; 0 ,VLOOKUP("+2 Range", vote4SURGE!A:C , 3),
IFERROR(SEARCH("+3 Range", M4),0) &gt; 0,VLOOKUP("+3 Range", vote4SURGE!A:C , 3),
0=0,0)
)
*
O4</f>
        <v>0</v>
      </c>
      <c r="O4" s="427">
        <f>IFS(
IFERROR(SEARCH("Blue, Red, Red",J4),0) &gt; 0 , VLOOKUP("Blue", Variables!A:C , 3) + VLOOKUP("Red", Variables!A:C , 3) * 2,
IFERROR(SEARCH("Blue, Yellow, Green",J4),0) &gt; 0 , VLOOKUP("Blue", Variables!A:C , 3) + VLOOKUP("Yellow", Variables!A:C , 3 , FALSE) + VLOOKUP("Green", Variables!A:C , 3),
IFERROR(SEARCH("Blue, Red, Green",J4),0) &gt; 0 , VLOOKUP("Blue", Variables!A:C , 3) + VLOOKUP("Red", Variables!A:C , 3) + VLOOKUP("Green", Variables!A:C , 3),
IFERROR(SEARCH("Blue, Red, Yellow",J4),0) &gt; 0 , VLOOKUP("Blue", Variables!A:C , 3) + VLOOKUP("Red", Variables!A:C , 3) + VLOOKUP("Yellow", Variables!A:C , 3 , FALSE),
IFERROR(FIND("Blue, Yellow",J4),0) &gt; 0 , VLOOKUP("Blue", Variables!A:C , 3) + VLOOKUP("Yellow", Variables!A:C , 3 , FALSE),
IFERROR(SEARCH("Blue, Red",J4),0) &gt; 0 , VLOOKUP("Blue", Variables!A:C , 3) + VLOOKUP("Red", Variables!A:C , 3),
IFERROR(SEARCH("Green",J4),0) &gt; 0 , VLOOKUP("Green", Variables!A:C , 3),
IFERROR(SEARCH("Blue",J4),0) &gt; 0 , VLOOKUP("Blue", Variables!A:C , 3),
IFERROR(SEARCH("Yellow",J4),0) &gt; 0 , VLOOKUP("Yellow", Variables!A:C , 3 , FALSE),
0=0,0)</f>
        <v>0</v>
      </c>
      <c r="P4" s="427">
        <f t="shared" si="1"/>
        <v>2.333333333</v>
      </c>
      <c r="Q4" s="94"/>
      <c r="R4" s="94"/>
      <c r="S4" s="94"/>
      <c r="T4" s="94"/>
      <c r="U4" s="94"/>
      <c r="V4" s="94"/>
      <c r="W4" s="94"/>
      <c r="X4" s="258"/>
      <c r="Y4" s="258"/>
      <c r="Z4" s="258"/>
      <c r="AA4" s="258"/>
    </row>
    <row r="5">
      <c r="A5" s="65" t="s">
        <v>1408</v>
      </c>
      <c r="B5" s="425" t="s">
        <v>983</v>
      </c>
      <c r="C5" s="426">
        <v>1.0</v>
      </c>
      <c r="D5" s="426">
        <v>1.0</v>
      </c>
      <c r="E5" s="426">
        <v>5.0</v>
      </c>
      <c r="F5" s="426">
        <v>6.0</v>
      </c>
      <c r="G5" s="94" t="s">
        <v>1663</v>
      </c>
      <c r="H5" s="427">
        <f>IFS(
IFERROR(SEARCH("Grey, Grey",G5),0) &gt; 0 , VLOOKUP("Grey", Variables!A:C , 2, FALSE) * 2,
IFERROR(SEARCH("Grey, Brown",G5),0) &gt; 0 , VLOOKUP("Grey", Variables!A:C , 2, FALSE)  + VLOOKUP("Brown", Variables!A:C , 2),
IFERROR(SEARCH("Black, Grey",G5),0) &gt; 0 , VLOOKUP("Black", Variables!A:C , 2) + VLOOKUP("Grey", Variables!A:C , 2, FALSE),
IFERROR(SEARCH("Black, Brown",G5),0) &gt; 0 , VLOOKUP("Black", Variables!A:C , 2) + VLOOKUP("Brown", Variables!A:C , 2),
IFERROR(SEARCH("Black",G5),0) &gt; 0 , VLOOKUP("Black", Variables!A:C , 2),
IFERROR(SEARCH("Grey",G5),0) &gt; 0 , VLOOKUP("Grey", Variables!A:C , 2, FALSE),
IFERROR(SEARCH("Brown",G5),0) &gt; 0 , VLOOKUP("Brown", Variables!A:C , 2),
0=0,0)</f>
        <v>1.333333333</v>
      </c>
      <c r="I5" s="94" t="s">
        <v>1521</v>
      </c>
      <c r="J5" s="94" t="s">
        <v>1949</v>
      </c>
      <c r="K5" s="427">
        <f>IFS(
IFERROR(SEARCH("Blue, Red, Red",J5),0) &gt; 0 , VLOOKUP("Blue", Variables!A:C , 2) + VLOOKUP("Red", Variables!A:C , 2) * 2,
IFERROR(SEARCH("Blue, Yellow, Green",J5),0) &gt; 0 , VLOOKUP("Blue", Variables!A:C , 2) + VLOOKUP("Yellow", Variables!A:C , 2 , FALSE) + VLOOKUP("Green", Variables!A:C , 2),
IFERROR(SEARCH("Blue, Red, Green",J5),0) &gt; 0 , VLOOKUP("Blue", Variables!A:C , 2) + VLOOKUP("Red", Variables!A:C , 2) + VLOOKUP("Green", Variables!A:C , 2),
IFERROR(SEARCH("Blue, Red, Yellow",J5),0) &gt; 0 , VLOOKUP("Blue", Variables!A:C , 2) + VLOOKUP("Red", Variables!A:C , 2) + VLOOKUP("Yellow", Variables!A:C , 2 , FALSE),
IFERROR(SEARCH("Blue, Yellow",J5),0) &gt; 0 , VLOOKUP("Blue", Variables!A:C , 2) + VLOOKUP("Yellow", Variables!A:C , 2 , FALSE),
IFERROR(SEARCH("Blue, Red",J5),0) &gt; 0 , VLOOKUP("Blue", Variables!A:C , 2) + VLOOKUP("Red", Variables!A:C , 2),
IFERROR(SEARCH("Green",J5),0) &gt; 0 , VLOOKUP("Green", Variables!A:C , 2),
IFERROR(SEARCH("Blue",J5),0) &gt; 0 , VLOOKUP("Blue", Variables!A:C , 2),
IFERROR(SEARCH("Yellow",J5),0) &gt; 0 , VLOOKUP("Yellow", Variables!A:C , 2 , FALSE),
0=0,0)
+
IF(I5="Ranged", 1 , 0)</f>
        <v>0</v>
      </c>
      <c r="L5" s="427">
        <f>IFERROR(
IFS(
IFERROR(SEARCH("Reanimate", B5),0) &gt; 0 ,VLOOKUP("Reanimate", vote4TRAITS!A:C , 3, FALSE),
IFERROR(SEARCH("Skye", B5),0) &gt; 0 ,VLOOKUP("Skye", vote4TRAITS!A:C , 3,FALSE),
IFERROR(SEARCH("Pico", B5),0) &gt; 0,VLOOKUP("Pico", vote4TRAITS!A:C , 3, FALSE),
IFERROR(SEARCH("Brightblaze", B5),0) &gt; 0,VLOOKUP("Brightblaze", vote4TRAITS!A:C , 3, FALSE),
IFERROR(SEARCH("The Summoned Stone", B5),0) &gt; 0,VLOOKUP("The Summoned Stone", vote4TRAITS!A:C , 3, FALSE),
IFERROR(SEARCH("Wolf", B5),0) &gt; 0,VLOOKUP("Wolf", vote4TRAITS!A:C , 3, FALSE),
IFERROR(SEARCH("Shadow Soul", B5),0) &gt; 0,VLOOKUP("Shadow Soul", vote4TRAITS!A:C , 3, FALSE),
IFERROR(SEARCH("Raven Flock", B5),0) &gt; 0,VLOOKUP("Raven Flock", vote4TRAITS!A:C , 3, FALSE),
IFERROR(SEARCH("Scourge", B5),0) &gt; 0,VLOOKUP("Scourge", vote4TRAITS!A:C , 3, FALSE),
0=0,0)
,
0)</f>
        <v>6.666666667</v>
      </c>
      <c r="M5" s="94" t="s">
        <v>1949</v>
      </c>
      <c r="N5" s="427">
        <f>SUM(
IF(IFERROR(SEARCH("Black Venom",M5),0) &gt; 0 , VLOOKUP("Black Venom", vote4SURGE!A:C , 3), 0 ),
IF(IFERROR(SEARCH("Bleed",M5),0) &gt; 0 , VLOOKUP("Bleed", vote4SURGE!A:C , 3), 0 ),
IF(IFERROR(SEARCH("Blast",M5),0) &gt; 0 , VLOOKUP("Blast", vote4SURGE!A:C , 3), 0 ),
IF(IFERROR(SEARCH("Burn",M5),0) &gt; 0 , VLOOKUP("Burn", vote4SURGE!A:C , 3), 0 ),
IF(IFERROR(SEARCH("Charge",M5),0) &gt; 0 , VLOOKUP("Charge", vote4SURGE!A:C , 3), 0 ),
IF(IFERROR(SEARCH("Colonize",M5),0) &gt; 0 , VLOOKUP("Colonize", vote4SURGE!A:C , 3), 0 ),
IF(IFERROR(SEARCH("Curse",M5),0) &gt; 0 , VLOOKUP("Curse", vote4SURGE!A:C , 3), 0 ),
IF(IFERROR(SEARCH("Disease",M5),0) &gt; 0 , VLOOKUP("Disease", vote4SURGE!A:C , 3), 0 ),
IF(IFERROR(SEARCH("Doom",M5),0) &gt; 0 , VLOOKUP("Doom", vote4SURGE!A:C , 3), 0 ),
IF(IFERROR(SEARCH("Feast",M5),0) &gt; 0 , VLOOKUP("Feast", vote4SURGE!A:C , 3), 0 ),
IF(IFERROR(SEARCH("Fire Breath",M5),0) &gt; 0 , VLOOKUP("Fire Breath", vote4SURGE!A:C , 3), 0 ),
IF(IFERROR(SEARCH("Hunt",M5),0) &gt; 0 , VLOOKUP("Hunt", vote4SURGE!A:C , 3), 0 ),
IF(IFERROR(SEARCH("Immobilize",M5),0) &gt; 0 , VLOOKUP("Immobilize", vote4SURGE!A:C , 3), 0 ),
IF(IFERROR(SEARCH("Knockback",M5),0) &gt; 0 , VLOOKUP("Knockback", vote4SURGE!A:C , 3), 0 ),
IF(IFERROR(SEARCH("Lash",M5),0) &gt; 0 , VLOOKUP("Lash", vote4SURGE!A:C , 3), 0 ),
IF(IFERROR(SEARCH("Mend 2",M5),0) &gt; 0 , VLOOKUP("Mend 2", vote4SURGE!A:C , 3), 0 ),
IF(IFERROR(SEARCH("Mortal Binding",M5),0) &gt; 0 , VLOOKUP("Mortal Binding", vote4SURGE!A:C , 3), 0 ),
IF(IFERROR(SEARCH("Poison",M5),0) &gt; 0 , VLOOKUP("Poison", vote4SURGE!A:C , 3), 0 ),
IF(IFERROR(SEARCH("Stun",M5),0) &gt; 0 , VLOOKUP("Stun", vote4SURGE!A:C , 3), 0 ),
IF(IFERROR(SEARCH("Swarm",M5),0) &gt; 0 , VLOOKUP("Swarm", vote4SURGE!A:C , 3), 0 ),
IF(IFERROR(SEARCH("Terrify",M5),0) &gt; 0 , VLOOKUP("Terrify", vote4SURGE!A:C , 3), 0 ),
IF(IFERROR(SEARCH("Weaken",M5),0) &gt; 0 , VLOOKUP("Weaken", vote4SURGE!A:C , 3), 0 ),
IF(IFERROR(SEARCH("Wither",M5),0) &gt; 0 , VLOOKUP("Wither", vote4SURGE!A:C , 3), 0 ),
IFS(
IFERROR(SEARCH("Sorcery 1", M5),0) &gt; 0 ,VLOOKUP("Sorcery 1", vote4SURGE!A:C , 3),
IFERROR(SEARCH("Sorcery 2", M5),0) &gt; 0 ,VLOOKUP("Sorcery 2", vote4SURGE!A:C , 3),
IFERROR(SEARCH("Sorcery 3", M5),0) &gt; 0,VLOOKUP("Sorcery 3", vote4SURGE!A:C , 3),
0=0,0)
,
IFS(
IFERROR(SEARCH("Pierce 1", M5),0) &gt; 0 ,VLOOKUP("Pierce 1", vote4SURGE!A:C , 3),
IFERROR(SEARCH("Pierce 2", M5),0) &gt; 0 ,VLOOKUP("Pierce 2", vote4SURGE!A:C , 3),
IFERROR(SEARCH("Pierce 3", M5),0) &gt; 0,VLOOKUP("Pierce 3", vote4SURGE!A:C , 3),
IFERROR(SEARCH("Pierce 4", M5),0) &gt; 0 ,VLOOKUP("Pierce 4", vote4SURGE!A:C , 3),
0=0,0)
,
IFS(
IFERROR(SEARCH("+1 Wound", M5),0) &gt; 0 ,VLOOKUP("+1 Wound", vote4SURGE!A:C , 3),
IFERROR(SEARCH("+2 Wounds", M5),0) &gt; 0 ,VLOOKUP("+2 Wounds", vote4SURGE!A:C , 3),
IFERROR(SEARCH("+3 Wounds", M5),0) &gt; 0,VLOOKUP("+3 Wounds", vote4SURGE!A:C , 3),
IFERROR(SEARCH("+4 Wounds", M5),0) &gt; 0 ,VLOOKUP("+4 Wounds", vote4SURGE!A:C , 3),
0=0,0)
,
IFS(
IFERROR(SEARCH("+1 Range", M5),0) &gt; 0 ,VLOOKUP("+1 Range", vote4SURGE!A:C , 3),
IFERROR(SEARCH("+2 Range", M5),0) &gt; 0 ,VLOOKUP("+2 Range", vote4SURGE!A:C , 3),
IFERROR(SEARCH("+3 Range", M5),0) &gt; 0,VLOOKUP("+3 Range", vote4SURGE!A:C , 3),
0=0,0)
)
*
O5</f>
        <v>0</v>
      </c>
      <c r="O5" s="427">
        <f>IFS(
IFERROR(SEARCH("Blue, Red, Red",J5),0) &gt; 0 , VLOOKUP("Blue", Variables!A:C , 3) + VLOOKUP("Red", Variables!A:C , 3) * 2,
IFERROR(SEARCH("Blue, Yellow, Green",J5),0) &gt; 0 , VLOOKUP("Blue", Variables!A:C , 3) + VLOOKUP("Yellow", Variables!A:C , 3 , FALSE) + VLOOKUP("Green", Variables!A:C , 3),
IFERROR(SEARCH("Blue, Red, Green",J5),0) &gt; 0 , VLOOKUP("Blue", Variables!A:C , 3) + VLOOKUP("Red", Variables!A:C , 3) + VLOOKUP("Green", Variables!A:C , 3),
IFERROR(SEARCH("Blue, Red, Yellow",J5),0) &gt; 0 , VLOOKUP("Blue", Variables!A:C , 3) + VLOOKUP("Red", Variables!A:C , 3) + VLOOKUP("Yellow", Variables!A:C , 3 , FALSE),
IFERROR(FIND("Blue, Yellow",J5),0) &gt; 0 , VLOOKUP("Blue", Variables!A:C , 3) + VLOOKUP("Yellow", Variables!A:C , 3 , FALSE),
IFERROR(SEARCH("Blue, Red",J5),0) &gt; 0 , VLOOKUP("Blue", Variables!A:C , 3) + VLOOKUP("Red", Variables!A:C , 3),
IFERROR(SEARCH("Green",J5),0) &gt; 0 , VLOOKUP("Green", Variables!A:C , 3),
IFERROR(SEARCH("Blue",J5),0) &gt; 0 , VLOOKUP("Blue", Variables!A:C , 3),
IFERROR(SEARCH("Yellow",J5),0) &gt; 0 , VLOOKUP("Yellow", Variables!A:C , 3 , FALSE),
0=0,0)</f>
        <v>0</v>
      </c>
      <c r="P5" s="427">
        <f t="shared" si="1"/>
        <v>15.65</v>
      </c>
      <c r="Q5" s="94"/>
      <c r="R5" s="94"/>
      <c r="S5" s="94"/>
      <c r="T5" s="94"/>
      <c r="U5" s="94"/>
      <c r="V5" s="94"/>
      <c r="W5" s="94"/>
      <c r="X5" s="258"/>
      <c r="Y5" s="258"/>
      <c r="Z5" s="258"/>
      <c r="AA5" s="258"/>
    </row>
    <row r="6">
      <c r="A6" s="65" t="s">
        <v>1950</v>
      </c>
      <c r="B6" s="425" t="s">
        <v>1154</v>
      </c>
      <c r="C6" s="426">
        <v>1.0</v>
      </c>
      <c r="D6" s="426">
        <v>1.0</v>
      </c>
      <c r="E6" s="426">
        <v>2.0</v>
      </c>
      <c r="F6" s="426">
        <v>2.0</v>
      </c>
      <c r="G6" s="94" t="s">
        <v>1621</v>
      </c>
      <c r="H6" s="427">
        <f>IFS(
IFERROR(SEARCH("Grey, Grey",G6),0) &gt; 0 , VLOOKUP("Grey", Variables!A:C , 2, FALSE) * 2,
IFERROR(SEARCH("Grey, Brown",G6),0) &gt; 0 , VLOOKUP("Grey", Variables!A:C , 2, FALSE)  + VLOOKUP("Brown", Variables!A:C , 2),
IFERROR(SEARCH("Black, Grey",G6),0) &gt; 0 , VLOOKUP("Black", Variables!A:C , 2) + VLOOKUP("Grey", Variables!A:C , 2, FALSE),
IFERROR(SEARCH("Black, Brown",G6),0) &gt; 0 , VLOOKUP("Black", Variables!A:C , 2) + VLOOKUP("Brown", Variables!A:C , 2),
IFERROR(SEARCH("Black",G6),0) &gt; 0 , VLOOKUP("Black", Variables!A:C , 2),
IFERROR(SEARCH("Grey",G6),0) &gt; 0 , VLOOKUP("Grey", Variables!A:C , 2, FALSE),
IFERROR(SEARCH("Brown",G6),0) &gt; 0 , VLOOKUP("Brown", Variables!A:C , 2),
0=0,0)</f>
        <v>1.166666667</v>
      </c>
      <c r="I6" s="94" t="s">
        <v>1949</v>
      </c>
      <c r="J6" s="94" t="s">
        <v>1949</v>
      </c>
      <c r="K6" s="427">
        <f>IFS(
IFERROR(SEARCH("Blue, Red, Red",J6),0) &gt; 0 , VLOOKUP("Blue", Variables!A:C , 2) + VLOOKUP("Red", Variables!A:C , 2) * 2,
IFERROR(SEARCH("Blue, Yellow, Green",J6),0) &gt; 0 , VLOOKUP("Blue", Variables!A:C , 2) + VLOOKUP("Yellow", Variables!A:C , 2 , FALSE) + VLOOKUP("Green", Variables!A:C , 2),
IFERROR(SEARCH("Blue, Red, Green",J6),0) &gt; 0 , VLOOKUP("Blue", Variables!A:C , 2) + VLOOKUP("Red", Variables!A:C , 2) + VLOOKUP("Green", Variables!A:C , 2),
IFERROR(SEARCH("Blue, Red, Yellow",J6),0) &gt; 0 , VLOOKUP("Blue", Variables!A:C , 2) + VLOOKUP("Red", Variables!A:C , 2) + VLOOKUP("Yellow", Variables!A:C , 2 , FALSE),
IFERROR(SEARCH("Blue, Yellow",J6),0) &gt; 0 , VLOOKUP("Blue", Variables!A:C , 2) + VLOOKUP("Yellow", Variables!A:C , 2 , FALSE),
IFERROR(SEARCH("Blue, Red",J6),0) &gt; 0 , VLOOKUP("Blue", Variables!A:C , 2) + VLOOKUP("Red", Variables!A:C , 2),
IFERROR(SEARCH("Green",J6),0) &gt; 0 , VLOOKUP("Green", Variables!A:C , 2),
IFERROR(SEARCH("Blue",J6),0) &gt; 0 , VLOOKUP("Blue", Variables!A:C , 2),
IFERROR(SEARCH("Yellow",J6),0) &gt; 0 , VLOOKUP("Yellow", Variables!A:C , 2 , FALSE),
0=0,0)
+
IF(I6="Ranged", 1 , 0)</f>
        <v>0</v>
      </c>
      <c r="L6" s="427">
        <f>IFERROR(
IFS(
IFERROR(SEARCH("Reanimate", B6),0) &gt; 0 ,VLOOKUP("Reanimate", vote4TRAITS!A:C , 3, FALSE),
IFERROR(SEARCH("Skye", B6),0) &gt; 0 ,VLOOKUP("Skye", vote4TRAITS!A:C , 3,FALSE),
IFERROR(SEARCH("Pico", B6),0) &gt; 0,VLOOKUP("Pico", vote4TRAITS!A:C , 3, FALSE),
IFERROR(SEARCH("Brightblaze", B6),0) &gt; 0,VLOOKUP("Brightblaze", vote4TRAITS!A:C , 3, FALSE),
IFERROR(SEARCH("The Summoned Stone", B6),0) &gt; 0,VLOOKUP("The Summoned Stone", vote4TRAITS!A:C , 3, FALSE),
IFERROR(SEARCH("Wolf", B6),0) &gt; 0,VLOOKUP("Wolf", vote4TRAITS!A:C , 3, FALSE),
IFERROR(SEARCH("Shadow Soul", B6),0) &gt; 0,VLOOKUP("Shadow Soul", vote4TRAITS!A:C , 3, FALSE),
IFERROR(SEARCH("Raven Flock", B6),0) &gt; 0,VLOOKUP("Raven Flock", vote4TRAITS!A:C , 3, FALSE),
IFERROR(SEARCH("Scourge", B6),0) &gt; 0,VLOOKUP("Scourge", vote4TRAITS!A:C , 3, FALSE),
0=0,0)
,
0)</f>
        <v>3.5</v>
      </c>
      <c r="M6" s="94" t="s">
        <v>1949</v>
      </c>
      <c r="N6" s="427">
        <f>SUM(
IF(IFERROR(SEARCH("Black Venom",M6),0) &gt; 0 , VLOOKUP("Black Venom", vote4SURGE!A:C , 3), 0 ),
IF(IFERROR(SEARCH("Bleed",M6),0) &gt; 0 , VLOOKUP("Bleed", vote4SURGE!A:C , 3), 0 ),
IF(IFERROR(SEARCH("Blast",M6),0) &gt; 0 , VLOOKUP("Blast", vote4SURGE!A:C , 3), 0 ),
IF(IFERROR(SEARCH("Burn",M6),0) &gt; 0 , VLOOKUP("Burn", vote4SURGE!A:C , 3), 0 ),
IF(IFERROR(SEARCH("Charge",M6),0) &gt; 0 , VLOOKUP("Charge", vote4SURGE!A:C , 3), 0 ),
IF(IFERROR(SEARCH("Colonize",M6),0) &gt; 0 , VLOOKUP("Colonize", vote4SURGE!A:C , 3), 0 ),
IF(IFERROR(SEARCH("Curse",M6),0) &gt; 0 , VLOOKUP("Curse", vote4SURGE!A:C , 3), 0 ),
IF(IFERROR(SEARCH("Disease",M6),0) &gt; 0 , VLOOKUP("Disease", vote4SURGE!A:C , 3), 0 ),
IF(IFERROR(SEARCH("Doom",M6),0) &gt; 0 , VLOOKUP("Doom", vote4SURGE!A:C , 3), 0 ),
IF(IFERROR(SEARCH("Feast",M6),0) &gt; 0 , VLOOKUP("Feast", vote4SURGE!A:C , 3), 0 ),
IF(IFERROR(SEARCH("Fire Breath",M6),0) &gt; 0 , VLOOKUP("Fire Breath", vote4SURGE!A:C , 3), 0 ),
IF(IFERROR(SEARCH("Hunt",M6),0) &gt; 0 , VLOOKUP("Hunt", vote4SURGE!A:C , 3), 0 ),
IF(IFERROR(SEARCH("Immobilize",M6),0) &gt; 0 , VLOOKUP("Immobilize", vote4SURGE!A:C , 3), 0 ),
IF(IFERROR(SEARCH("Knockback",M6),0) &gt; 0 , VLOOKUP("Knockback", vote4SURGE!A:C , 3), 0 ),
IF(IFERROR(SEARCH("Lash",M6),0) &gt; 0 , VLOOKUP("Lash", vote4SURGE!A:C , 3), 0 ),
IF(IFERROR(SEARCH("Mend 2",M6),0) &gt; 0 , VLOOKUP("Mend 2", vote4SURGE!A:C , 3), 0 ),
IF(IFERROR(SEARCH("Mortal Binding",M6),0) &gt; 0 , VLOOKUP("Mortal Binding", vote4SURGE!A:C , 3), 0 ),
IF(IFERROR(SEARCH("Poison",M6),0) &gt; 0 , VLOOKUP("Poison", vote4SURGE!A:C , 3), 0 ),
IF(IFERROR(SEARCH("Stun",M6),0) &gt; 0 , VLOOKUP("Stun", vote4SURGE!A:C , 3), 0 ),
IF(IFERROR(SEARCH("Swarm",M6),0) &gt; 0 , VLOOKUP("Swarm", vote4SURGE!A:C , 3), 0 ),
IF(IFERROR(SEARCH("Terrify",M6),0) &gt; 0 , VLOOKUP("Terrify", vote4SURGE!A:C , 3), 0 ),
IF(IFERROR(SEARCH("Weaken",M6),0) &gt; 0 , VLOOKUP("Weaken", vote4SURGE!A:C , 3), 0 ),
IF(IFERROR(SEARCH("Wither",M6),0) &gt; 0 , VLOOKUP("Wither", vote4SURGE!A:C , 3), 0 ),
IFS(
IFERROR(SEARCH("Sorcery 1", M6),0) &gt; 0 ,VLOOKUP("Sorcery 1", vote4SURGE!A:C , 3),
IFERROR(SEARCH("Sorcery 2", M6),0) &gt; 0 ,VLOOKUP("Sorcery 2", vote4SURGE!A:C , 3),
IFERROR(SEARCH("Sorcery 3", M6),0) &gt; 0,VLOOKUP("Sorcery 3", vote4SURGE!A:C , 3),
0=0,0)
,
IFS(
IFERROR(SEARCH("Pierce 1", M6),0) &gt; 0 ,VLOOKUP("Pierce 1", vote4SURGE!A:C , 3),
IFERROR(SEARCH("Pierce 2", M6),0) &gt; 0 ,VLOOKUP("Pierce 2", vote4SURGE!A:C , 3),
IFERROR(SEARCH("Pierce 3", M6),0) &gt; 0,VLOOKUP("Pierce 3", vote4SURGE!A:C , 3),
IFERROR(SEARCH("Pierce 4", M6),0) &gt; 0 ,VLOOKUP("Pierce 4", vote4SURGE!A:C , 3),
0=0,0)
,
IFS(
IFERROR(SEARCH("+1 Wound", M6),0) &gt; 0 ,VLOOKUP("+1 Wound", vote4SURGE!A:C , 3),
IFERROR(SEARCH("+2 Wounds", M6),0) &gt; 0 ,VLOOKUP("+2 Wounds", vote4SURGE!A:C , 3),
IFERROR(SEARCH("+3 Wounds", M6),0) &gt; 0,VLOOKUP("+3 Wounds", vote4SURGE!A:C , 3),
IFERROR(SEARCH("+4 Wounds", M6),0) &gt; 0 ,VLOOKUP("+4 Wounds", vote4SURGE!A:C , 3),
0=0,0)
,
IFS(
IFERROR(SEARCH("+1 Range", M6),0) &gt; 0 ,VLOOKUP("+1 Range", vote4SURGE!A:C , 3),
IFERROR(SEARCH("+2 Range", M6),0) &gt; 0 ,VLOOKUP("+2 Range", vote4SURGE!A:C , 3),
IFERROR(SEARCH("+3 Range", M6),0) &gt; 0,VLOOKUP("+3 Range", vote4SURGE!A:C , 3),
0=0,0)
)
*
O6</f>
        <v>0</v>
      </c>
      <c r="O6" s="427">
        <f>IFS(
IFERROR(SEARCH("Blue, Red, Red",J6),0) &gt; 0 , VLOOKUP("Blue", Variables!A:C , 3) + VLOOKUP("Red", Variables!A:C , 3) * 2,
IFERROR(SEARCH("Blue, Yellow, Green",J6),0) &gt; 0 , VLOOKUP("Blue", Variables!A:C , 3) + VLOOKUP("Yellow", Variables!A:C , 3 , FALSE) + VLOOKUP("Green", Variables!A:C , 3),
IFERROR(SEARCH("Blue, Red, Green",J6),0) &gt; 0 , VLOOKUP("Blue", Variables!A:C , 3) + VLOOKUP("Red", Variables!A:C , 3) + VLOOKUP("Green", Variables!A:C , 3),
IFERROR(SEARCH("Blue, Red, Yellow",J6),0) &gt; 0 , VLOOKUP("Blue", Variables!A:C , 3) + VLOOKUP("Red", Variables!A:C , 3) + VLOOKUP("Yellow", Variables!A:C , 3 , FALSE),
IFERROR(FIND("Blue, Yellow",J6),0) &gt; 0 , VLOOKUP("Blue", Variables!A:C , 3) + VLOOKUP("Yellow", Variables!A:C , 3 , FALSE),
IFERROR(SEARCH("Blue, Red",J6),0) &gt; 0 , VLOOKUP("Blue", Variables!A:C , 3) + VLOOKUP("Red", Variables!A:C , 3),
IFERROR(SEARCH("Green",J6),0) &gt; 0 , VLOOKUP("Green", Variables!A:C , 3),
IFERROR(SEARCH("Blue",J6),0) &gt; 0 , VLOOKUP("Blue", Variables!A:C , 3),
IFERROR(SEARCH("Yellow",J6),0) &gt; 0 , VLOOKUP("Yellow", Variables!A:C , 3 , FALSE),
0=0,0)</f>
        <v>0</v>
      </c>
      <c r="P6" s="427">
        <f t="shared" si="1"/>
        <v>7.326666667</v>
      </c>
      <c r="Q6" s="94"/>
      <c r="R6" s="94"/>
      <c r="S6" s="94"/>
      <c r="T6" s="94"/>
      <c r="U6" s="94"/>
      <c r="V6" s="94"/>
      <c r="W6" s="94"/>
      <c r="X6" s="258"/>
      <c r="Y6" s="258"/>
      <c r="Z6" s="258"/>
      <c r="AA6" s="258"/>
    </row>
    <row r="7">
      <c r="A7" s="65" t="s">
        <v>1951</v>
      </c>
      <c r="B7" s="425" t="s">
        <v>1166</v>
      </c>
      <c r="C7" s="426">
        <v>1.0</v>
      </c>
      <c r="D7" s="426">
        <v>1.0</v>
      </c>
      <c r="E7" s="426">
        <v>4.0</v>
      </c>
      <c r="F7" s="426">
        <v>3.0</v>
      </c>
      <c r="G7" s="94" t="s">
        <v>1949</v>
      </c>
      <c r="H7" s="427">
        <f>IFS(
IFERROR(SEARCH("Grey, Grey",G7),0) &gt; 0 , VLOOKUP("Grey", Variables!A:C , 2, FALSE) * 2,
IFERROR(SEARCH("Grey, Brown",G7),0) &gt; 0 , VLOOKUP("Grey", Variables!A:C , 2, FALSE)  + VLOOKUP("Brown", Variables!A:C , 2),
IFERROR(SEARCH("Black, Grey",G7),0) &gt; 0 , VLOOKUP("Black", Variables!A:C , 2) + VLOOKUP("Grey", Variables!A:C , 2, FALSE),
IFERROR(SEARCH("Black, Brown",G7),0) &gt; 0 , VLOOKUP("Black", Variables!A:C , 2) + VLOOKUP("Brown", Variables!A:C , 2),
IFERROR(SEARCH("Black",G7),0) &gt; 0 , VLOOKUP("Black", Variables!A:C , 2),
IFERROR(SEARCH("Grey",G7),0) &gt; 0 , VLOOKUP("Grey", Variables!A:C , 2, FALSE),
IFERROR(SEARCH("Brown",G7),0) &gt; 0 , VLOOKUP("Brown", Variables!A:C , 2),
0=0,0)</f>
        <v>0</v>
      </c>
      <c r="I7" s="94" t="s">
        <v>1521</v>
      </c>
      <c r="J7" s="94" t="s">
        <v>1525</v>
      </c>
      <c r="K7" s="427">
        <f>IFS(
IFERROR(SEARCH("Blue, Red, Red",J7),0) &gt; 0 , VLOOKUP("Blue", Variables!A:C , 2) + VLOOKUP("Red", Variables!A:C , 2) * 2,
IFERROR(SEARCH("Blue, Yellow, Green",J7),0) &gt; 0 , VLOOKUP("Blue", Variables!A:C , 2) + VLOOKUP("Yellow", Variables!A:C , 2 , FALSE) + VLOOKUP("Green", Variables!A:C , 2),
IFERROR(SEARCH("Blue, Red, Green",J7),0) &gt; 0 , VLOOKUP("Blue", Variables!A:C , 2) + VLOOKUP("Red", Variables!A:C , 2) + VLOOKUP("Green", Variables!A:C , 2),
IFERROR(SEARCH("Blue, Red, Yellow",J7),0) &gt; 0 , VLOOKUP("Blue", Variables!A:C , 2) + VLOOKUP("Red", Variables!A:C , 2) + VLOOKUP("Yellow", Variables!A:C , 2 , FALSE),
IFERROR(SEARCH("Blue, Yellow",J7),0) &gt; 0 , VLOOKUP("Blue", Variables!A:C , 2) + VLOOKUP("Yellow", Variables!A:C , 2 , FALSE),
IFERROR(SEARCH("Blue, Red",J7),0) &gt; 0 , VLOOKUP("Blue", Variables!A:C , 2) + VLOOKUP("Red", Variables!A:C , 2),
IFERROR(SEARCH("Green",J7),0) &gt; 0 , VLOOKUP("Green", Variables!A:C , 2),
IFERROR(SEARCH("Blue",J7),0) &gt; 0 , VLOOKUP("Blue", Variables!A:C , 2),
IFERROR(SEARCH("Yellow",J7),0) &gt; 0 , VLOOKUP("Yellow", Variables!A:C , 2 , FALSE),
0=0,0)
+
IF(I7="Ranged", 1 , 0)</f>
        <v>3.333333333</v>
      </c>
      <c r="L7" s="427">
        <f>IFERROR(
IFS(
IFERROR(SEARCH("Reanimate", B7),0) &gt; 0 ,VLOOKUP("Reanimate", vote4TRAITS!A:C , 3, FALSE),
IFERROR(SEARCH("Skye", B7),0) &gt; 0 ,VLOOKUP("Skye", vote4TRAITS!A:C , 3,FALSE),
IFERROR(SEARCH("Pico", B7),0) &gt; 0,VLOOKUP("Pico", vote4TRAITS!A:C , 3, FALSE),
IFERROR(SEARCH("Brightblaze", B7),0) &gt; 0,VLOOKUP("Brightblaze", vote4TRAITS!A:C , 3, FALSE),
IFERROR(SEARCH("The Summoned Stone", B7),0) &gt; 0,VLOOKUP("The Summoned Stone", vote4TRAITS!A:C , 3, FALSE),
IFERROR(SEARCH("Wolf", B7),0) &gt; 0,VLOOKUP("Wolf", vote4TRAITS!A:C , 3, FALSE),
IFERROR(SEARCH("Shadow Soul", B7),0) &gt; 0,VLOOKUP("Shadow Soul", vote4TRAITS!A:C , 3, FALSE),
IFERROR(SEARCH("Raven Flock", B7),0) &gt; 0,VLOOKUP("Raven Flock", vote4TRAITS!A:C , 3, FALSE),
IFERROR(SEARCH("Scourge", B7),0) &gt; 0,VLOOKUP("Scourge", vote4TRAITS!A:C , 3, FALSE),
0=0,0)
,
0)</f>
        <v>5.666666667</v>
      </c>
      <c r="M7" s="94" t="s">
        <v>1076</v>
      </c>
      <c r="N7" s="427">
        <f>SUM(
IF(IFERROR(SEARCH("Black Venom",M7),0) &gt; 0 , VLOOKUP("Black Venom", vote4SURGE!A:C , 3), 0 ),
IF(IFERROR(SEARCH("Bleed",M7),0) &gt; 0 , VLOOKUP("Bleed", vote4SURGE!A:C , 3), 0 ),
IF(IFERROR(SEARCH("Blast",M7),0) &gt; 0 , VLOOKUP("Blast", vote4SURGE!A:C , 3), 0 ),
IF(IFERROR(SEARCH("Burn",M7),0) &gt; 0 , VLOOKUP("Burn", vote4SURGE!A:C , 3), 0 ),
IF(IFERROR(SEARCH("Charge",M7),0) &gt; 0 , VLOOKUP("Charge", vote4SURGE!A:C , 3), 0 ),
IF(IFERROR(SEARCH("Colonize",M7),0) &gt; 0 , VLOOKUP("Colonize", vote4SURGE!A:C , 3), 0 ),
IF(IFERROR(SEARCH("Curse",M7),0) &gt; 0 , VLOOKUP("Curse", vote4SURGE!A:C , 3), 0 ),
IF(IFERROR(SEARCH("Disease",M7),0) &gt; 0 , VLOOKUP("Disease", vote4SURGE!A:C , 3), 0 ),
IF(IFERROR(SEARCH("Doom",M7),0) &gt; 0 , VLOOKUP("Doom", vote4SURGE!A:C , 3), 0 ),
IF(IFERROR(SEARCH("Feast",M7),0) &gt; 0 , VLOOKUP("Feast", vote4SURGE!A:C , 3), 0 ),
IF(IFERROR(SEARCH("Fire Breath",M7),0) &gt; 0 , VLOOKUP("Fire Breath", vote4SURGE!A:C , 3), 0 ),
IF(IFERROR(SEARCH("Hunt",M7),0) &gt; 0 , VLOOKUP("Hunt", vote4SURGE!A:C , 3), 0 ),
IF(IFERROR(SEARCH("Immobilize",M7),0) &gt; 0 , VLOOKUP("Immobilize", vote4SURGE!A:C , 3), 0 ),
IF(IFERROR(SEARCH("Knockback",M7),0) &gt; 0 , VLOOKUP("Knockback", vote4SURGE!A:C , 3), 0 ),
IF(IFERROR(SEARCH("Lash",M7),0) &gt; 0 , VLOOKUP("Lash", vote4SURGE!A:C , 3), 0 ),
IF(IFERROR(SEARCH("Mend 2",M7),0) &gt; 0 , VLOOKUP("Mend 2", vote4SURGE!A:C , 3), 0 ),
IF(IFERROR(SEARCH("Mortal Binding",M7),0) &gt; 0 , VLOOKUP("Mortal Binding", vote4SURGE!A:C , 3), 0 ),
IF(IFERROR(SEARCH("Poison",M7),0) &gt; 0 , VLOOKUP("Poison", vote4SURGE!A:C , 3), 0 ),
IF(IFERROR(SEARCH("Stun",M7),0) &gt; 0 , VLOOKUP("Stun", vote4SURGE!A:C , 3), 0 ),
IF(IFERROR(SEARCH("Swarm",M7),0) &gt; 0 , VLOOKUP("Swarm", vote4SURGE!A:C , 3), 0 ),
IF(IFERROR(SEARCH("Terrify",M7),0) &gt; 0 , VLOOKUP("Terrify", vote4SURGE!A:C , 3), 0 ),
IF(IFERROR(SEARCH("Weaken",M7),0) &gt; 0 , VLOOKUP("Weaken", vote4SURGE!A:C , 3), 0 ),
IF(IFERROR(SEARCH("Wither",M7),0) &gt; 0 , VLOOKUP("Wither", vote4SURGE!A:C , 3), 0 ),
IFS(
IFERROR(SEARCH("Sorcery 1", M7),0) &gt; 0 ,VLOOKUP("Sorcery 1", vote4SURGE!A:C , 3),
IFERROR(SEARCH("Sorcery 2", M7),0) &gt; 0 ,VLOOKUP("Sorcery 2", vote4SURGE!A:C , 3),
IFERROR(SEARCH("Sorcery 3", M7),0) &gt; 0,VLOOKUP("Sorcery 3", vote4SURGE!A:C , 3),
0=0,0)
,
IFS(
IFERROR(SEARCH("Pierce 1", M7),0) &gt; 0 ,VLOOKUP("Pierce 1", vote4SURGE!A:C , 3),
IFERROR(SEARCH("Pierce 2", M7),0) &gt; 0 ,VLOOKUP("Pierce 2", vote4SURGE!A:C , 3),
IFERROR(SEARCH("Pierce 3", M7),0) &gt; 0,VLOOKUP("Pierce 3", vote4SURGE!A:C , 3),
IFERROR(SEARCH("Pierce 4", M7),0) &gt; 0 ,VLOOKUP("Pierce 4", vote4SURGE!A:C , 3),
0=0,0)
,
IFS(
IFERROR(SEARCH("+1 Wound", M7),0) &gt; 0 ,VLOOKUP("+1 Wound", vote4SURGE!A:C , 3),
IFERROR(SEARCH("+2 Wounds", M7),0) &gt; 0 ,VLOOKUP("+2 Wounds", vote4SURGE!A:C , 3),
IFERROR(SEARCH("+3 Wounds", M7),0) &gt; 0,VLOOKUP("+3 Wounds", vote4SURGE!A:C , 3),
IFERROR(SEARCH("+4 Wounds", M7),0) &gt; 0 ,VLOOKUP("+4 Wounds", vote4SURGE!A:C , 3),
0=0,0)
,
IFS(
IFERROR(SEARCH("+1 Range", M7),0) &gt; 0 ,VLOOKUP("+1 Range", vote4SURGE!A:C , 3),
IFERROR(SEARCH("+2 Range", M7),0) &gt; 0 ,VLOOKUP("+2 Range", vote4SURGE!A:C , 3),
IFERROR(SEARCH("+3 Range", M7),0) &gt; 0,VLOOKUP("+3 Range", vote4SURGE!A:C , 3),
0=0,0)
)
*
O7</f>
        <v>1.75</v>
      </c>
      <c r="O7" s="427">
        <f>IFS(
IFERROR(SEARCH("Blue, Red, Red",J7),0) &gt; 0 , VLOOKUP("Blue", Variables!A:C , 3) + VLOOKUP("Red", Variables!A:C , 3) * 2,
IFERROR(SEARCH("Blue, Yellow, Green",J7),0) &gt; 0 , VLOOKUP("Blue", Variables!A:C , 3) + VLOOKUP("Yellow", Variables!A:C , 3 , FALSE) + VLOOKUP("Green", Variables!A:C , 3),
IFERROR(SEARCH("Blue, Red, Green",J7),0) &gt; 0 , VLOOKUP("Blue", Variables!A:C , 3) + VLOOKUP("Red", Variables!A:C , 3) + VLOOKUP("Green", Variables!A:C , 3),
IFERROR(SEARCH("Blue, Red, Yellow",J7),0) &gt; 0 , VLOOKUP("Blue", Variables!A:C , 3) + VLOOKUP("Red", Variables!A:C , 3) + VLOOKUP("Yellow", Variables!A:C , 3 , FALSE),
IFERROR(FIND("Blue, Yellow",J7),0) &gt; 0 , VLOOKUP("Blue", Variables!A:C , 3) + VLOOKUP("Yellow", Variables!A:C , 3 , FALSE),
IFERROR(SEARCH("Blue, Red",J7),0) &gt; 0 , VLOOKUP("Blue", Variables!A:C , 3) + VLOOKUP("Red", Variables!A:C , 3),
IFERROR(SEARCH("Green",J7),0) &gt; 0 , VLOOKUP("Green", Variables!A:C , 3),
IFERROR(SEARCH("Blue",J7),0) &gt; 0 , VLOOKUP("Blue", Variables!A:C , 3),
IFERROR(SEARCH("Yellow",J7),0) &gt; 0 , VLOOKUP("Yellow", Variables!A:C , 3 , FALSE),
0=0,0)</f>
        <v>0.5</v>
      </c>
      <c r="P7" s="427">
        <f t="shared" si="1"/>
        <v>15.07</v>
      </c>
      <c r="Q7" s="94"/>
      <c r="R7" s="94"/>
      <c r="S7" s="94"/>
      <c r="T7" s="94"/>
      <c r="U7" s="94"/>
      <c r="V7" s="94"/>
      <c r="W7" s="94"/>
      <c r="X7" s="258"/>
      <c r="Y7" s="258"/>
      <c r="Z7" s="258"/>
      <c r="AA7" s="258"/>
    </row>
    <row r="8">
      <c r="A8" s="65" t="s">
        <v>1952</v>
      </c>
      <c r="B8" s="425" t="s">
        <v>1122</v>
      </c>
      <c r="C8" s="426">
        <v>1.0</v>
      </c>
      <c r="D8" s="426">
        <v>1.0</v>
      </c>
      <c r="E8" s="426">
        <v>1.0</v>
      </c>
      <c r="F8" s="426" t="s">
        <v>1949</v>
      </c>
      <c r="G8" s="94" t="s">
        <v>1949</v>
      </c>
      <c r="H8" s="427">
        <f>IFS(
IFERROR(SEARCH("Grey, Grey",G8),0) &gt; 0 , VLOOKUP("Grey", Variables!A:C , 2, FALSE) * 2,
IFERROR(SEARCH("Grey, Brown",G8),0) &gt; 0 , VLOOKUP("Grey", Variables!A:C , 2, FALSE)  + VLOOKUP("Brown", Variables!A:C , 2),
IFERROR(SEARCH("Black, Grey",G8),0) &gt; 0 , VLOOKUP("Black", Variables!A:C , 2) + VLOOKUP("Grey", Variables!A:C , 2, FALSE),
IFERROR(SEARCH("Black, Brown",G8),0) &gt; 0 , VLOOKUP("Black", Variables!A:C , 2) + VLOOKUP("Brown", Variables!A:C , 2),
IFERROR(SEARCH("Black",G8),0) &gt; 0 , VLOOKUP("Black", Variables!A:C , 2),
IFERROR(SEARCH("Grey",G8),0) &gt; 0 , VLOOKUP("Grey", Variables!A:C , 2, FALSE),
IFERROR(SEARCH("Brown",G8),0) &gt; 0 , VLOOKUP("Brown", Variables!A:C , 2),
0=0,0)</f>
        <v>0</v>
      </c>
      <c r="I8" s="94" t="s">
        <v>1949</v>
      </c>
      <c r="J8" s="94" t="s">
        <v>1949</v>
      </c>
      <c r="K8" s="427">
        <f>IFS(
IFERROR(SEARCH("Blue, Red, Red",J8),0) &gt; 0 , VLOOKUP("Blue", Variables!A:C , 2) + VLOOKUP("Red", Variables!A:C , 2) * 2,
IFERROR(SEARCH("Blue, Yellow, Green",J8),0) &gt; 0 , VLOOKUP("Blue", Variables!A:C , 2) + VLOOKUP("Yellow", Variables!A:C , 2 , FALSE) + VLOOKUP("Green", Variables!A:C , 2),
IFERROR(SEARCH("Blue, Red, Green",J8),0) &gt; 0 , VLOOKUP("Blue", Variables!A:C , 2) + VLOOKUP("Red", Variables!A:C , 2) + VLOOKUP("Green", Variables!A:C , 2),
IFERROR(SEARCH("Blue, Red, Yellow",J8),0) &gt; 0 , VLOOKUP("Blue", Variables!A:C , 2) + VLOOKUP("Red", Variables!A:C , 2) + VLOOKUP("Yellow", Variables!A:C , 2 , FALSE),
IFERROR(SEARCH("Blue, Yellow",J8),0) &gt; 0 , VLOOKUP("Blue", Variables!A:C , 2) + VLOOKUP("Yellow", Variables!A:C , 2 , FALSE),
IFERROR(SEARCH("Blue, Red",J8),0) &gt; 0 , VLOOKUP("Blue", Variables!A:C , 2) + VLOOKUP("Red", Variables!A:C , 2),
IFERROR(SEARCH("Green",J8),0) &gt; 0 , VLOOKUP("Green", Variables!A:C , 2),
IFERROR(SEARCH("Blue",J8),0) &gt; 0 , VLOOKUP("Blue", Variables!A:C , 2),
IFERROR(SEARCH("Yellow",J8),0) &gt; 0 , VLOOKUP("Yellow", Variables!A:C , 2 , FALSE),
0=0,0)
+
IF(I8="Ranged", 1 , 0)</f>
        <v>0</v>
      </c>
      <c r="L8" s="427">
        <f>IFERROR(
IFS(
IFERROR(SEARCH("Reanimate", B8),0) &gt; 0 ,VLOOKUP("Reanimate", vote4TRAITS!A:C , 3, FALSE),
IFERROR(SEARCH("Skye", B8),0) &gt; 0 ,VLOOKUP("Skye", vote4TRAITS!A:C , 3,FALSE),
IFERROR(SEARCH("Pico", B8),0) &gt; 0,VLOOKUP("Pico", vote4TRAITS!A:C , 3, FALSE),
IFERROR(SEARCH("Brightblaze", B8),0) &gt; 0,VLOOKUP("Brightblaze", vote4TRAITS!A:C , 3, FALSE),
IFERROR(SEARCH("The Summoned Stone", B8),0) &gt; 0,VLOOKUP("The Summoned Stone", vote4TRAITS!A:C , 3, FALSE),
IFERROR(SEARCH("Wolf", B8),0) &gt; 0,VLOOKUP("Wolf", vote4TRAITS!A:C , 3, FALSE),
IFERROR(SEARCH("Shadow Soul", B8),0) &gt; 0,VLOOKUP("Shadow Soul", vote4TRAITS!A:C , 3, FALSE),
IFERROR(SEARCH("Raven Flock", B8),0) &gt; 0,VLOOKUP("Raven Flock", vote4TRAITS!A:C , 3, FALSE),
IFERROR(SEARCH("Scourge", B8),0) &gt; 0,VLOOKUP("Scourge", vote4TRAITS!A:C , 3, FALSE),
0=0,0)
,
0)</f>
        <v>3.666666667</v>
      </c>
      <c r="M8" s="94" t="s">
        <v>1949</v>
      </c>
      <c r="N8" s="427">
        <f>SUM(
IF(IFERROR(SEARCH("Black Venom",M8),0) &gt; 0 , VLOOKUP("Black Venom", vote4SURGE!A:C , 3), 0 ),
IF(IFERROR(SEARCH("Bleed",M8),0) &gt; 0 , VLOOKUP("Bleed", vote4SURGE!A:C , 3), 0 ),
IF(IFERROR(SEARCH("Blast",M8),0) &gt; 0 , VLOOKUP("Blast", vote4SURGE!A:C , 3), 0 ),
IF(IFERROR(SEARCH("Burn",M8),0) &gt; 0 , VLOOKUP("Burn", vote4SURGE!A:C , 3), 0 ),
IF(IFERROR(SEARCH("Charge",M8),0) &gt; 0 , VLOOKUP("Charge", vote4SURGE!A:C , 3), 0 ),
IF(IFERROR(SEARCH("Colonize",M8),0) &gt; 0 , VLOOKUP("Colonize", vote4SURGE!A:C , 3), 0 ),
IF(IFERROR(SEARCH("Curse",M8),0) &gt; 0 , VLOOKUP("Curse", vote4SURGE!A:C , 3), 0 ),
IF(IFERROR(SEARCH("Disease",M8),0) &gt; 0 , VLOOKUP("Disease", vote4SURGE!A:C , 3), 0 ),
IF(IFERROR(SEARCH("Doom",M8),0) &gt; 0 , VLOOKUP("Doom", vote4SURGE!A:C , 3), 0 ),
IF(IFERROR(SEARCH("Feast",M8),0) &gt; 0 , VLOOKUP("Feast", vote4SURGE!A:C , 3), 0 ),
IF(IFERROR(SEARCH("Fire Breath",M8),0) &gt; 0 , VLOOKUP("Fire Breath", vote4SURGE!A:C , 3), 0 ),
IF(IFERROR(SEARCH("Hunt",M8),0) &gt; 0 , VLOOKUP("Hunt", vote4SURGE!A:C , 3), 0 ),
IF(IFERROR(SEARCH("Immobilize",M8),0) &gt; 0 , VLOOKUP("Immobilize", vote4SURGE!A:C , 3), 0 ),
IF(IFERROR(SEARCH("Knockback",M8),0) &gt; 0 , VLOOKUP("Knockback", vote4SURGE!A:C , 3), 0 ),
IF(IFERROR(SEARCH("Lash",M8),0) &gt; 0 , VLOOKUP("Lash", vote4SURGE!A:C , 3), 0 ),
IF(IFERROR(SEARCH("Mend 2",M8),0) &gt; 0 , VLOOKUP("Mend 2", vote4SURGE!A:C , 3), 0 ),
IF(IFERROR(SEARCH("Mortal Binding",M8),0) &gt; 0 , VLOOKUP("Mortal Binding", vote4SURGE!A:C , 3), 0 ),
IF(IFERROR(SEARCH("Poison",M8),0) &gt; 0 , VLOOKUP("Poison", vote4SURGE!A:C , 3), 0 ),
IF(IFERROR(SEARCH("Stun",M8),0) &gt; 0 , VLOOKUP("Stun", vote4SURGE!A:C , 3), 0 ),
IF(IFERROR(SEARCH("Swarm",M8),0) &gt; 0 , VLOOKUP("Swarm", vote4SURGE!A:C , 3), 0 ),
IF(IFERROR(SEARCH("Terrify",M8),0) &gt; 0 , VLOOKUP("Terrify", vote4SURGE!A:C , 3), 0 ),
IF(IFERROR(SEARCH("Weaken",M8),0) &gt; 0 , VLOOKUP("Weaken", vote4SURGE!A:C , 3), 0 ),
IF(IFERROR(SEARCH("Wither",M8),0) &gt; 0 , VLOOKUP("Wither", vote4SURGE!A:C , 3), 0 ),
IFS(
IFERROR(SEARCH("Sorcery 1", M8),0) &gt; 0 ,VLOOKUP("Sorcery 1", vote4SURGE!A:C , 3),
IFERROR(SEARCH("Sorcery 2", M8),0) &gt; 0 ,VLOOKUP("Sorcery 2", vote4SURGE!A:C , 3),
IFERROR(SEARCH("Sorcery 3", M8),0) &gt; 0,VLOOKUP("Sorcery 3", vote4SURGE!A:C , 3),
0=0,0)
,
IFS(
IFERROR(SEARCH("Pierce 1", M8),0) &gt; 0 ,VLOOKUP("Pierce 1", vote4SURGE!A:C , 3),
IFERROR(SEARCH("Pierce 2", M8),0) &gt; 0 ,VLOOKUP("Pierce 2", vote4SURGE!A:C , 3),
IFERROR(SEARCH("Pierce 3", M8),0) &gt; 0,VLOOKUP("Pierce 3", vote4SURGE!A:C , 3),
IFERROR(SEARCH("Pierce 4", M8),0) &gt; 0 ,VLOOKUP("Pierce 4", vote4SURGE!A:C , 3),
0=0,0)
,
IFS(
IFERROR(SEARCH("+1 Wound", M8),0) &gt; 0 ,VLOOKUP("+1 Wound", vote4SURGE!A:C , 3),
IFERROR(SEARCH("+2 Wounds", M8),0) &gt; 0 ,VLOOKUP("+2 Wounds", vote4SURGE!A:C , 3),
IFERROR(SEARCH("+3 Wounds", M8),0) &gt; 0,VLOOKUP("+3 Wounds", vote4SURGE!A:C , 3),
IFERROR(SEARCH("+4 Wounds", M8),0) &gt; 0 ,VLOOKUP("+4 Wounds", vote4SURGE!A:C , 3),
0=0,0)
,
IFS(
IFERROR(SEARCH("+1 Range", M8),0) &gt; 0 ,VLOOKUP("+1 Range", vote4SURGE!A:C , 3),
IFERROR(SEARCH("+2 Range", M8),0) &gt; 0 ,VLOOKUP("+2 Range", vote4SURGE!A:C , 3),
IFERROR(SEARCH("+3 Range", M8),0) &gt; 0,VLOOKUP("+3 Range", vote4SURGE!A:C , 3),
0=0,0)
)
*
O8</f>
        <v>0</v>
      </c>
      <c r="O8" s="427">
        <f>IFS(
IFERROR(SEARCH("Blue, Red, Red",J8),0) &gt; 0 , VLOOKUP("Blue", Variables!A:C , 3) + VLOOKUP("Red", Variables!A:C , 3) * 2,
IFERROR(SEARCH("Blue, Yellow, Green",J8),0) &gt; 0 , VLOOKUP("Blue", Variables!A:C , 3) + VLOOKUP("Yellow", Variables!A:C , 3 , FALSE) + VLOOKUP("Green", Variables!A:C , 3),
IFERROR(SEARCH("Blue, Red, Green",J8),0) &gt; 0 , VLOOKUP("Blue", Variables!A:C , 3) + VLOOKUP("Red", Variables!A:C , 3) + VLOOKUP("Green", Variables!A:C , 3),
IFERROR(SEARCH("Blue, Red, Yellow",J8),0) &gt; 0 , VLOOKUP("Blue", Variables!A:C , 3) + VLOOKUP("Red", Variables!A:C , 3) + VLOOKUP("Yellow", Variables!A:C , 3 , FALSE),
IFERROR(FIND("Blue, Yellow",J8),0) &gt; 0 , VLOOKUP("Blue", Variables!A:C , 3) + VLOOKUP("Yellow", Variables!A:C , 3 , FALSE),
IFERROR(SEARCH("Blue, Red",J8),0) &gt; 0 , VLOOKUP("Blue", Variables!A:C , 3) + VLOOKUP("Red", Variables!A:C , 3),
IFERROR(SEARCH("Green",J8),0) &gt; 0 , VLOOKUP("Green", Variables!A:C , 3),
IFERROR(SEARCH("Blue",J8),0) &gt; 0 , VLOOKUP("Blue", Variables!A:C , 3),
IFERROR(SEARCH("Yellow",J8),0) &gt; 0 , VLOOKUP("Yellow", Variables!A:C , 3 , FALSE),
0=0,0)</f>
        <v>0</v>
      </c>
      <c r="P8" s="427">
        <f t="shared" si="1"/>
        <v>3.996666667</v>
      </c>
      <c r="Q8" s="94"/>
      <c r="R8" s="94"/>
      <c r="S8" s="94"/>
      <c r="T8" s="94"/>
      <c r="U8" s="94"/>
      <c r="V8" s="94"/>
      <c r="W8" s="94"/>
      <c r="X8" s="258"/>
      <c r="Y8" s="258"/>
      <c r="Z8" s="258"/>
      <c r="AA8" s="258"/>
    </row>
    <row r="9">
      <c r="A9" s="65" t="s">
        <v>1953</v>
      </c>
      <c r="B9" s="425" t="s">
        <v>1443</v>
      </c>
      <c r="C9" s="426">
        <v>1.0</v>
      </c>
      <c r="D9" s="426">
        <v>1.0</v>
      </c>
      <c r="E9" s="426">
        <v>4.0</v>
      </c>
      <c r="F9" s="426">
        <v>4.0</v>
      </c>
      <c r="G9" s="94" t="s">
        <v>1663</v>
      </c>
      <c r="H9" s="427">
        <f>IFS(
IFERROR(SEARCH("Grey, Grey",G9),0) &gt; 0 , VLOOKUP("Grey", Variables!A:C , 2, FALSE) * 2,
IFERROR(SEARCH("Grey, Brown",G9),0) &gt; 0 , VLOOKUP("Grey", Variables!A:C , 2, FALSE)  + VLOOKUP("Brown", Variables!A:C , 2),
IFERROR(SEARCH("Black, Grey",G9),0) &gt; 0 , VLOOKUP("Black", Variables!A:C , 2) + VLOOKUP("Grey", Variables!A:C , 2, FALSE),
IFERROR(SEARCH("Black, Brown",G9),0) &gt; 0 , VLOOKUP("Black", Variables!A:C , 2) + VLOOKUP("Brown", Variables!A:C , 2),
IFERROR(SEARCH("Black",G9),0) &gt; 0 , VLOOKUP("Black", Variables!A:C , 2),
IFERROR(SEARCH("Grey",G9),0) &gt; 0 , VLOOKUP("Grey", Variables!A:C , 2, FALSE),
IFERROR(SEARCH("Brown",G9),0) &gt; 0 , VLOOKUP("Brown", Variables!A:C , 2),
0=0,0)</f>
        <v>1.333333333</v>
      </c>
      <c r="I9" s="94" t="s">
        <v>1521</v>
      </c>
      <c r="J9" s="94" t="s">
        <v>1525</v>
      </c>
      <c r="K9" s="427">
        <f>IFS(
IFERROR(SEARCH("Blue, Red, Red",J9),0) &gt; 0 , VLOOKUP("Blue", Variables!A:C , 2) + VLOOKUP("Red", Variables!A:C , 2) * 2,
IFERROR(SEARCH("Blue, Yellow, Green",J9),0) &gt; 0 , VLOOKUP("Blue", Variables!A:C , 2) + VLOOKUP("Yellow", Variables!A:C , 2 , FALSE) + VLOOKUP("Green", Variables!A:C , 2),
IFERROR(SEARCH("Blue, Red, Green",J9),0) &gt; 0 , VLOOKUP("Blue", Variables!A:C , 2) + VLOOKUP("Red", Variables!A:C , 2) + VLOOKUP("Green", Variables!A:C , 2),
IFERROR(SEARCH("Blue, Red, Yellow",J9),0) &gt; 0 , VLOOKUP("Blue", Variables!A:C , 2) + VLOOKUP("Red", Variables!A:C , 2) + VLOOKUP("Yellow", Variables!A:C , 2 , FALSE),
IFERROR(SEARCH("Blue, Yellow",J9),0) &gt; 0 , VLOOKUP("Blue", Variables!A:C , 2) + VLOOKUP("Yellow", Variables!A:C , 2 , FALSE),
IFERROR(SEARCH("Blue, Red",J9),0) &gt; 0 , VLOOKUP("Blue", Variables!A:C , 2) + VLOOKUP("Red", Variables!A:C , 2),
IFERROR(SEARCH("Green",J9),0) &gt; 0 , VLOOKUP("Green", Variables!A:C , 2),
IFERROR(SEARCH("Blue",J9),0) &gt; 0 , VLOOKUP("Blue", Variables!A:C , 2),
IFERROR(SEARCH("Yellow",J9),0) &gt; 0 , VLOOKUP("Yellow", Variables!A:C , 2 , FALSE),
0=0,0)
+
IF(I9="Ranged", 1 , 0)</f>
        <v>3.333333333</v>
      </c>
      <c r="L9" s="427">
        <f>IFERROR(
IFS(
IFERROR(SEARCH("Reanimate", B9),0) &gt; 0 ,VLOOKUP("Reanimate", vote4TRAITS!A:C , 3, FALSE),
IFERROR(SEARCH("Skye", B9),0) &gt; 0 ,VLOOKUP("Skye", vote4TRAITS!A:C , 3,FALSE),
IFERROR(SEARCH("Pico", B9),0) &gt; 0,VLOOKUP("Pico", vote4TRAITS!A:C , 3, FALSE),
IFERROR(SEARCH("Brightblaze", B9),0) &gt; 0,VLOOKUP("Brightblaze", vote4TRAITS!A:C , 3, FALSE),
IFERROR(SEARCH("The Summoned Stone", B9),0) &gt; 0,VLOOKUP("The Summoned Stone", vote4TRAITS!A:C , 3, FALSE),
IFERROR(SEARCH("Wolf", B9),0) &gt; 0,VLOOKUP("Wolf", vote4TRAITS!A:C , 3, FALSE),
IFERROR(SEARCH("Shadow Soul", B9),0) &gt; 0,VLOOKUP("Shadow Soul", vote4TRAITS!A:C , 3, FALSE),
IFERROR(SEARCH("Raven Flock", B9),0) &gt; 0,VLOOKUP("Raven Flock", vote4TRAITS!A:C , 3, FALSE),
IFERROR(SEARCH("Scourge", B9),0) &gt; 0,VLOOKUP("Scourge", vote4TRAITS!A:C , 3, FALSE),
0=0,0)
,
0)</f>
        <v>0</v>
      </c>
      <c r="M9" s="428" t="s">
        <v>1177</v>
      </c>
      <c r="N9" s="427">
        <f>SUM(
IF(IFERROR(SEARCH("Black Venom",M9),0) &gt; 0 , VLOOKUP("Black Venom", vote4SURGE!A:C , 3), 0 ),
IF(IFERROR(SEARCH("Bleed",M9),0) &gt; 0 , VLOOKUP("Bleed", vote4SURGE!A:C , 3), 0 ),
IF(IFERROR(SEARCH("Blast",M9),0) &gt; 0 , VLOOKUP("Blast", vote4SURGE!A:C , 3), 0 ),
IF(IFERROR(SEARCH("Burn",M9),0) &gt; 0 , VLOOKUP("Burn", vote4SURGE!A:C , 3), 0 ),
IF(IFERROR(SEARCH("Charge",M9),0) &gt; 0 , VLOOKUP("Charge", vote4SURGE!A:C , 3), 0 ),
IF(IFERROR(SEARCH("Colonize",M9),0) &gt; 0 , VLOOKUP("Colonize", vote4SURGE!A:C , 3), 0 ),
IF(IFERROR(SEARCH("Curse",M9),0) &gt; 0 , VLOOKUP("Curse", vote4SURGE!A:C , 3), 0 ),
IF(IFERROR(SEARCH("Disease",M9),0) &gt; 0 , VLOOKUP("Disease", vote4SURGE!A:C , 3), 0 ),
IF(IFERROR(SEARCH("Doom",M9),0) &gt; 0 , VLOOKUP("Doom", vote4SURGE!A:C , 3), 0 ),
IF(IFERROR(SEARCH("Feast",M9),0) &gt; 0 , VLOOKUP("Feast", vote4SURGE!A:C , 3), 0 ),
IF(IFERROR(SEARCH("Fire Breath",M9),0) &gt; 0 , VLOOKUP("Fire Breath", vote4SURGE!A:C , 3), 0 ),
IF(IFERROR(SEARCH("Hunt",M9),0) &gt; 0 , VLOOKUP("Hunt", vote4SURGE!A:C , 3), 0 ),
IF(IFERROR(SEARCH("Immobilize",M9),0) &gt; 0 , VLOOKUP("Immobilize", vote4SURGE!A:C , 3), 0 ),
IF(IFERROR(SEARCH("Knockback",M9),0) &gt; 0 , VLOOKUP("Knockback", vote4SURGE!A:C , 3), 0 ),
IF(IFERROR(SEARCH("Lash",M9),0) &gt; 0 , VLOOKUP("Lash", vote4SURGE!A:C , 3), 0 ),
IF(IFERROR(SEARCH("Mend 2",M9),0) &gt; 0 , VLOOKUP("Mend 2", vote4SURGE!A:C , 3), 0 ),
IF(IFERROR(SEARCH("Mortal Binding",M9),0) &gt; 0 , VLOOKUP("Mortal Binding", vote4SURGE!A:C , 3), 0 ),
IF(IFERROR(SEARCH("Poison",M9),0) &gt; 0 , VLOOKUP("Poison", vote4SURGE!A:C , 3), 0 ),
IF(IFERROR(SEARCH("Stun",M9),0) &gt; 0 , VLOOKUP("Stun", vote4SURGE!A:C , 3), 0 ),
IF(IFERROR(SEARCH("Swarm",M9),0) &gt; 0 , VLOOKUP("Swarm", vote4SURGE!A:C , 3), 0 ),
IF(IFERROR(SEARCH("Terrify",M9),0) &gt; 0 , VLOOKUP("Terrify", vote4SURGE!A:C , 3), 0 ),
IF(IFERROR(SEARCH("Weaken",M9),0) &gt; 0 , VLOOKUP("Weaken", vote4SURGE!A:C , 3), 0 ),
IF(IFERROR(SEARCH("Wither",M9),0) &gt; 0 , VLOOKUP("Wither", vote4SURGE!A:C , 3), 0 ),
IFS(
IFERROR(SEARCH("Sorcery 1", M9),0) &gt; 0 ,VLOOKUP("Sorcery 1", vote4SURGE!A:C , 3),
IFERROR(SEARCH("Sorcery 2", M9),0) &gt; 0 ,VLOOKUP("Sorcery 2", vote4SURGE!A:C , 3),
IFERROR(SEARCH("Sorcery 3", M9),0) &gt; 0,VLOOKUP("Sorcery 3", vote4SURGE!A:C , 3),
0=0,0)
,
IFS(
IFERROR(SEARCH("Pierce 1", M9),0) &gt; 0 ,VLOOKUP("Pierce 1", vote4SURGE!A:C , 3),
IFERROR(SEARCH("Pierce 2", M9),0) &gt; 0 ,VLOOKUP("Pierce 2", vote4SURGE!A:C , 3),
IFERROR(SEARCH("Pierce 3", M9),0) &gt; 0,VLOOKUP("Pierce 3", vote4SURGE!A:C , 3),
IFERROR(SEARCH("Pierce 4", M9),0) &gt; 0 ,VLOOKUP("Pierce 4", vote4SURGE!A:C , 3),
0=0,0)
,
IFS(
IFERROR(SEARCH("+1 Wound", M9),0) &gt; 0 ,VLOOKUP("+1 Wound", vote4SURGE!A:C , 3),
IFERROR(SEARCH("+2 Wounds", M9),0) &gt; 0 ,VLOOKUP("+2 Wounds", vote4SURGE!A:C , 3),
IFERROR(SEARCH("+3 Wounds", M9),0) &gt; 0,VLOOKUP("+3 Wounds", vote4SURGE!A:C , 3),
IFERROR(SEARCH("+4 Wounds", M9),0) &gt; 0 ,VLOOKUP("+4 Wounds", vote4SURGE!A:C , 3),
0=0,0)
,
IFS(
IFERROR(SEARCH("+1 Range", M9),0) &gt; 0 ,VLOOKUP("+1 Range", vote4SURGE!A:C , 3),
IFERROR(SEARCH("+2 Range", M9),0) &gt; 0 ,VLOOKUP("+2 Range", vote4SURGE!A:C , 3),
IFERROR(SEARCH("+3 Range", M9),0) &gt; 0,VLOOKUP("+3 Range", vote4SURGE!A:C , 3),
0=0,0)
)
*
O9</f>
        <v>1.75</v>
      </c>
      <c r="O9" s="427">
        <f>IFS(
IFERROR(SEARCH("Blue, Red, Red",J9),0) &gt; 0 , VLOOKUP("Blue", Variables!A:C , 3) + VLOOKUP("Red", Variables!A:C , 3) * 2,
IFERROR(SEARCH("Blue, Yellow, Green",J9),0) &gt; 0 , VLOOKUP("Blue", Variables!A:C , 3) + VLOOKUP("Yellow", Variables!A:C , 3 , FALSE) + VLOOKUP("Green", Variables!A:C , 3),
IFERROR(SEARCH("Blue, Red, Green",J9),0) &gt; 0 , VLOOKUP("Blue", Variables!A:C , 3) + VLOOKUP("Red", Variables!A:C , 3) + VLOOKUP("Green", Variables!A:C , 3),
IFERROR(SEARCH("Blue, Red, Yellow",J9),0) &gt; 0 , VLOOKUP("Blue", Variables!A:C , 3) + VLOOKUP("Red", Variables!A:C , 3) + VLOOKUP("Yellow", Variables!A:C , 3 , FALSE),
IFERROR(FIND("Blue, Yellow",J9),0) &gt; 0 , VLOOKUP("Blue", Variables!A:C , 3) + VLOOKUP("Yellow", Variables!A:C , 3 , FALSE),
IFERROR(SEARCH("Blue, Red",J9),0) &gt; 0 , VLOOKUP("Blue", Variables!A:C , 3) + VLOOKUP("Red", Variables!A:C , 3),
IFERROR(SEARCH("Green",J9),0) &gt; 0 , VLOOKUP("Green", Variables!A:C , 3),
IFERROR(SEARCH("Blue",J9),0) &gt; 0 , VLOOKUP("Blue", Variables!A:C , 3),
IFERROR(SEARCH("Yellow",J9),0) &gt; 0 , VLOOKUP("Yellow", Variables!A:C , 3 , FALSE),
0=0,0)</f>
        <v>0.5</v>
      </c>
      <c r="P9" s="427">
        <f t="shared" si="1"/>
        <v>11.73666667</v>
      </c>
      <c r="Q9" s="94"/>
      <c r="R9" s="94"/>
      <c r="S9" s="94"/>
      <c r="T9" s="94"/>
      <c r="U9" s="94"/>
      <c r="V9" s="94"/>
      <c r="W9" s="94"/>
      <c r="X9" s="258"/>
      <c r="Y9" s="258"/>
      <c r="Z9" s="258"/>
      <c r="AA9" s="258"/>
    </row>
    <row r="10">
      <c r="A10" s="65" t="s">
        <v>1953</v>
      </c>
      <c r="B10" s="425" t="s">
        <v>1118</v>
      </c>
      <c r="C10" s="426">
        <v>1.0</v>
      </c>
      <c r="D10" s="426">
        <v>1.0</v>
      </c>
      <c r="E10" s="426">
        <v>1.0</v>
      </c>
      <c r="F10" s="426">
        <v>4.0</v>
      </c>
      <c r="G10" s="94" t="s">
        <v>1621</v>
      </c>
      <c r="H10" s="427">
        <f>IFS(
IFERROR(SEARCH("Grey, Grey",G10),0) &gt; 0 , VLOOKUP("Grey", Variables!A:C , 2, FALSE) * 2,
IFERROR(SEARCH("Grey, Brown",G10),0) &gt; 0 , VLOOKUP("Grey", Variables!A:C , 2, FALSE)  + VLOOKUP("Brown", Variables!A:C , 2),
IFERROR(SEARCH("Black, Grey",G10),0) &gt; 0 , VLOOKUP("Black", Variables!A:C , 2) + VLOOKUP("Grey", Variables!A:C , 2, FALSE),
IFERROR(SEARCH("Black, Brown",G10),0) &gt; 0 , VLOOKUP("Black", Variables!A:C , 2) + VLOOKUP("Brown", Variables!A:C , 2),
IFERROR(SEARCH("Black",G10),0) &gt; 0 , VLOOKUP("Black", Variables!A:C , 2),
IFERROR(SEARCH("Grey",G10),0) &gt; 0 , VLOOKUP("Grey", Variables!A:C , 2, FALSE),
IFERROR(SEARCH("Brown",G10),0) &gt; 0 , VLOOKUP("Brown", Variables!A:C , 2),
0=0,0)</f>
        <v>1.166666667</v>
      </c>
      <c r="I10" s="94" t="s">
        <v>1521</v>
      </c>
      <c r="J10" s="94" t="s">
        <v>1525</v>
      </c>
      <c r="K10" s="427">
        <f>IFS(
IFERROR(SEARCH("Blue, Red, Red",J10),0) &gt; 0 , VLOOKUP("Blue", Variables!A:C , 2) + VLOOKUP("Red", Variables!A:C , 2) * 2,
IFERROR(SEARCH("Blue, Yellow, Green",J10),0) &gt; 0 , VLOOKUP("Blue", Variables!A:C , 2) + VLOOKUP("Yellow", Variables!A:C , 2 , FALSE) + VLOOKUP("Green", Variables!A:C , 2),
IFERROR(SEARCH("Blue, Red, Green",J10),0) &gt; 0 , VLOOKUP("Blue", Variables!A:C , 2) + VLOOKUP("Red", Variables!A:C , 2) + VLOOKUP("Green", Variables!A:C , 2),
IFERROR(SEARCH("Blue, Red, Yellow",J10),0) &gt; 0 , VLOOKUP("Blue", Variables!A:C , 2) + VLOOKUP("Red", Variables!A:C , 2) + VLOOKUP("Yellow", Variables!A:C , 2 , FALSE),
IFERROR(SEARCH("Blue, Yellow",J10),0) &gt; 0 , VLOOKUP("Blue", Variables!A:C , 2) + VLOOKUP("Yellow", Variables!A:C , 2 , FALSE),
IFERROR(SEARCH("Blue, Red",J10),0) &gt; 0 , VLOOKUP("Blue", Variables!A:C , 2) + VLOOKUP("Red", Variables!A:C , 2),
IFERROR(SEARCH("Green",J10),0) &gt; 0 , VLOOKUP("Green", Variables!A:C , 2),
IFERROR(SEARCH("Blue",J10),0) &gt; 0 , VLOOKUP("Blue", Variables!A:C , 2),
IFERROR(SEARCH("Yellow",J10),0) &gt; 0 , VLOOKUP("Yellow", Variables!A:C , 2 , FALSE),
0=0,0)
+
IF(I10="Ranged", 1 , 0)</f>
        <v>3.333333333</v>
      </c>
      <c r="L10" s="427">
        <f>IFERROR(
IFS(
IFERROR(SEARCH("Reanimate", B10),0) &gt; 0 ,VLOOKUP("Reanimate", vote4TRAITS!A:C , 3, FALSE),
IFERROR(SEARCH("Skye", B10),0) &gt; 0 ,VLOOKUP("Skye", vote4TRAITS!A:C , 3,FALSE),
IFERROR(SEARCH("Pico", B10),0) &gt; 0,VLOOKUP("Pico", vote4TRAITS!A:C , 3, FALSE),
IFERROR(SEARCH("Brightblaze", B10),0) &gt; 0,VLOOKUP("Brightblaze", vote4TRAITS!A:C , 3, FALSE),
IFERROR(SEARCH("The Summoned Stone", B10),0) &gt; 0,VLOOKUP("The Summoned Stone", vote4TRAITS!A:C , 3, FALSE),
IFERROR(SEARCH("Wolf", B10),0) &gt; 0,VLOOKUP("Wolf", vote4TRAITS!A:C , 3, FALSE),
IFERROR(SEARCH("Shadow Soul", B10),0) &gt; 0,VLOOKUP("Shadow Soul", vote4TRAITS!A:C , 3, FALSE),
IFERROR(SEARCH("Raven Flock", B10),0) &gt; 0,VLOOKUP("Raven Flock", vote4TRAITS!A:C , 3, FALSE),
IFERROR(SEARCH("Scourge", B10),0) &gt; 0,VLOOKUP("Scourge", vote4TRAITS!A:C , 3, FALSE),
0=0,0)
,
0)</f>
        <v>3.666666667</v>
      </c>
      <c r="M10" s="94" t="s">
        <v>1949</v>
      </c>
      <c r="N10" s="427">
        <f>SUM(
IF(IFERROR(SEARCH("Black Venom",M10),0) &gt; 0 , VLOOKUP("Black Venom", vote4SURGE!A:C , 3), 0 ),
IF(IFERROR(SEARCH("Bleed",M10),0) &gt; 0 , VLOOKUP("Bleed", vote4SURGE!A:C , 3), 0 ),
IF(IFERROR(SEARCH("Blast",M10),0) &gt; 0 , VLOOKUP("Blast", vote4SURGE!A:C , 3), 0 ),
IF(IFERROR(SEARCH("Burn",M10),0) &gt; 0 , VLOOKUP("Burn", vote4SURGE!A:C , 3), 0 ),
IF(IFERROR(SEARCH("Charge",M10),0) &gt; 0 , VLOOKUP("Charge", vote4SURGE!A:C , 3), 0 ),
IF(IFERROR(SEARCH("Colonize",M10),0) &gt; 0 , VLOOKUP("Colonize", vote4SURGE!A:C , 3), 0 ),
IF(IFERROR(SEARCH("Curse",M10),0) &gt; 0 , VLOOKUP("Curse", vote4SURGE!A:C , 3), 0 ),
IF(IFERROR(SEARCH("Disease",M10),0) &gt; 0 , VLOOKUP("Disease", vote4SURGE!A:C , 3), 0 ),
IF(IFERROR(SEARCH("Doom",M10),0) &gt; 0 , VLOOKUP("Doom", vote4SURGE!A:C , 3), 0 ),
IF(IFERROR(SEARCH("Feast",M10),0) &gt; 0 , VLOOKUP("Feast", vote4SURGE!A:C , 3), 0 ),
IF(IFERROR(SEARCH("Fire Breath",M10),0) &gt; 0 , VLOOKUP("Fire Breath", vote4SURGE!A:C , 3), 0 ),
IF(IFERROR(SEARCH("Hunt",M10),0) &gt; 0 , VLOOKUP("Hunt", vote4SURGE!A:C , 3), 0 ),
IF(IFERROR(SEARCH("Immobilize",M10),0) &gt; 0 , VLOOKUP("Immobilize", vote4SURGE!A:C , 3), 0 ),
IF(IFERROR(SEARCH("Knockback",M10),0) &gt; 0 , VLOOKUP("Knockback", vote4SURGE!A:C , 3), 0 ),
IF(IFERROR(SEARCH("Lash",M10),0) &gt; 0 , VLOOKUP("Lash", vote4SURGE!A:C , 3), 0 ),
IF(IFERROR(SEARCH("Mend 2",M10),0) &gt; 0 , VLOOKUP("Mend 2", vote4SURGE!A:C , 3), 0 ),
IF(IFERROR(SEARCH("Mortal Binding",M10),0) &gt; 0 , VLOOKUP("Mortal Binding", vote4SURGE!A:C , 3), 0 ),
IF(IFERROR(SEARCH("Poison",M10),0) &gt; 0 , VLOOKUP("Poison", vote4SURGE!A:C , 3), 0 ),
IF(IFERROR(SEARCH("Stun",M10),0) &gt; 0 , VLOOKUP("Stun", vote4SURGE!A:C , 3), 0 ),
IF(IFERROR(SEARCH("Swarm",M10),0) &gt; 0 , VLOOKUP("Swarm", vote4SURGE!A:C , 3), 0 ),
IF(IFERROR(SEARCH("Terrify",M10),0) &gt; 0 , VLOOKUP("Terrify", vote4SURGE!A:C , 3), 0 ),
IF(IFERROR(SEARCH("Weaken",M10),0) &gt; 0 , VLOOKUP("Weaken", vote4SURGE!A:C , 3), 0 ),
IF(IFERROR(SEARCH("Wither",M10),0) &gt; 0 , VLOOKUP("Wither", vote4SURGE!A:C , 3), 0 ),
IFS(
IFERROR(SEARCH("Sorcery 1", M10),0) &gt; 0 ,VLOOKUP("Sorcery 1", vote4SURGE!A:C , 3),
IFERROR(SEARCH("Sorcery 2", M10),0) &gt; 0 ,VLOOKUP("Sorcery 2", vote4SURGE!A:C , 3),
IFERROR(SEARCH("Sorcery 3", M10),0) &gt; 0,VLOOKUP("Sorcery 3", vote4SURGE!A:C , 3),
0=0,0)
,
IFS(
IFERROR(SEARCH("Pierce 1", M10),0) &gt; 0 ,VLOOKUP("Pierce 1", vote4SURGE!A:C , 3),
IFERROR(SEARCH("Pierce 2", M10),0) &gt; 0 ,VLOOKUP("Pierce 2", vote4SURGE!A:C , 3),
IFERROR(SEARCH("Pierce 3", M10),0) &gt; 0,VLOOKUP("Pierce 3", vote4SURGE!A:C , 3),
IFERROR(SEARCH("Pierce 4", M10),0) &gt; 0 ,VLOOKUP("Pierce 4", vote4SURGE!A:C , 3),
0=0,0)
,
IFS(
IFERROR(SEARCH("+1 Wound", M10),0) &gt; 0 ,VLOOKUP("+1 Wound", vote4SURGE!A:C , 3),
IFERROR(SEARCH("+2 Wounds", M10),0) &gt; 0 ,VLOOKUP("+2 Wounds", vote4SURGE!A:C , 3),
IFERROR(SEARCH("+3 Wounds", M10),0) &gt; 0,VLOOKUP("+3 Wounds", vote4SURGE!A:C , 3),
IFERROR(SEARCH("+4 Wounds", M10),0) &gt; 0 ,VLOOKUP("+4 Wounds", vote4SURGE!A:C , 3),
0=0,0)
,
IFS(
IFERROR(SEARCH("+1 Range", M10),0) &gt; 0 ,VLOOKUP("+1 Range", vote4SURGE!A:C , 3),
IFERROR(SEARCH("+2 Range", M10),0) &gt; 0 ,VLOOKUP("+2 Range", vote4SURGE!A:C , 3),
IFERROR(SEARCH("+3 Range", M10),0) &gt; 0,VLOOKUP("+3 Range", vote4SURGE!A:C , 3),
0=0,0)
)
*
O10</f>
        <v>0</v>
      </c>
      <c r="O10" s="427">
        <f>IFS(
IFERROR(SEARCH("Blue, Red, Red",J10),0) &gt; 0 , VLOOKUP("Blue", Variables!A:C , 3) + VLOOKUP("Red", Variables!A:C , 3) * 2,
IFERROR(SEARCH("Blue, Yellow, Green",J10),0) &gt; 0 , VLOOKUP("Blue", Variables!A:C , 3) + VLOOKUP("Yellow", Variables!A:C , 3 , FALSE) + VLOOKUP("Green", Variables!A:C , 3),
IFERROR(SEARCH("Blue, Red, Green",J10),0) &gt; 0 , VLOOKUP("Blue", Variables!A:C , 3) + VLOOKUP("Red", Variables!A:C , 3) + VLOOKUP("Green", Variables!A:C , 3),
IFERROR(SEARCH("Blue, Red, Yellow",J10),0) &gt; 0 , VLOOKUP("Blue", Variables!A:C , 3) + VLOOKUP("Red", Variables!A:C , 3) + VLOOKUP("Yellow", Variables!A:C , 3 , FALSE),
IFERROR(FIND("Blue, Yellow",J10),0) &gt; 0 , VLOOKUP("Blue", Variables!A:C , 3) + VLOOKUP("Yellow", Variables!A:C , 3 , FALSE),
IFERROR(SEARCH("Blue, Red",J10),0) &gt; 0 , VLOOKUP("Blue", Variables!A:C , 3) + VLOOKUP("Red", Variables!A:C , 3),
IFERROR(SEARCH("Green",J10),0) &gt; 0 , VLOOKUP("Green", Variables!A:C , 3),
IFERROR(SEARCH("Blue",J10),0) &gt; 0 , VLOOKUP("Blue", Variables!A:C , 3),
IFERROR(SEARCH("Yellow",J10),0) &gt; 0 , VLOOKUP("Yellow", Variables!A:C , 3 , FALSE),
0=0,0)</f>
        <v>0.5</v>
      </c>
      <c r="P10" s="427">
        <f t="shared" si="1"/>
        <v>12.49666667</v>
      </c>
      <c r="Q10" s="94"/>
      <c r="R10" s="94"/>
      <c r="S10" s="94"/>
      <c r="T10" s="94"/>
      <c r="U10" s="94"/>
      <c r="V10" s="94"/>
      <c r="W10" s="94"/>
      <c r="X10" s="258"/>
      <c r="Y10" s="258"/>
      <c r="Z10" s="258"/>
      <c r="AA10" s="258"/>
    </row>
    <row r="11">
      <c r="A11" s="65" t="s">
        <v>1953</v>
      </c>
      <c r="B11" s="425" t="s">
        <v>1443</v>
      </c>
      <c r="C11" s="426">
        <v>2.0</v>
      </c>
      <c r="D11" s="426">
        <v>1.0</v>
      </c>
      <c r="E11" s="426">
        <v>4.0</v>
      </c>
      <c r="F11" s="426">
        <v>4.0</v>
      </c>
      <c r="G11" s="94" t="s">
        <v>1663</v>
      </c>
      <c r="H11" s="427">
        <f>IFS(
IFERROR(SEARCH("Grey, Grey",G11),0) &gt; 0 , VLOOKUP("Grey", Variables!A:C , 2, FALSE) * 2,
IFERROR(SEARCH("Grey, Brown",G11),0) &gt; 0 , VLOOKUP("Grey", Variables!A:C , 2, FALSE)  + VLOOKUP("Brown", Variables!A:C , 2),
IFERROR(SEARCH("Black, Grey",G11),0) &gt; 0 , VLOOKUP("Black", Variables!A:C , 2) + VLOOKUP("Grey", Variables!A:C , 2, FALSE),
IFERROR(SEARCH("Black, Brown",G11),0) &gt; 0 , VLOOKUP("Black", Variables!A:C , 2) + VLOOKUP("Brown", Variables!A:C , 2),
IFERROR(SEARCH("Black",G11),0) &gt; 0 , VLOOKUP("Black", Variables!A:C , 2),
IFERROR(SEARCH("Grey",G11),0) &gt; 0 , VLOOKUP("Grey", Variables!A:C , 2, FALSE),
IFERROR(SEARCH("Brown",G11),0) &gt; 0 , VLOOKUP("Brown", Variables!A:C , 2),
0=0,0)</f>
        <v>1.333333333</v>
      </c>
      <c r="I11" s="94" t="s">
        <v>1521</v>
      </c>
      <c r="J11" s="94" t="s">
        <v>1537</v>
      </c>
      <c r="K11" s="427">
        <f>IFS(
IFERROR(SEARCH("Blue, Red, Red",J11),0) &gt; 0 , VLOOKUP("Blue", Variables!A:C , 2) + VLOOKUP("Red", Variables!A:C , 2) * 2,
IFERROR(SEARCH("Blue, Yellow, Green",J11),0) &gt; 0 , VLOOKUP("Blue", Variables!A:C , 2) + VLOOKUP("Yellow", Variables!A:C , 2 , FALSE) + VLOOKUP("Green", Variables!A:C , 2),
IFERROR(SEARCH("Blue, Red, Green",J11),0) &gt; 0 , VLOOKUP("Blue", Variables!A:C , 2) + VLOOKUP("Red", Variables!A:C , 2) + VLOOKUP("Green", Variables!A:C , 2),
IFERROR(SEARCH("Blue, Red, Yellow",J11),0) &gt; 0 , VLOOKUP("Blue", Variables!A:C , 2) + VLOOKUP("Red", Variables!A:C , 2) + VLOOKUP("Yellow", Variables!A:C , 2 , FALSE),
IFERROR(SEARCH("Blue, Yellow",J11),0) &gt; 0 , VLOOKUP("Blue", Variables!A:C , 2) + VLOOKUP("Yellow", Variables!A:C , 2 , FALSE),
IFERROR(SEARCH("Blue, Red",J11),0) &gt; 0 , VLOOKUP("Blue", Variables!A:C , 2) + VLOOKUP("Red", Variables!A:C , 2),
IFERROR(SEARCH("Green",J11),0) &gt; 0 , VLOOKUP("Green", Variables!A:C , 2),
IFERROR(SEARCH("Blue",J11),0) &gt; 0 , VLOOKUP("Blue", Variables!A:C , 2),
IFERROR(SEARCH("Yellow",J11),0) &gt; 0 , VLOOKUP("Yellow", Variables!A:C , 2 , FALSE),
0=0,0)
+
IF(I11="Ranged", 1 , 0)</f>
        <v>4.5</v>
      </c>
      <c r="L11" s="427">
        <f>IFERROR(
IFS(
IFERROR(SEARCH("Reanimate", B11),0) &gt; 0 ,VLOOKUP("Reanimate", vote4TRAITS!A:C , 3, FALSE),
IFERROR(SEARCH("Skye", B11),0) &gt; 0 ,VLOOKUP("Skye", vote4TRAITS!A:C , 3,FALSE),
IFERROR(SEARCH("Pico", B11),0) &gt; 0,VLOOKUP("Pico", vote4TRAITS!A:C , 3, FALSE),
IFERROR(SEARCH("Brightblaze", B11),0) &gt; 0,VLOOKUP("Brightblaze", vote4TRAITS!A:C , 3, FALSE),
IFERROR(SEARCH("The Summoned Stone", B11),0) &gt; 0,VLOOKUP("The Summoned Stone", vote4TRAITS!A:C , 3, FALSE),
IFERROR(SEARCH("Wolf", B11),0) &gt; 0,VLOOKUP("Wolf", vote4TRAITS!A:C , 3, FALSE),
IFERROR(SEARCH("Shadow Soul", B11),0) &gt; 0,VLOOKUP("Shadow Soul", vote4TRAITS!A:C , 3, FALSE),
IFERROR(SEARCH("Raven Flock", B11),0) &gt; 0,VLOOKUP("Raven Flock", vote4TRAITS!A:C , 3, FALSE),
IFERROR(SEARCH("Scourge", B11),0) &gt; 0,VLOOKUP("Scourge", vote4TRAITS!A:C , 3, FALSE),
0=0,0)
,
0)</f>
        <v>0</v>
      </c>
      <c r="M11" s="428" t="s">
        <v>1177</v>
      </c>
      <c r="N11" s="427">
        <f>SUM(
IF(IFERROR(SEARCH("Black Venom",M11),0) &gt; 0 , VLOOKUP("Black Venom", vote4SURGE!A:C , 3), 0 ),
IF(IFERROR(SEARCH("Bleed",M11),0) &gt; 0 , VLOOKUP("Bleed", vote4SURGE!A:C , 3), 0 ),
IF(IFERROR(SEARCH("Blast",M11),0) &gt; 0 , VLOOKUP("Blast", vote4SURGE!A:C , 3), 0 ),
IF(IFERROR(SEARCH("Burn",M11),0) &gt; 0 , VLOOKUP("Burn", vote4SURGE!A:C , 3), 0 ),
IF(IFERROR(SEARCH("Charge",M11),0) &gt; 0 , VLOOKUP("Charge", vote4SURGE!A:C , 3), 0 ),
IF(IFERROR(SEARCH("Colonize",M11),0) &gt; 0 , VLOOKUP("Colonize", vote4SURGE!A:C , 3), 0 ),
IF(IFERROR(SEARCH("Curse",M11),0) &gt; 0 , VLOOKUP("Curse", vote4SURGE!A:C , 3), 0 ),
IF(IFERROR(SEARCH("Disease",M11),0) &gt; 0 , VLOOKUP("Disease", vote4SURGE!A:C , 3), 0 ),
IF(IFERROR(SEARCH("Doom",M11),0) &gt; 0 , VLOOKUP("Doom", vote4SURGE!A:C , 3), 0 ),
IF(IFERROR(SEARCH("Feast",M11),0) &gt; 0 , VLOOKUP("Feast", vote4SURGE!A:C , 3), 0 ),
IF(IFERROR(SEARCH("Fire Breath",M11),0) &gt; 0 , VLOOKUP("Fire Breath", vote4SURGE!A:C , 3), 0 ),
IF(IFERROR(SEARCH("Hunt",M11),0) &gt; 0 , VLOOKUP("Hunt", vote4SURGE!A:C , 3), 0 ),
IF(IFERROR(SEARCH("Immobilize",M11),0) &gt; 0 , VLOOKUP("Immobilize", vote4SURGE!A:C , 3), 0 ),
IF(IFERROR(SEARCH("Knockback",M11),0) &gt; 0 , VLOOKUP("Knockback", vote4SURGE!A:C , 3), 0 ),
IF(IFERROR(SEARCH("Lash",M11),0) &gt; 0 , VLOOKUP("Lash", vote4SURGE!A:C , 3), 0 ),
IF(IFERROR(SEARCH("Mend 2",M11),0) &gt; 0 , VLOOKUP("Mend 2", vote4SURGE!A:C , 3), 0 ),
IF(IFERROR(SEARCH("Mortal Binding",M11),0) &gt; 0 , VLOOKUP("Mortal Binding", vote4SURGE!A:C , 3), 0 ),
IF(IFERROR(SEARCH("Poison",M11),0) &gt; 0 , VLOOKUP("Poison", vote4SURGE!A:C , 3), 0 ),
IF(IFERROR(SEARCH("Stun",M11),0) &gt; 0 , VLOOKUP("Stun", vote4SURGE!A:C , 3), 0 ),
IF(IFERROR(SEARCH("Swarm",M11),0) &gt; 0 , VLOOKUP("Swarm", vote4SURGE!A:C , 3), 0 ),
IF(IFERROR(SEARCH("Terrify",M11),0) &gt; 0 , VLOOKUP("Terrify", vote4SURGE!A:C , 3), 0 ),
IF(IFERROR(SEARCH("Weaken",M11),0) &gt; 0 , VLOOKUP("Weaken", vote4SURGE!A:C , 3), 0 ),
IF(IFERROR(SEARCH("Wither",M11),0) &gt; 0 , VLOOKUP("Wither", vote4SURGE!A:C , 3), 0 ),
IFS(
IFERROR(SEARCH("Sorcery 1", M11),0) &gt; 0 ,VLOOKUP("Sorcery 1", vote4SURGE!A:C , 3),
IFERROR(SEARCH("Sorcery 2", M11),0) &gt; 0 ,VLOOKUP("Sorcery 2", vote4SURGE!A:C , 3),
IFERROR(SEARCH("Sorcery 3", M11),0) &gt; 0,VLOOKUP("Sorcery 3", vote4SURGE!A:C , 3),
0=0,0)
,
IFS(
IFERROR(SEARCH("Pierce 1", M11),0) &gt; 0 ,VLOOKUP("Pierce 1", vote4SURGE!A:C , 3),
IFERROR(SEARCH("Pierce 2", M11),0) &gt; 0 ,VLOOKUP("Pierce 2", vote4SURGE!A:C , 3),
IFERROR(SEARCH("Pierce 3", M11),0) &gt; 0,VLOOKUP("Pierce 3", vote4SURGE!A:C , 3),
IFERROR(SEARCH("Pierce 4", M11),0) &gt; 0 ,VLOOKUP("Pierce 4", vote4SURGE!A:C , 3),
0=0,0)
,
IFS(
IFERROR(SEARCH("+1 Wound", M11),0) &gt; 0 ,VLOOKUP("+1 Wound", vote4SURGE!A:C , 3),
IFERROR(SEARCH("+2 Wounds", M11),0) &gt; 0 ,VLOOKUP("+2 Wounds", vote4SURGE!A:C , 3),
IFERROR(SEARCH("+3 Wounds", M11),0) &gt; 0,VLOOKUP("+3 Wounds", vote4SURGE!A:C , 3),
IFERROR(SEARCH("+4 Wounds", M11),0) &gt; 0 ,VLOOKUP("+4 Wounds", vote4SURGE!A:C , 3),
0=0,0)
,
IFS(
IFERROR(SEARCH("+1 Range", M11),0) &gt; 0 ,VLOOKUP("+1 Range", vote4SURGE!A:C , 3),
IFERROR(SEARCH("+2 Range", M11),0) &gt; 0 ,VLOOKUP("+2 Range", vote4SURGE!A:C , 3),
IFERROR(SEARCH("+3 Range", M11),0) &gt; 0,VLOOKUP("+3 Range", vote4SURGE!A:C , 3),
0=0,0)
)
*
O11</f>
        <v>3.5</v>
      </c>
      <c r="O11" s="427">
        <f>IFS(
IFERROR(SEARCH("Blue, Red, Red",J11),0) &gt; 0 , VLOOKUP("Blue", Variables!A:C , 3) + VLOOKUP("Red", Variables!A:C , 3) * 2,
IFERROR(SEARCH("Blue, Yellow, Green",J11),0) &gt; 0 , VLOOKUP("Blue", Variables!A:C , 3) + VLOOKUP("Yellow", Variables!A:C , 3 , FALSE) + VLOOKUP("Green", Variables!A:C , 3),
IFERROR(SEARCH("Blue, Red, Green",J11),0) &gt; 0 , VLOOKUP("Blue", Variables!A:C , 3) + VLOOKUP("Red", Variables!A:C , 3) + VLOOKUP("Green", Variables!A:C , 3),
IFERROR(SEARCH("Blue, Red, Yellow",J11),0) &gt; 0 , VLOOKUP("Blue", Variables!A:C , 3) + VLOOKUP("Red", Variables!A:C , 3) + VLOOKUP("Yellow", Variables!A:C , 3 , FALSE),
IFERROR(FIND("Blue, Yellow",J11),0) &gt; 0 , VLOOKUP("Blue", Variables!A:C , 3) + VLOOKUP("Yellow", Variables!A:C , 3 , FALSE),
IFERROR(SEARCH("Blue, Red",J11),0) &gt; 0 , VLOOKUP("Blue", Variables!A:C , 3) + VLOOKUP("Red", Variables!A:C , 3),
IFERROR(SEARCH("Green",J11),0) &gt; 0 , VLOOKUP("Green", Variables!A:C , 3),
IFERROR(SEARCH("Blue",J11),0) &gt; 0 , VLOOKUP("Blue", Variables!A:C , 3),
IFERROR(SEARCH("Yellow",J11),0) &gt; 0 , VLOOKUP("Yellow", Variables!A:C , 3 , FALSE),
0=0,0)</f>
        <v>1</v>
      </c>
      <c r="P11" s="427">
        <f t="shared" si="1"/>
        <v>14.65333333</v>
      </c>
      <c r="Q11" s="94"/>
      <c r="R11" s="94"/>
      <c r="S11" s="94"/>
      <c r="T11" s="94"/>
      <c r="U11" s="94"/>
      <c r="V11" s="94"/>
      <c r="W11" s="94"/>
      <c r="X11" s="258"/>
      <c r="Y11" s="258"/>
      <c r="Z11" s="258"/>
      <c r="AA11" s="258"/>
    </row>
    <row r="12">
      <c r="A12" s="65" t="s">
        <v>1953</v>
      </c>
      <c r="B12" s="425" t="s">
        <v>1118</v>
      </c>
      <c r="C12" s="426">
        <v>2.0</v>
      </c>
      <c r="D12" s="426">
        <v>1.0</v>
      </c>
      <c r="E12" s="426">
        <v>1.0</v>
      </c>
      <c r="F12" s="426">
        <v>7.0</v>
      </c>
      <c r="G12" s="94" t="s">
        <v>1621</v>
      </c>
      <c r="H12" s="427">
        <f>IFS(
IFERROR(SEARCH("Grey, Grey",G12),0) &gt; 0 , VLOOKUP("Grey", Variables!A:C , 2, FALSE) * 2,
IFERROR(SEARCH("Grey, Brown",G12),0) &gt; 0 , VLOOKUP("Grey", Variables!A:C , 2, FALSE)  + VLOOKUP("Brown", Variables!A:C , 2),
IFERROR(SEARCH("Black, Grey",G12),0) &gt; 0 , VLOOKUP("Black", Variables!A:C , 2) + VLOOKUP("Grey", Variables!A:C , 2, FALSE),
IFERROR(SEARCH("Black, Brown",G12),0) &gt; 0 , VLOOKUP("Black", Variables!A:C , 2) + VLOOKUP("Brown", Variables!A:C , 2),
IFERROR(SEARCH("Black",G12),0) &gt; 0 , VLOOKUP("Black", Variables!A:C , 2),
IFERROR(SEARCH("Grey",G12),0) &gt; 0 , VLOOKUP("Grey", Variables!A:C , 2, FALSE),
IFERROR(SEARCH("Brown",G12),0) &gt; 0 , VLOOKUP("Brown", Variables!A:C , 2),
0=0,0)</f>
        <v>1.166666667</v>
      </c>
      <c r="I12" s="94" t="s">
        <v>1521</v>
      </c>
      <c r="J12" s="94" t="s">
        <v>1525</v>
      </c>
      <c r="K12" s="427">
        <f>IFS(
IFERROR(SEARCH("Blue, Red, Red",J12),0) &gt; 0 , VLOOKUP("Blue", Variables!A:C , 2) + VLOOKUP("Red", Variables!A:C , 2) * 2,
IFERROR(SEARCH("Blue, Yellow, Green",J12),0) &gt; 0 , VLOOKUP("Blue", Variables!A:C , 2) + VLOOKUP("Yellow", Variables!A:C , 2 , FALSE) + VLOOKUP("Green", Variables!A:C , 2),
IFERROR(SEARCH("Blue, Red, Green",J12),0) &gt; 0 , VLOOKUP("Blue", Variables!A:C , 2) + VLOOKUP("Red", Variables!A:C , 2) + VLOOKUP("Green", Variables!A:C , 2),
IFERROR(SEARCH("Blue, Red, Yellow",J12),0) &gt; 0 , VLOOKUP("Blue", Variables!A:C , 2) + VLOOKUP("Red", Variables!A:C , 2) + VLOOKUP("Yellow", Variables!A:C , 2 , FALSE),
IFERROR(SEARCH("Blue, Yellow",J12),0) &gt; 0 , VLOOKUP("Blue", Variables!A:C , 2) + VLOOKUP("Yellow", Variables!A:C , 2 , FALSE),
IFERROR(SEARCH("Blue, Red",J12),0) &gt; 0 , VLOOKUP("Blue", Variables!A:C , 2) + VLOOKUP("Red", Variables!A:C , 2),
IFERROR(SEARCH("Green",J12),0) &gt; 0 , VLOOKUP("Green", Variables!A:C , 2),
IFERROR(SEARCH("Blue",J12),0) &gt; 0 , VLOOKUP("Blue", Variables!A:C , 2),
IFERROR(SEARCH("Yellow",J12),0) &gt; 0 , VLOOKUP("Yellow", Variables!A:C , 2 , FALSE),
0=0,0)
+
IF(I12="Ranged", 1 , 0)</f>
        <v>3.333333333</v>
      </c>
      <c r="L12" s="427">
        <f>IFERROR(
IFS(
IFERROR(SEARCH("Reanimate", B12),0) &gt; 0 ,VLOOKUP("Reanimate", vote4TRAITS!A:C , 3, FALSE),
IFERROR(SEARCH("Skye", B12),0) &gt; 0 ,VLOOKUP("Skye", vote4TRAITS!A:C , 3,FALSE),
IFERROR(SEARCH("Pico", B12),0) &gt; 0,VLOOKUP("Pico", vote4TRAITS!A:C , 3, FALSE),
IFERROR(SEARCH("Brightblaze", B12),0) &gt; 0,VLOOKUP("Brightblaze", vote4TRAITS!A:C , 3, FALSE),
IFERROR(SEARCH("The Summoned Stone", B12),0) &gt; 0,VLOOKUP("The Summoned Stone", vote4TRAITS!A:C , 3, FALSE),
IFERROR(SEARCH("Wolf", B12),0) &gt; 0,VLOOKUP("Wolf", vote4TRAITS!A:C , 3, FALSE),
IFERROR(SEARCH("Shadow Soul", B12),0) &gt; 0,VLOOKUP("Shadow Soul", vote4TRAITS!A:C , 3, FALSE),
IFERROR(SEARCH("Raven Flock", B12),0) &gt; 0,VLOOKUP("Raven Flock", vote4TRAITS!A:C , 3, FALSE),
IFERROR(SEARCH("Scourge", B12),0) &gt; 0,VLOOKUP("Scourge", vote4TRAITS!A:C , 3, FALSE),
0=0,0)
,
0)</f>
        <v>3.666666667</v>
      </c>
      <c r="M12" s="94" t="s">
        <v>1949</v>
      </c>
      <c r="N12" s="427">
        <f>SUM(
IF(IFERROR(SEARCH("Black Venom",M12),0) &gt; 0 , VLOOKUP("Black Venom", vote4SURGE!A:C , 3), 0 ),
IF(IFERROR(SEARCH("Bleed",M12),0) &gt; 0 , VLOOKUP("Bleed", vote4SURGE!A:C , 3), 0 ),
IF(IFERROR(SEARCH("Blast",M12),0) &gt; 0 , VLOOKUP("Blast", vote4SURGE!A:C , 3), 0 ),
IF(IFERROR(SEARCH("Burn",M12),0) &gt; 0 , VLOOKUP("Burn", vote4SURGE!A:C , 3), 0 ),
IF(IFERROR(SEARCH("Charge",M12),0) &gt; 0 , VLOOKUP("Charge", vote4SURGE!A:C , 3), 0 ),
IF(IFERROR(SEARCH("Colonize",M12),0) &gt; 0 , VLOOKUP("Colonize", vote4SURGE!A:C , 3), 0 ),
IF(IFERROR(SEARCH("Curse",M12),0) &gt; 0 , VLOOKUP("Curse", vote4SURGE!A:C , 3), 0 ),
IF(IFERROR(SEARCH("Disease",M12),0) &gt; 0 , VLOOKUP("Disease", vote4SURGE!A:C , 3), 0 ),
IF(IFERROR(SEARCH("Doom",M12),0) &gt; 0 , VLOOKUP("Doom", vote4SURGE!A:C , 3), 0 ),
IF(IFERROR(SEARCH("Feast",M12),0) &gt; 0 , VLOOKUP("Feast", vote4SURGE!A:C , 3), 0 ),
IF(IFERROR(SEARCH("Fire Breath",M12),0) &gt; 0 , VLOOKUP("Fire Breath", vote4SURGE!A:C , 3), 0 ),
IF(IFERROR(SEARCH("Hunt",M12),0) &gt; 0 , VLOOKUP("Hunt", vote4SURGE!A:C , 3), 0 ),
IF(IFERROR(SEARCH("Immobilize",M12),0) &gt; 0 , VLOOKUP("Immobilize", vote4SURGE!A:C , 3), 0 ),
IF(IFERROR(SEARCH("Knockback",M12),0) &gt; 0 , VLOOKUP("Knockback", vote4SURGE!A:C , 3), 0 ),
IF(IFERROR(SEARCH("Lash",M12),0) &gt; 0 , VLOOKUP("Lash", vote4SURGE!A:C , 3), 0 ),
IF(IFERROR(SEARCH("Mend 2",M12),0) &gt; 0 , VLOOKUP("Mend 2", vote4SURGE!A:C , 3), 0 ),
IF(IFERROR(SEARCH("Mortal Binding",M12),0) &gt; 0 , VLOOKUP("Mortal Binding", vote4SURGE!A:C , 3), 0 ),
IF(IFERROR(SEARCH("Poison",M12),0) &gt; 0 , VLOOKUP("Poison", vote4SURGE!A:C , 3), 0 ),
IF(IFERROR(SEARCH("Stun",M12),0) &gt; 0 , VLOOKUP("Stun", vote4SURGE!A:C , 3), 0 ),
IF(IFERROR(SEARCH("Swarm",M12),0) &gt; 0 , VLOOKUP("Swarm", vote4SURGE!A:C , 3), 0 ),
IF(IFERROR(SEARCH("Terrify",M12),0) &gt; 0 , VLOOKUP("Terrify", vote4SURGE!A:C , 3), 0 ),
IF(IFERROR(SEARCH("Weaken",M12),0) &gt; 0 , VLOOKUP("Weaken", vote4SURGE!A:C , 3), 0 ),
IF(IFERROR(SEARCH("Wither",M12),0) &gt; 0 , VLOOKUP("Wither", vote4SURGE!A:C , 3), 0 ),
IFS(
IFERROR(SEARCH("Sorcery 1", M12),0) &gt; 0 ,VLOOKUP("Sorcery 1", vote4SURGE!A:C , 3),
IFERROR(SEARCH("Sorcery 2", M12),0) &gt; 0 ,VLOOKUP("Sorcery 2", vote4SURGE!A:C , 3),
IFERROR(SEARCH("Sorcery 3", M12),0) &gt; 0,VLOOKUP("Sorcery 3", vote4SURGE!A:C , 3),
0=0,0)
,
IFS(
IFERROR(SEARCH("Pierce 1", M12),0) &gt; 0 ,VLOOKUP("Pierce 1", vote4SURGE!A:C , 3),
IFERROR(SEARCH("Pierce 2", M12),0) &gt; 0 ,VLOOKUP("Pierce 2", vote4SURGE!A:C , 3),
IFERROR(SEARCH("Pierce 3", M12),0) &gt; 0,VLOOKUP("Pierce 3", vote4SURGE!A:C , 3),
IFERROR(SEARCH("Pierce 4", M12),0) &gt; 0 ,VLOOKUP("Pierce 4", vote4SURGE!A:C , 3),
0=0,0)
,
IFS(
IFERROR(SEARCH("+1 Wound", M12),0) &gt; 0 ,VLOOKUP("+1 Wound", vote4SURGE!A:C , 3),
IFERROR(SEARCH("+2 Wounds", M12),0) &gt; 0 ,VLOOKUP("+2 Wounds", vote4SURGE!A:C , 3),
IFERROR(SEARCH("+3 Wounds", M12),0) &gt; 0,VLOOKUP("+3 Wounds", vote4SURGE!A:C , 3),
IFERROR(SEARCH("+4 Wounds", M12),0) &gt; 0 ,VLOOKUP("+4 Wounds", vote4SURGE!A:C , 3),
0=0,0)
,
IFS(
IFERROR(SEARCH("+1 Range", M12),0) &gt; 0 ,VLOOKUP("+1 Range", vote4SURGE!A:C , 3),
IFERROR(SEARCH("+2 Range", M12),0) &gt; 0 ,VLOOKUP("+2 Range", vote4SURGE!A:C , 3),
IFERROR(SEARCH("+3 Range", M12),0) &gt; 0,VLOOKUP("+3 Range", vote4SURGE!A:C , 3),
0=0,0)
)
*
O12</f>
        <v>0</v>
      </c>
      <c r="O12" s="427">
        <f>IFS(
IFERROR(SEARCH("Blue, Red, Red",J12),0) &gt; 0 , VLOOKUP("Blue", Variables!A:C , 3) + VLOOKUP("Red", Variables!A:C , 3) * 2,
IFERROR(SEARCH("Blue, Yellow, Green",J12),0) &gt; 0 , VLOOKUP("Blue", Variables!A:C , 3) + VLOOKUP("Yellow", Variables!A:C , 3 , FALSE) + VLOOKUP("Green", Variables!A:C , 3),
IFERROR(SEARCH("Blue, Red, Green",J12),0) &gt; 0 , VLOOKUP("Blue", Variables!A:C , 3) + VLOOKUP("Red", Variables!A:C , 3) + VLOOKUP("Green", Variables!A:C , 3),
IFERROR(SEARCH("Blue, Red, Yellow",J12),0) &gt; 0 , VLOOKUP("Blue", Variables!A:C , 3) + VLOOKUP("Red", Variables!A:C , 3) + VLOOKUP("Yellow", Variables!A:C , 3 , FALSE),
IFERROR(FIND("Blue, Yellow",J12),0) &gt; 0 , VLOOKUP("Blue", Variables!A:C , 3) + VLOOKUP("Yellow", Variables!A:C , 3 , FALSE),
IFERROR(SEARCH("Blue, Red",J12),0) &gt; 0 , VLOOKUP("Blue", Variables!A:C , 3) + VLOOKUP("Red", Variables!A:C , 3),
IFERROR(SEARCH("Green",J12),0) &gt; 0 , VLOOKUP("Green", Variables!A:C , 3),
IFERROR(SEARCH("Blue",J12),0) &gt; 0 , VLOOKUP("Blue", Variables!A:C , 3),
IFERROR(SEARCH("Yellow",J12),0) &gt; 0 , VLOOKUP("Yellow", Variables!A:C , 3 , FALSE),
0=0,0)</f>
        <v>0.5</v>
      </c>
      <c r="P12" s="427">
        <f t="shared" si="1"/>
        <v>15.49666667</v>
      </c>
      <c r="Q12" s="94"/>
      <c r="R12" s="94"/>
      <c r="S12" s="94"/>
      <c r="T12" s="94"/>
      <c r="U12" s="94"/>
      <c r="V12" s="94"/>
      <c r="W12" s="94"/>
      <c r="X12" s="258"/>
      <c r="Y12" s="258"/>
      <c r="Z12" s="258"/>
      <c r="AA12" s="258"/>
    </row>
    <row r="13">
      <c r="A13" s="422"/>
      <c r="B13" s="422"/>
      <c r="C13" s="426"/>
      <c r="D13" s="426"/>
      <c r="E13" s="426"/>
      <c r="F13" s="426"/>
      <c r="G13" s="9"/>
      <c r="H13" s="9"/>
      <c r="I13" s="9"/>
      <c r="J13" s="9"/>
      <c r="K13" s="9"/>
      <c r="L13" s="9"/>
      <c r="M13" s="9"/>
      <c r="N13" s="9"/>
      <c r="O13" s="9"/>
      <c r="P13" s="9"/>
      <c r="Q13" s="9"/>
      <c r="R13" s="9"/>
      <c r="S13" s="9"/>
      <c r="T13" s="9"/>
      <c r="U13" s="9"/>
      <c r="V13" s="9"/>
      <c r="W13" s="9"/>
    </row>
    <row r="14">
      <c r="A14" s="422"/>
      <c r="B14" s="422"/>
      <c r="C14" s="426"/>
      <c r="D14" s="426"/>
      <c r="E14" s="426"/>
      <c r="F14" s="426"/>
      <c r="G14" s="9"/>
      <c r="H14" s="9"/>
      <c r="I14" s="9"/>
      <c r="J14" s="9"/>
      <c r="K14" s="9"/>
      <c r="L14" s="9"/>
      <c r="M14" s="9"/>
      <c r="N14" s="9"/>
      <c r="O14" s="9"/>
      <c r="P14" s="9"/>
      <c r="Q14" s="9"/>
      <c r="R14" s="9"/>
      <c r="S14" s="9"/>
      <c r="T14" s="9"/>
      <c r="U14" s="9"/>
      <c r="V14" s="9"/>
      <c r="W14" s="9"/>
    </row>
    <row r="15">
      <c r="A15" s="422"/>
      <c r="B15" s="422"/>
      <c r="C15" s="426"/>
      <c r="D15" s="426"/>
      <c r="E15" s="426"/>
      <c r="F15" s="426"/>
      <c r="G15" s="9"/>
      <c r="H15" s="9"/>
      <c r="I15" s="9"/>
      <c r="J15" s="9"/>
      <c r="K15" s="9"/>
      <c r="L15" s="9"/>
      <c r="M15" s="9"/>
      <c r="N15" s="9"/>
      <c r="O15" s="9"/>
      <c r="P15" s="9"/>
      <c r="Q15" s="9"/>
      <c r="R15" s="9"/>
      <c r="S15" s="9"/>
      <c r="T15" s="9"/>
      <c r="U15" s="9"/>
      <c r="V15" s="9"/>
      <c r="W15" s="9"/>
    </row>
    <row r="16">
      <c r="A16" s="422"/>
      <c r="B16" s="422"/>
      <c r="C16" s="426"/>
      <c r="D16" s="426"/>
      <c r="E16" s="426"/>
      <c r="F16" s="426"/>
      <c r="G16" s="9"/>
      <c r="H16" s="9"/>
      <c r="I16" s="9"/>
      <c r="J16" s="9"/>
      <c r="K16" s="9"/>
      <c r="L16" s="9"/>
      <c r="M16" s="9"/>
      <c r="N16" s="9"/>
      <c r="O16" s="9"/>
      <c r="P16" s="9"/>
      <c r="Q16" s="9"/>
      <c r="R16" s="9"/>
      <c r="S16" s="9"/>
      <c r="T16" s="9"/>
      <c r="U16" s="9"/>
      <c r="V16" s="9"/>
      <c r="W16" s="9"/>
    </row>
    <row r="17">
      <c r="A17" s="422"/>
      <c r="B17" s="422"/>
      <c r="C17" s="426"/>
      <c r="D17" s="426"/>
      <c r="E17" s="426"/>
      <c r="F17" s="426"/>
      <c r="G17" s="9"/>
      <c r="H17" s="9"/>
      <c r="I17" s="9"/>
      <c r="J17" s="9"/>
      <c r="K17" s="9"/>
      <c r="L17" s="9"/>
      <c r="M17" s="9"/>
      <c r="N17" s="9"/>
      <c r="O17" s="9"/>
      <c r="P17" s="9"/>
      <c r="Q17" s="9"/>
      <c r="R17" s="9"/>
      <c r="S17" s="9"/>
      <c r="T17" s="9"/>
      <c r="U17" s="9"/>
      <c r="V17" s="9"/>
      <c r="W17" s="9"/>
    </row>
    <row r="18">
      <c r="A18" s="422"/>
      <c r="B18" s="422"/>
      <c r="C18" s="426"/>
      <c r="D18" s="426"/>
      <c r="E18" s="426"/>
      <c r="F18" s="426"/>
      <c r="G18" s="9"/>
      <c r="H18" s="9"/>
      <c r="I18" s="9"/>
      <c r="J18" s="9"/>
      <c r="K18" s="9"/>
      <c r="L18" s="9"/>
      <c r="M18" s="9"/>
      <c r="N18" s="9"/>
      <c r="O18" s="9"/>
      <c r="P18" s="9"/>
      <c r="Q18" s="9"/>
      <c r="R18" s="9"/>
      <c r="S18" s="9"/>
      <c r="T18" s="9"/>
      <c r="U18" s="9"/>
      <c r="V18" s="9"/>
      <c r="W18" s="9"/>
    </row>
    <row r="19">
      <c r="A19" s="422"/>
      <c r="B19" s="422"/>
      <c r="C19" s="426"/>
      <c r="D19" s="426"/>
      <c r="E19" s="426"/>
      <c r="F19" s="426"/>
      <c r="G19" s="9"/>
      <c r="H19" s="9"/>
      <c r="I19" s="9"/>
      <c r="J19" s="9"/>
      <c r="K19" s="9"/>
      <c r="L19" s="9"/>
      <c r="M19" s="9"/>
      <c r="N19" s="9"/>
      <c r="O19" s="9"/>
      <c r="P19" s="9"/>
      <c r="Q19" s="9"/>
      <c r="R19" s="9"/>
      <c r="S19" s="9"/>
      <c r="T19" s="9"/>
      <c r="U19" s="9"/>
      <c r="V19" s="9"/>
      <c r="W19" s="9"/>
    </row>
    <row r="20">
      <c r="A20" s="422"/>
      <c r="B20" s="422"/>
      <c r="C20" s="426"/>
      <c r="D20" s="426"/>
      <c r="E20" s="426"/>
      <c r="F20" s="426"/>
      <c r="G20" s="9"/>
      <c r="H20" s="9"/>
      <c r="I20" s="9"/>
      <c r="J20" s="9"/>
      <c r="K20" s="9"/>
      <c r="L20" s="9"/>
      <c r="M20" s="9"/>
      <c r="N20" s="9"/>
      <c r="O20" s="9"/>
      <c r="P20" s="9"/>
      <c r="Q20" s="9"/>
      <c r="R20" s="9"/>
      <c r="S20" s="9"/>
      <c r="T20" s="9"/>
      <c r="U20" s="9"/>
      <c r="V20" s="9"/>
      <c r="W20" s="9"/>
    </row>
    <row r="21" ht="15.75" customHeight="1">
      <c r="A21" s="422"/>
      <c r="B21" s="422"/>
      <c r="C21" s="426"/>
      <c r="D21" s="426"/>
      <c r="E21" s="426"/>
      <c r="F21" s="426"/>
      <c r="G21" s="9"/>
      <c r="H21" s="9"/>
      <c r="I21" s="9"/>
      <c r="J21" s="9"/>
      <c r="K21" s="9"/>
      <c r="L21" s="9"/>
      <c r="M21" s="9"/>
      <c r="N21" s="9"/>
      <c r="O21" s="9"/>
      <c r="P21" s="9"/>
      <c r="Q21" s="9"/>
      <c r="R21" s="9"/>
      <c r="S21" s="9"/>
      <c r="T21" s="9"/>
      <c r="U21" s="9"/>
      <c r="V21" s="9"/>
      <c r="W21" s="9"/>
    </row>
    <row r="22" ht="15.75" customHeight="1">
      <c r="A22" s="422"/>
      <c r="B22" s="422"/>
      <c r="C22" s="426"/>
      <c r="D22" s="426"/>
      <c r="E22" s="426"/>
      <c r="F22" s="426"/>
      <c r="G22" s="9"/>
      <c r="H22" s="9"/>
      <c r="I22" s="9"/>
      <c r="J22" s="9"/>
      <c r="K22" s="9"/>
      <c r="L22" s="9"/>
      <c r="M22" s="9"/>
      <c r="N22" s="9"/>
      <c r="O22" s="9"/>
      <c r="P22" s="9"/>
      <c r="Q22" s="9"/>
      <c r="R22" s="9"/>
      <c r="S22" s="9"/>
      <c r="T22" s="9"/>
      <c r="U22" s="9"/>
      <c r="V22" s="9"/>
      <c r="W22" s="9"/>
    </row>
    <row r="23" ht="15.75" customHeight="1">
      <c r="A23" s="422"/>
      <c r="B23" s="422"/>
      <c r="C23" s="426"/>
      <c r="D23" s="426"/>
      <c r="E23" s="426"/>
      <c r="F23" s="426"/>
      <c r="G23" s="9"/>
      <c r="H23" s="9"/>
      <c r="I23" s="9"/>
      <c r="J23" s="9"/>
      <c r="K23" s="9"/>
      <c r="L23" s="9"/>
      <c r="M23" s="9"/>
      <c r="N23" s="9"/>
      <c r="O23" s="9"/>
      <c r="P23" s="9"/>
      <c r="Q23" s="9"/>
      <c r="R23" s="9"/>
      <c r="S23" s="9"/>
      <c r="T23" s="9"/>
      <c r="U23" s="9"/>
      <c r="V23" s="9"/>
      <c r="W23" s="9"/>
    </row>
    <row r="24" ht="15.75" customHeight="1">
      <c r="A24" s="422"/>
      <c r="B24" s="422"/>
      <c r="C24" s="426"/>
      <c r="D24" s="426"/>
      <c r="E24" s="426"/>
      <c r="F24" s="426"/>
      <c r="G24" s="9"/>
      <c r="H24" s="9"/>
      <c r="I24" s="9"/>
      <c r="J24" s="9"/>
      <c r="K24" s="9"/>
      <c r="L24" s="9"/>
      <c r="M24" s="9"/>
      <c r="N24" s="9"/>
      <c r="O24" s="9"/>
      <c r="P24" s="9"/>
      <c r="Q24" s="9"/>
      <c r="R24" s="9"/>
      <c r="S24" s="9"/>
      <c r="T24" s="9"/>
      <c r="U24" s="9"/>
      <c r="V24" s="9"/>
      <c r="W24" s="9"/>
    </row>
    <row r="25" ht="15.75" customHeight="1">
      <c r="A25" s="422"/>
      <c r="B25" s="422"/>
      <c r="C25" s="426"/>
      <c r="D25" s="426"/>
      <c r="E25" s="426"/>
      <c r="F25" s="426"/>
      <c r="G25" s="9"/>
      <c r="H25" s="9"/>
      <c r="I25" s="9"/>
      <c r="J25" s="9"/>
      <c r="K25" s="9"/>
      <c r="L25" s="9"/>
      <c r="M25" s="9"/>
      <c r="N25" s="9"/>
      <c r="O25" s="9"/>
      <c r="P25" s="9"/>
      <c r="Q25" s="9"/>
      <c r="R25" s="9"/>
      <c r="S25" s="9"/>
      <c r="T25" s="9"/>
      <c r="U25" s="9"/>
      <c r="V25" s="9"/>
      <c r="W25" s="9"/>
    </row>
    <row r="26" ht="15.75" customHeight="1">
      <c r="A26" s="422"/>
      <c r="B26" s="422"/>
      <c r="C26" s="426"/>
      <c r="D26" s="426"/>
      <c r="E26" s="426"/>
      <c r="F26" s="426"/>
      <c r="G26" s="9"/>
      <c r="H26" s="9"/>
      <c r="I26" s="9"/>
      <c r="J26" s="9"/>
      <c r="K26" s="9"/>
      <c r="L26" s="9"/>
      <c r="M26" s="9"/>
      <c r="N26" s="9"/>
      <c r="O26" s="9"/>
      <c r="P26" s="9"/>
      <c r="Q26" s="9"/>
      <c r="R26" s="9"/>
      <c r="S26" s="9"/>
      <c r="T26" s="9"/>
      <c r="U26" s="9"/>
      <c r="V26" s="9"/>
      <c r="W26" s="9"/>
    </row>
    <row r="27" ht="15.75" customHeight="1">
      <c r="A27" s="422"/>
      <c r="B27" s="422"/>
      <c r="C27" s="426"/>
      <c r="D27" s="426"/>
      <c r="E27" s="426"/>
      <c r="F27" s="426"/>
      <c r="G27" s="9"/>
      <c r="H27" s="9"/>
      <c r="I27" s="9"/>
      <c r="J27" s="9"/>
      <c r="K27" s="9"/>
      <c r="L27" s="9"/>
      <c r="M27" s="9"/>
      <c r="N27" s="9"/>
      <c r="O27" s="9"/>
      <c r="P27" s="9"/>
      <c r="Q27" s="9"/>
      <c r="R27" s="9"/>
      <c r="S27" s="9"/>
      <c r="T27" s="9"/>
      <c r="U27" s="9"/>
      <c r="V27" s="9"/>
      <c r="W27" s="9"/>
    </row>
    <row r="28" ht="15.75" customHeight="1">
      <c r="A28" s="422"/>
      <c r="B28" s="422"/>
      <c r="C28" s="426"/>
      <c r="D28" s="426"/>
      <c r="E28" s="426"/>
      <c r="F28" s="426"/>
      <c r="G28" s="9"/>
      <c r="H28" s="9"/>
      <c r="I28" s="9"/>
      <c r="J28" s="9"/>
      <c r="K28" s="9"/>
      <c r="L28" s="9"/>
      <c r="M28" s="9"/>
      <c r="N28" s="9"/>
      <c r="O28" s="9"/>
      <c r="P28" s="9"/>
      <c r="Q28" s="9"/>
      <c r="R28" s="9"/>
      <c r="S28" s="9"/>
      <c r="T28" s="9"/>
      <c r="U28" s="9"/>
      <c r="V28" s="9"/>
      <c r="W28" s="9"/>
    </row>
    <row r="29" ht="15.75" customHeight="1">
      <c r="A29" s="422"/>
      <c r="B29" s="422"/>
      <c r="C29" s="426"/>
      <c r="D29" s="426"/>
      <c r="E29" s="426"/>
      <c r="F29" s="426"/>
      <c r="G29" s="9"/>
      <c r="H29" s="9"/>
      <c r="I29" s="9"/>
      <c r="J29" s="9"/>
      <c r="K29" s="9"/>
      <c r="L29" s="9"/>
      <c r="M29" s="9"/>
      <c r="N29" s="9"/>
      <c r="O29" s="9"/>
      <c r="P29" s="9"/>
      <c r="Q29" s="9"/>
      <c r="R29" s="9"/>
      <c r="S29" s="9"/>
      <c r="T29" s="9"/>
      <c r="U29" s="9"/>
      <c r="V29" s="9"/>
      <c r="W29" s="9"/>
    </row>
    <row r="30" ht="15.75" customHeight="1">
      <c r="A30" s="422"/>
      <c r="B30" s="422"/>
      <c r="C30" s="426"/>
      <c r="D30" s="426"/>
      <c r="E30" s="426"/>
      <c r="F30" s="426"/>
      <c r="G30" s="9"/>
      <c r="H30" s="9"/>
      <c r="I30" s="9"/>
      <c r="J30" s="9"/>
      <c r="K30" s="9"/>
      <c r="L30" s="9"/>
      <c r="M30" s="9"/>
      <c r="N30" s="9"/>
      <c r="O30" s="9"/>
      <c r="P30" s="9"/>
      <c r="Q30" s="9"/>
      <c r="R30" s="9"/>
      <c r="S30" s="9"/>
      <c r="T30" s="9"/>
      <c r="U30" s="9"/>
      <c r="V30" s="9"/>
      <c r="W30" s="9"/>
    </row>
    <row r="31" ht="15.75" customHeight="1">
      <c r="A31" s="422"/>
      <c r="B31" s="422"/>
      <c r="C31" s="426"/>
      <c r="D31" s="426"/>
      <c r="E31" s="426"/>
      <c r="F31" s="426"/>
      <c r="G31" s="9"/>
      <c r="H31" s="9"/>
      <c r="I31" s="9"/>
      <c r="J31" s="9"/>
      <c r="K31" s="9"/>
      <c r="L31" s="9"/>
      <c r="M31" s="9"/>
      <c r="N31" s="9"/>
      <c r="O31" s="9"/>
      <c r="P31" s="9"/>
      <c r="Q31" s="9"/>
      <c r="R31" s="9"/>
      <c r="S31" s="9"/>
      <c r="T31" s="9"/>
      <c r="U31" s="9"/>
      <c r="V31" s="9"/>
      <c r="W31" s="9"/>
    </row>
    <row r="32" ht="15.75" customHeight="1">
      <c r="A32" s="422"/>
      <c r="B32" s="422"/>
      <c r="C32" s="426"/>
      <c r="D32" s="426"/>
      <c r="E32" s="426"/>
      <c r="F32" s="426"/>
      <c r="G32" s="9"/>
      <c r="H32" s="9"/>
      <c r="I32" s="9"/>
      <c r="J32" s="9"/>
      <c r="K32" s="9"/>
      <c r="L32" s="9"/>
      <c r="M32" s="9"/>
      <c r="N32" s="9"/>
      <c r="O32" s="9"/>
      <c r="P32" s="9"/>
      <c r="Q32" s="9"/>
      <c r="R32" s="9"/>
      <c r="S32" s="9"/>
      <c r="T32" s="9"/>
      <c r="U32" s="9"/>
      <c r="V32" s="9"/>
      <c r="W32" s="9"/>
    </row>
    <row r="33" ht="15.75" customHeight="1">
      <c r="A33" s="422"/>
      <c r="B33" s="422"/>
      <c r="C33" s="426"/>
      <c r="D33" s="426"/>
      <c r="E33" s="426"/>
      <c r="F33" s="426"/>
      <c r="G33" s="9"/>
      <c r="H33" s="9"/>
      <c r="I33" s="9"/>
      <c r="J33" s="9"/>
      <c r="K33" s="9"/>
      <c r="L33" s="9"/>
      <c r="M33" s="9"/>
      <c r="N33" s="9"/>
      <c r="O33" s="9"/>
      <c r="P33" s="9"/>
      <c r="Q33" s="9"/>
      <c r="R33" s="9"/>
      <c r="S33" s="9"/>
      <c r="T33" s="9"/>
      <c r="U33" s="9"/>
      <c r="V33" s="9"/>
      <c r="W33" s="9"/>
    </row>
    <row r="34" ht="15.75" customHeight="1">
      <c r="A34" s="422"/>
      <c r="B34" s="422"/>
      <c r="C34" s="426"/>
      <c r="D34" s="426"/>
      <c r="E34" s="426"/>
      <c r="F34" s="426"/>
      <c r="G34" s="9"/>
      <c r="H34" s="9"/>
      <c r="I34" s="9"/>
      <c r="J34" s="9"/>
      <c r="K34" s="9"/>
      <c r="L34" s="9"/>
      <c r="M34" s="9"/>
      <c r="N34" s="9"/>
      <c r="O34" s="9"/>
      <c r="P34" s="9"/>
      <c r="Q34" s="9"/>
      <c r="R34" s="9"/>
      <c r="S34" s="9"/>
      <c r="T34" s="9"/>
      <c r="U34" s="9"/>
      <c r="V34" s="9"/>
      <c r="W34" s="9"/>
    </row>
    <row r="35" ht="15.75" customHeight="1">
      <c r="A35" s="422"/>
      <c r="B35" s="422"/>
      <c r="C35" s="426"/>
      <c r="D35" s="426"/>
      <c r="E35" s="426"/>
      <c r="F35" s="426"/>
      <c r="G35" s="9"/>
      <c r="H35" s="9"/>
      <c r="I35" s="9"/>
      <c r="J35" s="9"/>
      <c r="K35" s="9"/>
      <c r="L35" s="9"/>
      <c r="M35" s="9"/>
      <c r="N35" s="9"/>
      <c r="O35" s="9"/>
      <c r="P35" s="9"/>
      <c r="Q35" s="9"/>
      <c r="R35" s="9"/>
      <c r="S35" s="9"/>
      <c r="T35" s="9"/>
      <c r="U35" s="9"/>
      <c r="V35" s="9"/>
      <c r="W35" s="9"/>
    </row>
    <row r="36" ht="15.75" customHeight="1">
      <c r="A36" s="422"/>
      <c r="B36" s="422"/>
      <c r="C36" s="426"/>
      <c r="D36" s="426"/>
      <c r="E36" s="426"/>
      <c r="F36" s="426"/>
      <c r="G36" s="9"/>
      <c r="H36" s="9"/>
      <c r="I36" s="9"/>
      <c r="J36" s="9"/>
      <c r="K36" s="9"/>
      <c r="L36" s="9"/>
      <c r="M36" s="9"/>
      <c r="N36" s="9"/>
      <c r="O36" s="9"/>
      <c r="P36" s="9"/>
      <c r="Q36" s="9"/>
      <c r="R36" s="9"/>
      <c r="S36" s="9"/>
      <c r="T36" s="9"/>
      <c r="U36" s="9"/>
      <c r="V36" s="9"/>
      <c r="W36" s="9"/>
    </row>
    <row r="37" ht="15.75" customHeight="1">
      <c r="A37" s="422"/>
      <c r="B37" s="422"/>
      <c r="C37" s="426"/>
      <c r="D37" s="426"/>
      <c r="E37" s="426"/>
      <c r="F37" s="426"/>
      <c r="G37" s="9"/>
      <c r="H37" s="9"/>
      <c r="I37" s="9"/>
      <c r="J37" s="9"/>
      <c r="K37" s="9"/>
      <c r="L37" s="9"/>
      <c r="M37" s="9"/>
      <c r="N37" s="9"/>
      <c r="O37" s="9"/>
      <c r="P37" s="9"/>
      <c r="Q37" s="9"/>
      <c r="R37" s="9"/>
      <c r="S37" s="9"/>
      <c r="T37" s="9"/>
      <c r="U37" s="9"/>
      <c r="V37" s="9"/>
      <c r="W37" s="9"/>
    </row>
    <row r="38" ht="15.75" customHeight="1">
      <c r="A38" s="422"/>
      <c r="B38" s="422"/>
      <c r="C38" s="426"/>
      <c r="D38" s="426"/>
      <c r="E38" s="426"/>
      <c r="F38" s="426"/>
      <c r="G38" s="9"/>
      <c r="H38" s="9"/>
      <c r="I38" s="9"/>
      <c r="J38" s="9"/>
      <c r="K38" s="9"/>
      <c r="L38" s="9"/>
      <c r="M38" s="9"/>
      <c r="N38" s="9"/>
      <c r="O38" s="9"/>
      <c r="P38" s="9"/>
      <c r="Q38" s="9"/>
      <c r="R38" s="9"/>
      <c r="S38" s="9"/>
      <c r="T38" s="9"/>
      <c r="U38" s="9"/>
      <c r="V38" s="9"/>
      <c r="W38" s="9"/>
    </row>
    <row r="39" ht="15.75" customHeight="1">
      <c r="A39" s="422"/>
      <c r="B39" s="422"/>
      <c r="C39" s="426"/>
      <c r="D39" s="426"/>
      <c r="E39" s="426"/>
      <c r="F39" s="426"/>
      <c r="G39" s="9"/>
      <c r="H39" s="9"/>
      <c r="I39" s="9"/>
      <c r="J39" s="9"/>
      <c r="K39" s="9"/>
      <c r="L39" s="9"/>
      <c r="M39" s="9"/>
      <c r="N39" s="9"/>
      <c r="O39" s="9"/>
      <c r="P39" s="9"/>
      <c r="Q39" s="9"/>
      <c r="R39" s="9"/>
      <c r="S39" s="9"/>
      <c r="T39" s="9"/>
      <c r="U39" s="9"/>
      <c r="V39" s="9"/>
      <c r="W39" s="9"/>
    </row>
    <row r="40" ht="15.75" customHeight="1">
      <c r="A40" s="422"/>
      <c r="B40" s="422"/>
      <c r="C40" s="426"/>
      <c r="D40" s="426"/>
      <c r="E40" s="426"/>
      <c r="F40" s="426"/>
      <c r="G40" s="9"/>
      <c r="H40" s="9"/>
      <c r="I40" s="9"/>
      <c r="J40" s="9"/>
      <c r="K40" s="9"/>
      <c r="L40" s="9"/>
      <c r="M40" s="9"/>
      <c r="N40" s="9"/>
      <c r="O40" s="9"/>
      <c r="P40" s="9"/>
      <c r="Q40" s="9"/>
      <c r="R40" s="9"/>
      <c r="S40" s="9"/>
      <c r="T40" s="9"/>
      <c r="U40" s="9"/>
      <c r="V40" s="9"/>
      <c r="W40" s="9"/>
    </row>
    <row r="41" ht="15.75" customHeight="1">
      <c r="A41" s="422"/>
      <c r="B41" s="422"/>
      <c r="C41" s="426"/>
      <c r="D41" s="426"/>
      <c r="E41" s="426"/>
      <c r="F41" s="426"/>
      <c r="G41" s="9"/>
      <c r="H41" s="9"/>
      <c r="I41" s="9"/>
      <c r="J41" s="9"/>
      <c r="K41" s="9"/>
      <c r="L41" s="9"/>
      <c r="M41" s="9"/>
      <c r="N41" s="9"/>
      <c r="O41" s="9"/>
      <c r="P41" s="9"/>
      <c r="Q41" s="9"/>
      <c r="R41" s="9"/>
      <c r="S41" s="9"/>
      <c r="T41" s="9"/>
      <c r="U41" s="9"/>
      <c r="V41" s="9"/>
      <c r="W41" s="9"/>
    </row>
    <row r="42" ht="15.75" customHeight="1">
      <c r="A42" s="422"/>
      <c r="B42" s="422"/>
      <c r="C42" s="426"/>
      <c r="D42" s="426"/>
      <c r="E42" s="426"/>
      <c r="F42" s="426"/>
      <c r="G42" s="9"/>
      <c r="H42" s="9"/>
      <c r="I42" s="9"/>
      <c r="J42" s="9"/>
      <c r="K42" s="9"/>
      <c r="L42" s="9"/>
      <c r="M42" s="9"/>
      <c r="N42" s="9"/>
      <c r="O42" s="9"/>
      <c r="P42" s="9"/>
      <c r="Q42" s="9"/>
      <c r="R42" s="9"/>
      <c r="S42" s="9"/>
      <c r="T42" s="9"/>
      <c r="U42" s="9"/>
      <c r="V42" s="9"/>
      <c r="W42" s="9"/>
    </row>
    <row r="43" ht="15.75" customHeight="1">
      <c r="A43" s="422"/>
      <c r="B43" s="422"/>
      <c r="C43" s="426"/>
      <c r="D43" s="426"/>
      <c r="E43" s="426"/>
      <c r="F43" s="426"/>
      <c r="G43" s="9"/>
      <c r="H43" s="9"/>
      <c r="I43" s="9"/>
      <c r="J43" s="9"/>
      <c r="K43" s="9"/>
      <c r="L43" s="9"/>
      <c r="M43" s="9"/>
      <c r="N43" s="9"/>
      <c r="O43" s="9"/>
      <c r="P43" s="9"/>
      <c r="Q43" s="9"/>
      <c r="R43" s="9"/>
      <c r="S43" s="9"/>
      <c r="T43" s="9"/>
      <c r="U43" s="9"/>
      <c r="V43" s="9"/>
      <c r="W43" s="9"/>
    </row>
    <row r="44" ht="15.75" customHeight="1">
      <c r="A44" s="422"/>
      <c r="B44" s="422"/>
      <c r="C44" s="426"/>
      <c r="D44" s="426"/>
      <c r="E44" s="426"/>
      <c r="F44" s="426"/>
      <c r="G44" s="9"/>
      <c r="H44" s="9"/>
      <c r="I44" s="9"/>
      <c r="J44" s="9"/>
      <c r="K44" s="9"/>
      <c r="L44" s="9"/>
      <c r="M44" s="9"/>
      <c r="N44" s="9"/>
      <c r="O44" s="9"/>
      <c r="P44" s="9"/>
      <c r="Q44" s="9"/>
      <c r="R44" s="9"/>
      <c r="S44" s="9"/>
      <c r="T44" s="9"/>
      <c r="U44" s="9"/>
      <c r="V44" s="9"/>
      <c r="W44" s="9"/>
    </row>
    <row r="45" ht="15.75" customHeight="1">
      <c r="A45" s="422"/>
      <c r="B45" s="422"/>
      <c r="C45" s="426"/>
      <c r="D45" s="426"/>
      <c r="E45" s="426"/>
      <c r="F45" s="426"/>
      <c r="G45" s="9"/>
      <c r="H45" s="9"/>
      <c r="I45" s="9"/>
      <c r="J45" s="9"/>
      <c r="K45" s="9"/>
      <c r="L45" s="9"/>
      <c r="M45" s="9"/>
      <c r="N45" s="9"/>
      <c r="O45" s="9"/>
      <c r="P45" s="9"/>
      <c r="Q45" s="9"/>
      <c r="R45" s="9"/>
      <c r="S45" s="9"/>
      <c r="T45" s="9"/>
      <c r="U45" s="9"/>
      <c r="V45" s="9"/>
      <c r="W45" s="9"/>
    </row>
    <row r="46" ht="15.75" customHeight="1">
      <c r="A46" s="422"/>
      <c r="B46" s="422"/>
      <c r="C46" s="426"/>
      <c r="D46" s="426"/>
      <c r="E46" s="426"/>
      <c r="F46" s="426"/>
      <c r="G46" s="9"/>
      <c r="H46" s="9"/>
      <c r="I46" s="9"/>
      <c r="J46" s="9"/>
      <c r="K46" s="9"/>
      <c r="L46" s="9"/>
      <c r="M46" s="9"/>
      <c r="N46" s="9"/>
      <c r="O46" s="9"/>
      <c r="P46" s="9"/>
      <c r="Q46" s="9"/>
      <c r="R46" s="9"/>
      <c r="S46" s="9"/>
      <c r="T46" s="9"/>
      <c r="U46" s="9"/>
      <c r="V46" s="9"/>
      <c r="W46" s="9"/>
    </row>
    <row r="47" ht="15.75" customHeight="1">
      <c r="A47" s="422"/>
      <c r="B47" s="422"/>
      <c r="C47" s="426"/>
      <c r="D47" s="426"/>
      <c r="E47" s="426"/>
      <c r="F47" s="426"/>
      <c r="G47" s="9"/>
      <c r="H47" s="9"/>
      <c r="I47" s="9"/>
      <c r="J47" s="9"/>
      <c r="K47" s="9"/>
      <c r="L47" s="9"/>
      <c r="M47" s="9"/>
      <c r="N47" s="9"/>
      <c r="O47" s="9"/>
      <c r="P47" s="9"/>
      <c r="Q47" s="9"/>
      <c r="R47" s="9"/>
      <c r="S47" s="9"/>
      <c r="T47" s="9"/>
      <c r="U47" s="9"/>
      <c r="V47" s="9"/>
      <c r="W47" s="9"/>
    </row>
    <row r="48" ht="15.75" customHeight="1">
      <c r="A48" s="422"/>
      <c r="B48" s="422"/>
      <c r="C48" s="426"/>
      <c r="D48" s="426"/>
      <c r="E48" s="426"/>
      <c r="F48" s="426"/>
      <c r="G48" s="9"/>
      <c r="H48" s="9"/>
      <c r="I48" s="9"/>
      <c r="J48" s="9"/>
      <c r="K48" s="9"/>
      <c r="L48" s="9"/>
      <c r="M48" s="9"/>
      <c r="N48" s="9"/>
      <c r="O48" s="9"/>
      <c r="P48" s="9"/>
      <c r="Q48" s="9"/>
      <c r="R48" s="9"/>
      <c r="S48" s="9"/>
      <c r="T48" s="9"/>
      <c r="U48" s="9"/>
      <c r="V48" s="9"/>
      <c r="W48" s="9"/>
    </row>
    <row r="49" ht="15.75" customHeight="1">
      <c r="A49" s="422"/>
      <c r="B49" s="422"/>
      <c r="C49" s="426"/>
      <c r="D49" s="426"/>
      <c r="E49" s="426"/>
      <c r="F49" s="426"/>
      <c r="G49" s="9"/>
      <c r="H49" s="9"/>
      <c r="I49" s="9"/>
      <c r="J49" s="9"/>
      <c r="K49" s="9"/>
      <c r="L49" s="9"/>
      <c r="M49" s="9"/>
      <c r="N49" s="9"/>
      <c r="O49" s="9"/>
      <c r="P49" s="9"/>
      <c r="Q49" s="9"/>
      <c r="R49" s="9"/>
      <c r="S49" s="9"/>
      <c r="T49" s="9"/>
      <c r="U49" s="9"/>
      <c r="V49" s="9"/>
      <c r="W49" s="9"/>
    </row>
    <row r="50" ht="15.75" customHeight="1">
      <c r="A50" s="422"/>
      <c r="B50" s="422"/>
      <c r="C50" s="426"/>
      <c r="D50" s="426"/>
      <c r="E50" s="426"/>
      <c r="F50" s="426"/>
      <c r="G50" s="9"/>
      <c r="H50" s="9"/>
      <c r="I50" s="9"/>
      <c r="J50" s="9"/>
      <c r="K50" s="9"/>
      <c r="L50" s="9"/>
      <c r="M50" s="9"/>
      <c r="N50" s="9"/>
      <c r="O50" s="9"/>
      <c r="P50" s="9"/>
      <c r="Q50" s="9"/>
      <c r="R50" s="9"/>
      <c r="S50" s="9"/>
      <c r="T50" s="9"/>
      <c r="U50" s="9"/>
      <c r="V50" s="9"/>
      <c r="W50" s="9"/>
    </row>
    <row r="51" ht="15.75" customHeight="1">
      <c r="A51" s="422"/>
      <c r="B51" s="422"/>
      <c r="C51" s="426"/>
      <c r="D51" s="426"/>
      <c r="E51" s="426"/>
      <c r="F51" s="426"/>
      <c r="G51" s="9"/>
      <c r="H51" s="9"/>
      <c r="I51" s="9"/>
      <c r="J51" s="9"/>
      <c r="K51" s="9"/>
      <c r="L51" s="9"/>
      <c r="M51" s="9"/>
      <c r="N51" s="9"/>
      <c r="O51" s="9"/>
      <c r="P51" s="9"/>
      <c r="Q51" s="9"/>
      <c r="R51" s="9"/>
      <c r="S51" s="9"/>
      <c r="T51" s="9"/>
      <c r="U51" s="9"/>
      <c r="V51" s="9"/>
      <c r="W51" s="9"/>
    </row>
    <row r="52" ht="15.75" customHeight="1">
      <c r="A52" s="422"/>
      <c r="B52" s="422"/>
      <c r="C52" s="426"/>
      <c r="D52" s="426"/>
      <c r="E52" s="426"/>
      <c r="F52" s="426"/>
      <c r="G52" s="9"/>
      <c r="H52" s="9"/>
      <c r="I52" s="9"/>
      <c r="J52" s="9"/>
      <c r="K52" s="9"/>
      <c r="L52" s="9"/>
      <c r="M52" s="9"/>
      <c r="N52" s="9"/>
      <c r="O52" s="9"/>
      <c r="P52" s="9"/>
      <c r="Q52" s="9"/>
      <c r="R52" s="9"/>
      <c r="S52" s="9"/>
      <c r="T52" s="9"/>
      <c r="U52" s="9"/>
      <c r="V52" s="9"/>
      <c r="W52" s="9"/>
    </row>
    <row r="53" ht="15.75" customHeight="1">
      <c r="A53" s="422"/>
      <c r="B53" s="422"/>
      <c r="C53" s="426"/>
      <c r="D53" s="426"/>
      <c r="E53" s="426"/>
      <c r="F53" s="426"/>
      <c r="G53" s="9"/>
      <c r="H53" s="9"/>
      <c r="I53" s="9"/>
      <c r="J53" s="9"/>
      <c r="K53" s="9"/>
      <c r="L53" s="9"/>
      <c r="M53" s="9"/>
      <c r="N53" s="9"/>
      <c r="O53" s="9"/>
      <c r="P53" s="9"/>
      <c r="Q53" s="9"/>
      <c r="R53" s="9"/>
      <c r="S53" s="9"/>
      <c r="T53" s="9"/>
      <c r="U53" s="9"/>
      <c r="V53" s="9"/>
      <c r="W53" s="9"/>
    </row>
    <row r="54" ht="15.75" customHeight="1">
      <c r="A54" s="422"/>
      <c r="B54" s="422"/>
      <c r="C54" s="426"/>
      <c r="D54" s="426"/>
      <c r="E54" s="426"/>
      <c r="F54" s="426"/>
      <c r="G54" s="9"/>
      <c r="H54" s="9"/>
      <c r="I54" s="9"/>
      <c r="J54" s="9"/>
      <c r="K54" s="9"/>
      <c r="L54" s="9"/>
      <c r="M54" s="9"/>
      <c r="N54" s="9"/>
      <c r="O54" s="9"/>
      <c r="P54" s="9"/>
      <c r="Q54" s="9"/>
      <c r="R54" s="9"/>
      <c r="S54" s="9"/>
      <c r="T54" s="9"/>
      <c r="U54" s="9"/>
      <c r="V54" s="9"/>
      <c r="W54" s="9"/>
    </row>
    <row r="55" ht="15.75" customHeight="1">
      <c r="A55" s="422"/>
      <c r="B55" s="422"/>
      <c r="C55" s="426"/>
      <c r="D55" s="426"/>
      <c r="E55" s="426"/>
      <c r="F55" s="426"/>
      <c r="G55" s="9"/>
      <c r="H55" s="9"/>
      <c r="I55" s="9"/>
      <c r="J55" s="9"/>
      <c r="K55" s="9"/>
      <c r="L55" s="9"/>
      <c r="M55" s="9"/>
      <c r="N55" s="9"/>
      <c r="O55" s="9"/>
      <c r="P55" s="9"/>
      <c r="Q55" s="9"/>
      <c r="R55" s="9"/>
      <c r="S55" s="9"/>
      <c r="T55" s="9"/>
      <c r="U55" s="9"/>
      <c r="V55" s="9"/>
      <c r="W55" s="9"/>
    </row>
    <row r="56" ht="15.75" customHeight="1">
      <c r="A56" s="422"/>
      <c r="B56" s="422"/>
      <c r="C56" s="426"/>
      <c r="D56" s="426"/>
      <c r="E56" s="426"/>
      <c r="F56" s="426"/>
      <c r="G56" s="9"/>
      <c r="H56" s="9"/>
      <c r="I56" s="9"/>
      <c r="J56" s="9"/>
      <c r="K56" s="9"/>
      <c r="L56" s="9"/>
      <c r="M56" s="9"/>
      <c r="N56" s="9"/>
      <c r="O56" s="9"/>
      <c r="P56" s="9"/>
      <c r="Q56" s="9"/>
      <c r="R56" s="9"/>
      <c r="S56" s="9"/>
      <c r="T56" s="9"/>
      <c r="U56" s="9"/>
      <c r="V56" s="9"/>
      <c r="W56" s="9"/>
    </row>
    <row r="57" ht="15.75" customHeight="1">
      <c r="A57" s="422"/>
      <c r="B57" s="422"/>
      <c r="C57" s="426"/>
      <c r="D57" s="426"/>
      <c r="E57" s="426"/>
      <c r="F57" s="426"/>
      <c r="G57" s="9"/>
      <c r="H57" s="9"/>
      <c r="I57" s="9"/>
      <c r="J57" s="9"/>
      <c r="K57" s="9"/>
      <c r="L57" s="9"/>
      <c r="M57" s="9"/>
      <c r="N57" s="9"/>
      <c r="O57" s="9"/>
      <c r="P57" s="9"/>
      <c r="Q57" s="9"/>
      <c r="R57" s="9"/>
      <c r="S57" s="9"/>
      <c r="T57" s="9"/>
      <c r="U57" s="9"/>
      <c r="V57" s="9"/>
      <c r="W57" s="9"/>
    </row>
    <row r="58" ht="15.75" customHeight="1">
      <c r="A58" s="422"/>
      <c r="B58" s="422"/>
      <c r="C58" s="426"/>
      <c r="D58" s="426"/>
      <c r="E58" s="426"/>
      <c r="F58" s="426"/>
      <c r="G58" s="9"/>
      <c r="H58" s="9"/>
      <c r="I58" s="9"/>
      <c r="J58" s="9"/>
      <c r="K58" s="9"/>
      <c r="L58" s="9"/>
      <c r="M58" s="9"/>
      <c r="N58" s="9"/>
      <c r="O58" s="9"/>
      <c r="P58" s="9"/>
      <c r="Q58" s="9"/>
      <c r="R58" s="9"/>
      <c r="S58" s="9"/>
      <c r="T58" s="9"/>
      <c r="U58" s="9"/>
      <c r="V58" s="9"/>
      <c r="W58" s="9"/>
    </row>
    <row r="59" ht="15.75" customHeight="1">
      <c r="A59" s="422"/>
      <c r="B59" s="422"/>
      <c r="C59" s="426"/>
      <c r="D59" s="426"/>
      <c r="E59" s="426"/>
      <c r="F59" s="426"/>
      <c r="G59" s="9"/>
      <c r="H59" s="9"/>
      <c r="I59" s="9"/>
      <c r="J59" s="9"/>
      <c r="K59" s="9"/>
      <c r="L59" s="9"/>
      <c r="M59" s="9"/>
      <c r="N59" s="9"/>
      <c r="O59" s="9"/>
      <c r="P59" s="9"/>
      <c r="Q59" s="9"/>
      <c r="R59" s="9"/>
      <c r="S59" s="9"/>
      <c r="T59" s="9"/>
      <c r="U59" s="9"/>
      <c r="V59" s="9"/>
      <c r="W59" s="9"/>
    </row>
    <row r="60" ht="15.75" customHeight="1">
      <c r="A60" s="422"/>
      <c r="B60" s="422"/>
      <c r="C60" s="426"/>
      <c r="D60" s="426"/>
      <c r="E60" s="426"/>
      <c r="F60" s="426"/>
      <c r="G60" s="9"/>
      <c r="H60" s="9"/>
      <c r="I60" s="9"/>
      <c r="J60" s="9"/>
      <c r="K60" s="9"/>
      <c r="L60" s="9"/>
      <c r="M60" s="9"/>
      <c r="N60" s="9"/>
      <c r="O60" s="9"/>
      <c r="P60" s="9"/>
      <c r="Q60" s="9"/>
      <c r="R60" s="9"/>
      <c r="S60" s="9"/>
      <c r="T60" s="9"/>
      <c r="U60" s="9"/>
      <c r="V60" s="9"/>
      <c r="W60" s="9"/>
    </row>
    <row r="61" ht="15.75" customHeight="1">
      <c r="A61" s="422"/>
      <c r="B61" s="422"/>
      <c r="C61" s="426"/>
      <c r="D61" s="426"/>
      <c r="E61" s="426"/>
      <c r="F61" s="426"/>
      <c r="G61" s="9"/>
      <c r="H61" s="9"/>
      <c r="I61" s="9"/>
      <c r="J61" s="9"/>
      <c r="K61" s="9"/>
      <c r="L61" s="9"/>
      <c r="M61" s="9"/>
      <c r="N61" s="9"/>
      <c r="O61" s="9"/>
      <c r="P61" s="9"/>
      <c r="Q61" s="9"/>
      <c r="R61" s="9"/>
      <c r="S61" s="9"/>
      <c r="T61" s="9"/>
      <c r="U61" s="9"/>
      <c r="V61" s="9"/>
      <c r="W61" s="9"/>
    </row>
    <row r="62" ht="15.75" customHeight="1">
      <c r="A62" s="422"/>
      <c r="B62" s="422"/>
      <c r="C62" s="426"/>
      <c r="D62" s="426"/>
      <c r="E62" s="426"/>
      <c r="F62" s="426"/>
      <c r="G62" s="9"/>
      <c r="H62" s="9"/>
      <c r="I62" s="9"/>
      <c r="J62" s="9"/>
      <c r="K62" s="9"/>
      <c r="L62" s="9"/>
      <c r="M62" s="9"/>
      <c r="N62" s="9"/>
      <c r="O62" s="9"/>
      <c r="P62" s="9"/>
      <c r="Q62" s="9"/>
      <c r="R62" s="9"/>
      <c r="S62" s="9"/>
      <c r="T62" s="9"/>
      <c r="U62" s="9"/>
      <c r="V62" s="9"/>
      <c r="W62" s="9"/>
    </row>
    <row r="63" ht="15.75" customHeight="1">
      <c r="A63" s="422"/>
      <c r="B63" s="422"/>
      <c r="C63" s="426"/>
      <c r="D63" s="426"/>
      <c r="E63" s="426"/>
      <c r="F63" s="426"/>
      <c r="G63" s="9"/>
      <c r="H63" s="9"/>
      <c r="I63" s="9"/>
      <c r="J63" s="9"/>
      <c r="K63" s="9"/>
      <c r="L63" s="9"/>
      <c r="M63" s="9"/>
      <c r="N63" s="9"/>
      <c r="O63" s="9"/>
      <c r="P63" s="9"/>
      <c r="Q63" s="9"/>
      <c r="R63" s="9"/>
      <c r="S63" s="9"/>
      <c r="T63" s="9"/>
      <c r="U63" s="9"/>
      <c r="V63" s="9"/>
      <c r="W63" s="9"/>
    </row>
    <row r="64" ht="15.75" customHeight="1">
      <c r="A64" s="422"/>
      <c r="B64" s="422"/>
      <c r="C64" s="426"/>
      <c r="D64" s="426"/>
      <c r="E64" s="426"/>
      <c r="F64" s="426"/>
      <c r="G64" s="9"/>
      <c r="H64" s="9"/>
      <c r="I64" s="9"/>
      <c r="J64" s="9"/>
      <c r="K64" s="9"/>
      <c r="L64" s="9"/>
      <c r="M64" s="9"/>
      <c r="N64" s="9"/>
      <c r="O64" s="9"/>
      <c r="P64" s="9"/>
      <c r="Q64" s="9"/>
      <c r="R64" s="9"/>
      <c r="S64" s="9"/>
      <c r="T64" s="9"/>
      <c r="U64" s="9"/>
      <c r="V64" s="9"/>
      <c r="W64" s="9"/>
    </row>
    <row r="65" ht="15.75" customHeight="1">
      <c r="A65" s="422"/>
      <c r="B65" s="422"/>
      <c r="C65" s="426"/>
      <c r="D65" s="426"/>
      <c r="E65" s="426"/>
      <c r="F65" s="426"/>
      <c r="G65" s="9"/>
      <c r="H65" s="9"/>
      <c r="I65" s="9"/>
      <c r="J65" s="9"/>
      <c r="K65" s="9"/>
      <c r="L65" s="9"/>
      <c r="M65" s="9"/>
      <c r="N65" s="9"/>
      <c r="O65" s="9"/>
      <c r="P65" s="9"/>
      <c r="Q65" s="9"/>
      <c r="R65" s="9"/>
      <c r="S65" s="9"/>
      <c r="T65" s="9"/>
      <c r="U65" s="9"/>
      <c r="V65" s="9"/>
      <c r="W65" s="9"/>
    </row>
    <row r="66" ht="15.75" customHeight="1">
      <c r="A66" s="422"/>
      <c r="B66" s="422"/>
      <c r="C66" s="426"/>
      <c r="D66" s="426"/>
      <c r="E66" s="426"/>
      <c r="F66" s="426"/>
      <c r="G66" s="9"/>
      <c r="H66" s="9"/>
      <c r="I66" s="9"/>
      <c r="J66" s="9"/>
      <c r="K66" s="9"/>
      <c r="L66" s="9"/>
      <c r="M66" s="9"/>
      <c r="N66" s="9"/>
      <c r="O66" s="9"/>
      <c r="P66" s="9"/>
      <c r="Q66" s="9"/>
      <c r="R66" s="9"/>
      <c r="S66" s="9"/>
      <c r="T66" s="9"/>
      <c r="U66" s="9"/>
      <c r="V66" s="9"/>
      <c r="W66" s="9"/>
    </row>
    <row r="67" ht="15.75" customHeight="1">
      <c r="A67" s="422"/>
      <c r="B67" s="422"/>
      <c r="C67" s="426"/>
      <c r="D67" s="426"/>
      <c r="E67" s="426"/>
      <c r="F67" s="426"/>
      <c r="G67" s="9"/>
      <c r="H67" s="9"/>
      <c r="I67" s="9"/>
      <c r="J67" s="9"/>
      <c r="K67" s="9"/>
      <c r="L67" s="9"/>
      <c r="M67" s="9"/>
      <c r="N67" s="9"/>
      <c r="O67" s="9"/>
      <c r="P67" s="9"/>
      <c r="Q67" s="9"/>
      <c r="R67" s="9"/>
      <c r="S67" s="9"/>
      <c r="T67" s="9"/>
      <c r="U67" s="9"/>
      <c r="V67" s="9"/>
      <c r="W67" s="9"/>
    </row>
    <row r="68" ht="15.75" customHeight="1">
      <c r="A68" s="422"/>
      <c r="B68" s="422"/>
      <c r="C68" s="426"/>
      <c r="D68" s="426"/>
      <c r="E68" s="426"/>
      <c r="F68" s="426"/>
      <c r="G68" s="9"/>
      <c r="H68" s="9"/>
      <c r="I68" s="9"/>
      <c r="J68" s="9"/>
      <c r="K68" s="9"/>
      <c r="L68" s="9"/>
      <c r="M68" s="9"/>
      <c r="N68" s="9"/>
      <c r="O68" s="9"/>
      <c r="P68" s="9"/>
      <c r="Q68" s="9"/>
      <c r="R68" s="9"/>
      <c r="S68" s="9"/>
      <c r="T68" s="9"/>
      <c r="U68" s="9"/>
      <c r="V68" s="9"/>
      <c r="W68" s="9"/>
    </row>
    <row r="69" ht="15.75" customHeight="1">
      <c r="A69" s="422"/>
      <c r="B69" s="422"/>
      <c r="C69" s="426"/>
      <c r="D69" s="426"/>
      <c r="E69" s="426"/>
      <c r="F69" s="426"/>
      <c r="G69" s="9"/>
      <c r="H69" s="9"/>
      <c r="I69" s="9"/>
      <c r="J69" s="9"/>
      <c r="K69" s="9"/>
      <c r="L69" s="9"/>
      <c r="M69" s="9"/>
      <c r="N69" s="9"/>
      <c r="O69" s="9"/>
      <c r="P69" s="9"/>
      <c r="Q69" s="9"/>
      <c r="R69" s="9"/>
      <c r="S69" s="9"/>
      <c r="T69" s="9"/>
      <c r="U69" s="9"/>
      <c r="V69" s="9"/>
      <c r="W69" s="9"/>
    </row>
    <row r="70" ht="15.75" customHeight="1">
      <c r="A70" s="422"/>
      <c r="B70" s="422"/>
      <c r="C70" s="426"/>
      <c r="D70" s="426"/>
      <c r="E70" s="426"/>
      <c r="F70" s="426"/>
      <c r="G70" s="9"/>
      <c r="H70" s="9"/>
      <c r="I70" s="9"/>
      <c r="J70" s="9"/>
      <c r="K70" s="9"/>
      <c r="L70" s="9"/>
      <c r="M70" s="9"/>
      <c r="N70" s="9"/>
      <c r="O70" s="9"/>
      <c r="P70" s="9"/>
      <c r="Q70" s="9"/>
      <c r="R70" s="9"/>
      <c r="S70" s="9"/>
      <c r="T70" s="9"/>
      <c r="U70" s="9"/>
      <c r="V70" s="9"/>
      <c r="W70" s="9"/>
    </row>
    <row r="71" ht="15.75" customHeight="1">
      <c r="A71" s="422"/>
      <c r="B71" s="422"/>
      <c r="C71" s="426"/>
      <c r="D71" s="426"/>
      <c r="E71" s="426"/>
      <c r="F71" s="426"/>
      <c r="G71" s="9"/>
      <c r="H71" s="9"/>
      <c r="I71" s="9"/>
      <c r="J71" s="9"/>
      <c r="K71" s="9"/>
      <c r="L71" s="9"/>
      <c r="M71" s="9"/>
      <c r="N71" s="9"/>
      <c r="O71" s="9"/>
      <c r="P71" s="9"/>
      <c r="Q71" s="9"/>
      <c r="R71" s="9"/>
      <c r="S71" s="9"/>
      <c r="T71" s="9"/>
      <c r="U71" s="9"/>
      <c r="V71" s="9"/>
      <c r="W71" s="9"/>
    </row>
    <row r="72" ht="15.75" customHeight="1">
      <c r="A72" s="422"/>
      <c r="B72" s="422"/>
      <c r="C72" s="426"/>
      <c r="D72" s="426"/>
      <c r="E72" s="426"/>
      <c r="F72" s="426"/>
      <c r="G72" s="9"/>
      <c r="H72" s="9"/>
      <c r="I72" s="9"/>
      <c r="J72" s="9"/>
      <c r="K72" s="9"/>
      <c r="L72" s="9"/>
      <c r="M72" s="9"/>
      <c r="N72" s="9"/>
      <c r="O72" s="9"/>
      <c r="P72" s="9"/>
      <c r="Q72" s="9"/>
      <c r="R72" s="9"/>
      <c r="S72" s="9"/>
      <c r="T72" s="9"/>
      <c r="U72" s="9"/>
      <c r="V72" s="9"/>
      <c r="W72" s="9"/>
    </row>
    <row r="73" ht="15.75" customHeight="1">
      <c r="A73" s="422"/>
      <c r="B73" s="422"/>
      <c r="C73" s="426"/>
      <c r="D73" s="426"/>
      <c r="E73" s="426"/>
      <c r="F73" s="426"/>
      <c r="G73" s="9"/>
      <c r="H73" s="9"/>
      <c r="I73" s="9"/>
      <c r="J73" s="9"/>
      <c r="K73" s="9"/>
      <c r="L73" s="9"/>
      <c r="M73" s="9"/>
      <c r="N73" s="9"/>
      <c r="O73" s="9"/>
      <c r="P73" s="9"/>
      <c r="Q73" s="9"/>
      <c r="R73" s="9"/>
      <c r="S73" s="9"/>
      <c r="T73" s="9"/>
      <c r="U73" s="9"/>
      <c r="V73" s="9"/>
      <c r="W73" s="9"/>
    </row>
    <row r="74" ht="15.75" customHeight="1">
      <c r="A74" s="422"/>
      <c r="B74" s="422"/>
      <c r="C74" s="426"/>
      <c r="D74" s="426"/>
      <c r="E74" s="426"/>
      <c r="F74" s="426"/>
      <c r="G74" s="9"/>
      <c r="H74" s="9"/>
      <c r="I74" s="9"/>
      <c r="J74" s="9"/>
      <c r="K74" s="9"/>
      <c r="L74" s="9"/>
      <c r="M74" s="9"/>
      <c r="N74" s="9"/>
      <c r="O74" s="9"/>
      <c r="P74" s="9"/>
      <c r="Q74" s="9"/>
      <c r="R74" s="9"/>
      <c r="S74" s="9"/>
      <c r="T74" s="9"/>
      <c r="U74" s="9"/>
      <c r="V74" s="9"/>
      <c r="W74" s="9"/>
    </row>
    <row r="75" ht="15.75" customHeight="1">
      <c r="A75" s="422"/>
      <c r="B75" s="422"/>
      <c r="C75" s="426"/>
      <c r="D75" s="426"/>
      <c r="E75" s="426"/>
      <c r="F75" s="426"/>
      <c r="G75" s="9"/>
      <c r="H75" s="9"/>
      <c r="I75" s="9"/>
      <c r="J75" s="9"/>
      <c r="K75" s="9"/>
      <c r="L75" s="9"/>
      <c r="M75" s="9"/>
      <c r="N75" s="9"/>
      <c r="O75" s="9"/>
      <c r="P75" s="9"/>
      <c r="Q75" s="9"/>
      <c r="R75" s="9"/>
      <c r="S75" s="9"/>
      <c r="T75" s="9"/>
      <c r="U75" s="9"/>
      <c r="V75" s="9"/>
      <c r="W75" s="9"/>
    </row>
    <row r="76" ht="15.75" customHeight="1">
      <c r="A76" s="422"/>
      <c r="B76" s="422"/>
      <c r="C76" s="426"/>
      <c r="D76" s="426"/>
      <c r="E76" s="426"/>
      <c r="F76" s="426"/>
      <c r="G76" s="9"/>
      <c r="H76" s="9"/>
      <c r="I76" s="9"/>
      <c r="J76" s="9"/>
      <c r="K76" s="9"/>
      <c r="L76" s="9"/>
      <c r="M76" s="9"/>
      <c r="N76" s="9"/>
      <c r="O76" s="9"/>
      <c r="P76" s="9"/>
      <c r="Q76" s="9"/>
      <c r="R76" s="9"/>
      <c r="S76" s="9"/>
      <c r="T76" s="9"/>
      <c r="U76" s="9"/>
      <c r="V76" s="9"/>
      <c r="W76" s="9"/>
    </row>
    <row r="77" ht="15.75" customHeight="1">
      <c r="A77" s="422"/>
      <c r="B77" s="422"/>
      <c r="C77" s="426"/>
      <c r="D77" s="426"/>
      <c r="E77" s="426"/>
      <c r="F77" s="426"/>
      <c r="G77" s="9"/>
      <c r="H77" s="9"/>
      <c r="I77" s="9"/>
      <c r="J77" s="9"/>
      <c r="K77" s="9"/>
      <c r="L77" s="9"/>
      <c r="M77" s="9"/>
      <c r="N77" s="9"/>
      <c r="O77" s="9"/>
      <c r="P77" s="9"/>
      <c r="Q77" s="9"/>
      <c r="R77" s="9"/>
      <c r="S77" s="9"/>
      <c r="T77" s="9"/>
      <c r="U77" s="9"/>
      <c r="V77" s="9"/>
      <c r="W77" s="9"/>
    </row>
    <row r="78" ht="15.75" customHeight="1">
      <c r="A78" s="422"/>
      <c r="B78" s="422"/>
      <c r="C78" s="426"/>
      <c r="D78" s="426"/>
      <c r="E78" s="426"/>
      <c r="F78" s="426"/>
      <c r="G78" s="9"/>
      <c r="H78" s="9"/>
      <c r="I78" s="9"/>
      <c r="J78" s="9"/>
      <c r="K78" s="9"/>
      <c r="L78" s="9"/>
      <c r="M78" s="9"/>
      <c r="N78" s="9"/>
      <c r="O78" s="9"/>
      <c r="P78" s="9"/>
      <c r="Q78" s="9"/>
      <c r="R78" s="9"/>
      <c r="S78" s="9"/>
      <c r="T78" s="9"/>
      <c r="U78" s="9"/>
      <c r="V78" s="9"/>
      <c r="W78" s="9"/>
    </row>
    <row r="79" ht="15.75" customHeight="1">
      <c r="A79" s="422"/>
      <c r="B79" s="422"/>
      <c r="C79" s="426"/>
      <c r="D79" s="426"/>
      <c r="E79" s="426"/>
      <c r="F79" s="426"/>
      <c r="G79" s="9"/>
      <c r="H79" s="9"/>
      <c r="I79" s="9"/>
      <c r="J79" s="9"/>
      <c r="K79" s="9"/>
      <c r="L79" s="9"/>
      <c r="M79" s="9"/>
      <c r="N79" s="9"/>
      <c r="O79" s="9"/>
      <c r="P79" s="9"/>
      <c r="Q79" s="9"/>
      <c r="R79" s="9"/>
      <c r="S79" s="9"/>
      <c r="T79" s="9"/>
      <c r="U79" s="9"/>
      <c r="V79" s="9"/>
      <c r="W79" s="9"/>
    </row>
    <row r="80" ht="15.75" customHeight="1">
      <c r="A80" s="422"/>
      <c r="B80" s="422"/>
      <c r="C80" s="426"/>
      <c r="D80" s="426"/>
      <c r="E80" s="426"/>
      <c r="F80" s="426"/>
      <c r="G80" s="9"/>
      <c r="H80" s="9"/>
      <c r="I80" s="9"/>
      <c r="J80" s="9"/>
      <c r="K80" s="9"/>
      <c r="L80" s="9"/>
      <c r="M80" s="9"/>
      <c r="N80" s="9"/>
      <c r="O80" s="9"/>
      <c r="P80" s="9"/>
      <c r="Q80" s="9"/>
      <c r="R80" s="9"/>
      <c r="S80" s="9"/>
      <c r="T80" s="9"/>
      <c r="U80" s="9"/>
      <c r="V80" s="9"/>
      <c r="W80" s="9"/>
    </row>
    <row r="81" ht="15.75" customHeight="1">
      <c r="A81" s="422"/>
      <c r="B81" s="422"/>
      <c r="C81" s="426"/>
      <c r="D81" s="426"/>
      <c r="E81" s="426"/>
      <c r="F81" s="426"/>
      <c r="G81" s="9"/>
      <c r="H81" s="9"/>
      <c r="I81" s="9"/>
      <c r="J81" s="9"/>
      <c r="K81" s="9"/>
      <c r="L81" s="9"/>
      <c r="M81" s="9"/>
      <c r="N81" s="9"/>
      <c r="O81" s="9"/>
      <c r="P81" s="9"/>
      <c r="Q81" s="9"/>
      <c r="R81" s="9"/>
      <c r="S81" s="9"/>
      <c r="T81" s="9"/>
      <c r="U81" s="9"/>
      <c r="V81" s="9"/>
      <c r="W81" s="9"/>
    </row>
    <row r="82" ht="15.75" customHeight="1">
      <c r="A82" s="422"/>
      <c r="B82" s="422"/>
      <c r="C82" s="426"/>
      <c r="D82" s="426"/>
      <c r="E82" s="426"/>
      <c r="F82" s="426"/>
      <c r="G82" s="9"/>
      <c r="H82" s="9"/>
      <c r="I82" s="9"/>
      <c r="J82" s="9"/>
      <c r="K82" s="9"/>
      <c r="L82" s="9"/>
      <c r="M82" s="9"/>
      <c r="N82" s="9"/>
      <c r="O82" s="9"/>
      <c r="P82" s="9"/>
      <c r="Q82" s="9"/>
      <c r="R82" s="9"/>
      <c r="S82" s="9"/>
      <c r="T82" s="9"/>
      <c r="U82" s="9"/>
      <c r="V82" s="9"/>
      <c r="W82" s="9"/>
    </row>
    <row r="83" ht="15.75" customHeight="1">
      <c r="A83" s="422"/>
      <c r="B83" s="422"/>
      <c r="C83" s="426"/>
      <c r="D83" s="426"/>
      <c r="E83" s="426"/>
      <c r="F83" s="426"/>
      <c r="G83" s="9"/>
      <c r="H83" s="9"/>
      <c r="I83" s="9"/>
      <c r="J83" s="9"/>
      <c r="K83" s="9"/>
      <c r="L83" s="9"/>
      <c r="M83" s="9"/>
      <c r="N83" s="9"/>
      <c r="O83" s="9"/>
      <c r="P83" s="9"/>
      <c r="Q83" s="9"/>
      <c r="R83" s="9"/>
      <c r="S83" s="9"/>
      <c r="T83" s="9"/>
      <c r="U83" s="9"/>
      <c r="V83" s="9"/>
      <c r="W83" s="9"/>
    </row>
    <row r="84" ht="15.75" customHeight="1">
      <c r="A84" s="422"/>
      <c r="B84" s="422"/>
      <c r="C84" s="426"/>
      <c r="D84" s="426"/>
      <c r="E84" s="426"/>
      <c r="F84" s="426"/>
      <c r="G84" s="9"/>
      <c r="H84" s="9"/>
      <c r="I84" s="9"/>
      <c r="J84" s="9"/>
      <c r="K84" s="9"/>
      <c r="L84" s="9"/>
      <c r="M84" s="9"/>
      <c r="N84" s="9"/>
      <c r="O84" s="9"/>
      <c r="P84" s="9"/>
      <c r="Q84" s="9"/>
      <c r="R84" s="9"/>
      <c r="S84" s="9"/>
      <c r="T84" s="9"/>
      <c r="U84" s="9"/>
      <c r="V84" s="9"/>
      <c r="W84" s="9"/>
    </row>
    <row r="85" ht="15.75" customHeight="1">
      <c r="A85" s="422"/>
      <c r="B85" s="422"/>
      <c r="C85" s="426"/>
      <c r="D85" s="426"/>
      <c r="E85" s="426"/>
      <c r="F85" s="426"/>
      <c r="G85" s="9"/>
      <c r="H85" s="9"/>
      <c r="I85" s="9"/>
      <c r="J85" s="9"/>
      <c r="K85" s="9"/>
      <c r="L85" s="9"/>
      <c r="M85" s="9"/>
      <c r="N85" s="9"/>
      <c r="O85" s="9"/>
      <c r="P85" s="9"/>
      <c r="Q85" s="9"/>
      <c r="R85" s="9"/>
      <c r="S85" s="9"/>
      <c r="T85" s="9"/>
      <c r="U85" s="9"/>
      <c r="V85" s="9"/>
      <c r="W85" s="9"/>
    </row>
    <row r="86" ht="15.75" customHeight="1">
      <c r="A86" s="422"/>
      <c r="B86" s="422"/>
      <c r="C86" s="426"/>
      <c r="D86" s="426"/>
      <c r="E86" s="426"/>
      <c r="F86" s="426"/>
      <c r="G86" s="9"/>
      <c r="H86" s="9"/>
      <c r="I86" s="9"/>
      <c r="J86" s="9"/>
      <c r="K86" s="9"/>
      <c r="L86" s="9"/>
      <c r="M86" s="9"/>
      <c r="N86" s="9"/>
      <c r="O86" s="9"/>
      <c r="P86" s="9"/>
      <c r="Q86" s="9"/>
      <c r="R86" s="9"/>
      <c r="S86" s="9"/>
      <c r="T86" s="9"/>
      <c r="U86" s="9"/>
      <c r="V86" s="9"/>
      <c r="W86" s="9"/>
    </row>
    <row r="87" ht="15.75" customHeight="1">
      <c r="A87" s="422"/>
      <c r="B87" s="422"/>
      <c r="C87" s="426"/>
      <c r="D87" s="426"/>
      <c r="E87" s="426"/>
      <c r="F87" s="426"/>
      <c r="G87" s="9"/>
      <c r="H87" s="9"/>
      <c r="I87" s="9"/>
      <c r="J87" s="9"/>
      <c r="K87" s="9"/>
      <c r="L87" s="9"/>
      <c r="M87" s="9"/>
      <c r="N87" s="9"/>
      <c r="O87" s="9"/>
      <c r="P87" s="9"/>
      <c r="Q87" s="9"/>
      <c r="R87" s="9"/>
      <c r="S87" s="9"/>
      <c r="T87" s="9"/>
      <c r="U87" s="9"/>
      <c r="V87" s="9"/>
      <c r="W87" s="9"/>
    </row>
    <row r="88" ht="15.75" customHeight="1">
      <c r="A88" s="422"/>
      <c r="B88" s="422"/>
      <c r="C88" s="426"/>
      <c r="D88" s="426"/>
      <c r="E88" s="426"/>
      <c r="F88" s="426"/>
      <c r="G88" s="9"/>
      <c r="H88" s="9"/>
      <c r="I88" s="9"/>
      <c r="J88" s="9"/>
      <c r="K88" s="9"/>
      <c r="L88" s="9"/>
      <c r="M88" s="9"/>
      <c r="N88" s="9"/>
      <c r="O88" s="9"/>
      <c r="P88" s="9"/>
      <c r="Q88" s="9"/>
      <c r="R88" s="9"/>
      <c r="S88" s="9"/>
      <c r="T88" s="9"/>
      <c r="U88" s="9"/>
      <c r="V88" s="9"/>
      <c r="W88" s="9"/>
    </row>
    <row r="89" ht="15.75" customHeight="1">
      <c r="A89" s="422"/>
      <c r="B89" s="422"/>
      <c r="C89" s="426"/>
      <c r="D89" s="426"/>
      <c r="E89" s="426"/>
      <c r="F89" s="426"/>
      <c r="G89" s="9"/>
      <c r="H89" s="9"/>
      <c r="I89" s="9"/>
      <c r="J89" s="9"/>
      <c r="K89" s="9"/>
      <c r="L89" s="9"/>
      <c r="M89" s="9"/>
      <c r="N89" s="9"/>
      <c r="O89" s="9"/>
      <c r="P89" s="9"/>
      <c r="Q89" s="9"/>
      <c r="R89" s="9"/>
      <c r="S89" s="9"/>
      <c r="T89" s="9"/>
      <c r="U89" s="9"/>
      <c r="V89" s="9"/>
      <c r="W89" s="9"/>
    </row>
    <row r="90" ht="15.75" customHeight="1">
      <c r="A90" s="422"/>
      <c r="B90" s="422"/>
      <c r="C90" s="426"/>
      <c r="D90" s="426"/>
      <c r="E90" s="426"/>
      <c r="F90" s="426"/>
      <c r="G90" s="9"/>
      <c r="H90" s="9"/>
      <c r="I90" s="9"/>
      <c r="J90" s="9"/>
      <c r="K90" s="9"/>
      <c r="L90" s="9"/>
      <c r="M90" s="9"/>
      <c r="N90" s="9"/>
      <c r="O90" s="9"/>
      <c r="P90" s="9"/>
      <c r="Q90" s="9"/>
      <c r="R90" s="9"/>
      <c r="S90" s="9"/>
      <c r="T90" s="9"/>
      <c r="U90" s="9"/>
      <c r="V90" s="9"/>
      <c r="W90" s="9"/>
    </row>
    <row r="91" ht="15.75" customHeight="1">
      <c r="A91" s="422"/>
      <c r="B91" s="422"/>
      <c r="C91" s="426"/>
      <c r="D91" s="426"/>
      <c r="E91" s="426"/>
      <c r="F91" s="426"/>
      <c r="G91" s="9"/>
      <c r="H91" s="9"/>
      <c r="I91" s="9"/>
      <c r="J91" s="9"/>
      <c r="K91" s="9"/>
      <c r="L91" s="9"/>
      <c r="M91" s="9"/>
      <c r="N91" s="9"/>
      <c r="O91" s="9"/>
      <c r="P91" s="9"/>
      <c r="Q91" s="9"/>
      <c r="R91" s="9"/>
      <c r="S91" s="9"/>
      <c r="T91" s="9"/>
      <c r="U91" s="9"/>
      <c r="V91" s="9"/>
      <c r="W91" s="9"/>
    </row>
    <row r="92" ht="15.75" customHeight="1">
      <c r="A92" s="422"/>
      <c r="B92" s="422"/>
      <c r="C92" s="426"/>
      <c r="D92" s="426"/>
      <c r="E92" s="426"/>
      <c r="F92" s="426"/>
      <c r="G92" s="9"/>
      <c r="H92" s="9"/>
      <c r="I92" s="9"/>
      <c r="J92" s="9"/>
      <c r="K92" s="9"/>
      <c r="L92" s="9"/>
      <c r="M92" s="9"/>
      <c r="N92" s="9"/>
      <c r="O92" s="9"/>
      <c r="P92" s="9"/>
      <c r="Q92" s="9"/>
      <c r="R92" s="9"/>
      <c r="S92" s="9"/>
      <c r="T92" s="9"/>
      <c r="U92" s="9"/>
      <c r="V92" s="9"/>
      <c r="W92" s="9"/>
    </row>
    <row r="93" ht="15.75" customHeight="1">
      <c r="A93" s="422"/>
      <c r="B93" s="422"/>
      <c r="C93" s="426"/>
      <c r="D93" s="426"/>
      <c r="E93" s="426"/>
      <c r="F93" s="426"/>
      <c r="G93" s="9"/>
      <c r="H93" s="9"/>
      <c r="I93" s="9"/>
      <c r="J93" s="9"/>
      <c r="K93" s="9"/>
      <c r="L93" s="9"/>
      <c r="M93" s="9"/>
      <c r="N93" s="9"/>
      <c r="O93" s="9"/>
      <c r="P93" s="9"/>
      <c r="Q93" s="9"/>
      <c r="R93" s="9"/>
      <c r="S93" s="9"/>
      <c r="T93" s="9"/>
      <c r="U93" s="9"/>
      <c r="V93" s="9"/>
      <c r="W93" s="9"/>
    </row>
    <row r="94" ht="15.75" customHeight="1">
      <c r="A94" s="422"/>
      <c r="B94" s="422"/>
      <c r="C94" s="426"/>
      <c r="D94" s="426"/>
      <c r="E94" s="426"/>
      <c r="F94" s="426"/>
      <c r="G94" s="9"/>
      <c r="H94" s="9"/>
      <c r="I94" s="9"/>
      <c r="J94" s="9"/>
      <c r="K94" s="9"/>
      <c r="L94" s="9"/>
      <c r="M94" s="9"/>
      <c r="N94" s="9"/>
      <c r="O94" s="9"/>
      <c r="P94" s="9"/>
      <c r="Q94" s="9"/>
      <c r="R94" s="9"/>
      <c r="S94" s="9"/>
      <c r="T94" s="9"/>
      <c r="U94" s="9"/>
      <c r="V94" s="9"/>
      <c r="W94" s="9"/>
    </row>
    <row r="95" ht="15.75" customHeight="1">
      <c r="A95" s="422"/>
      <c r="B95" s="422"/>
      <c r="C95" s="426"/>
      <c r="D95" s="426"/>
      <c r="E95" s="426"/>
      <c r="F95" s="426"/>
      <c r="G95" s="9"/>
      <c r="H95" s="9"/>
      <c r="I95" s="9"/>
      <c r="J95" s="9"/>
      <c r="K95" s="9"/>
      <c r="L95" s="9"/>
      <c r="M95" s="9"/>
      <c r="N95" s="9"/>
      <c r="O95" s="9"/>
      <c r="P95" s="9"/>
      <c r="Q95" s="9"/>
      <c r="R95" s="9"/>
      <c r="S95" s="9"/>
      <c r="T95" s="9"/>
      <c r="U95" s="9"/>
      <c r="V95" s="9"/>
      <c r="W95" s="9"/>
    </row>
    <row r="96" ht="15.75" customHeight="1">
      <c r="A96" s="422"/>
      <c r="B96" s="422"/>
      <c r="C96" s="426"/>
      <c r="D96" s="426"/>
      <c r="E96" s="426"/>
      <c r="F96" s="426"/>
      <c r="G96" s="9"/>
      <c r="H96" s="9"/>
      <c r="I96" s="9"/>
      <c r="J96" s="9"/>
      <c r="K96" s="9"/>
      <c r="L96" s="9"/>
      <c r="M96" s="9"/>
      <c r="N96" s="9"/>
      <c r="O96" s="9"/>
      <c r="P96" s="9"/>
      <c r="Q96" s="9"/>
      <c r="R96" s="9"/>
      <c r="S96" s="9"/>
      <c r="T96" s="9"/>
      <c r="U96" s="9"/>
      <c r="V96" s="9"/>
      <c r="W96" s="9"/>
    </row>
    <row r="97" ht="15.75" customHeight="1">
      <c r="A97" s="422"/>
      <c r="B97" s="422"/>
      <c r="C97" s="426"/>
      <c r="D97" s="426"/>
      <c r="E97" s="426"/>
      <c r="F97" s="426"/>
      <c r="G97" s="9"/>
      <c r="H97" s="9"/>
      <c r="I97" s="9"/>
      <c r="J97" s="9"/>
      <c r="K97" s="9"/>
      <c r="L97" s="9"/>
      <c r="M97" s="9"/>
      <c r="N97" s="9"/>
      <c r="O97" s="9"/>
      <c r="P97" s="9"/>
      <c r="Q97" s="9"/>
      <c r="R97" s="9"/>
      <c r="S97" s="9"/>
      <c r="T97" s="9"/>
      <c r="U97" s="9"/>
      <c r="V97" s="9"/>
      <c r="W97" s="9"/>
    </row>
    <row r="98" ht="15.75" customHeight="1">
      <c r="A98" s="422"/>
      <c r="B98" s="422"/>
      <c r="C98" s="426"/>
      <c r="D98" s="426"/>
      <c r="E98" s="426"/>
      <c r="F98" s="426"/>
      <c r="G98" s="9"/>
      <c r="H98" s="9"/>
      <c r="I98" s="9"/>
      <c r="J98" s="9"/>
      <c r="K98" s="9"/>
      <c r="L98" s="9"/>
      <c r="M98" s="9"/>
      <c r="N98" s="9"/>
      <c r="O98" s="9"/>
      <c r="P98" s="9"/>
      <c r="Q98" s="9"/>
      <c r="R98" s="9"/>
      <c r="S98" s="9"/>
      <c r="T98" s="9"/>
      <c r="U98" s="9"/>
      <c r="V98" s="9"/>
      <c r="W98" s="9"/>
    </row>
    <row r="99" ht="15.75" customHeight="1">
      <c r="A99" s="422"/>
      <c r="B99" s="422"/>
      <c r="C99" s="426"/>
      <c r="D99" s="426"/>
      <c r="E99" s="426"/>
      <c r="F99" s="426"/>
      <c r="G99" s="9"/>
      <c r="H99" s="9"/>
      <c r="I99" s="9"/>
      <c r="J99" s="9"/>
      <c r="K99" s="9"/>
      <c r="L99" s="9"/>
      <c r="M99" s="9"/>
      <c r="N99" s="9"/>
      <c r="O99" s="9"/>
      <c r="P99" s="9"/>
      <c r="Q99" s="9"/>
      <c r="R99" s="9"/>
      <c r="S99" s="9"/>
      <c r="T99" s="9"/>
      <c r="U99" s="9"/>
      <c r="V99" s="9"/>
      <c r="W99" s="9"/>
    </row>
    <row r="100" ht="15.75" customHeight="1">
      <c r="A100" s="422"/>
      <c r="B100" s="422"/>
      <c r="C100" s="426"/>
      <c r="D100" s="426"/>
      <c r="E100" s="426"/>
      <c r="F100" s="426"/>
      <c r="G100" s="9"/>
      <c r="H100" s="9"/>
      <c r="I100" s="9"/>
      <c r="J100" s="9"/>
      <c r="K100" s="9"/>
      <c r="L100" s="9"/>
      <c r="M100" s="9"/>
      <c r="N100" s="9"/>
      <c r="O100" s="9"/>
      <c r="P100" s="9"/>
      <c r="Q100" s="9"/>
      <c r="R100" s="9"/>
      <c r="S100" s="9"/>
      <c r="T100" s="9"/>
      <c r="U100" s="9"/>
      <c r="V100" s="9"/>
      <c r="W100" s="9"/>
    </row>
    <row r="101" ht="15.75" customHeight="1">
      <c r="A101" s="422"/>
      <c r="B101" s="422"/>
      <c r="C101" s="426"/>
      <c r="D101" s="426"/>
      <c r="E101" s="426"/>
      <c r="F101" s="426"/>
      <c r="G101" s="9"/>
      <c r="H101" s="9"/>
      <c r="I101" s="9"/>
      <c r="J101" s="9"/>
      <c r="K101" s="9"/>
      <c r="L101" s="9"/>
      <c r="M101" s="9"/>
      <c r="N101" s="9"/>
      <c r="O101" s="9"/>
      <c r="P101" s="9"/>
      <c r="Q101" s="9"/>
      <c r="R101" s="9"/>
      <c r="S101" s="9"/>
      <c r="T101" s="9"/>
      <c r="U101" s="9"/>
      <c r="V101" s="9"/>
      <c r="W101" s="9"/>
    </row>
    <row r="102" ht="15.75" customHeight="1">
      <c r="A102" s="422"/>
      <c r="B102" s="422"/>
      <c r="C102" s="426"/>
      <c r="D102" s="426"/>
      <c r="E102" s="426"/>
      <c r="F102" s="426"/>
      <c r="G102" s="9"/>
      <c r="H102" s="9"/>
      <c r="I102" s="9"/>
      <c r="J102" s="9"/>
      <c r="K102" s="9"/>
      <c r="L102" s="9"/>
      <c r="M102" s="9"/>
      <c r="N102" s="9"/>
      <c r="O102" s="9"/>
      <c r="P102" s="9"/>
      <c r="Q102" s="9"/>
      <c r="R102" s="9"/>
      <c r="S102" s="9"/>
      <c r="T102" s="9"/>
      <c r="U102" s="9"/>
      <c r="V102" s="9"/>
      <c r="W102" s="9"/>
    </row>
    <row r="103" ht="15.75" customHeight="1">
      <c r="A103" s="422"/>
      <c r="B103" s="422"/>
      <c r="C103" s="426"/>
      <c r="D103" s="426"/>
      <c r="E103" s="426"/>
      <c r="F103" s="426"/>
      <c r="G103" s="9"/>
      <c r="H103" s="9"/>
      <c r="I103" s="9"/>
      <c r="J103" s="9"/>
      <c r="K103" s="9"/>
      <c r="L103" s="9"/>
      <c r="M103" s="9"/>
      <c r="N103" s="9"/>
      <c r="O103" s="9"/>
      <c r="P103" s="9"/>
      <c r="Q103" s="9"/>
      <c r="R103" s="9"/>
      <c r="S103" s="9"/>
      <c r="T103" s="9"/>
      <c r="U103" s="9"/>
      <c r="V103" s="9"/>
      <c r="W103" s="9"/>
    </row>
    <row r="104" ht="15.75" customHeight="1">
      <c r="A104" s="422"/>
      <c r="B104" s="422"/>
      <c r="C104" s="426"/>
      <c r="D104" s="426"/>
      <c r="E104" s="426"/>
      <c r="F104" s="426"/>
      <c r="G104" s="9"/>
      <c r="H104" s="9"/>
      <c r="I104" s="9"/>
      <c r="J104" s="9"/>
      <c r="K104" s="9"/>
      <c r="L104" s="9"/>
      <c r="M104" s="9"/>
      <c r="N104" s="9"/>
      <c r="O104" s="9"/>
      <c r="P104" s="9"/>
      <c r="Q104" s="9"/>
      <c r="R104" s="9"/>
      <c r="S104" s="9"/>
      <c r="T104" s="9"/>
      <c r="U104" s="9"/>
      <c r="V104" s="9"/>
      <c r="W104" s="9"/>
    </row>
    <row r="105" ht="15.75" customHeight="1">
      <c r="A105" s="422"/>
      <c r="B105" s="422"/>
      <c r="C105" s="426"/>
      <c r="D105" s="426"/>
      <c r="E105" s="426"/>
      <c r="F105" s="426"/>
      <c r="G105" s="9"/>
      <c r="H105" s="9"/>
      <c r="I105" s="9"/>
      <c r="J105" s="9"/>
      <c r="K105" s="9"/>
      <c r="L105" s="9"/>
      <c r="M105" s="9"/>
      <c r="N105" s="9"/>
      <c r="O105" s="9"/>
      <c r="P105" s="9"/>
      <c r="Q105" s="9"/>
      <c r="R105" s="9"/>
      <c r="S105" s="9"/>
      <c r="T105" s="9"/>
      <c r="U105" s="9"/>
      <c r="V105" s="9"/>
      <c r="W105" s="9"/>
    </row>
    <row r="106" ht="15.75" customHeight="1">
      <c r="A106" s="422"/>
      <c r="B106" s="422"/>
      <c r="C106" s="426"/>
      <c r="D106" s="426"/>
      <c r="E106" s="426"/>
      <c r="F106" s="426"/>
      <c r="G106" s="9"/>
      <c r="H106" s="9"/>
      <c r="I106" s="9"/>
      <c r="J106" s="9"/>
      <c r="K106" s="9"/>
      <c r="L106" s="9"/>
      <c r="M106" s="9"/>
      <c r="N106" s="9"/>
      <c r="O106" s="9"/>
      <c r="P106" s="9"/>
      <c r="Q106" s="9"/>
      <c r="R106" s="9"/>
      <c r="S106" s="9"/>
      <c r="T106" s="9"/>
      <c r="U106" s="9"/>
      <c r="V106" s="9"/>
      <c r="W106" s="9"/>
    </row>
    <row r="107" ht="15.75" customHeight="1">
      <c r="A107" s="422"/>
      <c r="B107" s="422"/>
      <c r="C107" s="426"/>
      <c r="D107" s="426"/>
      <c r="E107" s="426"/>
      <c r="F107" s="426"/>
      <c r="G107" s="9"/>
      <c r="H107" s="9"/>
      <c r="I107" s="9"/>
      <c r="J107" s="9"/>
      <c r="K107" s="9"/>
      <c r="L107" s="9"/>
      <c r="M107" s="9"/>
      <c r="N107" s="9"/>
      <c r="O107" s="9"/>
      <c r="P107" s="9"/>
      <c r="Q107" s="9"/>
      <c r="R107" s="9"/>
      <c r="S107" s="9"/>
      <c r="T107" s="9"/>
      <c r="U107" s="9"/>
      <c r="V107" s="9"/>
      <c r="W107" s="9"/>
    </row>
    <row r="108" ht="15.75" customHeight="1">
      <c r="A108" s="422"/>
      <c r="B108" s="422"/>
      <c r="C108" s="426"/>
      <c r="D108" s="426"/>
      <c r="E108" s="426"/>
      <c r="F108" s="426"/>
      <c r="G108" s="9"/>
      <c r="H108" s="9"/>
      <c r="I108" s="9"/>
      <c r="J108" s="9"/>
      <c r="K108" s="9"/>
      <c r="L108" s="9"/>
      <c r="M108" s="9"/>
      <c r="N108" s="9"/>
      <c r="O108" s="9"/>
      <c r="P108" s="9"/>
      <c r="Q108" s="9"/>
      <c r="R108" s="9"/>
      <c r="S108" s="9"/>
      <c r="T108" s="9"/>
      <c r="U108" s="9"/>
      <c r="V108" s="9"/>
      <c r="W108" s="9"/>
    </row>
    <row r="109" ht="15.75" customHeight="1">
      <c r="A109" s="422"/>
      <c r="B109" s="422"/>
      <c r="C109" s="426"/>
      <c r="D109" s="426"/>
      <c r="E109" s="426"/>
      <c r="F109" s="426"/>
      <c r="G109" s="9"/>
      <c r="H109" s="9"/>
      <c r="I109" s="9"/>
      <c r="J109" s="9"/>
      <c r="K109" s="9"/>
      <c r="L109" s="9"/>
      <c r="M109" s="9"/>
      <c r="N109" s="9"/>
      <c r="O109" s="9"/>
      <c r="P109" s="9"/>
      <c r="Q109" s="9"/>
      <c r="R109" s="9"/>
      <c r="S109" s="9"/>
      <c r="T109" s="9"/>
      <c r="U109" s="9"/>
      <c r="V109" s="9"/>
      <c r="W109" s="9"/>
    </row>
    <row r="110" ht="15.75" customHeight="1">
      <c r="A110" s="422"/>
      <c r="B110" s="422"/>
      <c r="C110" s="426"/>
      <c r="D110" s="426"/>
      <c r="E110" s="426"/>
      <c r="F110" s="426"/>
      <c r="G110" s="9"/>
      <c r="H110" s="9"/>
      <c r="I110" s="9"/>
      <c r="J110" s="9"/>
      <c r="K110" s="9"/>
      <c r="L110" s="9"/>
      <c r="M110" s="9"/>
      <c r="N110" s="9"/>
      <c r="O110" s="9"/>
      <c r="P110" s="9"/>
      <c r="Q110" s="9"/>
      <c r="R110" s="9"/>
      <c r="S110" s="9"/>
      <c r="T110" s="9"/>
      <c r="U110" s="9"/>
      <c r="V110" s="9"/>
      <c r="W110" s="9"/>
    </row>
    <row r="111" ht="15.75" customHeight="1">
      <c r="A111" s="422"/>
      <c r="B111" s="422"/>
      <c r="C111" s="426"/>
      <c r="D111" s="426"/>
      <c r="E111" s="426"/>
      <c r="F111" s="426"/>
      <c r="G111" s="9"/>
      <c r="H111" s="9"/>
      <c r="I111" s="9"/>
      <c r="J111" s="9"/>
      <c r="K111" s="9"/>
      <c r="L111" s="9"/>
      <c r="M111" s="9"/>
      <c r="N111" s="9"/>
      <c r="O111" s="9"/>
      <c r="P111" s="9"/>
      <c r="Q111" s="9"/>
      <c r="R111" s="9"/>
      <c r="S111" s="9"/>
      <c r="T111" s="9"/>
      <c r="U111" s="9"/>
      <c r="V111" s="9"/>
      <c r="W111" s="9"/>
    </row>
    <row r="112" ht="15.75" customHeight="1">
      <c r="A112" s="422"/>
      <c r="B112" s="422"/>
      <c r="C112" s="426"/>
      <c r="D112" s="426"/>
      <c r="E112" s="426"/>
      <c r="F112" s="426"/>
      <c r="G112" s="9"/>
      <c r="H112" s="9"/>
      <c r="I112" s="9"/>
      <c r="J112" s="9"/>
      <c r="K112" s="9"/>
      <c r="L112" s="9"/>
      <c r="M112" s="9"/>
      <c r="N112" s="9"/>
      <c r="O112" s="9"/>
      <c r="P112" s="9"/>
      <c r="Q112" s="9"/>
      <c r="R112" s="9"/>
      <c r="S112" s="9"/>
      <c r="T112" s="9"/>
      <c r="U112" s="9"/>
      <c r="V112" s="9"/>
      <c r="W112" s="9"/>
    </row>
    <row r="113" ht="15.75" customHeight="1">
      <c r="A113" s="422"/>
      <c r="B113" s="422"/>
      <c r="C113" s="426"/>
      <c r="D113" s="426"/>
      <c r="E113" s="426"/>
      <c r="F113" s="426"/>
      <c r="G113" s="9"/>
      <c r="H113" s="9"/>
      <c r="I113" s="9"/>
      <c r="J113" s="9"/>
      <c r="K113" s="9"/>
      <c r="L113" s="9"/>
      <c r="M113" s="9"/>
      <c r="N113" s="9"/>
      <c r="O113" s="9"/>
      <c r="P113" s="9"/>
      <c r="Q113" s="9"/>
      <c r="R113" s="9"/>
      <c r="S113" s="9"/>
      <c r="T113" s="9"/>
      <c r="U113" s="9"/>
      <c r="V113" s="9"/>
      <c r="W113" s="9"/>
    </row>
    <row r="114" ht="15.75" customHeight="1">
      <c r="A114" s="422"/>
      <c r="B114" s="422"/>
      <c r="C114" s="426"/>
      <c r="D114" s="426"/>
      <c r="E114" s="426"/>
      <c r="F114" s="426"/>
      <c r="G114" s="9"/>
      <c r="H114" s="9"/>
      <c r="I114" s="9"/>
      <c r="J114" s="9"/>
      <c r="K114" s="9"/>
      <c r="L114" s="9"/>
      <c r="M114" s="9"/>
      <c r="N114" s="9"/>
      <c r="O114" s="9"/>
      <c r="P114" s="9"/>
      <c r="Q114" s="9"/>
      <c r="R114" s="9"/>
      <c r="S114" s="9"/>
      <c r="T114" s="9"/>
      <c r="U114" s="9"/>
      <c r="V114" s="9"/>
      <c r="W114" s="9"/>
    </row>
    <row r="115" ht="15.75" customHeight="1">
      <c r="A115" s="422"/>
      <c r="B115" s="422"/>
      <c r="C115" s="426"/>
      <c r="D115" s="426"/>
      <c r="E115" s="426"/>
      <c r="F115" s="426"/>
      <c r="G115" s="9"/>
      <c r="H115" s="9"/>
      <c r="I115" s="9"/>
      <c r="J115" s="9"/>
      <c r="K115" s="9"/>
      <c r="L115" s="9"/>
      <c r="M115" s="9"/>
      <c r="N115" s="9"/>
      <c r="O115" s="9"/>
      <c r="P115" s="9"/>
      <c r="Q115" s="9"/>
      <c r="R115" s="9"/>
      <c r="S115" s="9"/>
      <c r="T115" s="9"/>
      <c r="U115" s="9"/>
      <c r="V115" s="9"/>
      <c r="W115" s="9"/>
    </row>
    <row r="116" ht="15.75" customHeight="1">
      <c r="A116" s="422"/>
      <c r="B116" s="422"/>
      <c r="C116" s="426"/>
      <c r="D116" s="426"/>
      <c r="E116" s="426"/>
      <c r="F116" s="426"/>
      <c r="G116" s="9"/>
      <c r="H116" s="9"/>
      <c r="I116" s="9"/>
      <c r="J116" s="9"/>
      <c r="K116" s="9"/>
      <c r="L116" s="9"/>
      <c r="M116" s="9"/>
      <c r="N116" s="9"/>
      <c r="O116" s="9"/>
      <c r="P116" s="9"/>
      <c r="Q116" s="9"/>
      <c r="R116" s="9"/>
      <c r="S116" s="9"/>
      <c r="T116" s="9"/>
      <c r="U116" s="9"/>
      <c r="V116" s="9"/>
      <c r="W116" s="9"/>
    </row>
    <row r="117" ht="15.75" customHeight="1">
      <c r="A117" s="422"/>
      <c r="B117" s="422"/>
      <c r="C117" s="426"/>
      <c r="D117" s="426"/>
      <c r="E117" s="426"/>
      <c r="F117" s="426"/>
      <c r="G117" s="9"/>
      <c r="H117" s="9"/>
      <c r="I117" s="9"/>
      <c r="J117" s="9"/>
      <c r="K117" s="9"/>
      <c r="L117" s="9"/>
      <c r="M117" s="9"/>
      <c r="N117" s="9"/>
      <c r="O117" s="9"/>
      <c r="P117" s="9"/>
      <c r="Q117" s="9"/>
      <c r="R117" s="9"/>
      <c r="S117" s="9"/>
      <c r="T117" s="9"/>
      <c r="U117" s="9"/>
      <c r="V117" s="9"/>
      <c r="W117" s="9"/>
    </row>
    <row r="118" ht="15.75" customHeight="1">
      <c r="A118" s="422"/>
      <c r="B118" s="422"/>
      <c r="C118" s="426"/>
      <c r="D118" s="426"/>
      <c r="E118" s="426"/>
      <c r="F118" s="426"/>
      <c r="G118" s="9"/>
      <c r="H118" s="9"/>
      <c r="I118" s="9"/>
      <c r="J118" s="9"/>
      <c r="K118" s="9"/>
      <c r="L118" s="9"/>
      <c r="M118" s="9"/>
      <c r="N118" s="9"/>
      <c r="O118" s="9"/>
      <c r="P118" s="9"/>
      <c r="Q118" s="9"/>
      <c r="R118" s="9"/>
      <c r="S118" s="9"/>
      <c r="T118" s="9"/>
      <c r="U118" s="9"/>
      <c r="V118" s="9"/>
      <c r="W118" s="9"/>
    </row>
    <row r="119" ht="15.75" customHeight="1">
      <c r="A119" s="422"/>
      <c r="B119" s="422"/>
      <c r="C119" s="426"/>
      <c r="D119" s="426"/>
      <c r="E119" s="426"/>
      <c r="F119" s="426"/>
      <c r="G119" s="9"/>
      <c r="H119" s="9"/>
      <c r="I119" s="9"/>
      <c r="J119" s="9"/>
      <c r="K119" s="9"/>
      <c r="L119" s="9"/>
      <c r="M119" s="9"/>
      <c r="N119" s="9"/>
      <c r="O119" s="9"/>
      <c r="P119" s="9"/>
      <c r="Q119" s="9"/>
      <c r="R119" s="9"/>
      <c r="S119" s="9"/>
      <c r="T119" s="9"/>
      <c r="U119" s="9"/>
      <c r="V119" s="9"/>
      <c r="W119" s="9"/>
    </row>
    <row r="120" ht="15.75" customHeight="1">
      <c r="A120" s="422"/>
      <c r="B120" s="422"/>
      <c r="C120" s="426"/>
      <c r="D120" s="426"/>
      <c r="E120" s="426"/>
      <c r="F120" s="426"/>
      <c r="G120" s="9"/>
      <c r="H120" s="9"/>
      <c r="I120" s="9"/>
      <c r="J120" s="9"/>
      <c r="K120" s="9"/>
      <c r="L120" s="9"/>
      <c r="M120" s="9"/>
      <c r="N120" s="9"/>
      <c r="O120" s="9"/>
      <c r="P120" s="9"/>
      <c r="Q120" s="9"/>
      <c r="R120" s="9"/>
      <c r="S120" s="9"/>
      <c r="T120" s="9"/>
      <c r="U120" s="9"/>
      <c r="V120" s="9"/>
      <c r="W120" s="9"/>
    </row>
    <row r="121" ht="15.75" customHeight="1">
      <c r="A121" s="422"/>
      <c r="B121" s="422"/>
      <c r="C121" s="426"/>
      <c r="D121" s="426"/>
      <c r="E121" s="426"/>
      <c r="F121" s="426"/>
      <c r="G121" s="9"/>
      <c r="H121" s="9"/>
      <c r="I121" s="9"/>
      <c r="J121" s="9"/>
      <c r="K121" s="9"/>
      <c r="L121" s="9"/>
      <c r="M121" s="9"/>
      <c r="N121" s="9"/>
      <c r="O121" s="9"/>
      <c r="P121" s="9"/>
      <c r="Q121" s="9"/>
      <c r="R121" s="9"/>
      <c r="S121" s="9"/>
      <c r="T121" s="9"/>
      <c r="U121" s="9"/>
      <c r="V121" s="9"/>
      <c r="W121" s="9"/>
    </row>
    <row r="122" ht="15.75" customHeight="1">
      <c r="A122" s="422"/>
      <c r="B122" s="422"/>
      <c r="C122" s="426"/>
      <c r="D122" s="426"/>
      <c r="E122" s="426"/>
      <c r="F122" s="426"/>
      <c r="G122" s="9"/>
      <c r="H122" s="9"/>
      <c r="I122" s="9"/>
      <c r="J122" s="9"/>
      <c r="K122" s="9"/>
      <c r="L122" s="9"/>
      <c r="M122" s="9"/>
      <c r="N122" s="9"/>
      <c r="O122" s="9"/>
      <c r="P122" s="9"/>
      <c r="Q122" s="9"/>
      <c r="R122" s="9"/>
      <c r="S122" s="9"/>
      <c r="T122" s="9"/>
      <c r="U122" s="9"/>
      <c r="V122" s="9"/>
      <c r="W122" s="9"/>
    </row>
    <row r="123" ht="15.75" customHeight="1">
      <c r="A123" s="422"/>
      <c r="B123" s="422"/>
      <c r="C123" s="426"/>
      <c r="D123" s="426"/>
      <c r="E123" s="426"/>
      <c r="F123" s="426"/>
      <c r="G123" s="9"/>
      <c r="H123" s="9"/>
      <c r="I123" s="9"/>
      <c r="J123" s="9"/>
      <c r="K123" s="9"/>
      <c r="L123" s="9"/>
      <c r="M123" s="9"/>
      <c r="N123" s="9"/>
      <c r="O123" s="9"/>
      <c r="P123" s="9"/>
      <c r="Q123" s="9"/>
      <c r="R123" s="9"/>
      <c r="S123" s="9"/>
      <c r="T123" s="9"/>
      <c r="U123" s="9"/>
      <c r="V123" s="9"/>
      <c r="W123" s="9"/>
    </row>
    <row r="124" ht="15.75" customHeight="1">
      <c r="A124" s="422"/>
      <c r="B124" s="422"/>
      <c r="C124" s="426"/>
      <c r="D124" s="426"/>
      <c r="E124" s="426"/>
      <c r="F124" s="426"/>
      <c r="G124" s="9"/>
      <c r="H124" s="9"/>
      <c r="I124" s="9"/>
      <c r="J124" s="9"/>
      <c r="K124" s="9"/>
      <c r="L124" s="9"/>
      <c r="M124" s="9"/>
      <c r="N124" s="9"/>
      <c r="O124" s="9"/>
      <c r="P124" s="9"/>
      <c r="Q124" s="9"/>
      <c r="R124" s="9"/>
      <c r="S124" s="9"/>
      <c r="T124" s="9"/>
      <c r="U124" s="9"/>
      <c r="V124" s="9"/>
      <c r="W124" s="9"/>
    </row>
    <row r="125" ht="15.75" customHeight="1">
      <c r="A125" s="422"/>
      <c r="B125" s="422"/>
      <c r="C125" s="426"/>
      <c r="D125" s="426"/>
      <c r="E125" s="426"/>
      <c r="F125" s="426"/>
      <c r="G125" s="9"/>
      <c r="H125" s="9"/>
      <c r="I125" s="9"/>
      <c r="J125" s="9"/>
      <c r="K125" s="9"/>
      <c r="L125" s="9"/>
      <c r="M125" s="9"/>
      <c r="N125" s="9"/>
      <c r="O125" s="9"/>
      <c r="P125" s="9"/>
      <c r="Q125" s="9"/>
      <c r="R125" s="9"/>
      <c r="S125" s="9"/>
      <c r="T125" s="9"/>
      <c r="U125" s="9"/>
      <c r="V125" s="9"/>
      <c r="W125" s="9"/>
    </row>
    <row r="126" ht="15.75" customHeight="1">
      <c r="A126" s="422"/>
      <c r="B126" s="422"/>
      <c r="C126" s="426"/>
      <c r="D126" s="426"/>
      <c r="E126" s="426"/>
      <c r="F126" s="426"/>
      <c r="G126" s="9"/>
      <c r="H126" s="9"/>
      <c r="I126" s="9"/>
      <c r="J126" s="9"/>
      <c r="K126" s="9"/>
      <c r="L126" s="9"/>
      <c r="M126" s="9"/>
      <c r="N126" s="9"/>
      <c r="O126" s="9"/>
      <c r="P126" s="9"/>
      <c r="Q126" s="9"/>
      <c r="R126" s="9"/>
      <c r="S126" s="9"/>
      <c r="T126" s="9"/>
      <c r="U126" s="9"/>
      <c r="V126" s="9"/>
      <c r="W126" s="9"/>
    </row>
    <row r="127" ht="15.75" customHeight="1">
      <c r="A127" s="422"/>
      <c r="B127" s="422"/>
      <c r="C127" s="426"/>
      <c r="D127" s="426"/>
      <c r="E127" s="426"/>
      <c r="F127" s="426"/>
      <c r="G127" s="9"/>
      <c r="H127" s="9"/>
      <c r="I127" s="9"/>
      <c r="J127" s="9"/>
      <c r="K127" s="9"/>
      <c r="L127" s="9"/>
      <c r="M127" s="9"/>
      <c r="N127" s="9"/>
      <c r="O127" s="9"/>
      <c r="P127" s="9"/>
      <c r="Q127" s="9"/>
      <c r="R127" s="9"/>
      <c r="S127" s="9"/>
      <c r="T127" s="9"/>
      <c r="U127" s="9"/>
      <c r="V127" s="9"/>
      <c r="W127" s="9"/>
    </row>
    <row r="128" ht="15.75" customHeight="1">
      <c r="A128" s="422"/>
      <c r="B128" s="422"/>
      <c r="C128" s="426"/>
      <c r="D128" s="426"/>
      <c r="E128" s="426"/>
      <c r="F128" s="426"/>
      <c r="G128" s="9"/>
      <c r="H128" s="9"/>
      <c r="I128" s="9"/>
      <c r="J128" s="9"/>
      <c r="K128" s="9"/>
      <c r="L128" s="9"/>
      <c r="M128" s="9"/>
      <c r="N128" s="9"/>
      <c r="O128" s="9"/>
      <c r="P128" s="9"/>
      <c r="Q128" s="9"/>
      <c r="R128" s="9"/>
      <c r="S128" s="9"/>
      <c r="T128" s="9"/>
      <c r="U128" s="9"/>
      <c r="V128" s="9"/>
      <c r="W128" s="9"/>
    </row>
    <row r="129" ht="15.75" customHeight="1">
      <c r="A129" s="422"/>
      <c r="B129" s="422"/>
      <c r="C129" s="426"/>
      <c r="D129" s="426"/>
      <c r="E129" s="426"/>
      <c r="F129" s="426"/>
      <c r="G129" s="9"/>
      <c r="H129" s="9"/>
      <c r="I129" s="9"/>
      <c r="J129" s="9"/>
      <c r="K129" s="9"/>
      <c r="L129" s="9"/>
      <c r="M129" s="9"/>
      <c r="N129" s="9"/>
      <c r="O129" s="9"/>
      <c r="P129" s="9"/>
      <c r="Q129" s="9"/>
      <c r="R129" s="9"/>
      <c r="S129" s="9"/>
      <c r="T129" s="9"/>
      <c r="U129" s="9"/>
      <c r="V129" s="9"/>
      <c r="W129" s="9"/>
    </row>
    <row r="130" ht="15.75" customHeight="1">
      <c r="A130" s="422"/>
      <c r="B130" s="422"/>
      <c r="C130" s="426"/>
      <c r="D130" s="426"/>
      <c r="E130" s="426"/>
      <c r="F130" s="426"/>
      <c r="G130" s="9"/>
      <c r="H130" s="9"/>
      <c r="I130" s="9"/>
      <c r="J130" s="9"/>
      <c r="K130" s="9"/>
      <c r="L130" s="9"/>
      <c r="M130" s="9"/>
      <c r="N130" s="9"/>
      <c r="O130" s="9"/>
      <c r="P130" s="9"/>
      <c r="Q130" s="9"/>
      <c r="R130" s="9"/>
      <c r="S130" s="9"/>
      <c r="T130" s="9"/>
      <c r="U130" s="9"/>
      <c r="V130" s="9"/>
      <c r="W130" s="9"/>
    </row>
    <row r="131" ht="15.75" customHeight="1">
      <c r="A131" s="422"/>
      <c r="B131" s="422"/>
      <c r="C131" s="426"/>
      <c r="D131" s="426"/>
      <c r="E131" s="426"/>
      <c r="F131" s="426"/>
      <c r="G131" s="9"/>
      <c r="H131" s="9"/>
      <c r="I131" s="9"/>
      <c r="J131" s="9"/>
      <c r="K131" s="9"/>
      <c r="L131" s="9"/>
      <c r="M131" s="9"/>
      <c r="N131" s="9"/>
      <c r="O131" s="9"/>
      <c r="P131" s="9"/>
      <c r="Q131" s="9"/>
      <c r="R131" s="9"/>
      <c r="S131" s="9"/>
      <c r="T131" s="9"/>
      <c r="U131" s="9"/>
      <c r="V131" s="9"/>
      <c r="W131" s="9"/>
    </row>
    <row r="132" ht="15.75" customHeight="1">
      <c r="A132" s="422"/>
      <c r="B132" s="422"/>
      <c r="C132" s="426"/>
      <c r="D132" s="426"/>
      <c r="E132" s="426"/>
      <c r="F132" s="426"/>
      <c r="G132" s="9"/>
      <c r="H132" s="9"/>
      <c r="I132" s="9"/>
      <c r="J132" s="9"/>
      <c r="K132" s="9"/>
      <c r="L132" s="9"/>
      <c r="M132" s="9"/>
      <c r="N132" s="9"/>
      <c r="O132" s="9"/>
      <c r="P132" s="9"/>
      <c r="Q132" s="9"/>
      <c r="R132" s="9"/>
      <c r="S132" s="9"/>
      <c r="T132" s="9"/>
      <c r="U132" s="9"/>
      <c r="V132" s="9"/>
      <c r="W132" s="9"/>
    </row>
    <row r="133" ht="15.75" customHeight="1">
      <c r="A133" s="422"/>
      <c r="B133" s="422"/>
      <c r="C133" s="426"/>
      <c r="D133" s="426"/>
      <c r="E133" s="426"/>
      <c r="F133" s="426"/>
      <c r="G133" s="9"/>
      <c r="H133" s="9"/>
      <c r="I133" s="9"/>
      <c r="J133" s="9"/>
      <c r="K133" s="9"/>
      <c r="L133" s="9"/>
      <c r="M133" s="9"/>
      <c r="N133" s="9"/>
      <c r="O133" s="9"/>
      <c r="P133" s="9"/>
      <c r="Q133" s="9"/>
      <c r="R133" s="9"/>
      <c r="S133" s="9"/>
      <c r="T133" s="9"/>
      <c r="U133" s="9"/>
      <c r="V133" s="9"/>
      <c r="W133" s="9"/>
    </row>
    <row r="134" ht="15.75" customHeight="1">
      <c r="A134" s="422"/>
      <c r="B134" s="422"/>
      <c r="C134" s="426"/>
      <c r="D134" s="426"/>
      <c r="E134" s="426"/>
      <c r="F134" s="426"/>
      <c r="G134" s="9"/>
      <c r="H134" s="9"/>
      <c r="I134" s="9"/>
      <c r="J134" s="9"/>
      <c r="K134" s="9"/>
      <c r="L134" s="9"/>
      <c r="M134" s="9"/>
      <c r="N134" s="9"/>
      <c r="O134" s="9"/>
      <c r="P134" s="9"/>
      <c r="Q134" s="9"/>
      <c r="R134" s="9"/>
      <c r="S134" s="9"/>
      <c r="T134" s="9"/>
      <c r="U134" s="9"/>
      <c r="V134" s="9"/>
      <c r="W134" s="9"/>
    </row>
    <row r="135" ht="15.75" customHeight="1">
      <c r="A135" s="422"/>
      <c r="B135" s="422"/>
      <c r="C135" s="426"/>
      <c r="D135" s="426"/>
      <c r="E135" s="426"/>
      <c r="F135" s="426"/>
      <c r="G135" s="9"/>
      <c r="H135" s="9"/>
      <c r="I135" s="9"/>
      <c r="J135" s="9"/>
      <c r="K135" s="9"/>
      <c r="L135" s="9"/>
      <c r="M135" s="9"/>
      <c r="N135" s="9"/>
      <c r="O135" s="9"/>
      <c r="P135" s="9"/>
      <c r="Q135" s="9"/>
      <c r="R135" s="9"/>
      <c r="S135" s="9"/>
      <c r="T135" s="9"/>
      <c r="U135" s="9"/>
      <c r="V135" s="9"/>
      <c r="W135" s="9"/>
    </row>
    <row r="136" ht="15.75" customHeight="1">
      <c r="A136" s="422"/>
      <c r="B136" s="422"/>
      <c r="C136" s="426"/>
      <c r="D136" s="426"/>
      <c r="E136" s="426"/>
      <c r="F136" s="426"/>
      <c r="G136" s="9"/>
      <c r="H136" s="9"/>
      <c r="I136" s="9"/>
      <c r="J136" s="9"/>
      <c r="K136" s="9"/>
      <c r="L136" s="9"/>
      <c r="M136" s="9"/>
      <c r="N136" s="9"/>
      <c r="O136" s="9"/>
      <c r="P136" s="9"/>
      <c r="Q136" s="9"/>
      <c r="R136" s="9"/>
      <c r="S136" s="9"/>
      <c r="T136" s="9"/>
      <c r="U136" s="9"/>
      <c r="V136" s="9"/>
      <c r="W136" s="9"/>
    </row>
    <row r="137" ht="15.75" customHeight="1">
      <c r="A137" s="422"/>
      <c r="B137" s="422"/>
      <c r="C137" s="426"/>
      <c r="D137" s="426"/>
      <c r="E137" s="426"/>
      <c r="F137" s="426"/>
      <c r="G137" s="9"/>
      <c r="H137" s="9"/>
      <c r="I137" s="9"/>
      <c r="J137" s="9"/>
      <c r="K137" s="9"/>
      <c r="L137" s="9"/>
      <c r="M137" s="9"/>
      <c r="N137" s="9"/>
      <c r="O137" s="9"/>
      <c r="P137" s="9"/>
      <c r="Q137" s="9"/>
      <c r="R137" s="9"/>
      <c r="S137" s="9"/>
      <c r="T137" s="9"/>
      <c r="U137" s="9"/>
      <c r="V137" s="9"/>
      <c r="W137" s="9"/>
    </row>
    <row r="138" ht="15.75" customHeight="1">
      <c r="A138" s="422"/>
      <c r="B138" s="422"/>
      <c r="C138" s="426"/>
      <c r="D138" s="426"/>
      <c r="E138" s="426"/>
      <c r="F138" s="426"/>
      <c r="G138" s="9"/>
      <c r="H138" s="9"/>
      <c r="I138" s="9"/>
      <c r="J138" s="9"/>
      <c r="K138" s="9"/>
      <c r="L138" s="9"/>
      <c r="M138" s="9"/>
      <c r="N138" s="9"/>
      <c r="O138" s="9"/>
      <c r="P138" s="9"/>
      <c r="Q138" s="9"/>
      <c r="R138" s="9"/>
      <c r="S138" s="9"/>
      <c r="T138" s="9"/>
      <c r="U138" s="9"/>
      <c r="V138" s="9"/>
      <c r="W138" s="9"/>
    </row>
    <row r="139" ht="15.75" customHeight="1">
      <c r="A139" s="422"/>
      <c r="B139" s="422"/>
      <c r="C139" s="426"/>
      <c r="D139" s="426"/>
      <c r="E139" s="426"/>
      <c r="F139" s="426"/>
      <c r="G139" s="9"/>
      <c r="H139" s="9"/>
      <c r="I139" s="9"/>
      <c r="J139" s="9"/>
      <c r="K139" s="9"/>
      <c r="L139" s="9"/>
      <c r="M139" s="9"/>
      <c r="N139" s="9"/>
      <c r="O139" s="9"/>
      <c r="P139" s="9"/>
      <c r="Q139" s="9"/>
      <c r="R139" s="9"/>
      <c r="S139" s="9"/>
      <c r="T139" s="9"/>
      <c r="U139" s="9"/>
      <c r="V139" s="9"/>
      <c r="W139" s="9"/>
    </row>
    <row r="140" ht="15.75" customHeight="1">
      <c r="A140" s="422"/>
      <c r="B140" s="422"/>
      <c r="C140" s="426"/>
      <c r="D140" s="426"/>
      <c r="E140" s="426"/>
      <c r="F140" s="426"/>
      <c r="G140" s="9"/>
      <c r="H140" s="9"/>
      <c r="I140" s="9"/>
      <c r="J140" s="9"/>
      <c r="K140" s="9"/>
      <c r="L140" s="9"/>
      <c r="M140" s="9"/>
      <c r="N140" s="9"/>
      <c r="O140" s="9"/>
      <c r="P140" s="9"/>
      <c r="Q140" s="9"/>
      <c r="R140" s="9"/>
      <c r="S140" s="9"/>
      <c r="T140" s="9"/>
      <c r="U140" s="9"/>
      <c r="V140" s="9"/>
      <c r="W140" s="9"/>
    </row>
    <row r="141" ht="15.75" customHeight="1">
      <c r="A141" s="422"/>
      <c r="B141" s="422"/>
      <c r="C141" s="426"/>
      <c r="D141" s="426"/>
      <c r="E141" s="426"/>
      <c r="F141" s="426"/>
      <c r="G141" s="9"/>
      <c r="H141" s="9"/>
      <c r="I141" s="9"/>
      <c r="J141" s="9"/>
      <c r="K141" s="9"/>
      <c r="L141" s="9"/>
      <c r="M141" s="9"/>
      <c r="N141" s="9"/>
      <c r="O141" s="9"/>
      <c r="P141" s="9"/>
      <c r="Q141" s="9"/>
      <c r="R141" s="9"/>
      <c r="S141" s="9"/>
      <c r="T141" s="9"/>
      <c r="U141" s="9"/>
      <c r="V141" s="9"/>
      <c r="W141" s="9"/>
    </row>
    <row r="142" ht="15.75" customHeight="1">
      <c r="A142" s="422"/>
      <c r="B142" s="422"/>
      <c r="C142" s="426"/>
      <c r="D142" s="426"/>
      <c r="E142" s="426"/>
      <c r="F142" s="426"/>
      <c r="G142" s="9"/>
      <c r="H142" s="9"/>
      <c r="I142" s="9"/>
      <c r="J142" s="9"/>
      <c r="K142" s="9"/>
      <c r="L142" s="9"/>
      <c r="M142" s="9"/>
      <c r="N142" s="9"/>
      <c r="O142" s="9"/>
      <c r="P142" s="9"/>
      <c r="Q142" s="9"/>
      <c r="R142" s="9"/>
      <c r="S142" s="9"/>
      <c r="T142" s="9"/>
      <c r="U142" s="9"/>
      <c r="V142" s="9"/>
      <c r="W142" s="9"/>
    </row>
    <row r="143" ht="15.75" customHeight="1">
      <c r="A143" s="422"/>
      <c r="B143" s="422"/>
      <c r="C143" s="426"/>
      <c r="D143" s="426"/>
      <c r="E143" s="426"/>
      <c r="F143" s="426"/>
      <c r="G143" s="9"/>
      <c r="H143" s="9"/>
      <c r="I143" s="9"/>
      <c r="J143" s="9"/>
      <c r="K143" s="9"/>
      <c r="L143" s="9"/>
      <c r="M143" s="9"/>
      <c r="N143" s="9"/>
      <c r="O143" s="9"/>
      <c r="P143" s="9"/>
      <c r="Q143" s="9"/>
      <c r="R143" s="9"/>
      <c r="S143" s="9"/>
      <c r="T143" s="9"/>
      <c r="U143" s="9"/>
      <c r="V143" s="9"/>
      <c r="W143" s="9"/>
    </row>
    <row r="144" ht="15.75" customHeight="1">
      <c r="A144" s="422"/>
      <c r="B144" s="422"/>
      <c r="C144" s="426"/>
      <c r="D144" s="426"/>
      <c r="E144" s="426"/>
      <c r="F144" s="426"/>
      <c r="G144" s="9"/>
      <c r="H144" s="9"/>
      <c r="I144" s="9"/>
      <c r="J144" s="9"/>
      <c r="K144" s="9"/>
      <c r="L144" s="9"/>
      <c r="M144" s="9"/>
      <c r="N144" s="9"/>
      <c r="O144" s="9"/>
      <c r="P144" s="9"/>
      <c r="Q144" s="9"/>
      <c r="R144" s="9"/>
      <c r="S144" s="9"/>
      <c r="T144" s="9"/>
      <c r="U144" s="9"/>
      <c r="V144" s="9"/>
      <c r="W144" s="9"/>
    </row>
    <row r="145" ht="15.75" customHeight="1">
      <c r="A145" s="422"/>
      <c r="B145" s="422"/>
      <c r="C145" s="426"/>
      <c r="D145" s="426"/>
      <c r="E145" s="426"/>
      <c r="F145" s="426"/>
      <c r="G145" s="9"/>
      <c r="H145" s="9"/>
      <c r="I145" s="9"/>
      <c r="J145" s="9"/>
      <c r="K145" s="9"/>
      <c r="L145" s="9"/>
      <c r="M145" s="9"/>
      <c r="N145" s="9"/>
      <c r="O145" s="9"/>
      <c r="P145" s="9"/>
      <c r="Q145" s="9"/>
      <c r="R145" s="9"/>
      <c r="S145" s="9"/>
      <c r="T145" s="9"/>
      <c r="U145" s="9"/>
      <c r="V145" s="9"/>
      <c r="W145" s="9"/>
    </row>
    <row r="146" ht="15.75" customHeight="1">
      <c r="A146" s="422"/>
      <c r="B146" s="422"/>
      <c r="C146" s="426"/>
      <c r="D146" s="426"/>
      <c r="E146" s="426"/>
      <c r="F146" s="426"/>
      <c r="G146" s="9"/>
      <c r="H146" s="9"/>
      <c r="I146" s="9"/>
      <c r="J146" s="9"/>
      <c r="K146" s="9"/>
      <c r="L146" s="9"/>
      <c r="M146" s="9"/>
      <c r="N146" s="9"/>
      <c r="O146" s="9"/>
      <c r="P146" s="9"/>
      <c r="Q146" s="9"/>
      <c r="R146" s="9"/>
      <c r="S146" s="9"/>
      <c r="T146" s="9"/>
      <c r="U146" s="9"/>
      <c r="V146" s="9"/>
      <c r="W146" s="9"/>
    </row>
    <row r="147" ht="15.75" customHeight="1">
      <c r="A147" s="422"/>
      <c r="B147" s="422"/>
      <c r="C147" s="426"/>
      <c r="D147" s="426"/>
      <c r="E147" s="426"/>
      <c r="F147" s="426"/>
      <c r="G147" s="9"/>
      <c r="H147" s="9"/>
      <c r="I147" s="9"/>
      <c r="J147" s="9"/>
      <c r="K147" s="9"/>
      <c r="L147" s="9"/>
      <c r="M147" s="9"/>
      <c r="N147" s="9"/>
      <c r="O147" s="9"/>
      <c r="P147" s="9"/>
      <c r="Q147" s="9"/>
      <c r="R147" s="9"/>
      <c r="S147" s="9"/>
      <c r="T147" s="9"/>
      <c r="U147" s="9"/>
      <c r="V147" s="9"/>
      <c r="W147" s="9"/>
    </row>
    <row r="148" ht="15.75" customHeight="1">
      <c r="A148" s="422"/>
      <c r="B148" s="422"/>
      <c r="C148" s="426"/>
      <c r="D148" s="426"/>
      <c r="E148" s="426"/>
      <c r="F148" s="426"/>
      <c r="G148" s="9"/>
      <c r="H148" s="9"/>
      <c r="I148" s="9"/>
      <c r="J148" s="9"/>
      <c r="K148" s="9"/>
      <c r="L148" s="9"/>
      <c r="M148" s="9"/>
      <c r="N148" s="9"/>
      <c r="O148" s="9"/>
      <c r="P148" s="9"/>
      <c r="Q148" s="9"/>
      <c r="R148" s="9"/>
      <c r="S148" s="9"/>
      <c r="T148" s="9"/>
      <c r="U148" s="9"/>
      <c r="V148" s="9"/>
      <c r="W148" s="9"/>
    </row>
    <row r="149" ht="15.75" customHeight="1">
      <c r="A149" s="422"/>
      <c r="B149" s="422"/>
      <c r="C149" s="426"/>
      <c r="D149" s="426"/>
      <c r="E149" s="426"/>
      <c r="F149" s="426"/>
      <c r="G149" s="9"/>
      <c r="H149" s="9"/>
      <c r="I149" s="9"/>
      <c r="J149" s="9"/>
      <c r="K149" s="9"/>
      <c r="L149" s="9"/>
      <c r="M149" s="9"/>
      <c r="N149" s="9"/>
      <c r="O149" s="9"/>
      <c r="P149" s="9"/>
      <c r="Q149" s="9"/>
      <c r="R149" s="9"/>
      <c r="S149" s="9"/>
      <c r="T149" s="9"/>
      <c r="U149" s="9"/>
      <c r="V149" s="9"/>
      <c r="W149" s="9"/>
    </row>
    <row r="150" ht="15.75" customHeight="1">
      <c r="A150" s="422"/>
      <c r="B150" s="422"/>
      <c r="C150" s="426"/>
      <c r="D150" s="426"/>
      <c r="E150" s="426"/>
      <c r="F150" s="426"/>
      <c r="G150" s="9"/>
      <c r="H150" s="9"/>
      <c r="I150" s="9"/>
      <c r="J150" s="9"/>
      <c r="K150" s="9"/>
      <c r="L150" s="9"/>
      <c r="M150" s="9"/>
      <c r="N150" s="9"/>
      <c r="O150" s="9"/>
      <c r="P150" s="9"/>
      <c r="Q150" s="9"/>
      <c r="R150" s="9"/>
      <c r="S150" s="9"/>
      <c r="T150" s="9"/>
      <c r="U150" s="9"/>
      <c r="V150" s="9"/>
      <c r="W150" s="9"/>
    </row>
    <row r="151" ht="15.75" customHeight="1">
      <c r="A151" s="422"/>
      <c r="B151" s="422"/>
      <c r="C151" s="426"/>
      <c r="D151" s="426"/>
      <c r="E151" s="426"/>
      <c r="F151" s="426"/>
      <c r="G151" s="9"/>
      <c r="H151" s="9"/>
      <c r="I151" s="9"/>
      <c r="J151" s="9"/>
      <c r="K151" s="9"/>
      <c r="L151" s="9"/>
      <c r="M151" s="9"/>
      <c r="N151" s="9"/>
      <c r="O151" s="9"/>
      <c r="P151" s="9"/>
      <c r="Q151" s="9"/>
      <c r="R151" s="9"/>
      <c r="S151" s="9"/>
      <c r="T151" s="9"/>
      <c r="U151" s="9"/>
      <c r="V151" s="9"/>
      <c r="W151" s="9"/>
    </row>
    <row r="152" ht="15.75" customHeight="1">
      <c r="A152" s="422"/>
      <c r="B152" s="422"/>
      <c r="C152" s="426"/>
      <c r="D152" s="426"/>
      <c r="E152" s="426"/>
      <c r="F152" s="426"/>
      <c r="G152" s="9"/>
      <c r="H152" s="9"/>
      <c r="I152" s="9"/>
      <c r="J152" s="9"/>
      <c r="K152" s="9"/>
      <c r="L152" s="9"/>
      <c r="M152" s="9"/>
      <c r="N152" s="9"/>
      <c r="O152" s="9"/>
      <c r="P152" s="9"/>
      <c r="Q152" s="9"/>
      <c r="R152" s="9"/>
      <c r="S152" s="9"/>
      <c r="T152" s="9"/>
      <c r="U152" s="9"/>
      <c r="V152" s="9"/>
      <c r="W152" s="9"/>
    </row>
    <row r="153" ht="15.75" customHeight="1">
      <c r="A153" s="422"/>
      <c r="B153" s="422"/>
      <c r="C153" s="426"/>
      <c r="D153" s="426"/>
      <c r="E153" s="426"/>
      <c r="F153" s="426"/>
      <c r="G153" s="9"/>
      <c r="H153" s="9"/>
      <c r="I153" s="9"/>
      <c r="J153" s="9"/>
      <c r="K153" s="9"/>
      <c r="L153" s="9"/>
      <c r="M153" s="9"/>
      <c r="N153" s="9"/>
      <c r="O153" s="9"/>
      <c r="P153" s="9"/>
      <c r="Q153" s="9"/>
      <c r="R153" s="9"/>
      <c r="S153" s="9"/>
      <c r="T153" s="9"/>
      <c r="U153" s="9"/>
      <c r="V153" s="9"/>
      <c r="W153" s="9"/>
    </row>
    <row r="154" ht="15.75" customHeight="1">
      <c r="A154" s="422"/>
      <c r="B154" s="422"/>
      <c r="C154" s="426"/>
      <c r="D154" s="426"/>
      <c r="E154" s="426"/>
      <c r="F154" s="426"/>
      <c r="G154" s="9"/>
      <c r="H154" s="9"/>
      <c r="I154" s="9"/>
      <c r="J154" s="9"/>
      <c r="K154" s="9"/>
      <c r="L154" s="9"/>
      <c r="M154" s="9"/>
      <c r="N154" s="9"/>
      <c r="O154" s="9"/>
      <c r="P154" s="9"/>
      <c r="Q154" s="9"/>
      <c r="R154" s="9"/>
      <c r="S154" s="9"/>
      <c r="T154" s="9"/>
      <c r="U154" s="9"/>
      <c r="V154" s="9"/>
      <c r="W154" s="9"/>
    </row>
    <row r="155" ht="15.75" customHeight="1">
      <c r="A155" s="422"/>
      <c r="B155" s="422"/>
      <c r="C155" s="426"/>
      <c r="D155" s="426"/>
      <c r="E155" s="426"/>
      <c r="F155" s="426"/>
      <c r="G155" s="9"/>
      <c r="H155" s="9"/>
      <c r="I155" s="9"/>
      <c r="J155" s="9"/>
      <c r="K155" s="9"/>
      <c r="L155" s="9"/>
      <c r="M155" s="9"/>
      <c r="N155" s="9"/>
      <c r="O155" s="9"/>
      <c r="P155" s="9"/>
      <c r="Q155" s="9"/>
      <c r="R155" s="9"/>
      <c r="S155" s="9"/>
      <c r="T155" s="9"/>
      <c r="U155" s="9"/>
      <c r="V155" s="9"/>
      <c r="W155" s="9"/>
    </row>
    <row r="156" ht="15.75" customHeight="1">
      <c r="A156" s="422"/>
      <c r="B156" s="422"/>
      <c r="C156" s="426"/>
      <c r="D156" s="426"/>
      <c r="E156" s="426"/>
      <c r="F156" s="426"/>
      <c r="G156" s="9"/>
      <c r="H156" s="9"/>
      <c r="I156" s="9"/>
      <c r="J156" s="9"/>
      <c r="K156" s="9"/>
      <c r="L156" s="9"/>
      <c r="M156" s="9"/>
      <c r="N156" s="9"/>
      <c r="O156" s="9"/>
      <c r="P156" s="9"/>
      <c r="Q156" s="9"/>
      <c r="R156" s="9"/>
      <c r="S156" s="9"/>
      <c r="T156" s="9"/>
      <c r="U156" s="9"/>
      <c r="V156" s="9"/>
      <c r="W156" s="9"/>
    </row>
    <row r="157" ht="15.75" customHeight="1">
      <c r="A157" s="422"/>
      <c r="B157" s="422"/>
      <c r="C157" s="426"/>
      <c r="D157" s="426"/>
      <c r="E157" s="426"/>
      <c r="F157" s="426"/>
      <c r="G157" s="9"/>
      <c r="H157" s="9"/>
      <c r="I157" s="9"/>
      <c r="J157" s="9"/>
      <c r="K157" s="9"/>
      <c r="L157" s="9"/>
      <c r="M157" s="9"/>
      <c r="N157" s="9"/>
      <c r="O157" s="9"/>
      <c r="P157" s="9"/>
      <c r="Q157" s="9"/>
      <c r="R157" s="9"/>
      <c r="S157" s="9"/>
      <c r="T157" s="9"/>
      <c r="U157" s="9"/>
      <c r="V157" s="9"/>
      <c r="W157" s="9"/>
    </row>
    <row r="158" ht="15.75" customHeight="1">
      <c r="A158" s="422"/>
      <c r="B158" s="422"/>
      <c r="C158" s="426"/>
      <c r="D158" s="426"/>
      <c r="E158" s="426"/>
      <c r="F158" s="426"/>
      <c r="G158" s="9"/>
      <c r="H158" s="9"/>
      <c r="I158" s="9"/>
      <c r="J158" s="9"/>
      <c r="K158" s="9"/>
      <c r="L158" s="9"/>
      <c r="M158" s="9"/>
      <c r="N158" s="9"/>
      <c r="O158" s="9"/>
      <c r="P158" s="9"/>
      <c r="Q158" s="9"/>
      <c r="R158" s="9"/>
      <c r="S158" s="9"/>
      <c r="T158" s="9"/>
      <c r="U158" s="9"/>
      <c r="V158" s="9"/>
      <c r="W158" s="9"/>
    </row>
    <row r="159" ht="15.75" customHeight="1">
      <c r="A159" s="422"/>
      <c r="B159" s="422"/>
      <c r="C159" s="426"/>
      <c r="D159" s="426"/>
      <c r="E159" s="426"/>
      <c r="F159" s="426"/>
      <c r="G159" s="9"/>
      <c r="H159" s="9"/>
      <c r="I159" s="9"/>
      <c r="J159" s="9"/>
      <c r="K159" s="9"/>
      <c r="L159" s="9"/>
      <c r="M159" s="9"/>
      <c r="N159" s="9"/>
      <c r="O159" s="9"/>
      <c r="P159" s="9"/>
      <c r="Q159" s="9"/>
      <c r="R159" s="9"/>
      <c r="S159" s="9"/>
      <c r="T159" s="9"/>
      <c r="U159" s="9"/>
      <c r="V159" s="9"/>
      <c r="W159" s="9"/>
    </row>
    <row r="160" ht="15.75" customHeight="1">
      <c r="A160" s="422"/>
      <c r="B160" s="422"/>
      <c r="C160" s="426"/>
      <c r="D160" s="426"/>
      <c r="E160" s="426"/>
      <c r="F160" s="426"/>
      <c r="G160" s="9"/>
      <c r="H160" s="9"/>
      <c r="I160" s="9"/>
      <c r="J160" s="9"/>
      <c r="K160" s="9"/>
      <c r="L160" s="9"/>
      <c r="M160" s="9"/>
      <c r="N160" s="9"/>
      <c r="O160" s="9"/>
      <c r="P160" s="9"/>
      <c r="Q160" s="9"/>
      <c r="R160" s="9"/>
      <c r="S160" s="9"/>
      <c r="T160" s="9"/>
      <c r="U160" s="9"/>
      <c r="V160" s="9"/>
      <c r="W160" s="9"/>
    </row>
    <row r="161" ht="15.75" customHeight="1">
      <c r="A161" s="422"/>
      <c r="B161" s="422"/>
      <c r="C161" s="426"/>
      <c r="D161" s="426"/>
      <c r="E161" s="426"/>
      <c r="F161" s="426"/>
      <c r="G161" s="9"/>
      <c r="H161" s="9"/>
      <c r="I161" s="9"/>
      <c r="J161" s="9"/>
      <c r="K161" s="9"/>
      <c r="L161" s="9"/>
      <c r="M161" s="9"/>
      <c r="N161" s="9"/>
      <c r="O161" s="9"/>
      <c r="P161" s="9"/>
      <c r="Q161" s="9"/>
      <c r="R161" s="9"/>
      <c r="S161" s="9"/>
      <c r="T161" s="9"/>
      <c r="U161" s="9"/>
      <c r="V161" s="9"/>
      <c r="W161" s="9"/>
    </row>
    <row r="162" ht="15.75" customHeight="1">
      <c r="A162" s="422"/>
      <c r="B162" s="422"/>
      <c r="C162" s="426"/>
      <c r="D162" s="426"/>
      <c r="E162" s="426"/>
      <c r="F162" s="426"/>
      <c r="G162" s="9"/>
      <c r="H162" s="9"/>
      <c r="I162" s="9"/>
      <c r="J162" s="9"/>
      <c r="K162" s="9"/>
      <c r="L162" s="9"/>
      <c r="M162" s="9"/>
      <c r="N162" s="9"/>
      <c r="O162" s="9"/>
      <c r="P162" s="9"/>
      <c r="Q162" s="9"/>
      <c r="R162" s="9"/>
      <c r="S162" s="9"/>
      <c r="T162" s="9"/>
      <c r="U162" s="9"/>
      <c r="V162" s="9"/>
      <c r="W162" s="9"/>
    </row>
    <row r="163" ht="15.75" customHeight="1">
      <c r="A163" s="422"/>
      <c r="B163" s="422"/>
      <c r="C163" s="426"/>
      <c r="D163" s="426"/>
      <c r="E163" s="426"/>
      <c r="F163" s="426"/>
      <c r="G163" s="9"/>
      <c r="H163" s="9"/>
      <c r="I163" s="9"/>
      <c r="J163" s="9"/>
      <c r="K163" s="9"/>
      <c r="L163" s="9"/>
      <c r="M163" s="9"/>
      <c r="N163" s="9"/>
      <c r="O163" s="9"/>
      <c r="P163" s="9"/>
      <c r="Q163" s="9"/>
      <c r="R163" s="9"/>
      <c r="S163" s="9"/>
      <c r="T163" s="9"/>
      <c r="U163" s="9"/>
      <c r="V163" s="9"/>
      <c r="W163" s="9"/>
    </row>
    <row r="164" ht="15.75" customHeight="1">
      <c r="A164" s="422"/>
      <c r="B164" s="422"/>
      <c r="C164" s="426"/>
      <c r="D164" s="426"/>
      <c r="E164" s="426"/>
      <c r="F164" s="426"/>
      <c r="G164" s="9"/>
      <c r="H164" s="9"/>
      <c r="I164" s="9"/>
      <c r="J164" s="9"/>
      <c r="K164" s="9"/>
      <c r="L164" s="9"/>
      <c r="M164" s="9"/>
      <c r="N164" s="9"/>
      <c r="O164" s="9"/>
      <c r="P164" s="9"/>
      <c r="Q164" s="9"/>
      <c r="R164" s="9"/>
      <c r="S164" s="9"/>
      <c r="T164" s="9"/>
      <c r="U164" s="9"/>
      <c r="V164" s="9"/>
      <c r="W164" s="9"/>
    </row>
    <row r="165" ht="15.75" customHeight="1">
      <c r="A165" s="422"/>
      <c r="B165" s="422"/>
      <c r="C165" s="426"/>
      <c r="D165" s="426"/>
      <c r="E165" s="426"/>
      <c r="F165" s="426"/>
      <c r="G165" s="9"/>
      <c r="H165" s="9"/>
      <c r="I165" s="9"/>
      <c r="J165" s="9"/>
      <c r="K165" s="9"/>
      <c r="L165" s="9"/>
      <c r="M165" s="9"/>
      <c r="N165" s="9"/>
      <c r="O165" s="9"/>
      <c r="P165" s="9"/>
      <c r="Q165" s="9"/>
      <c r="R165" s="9"/>
      <c r="S165" s="9"/>
      <c r="T165" s="9"/>
      <c r="U165" s="9"/>
      <c r="V165" s="9"/>
      <c r="W165" s="9"/>
    </row>
    <row r="166" ht="15.75" customHeight="1">
      <c r="A166" s="422"/>
      <c r="B166" s="422"/>
      <c r="C166" s="426"/>
      <c r="D166" s="426"/>
      <c r="E166" s="426"/>
      <c r="F166" s="426"/>
      <c r="G166" s="9"/>
      <c r="H166" s="9"/>
      <c r="I166" s="9"/>
      <c r="J166" s="9"/>
      <c r="K166" s="9"/>
      <c r="L166" s="9"/>
      <c r="M166" s="9"/>
      <c r="N166" s="9"/>
      <c r="O166" s="9"/>
      <c r="P166" s="9"/>
      <c r="Q166" s="9"/>
      <c r="R166" s="9"/>
      <c r="S166" s="9"/>
      <c r="T166" s="9"/>
      <c r="U166" s="9"/>
      <c r="V166" s="9"/>
      <c r="W166" s="9"/>
    </row>
    <row r="167" ht="15.75" customHeight="1">
      <c r="A167" s="422"/>
      <c r="B167" s="422"/>
      <c r="C167" s="426"/>
      <c r="D167" s="426"/>
      <c r="E167" s="426"/>
      <c r="F167" s="426"/>
      <c r="G167" s="9"/>
      <c r="H167" s="9"/>
      <c r="I167" s="9"/>
      <c r="J167" s="9"/>
      <c r="K167" s="9"/>
      <c r="L167" s="9"/>
      <c r="M167" s="9"/>
      <c r="N167" s="9"/>
      <c r="O167" s="9"/>
      <c r="P167" s="9"/>
      <c r="Q167" s="9"/>
      <c r="R167" s="9"/>
      <c r="S167" s="9"/>
      <c r="T167" s="9"/>
      <c r="U167" s="9"/>
      <c r="V167" s="9"/>
      <c r="W167" s="9"/>
    </row>
    <row r="168" ht="15.75" customHeight="1">
      <c r="A168" s="422"/>
      <c r="B168" s="422"/>
      <c r="C168" s="426"/>
      <c r="D168" s="426"/>
      <c r="E168" s="426"/>
      <c r="F168" s="426"/>
      <c r="G168" s="9"/>
      <c r="H168" s="9"/>
      <c r="I168" s="9"/>
      <c r="J168" s="9"/>
      <c r="K168" s="9"/>
      <c r="L168" s="9"/>
      <c r="M168" s="9"/>
      <c r="N168" s="9"/>
      <c r="O168" s="9"/>
      <c r="P168" s="9"/>
      <c r="Q168" s="9"/>
      <c r="R168" s="9"/>
      <c r="S168" s="9"/>
      <c r="T168" s="9"/>
      <c r="U168" s="9"/>
      <c r="V168" s="9"/>
      <c r="W168" s="9"/>
    </row>
    <row r="169" ht="15.75" customHeight="1">
      <c r="A169" s="422"/>
      <c r="B169" s="422"/>
      <c r="C169" s="426"/>
      <c r="D169" s="426"/>
      <c r="E169" s="426"/>
      <c r="F169" s="426"/>
      <c r="G169" s="9"/>
      <c r="H169" s="9"/>
      <c r="I169" s="9"/>
      <c r="J169" s="9"/>
      <c r="K169" s="9"/>
      <c r="L169" s="9"/>
      <c r="M169" s="9"/>
      <c r="N169" s="9"/>
      <c r="O169" s="9"/>
      <c r="P169" s="9"/>
      <c r="Q169" s="9"/>
      <c r="R169" s="9"/>
      <c r="S169" s="9"/>
      <c r="T169" s="9"/>
      <c r="U169" s="9"/>
      <c r="V169" s="9"/>
      <c r="W169" s="9"/>
    </row>
    <row r="170" ht="15.75" customHeight="1">
      <c r="A170" s="422"/>
      <c r="B170" s="422"/>
      <c r="C170" s="426"/>
      <c r="D170" s="426"/>
      <c r="E170" s="426"/>
      <c r="F170" s="426"/>
      <c r="G170" s="9"/>
      <c r="H170" s="9"/>
      <c r="I170" s="9"/>
      <c r="J170" s="9"/>
      <c r="K170" s="9"/>
      <c r="L170" s="9"/>
      <c r="M170" s="9"/>
      <c r="N170" s="9"/>
      <c r="O170" s="9"/>
      <c r="P170" s="9"/>
      <c r="Q170" s="9"/>
      <c r="R170" s="9"/>
      <c r="S170" s="9"/>
      <c r="T170" s="9"/>
      <c r="U170" s="9"/>
      <c r="V170" s="9"/>
      <c r="W170" s="9"/>
    </row>
    <row r="171" ht="15.75" customHeight="1">
      <c r="A171" s="422"/>
      <c r="B171" s="422"/>
      <c r="C171" s="426"/>
      <c r="D171" s="426"/>
      <c r="E171" s="426"/>
      <c r="F171" s="426"/>
      <c r="G171" s="9"/>
      <c r="H171" s="9"/>
      <c r="I171" s="9"/>
      <c r="J171" s="9"/>
      <c r="K171" s="9"/>
      <c r="L171" s="9"/>
      <c r="M171" s="9"/>
      <c r="N171" s="9"/>
      <c r="O171" s="9"/>
      <c r="P171" s="9"/>
      <c r="Q171" s="9"/>
      <c r="R171" s="9"/>
      <c r="S171" s="9"/>
      <c r="T171" s="9"/>
      <c r="U171" s="9"/>
      <c r="V171" s="9"/>
      <c r="W171" s="9"/>
    </row>
    <row r="172" ht="15.75" customHeight="1">
      <c r="A172" s="422"/>
      <c r="B172" s="422"/>
      <c r="C172" s="426"/>
      <c r="D172" s="426"/>
      <c r="E172" s="426"/>
      <c r="F172" s="426"/>
      <c r="G172" s="9"/>
      <c r="H172" s="9"/>
      <c r="I172" s="9"/>
      <c r="J172" s="9"/>
      <c r="K172" s="9"/>
      <c r="L172" s="9"/>
      <c r="M172" s="9"/>
      <c r="N172" s="9"/>
      <c r="O172" s="9"/>
      <c r="P172" s="9"/>
      <c r="Q172" s="9"/>
      <c r="R172" s="9"/>
      <c r="S172" s="9"/>
      <c r="T172" s="9"/>
      <c r="U172" s="9"/>
      <c r="V172" s="9"/>
      <c r="W172" s="9"/>
    </row>
    <row r="173" ht="15.75" customHeight="1">
      <c r="A173" s="422"/>
      <c r="B173" s="422"/>
      <c r="C173" s="426"/>
      <c r="D173" s="426"/>
      <c r="E173" s="426"/>
      <c r="F173" s="426"/>
      <c r="G173" s="9"/>
      <c r="H173" s="9"/>
      <c r="I173" s="9"/>
      <c r="J173" s="9"/>
      <c r="K173" s="9"/>
      <c r="L173" s="9"/>
      <c r="M173" s="9"/>
      <c r="N173" s="9"/>
      <c r="O173" s="9"/>
      <c r="P173" s="9"/>
      <c r="Q173" s="9"/>
      <c r="R173" s="9"/>
      <c r="S173" s="9"/>
      <c r="T173" s="9"/>
      <c r="U173" s="9"/>
      <c r="V173" s="9"/>
      <c r="W173" s="9"/>
    </row>
    <row r="174" ht="15.75" customHeight="1">
      <c r="A174" s="422"/>
      <c r="B174" s="422"/>
      <c r="C174" s="426"/>
      <c r="D174" s="426"/>
      <c r="E174" s="426"/>
      <c r="F174" s="426"/>
      <c r="G174" s="9"/>
      <c r="H174" s="9"/>
      <c r="I174" s="9"/>
      <c r="J174" s="9"/>
      <c r="K174" s="9"/>
      <c r="L174" s="9"/>
      <c r="M174" s="9"/>
      <c r="N174" s="9"/>
      <c r="O174" s="9"/>
      <c r="P174" s="9"/>
      <c r="Q174" s="9"/>
      <c r="R174" s="9"/>
      <c r="S174" s="9"/>
      <c r="T174" s="9"/>
      <c r="U174" s="9"/>
      <c r="V174" s="9"/>
      <c r="W174" s="9"/>
    </row>
    <row r="175" ht="15.75" customHeight="1">
      <c r="A175" s="422"/>
      <c r="B175" s="422"/>
      <c r="C175" s="426"/>
      <c r="D175" s="426"/>
      <c r="E175" s="426"/>
      <c r="F175" s="426"/>
      <c r="G175" s="9"/>
      <c r="H175" s="9"/>
      <c r="I175" s="9"/>
      <c r="J175" s="9"/>
      <c r="K175" s="9"/>
      <c r="L175" s="9"/>
      <c r="M175" s="9"/>
      <c r="N175" s="9"/>
      <c r="O175" s="9"/>
      <c r="P175" s="9"/>
      <c r="Q175" s="9"/>
      <c r="R175" s="9"/>
      <c r="S175" s="9"/>
      <c r="T175" s="9"/>
      <c r="U175" s="9"/>
      <c r="V175" s="9"/>
      <c r="W175" s="9"/>
    </row>
    <row r="176" ht="15.75" customHeight="1">
      <c r="A176" s="422"/>
      <c r="B176" s="422"/>
      <c r="C176" s="426"/>
      <c r="D176" s="426"/>
      <c r="E176" s="426"/>
      <c r="F176" s="426"/>
      <c r="G176" s="9"/>
      <c r="H176" s="9"/>
      <c r="I176" s="9"/>
      <c r="J176" s="9"/>
      <c r="K176" s="9"/>
      <c r="L176" s="9"/>
      <c r="M176" s="9"/>
      <c r="N176" s="9"/>
      <c r="O176" s="9"/>
      <c r="P176" s="9"/>
      <c r="Q176" s="9"/>
      <c r="R176" s="9"/>
      <c r="S176" s="9"/>
      <c r="T176" s="9"/>
      <c r="U176" s="9"/>
      <c r="V176" s="9"/>
      <c r="W176" s="9"/>
    </row>
    <row r="177" ht="15.75" customHeight="1">
      <c r="A177" s="422"/>
      <c r="B177" s="422"/>
      <c r="C177" s="426"/>
      <c r="D177" s="426"/>
      <c r="E177" s="426"/>
      <c r="F177" s="426"/>
      <c r="G177" s="9"/>
      <c r="H177" s="9"/>
      <c r="I177" s="9"/>
      <c r="J177" s="9"/>
      <c r="K177" s="9"/>
      <c r="L177" s="9"/>
      <c r="M177" s="9"/>
      <c r="N177" s="9"/>
      <c r="O177" s="9"/>
      <c r="P177" s="9"/>
      <c r="Q177" s="9"/>
      <c r="R177" s="9"/>
      <c r="S177" s="9"/>
      <c r="T177" s="9"/>
      <c r="U177" s="9"/>
      <c r="V177" s="9"/>
      <c r="W177" s="9"/>
    </row>
    <row r="178" ht="15.75" customHeight="1">
      <c r="A178" s="422"/>
      <c r="B178" s="422"/>
      <c r="C178" s="426"/>
      <c r="D178" s="426"/>
      <c r="E178" s="426"/>
      <c r="F178" s="426"/>
      <c r="G178" s="9"/>
      <c r="H178" s="9"/>
      <c r="I178" s="9"/>
      <c r="J178" s="9"/>
      <c r="K178" s="9"/>
      <c r="L178" s="9"/>
      <c r="M178" s="9"/>
      <c r="N178" s="9"/>
      <c r="O178" s="9"/>
      <c r="P178" s="9"/>
      <c r="Q178" s="9"/>
      <c r="R178" s="9"/>
      <c r="S178" s="9"/>
      <c r="T178" s="9"/>
      <c r="U178" s="9"/>
      <c r="V178" s="9"/>
      <c r="W178" s="9"/>
    </row>
    <row r="179" ht="15.75" customHeight="1">
      <c r="A179" s="422"/>
      <c r="B179" s="422"/>
      <c r="C179" s="426"/>
      <c r="D179" s="426"/>
      <c r="E179" s="426"/>
      <c r="F179" s="426"/>
      <c r="G179" s="9"/>
      <c r="H179" s="9"/>
      <c r="I179" s="9"/>
      <c r="J179" s="9"/>
      <c r="K179" s="9"/>
      <c r="L179" s="9"/>
      <c r="M179" s="9"/>
      <c r="N179" s="9"/>
      <c r="O179" s="9"/>
      <c r="P179" s="9"/>
      <c r="Q179" s="9"/>
      <c r="R179" s="9"/>
      <c r="S179" s="9"/>
      <c r="T179" s="9"/>
      <c r="U179" s="9"/>
      <c r="V179" s="9"/>
      <c r="W179" s="9"/>
    </row>
    <row r="180" ht="15.75" customHeight="1">
      <c r="A180" s="422"/>
      <c r="B180" s="422"/>
      <c r="C180" s="426"/>
      <c r="D180" s="426"/>
      <c r="E180" s="426"/>
      <c r="F180" s="426"/>
      <c r="G180" s="9"/>
      <c r="H180" s="9"/>
      <c r="I180" s="9"/>
      <c r="J180" s="9"/>
      <c r="K180" s="9"/>
      <c r="L180" s="9"/>
      <c r="M180" s="9"/>
      <c r="N180" s="9"/>
      <c r="O180" s="9"/>
      <c r="P180" s="9"/>
      <c r="Q180" s="9"/>
      <c r="R180" s="9"/>
      <c r="S180" s="9"/>
      <c r="T180" s="9"/>
      <c r="U180" s="9"/>
      <c r="V180" s="9"/>
      <c r="W180" s="9"/>
    </row>
    <row r="181" ht="15.75" customHeight="1">
      <c r="A181" s="422"/>
      <c r="B181" s="422"/>
      <c r="C181" s="426"/>
      <c r="D181" s="426"/>
      <c r="E181" s="426"/>
      <c r="F181" s="426"/>
      <c r="G181" s="9"/>
      <c r="H181" s="9"/>
      <c r="I181" s="9"/>
      <c r="J181" s="9"/>
      <c r="K181" s="9"/>
      <c r="L181" s="9"/>
      <c r="M181" s="9"/>
      <c r="N181" s="9"/>
      <c r="O181" s="9"/>
      <c r="P181" s="9"/>
      <c r="Q181" s="9"/>
      <c r="R181" s="9"/>
      <c r="S181" s="9"/>
      <c r="T181" s="9"/>
      <c r="U181" s="9"/>
      <c r="V181" s="9"/>
      <c r="W181" s="9"/>
    </row>
    <row r="182" ht="15.75" customHeight="1">
      <c r="A182" s="422"/>
      <c r="B182" s="422"/>
      <c r="C182" s="426"/>
      <c r="D182" s="426"/>
      <c r="E182" s="426"/>
      <c r="F182" s="426"/>
      <c r="G182" s="9"/>
      <c r="H182" s="9"/>
      <c r="I182" s="9"/>
      <c r="J182" s="9"/>
      <c r="K182" s="9"/>
      <c r="L182" s="9"/>
      <c r="M182" s="9"/>
      <c r="N182" s="9"/>
      <c r="O182" s="9"/>
      <c r="P182" s="9"/>
      <c r="Q182" s="9"/>
      <c r="R182" s="9"/>
      <c r="S182" s="9"/>
      <c r="T182" s="9"/>
      <c r="U182" s="9"/>
      <c r="V182" s="9"/>
      <c r="W182" s="9"/>
    </row>
    <row r="183" ht="15.75" customHeight="1">
      <c r="A183" s="422"/>
      <c r="B183" s="422"/>
      <c r="C183" s="426"/>
      <c r="D183" s="426"/>
      <c r="E183" s="426"/>
      <c r="F183" s="426"/>
      <c r="G183" s="9"/>
      <c r="H183" s="9"/>
      <c r="I183" s="9"/>
      <c r="J183" s="9"/>
      <c r="K183" s="9"/>
      <c r="L183" s="9"/>
      <c r="M183" s="9"/>
      <c r="N183" s="9"/>
      <c r="O183" s="9"/>
      <c r="P183" s="9"/>
      <c r="Q183" s="9"/>
      <c r="R183" s="9"/>
      <c r="S183" s="9"/>
      <c r="T183" s="9"/>
      <c r="U183" s="9"/>
      <c r="V183" s="9"/>
      <c r="W183" s="9"/>
    </row>
    <row r="184" ht="15.75" customHeight="1">
      <c r="A184" s="422"/>
      <c r="B184" s="422"/>
      <c r="C184" s="426"/>
      <c r="D184" s="426"/>
      <c r="E184" s="426"/>
      <c r="F184" s="426"/>
      <c r="G184" s="9"/>
      <c r="H184" s="9"/>
      <c r="I184" s="9"/>
      <c r="J184" s="9"/>
      <c r="K184" s="9"/>
      <c r="L184" s="9"/>
      <c r="M184" s="9"/>
      <c r="N184" s="9"/>
      <c r="O184" s="9"/>
      <c r="P184" s="9"/>
      <c r="Q184" s="9"/>
      <c r="R184" s="9"/>
      <c r="S184" s="9"/>
      <c r="T184" s="9"/>
      <c r="U184" s="9"/>
      <c r="V184" s="9"/>
      <c r="W184" s="9"/>
    </row>
    <row r="185" ht="15.75" customHeight="1">
      <c r="A185" s="422"/>
      <c r="B185" s="422"/>
      <c r="C185" s="426"/>
      <c r="D185" s="426"/>
      <c r="E185" s="426"/>
      <c r="F185" s="426"/>
      <c r="G185" s="9"/>
      <c r="H185" s="9"/>
      <c r="I185" s="9"/>
      <c r="J185" s="9"/>
      <c r="K185" s="9"/>
      <c r="L185" s="9"/>
      <c r="M185" s="9"/>
      <c r="N185" s="9"/>
      <c r="O185" s="9"/>
      <c r="P185" s="9"/>
      <c r="Q185" s="9"/>
      <c r="R185" s="9"/>
      <c r="S185" s="9"/>
      <c r="T185" s="9"/>
      <c r="U185" s="9"/>
      <c r="V185" s="9"/>
      <c r="W185" s="9"/>
    </row>
    <row r="186" ht="15.75" customHeight="1">
      <c r="A186" s="422"/>
      <c r="B186" s="422"/>
      <c r="C186" s="426"/>
      <c r="D186" s="426"/>
      <c r="E186" s="426"/>
      <c r="F186" s="426"/>
      <c r="G186" s="9"/>
      <c r="H186" s="9"/>
      <c r="I186" s="9"/>
      <c r="J186" s="9"/>
      <c r="K186" s="9"/>
      <c r="L186" s="9"/>
      <c r="M186" s="9"/>
      <c r="N186" s="9"/>
      <c r="O186" s="9"/>
      <c r="P186" s="9"/>
      <c r="Q186" s="9"/>
      <c r="R186" s="9"/>
      <c r="S186" s="9"/>
      <c r="T186" s="9"/>
      <c r="U186" s="9"/>
      <c r="V186" s="9"/>
      <c r="W186" s="9"/>
    </row>
    <row r="187" ht="15.75" customHeight="1">
      <c r="A187" s="422"/>
      <c r="B187" s="422"/>
      <c r="C187" s="426"/>
      <c r="D187" s="426"/>
      <c r="E187" s="426"/>
      <c r="F187" s="426"/>
      <c r="G187" s="9"/>
      <c r="H187" s="9"/>
      <c r="I187" s="9"/>
      <c r="J187" s="9"/>
      <c r="K187" s="9"/>
      <c r="L187" s="9"/>
      <c r="M187" s="9"/>
      <c r="N187" s="9"/>
      <c r="O187" s="9"/>
      <c r="P187" s="9"/>
      <c r="Q187" s="9"/>
      <c r="R187" s="9"/>
      <c r="S187" s="9"/>
      <c r="T187" s="9"/>
      <c r="U187" s="9"/>
      <c r="V187" s="9"/>
      <c r="W187" s="9"/>
    </row>
    <row r="188" ht="15.75" customHeight="1">
      <c r="A188" s="422"/>
      <c r="B188" s="422"/>
      <c r="C188" s="426"/>
      <c r="D188" s="426"/>
      <c r="E188" s="426"/>
      <c r="F188" s="426"/>
      <c r="G188" s="9"/>
      <c r="H188" s="9"/>
      <c r="I188" s="9"/>
      <c r="J188" s="9"/>
      <c r="K188" s="9"/>
      <c r="L188" s="9"/>
      <c r="M188" s="9"/>
      <c r="N188" s="9"/>
      <c r="O188" s="9"/>
      <c r="P188" s="9"/>
      <c r="Q188" s="9"/>
      <c r="R188" s="9"/>
      <c r="S188" s="9"/>
      <c r="T188" s="9"/>
      <c r="U188" s="9"/>
      <c r="V188" s="9"/>
      <c r="W188" s="9"/>
    </row>
    <row r="189" ht="15.75" customHeight="1">
      <c r="A189" s="422"/>
      <c r="B189" s="422"/>
      <c r="C189" s="426"/>
      <c r="D189" s="426"/>
      <c r="E189" s="426"/>
      <c r="F189" s="426"/>
      <c r="G189" s="9"/>
      <c r="H189" s="9"/>
      <c r="I189" s="9"/>
      <c r="J189" s="9"/>
      <c r="K189" s="9"/>
      <c r="L189" s="9"/>
      <c r="M189" s="9"/>
      <c r="N189" s="9"/>
      <c r="O189" s="9"/>
      <c r="P189" s="9"/>
      <c r="Q189" s="9"/>
      <c r="R189" s="9"/>
      <c r="S189" s="9"/>
      <c r="T189" s="9"/>
      <c r="U189" s="9"/>
      <c r="V189" s="9"/>
      <c r="W189" s="9"/>
    </row>
    <row r="190" ht="15.75" customHeight="1">
      <c r="A190" s="422"/>
      <c r="B190" s="422"/>
      <c r="C190" s="426"/>
      <c r="D190" s="426"/>
      <c r="E190" s="426"/>
      <c r="F190" s="426"/>
      <c r="G190" s="9"/>
      <c r="H190" s="9"/>
      <c r="I190" s="9"/>
      <c r="J190" s="9"/>
      <c r="K190" s="9"/>
      <c r="L190" s="9"/>
      <c r="M190" s="9"/>
      <c r="N190" s="9"/>
      <c r="O190" s="9"/>
      <c r="P190" s="9"/>
      <c r="Q190" s="9"/>
      <c r="R190" s="9"/>
      <c r="S190" s="9"/>
      <c r="T190" s="9"/>
      <c r="U190" s="9"/>
      <c r="V190" s="9"/>
      <c r="W190" s="9"/>
    </row>
    <row r="191" ht="15.75" customHeight="1">
      <c r="A191" s="422"/>
      <c r="B191" s="422"/>
      <c r="C191" s="426"/>
      <c r="D191" s="426"/>
      <c r="E191" s="426"/>
      <c r="F191" s="426"/>
      <c r="G191" s="9"/>
      <c r="H191" s="9"/>
      <c r="I191" s="9"/>
      <c r="J191" s="9"/>
      <c r="K191" s="9"/>
      <c r="L191" s="9"/>
      <c r="M191" s="9"/>
      <c r="N191" s="9"/>
      <c r="O191" s="9"/>
      <c r="P191" s="9"/>
      <c r="Q191" s="9"/>
      <c r="R191" s="9"/>
      <c r="S191" s="9"/>
      <c r="T191" s="9"/>
      <c r="U191" s="9"/>
      <c r="V191" s="9"/>
      <c r="W191" s="9"/>
    </row>
    <row r="192" ht="15.75" customHeight="1">
      <c r="A192" s="422"/>
      <c r="B192" s="422"/>
      <c r="C192" s="426"/>
      <c r="D192" s="426"/>
      <c r="E192" s="426"/>
      <c r="F192" s="426"/>
      <c r="G192" s="9"/>
      <c r="H192" s="9"/>
      <c r="I192" s="9"/>
      <c r="J192" s="9"/>
      <c r="K192" s="9"/>
      <c r="L192" s="9"/>
      <c r="M192" s="9"/>
      <c r="N192" s="9"/>
      <c r="O192" s="9"/>
      <c r="P192" s="9"/>
      <c r="Q192" s="9"/>
      <c r="R192" s="9"/>
      <c r="S192" s="9"/>
      <c r="T192" s="9"/>
      <c r="U192" s="9"/>
      <c r="V192" s="9"/>
      <c r="W192" s="9"/>
    </row>
    <row r="193" ht="15.75" customHeight="1">
      <c r="A193" s="422"/>
      <c r="B193" s="422"/>
      <c r="C193" s="426"/>
      <c r="D193" s="426"/>
      <c r="E193" s="426"/>
      <c r="F193" s="426"/>
      <c r="G193" s="9"/>
      <c r="H193" s="9"/>
      <c r="I193" s="9"/>
      <c r="J193" s="9"/>
      <c r="K193" s="9"/>
      <c r="L193" s="9"/>
      <c r="M193" s="9"/>
      <c r="N193" s="9"/>
      <c r="O193" s="9"/>
      <c r="P193" s="9"/>
      <c r="Q193" s="9"/>
      <c r="R193" s="9"/>
      <c r="S193" s="9"/>
      <c r="T193" s="9"/>
      <c r="U193" s="9"/>
      <c r="V193" s="9"/>
      <c r="W193" s="9"/>
    </row>
    <row r="194" ht="15.75" customHeight="1">
      <c r="A194" s="422"/>
      <c r="B194" s="422"/>
      <c r="C194" s="426"/>
      <c r="D194" s="426"/>
      <c r="E194" s="426"/>
      <c r="F194" s="426"/>
      <c r="G194" s="9"/>
      <c r="H194" s="9"/>
      <c r="I194" s="9"/>
      <c r="J194" s="9"/>
      <c r="K194" s="9"/>
      <c r="L194" s="9"/>
      <c r="M194" s="9"/>
      <c r="N194" s="9"/>
      <c r="O194" s="9"/>
      <c r="P194" s="9"/>
      <c r="Q194" s="9"/>
      <c r="R194" s="9"/>
      <c r="S194" s="9"/>
      <c r="T194" s="9"/>
      <c r="U194" s="9"/>
      <c r="V194" s="9"/>
      <c r="W194" s="9"/>
    </row>
    <row r="195" ht="15.75" customHeight="1">
      <c r="A195" s="422"/>
      <c r="B195" s="422"/>
      <c r="C195" s="426"/>
      <c r="D195" s="426"/>
      <c r="E195" s="426"/>
      <c r="F195" s="426"/>
      <c r="G195" s="9"/>
      <c r="H195" s="9"/>
      <c r="I195" s="9"/>
      <c r="J195" s="9"/>
      <c r="K195" s="9"/>
      <c r="L195" s="9"/>
      <c r="M195" s="9"/>
      <c r="N195" s="9"/>
      <c r="O195" s="9"/>
      <c r="P195" s="9"/>
      <c r="Q195" s="9"/>
      <c r="R195" s="9"/>
      <c r="S195" s="9"/>
      <c r="T195" s="9"/>
      <c r="U195" s="9"/>
      <c r="V195" s="9"/>
      <c r="W195" s="9"/>
    </row>
    <row r="196" ht="15.75" customHeight="1">
      <c r="A196" s="422"/>
      <c r="B196" s="422"/>
      <c r="C196" s="426"/>
      <c r="D196" s="426"/>
      <c r="E196" s="426"/>
      <c r="F196" s="426"/>
      <c r="G196" s="9"/>
      <c r="H196" s="9"/>
      <c r="I196" s="9"/>
      <c r="J196" s="9"/>
      <c r="K196" s="9"/>
      <c r="L196" s="9"/>
      <c r="M196" s="9"/>
      <c r="N196" s="9"/>
      <c r="O196" s="9"/>
      <c r="P196" s="9"/>
      <c r="Q196" s="9"/>
      <c r="R196" s="9"/>
      <c r="S196" s="9"/>
      <c r="T196" s="9"/>
      <c r="U196" s="9"/>
      <c r="V196" s="9"/>
      <c r="W196" s="9"/>
    </row>
    <row r="197" ht="15.75" customHeight="1">
      <c r="A197" s="422"/>
      <c r="B197" s="422"/>
      <c r="C197" s="426"/>
      <c r="D197" s="426"/>
      <c r="E197" s="426"/>
      <c r="F197" s="426"/>
      <c r="G197" s="9"/>
      <c r="H197" s="9"/>
      <c r="I197" s="9"/>
      <c r="J197" s="9"/>
      <c r="K197" s="9"/>
      <c r="L197" s="9"/>
      <c r="M197" s="9"/>
      <c r="N197" s="9"/>
      <c r="O197" s="9"/>
      <c r="P197" s="9"/>
      <c r="Q197" s="9"/>
      <c r="R197" s="9"/>
      <c r="S197" s="9"/>
      <c r="T197" s="9"/>
      <c r="U197" s="9"/>
      <c r="V197" s="9"/>
      <c r="W197" s="9"/>
    </row>
    <row r="198" ht="15.75" customHeight="1">
      <c r="A198" s="422"/>
      <c r="B198" s="422"/>
      <c r="C198" s="426"/>
      <c r="D198" s="426"/>
      <c r="E198" s="426"/>
      <c r="F198" s="426"/>
      <c r="G198" s="9"/>
      <c r="H198" s="9"/>
      <c r="I198" s="9"/>
      <c r="J198" s="9"/>
      <c r="K198" s="9"/>
      <c r="L198" s="9"/>
      <c r="M198" s="9"/>
      <c r="N198" s="9"/>
      <c r="O198" s="9"/>
      <c r="P198" s="9"/>
      <c r="Q198" s="9"/>
      <c r="R198" s="9"/>
      <c r="S198" s="9"/>
      <c r="T198" s="9"/>
      <c r="U198" s="9"/>
      <c r="V198" s="9"/>
      <c r="W198" s="9"/>
    </row>
    <row r="199" ht="15.75" customHeight="1">
      <c r="A199" s="422"/>
      <c r="B199" s="422"/>
      <c r="C199" s="426"/>
      <c r="D199" s="426"/>
      <c r="E199" s="426"/>
      <c r="F199" s="426"/>
      <c r="G199" s="9"/>
      <c r="H199" s="9"/>
      <c r="I199" s="9"/>
      <c r="J199" s="9"/>
      <c r="K199" s="9"/>
      <c r="L199" s="9"/>
      <c r="M199" s="9"/>
      <c r="N199" s="9"/>
      <c r="O199" s="9"/>
      <c r="P199" s="9"/>
      <c r="Q199" s="9"/>
      <c r="R199" s="9"/>
      <c r="S199" s="9"/>
      <c r="T199" s="9"/>
      <c r="U199" s="9"/>
      <c r="V199" s="9"/>
      <c r="W199" s="9"/>
    </row>
    <row r="200" ht="15.75" customHeight="1">
      <c r="A200" s="422"/>
      <c r="B200" s="422"/>
      <c r="C200" s="426"/>
      <c r="D200" s="426"/>
      <c r="E200" s="426"/>
      <c r="F200" s="426"/>
      <c r="G200" s="9"/>
      <c r="H200" s="9"/>
      <c r="I200" s="9"/>
      <c r="J200" s="9"/>
      <c r="K200" s="9"/>
      <c r="L200" s="9"/>
      <c r="M200" s="9"/>
      <c r="N200" s="9"/>
      <c r="O200" s="9"/>
      <c r="P200" s="9"/>
      <c r="Q200" s="9"/>
      <c r="R200" s="9"/>
      <c r="S200" s="9"/>
      <c r="T200" s="9"/>
      <c r="U200" s="9"/>
      <c r="V200" s="9"/>
      <c r="W200" s="9"/>
    </row>
    <row r="201" ht="15.75" customHeight="1">
      <c r="A201" s="422"/>
      <c r="B201" s="422"/>
      <c r="C201" s="426"/>
      <c r="D201" s="426"/>
      <c r="E201" s="426"/>
      <c r="F201" s="426"/>
      <c r="G201" s="9"/>
      <c r="H201" s="9"/>
      <c r="I201" s="9"/>
      <c r="J201" s="9"/>
      <c r="K201" s="9"/>
      <c r="L201" s="9"/>
      <c r="M201" s="9"/>
      <c r="N201" s="9"/>
      <c r="O201" s="9"/>
      <c r="P201" s="9"/>
      <c r="Q201" s="9"/>
      <c r="R201" s="9"/>
      <c r="S201" s="9"/>
      <c r="T201" s="9"/>
      <c r="U201" s="9"/>
      <c r="V201" s="9"/>
      <c r="W201" s="9"/>
    </row>
    <row r="202" ht="15.75" customHeight="1">
      <c r="A202" s="422"/>
      <c r="B202" s="422"/>
      <c r="C202" s="426"/>
      <c r="D202" s="426"/>
      <c r="E202" s="426"/>
      <c r="F202" s="426"/>
      <c r="G202" s="9"/>
      <c r="H202" s="9"/>
      <c r="I202" s="9"/>
      <c r="J202" s="9"/>
      <c r="K202" s="9"/>
      <c r="L202" s="9"/>
      <c r="M202" s="9"/>
      <c r="N202" s="9"/>
      <c r="O202" s="9"/>
      <c r="P202" s="9"/>
      <c r="Q202" s="9"/>
      <c r="R202" s="9"/>
      <c r="S202" s="9"/>
      <c r="T202" s="9"/>
      <c r="U202" s="9"/>
      <c r="V202" s="9"/>
      <c r="W202" s="9"/>
    </row>
    <row r="203" ht="15.75" customHeight="1">
      <c r="A203" s="422"/>
      <c r="B203" s="422"/>
      <c r="C203" s="426"/>
      <c r="D203" s="426"/>
      <c r="E203" s="426"/>
      <c r="F203" s="426"/>
      <c r="G203" s="9"/>
      <c r="H203" s="9"/>
      <c r="I203" s="9"/>
      <c r="J203" s="9"/>
      <c r="K203" s="9"/>
      <c r="L203" s="9"/>
      <c r="M203" s="9"/>
      <c r="N203" s="9"/>
      <c r="O203" s="9"/>
      <c r="P203" s="9"/>
      <c r="Q203" s="9"/>
      <c r="R203" s="9"/>
      <c r="S203" s="9"/>
      <c r="T203" s="9"/>
      <c r="U203" s="9"/>
      <c r="V203" s="9"/>
      <c r="W203" s="9"/>
    </row>
    <row r="204" ht="15.75" customHeight="1">
      <c r="A204" s="422"/>
      <c r="B204" s="422"/>
      <c r="C204" s="426"/>
      <c r="D204" s="426"/>
      <c r="E204" s="426"/>
      <c r="F204" s="426"/>
      <c r="G204" s="9"/>
      <c r="H204" s="9"/>
      <c r="I204" s="9"/>
      <c r="J204" s="9"/>
      <c r="K204" s="9"/>
      <c r="L204" s="9"/>
      <c r="M204" s="9"/>
      <c r="N204" s="9"/>
      <c r="O204" s="9"/>
      <c r="P204" s="9"/>
      <c r="Q204" s="9"/>
      <c r="R204" s="9"/>
      <c r="S204" s="9"/>
      <c r="T204" s="9"/>
      <c r="U204" s="9"/>
      <c r="V204" s="9"/>
      <c r="W204" s="9"/>
    </row>
    <row r="205" ht="15.75" customHeight="1">
      <c r="A205" s="422"/>
      <c r="B205" s="422"/>
      <c r="C205" s="426"/>
      <c r="D205" s="426"/>
      <c r="E205" s="426"/>
      <c r="F205" s="426"/>
      <c r="G205" s="9"/>
      <c r="H205" s="9"/>
      <c r="I205" s="9"/>
      <c r="J205" s="9"/>
      <c r="K205" s="9"/>
      <c r="L205" s="9"/>
      <c r="M205" s="9"/>
      <c r="N205" s="9"/>
      <c r="O205" s="9"/>
      <c r="P205" s="9"/>
      <c r="Q205" s="9"/>
      <c r="R205" s="9"/>
      <c r="S205" s="9"/>
      <c r="T205" s="9"/>
      <c r="U205" s="9"/>
      <c r="V205" s="9"/>
      <c r="W205" s="9"/>
    </row>
    <row r="206" ht="15.75" customHeight="1">
      <c r="A206" s="422"/>
      <c r="B206" s="422"/>
      <c r="C206" s="426"/>
      <c r="D206" s="426"/>
      <c r="E206" s="426"/>
      <c r="F206" s="426"/>
      <c r="G206" s="9"/>
      <c r="H206" s="9"/>
      <c r="I206" s="9"/>
      <c r="J206" s="9"/>
      <c r="K206" s="9"/>
      <c r="L206" s="9"/>
      <c r="M206" s="9"/>
      <c r="N206" s="9"/>
      <c r="O206" s="9"/>
      <c r="P206" s="9"/>
      <c r="Q206" s="9"/>
      <c r="R206" s="9"/>
      <c r="S206" s="9"/>
      <c r="T206" s="9"/>
      <c r="U206" s="9"/>
      <c r="V206" s="9"/>
      <c r="W206" s="9"/>
    </row>
    <row r="207" ht="15.75" customHeight="1">
      <c r="A207" s="422"/>
      <c r="B207" s="422"/>
      <c r="C207" s="426"/>
      <c r="D207" s="426"/>
      <c r="E207" s="426"/>
      <c r="F207" s="426"/>
      <c r="G207" s="9"/>
      <c r="H207" s="9"/>
      <c r="I207" s="9"/>
      <c r="J207" s="9"/>
      <c r="K207" s="9"/>
      <c r="L207" s="9"/>
      <c r="M207" s="9"/>
      <c r="N207" s="9"/>
      <c r="O207" s="9"/>
      <c r="P207" s="9"/>
      <c r="Q207" s="9"/>
      <c r="R207" s="9"/>
      <c r="S207" s="9"/>
      <c r="T207" s="9"/>
      <c r="U207" s="9"/>
      <c r="V207" s="9"/>
      <c r="W207" s="9"/>
    </row>
    <row r="208" ht="15.75" customHeight="1">
      <c r="A208" s="422"/>
      <c r="B208" s="422"/>
      <c r="C208" s="426"/>
      <c r="D208" s="426"/>
      <c r="E208" s="426"/>
      <c r="F208" s="426"/>
      <c r="G208" s="9"/>
      <c r="H208" s="9"/>
      <c r="I208" s="9"/>
      <c r="J208" s="9"/>
      <c r="K208" s="9"/>
      <c r="L208" s="9"/>
      <c r="M208" s="9"/>
      <c r="N208" s="9"/>
      <c r="O208" s="9"/>
      <c r="P208" s="9"/>
      <c r="Q208" s="9"/>
      <c r="R208" s="9"/>
      <c r="S208" s="9"/>
      <c r="T208" s="9"/>
      <c r="U208" s="9"/>
      <c r="V208" s="9"/>
      <c r="W208" s="9"/>
    </row>
    <row r="209" ht="15.75" customHeight="1">
      <c r="A209" s="422"/>
      <c r="B209" s="422"/>
      <c r="C209" s="426"/>
      <c r="D209" s="426"/>
      <c r="E209" s="426"/>
      <c r="F209" s="426"/>
      <c r="G209" s="9"/>
      <c r="H209" s="9"/>
      <c r="I209" s="9"/>
      <c r="J209" s="9"/>
      <c r="K209" s="9"/>
      <c r="L209" s="9"/>
      <c r="M209" s="9"/>
      <c r="N209" s="9"/>
      <c r="O209" s="9"/>
      <c r="P209" s="9"/>
      <c r="Q209" s="9"/>
      <c r="R209" s="9"/>
      <c r="S209" s="9"/>
      <c r="T209" s="9"/>
      <c r="U209" s="9"/>
      <c r="V209" s="9"/>
      <c r="W209" s="9"/>
    </row>
    <row r="210" ht="15.75" customHeight="1">
      <c r="A210" s="422"/>
      <c r="B210" s="422"/>
      <c r="C210" s="426"/>
      <c r="D210" s="426"/>
      <c r="E210" s="426"/>
      <c r="F210" s="426"/>
      <c r="G210" s="9"/>
      <c r="H210" s="9"/>
      <c r="I210" s="9"/>
      <c r="J210" s="9"/>
      <c r="K210" s="9"/>
      <c r="L210" s="9"/>
      <c r="M210" s="9"/>
      <c r="N210" s="9"/>
      <c r="O210" s="9"/>
      <c r="P210" s="9"/>
      <c r="Q210" s="9"/>
      <c r="R210" s="9"/>
      <c r="S210" s="9"/>
      <c r="T210" s="9"/>
      <c r="U210" s="9"/>
      <c r="V210" s="9"/>
      <c r="W210" s="9"/>
    </row>
    <row r="211" ht="15.75" customHeight="1">
      <c r="A211" s="422"/>
      <c r="B211" s="422"/>
      <c r="C211" s="426"/>
      <c r="D211" s="426"/>
      <c r="E211" s="426"/>
      <c r="F211" s="426"/>
      <c r="G211" s="9"/>
      <c r="H211" s="9"/>
      <c r="I211" s="9"/>
      <c r="J211" s="9"/>
      <c r="K211" s="9"/>
      <c r="L211" s="9"/>
      <c r="M211" s="9"/>
      <c r="N211" s="9"/>
      <c r="O211" s="9"/>
      <c r="P211" s="9"/>
      <c r="Q211" s="9"/>
      <c r="R211" s="9"/>
      <c r="S211" s="9"/>
      <c r="T211" s="9"/>
      <c r="U211" s="9"/>
      <c r="V211" s="9"/>
      <c r="W211" s="9"/>
    </row>
    <row r="212" ht="15.75" customHeight="1">
      <c r="A212" s="422"/>
      <c r="B212" s="422"/>
      <c r="C212" s="426"/>
      <c r="D212" s="426"/>
      <c r="E212" s="426"/>
      <c r="F212" s="426"/>
      <c r="G212" s="9"/>
      <c r="H212" s="9"/>
      <c r="I212" s="9"/>
      <c r="J212" s="9"/>
      <c r="K212" s="9"/>
      <c r="L212" s="9"/>
      <c r="M212" s="9"/>
      <c r="N212" s="9"/>
      <c r="O212" s="9"/>
      <c r="P212" s="9"/>
      <c r="Q212" s="9"/>
      <c r="R212" s="9"/>
      <c r="S212" s="9"/>
      <c r="T212" s="9"/>
      <c r="U212" s="9"/>
      <c r="V212" s="9"/>
      <c r="W212" s="9"/>
    </row>
    <row r="213" ht="15.75" customHeight="1">
      <c r="A213" s="422"/>
      <c r="B213" s="422"/>
      <c r="C213" s="426"/>
      <c r="D213" s="426"/>
      <c r="E213" s="426"/>
      <c r="F213" s="426"/>
      <c r="G213" s="9"/>
      <c r="H213" s="9"/>
      <c r="I213" s="9"/>
      <c r="J213" s="9"/>
      <c r="K213" s="9"/>
      <c r="L213" s="9"/>
      <c r="M213" s="9"/>
      <c r="N213" s="9"/>
      <c r="O213" s="9"/>
      <c r="P213" s="9"/>
      <c r="Q213" s="9"/>
      <c r="R213" s="9"/>
      <c r="S213" s="9"/>
      <c r="T213" s="9"/>
      <c r="U213" s="9"/>
      <c r="V213" s="9"/>
      <c r="W213" s="9"/>
    </row>
    <row r="214" ht="15.75" customHeight="1">
      <c r="A214" s="422"/>
      <c r="B214" s="422"/>
      <c r="C214" s="426"/>
      <c r="D214" s="426"/>
      <c r="E214" s="426"/>
      <c r="F214" s="426"/>
      <c r="G214" s="9"/>
      <c r="H214" s="9"/>
      <c r="I214" s="9"/>
      <c r="J214" s="9"/>
      <c r="K214" s="9"/>
      <c r="L214" s="9"/>
      <c r="M214" s="9"/>
      <c r="N214" s="9"/>
      <c r="O214" s="9"/>
      <c r="P214" s="9"/>
      <c r="Q214" s="9"/>
      <c r="R214" s="9"/>
      <c r="S214" s="9"/>
      <c r="T214" s="9"/>
      <c r="U214" s="9"/>
      <c r="V214" s="9"/>
      <c r="W214" s="9"/>
    </row>
    <row r="215" ht="15.75" customHeight="1">
      <c r="A215" s="422"/>
      <c r="B215" s="422"/>
      <c r="C215" s="426"/>
      <c r="D215" s="426"/>
      <c r="E215" s="426"/>
      <c r="F215" s="426"/>
      <c r="G215" s="9"/>
      <c r="H215" s="9"/>
      <c r="I215" s="9"/>
      <c r="J215" s="9"/>
      <c r="K215" s="9"/>
      <c r="L215" s="9"/>
      <c r="M215" s="9"/>
      <c r="N215" s="9"/>
      <c r="O215" s="9"/>
      <c r="P215" s="9"/>
      <c r="Q215" s="9"/>
      <c r="R215" s="9"/>
      <c r="S215" s="9"/>
      <c r="T215" s="9"/>
      <c r="U215" s="9"/>
      <c r="V215" s="9"/>
      <c r="W215" s="9"/>
    </row>
    <row r="216" ht="15.75" customHeight="1">
      <c r="A216" s="422"/>
      <c r="B216" s="422"/>
      <c r="C216" s="426"/>
      <c r="D216" s="426"/>
      <c r="E216" s="426"/>
      <c r="F216" s="426"/>
      <c r="G216" s="9"/>
      <c r="H216" s="9"/>
      <c r="I216" s="9"/>
      <c r="J216" s="9"/>
      <c r="K216" s="9"/>
      <c r="L216" s="9"/>
      <c r="M216" s="9"/>
      <c r="N216" s="9"/>
      <c r="O216" s="9"/>
      <c r="P216" s="9"/>
      <c r="Q216" s="9"/>
      <c r="R216" s="9"/>
      <c r="S216" s="9"/>
      <c r="T216" s="9"/>
      <c r="U216" s="9"/>
      <c r="V216" s="9"/>
      <c r="W216" s="9"/>
    </row>
    <row r="217" ht="15.75" customHeight="1">
      <c r="A217" s="422"/>
      <c r="B217" s="422"/>
      <c r="C217" s="426"/>
      <c r="D217" s="426"/>
      <c r="E217" s="426"/>
      <c r="F217" s="426"/>
      <c r="G217" s="9"/>
      <c r="H217" s="9"/>
      <c r="I217" s="9"/>
      <c r="J217" s="9"/>
      <c r="K217" s="9"/>
      <c r="L217" s="9"/>
      <c r="M217" s="9"/>
      <c r="N217" s="9"/>
      <c r="O217" s="9"/>
      <c r="P217" s="9"/>
      <c r="Q217" s="9"/>
      <c r="R217" s="9"/>
      <c r="S217" s="9"/>
      <c r="T217" s="9"/>
      <c r="U217" s="9"/>
      <c r="V217" s="9"/>
      <c r="W217" s="9"/>
    </row>
    <row r="218" ht="15.75" customHeight="1">
      <c r="A218" s="422"/>
      <c r="B218" s="422"/>
      <c r="C218" s="426"/>
      <c r="D218" s="426"/>
      <c r="E218" s="426"/>
      <c r="F218" s="426"/>
      <c r="G218" s="9"/>
      <c r="H218" s="9"/>
      <c r="I218" s="9"/>
      <c r="J218" s="9"/>
      <c r="K218" s="9"/>
      <c r="L218" s="9"/>
      <c r="M218" s="9"/>
      <c r="N218" s="9"/>
      <c r="O218" s="9"/>
      <c r="P218" s="9"/>
      <c r="Q218" s="9"/>
      <c r="R218" s="9"/>
      <c r="S218" s="9"/>
      <c r="T218" s="9"/>
      <c r="U218" s="9"/>
      <c r="V218" s="9"/>
      <c r="W218" s="9"/>
    </row>
    <row r="219" ht="15.75" customHeight="1">
      <c r="A219" s="422"/>
      <c r="B219" s="422"/>
      <c r="C219" s="426"/>
      <c r="D219" s="426"/>
      <c r="E219" s="426"/>
      <c r="F219" s="426"/>
      <c r="G219" s="9"/>
      <c r="H219" s="9"/>
      <c r="I219" s="9"/>
      <c r="J219" s="9"/>
      <c r="K219" s="9"/>
      <c r="L219" s="9"/>
      <c r="M219" s="9"/>
      <c r="N219" s="9"/>
      <c r="O219" s="9"/>
      <c r="P219" s="9"/>
      <c r="Q219" s="9"/>
      <c r="R219" s="9"/>
      <c r="S219" s="9"/>
      <c r="T219" s="9"/>
      <c r="U219" s="9"/>
      <c r="V219" s="9"/>
      <c r="W219" s="9"/>
    </row>
    <row r="220" ht="15.75" customHeight="1">
      <c r="A220" s="422"/>
      <c r="B220" s="422"/>
      <c r="C220" s="426"/>
      <c r="D220" s="426"/>
      <c r="E220" s="426"/>
      <c r="F220" s="426"/>
      <c r="G220" s="9"/>
      <c r="H220" s="9"/>
      <c r="I220" s="9"/>
      <c r="J220" s="9"/>
      <c r="K220" s="9"/>
      <c r="L220" s="9"/>
      <c r="M220" s="9"/>
      <c r="N220" s="9"/>
      <c r="O220" s="9"/>
      <c r="P220" s="9"/>
      <c r="Q220" s="9"/>
      <c r="R220" s="9"/>
      <c r="S220" s="9"/>
      <c r="T220" s="9"/>
      <c r="U220" s="9"/>
      <c r="V220" s="9"/>
      <c r="W220" s="9"/>
    </row>
    <row r="221" ht="15.75" customHeight="1">
      <c r="C221" s="429"/>
      <c r="D221" s="429"/>
      <c r="E221" s="429"/>
      <c r="F221" s="429"/>
    </row>
    <row r="222" ht="15.75" customHeight="1">
      <c r="C222" s="429"/>
      <c r="D222" s="429"/>
      <c r="E222" s="429"/>
      <c r="F222" s="429"/>
    </row>
    <row r="223" ht="15.75" customHeight="1">
      <c r="C223" s="429"/>
      <c r="D223" s="429"/>
      <c r="E223" s="429"/>
      <c r="F223" s="429"/>
    </row>
    <row r="224" ht="15.75" customHeight="1">
      <c r="C224" s="429"/>
      <c r="D224" s="429"/>
      <c r="E224" s="429"/>
      <c r="F224" s="429"/>
    </row>
    <row r="225" ht="15.75" customHeight="1">
      <c r="C225" s="429"/>
      <c r="D225" s="429"/>
      <c r="E225" s="429"/>
      <c r="F225" s="429"/>
    </row>
    <row r="226" ht="15.75" customHeight="1">
      <c r="C226" s="429"/>
      <c r="D226" s="429"/>
      <c r="E226" s="429"/>
      <c r="F226" s="429"/>
    </row>
    <row r="227" ht="15.75" customHeight="1">
      <c r="C227" s="429"/>
      <c r="D227" s="429"/>
      <c r="E227" s="429"/>
      <c r="F227" s="429"/>
    </row>
    <row r="228" ht="15.75" customHeight="1">
      <c r="C228" s="429"/>
      <c r="D228" s="429"/>
      <c r="E228" s="429"/>
      <c r="F228" s="429"/>
    </row>
    <row r="229" ht="15.75" customHeight="1">
      <c r="C229" s="429"/>
      <c r="D229" s="429"/>
      <c r="E229" s="429"/>
      <c r="F229" s="429"/>
    </row>
    <row r="230" ht="15.75" customHeight="1">
      <c r="C230" s="429"/>
      <c r="D230" s="429"/>
      <c r="E230" s="429"/>
      <c r="F230" s="429"/>
    </row>
    <row r="231" ht="15.75" customHeight="1">
      <c r="C231" s="429"/>
      <c r="D231" s="429"/>
      <c r="E231" s="429"/>
      <c r="F231" s="429"/>
    </row>
    <row r="232" ht="15.75" customHeight="1">
      <c r="C232" s="429"/>
      <c r="D232" s="429"/>
      <c r="E232" s="429"/>
      <c r="F232" s="429"/>
    </row>
    <row r="233" ht="15.75" customHeight="1">
      <c r="C233" s="429"/>
      <c r="D233" s="429"/>
      <c r="E233" s="429"/>
      <c r="F233" s="429"/>
    </row>
    <row r="234" ht="15.75" customHeight="1">
      <c r="C234" s="429"/>
      <c r="D234" s="429"/>
      <c r="E234" s="429"/>
      <c r="F234" s="429"/>
    </row>
    <row r="235" ht="15.75" customHeight="1">
      <c r="C235" s="429"/>
      <c r="D235" s="429"/>
      <c r="E235" s="429"/>
      <c r="F235" s="429"/>
    </row>
    <row r="236" ht="15.75" customHeight="1">
      <c r="C236" s="429"/>
      <c r="D236" s="429"/>
      <c r="E236" s="429"/>
      <c r="F236" s="429"/>
    </row>
    <row r="237" ht="15.75" customHeight="1">
      <c r="C237" s="429"/>
      <c r="D237" s="429"/>
      <c r="E237" s="429"/>
      <c r="F237" s="429"/>
    </row>
    <row r="238" ht="15.75" customHeight="1">
      <c r="C238" s="429"/>
      <c r="D238" s="429"/>
      <c r="E238" s="429"/>
      <c r="F238" s="429"/>
    </row>
    <row r="239" ht="15.75" customHeight="1">
      <c r="C239" s="429"/>
      <c r="D239" s="429"/>
      <c r="E239" s="429"/>
      <c r="F239" s="429"/>
    </row>
    <row r="240" ht="15.75" customHeight="1">
      <c r="C240" s="429"/>
      <c r="D240" s="429"/>
      <c r="E240" s="429"/>
      <c r="F240" s="429"/>
    </row>
    <row r="241" ht="15.75" customHeight="1">
      <c r="C241" s="429"/>
      <c r="D241" s="429"/>
      <c r="E241" s="429"/>
      <c r="F241" s="429"/>
    </row>
    <row r="242" ht="15.75" customHeight="1">
      <c r="C242" s="429"/>
      <c r="D242" s="429"/>
      <c r="E242" s="429"/>
      <c r="F242" s="429"/>
    </row>
    <row r="243" ht="15.75" customHeight="1">
      <c r="C243" s="429"/>
      <c r="D243" s="429"/>
      <c r="E243" s="429"/>
      <c r="F243" s="429"/>
    </row>
    <row r="244" ht="15.75" customHeight="1">
      <c r="C244" s="429"/>
      <c r="D244" s="429"/>
      <c r="E244" s="429"/>
      <c r="F244" s="429"/>
    </row>
    <row r="245" ht="15.75" customHeight="1">
      <c r="C245" s="429"/>
      <c r="D245" s="429"/>
      <c r="E245" s="429"/>
      <c r="F245" s="429"/>
    </row>
    <row r="246" ht="15.75" customHeight="1">
      <c r="C246" s="429"/>
      <c r="D246" s="429"/>
      <c r="E246" s="429"/>
      <c r="F246" s="429"/>
    </row>
    <row r="247" ht="15.75" customHeight="1">
      <c r="C247" s="429"/>
      <c r="D247" s="429"/>
      <c r="E247" s="429"/>
      <c r="F247" s="429"/>
    </row>
    <row r="248" ht="15.75" customHeight="1">
      <c r="C248" s="429"/>
      <c r="D248" s="429"/>
      <c r="E248" s="429"/>
      <c r="F248" s="429"/>
    </row>
    <row r="249" ht="15.75" customHeight="1">
      <c r="C249" s="429"/>
      <c r="D249" s="429"/>
      <c r="E249" s="429"/>
      <c r="F249" s="429"/>
    </row>
    <row r="250" ht="15.75" customHeight="1">
      <c r="C250" s="429"/>
      <c r="D250" s="429"/>
      <c r="E250" s="429"/>
      <c r="F250" s="429"/>
    </row>
    <row r="251" ht="15.75" customHeight="1">
      <c r="C251" s="429"/>
      <c r="D251" s="429"/>
      <c r="E251" s="429"/>
      <c r="F251" s="429"/>
    </row>
    <row r="252" ht="15.75" customHeight="1">
      <c r="C252" s="429"/>
      <c r="D252" s="429"/>
      <c r="E252" s="429"/>
      <c r="F252" s="429"/>
    </row>
    <row r="253" ht="15.75" customHeight="1">
      <c r="C253" s="429"/>
      <c r="D253" s="429"/>
      <c r="E253" s="429"/>
      <c r="F253" s="429"/>
    </row>
    <row r="254" ht="15.75" customHeight="1">
      <c r="C254" s="429"/>
      <c r="D254" s="429"/>
      <c r="E254" s="429"/>
      <c r="F254" s="429"/>
    </row>
    <row r="255" ht="15.75" customHeight="1">
      <c r="C255" s="429"/>
      <c r="D255" s="429"/>
      <c r="E255" s="429"/>
      <c r="F255" s="429"/>
    </row>
    <row r="256" ht="15.75" customHeight="1">
      <c r="C256" s="429"/>
      <c r="D256" s="429"/>
      <c r="E256" s="429"/>
      <c r="F256" s="429"/>
    </row>
    <row r="257" ht="15.75" customHeight="1">
      <c r="C257" s="429"/>
      <c r="D257" s="429"/>
      <c r="E257" s="429"/>
      <c r="F257" s="429"/>
    </row>
    <row r="258" ht="15.75" customHeight="1">
      <c r="C258" s="429"/>
      <c r="D258" s="429"/>
      <c r="E258" s="429"/>
      <c r="F258" s="429"/>
    </row>
    <row r="259" ht="15.75" customHeight="1">
      <c r="C259" s="429"/>
      <c r="D259" s="429"/>
      <c r="E259" s="429"/>
      <c r="F259" s="429"/>
    </row>
    <row r="260" ht="15.75" customHeight="1">
      <c r="C260" s="429"/>
      <c r="D260" s="429"/>
      <c r="E260" s="429"/>
      <c r="F260" s="429"/>
    </row>
    <row r="261" ht="15.75" customHeight="1">
      <c r="C261" s="429"/>
      <c r="D261" s="429"/>
      <c r="E261" s="429"/>
      <c r="F261" s="429"/>
    </row>
    <row r="262" ht="15.75" customHeight="1">
      <c r="C262" s="429"/>
      <c r="D262" s="429"/>
      <c r="E262" s="429"/>
      <c r="F262" s="429"/>
    </row>
    <row r="263" ht="15.75" customHeight="1">
      <c r="C263" s="429"/>
      <c r="D263" s="429"/>
      <c r="E263" s="429"/>
      <c r="F263" s="429"/>
    </row>
    <row r="264" ht="15.75" customHeight="1">
      <c r="C264" s="429"/>
      <c r="D264" s="429"/>
      <c r="E264" s="429"/>
      <c r="F264" s="429"/>
    </row>
    <row r="265" ht="15.75" customHeight="1">
      <c r="C265" s="429"/>
      <c r="D265" s="429"/>
      <c r="E265" s="429"/>
      <c r="F265" s="429"/>
    </row>
    <row r="266" ht="15.75" customHeight="1">
      <c r="C266" s="429"/>
      <c r="D266" s="429"/>
      <c r="E266" s="429"/>
      <c r="F266" s="429"/>
    </row>
    <row r="267" ht="15.75" customHeight="1">
      <c r="C267" s="429"/>
      <c r="D267" s="429"/>
      <c r="E267" s="429"/>
      <c r="F267" s="429"/>
    </row>
    <row r="268" ht="15.75" customHeight="1">
      <c r="C268" s="429"/>
      <c r="D268" s="429"/>
      <c r="E268" s="429"/>
      <c r="F268" s="429"/>
    </row>
    <row r="269" ht="15.75" customHeight="1">
      <c r="C269" s="429"/>
      <c r="D269" s="429"/>
      <c r="E269" s="429"/>
      <c r="F269" s="429"/>
    </row>
    <row r="270" ht="15.75" customHeight="1">
      <c r="C270" s="429"/>
      <c r="D270" s="429"/>
      <c r="E270" s="429"/>
      <c r="F270" s="429"/>
    </row>
    <row r="271" ht="15.75" customHeight="1">
      <c r="C271" s="429"/>
      <c r="D271" s="429"/>
      <c r="E271" s="429"/>
      <c r="F271" s="429"/>
    </row>
    <row r="272" ht="15.75" customHeight="1">
      <c r="C272" s="429"/>
      <c r="D272" s="429"/>
      <c r="E272" s="429"/>
      <c r="F272" s="429"/>
    </row>
    <row r="273" ht="15.75" customHeight="1">
      <c r="C273" s="429"/>
      <c r="D273" s="429"/>
      <c r="E273" s="429"/>
      <c r="F273" s="429"/>
    </row>
    <row r="274" ht="15.75" customHeight="1">
      <c r="C274" s="429"/>
      <c r="D274" s="429"/>
      <c r="E274" s="429"/>
      <c r="F274" s="429"/>
    </row>
    <row r="275" ht="15.75" customHeight="1">
      <c r="C275" s="429"/>
      <c r="D275" s="429"/>
      <c r="E275" s="429"/>
      <c r="F275" s="429"/>
    </row>
    <row r="276" ht="15.75" customHeight="1">
      <c r="C276" s="429"/>
      <c r="D276" s="429"/>
      <c r="E276" s="429"/>
      <c r="F276" s="429"/>
    </row>
    <row r="277" ht="15.75" customHeight="1">
      <c r="C277" s="429"/>
      <c r="D277" s="429"/>
      <c r="E277" s="429"/>
      <c r="F277" s="429"/>
    </row>
    <row r="278" ht="15.75" customHeight="1">
      <c r="C278" s="429"/>
      <c r="D278" s="429"/>
      <c r="E278" s="429"/>
      <c r="F278" s="429"/>
    </row>
    <row r="279" ht="15.75" customHeight="1">
      <c r="C279" s="429"/>
      <c r="D279" s="429"/>
      <c r="E279" s="429"/>
      <c r="F279" s="429"/>
    </row>
    <row r="280" ht="15.75" customHeight="1">
      <c r="C280" s="429"/>
      <c r="D280" s="429"/>
      <c r="E280" s="429"/>
      <c r="F280" s="429"/>
    </row>
    <row r="281" ht="15.75" customHeight="1">
      <c r="C281" s="429"/>
      <c r="D281" s="429"/>
      <c r="E281" s="429"/>
      <c r="F281" s="429"/>
    </row>
    <row r="282" ht="15.75" customHeight="1">
      <c r="C282" s="429"/>
      <c r="D282" s="429"/>
      <c r="E282" s="429"/>
      <c r="F282" s="429"/>
    </row>
    <row r="283" ht="15.75" customHeight="1">
      <c r="C283" s="429"/>
      <c r="D283" s="429"/>
      <c r="E283" s="429"/>
      <c r="F283" s="429"/>
    </row>
    <row r="284" ht="15.75" customHeight="1">
      <c r="C284" s="429"/>
      <c r="D284" s="429"/>
      <c r="E284" s="429"/>
      <c r="F284" s="429"/>
    </row>
    <row r="285" ht="15.75" customHeight="1">
      <c r="C285" s="429"/>
      <c r="D285" s="429"/>
      <c r="E285" s="429"/>
      <c r="F285" s="429"/>
    </row>
    <row r="286" ht="15.75" customHeight="1">
      <c r="C286" s="429"/>
      <c r="D286" s="429"/>
      <c r="E286" s="429"/>
      <c r="F286" s="429"/>
    </row>
    <row r="287" ht="15.75" customHeight="1">
      <c r="C287" s="429"/>
      <c r="D287" s="429"/>
      <c r="E287" s="429"/>
      <c r="F287" s="429"/>
    </row>
    <row r="288" ht="15.75" customHeight="1">
      <c r="C288" s="429"/>
      <c r="D288" s="429"/>
      <c r="E288" s="429"/>
      <c r="F288" s="429"/>
    </row>
    <row r="289" ht="15.75" customHeight="1">
      <c r="C289" s="429"/>
      <c r="D289" s="429"/>
      <c r="E289" s="429"/>
      <c r="F289" s="429"/>
    </row>
    <row r="290" ht="15.75" customHeight="1">
      <c r="C290" s="429"/>
      <c r="D290" s="429"/>
      <c r="E290" s="429"/>
      <c r="F290" s="429"/>
    </row>
    <row r="291" ht="15.75" customHeight="1">
      <c r="C291" s="429"/>
      <c r="D291" s="429"/>
      <c r="E291" s="429"/>
      <c r="F291" s="429"/>
    </row>
    <row r="292" ht="15.75" customHeight="1">
      <c r="C292" s="429"/>
      <c r="D292" s="429"/>
      <c r="E292" s="429"/>
      <c r="F292" s="429"/>
    </row>
    <row r="293" ht="15.75" customHeight="1">
      <c r="C293" s="429"/>
      <c r="D293" s="429"/>
      <c r="E293" s="429"/>
      <c r="F293" s="429"/>
    </row>
    <row r="294" ht="15.75" customHeight="1">
      <c r="C294" s="429"/>
      <c r="D294" s="429"/>
      <c r="E294" s="429"/>
      <c r="F294" s="429"/>
    </row>
    <row r="295" ht="15.75" customHeight="1">
      <c r="C295" s="429"/>
      <c r="D295" s="429"/>
      <c r="E295" s="429"/>
      <c r="F295" s="429"/>
    </row>
    <row r="296" ht="15.75" customHeight="1">
      <c r="C296" s="429"/>
      <c r="D296" s="429"/>
      <c r="E296" s="429"/>
      <c r="F296" s="429"/>
    </row>
    <row r="297" ht="15.75" customHeight="1">
      <c r="C297" s="429"/>
      <c r="D297" s="429"/>
      <c r="E297" s="429"/>
      <c r="F297" s="429"/>
    </row>
    <row r="298" ht="15.75" customHeight="1">
      <c r="C298" s="429"/>
      <c r="D298" s="429"/>
      <c r="E298" s="429"/>
      <c r="F298" s="429"/>
    </row>
    <row r="299" ht="15.75" customHeight="1">
      <c r="C299" s="429"/>
      <c r="D299" s="429"/>
      <c r="E299" s="429"/>
      <c r="F299" s="429"/>
    </row>
    <row r="300" ht="15.75" customHeight="1">
      <c r="C300" s="429"/>
      <c r="D300" s="429"/>
      <c r="E300" s="429"/>
      <c r="F300" s="429"/>
    </row>
    <row r="301" ht="15.75" customHeight="1">
      <c r="C301" s="429"/>
      <c r="D301" s="429"/>
      <c r="E301" s="429"/>
      <c r="F301" s="429"/>
    </row>
    <row r="302" ht="15.75" customHeight="1">
      <c r="C302" s="429"/>
      <c r="D302" s="429"/>
      <c r="E302" s="429"/>
      <c r="F302" s="429"/>
    </row>
    <row r="303" ht="15.75" customHeight="1">
      <c r="C303" s="429"/>
      <c r="D303" s="429"/>
      <c r="E303" s="429"/>
      <c r="F303" s="429"/>
    </row>
    <row r="304" ht="15.75" customHeight="1">
      <c r="C304" s="429"/>
      <c r="D304" s="429"/>
      <c r="E304" s="429"/>
      <c r="F304" s="429"/>
    </row>
    <row r="305" ht="15.75" customHeight="1">
      <c r="C305" s="429"/>
      <c r="D305" s="429"/>
      <c r="E305" s="429"/>
      <c r="F305" s="429"/>
    </row>
    <row r="306" ht="15.75" customHeight="1">
      <c r="C306" s="429"/>
      <c r="D306" s="429"/>
      <c r="E306" s="429"/>
      <c r="F306" s="429"/>
    </row>
    <row r="307" ht="15.75" customHeight="1">
      <c r="C307" s="429"/>
      <c r="D307" s="429"/>
      <c r="E307" s="429"/>
      <c r="F307" s="429"/>
    </row>
    <row r="308" ht="15.75" customHeight="1">
      <c r="C308" s="429"/>
      <c r="D308" s="429"/>
      <c r="E308" s="429"/>
      <c r="F308" s="429"/>
    </row>
    <row r="309" ht="15.75" customHeight="1">
      <c r="C309" s="429"/>
      <c r="D309" s="429"/>
      <c r="E309" s="429"/>
      <c r="F309" s="429"/>
    </row>
    <row r="310" ht="15.75" customHeight="1">
      <c r="C310" s="429"/>
      <c r="D310" s="429"/>
      <c r="E310" s="429"/>
      <c r="F310" s="429"/>
    </row>
    <row r="311" ht="15.75" customHeight="1">
      <c r="C311" s="429"/>
      <c r="D311" s="429"/>
      <c r="E311" s="429"/>
      <c r="F311" s="429"/>
    </row>
    <row r="312" ht="15.75" customHeight="1">
      <c r="C312" s="429"/>
      <c r="D312" s="429"/>
      <c r="E312" s="429"/>
      <c r="F312" s="429"/>
    </row>
    <row r="313" ht="15.75" customHeight="1">
      <c r="C313" s="429"/>
      <c r="D313" s="429"/>
      <c r="E313" s="429"/>
      <c r="F313" s="429"/>
    </row>
    <row r="314" ht="15.75" customHeight="1">
      <c r="C314" s="429"/>
      <c r="D314" s="429"/>
      <c r="E314" s="429"/>
      <c r="F314" s="429"/>
    </row>
    <row r="315" ht="15.75" customHeight="1">
      <c r="C315" s="429"/>
      <c r="D315" s="429"/>
      <c r="E315" s="429"/>
      <c r="F315" s="429"/>
    </row>
    <row r="316" ht="15.75" customHeight="1">
      <c r="C316" s="429"/>
      <c r="D316" s="429"/>
      <c r="E316" s="429"/>
      <c r="F316" s="429"/>
    </row>
    <row r="317" ht="15.75" customHeight="1">
      <c r="C317" s="429"/>
      <c r="D317" s="429"/>
      <c r="E317" s="429"/>
      <c r="F317" s="429"/>
    </row>
    <row r="318" ht="15.75" customHeight="1">
      <c r="C318" s="429"/>
      <c r="D318" s="429"/>
      <c r="E318" s="429"/>
      <c r="F318" s="429"/>
    </row>
    <row r="319" ht="15.75" customHeight="1">
      <c r="C319" s="429"/>
      <c r="D319" s="429"/>
      <c r="E319" s="429"/>
      <c r="F319" s="429"/>
    </row>
    <row r="320" ht="15.75" customHeight="1">
      <c r="C320" s="429"/>
      <c r="D320" s="429"/>
      <c r="E320" s="429"/>
      <c r="F320" s="429"/>
    </row>
    <row r="321" ht="15.75" customHeight="1">
      <c r="C321" s="429"/>
      <c r="D321" s="429"/>
      <c r="E321" s="429"/>
      <c r="F321" s="429"/>
    </row>
    <row r="322" ht="15.75" customHeight="1">
      <c r="C322" s="429"/>
      <c r="D322" s="429"/>
      <c r="E322" s="429"/>
      <c r="F322" s="429"/>
    </row>
    <row r="323" ht="15.75" customHeight="1">
      <c r="C323" s="429"/>
      <c r="D323" s="429"/>
      <c r="E323" s="429"/>
      <c r="F323" s="429"/>
    </row>
    <row r="324" ht="15.75" customHeight="1">
      <c r="C324" s="429"/>
      <c r="D324" s="429"/>
      <c r="E324" s="429"/>
      <c r="F324" s="429"/>
    </row>
    <row r="325" ht="15.75" customHeight="1">
      <c r="C325" s="429"/>
      <c r="D325" s="429"/>
      <c r="E325" s="429"/>
      <c r="F325" s="429"/>
    </row>
    <row r="326" ht="15.75" customHeight="1">
      <c r="C326" s="429"/>
      <c r="D326" s="429"/>
      <c r="E326" s="429"/>
      <c r="F326" s="429"/>
    </row>
    <row r="327" ht="15.75" customHeight="1">
      <c r="C327" s="429"/>
      <c r="D327" s="429"/>
      <c r="E327" s="429"/>
      <c r="F327" s="429"/>
    </row>
    <row r="328" ht="15.75" customHeight="1">
      <c r="C328" s="429"/>
      <c r="D328" s="429"/>
      <c r="E328" s="429"/>
      <c r="F328" s="429"/>
    </row>
    <row r="329" ht="15.75" customHeight="1">
      <c r="C329" s="429"/>
      <c r="D329" s="429"/>
      <c r="E329" s="429"/>
      <c r="F329" s="429"/>
    </row>
    <row r="330" ht="15.75" customHeight="1">
      <c r="C330" s="429"/>
      <c r="D330" s="429"/>
      <c r="E330" s="429"/>
      <c r="F330" s="429"/>
    </row>
    <row r="331" ht="15.75" customHeight="1">
      <c r="C331" s="429"/>
      <c r="D331" s="429"/>
      <c r="E331" s="429"/>
      <c r="F331" s="429"/>
    </row>
    <row r="332" ht="15.75" customHeight="1">
      <c r="C332" s="429"/>
      <c r="D332" s="429"/>
      <c r="E332" s="429"/>
      <c r="F332" s="429"/>
    </row>
    <row r="333" ht="15.75" customHeight="1">
      <c r="C333" s="429"/>
      <c r="D333" s="429"/>
      <c r="E333" s="429"/>
      <c r="F333" s="429"/>
    </row>
    <row r="334" ht="15.75" customHeight="1">
      <c r="C334" s="429"/>
      <c r="D334" s="429"/>
      <c r="E334" s="429"/>
      <c r="F334" s="429"/>
    </row>
    <row r="335" ht="15.75" customHeight="1">
      <c r="C335" s="429"/>
      <c r="D335" s="429"/>
      <c r="E335" s="429"/>
      <c r="F335" s="429"/>
    </row>
    <row r="336" ht="15.75" customHeight="1">
      <c r="C336" s="429"/>
      <c r="D336" s="429"/>
      <c r="E336" s="429"/>
      <c r="F336" s="429"/>
    </row>
    <row r="337" ht="15.75" customHeight="1">
      <c r="C337" s="429"/>
      <c r="D337" s="429"/>
      <c r="E337" s="429"/>
      <c r="F337" s="429"/>
    </row>
    <row r="338" ht="15.75" customHeight="1">
      <c r="C338" s="429"/>
      <c r="D338" s="429"/>
      <c r="E338" s="429"/>
      <c r="F338" s="429"/>
    </row>
    <row r="339" ht="15.75" customHeight="1">
      <c r="C339" s="429"/>
      <c r="D339" s="429"/>
      <c r="E339" s="429"/>
      <c r="F339" s="429"/>
    </row>
    <row r="340" ht="15.75" customHeight="1">
      <c r="C340" s="429"/>
      <c r="D340" s="429"/>
      <c r="E340" s="429"/>
      <c r="F340" s="429"/>
    </row>
    <row r="341" ht="15.75" customHeight="1">
      <c r="C341" s="429"/>
      <c r="D341" s="429"/>
      <c r="E341" s="429"/>
      <c r="F341" s="429"/>
    </row>
    <row r="342" ht="15.75" customHeight="1">
      <c r="C342" s="429"/>
      <c r="D342" s="429"/>
      <c r="E342" s="429"/>
      <c r="F342" s="429"/>
    </row>
    <row r="343" ht="15.75" customHeight="1">
      <c r="C343" s="429"/>
      <c r="D343" s="429"/>
      <c r="E343" s="429"/>
      <c r="F343" s="429"/>
    </row>
    <row r="344" ht="15.75" customHeight="1">
      <c r="C344" s="429"/>
      <c r="D344" s="429"/>
      <c r="E344" s="429"/>
      <c r="F344" s="429"/>
    </row>
    <row r="345" ht="15.75" customHeight="1">
      <c r="C345" s="429"/>
      <c r="D345" s="429"/>
      <c r="E345" s="429"/>
      <c r="F345" s="429"/>
    </row>
    <row r="346" ht="15.75" customHeight="1">
      <c r="C346" s="429"/>
      <c r="D346" s="429"/>
      <c r="E346" s="429"/>
      <c r="F346" s="429"/>
    </row>
    <row r="347" ht="15.75" customHeight="1">
      <c r="C347" s="429"/>
      <c r="D347" s="429"/>
      <c r="E347" s="429"/>
      <c r="F347" s="429"/>
    </row>
    <row r="348" ht="15.75" customHeight="1">
      <c r="C348" s="429"/>
      <c r="D348" s="429"/>
      <c r="E348" s="429"/>
      <c r="F348" s="429"/>
    </row>
    <row r="349" ht="15.75" customHeight="1">
      <c r="C349" s="429"/>
      <c r="D349" s="429"/>
      <c r="E349" s="429"/>
      <c r="F349" s="429"/>
    </row>
    <row r="350" ht="15.75" customHeight="1">
      <c r="C350" s="429"/>
      <c r="D350" s="429"/>
      <c r="E350" s="429"/>
      <c r="F350" s="429"/>
    </row>
    <row r="351" ht="15.75" customHeight="1">
      <c r="C351" s="429"/>
      <c r="D351" s="429"/>
      <c r="E351" s="429"/>
      <c r="F351" s="429"/>
    </row>
    <row r="352" ht="15.75" customHeight="1">
      <c r="C352" s="429"/>
      <c r="D352" s="429"/>
      <c r="E352" s="429"/>
      <c r="F352" s="429"/>
    </row>
    <row r="353" ht="15.75" customHeight="1">
      <c r="C353" s="429"/>
      <c r="D353" s="429"/>
      <c r="E353" s="429"/>
      <c r="F353" s="429"/>
    </row>
    <row r="354" ht="15.75" customHeight="1">
      <c r="C354" s="429"/>
      <c r="D354" s="429"/>
      <c r="E354" s="429"/>
      <c r="F354" s="429"/>
    </row>
    <row r="355" ht="15.75" customHeight="1">
      <c r="C355" s="429"/>
      <c r="D355" s="429"/>
      <c r="E355" s="429"/>
      <c r="F355" s="429"/>
    </row>
    <row r="356" ht="15.75" customHeight="1">
      <c r="C356" s="429"/>
      <c r="D356" s="429"/>
      <c r="E356" s="429"/>
      <c r="F356" s="429"/>
    </row>
    <row r="357" ht="15.75" customHeight="1">
      <c r="C357" s="429"/>
      <c r="D357" s="429"/>
      <c r="E357" s="429"/>
      <c r="F357" s="429"/>
    </row>
    <row r="358" ht="15.75" customHeight="1">
      <c r="C358" s="429"/>
      <c r="D358" s="429"/>
      <c r="E358" s="429"/>
      <c r="F358" s="429"/>
    </row>
    <row r="359" ht="15.75" customHeight="1">
      <c r="C359" s="429"/>
      <c r="D359" s="429"/>
      <c r="E359" s="429"/>
      <c r="F359" s="429"/>
    </row>
    <row r="360" ht="15.75" customHeight="1">
      <c r="C360" s="429"/>
      <c r="D360" s="429"/>
      <c r="E360" s="429"/>
      <c r="F360" s="429"/>
    </row>
    <row r="361" ht="15.75" customHeight="1">
      <c r="C361" s="429"/>
      <c r="D361" s="429"/>
      <c r="E361" s="429"/>
      <c r="F361" s="429"/>
    </row>
    <row r="362" ht="15.75" customHeight="1">
      <c r="C362" s="429"/>
      <c r="D362" s="429"/>
      <c r="E362" s="429"/>
      <c r="F362" s="429"/>
    </row>
    <row r="363" ht="15.75" customHeight="1">
      <c r="C363" s="429"/>
      <c r="D363" s="429"/>
      <c r="E363" s="429"/>
      <c r="F363" s="429"/>
    </row>
    <row r="364" ht="15.75" customHeight="1">
      <c r="C364" s="429"/>
      <c r="D364" s="429"/>
      <c r="E364" s="429"/>
      <c r="F364" s="429"/>
    </row>
    <row r="365" ht="15.75" customHeight="1">
      <c r="C365" s="429"/>
      <c r="D365" s="429"/>
      <c r="E365" s="429"/>
      <c r="F365" s="429"/>
    </row>
    <row r="366" ht="15.75" customHeight="1">
      <c r="C366" s="429"/>
      <c r="D366" s="429"/>
      <c r="E366" s="429"/>
      <c r="F366" s="429"/>
    </row>
    <row r="367" ht="15.75" customHeight="1">
      <c r="C367" s="429"/>
      <c r="D367" s="429"/>
      <c r="E367" s="429"/>
      <c r="F367" s="429"/>
    </row>
    <row r="368" ht="15.75" customHeight="1">
      <c r="C368" s="429"/>
      <c r="D368" s="429"/>
      <c r="E368" s="429"/>
      <c r="F368" s="429"/>
    </row>
    <row r="369" ht="15.75" customHeight="1">
      <c r="C369" s="429"/>
      <c r="D369" s="429"/>
      <c r="E369" s="429"/>
      <c r="F369" s="429"/>
    </row>
    <row r="370" ht="15.75" customHeight="1">
      <c r="C370" s="429"/>
      <c r="D370" s="429"/>
      <c r="E370" s="429"/>
      <c r="F370" s="429"/>
    </row>
    <row r="371" ht="15.75" customHeight="1">
      <c r="C371" s="429"/>
      <c r="D371" s="429"/>
      <c r="E371" s="429"/>
      <c r="F371" s="429"/>
    </row>
    <row r="372" ht="15.75" customHeight="1">
      <c r="C372" s="429"/>
      <c r="D372" s="429"/>
      <c r="E372" s="429"/>
      <c r="F372" s="429"/>
    </row>
    <row r="373" ht="15.75" customHeight="1">
      <c r="C373" s="429"/>
      <c r="D373" s="429"/>
      <c r="E373" s="429"/>
      <c r="F373" s="429"/>
    </row>
    <row r="374" ht="15.75" customHeight="1">
      <c r="C374" s="429"/>
      <c r="D374" s="429"/>
      <c r="E374" s="429"/>
      <c r="F374" s="429"/>
    </row>
    <row r="375" ht="15.75" customHeight="1">
      <c r="C375" s="429"/>
      <c r="D375" s="429"/>
      <c r="E375" s="429"/>
      <c r="F375" s="429"/>
    </row>
    <row r="376" ht="15.75" customHeight="1">
      <c r="C376" s="429"/>
      <c r="D376" s="429"/>
      <c r="E376" s="429"/>
      <c r="F376" s="429"/>
    </row>
    <row r="377" ht="15.75" customHeight="1">
      <c r="C377" s="429"/>
      <c r="D377" s="429"/>
      <c r="E377" s="429"/>
      <c r="F377" s="429"/>
    </row>
    <row r="378" ht="15.75" customHeight="1">
      <c r="C378" s="429"/>
      <c r="D378" s="429"/>
      <c r="E378" s="429"/>
      <c r="F378" s="429"/>
    </row>
    <row r="379" ht="15.75" customHeight="1">
      <c r="C379" s="429"/>
      <c r="D379" s="429"/>
      <c r="E379" s="429"/>
      <c r="F379" s="429"/>
    </row>
    <row r="380" ht="15.75" customHeight="1">
      <c r="C380" s="429"/>
      <c r="D380" s="429"/>
      <c r="E380" s="429"/>
      <c r="F380" s="429"/>
    </row>
    <row r="381" ht="15.75" customHeight="1">
      <c r="C381" s="429"/>
      <c r="D381" s="429"/>
      <c r="E381" s="429"/>
      <c r="F381" s="429"/>
    </row>
    <row r="382" ht="15.75" customHeight="1">
      <c r="C382" s="429"/>
      <c r="D382" s="429"/>
      <c r="E382" s="429"/>
      <c r="F382" s="429"/>
    </row>
    <row r="383" ht="15.75" customHeight="1">
      <c r="C383" s="429"/>
      <c r="D383" s="429"/>
      <c r="E383" s="429"/>
      <c r="F383" s="429"/>
    </row>
    <row r="384" ht="15.75" customHeight="1">
      <c r="C384" s="429"/>
      <c r="D384" s="429"/>
      <c r="E384" s="429"/>
      <c r="F384" s="429"/>
    </row>
    <row r="385" ht="15.75" customHeight="1">
      <c r="C385" s="429"/>
      <c r="D385" s="429"/>
      <c r="E385" s="429"/>
      <c r="F385" s="429"/>
    </row>
    <row r="386" ht="15.75" customHeight="1">
      <c r="C386" s="429"/>
      <c r="D386" s="429"/>
      <c r="E386" s="429"/>
      <c r="F386" s="429"/>
    </row>
    <row r="387" ht="15.75" customHeight="1">
      <c r="C387" s="429"/>
      <c r="D387" s="429"/>
      <c r="E387" s="429"/>
      <c r="F387" s="429"/>
    </row>
    <row r="388" ht="15.75" customHeight="1">
      <c r="C388" s="429"/>
      <c r="D388" s="429"/>
      <c r="E388" s="429"/>
      <c r="F388" s="429"/>
    </row>
    <row r="389" ht="15.75" customHeight="1">
      <c r="C389" s="429"/>
      <c r="D389" s="429"/>
      <c r="E389" s="429"/>
      <c r="F389" s="429"/>
    </row>
    <row r="390" ht="15.75" customHeight="1">
      <c r="C390" s="429"/>
      <c r="D390" s="429"/>
      <c r="E390" s="429"/>
      <c r="F390" s="429"/>
    </row>
    <row r="391" ht="15.75" customHeight="1">
      <c r="C391" s="429"/>
      <c r="D391" s="429"/>
      <c r="E391" s="429"/>
      <c r="F391" s="429"/>
    </row>
    <row r="392" ht="15.75" customHeight="1">
      <c r="C392" s="429"/>
      <c r="D392" s="429"/>
      <c r="E392" s="429"/>
      <c r="F392" s="429"/>
    </row>
    <row r="393" ht="15.75" customHeight="1">
      <c r="C393" s="429"/>
      <c r="D393" s="429"/>
      <c r="E393" s="429"/>
      <c r="F393" s="429"/>
    </row>
    <row r="394" ht="15.75" customHeight="1">
      <c r="C394" s="429"/>
      <c r="D394" s="429"/>
      <c r="E394" s="429"/>
      <c r="F394" s="429"/>
    </row>
    <row r="395" ht="15.75" customHeight="1">
      <c r="C395" s="429"/>
      <c r="D395" s="429"/>
      <c r="E395" s="429"/>
      <c r="F395" s="429"/>
    </row>
    <row r="396" ht="15.75" customHeight="1">
      <c r="C396" s="429"/>
      <c r="D396" s="429"/>
      <c r="E396" s="429"/>
      <c r="F396" s="429"/>
    </row>
    <row r="397" ht="15.75" customHeight="1">
      <c r="C397" s="429"/>
      <c r="D397" s="429"/>
      <c r="E397" s="429"/>
      <c r="F397" s="429"/>
    </row>
    <row r="398" ht="15.75" customHeight="1">
      <c r="C398" s="429"/>
      <c r="D398" s="429"/>
      <c r="E398" s="429"/>
      <c r="F398" s="429"/>
    </row>
    <row r="399" ht="15.75" customHeight="1">
      <c r="C399" s="429"/>
      <c r="D399" s="429"/>
      <c r="E399" s="429"/>
      <c r="F399" s="429"/>
    </row>
    <row r="400" ht="15.75" customHeight="1">
      <c r="C400" s="429"/>
      <c r="D400" s="429"/>
      <c r="E400" s="429"/>
      <c r="F400" s="429"/>
    </row>
    <row r="401" ht="15.75" customHeight="1">
      <c r="C401" s="429"/>
      <c r="D401" s="429"/>
      <c r="E401" s="429"/>
      <c r="F401" s="429"/>
    </row>
    <row r="402" ht="15.75" customHeight="1">
      <c r="C402" s="429"/>
      <c r="D402" s="429"/>
      <c r="E402" s="429"/>
      <c r="F402" s="429"/>
    </row>
    <row r="403" ht="15.75" customHeight="1">
      <c r="C403" s="429"/>
      <c r="D403" s="429"/>
      <c r="E403" s="429"/>
      <c r="F403" s="429"/>
    </row>
    <row r="404" ht="15.75" customHeight="1">
      <c r="C404" s="429"/>
      <c r="D404" s="429"/>
      <c r="E404" s="429"/>
      <c r="F404" s="429"/>
    </row>
    <row r="405" ht="15.75" customHeight="1">
      <c r="C405" s="429"/>
      <c r="D405" s="429"/>
      <c r="E405" s="429"/>
      <c r="F405" s="429"/>
    </row>
    <row r="406" ht="15.75" customHeight="1">
      <c r="C406" s="429"/>
      <c r="D406" s="429"/>
      <c r="E406" s="429"/>
      <c r="F406" s="429"/>
    </row>
    <row r="407" ht="15.75" customHeight="1">
      <c r="C407" s="429"/>
      <c r="D407" s="429"/>
      <c r="E407" s="429"/>
      <c r="F407" s="429"/>
    </row>
    <row r="408" ht="15.75" customHeight="1">
      <c r="C408" s="429"/>
      <c r="D408" s="429"/>
      <c r="E408" s="429"/>
      <c r="F408" s="429"/>
    </row>
    <row r="409" ht="15.75" customHeight="1">
      <c r="C409" s="429"/>
      <c r="D409" s="429"/>
      <c r="E409" s="429"/>
      <c r="F409" s="429"/>
    </row>
    <row r="410" ht="15.75" customHeight="1">
      <c r="C410" s="429"/>
      <c r="D410" s="429"/>
      <c r="E410" s="429"/>
      <c r="F410" s="429"/>
    </row>
    <row r="411" ht="15.75" customHeight="1">
      <c r="C411" s="429"/>
      <c r="D411" s="429"/>
      <c r="E411" s="429"/>
      <c r="F411" s="429"/>
    </row>
    <row r="412" ht="15.75" customHeight="1">
      <c r="C412" s="429"/>
      <c r="D412" s="429"/>
      <c r="E412" s="429"/>
      <c r="F412" s="429"/>
    </row>
    <row r="413" ht="15.75" customHeight="1">
      <c r="C413" s="429"/>
      <c r="D413" s="429"/>
      <c r="E413" s="429"/>
      <c r="F413" s="429"/>
    </row>
    <row r="414" ht="15.75" customHeight="1">
      <c r="C414" s="429"/>
      <c r="D414" s="429"/>
      <c r="E414" s="429"/>
      <c r="F414" s="429"/>
    </row>
    <row r="415" ht="15.75" customHeight="1">
      <c r="C415" s="429"/>
      <c r="D415" s="429"/>
      <c r="E415" s="429"/>
      <c r="F415" s="429"/>
    </row>
    <row r="416" ht="15.75" customHeight="1">
      <c r="C416" s="429"/>
      <c r="D416" s="429"/>
      <c r="E416" s="429"/>
      <c r="F416" s="429"/>
    </row>
    <row r="417" ht="15.75" customHeight="1">
      <c r="C417" s="429"/>
      <c r="D417" s="429"/>
      <c r="E417" s="429"/>
      <c r="F417" s="429"/>
    </row>
    <row r="418" ht="15.75" customHeight="1">
      <c r="C418" s="429"/>
      <c r="D418" s="429"/>
      <c r="E418" s="429"/>
      <c r="F418" s="429"/>
    </row>
    <row r="419" ht="15.75" customHeight="1">
      <c r="C419" s="429"/>
      <c r="D419" s="429"/>
      <c r="E419" s="429"/>
      <c r="F419" s="429"/>
    </row>
    <row r="420" ht="15.75" customHeight="1">
      <c r="C420" s="429"/>
      <c r="D420" s="429"/>
      <c r="E420" s="429"/>
      <c r="F420" s="429"/>
    </row>
    <row r="421" ht="15.75" customHeight="1">
      <c r="C421" s="429"/>
      <c r="D421" s="429"/>
      <c r="E421" s="429"/>
      <c r="F421" s="429"/>
    </row>
    <row r="422" ht="15.75" customHeight="1">
      <c r="C422" s="429"/>
      <c r="D422" s="429"/>
      <c r="E422" s="429"/>
      <c r="F422" s="429"/>
    </row>
    <row r="423" ht="15.75" customHeight="1">
      <c r="C423" s="429"/>
      <c r="D423" s="429"/>
      <c r="E423" s="429"/>
      <c r="F423" s="429"/>
    </row>
    <row r="424" ht="15.75" customHeight="1">
      <c r="C424" s="429"/>
      <c r="D424" s="429"/>
      <c r="E424" s="429"/>
      <c r="F424" s="429"/>
    </row>
    <row r="425" ht="15.75" customHeight="1">
      <c r="C425" s="429"/>
      <c r="D425" s="429"/>
      <c r="E425" s="429"/>
      <c r="F425" s="429"/>
    </row>
    <row r="426" ht="15.75" customHeight="1">
      <c r="C426" s="429"/>
      <c r="D426" s="429"/>
      <c r="E426" s="429"/>
      <c r="F426" s="429"/>
    </row>
    <row r="427" ht="15.75" customHeight="1">
      <c r="C427" s="429"/>
      <c r="D427" s="429"/>
      <c r="E427" s="429"/>
      <c r="F427" s="429"/>
    </row>
    <row r="428" ht="15.75" customHeight="1">
      <c r="C428" s="429"/>
      <c r="D428" s="429"/>
      <c r="E428" s="429"/>
      <c r="F428" s="429"/>
    </row>
    <row r="429" ht="15.75" customHeight="1">
      <c r="C429" s="429"/>
      <c r="D429" s="429"/>
      <c r="E429" s="429"/>
      <c r="F429" s="429"/>
    </row>
    <row r="430" ht="15.75" customHeight="1">
      <c r="C430" s="429"/>
      <c r="D430" s="429"/>
      <c r="E430" s="429"/>
      <c r="F430" s="429"/>
    </row>
    <row r="431" ht="15.75" customHeight="1">
      <c r="C431" s="429"/>
      <c r="D431" s="429"/>
      <c r="E431" s="429"/>
      <c r="F431" s="429"/>
    </row>
    <row r="432" ht="15.75" customHeight="1">
      <c r="C432" s="429"/>
      <c r="D432" s="429"/>
      <c r="E432" s="429"/>
      <c r="F432" s="429"/>
    </row>
    <row r="433" ht="15.75" customHeight="1">
      <c r="C433" s="429"/>
      <c r="D433" s="429"/>
      <c r="E433" s="429"/>
      <c r="F433" s="429"/>
    </row>
    <row r="434" ht="15.75" customHeight="1">
      <c r="C434" s="429"/>
      <c r="D434" s="429"/>
      <c r="E434" s="429"/>
      <c r="F434" s="429"/>
    </row>
    <row r="435" ht="15.75" customHeight="1">
      <c r="C435" s="429"/>
      <c r="D435" s="429"/>
      <c r="E435" s="429"/>
      <c r="F435" s="429"/>
    </row>
    <row r="436" ht="15.75" customHeight="1">
      <c r="C436" s="429"/>
      <c r="D436" s="429"/>
      <c r="E436" s="429"/>
      <c r="F436" s="429"/>
    </row>
    <row r="437" ht="15.75" customHeight="1">
      <c r="C437" s="429"/>
      <c r="D437" s="429"/>
      <c r="E437" s="429"/>
      <c r="F437" s="429"/>
    </row>
    <row r="438" ht="15.75" customHeight="1">
      <c r="C438" s="429"/>
      <c r="D438" s="429"/>
      <c r="E438" s="429"/>
      <c r="F438" s="429"/>
    </row>
    <row r="439" ht="15.75" customHeight="1">
      <c r="C439" s="429"/>
      <c r="D439" s="429"/>
      <c r="E439" s="429"/>
      <c r="F439" s="429"/>
    </row>
    <row r="440" ht="15.75" customHeight="1">
      <c r="C440" s="429"/>
      <c r="D440" s="429"/>
      <c r="E440" s="429"/>
      <c r="F440" s="429"/>
    </row>
    <row r="441" ht="15.75" customHeight="1">
      <c r="C441" s="429"/>
      <c r="D441" s="429"/>
      <c r="E441" s="429"/>
      <c r="F441" s="429"/>
    </row>
    <row r="442" ht="15.75" customHeight="1">
      <c r="C442" s="429"/>
      <c r="D442" s="429"/>
      <c r="E442" s="429"/>
      <c r="F442" s="429"/>
    </row>
    <row r="443" ht="15.75" customHeight="1">
      <c r="C443" s="429"/>
      <c r="D443" s="429"/>
      <c r="E443" s="429"/>
      <c r="F443" s="429"/>
    </row>
    <row r="444" ht="15.75" customHeight="1">
      <c r="C444" s="429"/>
      <c r="D444" s="429"/>
      <c r="E444" s="429"/>
      <c r="F444" s="429"/>
    </row>
    <row r="445" ht="15.75" customHeight="1">
      <c r="C445" s="429"/>
      <c r="D445" s="429"/>
      <c r="E445" s="429"/>
      <c r="F445" s="429"/>
    </row>
    <row r="446" ht="15.75" customHeight="1">
      <c r="C446" s="429"/>
      <c r="D446" s="429"/>
      <c r="E446" s="429"/>
      <c r="F446" s="429"/>
    </row>
    <row r="447" ht="15.75" customHeight="1">
      <c r="C447" s="429"/>
      <c r="D447" s="429"/>
      <c r="E447" s="429"/>
      <c r="F447" s="429"/>
    </row>
    <row r="448" ht="15.75" customHeight="1">
      <c r="C448" s="429"/>
      <c r="D448" s="429"/>
      <c r="E448" s="429"/>
      <c r="F448" s="429"/>
    </row>
    <row r="449" ht="15.75" customHeight="1">
      <c r="C449" s="429"/>
      <c r="D449" s="429"/>
      <c r="E449" s="429"/>
      <c r="F449" s="429"/>
    </row>
    <row r="450" ht="15.75" customHeight="1">
      <c r="C450" s="429"/>
      <c r="D450" s="429"/>
      <c r="E450" s="429"/>
      <c r="F450" s="429"/>
    </row>
    <row r="451" ht="15.75" customHeight="1">
      <c r="C451" s="429"/>
      <c r="D451" s="429"/>
      <c r="E451" s="429"/>
      <c r="F451" s="429"/>
    </row>
    <row r="452" ht="15.75" customHeight="1">
      <c r="C452" s="429"/>
      <c r="D452" s="429"/>
      <c r="E452" s="429"/>
      <c r="F452" s="429"/>
    </row>
    <row r="453" ht="15.75" customHeight="1">
      <c r="C453" s="429"/>
      <c r="D453" s="429"/>
      <c r="E453" s="429"/>
      <c r="F453" s="429"/>
    </row>
    <row r="454" ht="15.75" customHeight="1">
      <c r="C454" s="429"/>
      <c r="D454" s="429"/>
      <c r="E454" s="429"/>
      <c r="F454" s="429"/>
    </row>
    <row r="455" ht="15.75" customHeight="1">
      <c r="C455" s="429"/>
      <c r="D455" s="429"/>
      <c r="E455" s="429"/>
      <c r="F455" s="429"/>
    </row>
    <row r="456" ht="15.75" customHeight="1">
      <c r="C456" s="429"/>
      <c r="D456" s="429"/>
      <c r="E456" s="429"/>
      <c r="F456" s="429"/>
    </row>
    <row r="457" ht="15.75" customHeight="1">
      <c r="C457" s="429"/>
      <c r="D457" s="429"/>
      <c r="E457" s="429"/>
      <c r="F457" s="429"/>
    </row>
    <row r="458" ht="15.75" customHeight="1">
      <c r="C458" s="429"/>
      <c r="D458" s="429"/>
      <c r="E458" s="429"/>
      <c r="F458" s="429"/>
    </row>
    <row r="459" ht="15.75" customHeight="1">
      <c r="C459" s="429"/>
      <c r="D459" s="429"/>
      <c r="E459" s="429"/>
      <c r="F459" s="429"/>
    </row>
    <row r="460" ht="15.75" customHeight="1">
      <c r="C460" s="429"/>
      <c r="D460" s="429"/>
      <c r="E460" s="429"/>
      <c r="F460" s="429"/>
    </row>
    <row r="461" ht="15.75" customHeight="1">
      <c r="C461" s="429"/>
      <c r="D461" s="429"/>
      <c r="E461" s="429"/>
      <c r="F461" s="429"/>
    </row>
    <row r="462" ht="15.75" customHeight="1">
      <c r="C462" s="429"/>
      <c r="D462" s="429"/>
      <c r="E462" s="429"/>
      <c r="F462" s="429"/>
    </row>
    <row r="463" ht="15.75" customHeight="1">
      <c r="C463" s="429"/>
      <c r="D463" s="429"/>
      <c r="E463" s="429"/>
      <c r="F463" s="429"/>
    </row>
    <row r="464" ht="15.75" customHeight="1">
      <c r="C464" s="429"/>
      <c r="D464" s="429"/>
      <c r="E464" s="429"/>
      <c r="F464" s="429"/>
    </row>
    <row r="465" ht="15.75" customHeight="1">
      <c r="C465" s="429"/>
      <c r="D465" s="429"/>
      <c r="E465" s="429"/>
      <c r="F465" s="429"/>
    </row>
    <row r="466" ht="15.75" customHeight="1">
      <c r="C466" s="429"/>
      <c r="D466" s="429"/>
      <c r="E466" s="429"/>
      <c r="F466" s="429"/>
    </row>
    <row r="467" ht="15.75" customHeight="1">
      <c r="C467" s="429"/>
      <c r="D467" s="429"/>
      <c r="E467" s="429"/>
      <c r="F467" s="429"/>
    </row>
    <row r="468" ht="15.75" customHeight="1">
      <c r="C468" s="429"/>
      <c r="D468" s="429"/>
      <c r="E468" s="429"/>
      <c r="F468" s="429"/>
    </row>
    <row r="469" ht="15.75" customHeight="1">
      <c r="C469" s="429"/>
      <c r="D469" s="429"/>
      <c r="E469" s="429"/>
      <c r="F469" s="429"/>
    </row>
    <row r="470" ht="15.75" customHeight="1">
      <c r="C470" s="429"/>
      <c r="D470" s="429"/>
      <c r="E470" s="429"/>
      <c r="F470" s="429"/>
    </row>
    <row r="471" ht="15.75" customHeight="1">
      <c r="C471" s="429"/>
      <c r="D471" s="429"/>
      <c r="E471" s="429"/>
      <c r="F471" s="429"/>
    </row>
    <row r="472" ht="15.75" customHeight="1">
      <c r="C472" s="429"/>
      <c r="D472" s="429"/>
      <c r="E472" s="429"/>
      <c r="F472" s="429"/>
    </row>
    <row r="473" ht="15.75" customHeight="1">
      <c r="C473" s="429"/>
      <c r="D473" s="429"/>
      <c r="E473" s="429"/>
      <c r="F473" s="429"/>
    </row>
    <row r="474" ht="15.75" customHeight="1">
      <c r="C474" s="429"/>
      <c r="D474" s="429"/>
      <c r="E474" s="429"/>
      <c r="F474" s="429"/>
    </row>
    <row r="475" ht="15.75" customHeight="1">
      <c r="C475" s="429"/>
      <c r="D475" s="429"/>
      <c r="E475" s="429"/>
      <c r="F475" s="429"/>
    </row>
    <row r="476" ht="15.75" customHeight="1">
      <c r="C476" s="429"/>
      <c r="D476" s="429"/>
      <c r="E476" s="429"/>
      <c r="F476" s="429"/>
    </row>
    <row r="477" ht="15.75" customHeight="1">
      <c r="C477" s="429"/>
      <c r="D477" s="429"/>
      <c r="E477" s="429"/>
      <c r="F477" s="429"/>
    </row>
    <row r="478" ht="15.75" customHeight="1">
      <c r="C478" s="429"/>
      <c r="D478" s="429"/>
      <c r="E478" s="429"/>
      <c r="F478" s="429"/>
    </row>
    <row r="479" ht="15.75" customHeight="1">
      <c r="C479" s="429"/>
      <c r="D479" s="429"/>
      <c r="E479" s="429"/>
      <c r="F479" s="429"/>
    </row>
    <row r="480" ht="15.75" customHeight="1">
      <c r="C480" s="429"/>
      <c r="D480" s="429"/>
      <c r="E480" s="429"/>
      <c r="F480" s="429"/>
    </row>
    <row r="481" ht="15.75" customHeight="1">
      <c r="C481" s="429"/>
      <c r="D481" s="429"/>
      <c r="E481" s="429"/>
      <c r="F481" s="429"/>
    </row>
    <row r="482" ht="15.75" customHeight="1">
      <c r="C482" s="429"/>
      <c r="D482" s="429"/>
      <c r="E482" s="429"/>
      <c r="F482" s="429"/>
    </row>
    <row r="483" ht="15.75" customHeight="1">
      <c r="C483" s="429"/>
      <c r="D483" s="429"/>
      <c r="E483" s="429"/>
      <c r="F483" s="429"/>
    </row>
    <row r="484" ht="15.75" customHeight="1">
      <c r="C484" s="429"/>
      <c r="D484" s="429"/>
      <c r="E484" s="429"/>
      <c r="F484" s="429"/>
    </row>
    <row r="485" ht="15.75" customHeight="1">
      <c r="C485" s="429"/>
      <c r="D485" s="429"/>
      <c r="E485" s="429"/>
      <c r="F485" s="429"/>
    </row>
    <row r="486" ht="15.75" customHeight="1">
      <c r="C486" s="429"/>
      <c r="D486" s="429"/>
      <c r="E486" s="429"/>
      <c r="F486" s="429"/>
    </row>
    <row r="487" ht="15.75" customHeight="1">
      <c r="C487" s="429"/>
      <c r="D487" s="429"/>
      <c r="E487" s="429"/>
      <c r="F487" s="429"/>
    </row>
    <row r="488" ht="15.75" customHeight="1">
      <c r="C488" s="429"/>
      <c r="D488" s="429"/>
      <c r="E488" s="429"/>
      <c r="F488" s="429"/>
    </row>
    <row r="489" ht="15.75" customHeight="1">
      <c r="C489" s="429"/>
      <c r="D489" s="429"/>
      <c r="E489" s="429"/>
      <c r="F489" s="429"/>
    </row>
    <row r="490" ht="15.75" customHeight="1">
      <c r="C490" s="429"/>
      <c r="D490" s="429"/>
      <c r="E490" s="429"/>
      <c r="F490" s="429"/>
    </row>
    <row r="491" ht="15.75" customHeight="1">
      <c r="C491" s="429"/>
      <c r="D491" s="429"/>
      <c r="E491" s="429"/>
      <c r="F491" s="429"/>
    </row>
    <row r="492" ht="15.75" customHeight="1">
      <c r="C492" s="429"/>
      <c r="D492" s="429"/>
      <c r="E492" s="429"/>
      <c r="F492" s="429"/>
    </row>
    <row r="493" ht="15.75" customHeight="1">
      <c r="C493" s="429"/>
      <c r="D493" s="429"/>
      <c r="E493" s="429"/>
      <c r="F493" s="429"/>
    </row>
    <row r="494" ht="15.75" customHeight="1">
      <c r="C494" s="429"/>
      <c r="D494" s="429"/>
      <c r="E494" s="429"/>
      <c r="F494" s="429"/>
    </row>
    <row r="495" ht="15.75" customHeight="1">
      <c r="C495" s="429"/>
      <c r="D495" s="429"/>
      <c r="E495" s="429"/>
      <c r="F495" s="429"/>
    </row>
    <row r="496" ht="15.75" customHeight="1">
      <c r="C496" s="429"/>
      <c r="D496" s="429"/>
      <c r="E496" s="429"/>
      <c r="F496" s="429"/>
    </row>
    <row r="497" ht="15.75" customHeight="1">
      <c r="C497" s="429"/>
      <c r="D497" s="429"/>
      <c r="E497" s="429"/>
      <c r="F497" s="429"/>
    </row>
    <row r="498" ht="15.75" customHeight="1">
      <c r="C498" s="429"/>
      <c r="D498" s="429"/>
      <c r="E498" s="429"/>
      <c r="F498" s="429"/>
    </row>
    <row r="499" ht="15.75" customHeight="1">
      <c r="C499" s="429"/>
      <c r="D499" s="429"/>
      <c r="E499" s="429"/>
      <c r="F499" s="429"/>
    </row>
    <row r="500" ht="15.75" customHeight="1">
      <c r="C500" s="429"/>
      <c r="D500" s="429"/>
      <c r="E500" s="429"/>
      <c r="F500" s="429"/>
    </row>
    <row r="501" ht="15.75" customHeight="1">
      <c r="C501" s="429"/>
      <c r="D501" s="429"/>
      <c r="E501" s="429"/>
      <c r="F501" s="429"/>
    </row>
    <row r="502" ht="15.75" customHeight="1">
      <c r="C502" s="429"/>
      <c r="D502" s="429"/>
      <c r="E502" s="429"/>
      <c r="F502" s="429"/>
    </row>
    <row r="503" ht="15.75" customHeight="1">
      <c r="C503" s="429"/>
      <c r="D503" s="429"/>
      <c r="E503" s="429"/>
      <c r="F503" s="429"/>
    </row>
    <row r="504" ht="15.75" customHeight="1">
      <c r="C504" s="429"/>
      <c r="D504" s="429"/>
      <c r="E504" s="429"/>
      <c r="F504" s="429"/>
    </row>
    <row r="505" ht="15.75" customHeight="1">
      <c r="C505" s="429"/>
      <c r="D505" s="429"/>
      <c r="E505" s="429"/>
      <c r="F505" s="429"/>
    </row>
    <row r="506" ht="15.75" customHeight="1">
      <c r="C506" s="429"/>
      <c r="D506" s="429"/>
      <c r="E506" s="429"/>
      <c r="F506" s="429"/>
    </row>
    <row r="507" ht="15.75" customHeight="1">
      <c r="C507" s="429"/>
      <c r="D507" s="429"/>
      <c r="E507" s="429"/>
      <c r="F507" s="429"/>
    </row>
    <row r="508" ht="15.75" customHeight="1">
      <c r="C508" s="429"/>
      <c r="D508" s="429"/>
      <c r="E508" s="429"/>
      <c r="F508" s="429"/>
    </row>
    <row r="509" ht="15.75" customHeight="1">
      <c r="C509" s="429"/>
      <c r="D509" s="429"/>
      <c r="E509" s="429"/>
      <c r="F509" s="429"/>
    </row>
    <row r="510" ht="15.75" customHeight="1">
      <c r="C510" s="429"/>
      <c r="D510" s="429"/>
      <c r="E510" s="429"/>
      <c r="F510" s="429"/>
    </row>
    <row r="511" ht="15.75" customHeight="1">
      <c r="C511" s="429"/>
      <c r="D511" s="429"/>
      <c r="E511" s="429"/>
      <c r="F511" s="429"/>
    </row>
    <row r="512" ht="15.75" customHeight="1">
      <c r="C512" s="429"/>
      <c r="D512" s="429"/>
      <c r="E512" s="429"/>
      <c r="F512" s="429"/>
    </row>
    <row r="513" ht="15.75" customHeight="1">
      <c r="C513" s="429"/>
      <c r="D513" s="429"/>
      <c r="E513" s="429"/>
      <c r="F513" s="429"/>
    </row>
    <row r="514" ht="15.75" customHeight="1">
      <c r="C514" s="429"/>
      <c r="D514" s="429"/>
      <c r="E514" s="429"/>
      <c r="F514" s="429"/>
    </row>
    <row r="515" ht="15.75" customHeight="1">
      <c r="C515" s="429"/>
      <c r="D515" s="429"/>
      <c r="E515" s="429"/>
      <c r="F515" s="429"/>
    </row>
    <row r="516" ht="15.75" customHeight="1">
      <c r="C516" s="429"/>
      <c r="D516" s="429"/>
      <c r="E516" s="429"/>
      <c r="F516" s="429"/>
    </row>
    <row r="517" ht="15.75" customHeight="1">
      <c r="C517" s="429"/>
      <c r="D517" s="429"/>
      <c r="E517" s="429"/>
      <c r="F517" s="429"/>
    </row>
    <row r="518" ht="15.75" customHeight="1">
      <c r="C518" s="429"/>
      <c r="D518" s="429"/>
      <c r="E518" s="429"/>
      <c r="F518" s="429"/>
    </row>
    <row r="519" ht="15.75" customHeight="1">
      <c r="C519" s="429"/>
      <c r="D519" s="429"/>
      <c r="E519" s="429"/>
      <c r="F519" s="429"/>
    </row>
    <row r="520" ht="15.75" customHeight="1">
      <c r="C520" s="429"/>
      <c r="D520" s="429"/>
      <c r="E520" s="429"/>
      <c r="F520" s="429"/>
    </row>
    <row r="521" ht="15.75" customHeight="1">
      <c r="C521" s="429"/>
      <c r="D521" s="429"/>
      <c r="E521" s="429"/>
      <c r="F521" s="429"/>
    </row>
    <row r="522" ht="15.75" customHeight="1">
      <c r="C522" s="429"/>
      <c r="D522" s="429"/>
      <c r="E522" s="429"/>
      <c r="F522" s="429"/>
    </row>
    <row r="523" ht="15.75" customHeight="1">
      <c r="C523" s="429"/>
      <c r="D523" s="429"/>
      <c r="E523" s="429"/>
      <c r="F523" s="429"/>
    </row>
    <row r="524" ht="15.75" customHeight="1">
      <c r="C524" s="429"/>
      <c r="D524" s="429"/>
      <c r="E524" s="429"/>
      <c r="F524" s="429"/>
    </row>
    <row r="525" ht="15.75" customHeight="1">
      <c r="C525" s="429"/>
      <c r="D525" s="429"/>
      <c r="E525" s="429"/>
      <c r="F525" s="429"/>
    </row>
    <row r="526" ht="15.75" customHeight="1">
      <c r="C526" s="429"/>
      <c r="D526" s="429"/>
      <c r="E526" s="429"/>
      <c r="F526" s="429"/>
    </row>
    <row r="527" ht="15.75" customHeight="1">
      <c r="C527" s="429"/>
      <c r="D527" s="429"/>
      <c r="E527" s="429"/>
      <c r="F527" s="429"/>
    </row>
    <row r="528" ht="15.75" customHeight="1">
      <c r="C528" s="429"/>
      <c r="D528" s="429"/>
      <c r="E528" s="429"/>
      <c r="F528" s="429"/>
    </row>
    <row r="529" ht="15.75" customHeight="1">
      <c r="C529" s="429"/>
      <c r="D529" s="429"/>
      <c r="E529" s="429"/>
      <c r="F529" s="429"/>
    </row>
    <row r="530" ht="15.75" customHeight="1">
      <c r="C530" s="429"/>
      <c r="D530" s="429"/>
      <c r="E530" s="429"/>
      <c r="F530" s="429"/>
    </row>
    <row r="531" ht="15.75" customHeight="1">
      <c r="C531" s="429"/>
      <c r="D531" s="429"/>
      <c r="E531" s="429"/>
      <c r="F531" s="429"/>
    </row>
    <row r="532" ht="15.75" customHeight="1">
      <c r="C532" s="429"/>
      <c r="D532" s="429"/>
      <c r="E532" s="429"/>
      <c r="F532" s="429"/>
    </row>
    <row r="533" ht="15.75" customHeight="1">
      <c r="C533" s="429"/>
      <c r="D533" s="429"/>
      <c r="E533" s="429"/>
      <c r="F533" s="429"/>
    </row>
    <row r="534" ht="15.75" customHeight="1">
      <c r="C534" s="429"/>
      <c r="D534" s="429"/>
      <c r="E534" s="429"/>
      <c r="F534" s="429"/>
    </row>
    <row r="535" ht="15.75" customHeight="1">
      <c r="C535" s="429"/>
      <c r="D535" s="429"/>
      <c r="E535" s="429"/>
      <c r="F535" s="429"/>
    </row>
    <row r="536" ht="15.75" customHeight="1">
      <c r="C536" s="429"/>
      <c r="D536" s="429"/>
      <c r="E536" s="429"/>
      <c r="F536" s="429"/>
    </row>
    <row r="537" ht="15.75" customHeight="1">
      <c r="C537" s="429"/>
      <c r="D537" s="429"/>
      <c r="E537" s="429"/>
      <c r="F537" s="429"/>
    </row>
    <row r="538" ht="15.75" customHeight="1">
      <c r="C538" s="429"/>
      <c r="D538" s="429"/>
      <c r="E538" s="429"/>
      <c r="F538" s="429"/>
    </row>
    <row r="539" ht="15.75" customHeight="1">
      <c r="C539" s="429"/>
      <c r="D539" s="429"/>
      <c r="E539" s="429"/>
      <c r="F539" s="429"/>
    </row>
    <row r="540" ht="15.75" customHeight="1">
      <c r="C540" s="429"/>
      <c r="D540" s="429"/>
      <c r="E540" s="429"/>
      <c r="F540" s="429"/>
    </row>
    <row r="541" ht="15.75" customHeight="1">
      <c r="C541" s="429"/>
      <c r="D541" s="429"/>
      <c r="E541" s="429"/>
      <c r="F541" s="429"/>
    </row>
    <row r="542" ht="15.75" customHeight="1">
      <c r="C542" s="429"/>
      <c r="D542" s="429"/>
      <c r="E542" s="429"/>
      <c r="F542" s="429"/>
    </row>
    <row r="543" ht="15.75" customHeight="1">
      <c r="C543" s="429"/>
      <c r="D543" s="429"/>
      <c r="E543" s="429"/>
      <c r="F543" s="429"/>
    </row>
    <row r="544" ht="15.75" customHeight="1">
      <c r="C544" s="429"/>
      <c r="D544" s="429"/>
      <c r="E544" s="429"/>
      <c r="F544" s="429"/>
    </row>
    <row r="545" ht="15.75" customHeight="1">
      <c r="C545" s="429"/>
      <c r="D545" s="429"/>
      <c r="E545" s="429"/>
      <c r="F545" s="429"/>
    </row>
    <row r="546" ht="15.75" customHeight="1">
      <c r="C546" s="429"/>
      <c r="D546" s="429"/>
      <c r="E546" s="429"/>
      <c r="F546" s="429"/>
    </row>
    <row r="547" ht="15.75" customHeight="1">
      <c r="C547" s="429"/>
      <c r="D547" s="429"/>
      <c r="E547" s="429"/>
      <c r="F547" s="429"/>
    </row>
    <row r="548" ht="15.75" customHeight="1">
      <c r="C548" s="429"/>
      <c r="D548" s="429"/>
      <c r="E548" s="429"/>
      <c r="F548" s="429"/>
    </row>
    <row r="549" ht="15.75" customHeight="1">
      <c r="C549" s="429"/>
      <c r="D549" s="429"/>
      <c r="E549" s="429"/>
      <c r="F549" s="429"/>
    </row>
    <row r="550" ht="15.75" customHeight="1">
      <c r="C550" s="429"/>
      <c r="D550" s="429"/>
      <c r="E550" s="429"/>
      <c r="F550" s="429"/>
    </row>
    <row r="551" ht="15.75" customHeight="1">
      <c r="C551" s="429"/>
      <c r="D551" s="429"/>
      <c r="E551" s="429"/>
      <c r="F551" s="429"/>
    </row>
    <row r="552" ht="15.75" customHeight="1">
      <c r="C552" s="429"/>
      <c r="D552" s="429"/>
      <c r="E552" s="429"/>
      <c r="F552" s="429"/>
    </row>
    <row r="553" ht="15.75" customHeight="1">
      <c r="C553" s="429"/>
      <c r="D553" s="429"/>
      <c r="E553" s="429"/>
      <c r="F553" s="429"/>
    </row>
    <row r="554" ht="15.75" customHeight="1">
      <c r="C554" s="429"/>
      <c r="D554" s="429"/>
      <c r="E554" s="429"/>
      <c r="F554" s="429"/>
    </row>
    <row r="555" ht="15.75" customHeight="1">
      <c r="C555" s="429"/>
      <c r="D555" s="429"/>
      <c r="E555" s="429"/>
      <c r="F555" s="429"/>
    </row>
    <row r="556" ht="15.75" customHeight="1">
      <c r="C556" s="429"/>
      <c r="D556" s="429"/>
      <c r="E556" s="429"/>
      <c r="F556" s="429"/>
    </row>
    <row r="557" ht="15.75" customHeight="1">
      <c r="C557" s="429"/>
      <c r="D557" s="429"/>
      <c r="E557" s="429"/>
      <c r="F557" s="429"/>
    </row>
    <row r="558" ht="15.75" customHeight="1">
      <c r="C558" s="429"/>
      <c r="D558" s="429"/>
      <c r="E558" s="429"/>
      <c r="F558" s="429"/>
    </row>
    <row r="559" ht="15.75" customHeight="1">
      <c r="C559" s="429"/>
      <c r="D559" s="429"/>
      <c r="E559" s="429"/>
      <c r="F559" s="429"/>
    </row>
    <row r="560" ht="15.75" customHeight="1">
      <c r="C560" s="429"/>
      <c r="D560" s="429"/>
      <c r="E560" s="429"/>
      <c r="F560" s="429"/>
    </row>
    <row r="561" ht="15.75" customHeight="1">
      <c r="C561" s="429"/>
      <c r="D561" s="429"/>
      <c r="E561" s="429"/>
      <c r="F561" s="429"/>
    </row>
    <row r="562" ht="15.75" customHeight="1">
      <c r="C562" s="429"/>
      <c r="D562" s="429"/>
      <c r="E562" s="429"/>
      <c r="F562" s="429"/>
    </row>
    <row r="563" ht="15.75" customHeight="1">
      <c r="C563" s="429"/>
      <c r="D563" s="429"/>
      <c r="E563" s="429"/>
      <c r="F563" s="429"/>
    </row>
    <row r="564" ht="15.75" customHeight="1">
      <c r="C564" s="429"/>
      <c r="D564" s="429"/>
      <c r="E564" s="429"/>
      <c r="F564" s="429"/>
    </row>
    <row r="565" ht="15.75" customHeight="1">
      <c r="C565" s="429"/>
      <c r="D565" s="429"/>
      <c r="E565" s="429"/>
      <c r="F565" s="429"/>
    </row>
    <row r="566" ht="15.75" customHeight="1">
      <c r="C566" s="429"/>
      <c r="D566" s="429"/>
      <c r="E566" s="429"/>
      <c r="F566" s="429"/>
    </row>
    <row r="567" ht="15.75" customHeight="1">
      <c r="C567" s="429"/>
      <c r="D567" s="429"/>
      <c r="E567" s="429"/>
      <c r="F567" s="429"/>
    </row>
    <row r="568" ht="15.75" customHeight="1">
      <c r="C568" s="429"/>
      <c r="D568" s="429"/>
      <c r="E568" s="429"/>
      <c r="F568" s="429"/>
    </row>
    <row r="569" ht="15.75" customHeight="1">
      <c r="C569" s="429"/>
      <c r="D569" s="429"/>
      <c r="E569" s="429"/>
      <c r="F569" s="429"/>
    </row>
    <row r="570" ht="15.75" customHeight="1">
      <c r="C570" s="429"/>
      <c r="D570" s="429"/>
      <c r="E570" s="429"/>
      <c r="F570" s="429"/>
    </row>
    <row r="571" ht="15.75" customHeight="1">
      <c r="C571" s="429"/>
      <c r="D571" s="429"/>
      <c r="E571" s="429"/>
      <c r="F571" s="429"/>
    </row>
    <row r="572" ht="15.75" customHeight="1">
      <c r="C572" s="429"/>
      <c r="D572" s="429"/>
      <c r="E572" s="429"/>
      <c r="F572" s="429"/>
    </row>
    <row r="573" ht="15.75" customHeight="1">
      <c r="C573" s="429"/>
      <c r="D573" s="429"/>
      <c r="E573" s="429"/>
      <c r="F573" s="429"/>
    </row>
    <row r="574" ht="15.75" customHeight="1">
      <c r="C574" s="429"/>
      <c r="D574" s="429"/>
      <c r="E574" s="429"/>
      <c r="F574" s="429"/>
    </row>
    <row r="575" ht="15.75" customHeight="1">
      <c r="C575" s="429"/>
      <c r="D575" s="429"/>
      <c r="E575" s="429"/>
      <c r="F575" s="429"/>
    </row>
    <row r="576" ht="15.75" customHeight="1">
      <c r="C576" s="429"/>
      <c r="D576" s="429"/>
      <c r="E576" s="429"/>
      <c r="F576" s="429"/>
    </row>
    <row r="577" ht="15.75" customHeight="1">
      <c r="C577" s="429"/>
      <c r="D577" s="429"/>
      <c r="E577" s="429"/>
      <c r="F577" s="429"/>
    </row>
    <row r="578" ht="15.75" customHeight="1">
      <c r="C578" s="429"/>
      <c r="D578" s="429"/>
      <c r="E578" s="429"/>
      <c r="F578" s="429"/>
    </row>
    <row r="579" ht="15.75" customHeight="1">
      <c r="C579" s="429"/>
      <c r="D579" s="429"/>
      <c r="E579" s="429"/>
      <c r="F579" s="429"/>
    </row>
    <row r="580" ht="15.75" customHeight="1">
      <c r="C580" s="429"/>
      <c r="D580" s="429"/>
      <c r="E580" s="429"/>
      <c r="F580" s="429"/>
    </row>
    <row r="581" ht="15.75" customHeight="1">
      <c r="C581" s="429"/>
      <c r="D581" s="429"/>
      <c r="E581" s="429"/>
      <c r="F581" s="429"/>
    </row>
    <row r="582" ht="15.75" customHeight="1">
      <c r="C582" s="429"/>
      <c r="D582" s="429"/>
      <c r="E582" s="429"/>
      <c r="F582" s="429"/>
    </row>
    <row r="583" ht="15.75" customHeight="1">
      <c r="C583" s="429"/>
      <c r="D583" s="429"/>
      <c r="E583" s="429"/>
      <c r="F583" s="429"/>
    </row>
    <row r="584" ht="15.75" customHeight="1">
      <c r="C584" s="429"/>
      <c r="D584" s="429"/>
      <c r="E584" s="429"/>
      <c r="F584" s="429"/>
    </row>
    <row r="585" ht="15.75" customHeight="1">
      <c r="C585" s="429"/>
      <c r="D585" s="429"/>
      <c r="E585" s="429"/>
      <c r="F585" s="429"/>
    </row>
    <row r="586" ht="15.75" customHeight="1">
      <c r="C586" s="429"/>
      <c r="D586" s="429"/>
      <c r="E586" s="429"/>
      <c r="F586" s="429"/>
    </row>
    <row r="587" ht="15.75" customHeight="1">
      <c r="C587" s="429"/>
      <c r="D587" s="429"/>
      <c r="E587" s="429"/>
      <c r="F587" s="429"/>
    </row>
    <row r="588" ht="15.75" customHeight="1">
      <c r="C588" s="429"/>
      <c r="D588" s="429"/>
      <c r="E588" s="429"/>
      <c r="F588" s="429"/>
    </row>
    <row r="589" ht="15.75" customHeight="1">
      <c r="C589" s="429"/>
      <c r="D589" s="429"/>
      <c r="E589" s="429"/>
      <c r="F589" s="429"/>
    </row>
    <row r="590" ht="15.75" customHeight="1">
      <c r="C590" s="429"/>
      <c r="D590" s="429"/>
      <c r="E590" s="429"/>
      <c r="F590" s="429"/>
    </row>
    <row r="591" ht="15.75" customHeight="1">
      <c r="C591" s="429"/>
      <c r="D591" s="429"/>
      <c r="E591" s="429"/>
      <c r="F591" s="429"/>
    </row>
    <row r="592" ht="15.75" customHeight="1">
      <c r="C592" s="429"/>
      <c r="D592" s="429"/>
      <c r="E592" s="429"/>
      <c r="F592" s="429"/>
    </row>
    <row r="593" ht="15.75" customHeight="1">
      <c r="C593" s="429"/>
      <c r="D593" s="429"/>
      <c r="E593" s="429"/>
      <c r="F593" s="429"/>
    </row>
    <row r="594" ht="15.75" customHeight="1">
      <c r="C594" s="429"/>
      <c r="D594" s="429"/>
      <c r="E594" s="429"/>
      <c r="F594" s="429"/>
    </row>
    <row r="595" ht="15.75" customHeight="1">
      <c r="C595" s="429"/>
      <c r="D595" s="429"/>
      <c r="E595" s="429"/>
      <c r="F595" s="429"/>
    </row>
    <row r="596" ht="15.75" customHeight="1">
      <c r="C596" s="429"/>
      <c r="D596" s="429"/>
      <c r="E596" s="429"/>
      <c r="F596" s="429"/>
    </row>
    <row r="597" ht="15.75" customHeight="1">
      <c r="C597" s="429"/>
      <c r="D597" s="429"/>
      <c r="E597" s="429"/>
      <c r="F597" s="429"/>
    </row>
    <row r="598" ht="15.75" customHeight="1">
      <c r="C598" s="429"/>
      <c r="D598" s="429"/>
      <c r="E598" s="429"/>
      <c r="F598" s="429"/>
    </row>
    <row r="599" ht="15.75" customHeight="1">
      <c r="C599" s="429"/>
      <c r="D599" s="429"/>
      <c r="E599" s="429"/>
      <c r="F599" s="429"/>
    </row>
    <row r="600" ht="15.75" customHeight="1">
      <c r="C600" s="429"/>
      <c r="D600" s="429"/>
      <c r="E600" s="429"/>
      <c r="F600" s="429"/>
    </row>
    <row r="601" ht="15.75" customHeight="1">
      <c r="C601" s="429"/>
      <c r="D601" s="429"/>
      <c r="E601" s="429"/>
      <c r="F601" s="429"/>
    </row>
    <row r="602" ht="15.75" customHeight="1">
      <c r="C602" s="429"/>
      <c r="D602" s="429"/>
      <c r="E602" s="429"/>
      <c r="F602" s="429"/>
    </row>
    <row r="603" ht="15.75" customHeight="1">
      <c r="C603" s="429"/>
      <c r="D603" s="429"/>
      <c r="E603" s="429"/>
      <c r="F603" s="429"/>
    </row>
    <row r="604" ht="15.75" customHeight="1">
      <c r="C604" s="429"/>
      <c r="D604" s="429"/>
      <c r="E604" s="429"/>
      <c r="F604" s="429"/>
    </row>
    <row r="605" ht="15.75" customHeight="1">
      <c r="C605" s="429"/>
      <c r="D605" s="429"/>
      <c r="E605" s="429"/>
      <c r="F605" s="429"/>
    </row>
    <row r="606" ht="15.75" customHeight="1">
      <c r="C606" s="429"/>
      <c r="D606" s="429"/>
      <c r="E606" s="429"/>
      <c r="F606" s="429"/>
    </row>
    <row r="607" ht="15.75" customHeight="1">
      <c r="C607" s="429"/>
      <c r="D607" s="429"/>
      <c r="E607" s="429"/>
      <c r="F607" s="429"/>
    </row>
    <row r="608" ht="15.75" customHeight="1">
      <c r="C608" s="429"/>
      <c r="D608" s="429"/>
      <c r="E608" s="429"/>
      <c r="F608" s="429"/>
    </row>
    <row r="609" ht="15.75" customHeight="1">
      <c r="C609" s="429"/>
      <c r="D609" s="429"/>
      <c r="E609" s="429"/>
      <c r="F609" s="429"/>
    </row>
    <row r="610" ht="15.75" customHeight="1">
      <c r="C610" s="429"/>
      <c r="D610" s="429"/>
      <c r="E610" s="429"/>
      <c r="F610" s="429"/>
    </row>
    <row r="611" ht="15.75" customHeight="1">
      <c r="C611" s="429"/>
      <c r="D611" s="429"/>
      <c r="E611" s="429"/>
      <c r="F611" s="429"/>
    </row>
    <row r="612" ht="15.75" customHeight="1">
      <c r="C612" s="429"/>
      <c r="D612" s="429"/>
      <c r="E612" s="429"/>
      <c r="F612" s="429"/>
    </row>
    <row r="613" ht="15.75" customHeight="1">
      <c r="C613" s="429"/>
      <c r="D613" s="429"/>
      <c r="E613" s="429"/>
      <c r="F613" s="429"/>
    </row>
    <row r="614" ht="15.75" customHeight="1">
      <c r="C614" s="429"/>
      <c r="D614" s="429"/>
      <c r="E614" s="429"/>
      <c r="F614" s="429"/>
    </row>
    <row r="615" ht="15.75" customHeight="1">
      <c r="C615" s="429"/>
      <c r="D615" s="429"/>
      <c r="E615" s="429"/>
      <c r="F615" s="429"/>
    </row>
    <row r="616" ht="15.75" customHeight="1">
      <c r="C616" s="429"/>
      <c r="D616" s="429"/>
      <c r="E616" s="429"/>
      <c r="F616" s="429"/>
    </row>
    <row r="617" ht="15.75" customHeight="1">
      <c r="C617" s="429"/>
      <c r="D617" s="429"/>
      <c r="E617" s="429"/>
      <c r="F617" s="429"/>
    </row>
    <row r="618" ht="15.75" customHeight="1">
      <c r="C618" s="429"/>
      <c r="D618" s="429"/>
      <c r="E618" s="429"/>
      <c r="F618" s="429"/>
    </row>
    <row r="619" ht="15.75" customHeight="1">
      <c r="C619" s="429"/>
      <c r="D619" s="429"/>
      <c r="E619" s="429"/>
      <c r="F619" s="429"/>
    </row>
    <row r="620" ht="15.75" customHeight="1">
      <c r="C620" s="429"/>
      <c r="D620" s="429"/>
      <c r="E620" s="429"/>
      <c r="F620" s="429"/>
    </row>
    <row r="621" ht="15.75" customHeight="1">
      <c r="C621" s="429"/>
      <c r="D621" s="429"/>
      <c r="E621" s="429"/>
      <c r="F621" s="429"/>
    </row>
    <row r="622" ht="15.75" customHeight="1">
      <c r="C622" s="429"/>
      <c r="D622" s="429"/>
      <c r="E622" s="429"/>
      <c r="F622" s="429"/>
    </row>
    <row r="623" ht="15.75" customHeight="1">
      <c r="C623" s="429"/>
      <c r="D623" s="429"/>
      <c r="E623" s="429"/>
      <c r="F623" s="429"/>
    </row>
    <row r="624" ht="15.75" customHeight="1">
      <c r="C624" s="429"/>
      <c r="D624" s="429"/>
      <c r="E624" s="429"/>
      <c r="F624" s="429"/>
    </row>
    <row r="625" ht="15.75" customHeight="1">
      <c r="C625" s="429"/>
      <c r="D625" s="429"/>
      <c r="E625" s="429"/>
      <c r="F625" s="429"/>
    </row>
    <row r="626" ht="15.75" customHeight="1">
      <c r="C626" s="429"/>
      <c r="D626" s="429"/>
      <c r="E626" s="429"/>
      <c r="F626" s="429"/>
    </row>
    <row r="627" ht="15.75" customHeight="1">
      <c r="C627" s="429"/>
      <c r="D627" s="429"/>
      <c r="E627" s="429"/>
      <c r="F627" s="429"/>
    </row>
    <row r="628" ht="15.75" customHeight="1">
      <c r="C628" s="429"/>
      <c r="D628" s="429"/>
      <c r="E628" s="429"/>
      <c r="F628" s="429"/>
    </row>
    <row r="629" ht="15.75" customHeight="1">
      <c r="C629" s="429"/>
      <c r="D629" s="429"/>
      <c r="E629" s="429"/>
      <c r="F629" s="429"/>
    </row>
    <row r="630" ht="15.75" customHeight="1">
      <c r="C630" s="429"/>
      <c r="D630" s="429"/>
      <c r="E630" s="429"/>
      <c r="F630" s="429"/>
    </row>
    <row r="631" ht="15.75" customHeight="1">
      <c r="C631" s="429"/>
      <c r="D631" s="429"/>
      <c r="E631" s="429"/>
      <c r="F631" s="429"/>
    </row>
    <row r="632" ht="15.75" customHeight="1">
      <c r="C632" s="429"/>
      <c r="D632" s="429"/>
      <c r="E632" s="429"/>
      <c r="F632" s="429"/>
    </row>
    <row r="633" ht="15.75" customHeight="1">
      <c r="C633" s="429"/>
      <c r="D633" s="429"/>
      <c r="E633" s="429"/>
      <c r="F633" s="429"/>
    </row>
    <row r="634" ht="15.75" customHeight="1">
      <c r="C634" s="429"/>
      <c r="D634" s="429"/>
      <c r="E634" s="429"/>
      <c r="F634" s="429"/>
    </row>
    <row r="635" ht="15.75" customHeight="1">
      <c r="C635" s="429"/>
      <c r="D635" s="429"/>
      <c r="E635" s="429"/>
      <c r="F635" s="429"/>
    </row>
    <row r="636" ht="15.75" customHeight="1">
      <c r="C636" s="429"/>
      <c r="D636" s="429"/>
      <c r="E636" s="429"/>
      <c r="F636" s="429"/>
    </row>
    <row r="637" ht="15.75" customHeight="1">
      <c r="C637" s="429"/>
      <c r="D637" s="429"/>
      <c r="E637" s="429"/>
      <c r="F637" s="429"/>
    </row>
    <row r="638" ht="15.75" customHeight="1">
      <c r="C638" s="429"/>
      <c r="D638" s="429"/>
      <c r="E638" s="429"/>
      <c r="F638" s="429"/>
    </row>
    <row r="639" ht="15.75" customHeight="1">
      <c r="C639" s="429"/>
      <c r="D639" s="429"/>
      <c r="E639" s="429"/>
      <c r="F639" s="429"/>
    </row>
    <row r="640" ht="15.75" customHeight="1">
      <c r="C640" s="429"/>
      <c r="D640" s="429"/>
      <c r="E640" s="429"/>
      <c r="F640" s="429"/>
    </row>
    <row r="641" ht="15.75" customHeight="1">
      <c r="C641" s="429"/>
      <c r="D641" s="429"/>
      <c r="E641" s="429"/>
      <c r="F641" s="429"/>
    </row>
    <row r="642" ht="15.75" customHeight="1">
      <c r="C642" s="429"/>
      <c r="D642" s="429"/>
      <c r="E642" s="429"/>
      <c r="F642" s="429"/>
    </row>
    <row r="643" ht="15.75" customHeight="1">
      <c r="C643" s="429"/>
      <c r="D643" s="429"/>
      <c r="E643" s="429"/>
      <c r="F643" s="429"/>
    </row>
    <row r="644" ht="15.75" customHeight="1">
      <c r="C644" s="429"/>
      <c r="D644" s="429"/>
      <c r="E644" s="429"/>
      <c r="F644" s="429"/>
    </row>
    <row r="645" ht="15.75" customHeight="1">
      <c r="C645" s="429"/>
      <c r="D645" s="429"/>
      <c r="E645" s="429"/>
      <c r="F645" s="429"/>
    </row>
    <row r="646" ht="15.75" customHeight="1">
      <c r="C646" s="429"/>
      <c r="D646" s="429"/>
      <c r="E646" s="429"/>
      <c r="F646" s="429"/>
    </row>
    <row r="647" ht="15.75" customHeight="1">
      <c r="C647" s="429"/>
      <c r="D647" s="429"/>
      <c r="E647" s="429"/>
      <c r="F647" s="429"/>
    </row>
    <row r="648" ht="15.75" customHeight="1">
      <c r="C648" s="429"/>
      <c r="D648" s="429"/>
      <c r="E648" s="429"/>
      <c r="F648" s="429"/>
    </row>
    <row r="649" ht="15.75" customHeight="1">
      <c r="C649" s="429"/>
      <c r="D649" s="429"/>
      <c r="E649" s="429"/>
      <c r="F649" s="429"/>
    </row>
    <row r="650" ht="15.75" customHeight="1">
      <c r="C650" s="429"/>
      <c r="D650" s="429"/>
      <c r="E650" s="429"/>
      <c r="F650" s="429"/>
    </row>
    <row r="651" ht="15.75" customHeight="1">
      <c r="C651" s="429"/>
      <c r="D651" s="429"/>
      <c r="E651" s="429"/>
      <c r="F651" s="429"/>
    </row>
    <row r="652" ht="15.75" customHeight="1">
      <c r="C652" s="429"/>
      <c r="D652" s="429"/>
      <c r="E652" s="429"/>
      <c r="F652" s="429"/>
    </row>
    <row r="653" ht="15.75" customHeight="1">
      <c r="C653" s="429"/>
      <c r="D653" s="429"/>
      <c r="E653" s="429"/>
      <c r="F653" s="429"/>
    </row>
    <row r="654" ht="15.75" customHeight="1">
      <c r="C654" s="429"/>
      <c r="D654" s="429"/>
      <c r="E654" s="429"/>
      <c r="F654" s="429"/>
    </row>
    <row r="655" ht="15.75" customHeight="1">
      <c r="C655" s="429"/>
      <c r="D655" s="429"/>
      <c r="E655" s="429"/>
      <c r="F655" s="429"/>
    </row>
    <row r="656" ht="15.75" customHeight="1">
      <c r="C656" s="429"/>
      <c r="D656" s="429"/>
      <c r="E656" s="429"/>
      <c r="F656" s="429"/>
    </row>
    <row r="657" ht="15.75" customHeight="1">
      <c r="C657" s="429"/>
      <c r="D657" s="429"/>
      <c r="E657" s="429"/>
      <c r="F657" s="429"/>
    </row>
    <row r="658" ht="15.75" customHeight="1">
      <c r="C658" s="429"/>
      <c r="D658" s="429"/>
      <c r="E658" s="429"/>
      <c r="F658" s="429"/>
    </row>
    <row r="659" ht="15.75" customHeight="1">
      <c r="C659" s="429"/>
      <c r="D659" s="429"/>
      <c r="E659" s="429"/>
      <c r="F659" s="429"/>
    </row>
    <row r="660" ht="15.75" customHeight="1">
      <c r="C660" s="429"/>
      <c r="D660" s="429"/>
      <c r="E660" s="429"/>
      <c r="F660" s="429"/>
    </row>
    <row r="661" ht="15.75" customHeight="1">
      <c r="C661" s="429"/>
      <c r="D661" s="429"/>
      <c r="E661" s="429"/>
      <c r="F661" s="429"/>
    </row>
    <row r="662" ht="15.75" customHeight="1">
      <c r="C662" s="429"/>
      <c r="D662" s="429"/>
      <c r="E662" s="429"/>
      <c r="F662" s="429"/>
    </row>
    <row r="663" ht="15.75" customHeight="1">
      <c r="C663" s="429"/>
      <c r="D663" s="429"/>
      <c r="E663" s="429"/>
      <c r="F663" s="429"/>
    </row>
    <row r="664" ht="15.75" customHeight="1">
      <c r="C664" s="429"/>
      <c r="D664" s="429"/>
      <c r="E664" s="429"/>
      <c r="F664" s="429"/>
    </row>
    <row r="665" ht="15.75" customHeight="1">
      <c r="C665" s="429"/>
      <c r="D665" s="429"/>
      <c r="E665" s="429"/>
      <c r="F665" s="429"/>
    </row>
    <row r="666" ht="15.75" customHeight="1">
      <c r="C666" s="429"/>
      <c r="D666" s="429"/>
      <c r="E666" s="429"/>
      <c r="F666" s="429"/>
    </row>
    <row r="667" ht="15.75" customHeight="1">
      <c r="C667" s="429"/>
      <c r="D667" s="429"/>
      <c r="E667" s="429"/>
      <c r="F667" s="429"/>
    </row>
    <row r="668" ht="15.75" customHeight="1">
      <c r="C668" s="429"/>
      <c r="D668" s="429"/>
      <c r="E668" s="429"/>
      <c r="F668" s="429"/>
    </row>
    <row r="669" ht="15.75" customHeight="1">
      <c r="C669" s="429"/>
      <c r="D669" s="429"/>
      <c r="E669" s="429"/>
      <c r="F669" s="429"/>
    </row>
    <row r="670" ht="15.75" customHeight="1">
      <c r="C670" s="429"/>
      <c r="D670" s="429"/>
      <c r="E670" s="429"/>
      <c r="F670" s="429"/>
    </row>
    <row r="671" ht="15.75" customHeight="1">
      <c r="C671" s="429"/>
      <c r="D671" s="429"/>
      <c r="E671" s="429"/>
      <c r="F671" s="429"/>
    </row>
    <row r="672" ht="15.75" customHeight="1">
      <c r="C672" s="429"/>
      <c r="D672" s="429"/>
      <c r="E672" s="429"/>
      <c r="F672" s="429"/>
    </row>
    <row r="673" ht="15.75" customHeight="1">
      <c r="C673" s="429"/>
      <c r="D673" s="429"/>
      <c r="E673" s="429"/>
      <c r="F673" s="429"/>
    </row>
    <row r="674" ht="15.75" customHeight="1">
      <c r="C674" s="429"/>
      <c r="D674" s="429"/>
      <c r="E674" s="429"/>
      <c r="F674" s="429"/>
    </row>
    <row r="675" ht="15.75" customHeight="1">
      <c r="C675" s="429"/>
      <c r="D675" s="429"/>
      <c r="E675" s="429"/>
      <c r="F675" s="429"/>
    </row>
    <row r="676" ht="15.75" customHeight="1">
      <c r="C676" s="429"/>
      <c r="D676" s="429"/>
      <c r="E676" s="429"/>
      <c r="F676" s="429"/>
    </row>
    <row r="677" ht="15.75" customHeight="1">
      <c r="C677" s="429"/>
      <c r="D677" s="429"/>
      <c r="E677" s="429"/>
      <c r="F677" s="429"/>
    </row>
    <row r="678" ht="15.75" customHeight="1">
      <c r="C678" s="429"/>
      <c r="D678" s="429"/>
      <c r="E678" s="429"/>
      <c r="F678" s="429"/>
    </row>
    <row r="679" ht="15.75" customHeight="1">
      <c r="C679" s="429"/>
      <c r="D679" s="429"/>
      <c r="E679" s="429"/>
      <c r="F679" s="429"/>
    </row>
    <row r="680" ht="15.75" customHeight="1">
      <c r="C680" s="429"/>
      <c r="D680" s="429"/>
      <c r="E680" s="429"/>
      <c r="F680" s="429"/>
    </row>
    <row r="681" ht="15.75" customHeight="1">
      <c r="C681" s="429"/>
      <c r="D681" s="429"/>
      <c r="E681" s="429"/>
      <c r="F681" s="429"/>
    </row>
    <row r="682" ht="15.75" customHeight="1">
      <c r="C682" s="429"/>
      <c r="D682" s="429"/>
      <c r="E682" s="429"/>
      <c r="F682" s="429"/>
    </row>
    <row r="683" ht="15.75" customHeight="1">
      <c r="C683" s="429"/>
      <c r="D683" s="429"/>
      <c r="E683" s="429"/>
      <c r="F683" s="429"/>
    </row>
    <row r="684" ht="15.75" customHeight="1">
      <c r="C684" s="429"/>
      <c r="D684" s="429"/>
      <c r="E684" s="429"/>
      <c r="F684" s="429"/>
    </row>
    <row r="685" ht="15.75" customHeight="1">
      <c r="C685" s="429"/>
      <c r="D685" s="429"/>
      <c r="E685" s="429"/>
      <c r="F685" s="429"/>
    </row>
    <row r="686" ht="15.75" customHeight="1">
      <c r="C686" s="429"/>
      <c r="D686" s="429"/>
      <c r="E686" s="429"/>
      <c r="F686" s="429"/>
    </row>
    <row r="687" ht="15.75" customHeight="1">
      <c r="C687" s="429"/>
      <c r="D687" s="429"/>
      <c r="E687" s="429"/>
      <c r="F687" s="429"/>
    </row>
    <row r="688" ht="15.75" customHeight="1">
      <c r="C688" s="429"/>
      <c r="D688" s="429"/>
      <c r="E688" s="429"/>
      <c r="F688" s="429"/>
    </row>
    <row r="689" ht="15.75" customHeight="1">
      <c r="C689" s="429"/>
      <c r="D689" s="429"/>
      <c r="E689" s="429"/>
      <c r="F689" s="429"/>
    </row>
    <row r="690" ht="15.75" customHeight="1">
      <c r="C690" s="429"/>
      <c r="D690" s="429"/>
      <c r="E690" s="429"/>
      <c r="F690" s="429"/>
    </row>
    <row r="691" ht="15.75" customHeight="1">
      <c r="C691" s="429"/>
      <c r="D691" s="429"/>
      <c r="E691" s="429"/>
      <c r="F691" s="429"/>
    </row>
    <row r="692" ht="15.75" customHeight="1">
      <c r="C692" s="429"/>
      <c r="D692" s="429"/>
      <c r="E692" s="429"/>
      <c r="F692" s="429"/>
    </row>
    <row r="693" ht="15.75" customHeight="1">
      <c r="C693" s="429"/>
      <c r="D693" s="429"/>
      <c r="E693" s="429"/>
      <c r="F693" s="429"/>
    </row>
    <row r="694" ht="15.75" customHeight="1">
      <c r="C694" s="429"/>
      <c r="D694" s="429"/>
      <c r="E694" s="429"/>
      <c r="F694" s="429"/>
    </row>
    <row r="695" ht="15.75" customHeight="1">
      <c r="C695" s="429"/>
      <c r="D695" s="429"/>
      <c r="E695" s="429"/>
      <c r="F695" s="429"/>
    </row>
    <row r="696" ht="15.75" customHeight="1">
      <c r="C696" s="429"/>
      <c r="D696" s="429"/>
      <c r="E696" s="429"/>
      <c r="F696" s="429"/>
    </row>
    <row r="697" ht="15.75" customHeight="1">
      <c r="C697" s="429"/>
      <c r="D697" s="429"/>
      <c r="E697" s="429"/>
      <c r="F697" s="429"/>
    </row>
    <row r="698" ht="15.75" customHeight="1">
      <c r="C698" s="429"/>
      <c r="D698" s="429"/>
      <c r="E698" s="429"/>
      <c r="F698" s="429"/>
    </row>
    <row r="699" ht="15.75" customHeight="1">
      <c r="C699" s="429"/>
      <c r="D699" s="429"/>
      <c r="E699" s="429"/>
      <c r="F699" s="429"/>
    </row>
    <row r="700" ht="15.75" customHeight="1">
      <c r="C700" s="429"/>
      <c r="D700" s="429"/>
      <c r="E700" s="429"/>
      <c r="F700" s="429"/>
    </row>
    <row r="701" ht="15.75" customHeight="1">
      <c r="C701" s="429"/>
      <c r="D701" s="429"/>
      <c r="E701" s="429"/>
      <c r="F701" s="429"/>
    </row>
    <row r="702" ht="15.75" customHeight="1">
      <c r="C702" s="429"/>
      <c r="D702" s="429"/>
      <c r="E702" s="429"/>
      <c r="F702" s="429"/>
    </row>
    <row r="703" ht="15.75" customHeight="1">
      <c r="C703" s="429"/>
      <c r="D703" s="429"/>
      <c r="E703" s="429"/>
      <c r="F703" s="429"/>
    </row>
    <row r="704" ht="15.75" customHeight="1">
      <c r="C704" s="429"/>
      <c r="D704" s="429"/>
      <c r="E704" s="429"/>
      <c r="F704" s="429"/>
    </row>
    <row r="705" ht="15.75" customHeight="1">
      <c r="C705" s="429"/>
      <c r="D705" s="429"/>
      <c r="E705" s="429"/>
      <c r="F705" s="429"/>
    </row>
    <row r="706" ht="15.75" customHeight="1">
      <c r="C706" s="429"/>
      <c r="D706" s="429"/>
      <c r="E706" s="429"/>
      <c r="F706" s="429"/>
    </row>
    <row r="707" ht="15.75" customHeight="1">
      <c r="C707" s="429"/>
      <c r="D707" s="429"/>
      <c r="E707" s="429"/>
      <c r="F707" s="429"/>
    </row>
    <row r="708" ht="15.75" customHeight="1">
      <c r="C708" s="429"/>
      <c r="D708" s="429"/>
      <c r="E708" s="429"/>
      <c r="F708" s="429"/>
    </row>
    <row r="709" ht="15.75" customHeight="1">
      <c r="C709" s="429"/>
      <c r="D709" s="429"/>
      <c r="E709" s="429"/>
      <c r="F709" s="429"/>
    </row>
    <row r="710" ht="15.75" customHeight="1">
      <c r="C710" s="429"/>
      <c r="D710" s="429"/>
      <c r="E710" s="429"/>
      <c r="F710" s="429"/>
    </row>
    <row r="711" ht="15.75" customHeight="1">
      <c r="C711" s="429"/>
      <c r="D711" s="429"/>
      <c r="E711" s="429"/>
      <c r="F711" s="429"/>
    </row>
    <row r="712" ht="15.75" customHeight="1">
      <c r="C712" s="429"/>
      <c r="D712" s="429"/>
      <c r="E712" s="429"/>
      <c r="F712" s="429"/>
    </row>
    <row r="713" ht="15.75" customHeight="1">
      <c r="C713" s="429"/>
      <c r="D713" s="429"/>
      <c r="E713" s="429"/>
      <c r="F713" s="429"/>
    </row>
    <row r="714" ht="15.75" customHeight="1">
      <c r="C714" s="429"/>
      <c r="D714" s="429"/>
      <c r="E714" s="429"/>
      <c r="F714" s="429"/>
    </row>
    <row r="715" ht="15.75" customHeight="1">
      <c r="C715" s="429"/>
      <c r="D715" s="429"/>
      <c r="E715" s="429"/>
      <c r="F715" s="429"/>
    </row>
    <row r="716" ht="15.75" customHeight="1">
      <c r="C716" s="429"/>
      <c r="D716" s="429"/>
      <c r="E716" s="429"/>
      <c r="F716" s="429"/>
    </row>
    <row r="717" ht="15.75" customHeight="1">
      <c r="C717" s="429"/>
      <c r="D717" s="429"/>
      <c r="E717" s="429"/>
      <c r="F717" s="429"/>
    </row>
    <row r="718" ht="15.75" customHeight="1">
      <c r="C718" s="429"/>
      <c r="D718" s="429"/>
      <c r="E718" s="429"/>
      <c r="F718" s="429"/>
    </row>
    <row r="719" ht="15.75" customHeight="1">
      <c r="C719" s="429"/>
      <c r="D719" s="429"/>
      <c r="E719" s="429"/>
      <c r="F719" s="429"/>
    </row>
    <row r="720" ht="15.75" customHeight="1">
      <c r="C720" s="429"/>
      <c r="D720" s="429"/>
      <c r="E720" s="429"/>
      <c r="F720" s="429"/>
    </row>
    <row r="721" ht="15.75" customHeight="1">
      <c r="C721" s="429"/>
      <c r="D721" s="429"/>
      <c r="E721" s="429"/>
      <c r="F721" s="429"/>
    </row>
    <row r="722" ht="15.75" customHeight="1">
      <c r="C722" s="429"/>
      <c r="D722" s="429"/>
      <c r="E722" s="429"/>
      <c r="F722" s="429"/>
    </row>
    <row r="723" ht="15.75" customHeight="1">
      <c r="C723" s="429"/>
      <c r="D723" s="429"/>
      <c r="E723" s="429"/>
      <c r="F723" s="429"/>
    </row>
    <row r="724" ht="15.75" customHeight="1">
      <c r="C724" s="429"/>
      <c r="D724" s="429"/>
      <c r="E724" s="429"/>
      <c r="F724" s="429"/>
    </row>
    <row r="725" ht="15.75" customHeight="1">
      <c r="C725" s="429"/>
      <c r="D725" s="429"/>
      <c r="E725" s="429"/>
      <c r="F725" s="429"/>
    </row>
    <row r="726" ht="15.75" customHeight="1">
      <c r="C726" s="429"/>
      <c r="D726" s="429"/>
      <c r="E726" s="429"/>
      <c r="F726" s="429"/>
    </row>
    <row r="727" ht="15.75" customHeight="1">
      <c r="C727" s="429"/>
      <c r="D727" s="429"/>
      <c r="E727" s="429"/>
      <c r="F727" s="429"/>
    </row>
    <row r="728" ht="15.75" customHeight="1">
      <c r="C728" s="429"/>
      <c r="D728" s="429"/>
      <c r="E728" s="429"/>
      <c r="F728" s="429"/>
    </row>
    <row r="729" ht="15.75" customHeight="1">
      <c r="C729" s="429"/>
      <c r="D729" s="429"/>
      <c r="E729" s="429"/>
      <c r="F729" s="429"/>
    </row>
    <row r="730" ht="15.75" customHeight="1">
      <c r="C730" s="429"/>
      <c r="D730" s="429"/>
      <c r="E730" s="429"/>
      <c r="F730" s="429"/>
    </row>
    <row r="731" ht="15.75" customHeight="1">
      <c r="C731" s="429"/>
      <c r="D731" s="429"/>
      <c r="E731" s="429"/>
      <c r="F731" s="429"/>
    </row>
    <row r="732" ht="15.75" customHeight="1">
      <c r="C732" s="429"/>
      <c r="D732" s="429"/>
      <c r="E732" s="429"/>
      <c r="F732" s="429"/>
    </row>
    <row r="733" ht="15.75" customHeight="1">
      <c r="C733" s="429"/>
      <c r="D733" s="429"/>
      <c r="E733" s="429"/>
      <c r="F733" s="429"/>
    </row>
    <row r="734" ht="15.75" customHeight="1">
      <c r="C734" s="429"/>
      <c r="D734" s="429"/>
      <c r="E734" s="429"/>
      <c r="F734" s="429"/>
    </row>
    <row r="735" ht="15.75" customHeight="1">
      <c r="C735" s="429"/>
      <c r="D735" s="429"/>
      <c r="E735" s="429"/>
      <c r="F735" s="429"/>
    </row>
    <row r="736" ht="15.75" customHeight="1">
      <c r="C736" s="429"/>
      <c r="D736" s="429"/>
      <c r="E736" s="429"/>
      <c r="F736" s="429"/>
    </row>
    <row r="737" ht="15.75" customHeight="1">
      <c r="C737" s="429"/>
      <c r="D737" s="429"/>
      <c r="E737" s="429"/>
      <c r="F737" s="429"/>
    </row>
    <row r="738" ht="15.75" customHeight="1">
      <c r="C738" s="429"/>
      <c r="D738" s="429"/>
      <c r="E738" s="429"/>
      <c r="F738" s="429"/>
    </row>
    <row r="739" ht="15.75" customHeight="1">
      <c r="C739" s="429"/>
      <c r="D739" s="429"/>
      <c r="E739" s="429"/>
      <c r="F739" s="429"/>
    </row>
    <row r="740" ht="15.75" customHeight="1">
      <c r="C740" s="429"/>
      <c r="D740" s="429"/>
      <c r="E740" s="429"/>
      <c r="F740" s="429"/>
    </row>
    <row r="741" ht="15.75" customHeight="1">
      <c r="C741" s="429"/>
      <c r="D741" s="429"/>
      <c r="E741" s="429"/>
      <c r="F741" s="429"/>
    </row>
    <row r="742" ht="15.75" customHeight="1">
      <c r="C742" s="429"/>
      <c r="D742" s="429"/>
      <c r="E742" s="429"/>
      <c r="F742" s="429"/>
    </row>
    <row r="743" ht="15.75" customHeight="1">
      <c r="C743" s="429"/>
      <c r="D743" s="429"/>
      <c r="E743" s="429"/>
      <c r="F743" s="429"/>
    </row>
    <row r="744" ht="15.75" customHeight="1">
      <c r="C744" s="429"/>
      <c r="D744" s="429"/>
      <c r="E744" s="429"/>
      <c r="F744" s="429"/>
    </row>
    <row r="745" ht="15.75" customHeight="1">
      <c r="C745" s="429"/>
      <c r="D745" s="429"/>
      <c r="E745" s="429"/>
      <c r="F745" s="429"/>
    </row>
    <row r="746" ht="15.75" customHeight="1">
      <c r="C746" s="429"/>
      <c r="D746" s="429"/>
      <c r="E746" s="429"/>
      <c r="F746" s="429"/>
    </row>
    <row r="747" ht="15.75" customHeight="1">
      <c r="C747" s="429"/>
      <c r="D747" s="429"/>
      <c r="E747" s="429"/>
      <c r="F747" s="429"/>
    </row>
    <row r="748" ht="15.75" customHeight="1">
      <c r="C748" s="429"/>
      <c r="D748" s="429"/>
      <c r="E748" s="429"/>
      <c r="F748" s="429"/>
    </row>
    <row r="749" ht="15.75" customHeight="1">
      <c r="C749" s="429"/>
      <c r="D749" s="429"/>
      <c r="E749" s="429"/>
      <c r="F749" s="429"/>
    </row>
    <row r="750" ht="15.75" customHeight="1">
      <c r="C750" s="429"/>
      <c r="D750" s="429"/>
      <c r="E750" s="429"/>
      <c r="F750" s="429"/>
    </row>
    <row r="751" ht="15.75" customHeight="1">
      <c r="C751" s="429"/>
      <c r="D751" s="429"/>
      <c r="E751" s="429"/>
      <c r="F751" s="429"/>
    </row>
    <row r="752" ht="15.75" customHeight="1">
      <c r="C752" s="429"/>
      <c r="D752" s="429"/>
      <c r="E752" s="429"/>
      <c r="F752" s="429"/>
    </row>
    <row r="753" ht="15.75" customHeight="1">
      <c r="C753" s="429"/>
      <c r="D753" s="429"/>
      <c r="E753" s="429"/>
      <c r="F753" s="429"/>
    </row>
    <row r="754" ht="15.75" customHeight="1">
      <c r="C754" s="429"/>
      <c r="D754" s="429"/>
      <c r="E754" s="429"/>
      <c r="F754" s="429"/>
    </row>
    <row r="755" ht="15.75" customHeight="1">
      <c r="C755" s="429"/>
      <c r="D755" s="429"/>
      <c r="E755" s="429"/>
      <c r="F755" s="429"/>
    </row>
    <row r="756" ht="15.75" customHeight="1">
      <c r="C756" s="429"/>
      <c r="D756" s="429"/>
      <c r="E756" s="429"/>
      <c r="F756" s="429"/>
    </row>
    <row r="757" ht="15.75" customHeight="1">
      <c r="C757" s="429"/>
      <c r="D757" s="429"/>
      <c r="E757" s="429"/>
      <c r="F757" s="429"/>
    </row>
    <row r="758" ht="15.75" customHeight="1">
      <c r="C758" s="429"/>
      <c r="D758" s="429"/>
      <c r="E758" s="429"/>
      <c r="F758" s="429"/>
    </row>
    <row r="759" ht="15.75" customHeight="1">
      <c r="C759" s="429"/>
      <c r="D759" s="429"/>
      <c r="E759" s="429"/>
      <c r="F759" s="429"/>
    </row>
    <row r="760" ht="15.75" customHeight="1">
      <c r="C760" s="429"/>
      <c r="D760" s="429"/>
      <c r="E760" s="429"/>
      <c r="F760" s="429"/>
    </row>
    <row r="761" ht="15.75" customHeight="1">
      <c r="C761" s="429"/>
      <c r="D761" s="429"/>
      <c r="E761" s="429"/>
      <c r="F761" s="429"/>
    </row>
    <row r="762" ht="15.75" customHeight="1">
      <c r="C762" s="429"/>
      <c r="D762" s="429"/>
      <c r="E762" s="429"/>
      <c r="F762" s="429"/>
    </row>
    <row r="763" ht="15.75" customHeight="1">
      <c r="C763" s="429"/>
      <c r="D763" s="429"/>
      <c r="E763" s="429"/>
      <c r="F763" s="429"/>
    </row>
    <row r="764" ht="15.75" customHeight="1">
      <c r="C764" s="429"/>
      <c r="D764" s="429"/>
      <c r="E764" s="429"/>
      <c r="F764" s="429"/>
    </row>
    <row r="765" ht="15.75" customHeight="1">
      <c r="C765" s="429"/>
      <c r="D765" s="429"/>
      <c r="E765" s="429"/>
      <c r="F765" s="429"/>
    </row>
    <row r="766" ht="15.75" customHeight="1">
      <c r="C766" s="429"/>
      <c r="D766" s="429"/>
      <c r="E766" s="429"/>
      <c r="F766" s="429"/>
    </row>
    <row r="767" ht="15.75" customHeight="1">
      <c r="C767" s="429"/>
      <c r="D767" s="429"/>
      <c r="E767" s="429"/>
      <c r="F767" s="429"/>
    </row>
    <row r="768" ht="15.75" customHeight="1">
      <c r="C768" s="429"/>
      <c r="D768" s="429"/>
      <c r="E768" s="429"/>
      <c r="F768" s="429"/>
    </row>
    <row r="769" ht="15.75" customHeight="1">
      <c r="C769" s="429"/>
      <c r="D769" s="429"/>
      <c r="E769" s="429"/>
      <c r="F769" s="429"/>
    </row>
    <row r="770" ht="15.75" customHeight="1">
      <c r="C770" s="429"/>
      <c r="D770" s="429"/>
      <c r="E770" s="429"/>
      <c r="F770" s="429"/>
    </row>
    <row r="771" ht="15.75" customHeight="1">
      <c r="C771" s="429"/>
      <c r="D771" s="429"/>
      <c r="E771" s="429"/>
      <c r="F771" s="429"/>
    </row>
    <row r="772" ht="15.75" customHeight="1">
      <c r="C772" s="429"/>
      <c r="D772" s="429"/>
      <c r="E772" s="429"/>
      <c r="F772" s="429"/>
    </row>
    <row r="773" ht="15.75" customHeight="1">
      <c r="C773" s="429"/>
      <c r="D773" s="429"/>
      <c r="E773" s="429"/>
      <c r="F773" s="429"/>
    </row>
    <row r="774" ht="15.75" customHeight="1">
      <c r="C774" s="429"/>
      <c r="D774" s="429"/>
      <c r="E774" s="429"/>
      <c r="F774" s="429"/>
    </row>
    <row r="775" ht="15.75" customHeight="1">
      <c r="C775" s="429"/>
      <c r="D775" s="429"/>
      <c r="E775" s="429"/>
      <c r="F775" s="429"/>
    </row>
    <row r="776" ht="15.75" customHeight="1">
      <c r="C776" s="429"/>
      <c r="D776" s="429"/>
      <c r="E776" s="429"/>
      <c r="F776" s="429"/>
    </row>
    <row r="777" ht="15.75" customHeight="1">
      <c r="C777" s="429"/>
      <c r="D777" s="429"/>
      <c r="E777" s="429"/>
      <c r="F777" s="429"/>
    </row>
    <row r="778" ht="15.75" customHeight="1">
      <c r="C778" s="429"/>
      <c r="D778" s="429"/>
      <c r="E778" s="429"/>
      <c r="F778" s="429"/>
    </row>
    <row r="779" ht="15.75" customHeight="1">
      <c r="C779" s="429"/>
      <c r="D779" s="429"/>
      <c r="E779" s="429"/>
      <c r="F779" s="429"/>
    </row>
    <row r="780" ht="15.75" customHeight="1">
      <c r="C780" s="429"/>
      <c r="D780" s="429"/>
      <c r="E780" s="429"/>
      <c r="F780" s="429"/>
    </row>
    <row r="781" ht="15.75" customHeight="1">
      <c r="C781" s="429"/>
      <c r="D781" s="429"/>
      <c r="E781" s="429"/>
      <c r="F781" s="429"/>
    </row>
    <row r="782" ht="15.75" customHeight="1">
      <c r="C782" s="429"/>
      <c r="D782" s="429"/>
      <c r="E782" s="429"/>
      <c r="F782" s="429"/>
    </row>
    <row r="783" ht="15.75" customHeight="1">
      <c r="C783" s="429"/>
      <c r="D783" s="429"/>
      <c r="E783" s="429"/>
      <c r="F783" s="429"/>
    </row>
    <row r="784" ht="15.75" customHeight="1">
      <c r="C784" s="429"/>
      <c r="D784" s="429"/>
      <c r="E784" s="429"/>
      <c r="F784" s="429"/>
    </row>
    <row r="785" ht="15.75" customHeight="1">
      <c r="C785" s="429"/>
      <c r="D785" s="429"/>
      <c r="E785" s="429"/>
      <c r="F785" s="429"/>
    </row>
    <row r="786" ht="15.75" customHeight="1">
      <c r="C786" s="429"/>
      <c r="D786" s="429"/>
      <c r="E786" s="429"/>
      <c r="F786" s="429"/>
    </row>
    <row r="787" ht="15.75" customHeight="1">
      <c r="C787" s="429"/>
      <c r="D787" s="429"/>
      <c r="E787" s="429"/>
      <c r="F787" s="429"/>
    </row>
    <row r="788" ht="15.75" customHeight="1">
      <c r="C788" s="429"/>
      <c r="D788" s="429"/>
      <c r="E788" s="429"/>
      <c r="F788" s="429"/>
    </row>
    <row r="789" ht="15.75" customHeight="1">
      <c r="C789" s="429"/>
      <c r="D789" s="429"/>
      <c r="E789" s="429"/>
      <c r="F789" s="429"/>
    </row>
    <row r="790" ht="15.75" customHeight="1">
      <c r="C790" s="429"/>
      <c r="D790" s="429"/>
      <c r="E790" s="429"/>
      <c r="F790" s="429"/>
    </row>
    <row r="791" ht="15.75" customHeight="1">
      <c r="C791" s="429"/>
      <c r="D791" s="429"/>
      <c r="E791" s="429"/>
      <c r="F791" s="429"/>
    </row>
    <row r="792" ht="15.75" customHeight="1">
      <c r="C792" s="429"/>
      <c r="D792" s="429"/>
      <c r="E792" s="429"/>
      <c r="F792" s="429"/>
    </row>
    <row r="793" ht="15.75" customHeight="1">
      <c r="C793" s="429"/>
      <c r="D793" s="429"/>
      <c r="E793" s="429"/>
      <c r="F793" s="429"/>
    </row>
    <row r="794" ht="15.75" customHeight="1">
      <c r="C794" s="429"/>
      <c r="D794" s="429"/>
      <c r="E794" s="429"/>
      <c r="F794" s="429"/>
    </row>
    <row r="795" ht="15.75" customHeight="1">
      <c r="C795" s="429"/>
      <c r="D795" s="429"/>
      <c r="E795" s="429"/>
      <c r="F795" s="429"/>
    </row>
    <row r="796" ht="15.75" customHeight="1">
      <c r="C796" s="429"/>
      <c r="D796" s="429"/>
      <c r="E796" s="429"/>
      <c r="F796" s="429"/>
    </row>
    <row r="797" ht="15.75" customHeight="1">
      <c r="C797" s="429"/>
      <c r="D797" s="429"/>
      <c r="E797" s="429"/>
      <c r="F797" s="429"/>
    </row>
    <row r="798" ht="15.75" customHeight="1">
      <c r="C798" s="429"/>
      <c r="D798" s="429"/>
      <c r="E798" s="429"/>
      <c r="F798" s="429"/>
    </row>
    <row r="799" ht="15.75" customHeight="1">
      <c r="C799" s="429"/>
      <c r="D799" s="429"/>
      <c r="E799" s="429"/>
      <c r="F799" s="429"/>
    </row>
    <row r="800" ht="15.75" customHeight="1">
      <c r="C800" s="429"/>
      <c r="D800" s="429"/>
      <c r="E800" s="429"/>
      <c r="F800" s="429"/>
    </row>
    <row r="801" ht="15.75" customHeight="1">
      <c r="C801" s="429"/>
      <c r="D801" s="429"/>
      <c r="E801" s="429"/>
      <c r="F801" s="429"/>
    </row>
    <row r="802" ht="15.75" customHeight="1">
      <c r="C802" s="429"/>
      <c r="D802" s="429"/>
      <c r="E802" s="429"/>
      <c r="F802" s="429"/>
    </row>
    <row r="803" ht="15.75" customHeight="1">
      <c r="C803" s="429"/>
      <c r="D803" s="429"/>
      <c r="E803" s="429"/>
      <c r="F803" s="429"/>
    </row>
    <row r="804" ht="15.75" customHeight="1">
      <c r="C804" s="429"/>
      <c r="D804" s="429"/>
      <c r="E804" s="429"/>
      <c r="F804" s="429"/>
    </row>
    <row r="805" ht="15.75" customHeight="1">
      <c r="C805" s="429"/>
      <c r="D805" s="429"/>
      <c r="E805" s="429"/>
      <c r="F805" s="429"/>
    </row>
    <row r="806" ht="15.75" customHeight="1">
      <c r="C806" s="429"/>
      <c r="D806" s="429"/>
      <c r="E806" s="429"/>
      <c r="F806" s="429"/>
    </row>
    <row r="807" ht="15.75" customHeight="1">
      <c r="C807" s="429"/>
      <c r="D807" s="429"/>
      <c r="E807" s="429"/>
      <c r="F807" s="429"/>
    </row>
    <row r="808" ht="15.75" customHeight="1">
      <c r="C808" s="429"/>
      <c r="D808" s="429"/>
      <c r="E808" s="429"/>
      <c r="F808" s="429"/>
    </row>
    <row r="809" ht="15.75" customHeight="1">
      <c r="C809" s="429"/>
      <c r="D809" s="429"/>
      <c r="E809" s="429"/>
      <c r="F809" s="429"/>
    </row>
    <row r="810" ht="15.75" customHeight="1">
      <c r="C810" s="429"/>
      <c r="D810" s="429"/>
      <c r="E810" s="429"/>
      <c r="F810" s="429"/>
    </row>
    <row r="811" ht="15.75" customHeight="1">
      <c r="C811" s="429"/>
      <c r="D811" s="429"/>
      <c r="E811" s="429"/>
      <c r="F811" s="429"/>
    </row>
    <row r="812" ht="15.75" customHeight="1">
      <c r="C812" s="429"/>
      <c r="D812" s="429"/>
      <c r="E812" s="429"/>
      <c r="F812" s="429"/>
    </row>
    <row r="813" ht="15.75" customHeight="1">
      <c r="C813" s="429"/>
      <c r="D813" s="429"/>
      <c r="E813" s="429"/>
      <c r="F813" s="429"/>
    </row>
    <row r="814" ht="15.75" customHeight="1">
      <c r="C814" s="429"/>
      <c r="D814" s="429"/>
      <c r="E814" s="429"/>
      <c r="F814" s="429"/>
    </row>
    <row r="815" ht="15.75" customHeight="1">
      <c r="C815" s="429"/>
      <c r="D815" s="429"/>
      <c r="E815" s="429"/>
      <c r="F815" s="429"/>
    </row>
    <row r="816" ht="15.75" customHeight="1">
      <c r="C816" s="429"/>
      <c r="D816" s="429"/>
      <c r="E816" s="429"/>
      <c r="F816" s="429"/>
    </row>
    <row r="817" ht="15.75" customHeight="1">
      <c r="C817" s="429"/>
      <c r="D817" s="429"/>
      <c r="E817" s="429"/>
      <c r="F817" s="429"/>
    </row>
    <row r="818" ht="15.75" customHeight="1">
      <c r="C818" s="429"/>
      <c r="D818" s="429"/>
      <c r="E818" s="429"/>
      <c r="F818" s="429"/>
    </row>
    <row r="819" ht="15.75" customHeight="1">
      <c r="C819" s="429"/>
      <c r="D819" s="429"/>
      <c r="E819" s="429"/>
      <c r="F819" s="429"/>
    </row>
    <row r="820" ht="15.75" customHeight="1">
      <c r="C820" s="429"/>
      <c r="D820" s="429"/>
      <c r="E820" s="429"/>
      <c r="F820" s="429"/>
    </row>
    <row r="821" ht="15.75" customHeight="1">
      <c r="C821" s="429"/>
      <c r="D821" s="429"/>
      <c r="E821" s="429"/>
      <c r="F821" s="429"/>
    </row>
    <row r="822" ht="15.75" customHeight="1">
      <c r="C822" s="429"/>
      <c r="D822" s="429"/>
      <c r="E822" s="429"/>
      <c r="F822" s="429"/>
    </row>
    <row r="823" ht="15.75" customHeight="1">
      <c r="C823" s="429"/>
      <c r="D823" s="429"/>
      <c r="E823" s="429"/>
      <c r="F823" s="429"/>
    </row>
    <row r="824" ht="15.75" customHeight="1">
      <c r="C824" s="429"/>
      <c r="D824" s="429"/>
      <c r="E824" s="429"/>
      <c r="F824" s="429"/>
    </row>
    <row r="825" ht="15.75" customHeight="1">
      <c r="C825" s="429"/>
      <c r="D825" s="429"/>
      <c r="E825" s="429"/>
      <c r="F825" s="429"/>
    </row>
    <row r="826" ht="15.75" customHeight="1">
      <c r="C826" s="429"/>
      <c r="D826" s="429"/>
      <c r="E826" s="429"/>
      <c r="F826" s="429"/>
    </row>
    <row r="827" ht="15.75" customHeight="1">
      <c r="C827" s="429"/>
      <c r="D827" s="429"/>
      <c r="E827" s="429"/>
      <c r="F827" s="429"/>
    </row>
    <row r="828" ht="15.75" customHeight="1">
      <c r="C828" s="429"/>
      <c r="D828" s="429"/>
      <c r="E828" s="429"/>
      <c r="F828" s="429"/>
    </row>
    <row r="829" ht="15.75" customHeight="1">
      <c r="C829" s="429"/>
      <c r="D829" s="429"/>
      <c r="E829" s="429"/>
      <c r="F829" s="429"/>
    </row>
    <row r="830" ht="15.75" customHeight="1">
      <c r="C830" s="429"/>
      <c r="D830" s="429"/>
      <c r="E830" s="429"/>
      <c r="F830" s="429"/>
    </row>
    <row r="831" ht="15.75" customHeight="1">
      <c r="C831" s="429"/>
      <c r="D831" s="429"/>
      <c r="E831" s="429"/>
      <c r="F831" s="429"/>
    </row>
    <row r="832" ht="15.75" customHeight="1">
      <c r="C832" s="429"/>
      <c r="D832" s="429"/>
      <c r="E832" s="429"/>
      <c r="F832" s="429"/>
    </row>
    <row r="833" ht="15.75" customHeight="1">
      <c r="C833" s="429"/>
      <c r="D833" s="429"/>
      <c r="E833" s="429"/>
      <c r="F833" s="429"/>
    </row>
    <row r="834" ht="15.75" customHeight="1">
      <c r="C834" s="429"/>
      <c r="D834" s="429"/>
      <c r="E834" s="429"/>
      <c r="F834" s="429"/>
    </row>
    <row r="835" ht="15.75" customHeight="1">
      <c r="C835" s="429"/>
      <c r="D835" s="429"/>
      <c r="E835" s="429"/>
      <c r="F835" s="429"/>
    </row>
    <row r="836" ht="15.75" customHeight="1">
      <c r="C836" s="429"/>
      <c r="D836" s="429"/>
      <c r="E836" s="429"/>
      <c r="F836" s="429"/>
    </row>
    <row r="837" ht="15.75" customHeight="1">
      <c r="C837" s="429"/>
      <c r="D837" s="429"/>
      <c r="E837" s="429"/>
      <c r="F837" s="429"/>
    </row>
    <row r="838" ht="15.75" customHeight="1">
      <c r="C838" s="429"/>
      <c r="D838" s="429"/>
      <c r="E838" s="429"/>
      <c r="F838" s="429"/>
    </row>
    <row r="839" ht="15.75" customHeight="1">
      <c r="C839" s="429"/>
      <c r="D839" s="429"/>
      <c r="E839" s="429"/>
      <c r="F839" s="429"/>
    </row>
    <row r="840" ht="15.75" customHeight="1">
      <c r="C840" s="429"/>
      <c r="D840" s="429"/>
      <c r="E840" s="429"/>
      <c r="F840" s="429"/>
    </row>
    <row r="841" ht="15.75" customHeight="1">
      <c r="C841" s="429"/>
      <c r="D841" s="429"/>
      <c r="E841" s="429"/>
      <c r="F841" s="429"/>
    </row>
    <row r="842" ht="15.75" customHeight="1">
      <c r="C842" s="429"/>
      <c r="D842" s="429"/>
      <c r="E842" s="429"/>
      <c r="F842" s="429"/>
    </row>
    <row r="843" ht="15.75" customHeight="1">
      <c r="C843" s="429"/>
      <c r="D843" s="429"/>
      <c r="E843" s="429"/>
      <c r="F843" s="429"/>
    </row>
    <row r="844" ht="15.75" customHeight="1">
      <c r="C844" s="429"/>
      <c r="D844" s="429"/>
      <c r="E844" s="429"/>
      <c r="F844" s="429"/>
    </row>
    <row r="845" ht="15.75" customHeight="1">
      <c r="C845" s="429"/>
      <c r="D845" s="429"/>
      <c r="E845" s="429"/>
      <c r="F845" s="429"/>
    </row>
    <row r="846" ht="15.75" customHeight="1">
      <c r="C846" s="429"/>
      <c r="D846" s="429"/>
      <c r="E846" s="429"/>
      <c r="F846" s="429"/>
    </row>
    <row r="847" ht="15.75" customHeight="1">
      <c r="C847" s="429"/>
      <c r="D847" s="429"/>
      <c r="E847" s="429"/>
      <c r="F847" s="429"/>
    </row>
    <row r="848" ht="15.75" customHeight="1">
      <c r="C848" s="429"/>
      <c r="D848" s="429"/>
      <c r="E848" s="429"/>
      <c r="F848" s="429"/>
    </row>
    <row r="849" ht="15.75" customHeight="1">
      <c r="C849" s="429"/>
      <c r="D849" s="429"/>
      <c r="E849" s="429"/>
      <c r="F849" s="429"/>
    </row>
    <row r="850" ht="15.75" customHeight="1">
      <c r="C850" s="429"/>
      <c r="D850" s="429"/>
      <c r="E850" s="429"/>
      <c r="F850" s="429"/>
    </row>
    <row r="851" ht="15.75" customHeight="1">
      <c r="C851" s="429"/>
      <c r="D851" s="429"/>
      <c r="E851" s="429"/>
      <c r="F851" s="429"/>
    </row>
    <row r="852" ht="15.75" customHeight="1">
      <c r="C852" s="429"/>
      <c r="D852" s="429"/>
      <c r="E852" s="429"/>
      <c r="F852" s="429"/>
    </row>
    <row r="853" ht="15.75" customHeight="1">
      <c r="C853" s="429"/>
      <c r="D853" s="429"/>
      <c r="E853" s="429"/>
      <c r="F853" s="429"/>
    </row>
    <row r="854" ht="15.75" customHeight="1">
      <c r="C854" s="429"/>
      <c r="D854" s="429"/>
      <c r="E854" s="429"/>
      <c r="F854" s="429"/>
    </row>
    <row r="855" ht="15.75" customHeight="1">
      <c r="C855" s="429"/>
      <c r="D855" s="429"/>
      <c r="E855" s="429"/>
      <c r="F855" s="429"/>
    </row>
    <row r="856" ht="15.75" customHeight="1">
      <c r="C856" s="429"/>
      <c r="D856" s="429"/>
      <c r="E856" s="429"/>
      <c r="F856" s="429"/>
    </row>
    <row r="857" ht="15.75" customHeight="1">
      <c r="C857" s="429"/>
      <c r="D857" s="429"/>
      <c r="E857" s="429"/>
      <c r="F857" s="429"/>
    </row>
    <row r="858" ht="15.75" customHeight="1">
      <c r="C858" s="429"/>
      <c r="D858" s="429"/>
      <c r="E858" s="429"/>
      <c r="F858" s="429"/>
    </row>
    <row r="859" ht="15.75" customHeight="1">
      <c r="C859" s="429"/>
      <c r="D859" s="429"/>
      <c r="E859" s="429"/>
      <c r="F859" s="429"/>
    </row>
    <row r="860" ht="15.75" customHeight="1">
      <c r="C860" s="429"/>
      <c r="D860" s="429"/>
      <c r="E860" s="429"/>
      <c r="F860" s="429"/>
    </row>
    <row r="861" ht="15.75" customHeight="1">
      <c r="C861" s="429"/>
      <c r="D861" s="429"/>
      <c r="E861" s="429"/>
      <c r="F861" s="429"/>
    </row>
    <row r="862" ht="15.75" customHeight="1">
      <c r="C862" s="429"/>
      <c r="D862" s="429"/>
      <c r="E862" s="429"/>
      <c r="F862" s="429"/>
    </row>
    <row r="863" ht="15.75" customHeight="1">
      <c r="C863" s="429"/>
      <c r="D863" s="429"/>
      <c r="E863" s="429"/>
      <c r="F863" s="429"/>
    </row>
    <row r="864" ht="15.75" customHeight="1">
      <c r="C864" s="429"/>
      <c r="D864" s="429"/>
      <c r="E864" s="429"/>
      <c r="F864" s="429"/>
    </row>
    <row r="865" ht="15.75" customHeight="1">
      <c r="C865" s="429"/>
      <c r="D865" s="429"/>
      <c r="E865" s="429"/>
      <c r="F865" s="429"/>
    </row>
    <row r="866" ht="15.75" customHeight="1">
      <c r="C866" s="429"/>
      <c r="D866" s="429"/>
      <c r="E866" s="429"/>
      <c r="F866" s="429"/>
    </row>
    <row r="867" ht="15.75" customHeight="1">
      <c r="C867" s="429"/>
      <c r="D867" s="429"/>
      <c r="E867" s="429"/>
      <c r="F867" s="429"/>
    </row>
    <row r="868" ht="15.75" customHeight="1">
      <c r="C868" s="429"/>
      <c r="D868" s="429"/>
      <c r="E868" s="429"/>
      <c r="F868" s="429"/>
    </row>
    <row r="869" ht="15.75" customHeight="1">
      <c r="C869" s="429"/>
      <c r="D869" s="429"/>
      <c r="E869" s="429"/>
      <c r="F869" s="429"/>
    </row>
    <row r="870" ht="15.75" customHeight="1">
      <c r="C870" s="429"/>
      <c r="D870" s="429"/>
      <c r="E870" s="429"/>
      <c r="F870" s="429"/>
    </row>
    <row r="871" ht="15.75" customHeight="1">
      <c r="C871" s="429"/>
      <c r="D871" s="429"/>
      <c r="E871" s="429"/>
      <c r="F871" s="429"/>
    </row>
    <row r="872" ht="15.75" customHeight="1">
      <c r="C872" s="429"/>
      <c r="D872" s="429"/>
      <c r="E872" s="429"/>
      <c r="F872" s="429"/>
    </row>
    <row r="873" ht="15.75" customHeight="1">
      <c r="C873" s="429"/>
      <c r="D873" s="429"/>
      <c r="E873" s="429"/>
      <c r="F873" s="429"/>
    </row>
    <row r="874" ht="15.75" customHeight="1">
      <c r="C874" s="429"/>
      <c r="D874" s="429"/>
      <c r="E874" s="429"/>
      <c r="F874" s="429"/>
    </row>
    <row r="875" ht="15.75" customHeight="1">
      <c r="C875" s="429"/>
      <c r="D875" s="429"/>
      <c r="E875" s="429"/>
      <c r="F875" s="429"/>
    </row>
    <row r="876" ht="15.75" customHeight="1">
      <c r="C876" s="429"/>
      <c r="D876" s="429"/>
      <c r="E876" s="429"/>
      <c r="F876" s="429"/>
    </row>
    <row r="877" ht="15.75" customHeight="1">
      <c r="C877" s="429"/>
      <c r="D877" s="429"/>
      <c r="E877" s="429"/>
      <c r="F877" s="429"/>
    </row>
    <row r="878" ht="15.75" customHeight="1">
      <c r="C878" s="429"/>
      <c r="D878" s="429"/>
      <c r="E878" s="429"/>
      <c r="F878" s="429"/>
    </row>
    <row r="879" ht="15.75" customHeight="1">
      <c r="C879" s="429"/>
      <c r="D879" s="429"/>
      <c r="E879" s="429"/>
      <c r="F879" s="429"/>
    </row>
    <row r="880" ht="15.75" customHeight="1">
      <c r="C880" s="429"/>
      <c r="D880" s="429"/>
      <c r="E880" s="429"/>
      <c r="F880" s="429"/>
    </row>
    <row r="881" ht="15.75" customHeight="1">
      <c r="C881" s="429"/>
      <c r="D881" s="429"/>
      <c r="E881" s="429"/>
      <c r="F881" s="429"/>
    </row>
    <row r="882" ht="15.75" customHeight="1">
      <c r="C882" s="429"/>
      <c r="D882" s="429"/>
      <c r="E882" s="429"/>
      <c r="F882" s="429"/>
    </row>
    <row r="883" ht="15.75" customHeight="1">
      <c r="C883" s="429"/>
      <c r="D883" s="429"/>
      <c r="E883" s="429"/>
      <c r="F883" s="429"/>
    </row>
    <row r="884" ht="15.75" customHeight="1">
      <c r="C884" s="429"/>
      <c r="D884" s="429"/>
      <c r="E884" s="429"/>
      <c r="F884" s="429"/>
    </row>
    <row r="885" ht="15.75" customHeight="1">
      <c r="C885" s="429"/>
      <c r="D885" s="429"/>
      <c r="E885" s="429"/>
      <c r="F885" s="429"/>
    </row>
    <row r="886" ht="15.75" customHeight="1">
      <c r="C886" s="429"/>
      <c r="D886" s="429"/>
      <c r="E886" s="429"/>
      <c r="F886" s="429"/>
    </row>
    <row r="887" ht="15.75" customHeight="1">
      <c r="C887" s="429"/>
      <c r="D887" s="429"/>
      <c r="E887" s="429"/>
      <c r="F887" s="429"/>
    </row>
    <row r="888" ht="15.75" customHeight="1">
      <c r="C888" s="429"/>
      <c r="D888" s="429"/>
      <c r="E888" s="429"/>
      <c r="F888" s="429"/>
    </row>
    <row r="889" ht="15.75" customHeight="1">
      <c r="C889" s="429"/>
      <c r="D889" s="429"/>
      <c r="E889" s="429"/>
      <c r="F889" s="429"/>
    </row>
    <row r="890" ht="15.75" customHeight="1">
      <c r="C890" s="429"/>
      <c r="D890" s="429"/>
      <c r="E890" s="429"/>
      <c r="F890" s="429"/>
    </row>
    <row r="891" ht="15.75" customHeight="1">
      <c r="C891" s="429"/>
      <c r="D891" s="429"/>
      <c r="E891" s="429"/>
      <c r="F891" s="429"/>
    </row>
    <row r="892" ht="15.75" customHeight="1">
      <c r="C892" s="429"/>
      <c r="D892" s="429"/>
      <c r="E892" s="429"/>
      <c r="F892" s="429"/>
    </row>
    <row r="893" ht="15.75" customHeight="1">
      <c r="C893" s="429"/>
      <c r="D893" s="429"/>
      <c r="E893" s="429"/>
      <c r="F893" s="429"/>
    </row>
    <row r="894" ht="15.75" customHeight="1">
      <c r="C894" s="429"/>
      <c r="D894" s="429"/>
      <c r="E894" s="429"/>
      <c r="F894" s="429"/>
    </row>
    <row r="895" ht="15.75" customHeight="1">
      <c r="C895" s="429"/>
      <c r="D895" s="429"/>
      <c r="E895" s="429"/>
      <c r="F895" s="429"/>
    </row>
    <row r="896" ht="15.75" customHeight="1">
      <c r="C896" s="429"/>
      <c r="D896" s="429"/>
      <c r="E896" s="429"/>
      <c r="F896" s="429"/>
    </row>
    <row r="897" ht="15.75" customHeight="1">
      <c r="C897" s="429"/>
      <c r="D897" s="429"/>
      <c r="E897" s="429"/>
      <c r="F897" s="429"/>
    </row>
    <row r="898" ht="15.75" customHeight="1">
      <c r="C898" s="429"/>
      <c r="D898" s="429"/>
      <c r="E898" s="429"/>
      <c r="F898" s="429"/>
    </row>
    <row r="899" ht="15.75" customHeight="1">
      <c r="C899" s="429"/>
      <c r="D899" s="429"/>
      <c r="E899" s="429"/>
      <c r="F899" s="429"/>
    </row>
    <row r="900" ht="15.75" customHeight="1">
      <c r="C900" s="429"/>
      <c r="D900" s="429"/>
      <c r="E900" s="429"/>
      <c r="F900" s="429"/>
    </row>
    <row r="901" ht="15.75" customHeight="1">
      <c r="C901" s="429"/>
      <c r="D901" s="429"/>
      <c r="E901" s="429"/>
      <c r="F901" s="429"/>
    </row>
    <row r="902" ht="15.75" customHeight="1">
      <c r="C902" s="429"/>
      <c r="D902" s="429"/>
      <c r="E902" s="429"/>
      <c r="F902" s="429"/>
    </row>
    <row r="903" ht="15.75" customHeight="1">
      <c r="C903" s="429"/>
      <c r="D903" s="429"/>
      <c r="E903" s="429"/>
      <c r="F903" s="429"/>
    </row>
    <row r="904" ht="15.75" customHeight="1">
      <c r="C904" s="429"/>
      <c r="D904" s="429"/>
      <c r="E904" s="429"/>
      <c r="F904" s="429"/>
    </row>
    <row r="905" ht="15.75" customHeight="1">
      <c r="C905" s="429"/>
      <c r="D905" s="429"/>
      <c r="E905" s="429"/>
      <c r="F905" s="429"/>
    </row>
    <row r="906" ht="15.75" customHeight="1">
      <c r="C906" s="429"/>
      <c r="D906" s="429"/>
      <c r="E906" s="429"/>
      <c r="F906" s="429"/>
    </row>
    <row r="907" ht="15.75" customHeight="1">
      <c r="C907" s="429"/>
      <c r="D907" s="429"/>
      <c r="E907" s="429"/>
      <c r="F907" s="429"/>
    </row>
    <row r="908" ht="15.75" customHeight="1">
      <c r="C908" s="429"/>
      <c r="D908" s="429"/>
      <c r="E908" s="429"/>
      <c r="F908" s="429"/>
    </row>
    <row r="909" ht="15.75" customHeight="1">
      <c r="C909" s="429"/>
      <c r="D909" s="429"/>
      <c r="E909" s="429"/>
      <c r="F909" s="429"/>
    </row>
    <row r="910" ht="15.75" customHeight="1">
      <c r="C910" s="429"/>
      <c r="D910" s="429"/>
      <c r="E910" s="429"/>
      <c r="F910" s="429"/>
    </row>
    <row r="911" ht="15.75" customHeight="1">
      <c r="C911" s="429"/>
      <c r="D911" s="429"/>
      <c r="E911" s="429"/>
      <c r="F911" s="429"/>
    </row>
    <row r="912" ht="15.75" customHeight="1">
      <c r="C912" s="429"/>
      <c r="D912" s="429"/>
      <c r="E912" s="429"/>
      <c r="F912" s="429"/>
    </row>
    <row r="913" ht="15.75" customHeight="1">
      <c r="C913" s="429"/>
      <c r="D913" s="429"/>
      <c r="E913" s="429"/>
      <c r="F913" s="429"/>
    </row>
    <row r="914" ht="15.75" customHeight="1">
      <c r="C914" s="429"/>
      <c r="D914" s="429"/>
      <c r="E914" s="429"/>
      <c r="F914" s="429"/>
    </row>
    <row r="915" ht="15.75" customHeight="1">
      <c r="C915" s="429"/>
      <c r="D915" s="429"/>
      <c r="E915" s="429"/>
      <c r="F915" s="429"/>
    </row>
    <row r="916" ht="15.75" customHeight="1">
      <c r="C916" s="429"/>
      <c r="D916" s="429"/>
      <c r="E916" s="429"/>
      <c r="F916" s="429"/>
    </row>
    <row r="917" ht="15.75" customHeight="1">
      <c r="C917" s="429"/>
      <c r="D917" s="429"/>
      <c r="E917" s="429"/>
      <c r="F917" s="429"/>
    </row>
    <row r="918" ht="15.75" customHeight="1">
      <c r="C918" s="429"/>
      <c r="D918" s="429"/>
      <c r="E918" s="429"/>
      <c r="F918" s="429"/>
    </row>
    <row r="919" ht="15.75" customHeight="1">
      <c r="C919" s="429"/>
      <c r="D919" s="429"/>
      <c r="E919" s="429"/>
      <c r="F919" s="429"/>
    </row>
    <row r="920" ht="15.75" customHeight="1">
      <c r="C920" s="429"/>
      <c r="D920" s="429"/>
      <c r="E920" s="429"/>
      <c r="F920" s="429"/>
    </row>
    <row r="921" ht="15.75" customHeight="1">
      <c r="C921" s="429"/>
      <c r="D921" s="429"/>
      <c r="E921" s="429"/>
      <c r="F921" s="429"/>
    </row>
    <row r="922" ht="15.75" customHeight="1">
      <c r="C922" s="429"/>
      <c r="D922" s="429"/>
      <c r="E922" s="429"/>
      <c r="F922" s="429"/>
    </row>
    <row r="923" ht="15.75" customHeight="1">
      <c r="C923" s="429"/>
      <c r="D923" s="429"/>
      <c r="E923" s="429"/>
      <c r="F923" s="429"/>
    </row>
    <row r="924" ht="15.75" customHeight="1">
      <c r="C924" s="429"/>
      <c r="D924" s="429"/>
      <c r="E924" s="429"/>
      <c r="F924" s="429"/>
    </row>
    <row r="925" ht="15.75" customHeight="1">
      <c r="C925" s="429"/>
      <c r="D925" s="429"/>
      <c r="E925" s="429"/>
      <c r="F925" s="429"/>
    </row>
    <row r="926" ht="15.75" customHeight="1">
      <c r="C926" s="429"/>
      <c r="D926" s="429"/>
      <c r="E926" s="429"/>
      <c r="F926" s="429"/>
    </row>
    <row r="927" ht="15.75" customHeight="1">
      <c r="C927" s="429"/>
      <c r="D927" s="429"/>
      <c r="E927" s="429"/>
      <c r="F927" s="429"/>
    </row>
    <row r="928" ht="15.75" customHeight="1">
      <c r="C928" s="429"/>
      <c r="D928" s="429"/>
      <c r="E928" s="429"/>
      <c r="F928" s="429"/>
    </row>
    <row r="929" ht="15.75" customHeight="1">
      <c r="C929" s="429"/>
      <c r="D929" s="429"/>
      <c r="E929" s="429"/>
      <c r="F929" s="429"/>
    </row>
    <row r="930" ht="15.75" customHeight="1">
      <c r="C930" s="429"/>
      <c r="D930" s="429"/>
      <c r="E930" s="429"/>
      <c r="F930" s="429"/>
    </row>
    <row r="931" ht="15.75" customHeight="1">
      <c r="C931" s="429"/>
      <c r="D931" s="429"/>
      <c r="E931" s="429"/>
      <c r="F931" s="429"/>
    </row>
    <row r="932" ht="15.75" customHeight="1">
      <c r="C932" s="429"/>
      <c r="D932" s="429"/>
      <c r="E932" s="429"/>
      <c r="F932" s="429"/>
    </row>
    <row r="933" ht="15.75" customHeight="1">
      <c r="C933" s="429"/>
      <c r="D933" s="429"/>
      <c r="E933" s="429"/>
      <c r="F933" s="429"/>
    </row>
    <row r="934" ht="15.75" customHeight="1">
      <c r="C934" s="429"/>
      <c r="D934" s="429"/>
      <c r="E934" s="429"/>
      <c r="F934" s="429"/>
    </row>
    <row r="935" ht="15.75" customHeight="1">
      <c r="C935" s="429"/>
      <c r="D935" s="429"/>
      <c r="E935" s="429"/>
      <c r="F935" s="429"/>
    </row>
    <row r="936" ht="15.75" customHeight="1">
      <c r="C936" s="429"/>
      <c r="D936" s="429"/>
      <c r="E936" s="429"/>
      <c r="F936" s="429"/>
    </row>
    <row r="937" ht="15.75" customHeight="1">
      <c r="C937" s="429"/>
      <c r="D937" s="429"/>
      <c r="E937" s="429"/>
      <c r="F937" s="429"/>
    </row>
    <row r="938" ht="15.75" customHeight="1">
      <c r="C938" s="429"/>
      <c r="D938" s="429"/>
      <c r="E938" s="429"/>
      <c r="F938" s="429"/>
    </row>
    <row r="939" ht="15.75" customHeight="1">
      <c r="C939" s="429"/>
      <c r="D939" s="429"/>
      <c r="E939" s="429"/>
      <c r="F939" s="429"/>
    </row>
    <row r="940" ht="15.75" customHeight="1">
      <c r="C940" s="429"/>
      <c r="D940" s="429"/>
      <c r="E940" s="429"/>
      <c r="F940" s="429"/>
    </row>
    <row r="941" ht="15.75" customHeight="1">
      <c r="C941" s="429"/>
      <c r="D941" s="429"/>
      <c r="E941" s="429"/>
      <c r="F941" s="429"/>
    </row>
    <row r="942" ht="15.75" customHeight="1">
      <c r="C942" s="429"/>
      <c r="D942" s="429"/>
      <c r="E942" s="429"/>
      <c r="F942" s="429"/>
    </row>
    <row r="943" ht="15.75" customHeight="1">
      <c r="C943" s="429"/>
      <c r="D943" s="429"/>
      <c r="E943" s="429"/>
      <c r="F943" s="429"/>
    </row>
    <row r="944" ht="15.75" customHeight="1">
      <c r="C944" s="429"/>
      <c r="D944" s="429"/>
      <c r="E944" s="429"/>
      <c r="F944" s="429"/>
    </row>
    <row r="945" ht="15.75" customHeight="1">
      <c r="C945" s="429"/>
      <c r="D945" s="429"/>
      <c r="E945" s="429"/>
      <c r="F945" s="429"/>
    </row>
    <row r="946" ht="15.75" customHeight="1">
      <c r="C946" s="429"/>
      <c r="D946" s="429"/>
      <c r="E946" s="429"/>
      <c r="F946" s="429"/>
    </row>
    <row r="947" ht="15.75" customHeight="1">
      <c r="C947" s="429"/>
      <c r="D947" s="429"/>
      <c r="E947" s="429"/>
      <c r="F947" s="429"/>
    </row>
    <row r="948" ht="15.75" customHeight="1">
      <c r="C948" s="429"/>
      <c r="D948" s="429"/>
      <c r="E948" s="429"/>
      <c r="F948" s="429"/>
    </row>
    <row r="949" ht="15.75" customHeight="1">
      <c r="C949" s="429"/>
      <c r="D949" s="429"/>
      <c r="E949" s="429"/>
      <c r="F949" s="429"/>
    </row>
    <row r="950" ht="15.75" customHeight="1">
      <c r="C950" s="429"/>
      <c r="D950" s="429"/>
      <c r="E950" s="429"/>
      <c r="F950" s="429"/>
    </row>
    <row r="951" ht="15.75" customHeight="1">
      <c r="C951" s="429"/>
      <c r="D951" s="429"/>
      <c r="E951" s="429"/>
      <c r="F951" s="429"/>
    </row>
    <row r="952" ht="15.75" customHeight="1">
      <c r="C952" s="429"/>
      <c r="D952" s="429"/>
      <c r="E952" s="429"/>
      <c r="F952" s="429"/>
    </row>
    <row r="953" ht="15.75" customHeight="1">
      <c r="C953" s="429"/>
      <c r="D953" s="429"/>
      <c r="E953" s="429"/>
      <c r="F953" s="429"/>
    </row>
    <row r="954" ht="15.75" customHeight="1">
      <c r="C954" s="429"/>
      <c r="D954" s="429"/>
      <c r="E954" s="429"/>
      <c r="F954" s="429"/>
    </row>
    <row r="955" ht="15.75" customHeight="1">
      <c r="C955" s="429"/>
      <c r="D955" s="429"/>
      <c r="E955" s="429"/>
      <c r="F955" s="429"/>
    </row>
    <row r="956" ht="15.75" customHeight="1">
      <c r="C956" s="429"/>
      <c r="D956" s="429"/>
      <c r="E956" s="429"/>
      <c r="F956" s="429"/>
    </row>
    <row r="957" ht="15.75" customHeight="1">
      <c r="C957" s="429"/>
      <c r="D957" s="429"/>
      <c r="E957" s="429"/>
      <c r="F957" s="429"/>
    </row>
    <row r="958" ht="15.75" customHeight="1">
      <c r="C958" s="429"/>
      <c r="D958" s="429"/>
      <c r="E958" s="429"/>
      <c r="F958" s="429"/>
    </row>
    <row r="959" ht="15.75" customHeight="1">
      <c r="C959" s="429"/>
      <c r="D959" s="429"/>
      <c r="E959" s="429"/>
      <c r="F959" s="429"/>
    </row>
    <row r="960" ht="15.75" customHeight="1">
      <c r="C960" s="429"/>
      <c r="D960" s="429"/>
      <c r="E960" s="429"/>
      <c r="F960" s="429"/>
    </row>
    <row r="961" ht="15.75" customHeight="1">
      <c r="C961" s="429"/>
      <c r="D961" s="429"/>
      <c r="E961" s="429"/>
      <c r="F961" s="429"/>
    </row>
    <row r="962" ht="15.75" customHeight="1">
      <c r="C962" s="429"/>
      <c r="D962" s="429"/>
      <c r="E962" s="429"/>
      <c r="F962" s="429"/>
    </row>
    <row r="963" ht="15.75" customHeight="1">
      <c r="C963" s="429"/>
      <c r="D963" s="429"/>
      <c r="E963" s="429"/>
      <c r="F963" s="429"/>
    </row>
    <row r="964" ht="15.75" customHeight="1">
      <c r="C964" s="429"/>
      <c r="D964" s="429"/>
      <c r="E964" s="429"/>
      <c r="F964" s="429"/>
    </row>
    <row r="965" ht="15.75" customHeight="1">
      <c r="C965" s="429"/>
      <c r="D965" s="429"/>
      <c r="E965" s="429"/>
      <c r="F965" s="429"/>
    </row>
    <row r="966" ht="15.75" customHeight="1">
      <c r="C966" s="429"/>
      <c r="D966" s="429"/>
      <c r="E966" s="429"/>
      <c r="F966" s="429"/>
    </row>
    <row r="967" ht="15.75" customHeight="1">
      <c r="C967" s="429"/>
      <c r="D967" s="429"/>
      <c r="E967" s="429"/>
      <c r="F967" s="429"/>
    </row>
    <row r="968" ht="15.75" customHeight="1">
      <c r="C968" s="429"/>
      <c r="D968" s="429"/>
      <c r="E968" s="429"/>
      <c r="F968" s="429"/>
    </row>
    <row r="969" ht="15.75" customHeight="1">
      <c r="C969" s="429"/>
      <c r="D969" s="429"/>
      <c r="E969" s="429"/>
      <c r="F969" s="429"/>
    </row>
    <row r="970" ht="15.75" customHeight="1">
      <c r="C970" s="429"/>
      <c r="D970" s="429"/>
      <c r="E970" s="429"/>
      <c r="F970" s="429"/>
    </row>
    <row r="971" ht="15.75" customHeight="1">
      <c r="C971" s="429"/>
      <c r="D971" s="429"/>
      <c r="E971" s="429"/>
      <c r="F971" s="429"/>
    </row>
    <row r="972" ht="15.75" customHeight="1">
      <c r="C972" s="429"/>
      <c r="D972" s="429"/>
      <c r="E972" s="429"/>
      <c r="F972" s="429"/>
    </row>
    <row r="973" ht="15.75" customHeight="1">
      <c r="C973" s="429"/>
      <c r="D973" s="429"/>
      <c r="E973" s="429"/>
      <c r="F973" s="429"/>
    </row>
    <row r="974" ht="15.75" customHeight="1">
      <c r="C974" s="429"/>
      <c r="D974" s="429"/>
      <c r="E974" s="429"/>
      <c r="F974" s="429"/>
    </row>
    <row r="975" ht="15.75" customHeight="1">
      <c r="C975" s="429"/>
      <c r="D975" s="429"/>
      <c r="E975" s="429"/>
      <c r="F975" s="429"/>
    </row>
    <row r="976" ht="15.75" customHeight="1">
      <c r="C976" s="429"/>
      <c r="D976" s="429"/>
      <c r="E976" s="429"/>
      <c r="F976" s="429"/>
    </row>
    <row r="977" ht="15.75" customHeight="1">
      <c r="C977" s="429"/>
      <c r="D977" s="429"/>
      <c r="E977" s="429"/>
      <c r="F977" s="429"/>
    </row>
    <row r="978" ht="15.75" customHeight="1">
      <c r="C978" s="429"/>
      <c r="D978" s="429"/>
      <c r="E978" s="429"/>
      <c r="F978" s="429"/>
    </row>
    <row r="979" ht="15.75" customHeight="1">
      <c r="C979" s="429"/>
      <c r="D979" s="429"/>
      <c r="E979" s="429"/>
      <c r="F979" s="429"/>
    </row>
    <row r="980" ht="15.75" customHeight="1">
      <c r="C980" s="429"/>
      <c r="D980" s="429"/>
      <c r="E980" s="429"/>
      <c r="F980" s="429"/>
    </row>
    <row r="981" ht="15.75" customHeight="1">
      <c r="C981" s="429"/>
      <c r="D981" s="429"/>
      <c r="E981" s="429"/>
      <c r="F981" s="429"/>
    </row>
    <row r="982" ht="15.75" customHeight="1">
      <c r="C982" s="429"/>
      <c r="D982" s="429"/>
      <c r="E982" s="429"/>
      <c r="F982" s="429"/>
    </row>
    <row r="983" ht="15.75" customHeight="1">
      <c r="C983" s="429"/>
      <c r="D983" s="429"/>
      <c r="E983" s="429"/>
      <c r="F983" s="429"/>
    </row>
    <row r="984" ht="15.75" customHeight="1">
      <c r="C984" s="429"/>
      <c r="D984" s="429"/>
      <c r="E984" s="429"/>
      <c r="F984" s="429"/>
    </row>
    <row r="985" ht="15.75" customHeight="1">
      <c r="C985" s="429"/>
      <c r="D985" s="429"/>
      <c r="E985" s="429"/>
      <c r="F985" s="429"/>
    </row>
    <row r="986" ht="15.75" customHeight="1">
      <c r="C986" s="429"/>
      <c r="D986" s="429"/>
      <c r="E986" s="429"/>
      <c r="F986" s="429"/>
    </row>
    <row r="987" ht="15.75" customHeight="1">
      <c r="C987" s="429"/>
      <c r="D987" s="429"/>
      <c r="E987" s="429"/>
      <c r="F987" s="429"/>
    </row>
    <row r="988" ht="15.75" customHeight="1">
      <c r="C988" s="429"/>
      <c r="D988" s="429"/>
      <c r="E988" s="429"/>
      <c r="F988" s="429"/>
    </row>
    <row r="989" ht="15.75" customHeight="1">
      <c r="C989" s="429"/>
      <c r="D989" s="429"/>
      <c r="E989" s="429"/>
      <c r="F989" s="429"/>
    </row>
    <row r="990" ht="15.75" customHeight="1">
      <c r="C990" s="429"/>
      <c r="D990" s="429"/>
      <c r="E990" s="429"/>
      <c r="F990" s="429"/>
    </row>
    <row r="991" ht="15.75" customHeight="1">
      <c r="C991" s="429"/>
      <c r="D991" s="429"/>
      <c r="E991" s="429"/>
      <c r="F991" s="429"/>
    </row>
    <row r="992" ht="15.75" customHeight="1">
      <c r="C992" s="429"/>
      <c r="D992" s="429"/>
      <c r="E992" s="429"/>
      <c r="F992" s="429"/>
    </row>
    <row r="993" ht="15.75" customHeight="1">
      <c r="C993" s="429"/>
      <c r="D993" s="429"/>
      <c r="E993" s="429"/>
      <c r="F993" s="429"/>
    </row>
    <row r="994" ht="15.75" customHeight="1">
      <c r="C994" s="429"/>
      <c r="D994" s="429"/>
      <c r="E994" s="429"/>
      <c r="F994" s="429"/>
    </row>
    <row r="995" ht="15.75" customHeight="1">
      <c r="C995" s="429"/>
      <c r="D995" s="429"/>
      <c r="E995" s="429"/>
      <c r="F995" s="429"/>
    </row>
    <row r="996" ht="15.75" customHeight="1">
      <c r="C996" s="429"/>
      <c r="D996" s="429"/>
      <c r="E996" s="429"/>
      <c r="F996" s="429"/>
    </row>
    <row r="997" ht="15.75" customHeight="1">
      <c r="C997" s="429"/>
      <c r="D997" s="429"/>
      <c r="E997" s="429"/>
      <c r="F997" s="429"/>
    </row>
    <row r="998" ht="15.75" customHeight="1">
      <c r="C998" s="429"/>
      <c r="D998" s="429"/>
      <c r="E998" s="429"/>
      <c r="F998" s="429"/>
    </row>
    <row r="999" ht="15.75" customHeight="1">
      <c r="C999" s="429"/>
      <c r="D999" s="429"/>
      <c r="E999" s="429"/>
      <c r="F999" s="429"/>
    </row>
    <row r="1000" ht="15.75" customHeight="1">
      <c r="C1000" s="429"/>
      <c r="D1000" s="429"/>
      <c r="E1000" s="429"/>
      <c r="F1000" s="429"/>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s>
  <drawing r:id="rId1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7.5"/>
    <col customWidth="1" min="2" max="2" width="14.25"/>
    <col customWidth="1" min="3" max="3" width="22.25"/>
    <col customWidth="1" min="4" max="5" width="3.13"/>
    <col customWidth="1" min="6" max="6" width="54.13"/>
    <col customWidth="1" hidden="1" min="7" max="7" width="5.75"/>
    <col customWidth="1" min="8" max="8" width="8.38"/>
    <col customWidth="1" min="9" max="9" width="15.75"/>
    <col customWidth="1" min="10" max="10" width="6.5"/>
    <col customWidth="1" min="11" max="11" width="6.75"/>
    <col customWidth="1" min="12" max="12" width="5.13"/>
    <col customWidth="1" min="13" max="13" width="6.0"/>
    <col customWidth="1" min="14" max="14" width="9.25"/>
    <col customWidth="1" min="15" max="15" width="6.5"/>
    <col customWidth="1" min="16" max="16" width="6.75"/>
    <col customWidth="1" min="17" max="17" width="5.13"/>
    <col customWidth="1" min="18" max="18" width="6.0"/>
    <col customWidth="1" min="19" max="19" width="9.75"/>
    <col customWidth="1" min="20" max="20" width="6.5"/>
    <col customWidth="1" min="21" max="21" width="6.75"/>
    <col customWidth="1" min="22" max="22" width="5.13"/>
    <col customWidth="1" min="23" max="23" width="6.0"/>
    <col customWidth="1" min="24" max="24" width="23.25"/>
  </cols>
  <sheetData>
    <row r="1">
      <c r="A1" s="430" t="s">
        <v>1954</v>
      </c>
      <c r="B1" s="431" t="s">
        <v>434</v>
      </c>
      <c r="C1" s="432" t="s">
        <v>1418</v>
      </c>
      <c r="D1" s="433" t="s">
        <v>1955</v>
      </c>
      <c r="E1" s="433" t="s">
        <v>1956</v>
      </c>
      <c r="F1" s="432" t="s">
        <v>1957</v>
      </c>
      <c r="G1" s="199" t="s">
        <v>1958</v>
      </c>
      <c r="H1" s="434" t="s">
        <v>1400</v>
      </c>
      <c r="I1" s="435" t="s">
        <v>1959</v>
      </c>
      <c r="J1" s="363"/>
      <c r="K1" s="363"/>
      <c r="L1" s="363"/>
      <c r="M1" s="364"/>
      <c r="N1" s="362" t="s">
        <v>1960</v>
      </c>
      <c r="O1" s="363"/>
      <c r="P1" s="363"/>
      <c r="Q1" s="363"/>
      <c r="R1" s="364"/>
      <c r="S1" s="362" t="s">
        <v>674</v>
      </c>
      <c r="T1" s="363"/>
      <c r="U1" s="363"/>
      <c r="V1" s="363"/>
      <c r="W1" s="364"/>
      <c r="X1" s="9"/>
      <c r="Y1" s="9"/>
      <c r="Z1" s="9"/>
      <c r="AA1" s="9"/>
    </row>
    <row r="2">
      <c r="B2" s="52"/>
      <c r="C2" s="52"/>
      <c r="D2" s="52"/>
      <c r="E2" s="52"/>
      <c r="F2" s="52"/>
      <c r="G2" s="203"/>
      <c r="I2" s="436" t="s">
        <v>9</v>
      </c>
      <c r="J2" s="367" t="s">
        <v>10</v>
      </c>
      <c r="K2" s="373" t="s">
        <v>11</v>
      </c>
      <c r="L2" s="373" t="s">
        <v>12</v>
      </c>
      <c r="M2" s="374" t="s">
        <v>13</v>
      </c>
      <c r="N2" s="372" t="s">
        <v>9</v>
      </c>
      <c r="O2" s="373" t="s">
        <v>10</v>
      </c>
      <c r="P2" s="373" t="s">
        <v>11</v>
      </c>
      <c r="Q2" s="373" t="s">
        <v>12</v>
      </c>
      <c r="R2" s="374" t="s">
        <v>13</v>
      </c>
      <c r="S2" s="372" t="s">
        <v>9</v>
      </c>
      <c r="T2" s="373" t="s">
        <v>10</v>
      </c>
      <c r="U2" s="373" t="s">
        <v>11</v>
      </c>
      <c r="V2" s="373" t="s">
        <v>12</v>
      </c>
      <c r="W2" s="374" t="s">
        <v>13</v>
      </c>
      <c r="X2" s="9"/>
      <c r="Y2" s="9"/>
      <c r="Z2" s="9"/>
      <c r="AA2" s="9"/>
    </row>
    <row r="3">
      <c r="A3" s="437" t="s">
        <v>1730</v>
      </c>
      <c r="B3" s="438" t="s">
        <v>1961</v>
      </c>
      <c r="C3" s="439" t="s">
        <v>1962</v>
      </c>
      <c r="D3" s="439">
        <v>0.0</v>
      </c>
      <c r="E3" s="439"/>
      <c r="F3" s="440" t="s">
        <v>1963</v>
      </c>
      <c r="G3" s="9"/>
      <c r="H3" s="441">
        <f t="shared" ref="H3:H272" si="1">IFERROR(SUM(I3:W3)/(COUNTA(I3:W3)/3),0) - D3 - E3</f>
        <v>3.8</v>
      </c>
      <c r="I3" s="9">
        <v>4.0</v>
      </c>
      <c r="J3" s="442">
        <v>4.0</v>
      </c>
      <c r="K3" s="9">
        <v>4.0</v>
      </c>
      <c r="L3" s="9">
        <v>4.0</v>
      </c>
      <c r="M3" s="443">
        <v>4.0</v>
      </c>
      <c r="N3" s="9">
        <v>0.0</v>
      </c>
      <c r="O3" s="442">
        <v>-3.0</v>
      </c>
      <c r="P3" s="9">
        <v>-3.0</v>
      </c>
      <c r="Q3" s="9">
        <v>-3.0</v>
      </c>
      <c r="R3" s="443">
        <v>-3.0</v>
      </c>
      <c r="S3" s="9">
        <v>2.0</v>
      </c>
      <c r="T3" s="442">
        <v>2.0</v>
      </c>
      <c r="U3" s="9">
        <v>2.0</v>
      </c>
      <c r="V3" s="9">
        <v>3.0</v>
      </c>
      <c r="W3" s="443">
        <v>2.0</v>
      </c>
      <c r="X3" s="9"/>
      <c r="Y3" s="9"/>
      <c r="Z3" s="9"/>
      <c r="AA3" s="9"/>
    </row>
    <row r="4">
      <c r="A4" s="437" t="s">
        <v>1730</v>
      </c>
      <c r="B4" s="438" t="s">
        <v>1961</v>
      </c>
      <c r="C4" s="439" t="s">
        <v>1964</v>
      </c>
      <c r="D4" s="439">
        <v>1.0</v>
      </c>
      <c r="E4" s="439">
        <v>1.0</v>
      </c>
      <c r="F4" s="440" t="s">
        <v>1965</v>
      </c>
      <c r="G4" s="9"/>
      <c r="H4" s="441">
        <f t="shared" si="1"/>
        <v>3.8</v>
      </c>
      <c r="I4" s="9">
        <v>4.0</v>
      </c>
      <c r="J4" s="442">
        <v>4.0</v>
      </c>
      <c r="K4" s="9">
        <v>4.0</v>
      </c>
      <c r="L4" s="9">
        <v>4.0</v>
      </c>
      <c r="M4" s="443">
        <v>4.0</v>
      </c>
      <c r="N4" s="9">
        <v>-3.0</v>
      </c>
      <c r="O4" s="442">
        <v>-3.0</v>
      </c>
      <c r="P4" s="9">
        <v>-3.0</v>
      </c>
      <c r="Q4" s="9">
        <v>-3.0</v>
      </c>
      <c r="R4" s="443">
        <v>-3.0</v>
      </c>
      <c r="S4" s="9">
        <v>4.0</v>
      </c>
      <c r="T4" s="442">
        <v>5.0</v>
      </c>
      <c r="U4" s="9">
        <v>5.0</v>
      </c>
      <c r="V4" s="9">
        <v>5.0</v>
      </c>
      <c r="W4" s="443">
        <v>5.0</v>
      </c>
      <c r="X4" s="9"/>
      <c r="Y4" s="9"/>
      <c r="Z4" s="9"/>
      <c r="AA4" s="9"/>
    </row>
    <row r="5">
      <c r="A5" s="437" t="s">
        <v>1730</v>
      </c>
      <c r="B5" s="438" t="s">
        <v>1961</v>
      </c>
      <c r="C5" s="439" t="s">
        <v>1966</v>
      </c>
      <c r="D5" s="439">
        <v>1.0</v>
      </c>
      <c r="E5" s="439">
        <v>1.0</v>
      </c>
      <c r="F5" s="440" t="s">
        <v>1967</v>
      </c>
      <c r="G5" s="9"/>
      <c r="H5" s="441">
        <f t="shared" si="1"/>
        <v>1</v>
      </c>
      <c r="I5" s="9">
        <v>3.0</v>
      </c>
      <c r="J5" s="442">
        <v>2.0</v>
      </c>
      <c r="K5" s="9">
        <v>2.0</v>
      </c>
      <c r="L5" s="9">
        <v>2.0</v>
      </c>
      <c r="M5" s="443">
        <v>3.0</v>
      </c>
      <c r="N5" s="9">
        <v>-1.0</v>
      </c>
      <c r="O5" s="442">
        <v>-2.0</v>
      </c>
      <c r="P5" s="9">
        <v>-2.0</v>
      </c>
      <c r="Q5" s="9">
        <v>-2.0</v>
      </c>
      <c r="R5" s="443">
        <v>-2.0</v>
      </c>
      <c r="S5" s="9">
        <v>3.0</v>
      </c>
      <c r="T5" s="442">
        <v>2.0</v>
      </c>
      <c r="U5" s="9">
        <v>2.0</v>
      </c>
      <c r="V5" s="9">
        <v>3.0</v>
      </c>
      <c r="W5" s="443">
        <v>2.0</v>
      </c>
      <c r="X5" s="9"/>
      <c r="Y5" s="9"/>
      <c r="Z5" s="9"/>
      <c r="AA5" s="9"/>
    </row>
    <row r="6" ht="25.5" customHeight="1">
      <c r="A6" s="437" t="s">
        <v>1730</v>
      </c>
      <c r="B6" s="438" t="s">
        <v>1961</v>
      </c>
      <c r="C6" s="439" t="s">
        <v>1968</v>
      </c>
      <c r="D6" s="439">
        <v>1.0</v>
      </c>
      <c r="E6" s="439"/>
      <c r="F6" s="440" t="s">
        <v>1969</v>
      </c>
      <c r="G6" s="9"/>
      <c r="H6" s="441">
        <f t="shared" si="1"/>
        <v>2.75</v>
      </c>
      <c r="I6" s="9"/>
      <c r="J6" s="442">
        <v>2.0</v>
      </c>
      <c r="K6" s="9">
        <v>2.0</v>
      </c>
      <c r="L6" s="9">
        <v>2.0</v>
      </c>
      <c r="M6" s="443">
        <v>2.0</v>
      </c>
      <c r="N6" s="9"/>
      <c r="O6" s="442">
        <v>0.0</v>
      </c>
      <c r="P6" s="9">
        <v>0.0</v>
      </c>
      <c r="Q6" s="9">
        <v>0.0</v>
      </c>
      <c r="R6" s="443">
        <v>0.0</v>
      </c>
      <c r="S6" s="9"/>
      <c r="T6" s="442">
        <v>2.0</v>
      </c>
      <c r="U6" s="9">
        <v>1.0</v>
      </c>
      <c r="V6" s="9">
        <v>2.0</v>
      </c>
      <c r="W6" s="443">
        <v>2.0</v>
      </c>
      <c r="X6" s="9"/>
      <c r="Y6" s="9"/>
      <c r="Z6" s="9"/>
      <c r="AA6" s="9"/>
    </row>
    <row r="7">
      <c r="A7" s="437" t="s">
        <v>1730</v>
      </c>
      <c r="B7" s="438" t="s">
        <v>1961</v>
      </c>
      <c r="C7" s="439" t="s">
        <v>1970</v>
      </c>
      <c r="D7" s="439">
        <v>2.0</v>
      </c>
      <c r="E7" s="439"/>
      <c r="F7" s="440" t="s">
        <v>1971</v>
      </c>
      <c r="G7" s="9"/>
      <c r="H7" s="441">
        <f t="shared" si="1"/>
        <v>1.75</v>
      </c>
      <c r="I7" s="9"/>
      <c r="J7" s="442">
        <v>4.0</v>
      </c>
      <c r="K7" s="9">
        <v>4.0</v>
      </c>
      <c r="L7" s="9">
        <v>4.0</v>
      </c>
      <c r="M7" s="443">
        <v>4.0</v>
      </c>
      <c r="N7" s="9"/>
      <c r="O7" s="442">
        <v>-2.0</v>
      </c>
      <c r="P7" s="9">
        <v>-2.0</v>
      </c>
      <c r="Q7" s="9">
        <v>-2.0</v>
      </c>
      <c r="R7" s="443">
        <v>-2.0</v>
      </c>
      <c r="S7" s="9"/>
      <c r="T7" s="442">
        <v>2.0</v>
      </c>
      <c r="U7" s="9">
        <v>2.0</v>
      </c>
      <c r="V7" s="9">
        <v>1.0</v>
      </c>
      <c r="W7" s="443">
        <v>2.0</v>
      </c>
      <c r="X7" s="9"/>
      <c r="Y7" s="9"/>
      <c r="Z7" s="9"/>
      <c r="AA7" s="9"/>
    </row>
    <row r="8">
      <c r="A8" s="437" t="s">
        <v>1730</v>
      </c>
      <c r="B8" s="438" t="s">
        <v>1961</v>
      </c>
      <c r="C8" s="439" t="s">
        <v>1972</v>
      </c>
      <c r="D8" s="439">
        <v>2.0</v>
      </c>
      <c r="E8" s="439"/>
      <c r="F8" s="440" t="s">
        <v>1973</v>
      </c>
      <c r="G8" s="9"/>
      <c r="H8" s="441">
        <f t="shared" si="1"/>
        <v>4</v>
      </c>
      <c r="I8" s="9"/>
      <c r="J8" s="442">
        <v>4.0</v>
      </c>
      <c r="K8" s="9">
        <v>2.0</v>
      </c>
      <c r="L8" s="9">
        <v>4.0</v>
      </c>
      <c r="M8" s="443">
        <v>4.0</v>
      </c>
      <c r="N8" s="9"/>
      <c r="O8" s="442">
        <v>-1.0</v>
      </c>
      <c r="P8" s="9">
        <v>0.0</v>
      </c>
      <c r="Q8" s="9">
        <v>0.0</v>
      </c>
      <c r="R8" s="443">
        <v>0.0</v>
      </c>
      <c r="S8" s="9"/>
      <c r="T8" s="442">
        <v>3.0</v>
      </c>
      <c r="U8" s="9">
        <v>2.0</v>
      </c>
      <c r="V8" s="9">
        <v>4.0</v>
      </c>
      <c r="W8" s="443">
        <v>2.0</v>
      </c>
      <c r="X8" s="9"/>
      <c r="Y8" s="9"/>
      <c r="Z8" s="9"/>
      <c r="AA8" s="9"/>
    </row>
    <row r="9">
      <c r="A9" s="437" t="s">
        <v>1730</v>
      </c>
      <c r="B9" s="438" t="s">
        <v>1961</v>
      </c>
      <c r="C9" s="439" t="s">
        <v>1974</v>
      </c>
      <c r="D9" s="439">
        <v>2.0</v>
      </c>
      <c r="E9" s="439">
        <v>1.0</v>
      </c>
      <c r="F9" s="440" t="s">
        <v>1975</v>
      </c>
      <c r="G9" s="9"/>
      <c r="H9" s="441">
        <f t="shared" si="1"/>
        <v>0.25</v>
      </c>
      <c r="I9" s="9"/>
      <c r="J9" s="442">
        <v>4.0</v>
      </c>
      <c r="K9" s="9">
        <v>4.0</v>
      </c>
      <c r="L9" s="9">
        <v>4.0</v>
      </c>
      <c r="M9" s="443">
        <v>4.0</v>
      </c>
      <c r="N9" s="9"/>
      <c r="O9" s="442">
        <v>-4.0</v>
      </c>
      <c r="P9" s="9">
        <v>-4.0</v>
      </c>
      <c r="Q9" s="9">
        <v>-3.0</v>
      </c>
      <c r="R9" s="443">
        <v>-4.0</v>
      </c>
      <c r="S9" s="9"/>
      <c r="T9" s="442">
        <v>3.0</v>
      </c>
      <c r="U9" s="9">
        <v>2.0</v>
      </c>
      <c r="V9" s="9">
        <v>4.0</v>
      </c>
      <c r="W9" s="443">
        <v>3.0</v>
      </c>
      <c r="X9" s="9"/>
      <c r="Y9" s="9"/>
      <c r="Z9" s="9"/>
      <c r="AA9" s="9"/>
    </row>
    <row r="10">
      <c r="A10" s="437" t="s">
        <v>1730</v>
      </c>
      <c r="B10" s="438" t="s">
        <v>1961</v>
      </c>
      <c r="C10" s="439" t="s">
        <v>1976</v>
      </c>
      <c r="D10" s="439">
        <v>3.0</v>
      </c>
      <c r="E10" s="439">
        <v>2.0</v>
      </c>
      <c r="F10" s="440" t="s">
        <v>1977</v>
      </c>
      <c r="G10" s="9"/>
      <c r="H10" s="441">
        <f t="shared" si="1"/>
        <v>1</v>
      </c>
      <c r="I10" s="9"/>
      <c r="J10" s="442">
        <v>4.0</v>
      </c>
      <c r="K10" s="9">
        <v>4.0</v>
      </c>
      <c r="L10" s="9">
        <v>4.0</v>
      </c>
      <c r="M10" s="443">
        <v>4.0</v>
      </c>
      <c r="N10" s="9"/>
      <c r="O10" s="442">
        <v>-2.0</v>
      </c>
      <c r="P10" s="9">
        <v>-3.0</v>
      </c>
      <c r="Q10" s="9">
        <v>-2.0</v>
      </c>
      <c r="R10" s="443">
        <v>-3.0</v>
      </c>
      <c r="S10" s="9"/>
      <c r="T10" s="442">
        <v>5.0</v>
      </c>
      <c r="U10" s="9">
        <v>4.0</v>
      </c>
      <c r="V10" s="9">
        <v>5.0</v>
      </c>
      <c r="W10" s="443">
        <v>4.0</v>
      </c>
      <c r="X10" s="9"/>
      <c r="Y10" s="9"/>
      <c r="Z10" s="9"/>
      <c r="AA10" s="9"/>
    </row>
    <row r="11">
      <c r="A11" s="437" t="s">
        <v>1730</v>
      </c>
      <c r="B11" s="438" t="s">
        <v>1961</v>
      </c>
      <c r="C11" s="439" t="s">
        <v>1978</v>
      </c>
      <c r="D11" s="439">
        <v>3.0</v>
      </c>
      <c r="E11" s="439">
        <v>4.0</v>
      </c>
      <c r="F11" s="440" t="s">
        <v>1979</v>
      </c>
      <c r="G11" s="9"/>
      <c r="H11" s="441">
        <f t="shared" si="1"/>
        <v>-1.25</v>
      </c>
      <c r="I11" s="9"/>
      <c r="J11" s="442">
        <v>4.0</v>
      </c>
      <c r="K11" s="9">
        <v>4.0</v>
      </c>
      <c r="L11" s="9">
        <v>4.0</v>
      </c>
      <c r="M11" s="443">
        <v>4.0</v>
      </c>
      <c r="N11" s="9"/>
      <c r="O11" s="442">
        <v>-3.0</v>
      </c>
      <c r="P11" s="9">
        <v>-3.0</v>
      </c>
      <c r="Q11" s="9">
        <v>-4.0</v>
      </c>
      <c r="R11" s="443">
        <v>-3.0</v>
      </c>
      <c r="S11" s="9"/>
      <c r="T11" s="442">
        <v>5.0</v>
      </c>
      <c r="U11" s="9">
        <v>5.0</v>
      </c>
      <c r="V11" s="9">
        <v>5.0</v>
      </c>
      <c r="W11" s="443">
        <v>5.0</v>
      </c>
      <c r="X11" s="9"/>
      <c r="Y11" s="9"/>
      <c r="Z11" s="9"/>
      <c r="AA11" s="9"/>
    </row>
    <row r="12">
      <c r="A12" s="437" t="s">
        <v>1730</v>
      </c>
      <c r="B12" s="438" t="s">
        <v>1409</v>
      </c>
      <c r="C12" s="439" t="s">
        <v>1980</v>
      </c>
      <c r="D12" s="439">
        <v>0.0</v>
      </c>
      <c r="E12" s="439">
        <v>1.0</v>
      </c>
      <c r="F12" s="440" t="s">
        <v>1981</v>
      </c>
      <c r="G12" s="9"/>
      <c r="H12" s="441">
        <f t="shared" si="1"/>
        <v>2.25</v>
      </c>
      <c r="I12" s="9"/>
      <c r="J12" s="442">
        <v>2.0</v>
      </c>
      <c r="K12" s="9">
        <v>2.0</v>
      </c>
      <c r="L12" s="9">
        <v>2.0</v>
      </c>
      <c r="M12" s="443">
        <v>2.0</v>
      </c>
      <c r="N12" s="9"/>
      <c r="O12" s="442">
        <v>-3.0</v>
      </c>
      <c r="P12" s="9">
        <v>-3.0</v>
      </c>
      <c r="Q12" s="9">
        <v>-3.0</v>
      </c>
      <c r="R12" s="443">
        <v>-3.0</v>
      </c>
      <c r="S12" s="9"/>
      <c r="T12" s="442">
        <v>4.0</v>
      </c>
      <c r="U12" s="9">
        <v>5.0</v>
      </c>
      <c r="V12" s="9">
        <v>4.0</v>
      </c>
      <c r="W12" s="443">
        <v>4.0</v>
      </c>
      <c r="X12" s="9"/>
      <c r="Y12" s="9"/>
      <c r="Z12" s="9"/>
      <c r="AA12" s="9"/>
    </row>
    <row r="13">
      <c r="A13" s="437" t="s">
        <v>1730</v>
      </c>
      <c r="B13" s="438" t="s">
        <v>1409</v>
      </c>
      <c r="C13" s="439" t="s">
        <v>1982</v>
      </c>
      <c r="D13" s="439">
        <v>1.0</v>
      </c>
      <c r="E13" s="439">
        <v>1.0</v>
      </c>
      <c r="F13" s="440" t="s">
        <v>1983</v>
      </c>
      <c r="G13" s="9"/>
      <c r="H13" s="441">
        <f t="shared" si="1"/>
        <v>2.75</v>
      </c>
      <c r="I13" s="9"/>
      <c r="J13" s="442">
        <v>4.0</v>
      </c>
      <c r="K13" s="9">
        <v>4.0</v>
      </c>
      <c r="L13" s="9">
        <v>2.0</v>
      </c>
      <c r="M13" s="443">
        <v>4.0</v>
      </c>
      <c r="N13" s="9"/>
      <c r="O13" s="442">
        <v>-3.0</v>
      </c>
      <c r="P13" s="9">
        <v>-3.0</v>
      </c>
      <c r="Q13" s="9">
        <v>-3.0</v>
      </c>
      <c r="R13" s="443">
        <v>-4.0</v>
      </c>
      <c r="S13" s="9"/>
      <c r="T13" s="442">
        <v>4.0</v>
      </c>
      <c r="U13" s="9">
        <v>4.0</v>
      </c>
      <c r="V13" s="9">
        <v>5.0</v>
      </c>
      <c r="W13" s="443">
        <v>5.0</v>
      </c>
      <c r="X13" s="9"/>
      <c r="Y13" s="9"/>
      <c r="Z13" s="9"/>
      <c r="AA13" s="9"/>
    </row>
    <row r="14">
      <c r="A14" s="437" t="s">
        <v>1730</v>
      </c>
      <c r="B14" s="438" t="s">
        <v>1409</v>
      </c>
      <c r="C14" s="439" t="s">
        <v>1984</v>
      </c>
      <c r="D14" s="439">
        <v>1.0</v>
      </c>
      <c r="E14" s="439">
        <v>1.0</v>
      </c>
      <c r="F14" s="440" t="s">
        <v>1985</v>
      </c>
      <c r="G14" s="9"/>
      <c r="H14" s="441">
        <f t="shared" si="1"/>
        <v>1</v>
      </c>
      <c r="I14" s="9"/>
      <c r="J14" s="442">
        <v>2.0</v>
      </c>
      <c r="K14" s="9">
        <v>2.0</v>
      </c>
      <c r="L14" s="9">
        <v>2.0</v>
      </c>
      <c r="M14" s="443">
        <v>2.0</v>
      </c>
      <c r="N14" s="9"/>
      <c r="O14" s="442">
        <v>-3.0</v>
      </c>
      <c r="P14" s="9">
        <v>-3.0</v>
      </c>
      <c r="Q14" s="9">
        <v>-3.0</v>
      </c>
      <c r="R14" s="443">
        <v>-3.0</v>
      </c>
      <c r="S14" s="9"/>
      <c r="T14" s="442">
        <v>4.0</v>
      </c>
      <c r="U14" s="9">
        <v>4.0</v>
      </c>
      <c r="V14" s="9">
        <v>4.0</v>
      </c>
      <c r="W14" s="443">
        <v>4.0</v>
      </c>
      <c r="X14" s="9"/>
      <c r="Y14" s="9"/>
      <c r="Z14" s="9"/>
      <c r="AA14" s="9"/>
    </row>
    <row r="15">
      <c r="A15" s="437" t="s">
        <v>1730</v>
      </c>
      <c r="B15" s="438" t="s">
        <v>1409</v>
      </c>
      <c r="C15" s="439" t="s">
        <v>1986</v>
      </c>
      <c r="D15" s="439">
        <v>1.0</v>
      </c>
      <c r="E15" s="439"/>
      <c r="F15" s="440" t="s">
        <v>1987</v>
      </c>
      <c r="G15" s="9"/>
      <c r="H15" s="441">
        <f t="shared" si="1"/>
        <v>3</v>
      </c>
      <c r="I15" s="9"/>
      <c r="J15" s="442">
        <v>2.0</v>
      </c>
      <c r="K15" s="9">
        <v>2.0</v>
      </c>
      <c r="L15" s="9">
        <v>4.0</v>
      </c>
      <c r="M15" s="443">
        <v>2.0</v>
      </c>
      <c r="N15" s="9"/>
      <c r="O15" s="442">
        <v>-1.0</v>
      </c>
      <c r="P15" s="9">
        <v>-1.0</v>
      </c>
      <c r="Q15" s="9">
        <v>-1.0</v>
      </c>
      <c r="R15" s="443">
        <v>-1.0</v>
      </c>
      <c r="S15" s="9"/>
      <c r="T15" s="442">
        <v>2.0</v>
      </c>
      <c r="U15" s="9">
        <v>2.0</v>
      </c>
      <c r="V15" s="9">
        <v>4.0</v>
      </c>
      <c r="W15" s="443">
        <v>2.0</v>
      </c>
      <c r="X15" s="9"/>
      <c r="Y15" s="9"/>
      <c r="Z15" s="9"/>
      <c r="AA15" s="9"/>
    </row>
    <row r="16">
      <c r="A16" s="437" t="s">
        <v>1730</v>
      </c>
      <c r="B16" s="438" t="s">
        <v>1409</v>
      </c>
      <c r="C16" s="439" t="s">
        <v>1988</v>
      </c>
      <c r="D16" s="439">
        <v>2.0</v>
      </c>
      <c r="E16" s="439"/>
      <c r="F16" s="440" t="s">
        <v>1989</v>
      </c>
      <c r="G16" s="9"/>
      <c r="H16" s="441">
        <f t="shared" si="1"/>
        <v>5.75</v>
      </c>
      <c r="I16" s="9"/>
      <c r="J16" s="442">
        <v>4.0</v>
      </c>
      <c r="K16" s="9">
        <v>6.0</v>
      </c>
      <c r="L16" s="9">
        <v>4.0</v>
      </c>
      <c r="M16" s="443">
        <v>6.0</v>
      </c>
      <c r="N16" s="9"/>
      <c r="O16" s="442">
        <v>-1.0</v>
      </c>
      <c r="P16" s="9">
        <v>-1.0</v>
      </c>
      <c r="Q16" s="9">
        <v>-2.0</v>
      </c>
      <c r="R16" s="443">
        <v>-1.0</v>
      </c>
      <c r="S16" s="9"/>
      <c r="T16" s="442">
        <v>4.0</v>
      </c>
      <c r="U16" s="9">
        <v>4.0</v>
      </c>
      <c r="V16" s="9">
        <v>4.0</v>
      </c>
      <c r="W16" s="443">
        <v>4.0</v>
      </c>
      <c r="X16" s="9"/>
      <c r="Y16" s="9"/>
      <c r="Z16" s="9"/>
      <c r="AA16" s="9"/>
    </row>
    <row r="17">
      <c r="A17" s="437" t="s">
        <v>1730</v>
      </c>
      <c r="B17" s="438" t="s">
        <v>1409</v>
      </c>
      <c r="C17" s="439" t="s">
        <v>120</v>
      </c>
      <c r="D17" s="439">
        <v>2.0</v>
      </c>
      <c r="E17" s="439"/>
      <c r="F17" s="440" t="s">
        <v>1990</v>
      </c>
      <c r="G17" s="9"/>
      <c r="H17" s="441">
        <f t="shared" si="1"/>
        <v>6</v>
      </c>
      <c r="I17" s="9"/>
      <c r="J17" s="442">
        <v>4.0</v>
      </c>
      <c r="K17" s="9">
        <v>6.0</v>
      </c>
      <c r="L17" s="9">
        <v>4.0</v>
      </c>
      <c r="M17" s="443">
        <v>6.0</v>
      </c>
      <c r="N17" s="9"/>
      <c r="O17" s="442">
        <v>-1.0</v>
      </c>
      <c r="P17" s="9">
        <v>0.0</v>
      </c>
      <c r="Q17" s="9">
        <v>-2.0</v>
      </c>
      <c r="R17" s="443">
        <v>-1.0</v>
      </c>
      <c r="S17" s="9"/>
      <c r="T17" s="442">
        <v>4.0</v>
      </c>
      <c r="U17" s="9">
        <v>4.0</v>
      </c>
      <c r="V17" s="9">
        <v>4.0</v>
      </c>
      <c r="W17" s="443">
        <v>4.0</v>
      </c>
      <c r="X17" s="9"/>
      <c r="Y17" s="9"/>
      <c r="Z17" s="9"/>
      <c r="AA17" s="9"/>
    </row>
    <row r="18">
      <c r="A18" s="437" t="s">
        <v>1730</v>
      </c>
      <c r="B18" s="438" t="s">
        <v>1409</v>
      </c>
      <c r="C18" s="439" t="s">
        <v>1991</v>
      </c>
      <c r="D18" s="439">
        <v>2.0</v>
      </c>
      <c r="E18" s="439">
        <v>1.0</v>
      </c>
      <c r="F18" s="440" t="s">
        <v>1992</v>
      </c>
      <c r="G18" s="9"/>
      <c r="H18" s="441">
        <f t="shared" si="1"/>
        <v>1.5</v>
      </c>
      <c r="I18" s="9"/>
      <c r="J18" s="442">
        <v>4.0</v>
      </c>
      <c r="K18" s="9">
        <v>4.0</v>
      </c>
      <c r="L18" s="9">
        <v>2.0</v>
      </c>
      <c r="M18" s="443">
        <v>4.0</v>
      </c>
      <c r="N18" s="9"/>
      <c r="O18" s="442">
        <v>-3.0</v>
      </c>
      <c r="P18" s="9">
        <v>-2.0</v>
      </c>
      <c r="Q18" s="9">
        <v>-2.0</v>
      </c>
      <c r="R18" s="443">
        <v>-3.0</v>
      </c>
      <c r="S18" s="9"/>
      <c r="T18" s="442">
        <v>4.0</v>
      </c>
      <c r="U18" s="9">
        <v>3.0</v>
      </c>
      <c r="V18" s="9">
        <v>3.0</v>
      </c>
      <c r="W18" s="443">
        <v>4.0</v>
      </c>
      <c r="X18" s="9"/>
      <c r="Y18" s="9"/>
      <c r="Z18" s="9"/>
      <c r="AA18" s="9"/>
    </row>
    <row r="19">
      <c r="A19" s="437" t="s">
        <v>1730</v>
      </c>
      <c r="B19" s="438" t="s">
        <v>1409</v>
      </c>
      <c r="C19" s="439" t="s">
        <v>1993</v>
      </c>
      <c r="D19" s="439">
        <v>3.0</v>
      </c>
      <c r="E19" s="439">
        <v>2.0</v>
      </c>
      <c r="F19" s="440" t="s">
        <v>1994</v>
      </c>
      <c r="G19" s="9"/>
      <c r="H19" s="441">
        <f t="shared" si="1"/>
        <v>1</v>
      </c>
      <c r="I19" s="9"/>
      <c r="J19" s="442">
        <v>4.0</v>
      </c>
      <c r="K19" s="9">
        <v>4.0</v>
      </c>
      <c r="L19" s="9">
        <v>4.0</v>
      </c>
      <c r="M19" s="443">
        <v>4.0</v>
      </c>
      <c r="N19" s="9"/>
      <c r="O19" s="442">
        <v>-3.0</v>
      </c>
      <c r="P19" s="9">
        <v>-3.0</v>
      </c>
      <c r="Q19" s="9">
        <v>-3.0</v>
      </c>
      <c r="R19" s="443">
        <v>-3.0</v>
      </c>
      <c r="S19" s="9"/>
      <c r="T19" s="442">
        <v>5.0</v>
      </c>
      <c r="U19" s="9">
        <v>5.0</v>
      </c>
      <c r="V19" s="9">
        <v>5.0</v>
      </c>
      <c r="W19" s="443">
        <v>5.0</v>
      </c>
      <c r="X19" s="9"/>
      <c r="Y19" s="9"/>
      <c r="Z19" s="9"/>
      <c r="AA19" s="9"/>
    </row>
    <row r="20">
      <c r="A20" s="437" t="s">
        <v>1730</v>
      </c>
      <c r="B20" s="438" t="s">
        <v>1409</v>
      </c>
      <c r="C20" s="439" t="s">
        <v>1995</v>
      </c>
      <c r="D20" s="439">
        <v>3.0</v>
      </c>
      <c r="E20" s="439">
        <v>2.0</v>
      </c>
      <c r="F20" s="440" t="s">
        <v>1996</v>
      </c>
      <c r="G20" s="9"/>
      <c r="H20" s="441">
        <f t="shared" si="1"/>
        <v>0.5</v>
      </c>
      <c r="I20" s="9"/>
      <c r="J20" s="442">
        <v>4.0</v>
      </c>
      <c r="K20" s="9">
        <v>4.0</v>
      </c>
      <c r="L20" s="9">
        <v>4.0</v>
      </c>
      <c r="M20" s="443">
        <v>4.0</v>
      </c>
      <c r="N20" s="9"/>
      <c r="O20" s="442">
        <v>-3.0</v>
      </c>
      <c r="P20" s="9">
        <v>-4.0</v>
      </c>
      <c r="Q20" s="9">
        <v>-3.0</v>
      </c>
      <c r="R20" s="443">
        <v>-4.0</v>
      </c>
      <c r="S20" s="9"/>
      <c r="T20" s="442">
        <v>5.0</v>
      </c>
      <c r="U20" s="9">
        <v>5.0</v>
      </c>
      <c r="V20" s="9">
        <v>5.0</v>
      </c>
      <c r="W20" s="443">
        <v>5.0</v>
      </c>
      <c r="X20" s="9"/>
      <c r="Y20" s="9"/>
      <c r="Z20" s="9"/>
      <c r="AA20" s="9"/>
    </row>
    <row r="21" ht="15.75" customHeight="1">
      <c r="A21" s="438" t="s">
        <v>1730</v>
      </c>
      <c r="B21" s="438" t="s">
        <v>1950</v>
      </c>
      <c r="C21" s="440" t="s">
        <v>1997</v>
      </c>
      <c r="D21" s="440">
        <v>0.0</v>
      </c>
      <c r="E21" s="440">
        <v>1.0</v>
      </c>
      <c r="F21" s="440" t="s">
        <v>1998</v>
      </c>
      <c r="G21" s="444" t="s">
        <v>1999</v>
      </c>
      <c r="H21" s="441">
        <f t="shared" si="1"/>
        <v>2</v>
      </c>
      <c r="I21" s="9"/>
      <c r="J21" s="442">
        <v>3.0</v>
      </c>
      <c r="K21" s="9">
        <v>2.0</v>
      </c>
      <c r="L21" s="9">
        <v>2.0</v>
      </c>
      <c r="M21" s="443">
        <v>2.0</v>
      </c>
      <c r="N21" s="9"/>
      <c r="O21" s="442">
        <v>-3.0</v>
      </c>
      <c r="P21" s="9">
        <v>-3.0</v>
      </c>
      <c r="Q21" s="9">
        <v>-2.0</v>
      </c>
      <c r="R21" s="443">
        <v>-3.0</v>
      </c>
      <c r="S21" s="9"/>
      <c r="T21" s="442">
        <v>4.0</v>
      </c>
      <c r="U21" s="9">
        <v>3.0</v>
      </c>
      <c r="V21" s="9">
        <v>3.0</v>
      </c>
      <c r="W21" s="443">
        <v>4.0</v>
      </c>
      <c r="X21" s="9"/>
      <c r="Y21" s="9"/>
      <c r="Z21" s="9"/>
      <c r="AA21" s="9"/>
    </row>
    <row r="22" ht="15.75" customHeight="1">
      <c r="A22" s="438" t="s">
        <v>1730</v>
      </c>
      <c r="B22" s="438" t="s">
        <v>1950</v>
      </c>
      <c r="C22" s="440" t="s">
        <v>2000</v>
      </c>
      <c r="D22" s="440">
        <v>1.0</v>
      </c>
      <c r="E22" s="440">
        <v>2.0</v>
      </c>
      <c r="F22" s="440" t="s">
        <v>2001</v>
      </c>
      <c r="G22" s="444" t="s">
        <v>1999</v>
      </c>
      <c r="H22" s="441">
        <f t="shared" si="1"/>
        <v>1.5</v>
      </c>
      <c r="I22" s="9"/>
      <c r="J22" s="442">
        <v>4.0</v>
      </c>
      <c r="K22" s="9">
        <v>4.0</v>
      </c>
      <c r="L22" s="9">
        <v>4.0</v>
      </c>
      <c r="M22" s="443">
        <v>4.0</v>
      </c>
      <c r="N22" s="9"/>
      <c r="O22" s="442">
        <v>-3.0</v>
      </c>
      <c r="P22" s="9">
        <v>-4.0</v>
      </c>
      <c r="Q22" s="9">
        <v>-3.0</v>
      </c>
      <c r="R22" s="443">
        <v>-4.0</v>
      </c>
      <c r="S22" s="9"/>
      <c r="T22" s="442">
        <v>4.0</v>
      </c>
      <c r="U22" s="9">
        <v>4.0</v>
      </c>
      <c r="V22" s="9">
        <v>4.0</v>
      </c>
      <c r="W22" s="443">
        <v>4.0</v>
      </c>
      <c r="X22" s="9"/>
      <c r="Y22" s="9"/>
      <c r="Z22" s="9"/>
      <c r="AA22" s="9"/>
    </row>
    <row r="23" ht="15.75" customHeight="1">
      <c r="A23" s="438" t="s">
        <v>1730</v>
      </c>
      <c r="B23" s="438" t="s">
        <v>1950</v>
      </c>
      <c r="C23" s="440" t="s">
        <v>2002</v>
      </c>
      <c r="D23" s="440">
        <v>1.0</v>
      </c>
      <c r="E23" s="440"/>
      <c r="F23" s="445" t="s">
        <v>2003</v>
      </c>
      <c r="G23" s="444" t="s">
        <v>1999</v>
      </c>
      <c r="H23" s="441">
        <f t="shared" si="1"/>
        <v>7.25</v>
      </c>
      <c r="I23" s="446"/>
      <c r="J23" s="442">
        <v>5.0</v>
      </c>
      <c r="K23" s="446">
        <v>5.0</v>
      </c>
      <c r="L23" s="446">
        <v>2.0</v>
      </c>
      <c r="M23" s="443">
        <v>5.0</v>
      </c>
      <c r="N23" s="446"/>
      <c r="O23" s="442">
        <v>0.0</v>
      </c>
      <c r="P23" s="446">
        <v>0.0</v>
      </c>
      <c r="Q23" s="446">
        <v>0.0</v>
      </c>
      <c r="R23" s="443">
        <v>0.0</v>
      </c>
      <c r="S23" s="446"/>
      <c r="T23" s="442">
        <v>5.0</v>
      </c>
      <c r="U23" s="446">
        <v>4.0</v>
      </c>
      <c r="V23" s="446">
        <v>3.0</v>
      </c>
      <c r="W23" s="443">
        <v>4.0</v>
      </c>
    </row>
    <row r="24" ht="15.75" customHeight="1">
      <c r="A24" s="438" t="s">
        <v>1730</v>
      </c>
      <c r="B24" s="438" t="s">
        <v>1950</v>
      </c>
      <c r="C24" s="440" t="s">
        <v>2004</v>
      </c>
      <c r="D24" s="440">
        <v>1.0</v>
      </c>
      <c r="E24" s="440">
        <v>1.0</v>
      </c>
      <c r="F24" s="440" t="s">
        <v>2005</v>
      </c>
      <c r="G24" s="444" t="s">
        <v>1999</v>
      </c>
      <c r="H24" s="441">
        <f t="shared" si="1"/>
        <v>2.25</v>
      </c>
      <c r="I24" s="446"/>
      <c r="J24" s="442">
        <v>4.0</v>
      </c>
      <c r="K24" s="446">
        <v>4.0</v>
      </c>
      <c r="L24" s="446">
        <v>2.0</v>
      </c>
      <c r="M24" s="443">
        <v>4.0</v>
      </c>
      <c r="N24" s="446"/>
      <c r="O24" s="442">
        <v>-4.0</v>
      </c>
      <c r="P24" s="446">
        <v>-3.0</v>
      </c>
      <c r="Q24" s="446">
        <v>-3.0</v>
      </c>
      <c r="R24" s="443">
        <v>-3.0</v>
      </c>
      <c r="S24" s="446"/>
      <c r="T24" s="442">
        <v>4.0</v>
      </c>
      <c r="U24" s="446">
        <v>4.0</v>
      </c>
      <c r="V24" s="446">
        <v>4.0</v>
      </c>
      <c r="W24" s="443">
        <v>4.0</v>
      </c>
    </row>
    <row r="25" ht="15.75" customHeight="1">
      <c r="A25" s="438" t="s">
        <v>1730</v>
      </c>
      <c r="B25" s="438" t="s">
        <v>1950</v>
      </c>
      <c r="C25" s="440" t="s">
        <v>2006</v>
      </c>
      <c r="D25" s="440">
        <v>2.0</v>
      </c>
      <c r="E25" s="440"/>
      <c r="F25" s="440" t="s">
        <v>2007</v>
      </c>
      <c r="G25" s="444" t="s">
        <v>1999</v>
      </c>
      <c r="H25" s="441">
        <f t="shared" si="1"/>
        <v>3.5</v>
      </c>
      <c r="I25" s="446"/>
      <c r="J25" s="442">
        <v>4.0</v>
      </c>
      <c r="K25" s="446">
        <v>5.0</v>
      </c>
      <c r="L25" s="446">
        <v>4.0</v>
      </c>
      <c r="M25" s="443">
        <v>4.0</v>
      </c>
      <c r="N25" s="446"/>
      <c r="O25" s="442">
        <v>-2.0</v>
      </c>
      <c r="P25" s="446">
        <v>-3.0</v>
      </c>
      <c r="Q25" s="446">
        <v>-2.0</v>
      </c>
      <c r="R25" s="443">
        <v>-2.0</v>
      </c>
      <c r="S25" s="446"/>
      <c r="T25" s="442">
        <v>4.0</v>
      </c>
      <c r="U25" s="446">
        <v>4.0</v>
      </c>
      <c r="V25" s="446">
        <v>3.0</v>
      </c>
      <c r="W25" s="443">
        <v>3.0</v>
      </c>
    </row>
    <row r="26" ht="15.75" customHeight="1">
      <c r="A26" s="438" t="s">
        <v>1730</v>
      </c>
      <c r="B26" s="438" t="s">
        <v>1950</v>
      </c>
      <c r="C26" s="440" t="s">
        <v>2008</v>
      </c>
      <c r="D26" s="440">
        <v>2.0</v>
      </c>
      <c r="E26" s="440">
        <v>2.0</v>
      </c>
      <c r="F26" s="440" t="s">
        <v>2009</v>
      </c>
      <c r="G26" s="444" t="s">
        <v>1999</v>
      </c>
      <c r="H26" s="441">
        <f t="shared" si="1"/>
        <v>1.5</v>
      </c>
      <c r="I26" s="446"/>
      <c r="J26" s="442">
        <v>4.0</v>
      </c>
      <c r="K26" s="446">
        <v>4.0</v>
      </c>
      <c r="L26" s="446">
        <v>4.0</v>
      </c>
      <c r="M26" s="443">
        <v>4.0</v>
      </c>
      <c r="N26" s="446"/>
      <c r="O26" s="442">
        <v>-3.0</v>
      </c>
      <c r="P26" s="446">
        <v>-3.0</v>
      </c>
      <c r="Q26" s="446">
        <v>-3.0</v>
      </c>
      <c r="R26" s="443">
        <v>-3.0</v>
      </c>
      <c r="S26" s="446"/>
      <c r="T26" s="442">
        <v>5.0</v>
      </c>
      <c r="U26" s="446">
        <v>4.0</v>
      </c>
      <c r="V26" s="446">
        <v>4.0</v>
      </c>
      <c r="W26" s="443">
        <v>5.0</v>
      </c>
    </row>
    <row r="27" ht="15.75" customHeight="1">
      <c r="A27" s="438" t="s">
        <v>1730</v>
      </c>
      <c r="B27" s="438" t="s">
        <v>1950</v>
      </c>
      <c r="C27" s="440" t="s">
        <v>2010</v>
      </c>
      <c r="D27" s="440">
        <v>2.0</v>
      </c>
      <c r="E27" s="440">
        <v>2.0</v>
      </c>
      <c r="F27" s="445" t="s">
        <v>2011</v>
      </c>
      <c r="G27" s="444" t="s">
        <v>1999</v>
      </c>
      <c r="H27" s="441">
        <f t="shared" si="1"/>
        <v>-2</v>
      </c>
      <c r="I27" s="446"/>
      <c r="J27" s="442">
        <v>2.0</v>
      </c>
      <c r="K27" s="446">
        <v>2.0</v>
      </c>
      <c r="L27" s="446">
        <v>2.0</v>
      </c>
      <c r="M27" s="443">
        <v>2.0</v>
      </c>
      <c r="N27" s="446"/>
      <c r="O27" s="442">
        <v>-4.0</v>
      </c>
      <c r="P27" s="446">
        <v>-4.0</v>
      </c>
      <c r="Q27" s="446">
        <v>-2.0</v>
      </c>
      <c r="R27" s="443">
        <v>-4.0</v>
      </c>
      <c r="S27" s="446"/>
      <c r="T27" s="442">
        <v>3.0</v>
      </c>
      <c r="U27" s="446">
        <v>3.0</v>
      </c>
      <c r="V27" s="446">
        <v>5.0</v>
      </c>
      <c r="W27" s="443">
        <v>3.0</v>
      </c>
    </row>
    <row r="28" ht="15.75" customHeight="1">
      <c r="A28" s="438" t="s">
        <v>1730</v>
      </c>
      <c r="B28" s="438" t="s">
        <v>1950</v>
      </c>
      <c r="C28" s="440" t="s">
        <v>2012</v>
      </c>
      <c r="D28" s="440">
        <v>3.0</v>
      </c>
      <c r="E28" s="440">
        <v>2.0</v>
      </c>
      <c r="F28" s="440" t="s">
        <v>2013</v>
      </c>
      <c r="G28" s="444" t="s">
        <v>1999</v>
      </c>
      <c r="H28" s="441">
        <f t="shared" si="1"/>
        <v>-2.75</v>
      </c>
      <c r="I28" s="446"/>
      <c r="J28" s="442">
        <v>3.0</v>
      </c>
      <c r="K28" s="446">
        <v>4.0</v>
      </c>
      <c r="L28" s="446">
        <v>4.0</v>
      </c>
      <c r="M28" s="443">
        <v>4.0</v>
      </c>
      <c r="N28" s="446"/>
      <c r="O28" s="442">
        <v>-4.0</v>
      </c>
      <c r="P28" s="446">
        <v>-5.0</v>
      </c>
      <c r="Q28" s="446">
        <v>-3.0</v>
      </c>
      <c r="R28" s="443">
        <v>-4.0</v>
      </c>
      <c r="S28" s="446"/>
      <c r="T28" s="442">
        <v>2.0</v>
      </c>
      <c r="U28" s="446">
        <v>2.0</v>
      </c>
      <c r="V28" s="446">
        <v>4.0</v>
      </c>
      <c r="W28" s="443">
        <v>2.0</v>
      </c>
    </row>
    <row r="29" ht="15.75" customHeight="1">
      <c r="A29" s="438" t="s">
        <v>1730</v>
      </c>
      <c r="B29" s="438" t="s">
        <v>1950</v>
      </c>
      <c r="C29" s="440" t="s">
        <v>2014</v>
      </c>
      <c r="D29" s="440">
        <v>3.0</v>
      </c>
      <c r="E29" s="440">
        <v>2.0</v>
      </c>
      <c r="F29" s="440" t="s">
        <v>2015</v>
      </c>
      <c r="G29" s="444" t="s">
        <v>1999</v>
      </c>
      <c r="H29" s="441">
        <f t="shared" si="1"/>
        <v>-1</v>
      </c>
      <c r="I29" s="446"/>
      <c r="J29" s="442">
        <v>4.0</v>
      </c>
      <c r="K29" s="446">
        <v>4.0</v>
      </c>
      <c r="L29" s="446">
        <v>4.0</v>
      </c>
      <c r="M29" s="443">
        <v>4.0</v>
      </c>
      <c r="N29" s="446"/>
      <c r="O29" s="442">
        <v>-4.0</v>
      </c>
      <c r="P29" s="446">
        <v>-4.0</v>
      </c>
      <c r="Q29" s="446">
        <v>-3.0</v>
      </c>
      <c r="R29" s="443">
        <v>-4.0</v>
      </c>
      <c r="S29" s="446"/>
      <c r="T29" s="442">
        <v>3.0</v>
      </c>
      <c r="U29" s="446">
        <v>4.0</v>
      </c>
      <c r="V29" s="446">
        <v>3.0</v>
      </c>
      <c r="W29" s="443">
        <v>5.0</v>
      </c>
    </row>
    <row r="30" ht="15.75" customHeight="1">
      <c r="A30" s="438" t="s">
        <v>1730</v>
      </c>
      <c r="B30" s="438" t="s">
        <v>2016</v>
      </c>
      <c r="C30" s="440" t="s">
        <v>2017</v>
      </c>
      <c r="D30" s="440">
        <v>0.0</v>
      </c>
      <c r="E30" s="440"/>
      <c r="F30" s="440" t="s">
        <v>2018</v>
      </c>
      <c r="G30" s="444" t="s">
        <v>2019</v>
      </c>
      <c r="H30" s="441">
        <f t="shared" si="1"/>
        <v>4</v>
      </c>
      <c r="I30" s="446"/>
      <c r="J30" s="442">
        <v>4.0</v>
      </c>
      <c r="K30" s="446"/>
      <c r="L30" s="446">
        <v>4.0</v>
      </c>
      <c r="M30" s="443"/>
      <c r="N30" s="446"/>
      <c r="O30" s="442">
        <v>-3.0</v>
      </c>
      <c r="P30" s="446"/>
      <c r="Q30" s="446">
        <v>-3.0</v>
      </c>
      <c r="R30" s="443"/>
      <c r="S30" s="446"/>
      <c r="T30" s="442">
        <v>3.0</v>
      </c>
      <c r="U30" s="446"/>
      <c r="V30" s="446">
        <v>3.0</v>
      </c>
      <c r="W30" s="443"/>
    </row>
    <row r="31" ht="15.75" customHeight="1">
      <c r="A31" s="438" t="s">
        <v>1730</v>
      </c>
      <c r="B31" s="438" t="s">
        <v>2016</v>
      </c>
      <c r="C31" s="440" t="s">
        <v>2020</v>
      </c>
      <c r="D31" s="440">
        <v>0.0</v>
      </c>
      <c r="E31" s="440"/>
      <c r="F31" s="440" t="s">
        <v>2021</v>
      </c>
      <c r="G31" s="444" t="s">
        <v>2019</v>
      </c>
      <c r="H31" s="441">
        <f t="shared" si="1"/>
        <v>2.5</v>
      </c>
      <c r="I31" s="446"/>
      <c r="J31" s="442">
        <v>3.0</v>
      </c>
      <c r="K31" s="446"/>
      <c r="L31" s="446">
        <v>2.0</v>
      </c>
      <c r="M31" s="443"/>
      <c r="N31" s="446"/>
      <c r="O31" s="442">
        <v>-3.0</v>
      </c>
      <c r="P31" s="446"/>
      <c r="Q31" s="446">
        <v>-3.0</v>
      </c>
      <c r="R31" s="443"/>
      <c r="S31" s="446"/>
      <c r="T31" s="442">
        <v>3.0</v>
      </c>
      <c r="U31" s="446"/>
      <c r="V31" s="446">
        <v>3.0</v>
      </c>
      <c r="W31" s="443"/>
    </row>
    <row r="32" ht="15.75" customHeight="1">
      <c r="A32" s="438" t="s">
        <v>1730</v>
      </c>
      <c r="B32" s="438" t="s">
        <v>2016</v>
      </c>
      <c r="C32" s="440" t="s">
        <v>2022</v>
      </c>
      <c r="D32" s="440">
        <v>1.0</v>
      </c>
      <c r="E32" s="440"/>
      <c r="F32" s="440" t="s">
        <v>2023</v>
      </c>
      <c r="G32" s="444" t="s">
        <v>2019</v>
      </c>
      <c r="H32" s="441">
        <f t="shared" si="1"/>
        <v>4</v>
      </c>
      <c r="I32" s="446"/>
      <c r="J32" s="442">
        <v>2.0</v>
      </c>
      <c r="K32" s="446"/>
      <c r="L32" s="446">
        <v>2.0</v>
      </c>
      <c r="M32" s="443"/>
      <c r="N32" s="446"/>
      <c r="O32" s="442">
        <v>-1.0</v>
      </c>
      <c r="P32" s="446"/>
      <c r="Q32" s="446">
        <v>0.0</v>
      </c>
      <c r="R32" s="443"/>
      <c r="S32" s="446"/>
      <c r="T32" s="442">
        <v>2.0</v>
      </c>
      <c r="U32" s="446"/>
      <c r="V32" s="446">
        <v>5.0</v>
      </c>
      <c r="W32" s="443"/>
    </row>
    <row r="33" ht="15.75" customHeight="1">
      <c r="A33" s="438" t="s">
        <v>1730</v>
      </c>
      <c r="B33" s="438" t="s">
        <v>2016</v>
      </c>
      <c r="C33" s="440" t="s">
        <v>2024</v>
      </c>
      <c r="D33" s="440">
        <v>1.0</v>
      </c>
      <c r="E33" s="440">
        <v>2.0</v>
      </c>
      <c r="F33" s="440" t="s">
        <v>2025</v>
      </c>
      <c r="G33" s="444" t="s">
        <v>2019</v>
      </c>
      <c r="H33" s="441">
        <f t="shared" si="1"/>
        <v>0</v>
      </c>
      <c r="I33" s="446"/>
      <c r="J33" s="442">
        <v>3.0</v>
      </c>
      <c r="K33" s="446"/>
      <c r="L33" s="446">
        <v>2.0</v>
      </c>
      <c r="M33" s="443"/>
      <c r="N33" s="446"/>
      <c r="O33" s="442">
        <v>-4.0</v>
      </c>
      <c r="P33" s="446"/>
      <c r="Q33" s="446">
        <v>-2.0</v>
      </c>
      <c r="R33" s="443"/>
      <c r="S33" s="446"/>
      <c r="T33" s="442">
        <v>3.0</v>
      </c>
      <c r="U33" s="446"/>
      <c r="V33" s="446">
        <v>4.0</v>
      </c>
      <c r="W33" s="443"/>
    </row>
    <row r="34" ht="15.75" customHeight="1">
      <c r="A34" s="438" t="s">
        <v>1730</v>
      </c>
      <c r="B34" s="438" t="s">
        <v>2016</v>
      </c>
      <c r="C34" s="440" t="s">
        <v>2026</v>
      </c>
      <c r="D34" s="440">
        <v>1.0</v>
      </c>
      <c r="E34" s="440"/>
      <c r="F34" s="440" t="s">
        <v>2027</v>
      </c>
      <c r="G34" s="444" t="s">
        <v>2019</v>
      </c>
      <c r="H34" s="441">
        <f t="shared" si="1"/>
        <v>4</v>
      </c>
      <c r="I34" s="446"/>
      <c r="J34" s="442">
        <v>3.0</v>
      </c>
      <c r="K34" s="446"/>
      <c r="L34" s="446">
        <v>2.0</v>
      </c>
      <c r="M34" s="443"/>
      <c r="N34" s="446"/>
      <c r="O34" s="442">
        <v>-2.0</v>
      </c>
      <c r="P34" s="446"/>
      <c r="Q34" s="446">
        <v>0.0</v>
      </c>
      <c r="R34" s="443"/>
      <c r="S34" s="446"/>
      <c r="T34" s="442">
        <v>4.0</v>
      </c>
      <c r="U34" s="446"/>
      <c r="V34" s="446">
        <v>3.0</v>
      </c>
      <c r="W34" s="443"/>
    </row>
    <row r="35" ht="15.75" customHeight="1">
      <c r="A35" s="438" t="s">
        <v>1730</v>
      </c>
      <c r="B35" s="438" t="s">
        <v>2016</v>
      </c>
      <c r="C35" s="440" t="s">
        <v>2028</v>
      </c>
      <c r="D35" s="440">
        <v>2.0</v>
      </c>
      <c r="E35" s="440">
        <v>2.0</v>
      </c>
      <c r="F35" s="440" t="s">
        <v>2029</v>
      </c>
      <c r="G35" s="444" t="s">
        <v>2019</v>
      </c>
      <c r="H35" s="441">
        <f t="shared" si="1"/>
        <v>-1</v>
      </c>
      <c r="I35" s="446"/>
      <c r="J35" s="442">
        <v>2.0</v>
      </c>
      <c r="K35" s="446"/>
      <c r="L35" s="446">
        <v>2.0</v>
      </c>
      <c r="M35" s="443"/>
      <c r="N35" s="446"/>
      <c r="O35" s="442">
        <v>-3.0</v>
      </c>
      <c r="P35" s="446"/>
      <c r="Q35" s="446">
        <v>-3.0</v>
      </c>
      <c r="R35" s="443"/>
      <c r="S35" s="446"/>
      <c r="T35" s="442">
        <v>4.0</v>
      </c>
      <c r="U35" s="446"/>
      <c r="V35" s="446">
        <v>4.0</v>
      </c>
      <c r="W35" s="443"/>
    </row>
    <row r="36" ht="15.75" customHeight="1">
      <c r="A36" s="438" t="s">
        <v>1730</v>
      </c>
      <c r="B36" s="438" t="s">
        <v>2016</v>
      </c>
      <c r="C36" s="440" t="s">
        <v>2030</v>
      </c>
      <c r="D36" s="440">
        <v>2.0</v>
      </c>
      <c r="E36" s="440">
        <v>2.0</v>
      </c>
      <c r="F36" s="440" t="s">
        <v>2031</v>
      </c>
      <c r="G36" s="444" t="s">
        <v>2019</v>
      </c>
      <c r="H36" s="441">
        <f t="shared" si="1"/>
        <v>-0.5</v>
      </c>
      <c r="I36" s="446"/>
      <c r="J36" s="442">
        <v>2.0</v>
      </c>
      <c r="K36" s="446"/>
      <c r="L36" s="446">
        <v>2.0</v>
      </c>
      <c r="M36" s="443"/>
      <c r="N36" s="446"/>
      <c r="O36" s="442">
        <v>-2.0</v>
      </c>
      <c r="P36" s="446"/>
      <c r="Q36" s="446">
        <v>-2.0</v>
      </c>
      <c r="R36" s="443"/>
      <c r="S36" s="446"/>
      <c r="T36" s="442">
        <v>3.0</v>
      </c>
      <c r="U36" s="446"/>
      <c r="V36" s="446">
        <v>4.0</v>
      </c>
      <c r="W36" s="443"/>
    </row>
    <row r="37" ht="15.75" customHeight="1">
      <c r="A37" s="438" t="s">
        <v>1730</v>
      </c>
      <c r="B37" s="438" t="s">
        <v>2016</v>
      </c>
      <c r="C37" s="440" t="s">
        <v>2032</v>
      </c>
      <c r="D37" s="440">
        <v>2.0</v>
      </c>
      <c r="E37" s="440">
        <v>1.0</v>
      </c>
      <c r="F37" s="440" t="s">
        <v>2033</v>
      </c>
      <c r="G37" s="444" t="s">
        <v>2019</v>
      </c>
      <c r="H37" s="441">
        <f t="shared" si="1"/>
        <v>1.5</v>
      </c>
      <c r="I37" s="446"/>
      <c r="J37" s="442">
        <v>4.0</v>
      </c>
      <c r="K37" s="446"/>
      <c r="L37" s="446">
        <v>4.0</v>
      </c>
      <c r="M37" s="443"/>
      <c r="N37" s="446"/>
      <c r="O37" s="442">
        <v>-3.0</v>
      </c>
      <c r="P37" s="446"/>
      <c r="Q37" s="446">
        <v>-3.0</v>
      </c>
      <c r="R37" s="443"/>
      <c r="S37" s="446"/>
      <c r="T37" s="442">
        <v>3.0</v>
      </c>
      <c r="U37" s="446"/>
      <c r="V37" s="446">
        <v>4.0</v>
      </c>
      <c r="W37" s="443"/>
    </row>
    <row r="38" ht="15.75" customHeight="1">
      <c r="A38" s="438" t="s">
        <v>1730</v>
      </c>
      <c r="B38" s="438" t="s">
        <v>2016</v>
      </c>
      <c r="C38" s="440" t="s">
        <v>2034</v>
      </c>
      <c r="D38" s="440">
        <v>3.0</v>
      </c>
      <c r="E38" s="440">
        <v>2.0</v>
      </c>
      <c r="F38" s="440" t="s">
        <v>2035</v>
      </c>
      <c r="G38" s="444" t="s">
        <v>2019</v>
      </c>
      <c r="H38" s="441">
        <f t="shared" si="1"/>
        <v>-0.5</v>
      </c>
      <c r="I38" s="446"/>
      <c r="J38" s="442">
        <v>4.0</v>
      </c>
      <c r="K38" s="446"/>
      <c r="L38" s="446">
        <v>4.0</v>
      </c>
      <c r="M38" s="443"/>
      <c r="N38" s="446"/>
      <c r="O38" s="442">
        <v>-3.0</v>
      </c>
      <c r="P38" s="446"/>
      <c r="Q38" s="446">
        <v>-3.0</v>
      </c>
      <c r="R38" s="443"/>
      <c r="S38" s="446"/>
      <c r="T38" s="442">
        <v>3.0</v>
      </c>
      <c r="U38" s="446"/>
      <c r="V38" s="446">
        <v>4.0</v>
      </c>
      <c r="W38" s="443"/>
    </row>
    <row r="39" ht="15.75" customHeight="1">
      <c r="A39" s="438" t="s">
        <v>1730</v>
      </c>
      <c r="B39" s="438" t="s">
        <v>2016</v>
      </c>
      <c r="C39" s="440" t="s">
        <v>2036</v>
      </c>
      <c r="D39" s="440">
        <v>3.0</v>
      </c>
      <c r="E39" s="440">
        <v>3.0</v>
      </c>
      <c r="F39" s="440" t="s">
        <v>2037</v>
      </c>
      <c r="G39" s="444" t="s">
        <v>2019</v>
      </c>
      <c r="H39" s="441">
        <f t="shared" si="1"/>
        <v>-1.5</v>
      </c>
      <c r="I39" s="446"/>
      <c r="J39" s="442">
        <v>4.0</v>
      </c>
      <c r="K39" s="446"/>
      <c r="L39" s="446">
        <v>4.0</v>
      </c>
      <c r="M39" s="443"/>
      <c r="N39" s="446"/>
      <c r="O39" s="442">
        <v>-4.0</v>
      </c>
      <c r="P39" s="446"/>
      <c r="Q39" s="446">
        <v>-3.0</v>
      </c>
      <c r="R39" s="443"/>
      <c r="S39" s="446"/>
      <c r="T39" s="442">
        <v>5.0</v>
      </c>
      <c r="U39" s="446"/>
      <c r="V39" s="446">
        <v>3.0</v>
      </c>
      <c r="W39" s="443"/>
    </row>
    <row r="40" ht="15.75" customHeight="1">
      <c r="A40" s="438" t="s">
        <v>1730</v>
      </c>
      <c r="B40" s="438" t="s">
        <v>2038</v>
      </c>
      <c r="C40" s="440" t="s">
        <v>2039</v>
      </c>
      <c r="D40" s="440">
        <v>0.0</v>
      </c>
      <c r="E40" s="440"/>
      <c r="F40" s="440" t="s">
        <v>2040</v>
      </c>
      <c r="G40" s="444" t="s">
        <v>2041</v>
      </c>
      <c r="H40" s="441">
        <f t="shared" si="1"/>
        <v>6</v>
      </c>
      <c r="I40" s="446"/>
      <c r="J40" s="442">
        <v>4.0</v>
      </c>
      <c r="K40" s="446"/>
      <c r="L40" s="446">
        <v>4.0</v>
      </c>
      <c r="M40" s="443"/>
      <c r="N40" s="446"/>
      <c r="O40" s="442">
        <v>-2.0</v>
      </c>
      <c r="P40" s="446"/>
      <c r="Q40" s="446">
        <v>0.0</v>
      </c>
      <c r="R40" s="443"/>
      <c r="S40" s="446"/>
      <c r="T40" s="442">
        <v>3.0</v>
      </c>
      <c r="U40" s="446"/>
      <c r="V40" s="446">
        <v>3.0</v>
      </c>
      <c r="W40" s="443"/>
    </row>
    <row r="41" ht="15.75" customHeight="1">
      <c r="A41" s="438" t="s">
        <v>1730</v>
      </c>
      <c r="B41" s="438" t="s">
        <v>2038</v>
      </c>
      <c r="C41" s="440" t="s">
        <v>2042</v>
      </c>
      <c r="D41" s="440">
        <v>1.0</v>
      </c>
      <c r="E41" s="440">
        <v>1.0</v>
      </c>
      <c r="F41" s="440" t="s">
        <v>2043</v>
      </c>
      <c r="G41" s="444" t="s">
        <v>2041</v>
      </c>
      <c r="H41" s="441">
        <f t="shared" si="1"/>
        <v>3.5</v>
      </c>
      <c r="I41" s="446"/>
      <c r="J41" s="442">
        <v>4.0</v>
      </c>
      <c r="K41" s="446"/>
      <c r="L41" s="446">
        <v>4.0</v>
      </c>
      <c r="M41" s="443"/>
      <c r="N41" s="446"/>
      <c r="O41" s="442">
        <v>-2.0</v>
      </c>
      <c r="P41" s="446"/>
      <c r="Q41" s="446">
        <v>-2.0</v>
      </c>
      <c r="R41" s="443"/>
      <c r="S41" s="446"/>
      <c r="T41" s="442">
        <v>3.0</v>
      </c>
      <c r="U41" s="446"/>
      <c r="V41" s="446">
        <v>4.0</v>
      </c>
      <c r="W41" s="443"/>
    </row>
    <row r="42" ht="15.75" customHeight="1">
      <c r="A42" s="438" t="s">
        <v>1730</v>
      </c>
      <c r="B42" s="438" t="s">
        <v>2038</v>
      </c>
      <c r="C42" s="440" t="s">
        <v>2044</v>
      </c>
      <c r="D42" s="440">
        <v>1.0</v>
      </c>
      <c r="E42" s="440">
        <v>1.0</v>
      </c>
      <c r="F42" s="440" t="s">
        <v>2045</v>
      </c>
      <c r="G42" s="444" t="s">
        <v>2041</v>
      </c>
      <c r="H42" s="441">
        <f t="shared" si="1"/>
        <v>2</v>
      </c>
      <c r="I42" s="446"/>
      <c r="J42" s="442">
        <v>2.0</v>
      </c>
      <c r="K42" s="446"/>
      <c r="L42" s="446">
        <v>2.0</v>
      </c>
      <c r="M42" s="443"/>
      <c r="N42" s="446"/>
      <c r="O42" s="442">
        <v>-2.0</v>
      </c>
      <c r="P42" s="446"/>
      <c r="Q42" s="446">
        <v>-1.0</v>
      </c>
      <c r="R42" s="443"/>
      <c r="S42" s="446"/>
      <c r="T42" s="442">
        <v>4.0</v>
      </c>
      <c r="U42" s="446"/>
      <c r="V42" s="446">
        <v>3.0</v>
      </c>
      <c r="W42" s="443"/>
    </row>
    <row r="43" ht="15.75" customHeight="1">
      <c r="A43" s="438" t="s">
        <v>1730</v>
      </c>
      <c r="B43" s="438" t="s">
        <v>2038</v>
      </c>
      <c r="C43" s="440" t="s">
        <v>2046</v>
      </c>
      <c r="D43" s="440">
        <v>1.0</v>
      </c>
      <c r="E43" s="440">
        <v>1.0</v>
      </c>
      <c r="F43" s="440" t="s">
        <v>2047</v>
      </c>
      <c r="G43" s="444" t="s">
        <v>2041</v>
      </c>
      <c r="H43" s="441">
        <f t="shared" si="1"/>
        <v>1.5</v>
      </c>
      <c r="I43" s="446"/>
      <c r="J43" s="442">
        <v>2.0</v>
      </c>
      <c r="K43" s="446"/>
      <c r="L43" s="446">
        <v>2.0</v>
      </c>
      <c r="M43" s="443"/>
      <c r="N43" s="446"/>
      <c r="O43" s="442">
        <v>-2.0</v>
      </c>
      <c r="P43" s="446"/>
      <c r="Q43" s="446">
        <v>-1.0</v>
      </c>
      <c r="R43" s="443"/>
      <c r="S43" s="446"/>
      <c r="T43" s="442">
        <v>3.0</v>
      </c>
      <c r="U43" s="446"/>
      <c r="V43" s="446">
        <v>3.0</v>
      </c>
      <c r="W43" s="443"/>
    </row>
    <row r="44" ht="15.75" customHeight="1">
      <c r="A44" s="438" t="s">
        <v>1730</v>
      </c>
      <c r="B44" s="438" t="s">
        <v>2038</v>
      </c>
      <c r="C44" s="440" t="s">
        <v>2048</v>
      </c>
      <c r="D44" s="440">
        <v>2.0</v>
      </c>
      <c r="E44" s="440"/>
      <c r="F44" s="440" t="s">
        <v>2049</v>
      </c>
      <c r="G44" s="444" t="s">
        <v>2041</v>
      </c>
      <c r="H44" s="441">
        <f t="shared" si="1"/>
        <v>5</v>
      </c>
      <c r="I44" s="446"/>
      <c r="J44" s="442">
        <v>4.0</v>
      </c>
      <c r="K44" s="446"/>
      <c r="L44" s="446">
        <v>4.0</v>
      </c>
      <c r="M44" s="443"/>
      <c r="N44" s="446"/>
      <c r="O44" s="442">
        <v>-1.0</v>
      </c>
      <c r="P44" s="446"/>
      <c r="Q44" s="446">
        <v>-1.0</v>
      </c>
      <c r="R44" s="443"/>
      <c r="S44" s="446"/>
      <c r="T44" s="442">
        <v>4.0</v>
      </c>
      <c r="U44" s="446"/>
      <c r="V44" s="446">
        <v>4.0</v>
      </c>
      <c r="W44" s="443"/>
    </row>
    <row r="45" ht="15.75" customHeight="1">
      <c r="A45" s="438" t="s">
        <v>1730</v>
      </c>
      <c r="B45" s="438" t="s">
        <v>2038</v>
      </c>
      <c r="C45" s="440" t="s">
        <v>2050</v>
      </c>
      <c r="D45" s="440">
        <v>2.0</v>
      </c>
      <c r="E45" s="440">
        <v>2.0</v>
      </c>
      <c r="F45" s="440" t="s">
        <v>2051</v>
      </c>
      <c r="G45" s="444" t="s">
        <v>2041</v>
      </c>
      <c r="H45" s="441">
        <f t="shared" si="1"/>
        <v>0.5</v>
      </c>
      <c r="I45" s="446"/>
      <c r="J45" s="442">
        <v>4.0</v>
      </c>
      <c r="K45" s="446"/>
      <c r="L45" s="446">
        <v>4.0</v>
      </c>
      <c r="M45" s="443"/>
      <c r="N45" s="446"/>
      <c r="O45" s="442">
        <v>-4.0</v>
      </c>
      <c r="P45" s="446"/>
      <c r="Q45" s="446">
        <v>-3.0</v>
      </c>
      <c r="R45" s="443"/>
      <c r="S45" s="446"/>
      <c r="T45" s="442">
        <v>4.0</v>
      </c>
      <c r="U45" s="446"/>
      <c r="V45" s="446">
        <v>4.0</v>
      </c>
      <c r="W45" s="443"/>
    </row>
    <row r="46" ht="15.75" customHeight="1">
      <c r="A46" s="438" t="s">
        <v>1730</v>
      </c>
      <c r="B46" s="438" t="s">
        <v>2038</v>
      </c>
      <c r="C46" s="440" t="s">
        <v>2052</v>
      </c>
      <c r="D46" s="440">
        <v>2.0</v>
      </c>
      <c r="E46" s="440">
        <v>2.0</v>
      </c>
      <c r="F46" s="440" t="s">
        <v>2053</v>
      </c>
      <c r="G46" s="444" t="s">
        <v>2041</v>
      </c>
      <c r="H46" s="441">
        <f t="shared" si="1"/>
        <v>3.5</v>
      </c>
      <c r="I46" s="446"/>
      <c r="J46" s="442">
        <v>4.0</v>
      </c>
      <c r="K46" s="446"/>
      <c r="L46" s="446">
        <v>4.0</v>
      </c>
      <c r="M46" s="443"/>
      <c r="N46" s="446"/>
      <c r="O46" s="442">
        <v>-1.0</v>
      </c>
      <c r="P46" s="446"/>
      <c r="Q46" s="446">
        <v>-1.0</v>
      </c>
      <c r="R46" s="443"/>
      <c r="S46" s="446"/>
      <c r="T46" s="442">
        <v>5.0</v>
      </c>
      <c r="U46" s="446"/>
      <c r="V46" s="446">
        <v>4.0</v>
      </c>
      <c r="W46" s="443"/>
    </row>
    <row r="47" ht="15.75" customHeight="1">
      <c r="A47" s="438" t="s">
        <v>1730</v>
      </c>
      <c r="B47" s="438" t="s">
        <v>2038</v>
      </c>
      <c r="C47" s="440" t="s">
        <v>2054</v>
      </c>
      <c r="D47" s="440">
        <v>3.0</v>
      </c>
      <c r="E47" s="440">
        <v>3.0</v>
      </c>
      <c r="F47" s="440" t="s">
        <v>2055</v>
      </c>
      <c r="G47" s="444" t="s">
        <v>2041</v>
      </c>
      <c r="H47" s="441">
        <f t="shared" si="1"/>
        <v>0</v>
      </c>
      <c r="I47" s="446"/>
      <c r="J47" s="442">
        <v>4.0</v>
      </c>
      <c r="K47" s="446"/>
      <c r="L47" s="446">
        <v>4.0</v>
      </c>
      <c r="M47" s="443"/>
      <c r="N47" s="446"/>
      <c r="O47" s="442">
        <v>-3.0</v>
      </c>
      <c r="P47" s="446"/>
      <c r="Q47" s="446">
        <v>-3.0</v>
      </c>
      <c r="R47" s="443"/>
      <c r="S47" s="446"/>
      <c r="T47" s="442">
        <v>5.0</v>
      </c>
      <c r="U47" s="446"/>
      <c r="V47" s="446">
        <v>5.0</v>
      </c>
      <c r="W47" s="443"/>
    </row>
    <row r="48" ht="15.75" customHeight="1">
      <c r="A48" s="438" t="s">
        <v>1730</v>
      </c>
      <c r="B48" s="438" t="s">
        <v>2038</v>
      </c>
      <c r="C48" s="440" t="s">
        <v>2056</v>
      </c>
      <c r="D48" s="440">
        <v>3.0</v>
      </c>
      <c r="E48" s="440">
        <v>2.0</v>
      </c>
      <c r="F48" s="440" t="s">
        <v>2057</v>
      </c>
      <c r="G48" s="444" t="s">
        <v>2041</v>
      </c>
      <c r="H48" s="441">
        <f t="shared" si="1"/>
        <v>1</v>
      </c>
      <c r="I48" s="446"/>
      <c r="J48" s="442">
        <v>4.0</v>
      </c>
      <c r="K48" s="446"/>
      <c r="L48" s="446">
        <v>4.0</v>
      </c>
      <c r="M48" s="443"/>
      <c r="N48" s="446"/>
      <c r="O48" s="442">
        <v>-2.0</v>
      </c>
      <c r="P48" s="446"/>
      <c r="Q48" s="446">
        <v>-2.0</v>
      </c>
      <c r="R48" s="443"/>
      <c r="S48" s="446"/>
      <c r="T48" s="442">
        <v>5.0</v>
      </c>
      <c r="U48" s="446"/>
      <c r="V48" s="446">
        <v>3.0</v>
      </c>
      <c r="W48" s="443"/>
    </row>
    <row r="49" ht="15.75" customHeight="1">
      <c r="A49" s="438" t="s">
        <v>1730</v>
      </c>
      <c r="B49" s="438" t="s">
        <v>2058</v>
      </c>
      <c r="C49" s="440" t="s">
        <v>2059</v>
      </c>
      <c r="D49" s="440">
        <v>0.0</v>
      </c>
      <c r="E49" s="440"/>
      <c r="F49" s="440" t="s">
        <v>2060</v>
      </c>
      <c r="G49" s="444" t="s">
        <v>2061</v>
      </c>
      <c r="H49" s="441">
        <f t="shared" si="1"/>
        <v>0</v>
      </c>
      <c r="I49" s="446"/>
      <c r="J49" s="442">
        <v>0.0</v>
      </c>
      <c r="K49" s="446"/>
      <c r="L49" s="446">
        <v>0.0</v>
      </c>
      <c r="M49" s="443"/>
      <c r="N49" s="446"/>
      <c r="O49" s="442">
        <v>0.0</v>
      </c>
      <c r="P49" s="446"/>
      <c r="Q49" s="446">
        <v>0.0</v>
      </c>
      <c r="R49" s="443"/>
      <c r="S49" s="446"/>
      <c r="T49" s="442">
        <v>0.0</v>
      </c>
      <c r="U49" s="446"/>
      <c r="V49" s="446">
        <v>0.0</v>
      </c>
      <c r="W49" s="443"/>
    </row>
    <row r="50" ht="15.75" customHeight="1">
      <c r="A50" s="438" t="s">
        <v>1730</v>
      </c>
      <c r="B50" s="438" t="s">
        <v>2058</v>
      </c>
      <c r="C50" s="440" t="s">
        <v>2062</v>
      </c>
      <c r="D50" s="440">
        <v>1.0</v>
      </c>
      <c r="E50" s="440">
        <v>1.0</v>
      </c>
      <c r="F50" s="440" t="s">
        <v>2063</v>
      </c>
      <c r="G50" s="444" t="s">
        <v>2061</v>
      </c>
      <c r="H50" s="441">
        <f t="shared" si="1"/>
        <v>4.5</v>
      </c>
      <c r="I50" s="446"/>
      <c r="J50" s="442">
        <v>4.0</v>
      </c>
      <c r="K50" s="446"/>
      <c r="L50" s="446">
        <v>4.0</v>
      </c>
      <c r="M50" s="443"/>
      <c r="N50" s="446"/>
      <c r="O50" s="442">
        <v>0.0</v>
      </c>
      <c r="P50" s="446"/>
      <c r="Q50" s="446">
        <v>0.0</v>
      </c>
      <c r="R50" s="443"/>
      <c r="S50" s="446"/>
      <c r="T50" s="442">
        <v>2.0</v>
      </c>
      <c r="U50" s="446"/>
      <c r="V50" s="446">
        <v>3.0</v>
      </c>
      <c r="W50" s="443"/>
    </row>
    <row r="51" ht="15.75" customHeight="1">
      <c r="A51" s="438" t="s">
        <v>1730</v>
      </c>
      <c r="B51" s="438" t="s">
        <v>2058</v>
      </c>
      <c r="C51" s="440" t="s">
        <v>2064</v>
      </c>
      <c r="D51" s="440">
        <v>2.0</v>
      </c>
      <c r="E51" s="440"/>
      <c r="F51" s="440" t="s">
        <v>2065</v>
      </c>
      <c r="G51" s="444" t="s">
        <v>2061</v>
      </c>
      <c r="H51" s="441">
        <f t="shared" si="1"/>
        <v>2.5</v>
      </c>
      <c r="I51" s="446"/>
      <c r="J51" s="442">
        <v>2.0</v>
      </c>
      <c r="K51" s="446"/>
      <c r="L51" s="446">
        <v>3.0</v>
      </c>
      <c r="M51" s="443"/>
      <c r="N51" s="446"/>
      <c r="O51" s="442">
        <v>-1.0</v>
      </c>
      <c r="P51" s="446"/>
      <c r="Q51" s="446">
        <v>-2.0</v>
      </c>
      <c r="R51" s="443"/>
      <c r="S51" s="446"/>
      <c r="T51" s="442">
        <v>4.0</v>
      </c>
      <c r="U51" s="446"/>
      <c r="V51" s="446">
        <v>3.0</v>
      </c>
      <c r="W51" s="443"/>
    </row>
    <row r="52" ht="15.75" customHeight="1">
      <c r="A52" s="438" t="s">
        <v>1730</v>
      </c>
      <c r="B52" s="438" t="s">
        <v>2058</v>
      </c>
      <c r="C52" s="440" t="s">
        <v>2066</v>
      </c>
      <c r="D52" s="440">
        <v>3.0</v>
      </c>
      <c r="E52" s="440"/>
      <c r="F52" s="440" t="s">
        <v>2067</v>
      </c>
      <c r="G52" s="444" t="s">
        <v>2061</v>
      </c>
      <c r="H52" s="441">
        <f t="shared" si="1"/>
        <v>3</v>
      </c>
      <c r="I52" s="446"/>
      <c r="J52" s="442">
        <v>4.0</v>
      </c>
      <c r="K52" s="446"/>
      <c r="L52" s="446">
        <v>3.0</v>
      </c>
      <c r="M52" s="443"/>
      <c r="N52" s="446"/>
      <c r="O52" s="442">
        <v>-2.0</v>
      </c>
      <c r="P52" s="446"/>
      <c r="Q52" s="446">
        <v>-1.0</v>
      </c>
      <c r="R52" s="443"/>
      <c r="S52" s="446"/>
      <c r="T52" s="442">
        <v>4.0</v>
      </c>
      <c r="U52" s="446"/>
      <c r="V52" s="446">
        <v>4.0</v>
      </c>
      <c r="W52" s="443"/>
    </row>
    <row r="53" ht="15.75" customHeight="1">
      <c r="A53" s="438" t="s">
        <v>1730</v>
      </c>
      <c r="B53" s="438" t="s">
        <v>2068</v>
      </c>
      <c r="C53" s="440" t="s">
        <v>2069</v>
      </c>
      <c r="D53" s="440">
        <v>0.0</v>
      </c>
      <c r="E53" s="440"/>
      <c r="F53" s="440" t="s">
        <v>2070</v>
      </c>
      <c r="G53" s="444" t="s">
        <v>2071</v>
      </c>
      <c r="H53" s="441">
        <f t="shared" si="1"/>
        <v>0</v>
      </c>
      <c r="I53" s="446"/>
      <c r="J53" s="442">
        <v>0.0</v>
      </c>
      <c r="K53" s="446"/>
      <c r="L53" s="446">
        <v>0.0</v>
      </c>
      <c r="M53" s="443"/>
      <c r="N53" s="446"/>
      <c r="O53" s="442">
        <v>0.0</v>
      </c>
      <c r="P53" s="446"/>
      <c r="Q53" s="446">
        <v>0.0</v>
      </c>
      <c r="R53" s="443"/>
      <c r="S53" s="446"/>
      <c r="T53" s="442">
        <v>0.0</v>
      </c>
      <c r="U53" s="446"/>
      <c r="V53" s="446">
        <v>0.0</v>
      </c>
      <c r="W53" s="443"/>
    </row>
    <row r="54" ht="15.75" customHeight="1">
      <c r="A54" s="438" t="s">
        <v>1730</v>
      </c>
      <c r="B54" s="438" t="s">
        <v>2068</v>
      </c>
      <c r="C54" s="440" t="s">
        <v>2072</v>
      </c>
      <c r="D54" s="440">
        <v>1.0</v>
      </c>
      <c r="E54" s="440"/>
      <c r="F54" s="440" t="s">
        <v>2073</v>
      </c>
      <c r="G54" s="444" t="s">
        <v>2071</v>
      </c>
      <c r="H54" s="441">
        <f t="shared" si="1"/>
        <v>1</v>
      </c>
      <c r="I54" s="446"/>
      <c r="J54" s="442">
        <v>2.0</v>
      </c>
      <c r="K54" s="446"/>
      <c r="L54" s="446">
        <v>2.0</v>
      </c>
      <c r="M54" s="443"/>
      <c r="N54" s="446"/>
      <c r="O54" s="442">
        <v>-1.0</v>
      </c>
      <c r="P54" s="446"/>
      <c r="Q54" s="446">
        <v>0.0</v>
      </c>
      <c r="R54" s="443"/>
      <c r="S54" s="446"/>
      <c r="T54" s="442">
        <v>1.0</v>
      </c>
      <c r="U54" s="446"/>
      <c r="V54" s="446">
        <v>0.0</v>
      </c>
      <c r="W54" s="443"/>
    </row>
    <row r="55" ht="15.75" customHeight="1">
      <c r="A55" s="438" t="s">
        <v>1730</v>
      </c>
      <c r="B55" s="438" t="s">
        <v>2068</v>
      </c>
      <c r="C55" s="440" t="s">
        <v>2074</v>
      </c>
      <c r="D55" s="440">
        <v>2.0</v>
      </c>
      <c r="E55" s="440"/>
      <c r="F55" s="440" t="s">
        <v>2075</v>
      </c>
      <c r="G55" s="444" t="s">
        <v>2071</v>
      </c>
      <c r="H55" s="441">
        <f t="shared" si="1"/>
        <v>2</v>
      </c>
      <c r="I55" s="446"/>
      <c r="J55" s="442">
        <v>2.0</v>
      </c>
      <c r="K55" s="446"/>
      <c r="L55" s="446">
        <v>3.0</v>
      </c>
      <c r="M55" s="443"/>
      <c r="N55" s="446"/>
      <c r="O55" s="442">
        <v>-1.0</v>
      </c>
      <c r="P55" s="446"/>
      <c r="Q55" s="446">
        <v>-2.0</v>
      </c>
      <c r="R55" s="443"/>
      <c r="S55" s="446"/>
      <c r="T55" s="442">
        <v>2.0</v>
      </c>
      <c r="U55" s="446"/>
      <c r="V55" s="446">
        <v>4.0</v>
      </c>
      <c r="W55" s="443"/>
    </row>
    <row r="56" ht="15.75" customHeight="1">
      <c r="A56" s="438" t="s">
        <v>1730</v>
      </c>
      <c r="B56" s="438" t="s">
        <v>2068</v>
      </c>
      <c r="C56" s="440" t="s">
        <v>2076</v>
      </c>
      <c r="D56" s="440">
        <v>3.0</v>
      </c>
      <c r="E56" s="440"/>
      <c r="F56" s="440" t="s">
        <v>2077</v>
      </c>
      <c r="G56" s="444" t="s">
        <v>2071</v>
      </c>
      <c r="H56" s="441">
        <f t="shared" si="1"/>
        <v>2</v>
      </c>
      <c r="I56" s="446"/>
      <c r="J56" s="442">
        <v>4.0</v>
      </c>
      <c r="K56" s="446"/>
      <c r="L56" s="446">
        <v>4.0</v>
      </c>
      <c r="M56" s="443"/>
      <c r="N56" s="446"/>
      <c r="O56" s="442">
        <v>-2.0</v>
      </c>
      <c r="P56" s="446"/>
      <c r="Q56" s="446">
        <v>-1.0</v>
      </c>
      <c r="R56" s="443"/>
      <c r="S56" s="446"/>
      <c r="T56" s="442">
        <v>2.0</v>
      </c>
      <c r="U56" s="446"/>
      <c r="V56" s="446">
        <v>3.0</v>
      </c>
      <c r="W56" s="443"/>
    </row>
    <row r="57" ht="15.75" customHeight="1">
      <c r="A57" s="438" t="s">
        <v>1730</v>
      </c>
      <c r="B57" s="438" t="s">
        <v>2078</v>
      </c>
      <c r="C57" s="440" t="s">
        <v>2079</v>
      </c>
      <c r="D57" s="440">
        <v>0.0</v>
      </c>
      <c r="E57" s="440"/>
      <c r="F57" s="440" t="s">
        <v>2080</v>
      </c>
      <c r="G57" s="444" t="s">
        <v>2081</v>
      </c>
      <c r="H57" s="441">
        <f t="shared" si="1"/>
        <v>0</v>
      </c>
      <c r="I57" s="446"/>
      <c r="J57" s="442">
        <v>0.0</v>
      </c>
      <c r="K57" s="446"/>
      <c r="L57" s="446">
        <v>0.0</v>
      </c>
      <c r="M57" s="443"/>
      <c r="N57" s="446"/>
      <c r="O57" s="442">
        <v>0.0</v>
      </c>
      <c r="P57" s="446"/>
      <c r="Q57" s="446">
        <v>0.0</v>
      </c>
      <c r="R57" s="443"/>
      <c r="S57" s="446"/>
      <c r="T57" s="442">
        <v>0.0</v>
      </c>
      <c r="U57" s="446"/>
      <c r="V57" s="446">
        <v>0.0</v>
      </c>
      <c r="W57" s="443"/>
    </row>
    <row r="58" ht="15.75" customHeight="1">
      <c r="A58" s="438" t="s">
        <v>1730</v>
      </c>
      <c r="B58" s="438" t="s">
        <v>2078</v>
      </c>
      <c r="C58" s="440" t="s">
        <v>2082</v>
      </c>
      <c r="D58" s="440">
        <v>1.0</v>
      </c>
      <c r="E58" s="440">
        <v>2.0</v>
      </c>
      <c r="F58" s="440" t="s">
        <v>2083</v>
      </c>
      <c r="G58" s="444" t="s">
        <v>2081</v>
      </c>
      <c r="H58" s="441">
        <f t="shared" si="1"/>
        <v>2.5</v>
      </c>
      <c r="I58" s="446"/>
      <c r="J58" s="442">
        <v>2.0</v>
      </c>
      <c r="K58" s="446"/>
      <c r="L58" s="446">
        <v>2.0</v>
      </c>
      <c r="M58" s="443"/>
      <c r="N58" s="446"/>
      <c r="O58" s="442">
        <v>-1.0</v>
      </c>
      <c r="P58" s="446"/>
      <c r="Q58" s="446">
        <v>-1.0</v>
      </c>
      <c r="R58" s="443"/>
      <c r="S58" s="446"/>
      <c r="T58" s="442">
        <v>5.0</v>
      </c>
      <c r="U58" s="446"/>
      <c r="V58" s="446">
        <v>4.0</v>
      </c>
      <c r="W58" s="443"/>
    </row>
    <row r="59" ht="15.75" customHeight="1">
      <c r="A59" s="438" t="s">
        <v>1730</v>
      </c>
      <c r="B59" s="438" t="s">
        <v>2078</v>
      </c>
      <c r="C59" s="440" t="s">
        <v>2084</v>
      </c>
      <c r="D59" s="440">
        <v>2.0</v>
      </c>
      <c r="E59" s="440"/>
      <c r="F59" s="440" t="s">
        <v>2085</v>
      </c>
      <c r="G59" s="444" t="s">
        <v>2081</v>
      </c>
      <c r="H59" s="441">
        <f t="shared" si="1"/>
        <v>1.5</v>
      </c>
      <c r="I59" s="446"/>
      <c r="J59" s="442">
        <v>4.0</v>
      </c>
      <c r="K59" s="446"/>
      <c r="L59" s="446">
        <v>4.0</v>
      </c>
      <c r="M59" s="443"/>
      <c r="N59" s="446"/>
      <c r="O59" s="442">
        <v>-4.0</v>
      </c>
      <c r="P59" s="446"/>
      <c r="Q59" s="446">
        <v>-4.0</v>
      </c>
      <c r="R59" s="443"/>
      <c r="S59" s="446"/>
      <c r="T59" s="442">
        <v>3.0</v>
      </c>
      <c r="U59" s="446"/>
      <c r="V59" s="446">
        <v>4.0</v>
      </c>
      <c r="W59" s="443"/>
    </row>
    <row r="60" ht="15.75" customHeight="1">
      <c r="A60" s="438" t="s">
        <v>1730</v>
      </c>
      <c r="B60" s="438" t="s">
        <v>2078</v>
      </c>
      <c r="C60" s="440" t="s">
        <v>2086</v>
      </c>
      <c r="D60" s="440">
        <v>3.0</v>
      </c>
      <c r="E60" s="440">
        <v>1.0</v>
      </c>
      <c r="F60" s="440" t="s">
        <v>2087</v>
      </c>
      <c r="G60" s="444" t="s">
        <v>2081</v>
      </c>
      <c r="H60" s="441">
        <f t="shared" si="1"/>
        <v>0.5</v>
      </c>
      <c r="I60" s="446"/>
      <c r="J60" s="442">
        <v>2.0</v>
      </c>
      <c r="K60" s="446"/>
      <c r="L60" s="446">
        <v>3.0</v>
      </c>
      <c r="M60" s="443"/>
      <c r="N60" s="446"/>
      <c r="O60" s="442">
        <v>-3.0</v>
      </c>
      <c r="P60" s="446"/>
      <c r="Q60" s="446">
        <v>-2.0</v>
      </c>
      <c r="R60" s="443"/>
      <c r="S60" s="446"/>
      <c r="T60" s="442">
        <v>4.0</v>
      </c>
      <c r="U60" s="446"/>
      <c r="V60" s="446">
        <v>5.0</v>
      </c>
      <c r="W60" s="443"/>
    </row>
    <row r="61" ht="15.75" customHeight="1">
      <c r="A61" s="438" t="s">
        <v>1730</v>
      </c>
      <c r="B61" s="438" t="s">
        <v>2088</v>
      </c>
      <c r="C61" s="440" t="s">
        <v>2089</v>
      </c>
      <c r="D61" s="440">
        <v>0.0</v>
      </c>
      <c r="E61" s="440"/>
      <c r="F61" s="440" t="s">
        <v>2090</v>
      </c>
      <c r="G61" s="444" t="s">
        <v>2091</v>
      </c>
      <c r="H61" s="441">
        <f t="shared" si="1"/>
        <v>4.5</v>
      </c>
      <c r="I61" s="446"/>
      <c r="J61" s="442">
        <v>2.0</v>
      </c>
      <c r="K61" s="446"/>
      <c r="L61" s="446">
        <v>2.0</v>
      </c>
      <c r="M61" s="443"/>
      <c r="N61" s="446"/>
      <c r="O61" s="442">
        <v>0.0</v>
      </c>
      <c r="P61" s="446"/>
      <c r="Q61" s="446">
        <v>-1.0</v>
      </c>
      <c r="R61" s="443"/>
      <c r="S61" s="446"/>
      <c r="T61" s="442">
        <v>3.0</v>
      </c>
      <c r="U61" s="446"/>
      <c r="V61" s="446">
        <v>3.0</v>
      </c>
      <c r="W61" s="443"/>
    </row>
    <row r="62" ht="15.75" customHeight="1">
      <c r="A62" s="438" t="s">
        <v>1730</v>
      </c>
      <c r="B62" s="438" t="s">
        <v>2088</v>
      </c>
      <c r="C62" s="440" t="s">
        <v>2092</v>
      </c>
      <c r="D62" s="440"/>
      <c r="E62" s="440">
        <v>1.0</v>
      </c>
      <c r="F62" s="440" t="s">
        <v>2093</v>
      </c>
      <c r="G62" s="444" t="s">
        <v>2091</v>
      </c>
      <c r="H62" s="441">
        <f t="shared" si="1"/>
        <v>2</v>
      </c>
      <c r="I62" s="446"/>
      <c r="J62" s="442">
        <v>2.0</v>
      </c>
      <c r="K62" s="446"/>
      <c r="L62" s="446">
        <v>2.0</v>
      </c>
      <c r="M62" s="443"/>
      <c r="N62" s="446"/>
      <c r="O62" s="442">
        <v>-2.0</v>
      </c>
      <c r="P62" s="446"/>
      <c r="Q62" s="446">
        <v>-2.0</v>
      </c>
      <c r="R62" s="443"/>
      <c r="S62" s="446"/>
      <c r="T62" s="442">
        <v>3.0</v>
      </c>
      <c r="U62" s="446"/>
      <c r="V62" s="446">
        <v>3.0</v>
      </c>
      <c r="W62" s="443"/>
    </row>
    <row r="63" ht="15.75" customHeight="1">
      <c r="A63" s="438" t="s">
        <v>1730</v>
      </c>
      <c r="B63" s="438" t="s">
        <v>2088</v>
      </c>
      <c r="C63" s="440" t="s">
        <v>2094</v>
      </c>
      <c r="D63" s="440"/>
      <c r="E63" s="440">
        <v>1.0</v>
      </c>
      <c r="F63" s="440" t="s">
        <v>2095</v>
      </c>
      <c r="G63" s="444" t="s">
        <v>2091</v>
      </c>
      <c r="H63" s="441">
        <f t="shared" si="1"/>
        <v>4</v>
      </c>
      <c r="I63" s="446"/>
      <c r="J63" s="442">
        <v>4.0</v>
      </c>
      <c r="K63" s="446"/>
      <c r="L63" s="446">
        <v>4.0</v>
      </c>
      <c r="M63" s="443"/>
      <c r="N63" s="446"/>
      <c r="O63" s="442">
        <v>-2.0</v>
      </c>
      <c r="P63" s="446"/>
      <c r="Q63" s="446">
        <v>-2.0</v>
      </c>
      <c r="R63" s="443"/>
      <c r="S63" s="446"/>
      <c r="T63" s="442">
        <v>3.0</v>
      </c>
      <c r="U63" s="446"/>
      <c r="V63" s="446">
        <v>3.0</v>
      </c>
      <c r="W63" s="443"/>
    </row>
    <row r="64" ht="15.75" customHeight="1">
      <c r="A64" s="438" t="s">
        <v>1730</v>
      </c>
      <c r="B64" s="438" t="s">
        <v>2088</v>
      </c>
      <c r="C64" s="440" t="s">
        <v>2096</v>
      </c>
      <c r="D64" s="440"/>
      <c r="E64" s="440">
        <v>1.0</v>
      </c>
      <c r="F64" s="440" t="s">
        <v>2097</v>
      </c>
      <c r="G64" s="444" t="s">
        <v>2091</v>
      </c>
      <c r="H64" s="441">
        <f t="shared" si="1"/>
        <v>5</v>
      </c>
      <c r="I64" s="446"/>
      <c r="J64" s="442">
        <v>4.0</v>
      </c>
      <c r="K64" s="446"/>
      <c r="L64" s="446">
        <v>4.0</v>
      </c>
      <c r="M64" s="443"/>
      <c r="N64" s="446"/>
      <c r="O64" s="442">
        <v>-2.0</v>
      </c>
      <c r="P64" s="446"/>
      <c r="Q64" s="446">
        <v>-2.0</v>
      </c>
      <c r="R64" s="443"/>
      <c r="S64" s="446"/>
      <c r="T64" s="442">
        <v>4.0</v>
      </c>
      <c r="U64" s="446"/>
      <c r="V64" s="446">
        <v>4.0</v>
      </c>
      <c r="W64" s="443"/>
    </row>
    <row r="65" ht="15.75" customHeight="1">
      <c r="A65" s="438" t="s">
        <v>1730</v>
      </c>
      <c r="B65" s="438" t="s">
        <v>2088</v>
      </c>
      <c r="C65" s="440" t="s">
        <v>2098</v>
      </c>
      <c r="D65" s="440"/>
      <c r="E65" s="440">
        <v>1.0</v>
      </c>
      <c r="F65" s="440" t="s">
        <v>2099</v>
      </c>
      <c r="G65" s="444" t="s">
        <v>2091</v>
      </c>
      <c r="H65" s="441">
        <f t="shared" si="1"/>
        <v>4.5</v>
      </c>
      <c r="I65" s="446"/>
      <c r="J65" s="442">
        <v>4.0</v>
      </c>
      <c r="K65" s="446"/>
      <c r="L65" s="446">
        <v>4.0</v>
      </c>
      <c r="M65" s="443"/>
      <c r="N65" s="446"/>
      <c r="O65" s="442">
        <v>-2.0</v>
      </c>
      <c r="P65" s="446"/>
      <c r="Q65" s="446">
        <v>-1.0</v>
      </c>
      <c r="R65" s="443"/>
      <c r="S65" s="446"/>
      <c r="T65" s="442">
        <v>3.0</v>
      </c>
      <c r="U65" s="446"/>
      <c r="V65" s="446">
        <v>3.0</v>
      </c>
      <c r="W65" s="443"/>
    </row>
    <row r="66" ht="15.75" customHeight="1">
      <c r="A66" s="438" t="s">
        <v>1730</v>
      </c>
      <c r="B66" s="438" t="s">
        <v>2088</v>
      </c>
      <c r="C66" s="440" t="s">
        <v>2100</v>
      </c>
      <c r="D66" s="440">
        <v>1.0</v>
      </c>
      <c r="E66" s="440"/>
      <c r="F66" s="440" t="s">
        <v>2101</v>
      </c>
      <c r="G66" s="444" t="s">
        <v>2091</v>
      </c>
      <c r="H66" s="441">
        <f t="shared" si="1"/>
        <v>3.5</v>
      </c>
      <c r="I66" s="446"/>
      <c r="J66" s="442">
        <v>2.0</v>
      </c>
      <c r="K66" s="446"/>
      <c r="L66" s="446">
        <v>2.0</v>
      </c>
      <c r="M66" s="443"/>
      <c r="N66" s="446"/>
      <c r="O66" s="442">
        <v>0.0</v>
      </c>
      <c r="P66" s="446"/>
      <c r="Q66" s="446">
        <v>-2.0</v>
      </c>
      <c r="R66" s="443"/>
      <c r="S66" s="446"/>
      <c r="T66" s="442">
        <v>4.0</v>
      </c>
      <c r="U66" s="446"/>
      <c r="V66" s="446">
        <v>3.0</v>
      </c>
      <c r="W66" s="443"/>
    </row>
    <row r="67" ht="15.75" customHeight="1">
      <c r="A67" s="438" t="s">
        <v>1730</v>
      </c>
      <c r="B67" s="438" t="s">
        <v>2088</v>
      </c>
      <c r="C67" s="440" t="s">
        <v>2102</v>
      </c>
      <c r="D67" s="440">
        <v>1.0</v>
      </c>
      <c r="E67" s="440"/>
      <c r="F67" s="440" t="s">
        <v>2103</v>
      </c>
      <c r="G67" s="444" t="s">
        <v>2091</v>
      </c>
      <c r="H67" s="441">
        <f t="shared" si="1"/>
        <v>5</v>
      </c>
      <c r="I67" s="446"/>
      <c r="J67" s="442">
        <v>4.0</v>
      </c>
      <c r="K67" s="446"/>
      <c r="L67" s="446">
        <v>4.0</v>
      </c>
      <c r="M67" s="443"/>
      <c r="N67" s="446"/>
      <c r="O67" s="442">
        <v>-1.0</v>
      </c>
      <c r="P67" s="446"/>
      <c r="Q67" s="446">
        <v>-3.0</v>
      </c>
      <c r="R67" s="443"/>
      <c r="S67" s="446"/>
      <c r="T67" s="442">
        <v>4.0</v>
      </c>
      <c r="U67" s="446"/>
      <c r="V67" s="446">
        <v>4.0</v>
      </c>
      <c r="W67" s="443"/>
    </row>
    <row r="68" ht="15.75" customHeight="1">
      <c r="A68" s="438" t="s">
        <v>1730</v>
      </c>
      <c r="B68" s="438" t="s">
        <v>2088</v>
      </c>
      <c r="C68" s="440" t="s">
        <v>2104</v>
      </c>
      <c r="D68" s="440">
        <v>1.0</v>
      </c>
      <c r="E68" s="440"/>
      <c r="F68" s="440" t="s">
        <v>2105</v>
      </c>
      <c r="G68" s="444" t="s">
        <v>2091</v>
      </c>
      <c r="H68" s="441">
        <f t="shared" si="1"/>
        <v>6.5</v>
      </c>
      <c r="I68" s="446"/>
      <c r="J68" s="442">
        <v>4.0</v>
      </c>
      <c r="K68" s="446"/>
      <c r="L68" s="446">
        <v>4.0</v>
      </c>
      <c r="M68" s="443"/>
      <c r="N68" s="446"/>
      <c r="O68" s="442">
        <v>-1.0</v>
      </c>
      <c r="P68" s="446"/>
      <c r="Q68" s="446">
        <v>0.0</v>
      </c>
      <c r="R68" s="443"/>
      <c r="S68" s="446"/>
      <c r="T68" s="442">
        <v>4.0</v>
      </c>
      <c r="U68" s="446"/>
      <c r="V68" s="446">
        <v>4.0</v>
      </c>
      <c r="W68" s="443"/>
    </row>
    <row r="69" ht="15.75" customHeight="1">
      <c r="A69" s="438" t="s">
        <v>1730</v>
      </c>
      <c r="B69" s="438" t="s">
        <v>2088</v>
      </c>
      <c r="C69" s="440" t="s">
        <v>2106</v>
      </c>
      <c r="D69" s="440">
        <v>2.0</v>
      </c>
      <c r="E69" s="440"/>
      <c r="F69" s="440" t="s">
        <v>2107</v>
      </c>
      <c r="G69" s="444" t="s">
        <v>2091</v>
      </c>
      <c r="H69" s="441">
        <f t="shared" si="1"/>
        <v>1.5</v>
      </c>
      <c r="I69" s="446"/>
      <c r="J69" s="442">
        <v>2.0</v>
      </c>
      <c r="K69" s="446"/>
      <c r="L69" s="446">
        <v>2.0</v>
      </c>
      <c r="M69" s="443"/>
      <c r="N69" s="446"/>
      <c r="O69" s="442">
        <v>-2.0</v>
      </c>
      <c r="P69" s="446"/>
      <c r="Q69" s="446">
        <v>-2.0</v>
      </c>
      <c r="R69" s="443"/>
      <c r="S69" s="446"/>
      <c r="T69" s="442">
        <v>4.0</v>
      </c>
      <c r="U69" s="446"/>
      <c r="V69" s="446">
        <v>3.0</v>
      </c>
      <c r="W69" s="443"/>
    </row>
    <row r="70" ht="15.75" customHeight="1">
      <c r="A70" s="438" t="s">
        <v>1730</v>
      </c>
      <c r="B70" s="438" t="s">
        <v>2088</v>
      </c>
      <c r="C70" s="440" t="s">
        <v>2108</v>
      </c>
      <c r="D70" s="440">
        <v>2.0</v>
      </c>
      <c r="E70" s="440"/>
      <c r="F70" s="440" t="s">
        <v>2109</v>
      </c>
      <c r="G70" s="444" t="s">
        <v>2091</v>
      </c>
      <c r="H70" s="441">
        <f t="shared" si="1"/>
        <v>2.5</v>
      </c>
      <c r="I70" s="446"/>
      <c r="J70" s="442">
        <v>2.0</v>
      </c>
      <c r="K70" s="446"/>
      <c r="L70" s="446">
        <v>3.0</v>
      </c>
      <c r="M70" s="443"/>
      <c r="N70" s="446"/>
      <c r="O70" s="442">
        <v>-1.0</v>
      </c>
      <c r="P70" s="446"/>
      <c r="Q70" s="446">
        <v>-1.0</v>
      </c>
      <c r="R70" s="443"/>
      <c r="S70" s="446"/>
      <c r="T70" s="442">
        <v>3.0</v>
      </c>
      <c r="U70" s="446"/>
      <c r="V70" s="446">
        <v>3.0</v>
      </c>
      <c r="W70" s="443"/>
    </row>
    <row r="71" ht="15.75" customHeight="1">
      <c r="A71" s="438" t="s">
        <v>1730</v>
      </c>
      <c r="B71" s="438" t="s">
        <v>2088</v>
      </c>
      <c r="C71" s="440" t="s">
        <v>2110</v>
      </c>
      <c r="D71" s="440">
        <v>2.0</v>
      </c>
      <c r="E71" s="440"/>
      <c r="F71" s="440" t="s">
        <v>2111</v>
      </c>
      <c r="G71" s="444" t="s">
        <v>2091</v>
      </c>
      <c r="H71" s="441">
        <f t="shared" si="1"/>
        <v>4</v>
      </c>
      <c r="I71" s="446"/>
      <c r="J71" s="442">
        <v>4.0</v>
      </c>
      <c r="K71" s="446"/>
      <c r="L71" s="446">
        <v>4.0</v>
      </c>
      <c r="M71" s="443"/>
      <c r="N71" s="446"/>
      <c r="O71" s="442">
        <v>-1.0</v>
      </c>
      <c r="P71" s="446"/>
      <c r="Q71" s="446">
        <v>-1.0</v>
      </c>
      <c r="R71" s="443"/>
      <c r="S71" s="446"/>
      <c r="T71" s="442">
        <v>3.0</v>
      </c>
      <c r="U71" s="446"/>
      <c r="V71" s="446">
        <v>3.0</v>
      </c>
      <c r="W71" s="443"/>
    </row>
    <row r="72" ht="15.75" customHeight="1">
      <c r="A72" s="438" t="s">
        <v>1730</v>
      </c>
      <c r="B72" s="438" t="s">
        <v>2088</v>
      </c>
      <c r="C72" s="440" t="s">
        <v>2112</v>
      </c>
      <c r="D72" s="440">
        <v>3.0</v>
      </c>
      <c r="E72" s="440"/>
      <c r="F72" s="440" t="s">
        <v>2113</v>
      </c>
      <c r="G72" s="444" t="s">
        <v>2091</v>
      </c>
      <c r="H72" s="441">
        <f t="shared" si="1"/>
        <v>2</v>
      </c>
      <c r="I72" s="446"/>
      <c r="J72" s="442">
        <v>3.0</v>
      </c>
      <c r="K72" s="446"/>
      <c r="L72" s="446">
        <v>2.0</v>
      </c>
      <c r="M72" s="443"/>
      <c r="N72" s="446"/>
      <c r="O72" s="442">
        <v>-2.0</v>
      </c>
      <c r="P72" s="446"/>
      <c r="Q72" s="446">
        <v>0.0</v>
      </c>
      <c r="R72" s="443"/>
      <c r="S72" s="446"/>
      <c r="T72" s="442">
        <v>4.0</v>
      </c>
      <c r="U72" s="446"/>
      <c r="V72" s="446">
        <v>3.0</v>
      </c>
      <c r="W72" s="443"/>
    </row>
    <row r="73" ht="15.75" customHeight="1">
      <c r="A73" s="438" t="s">
        <v>1730</v>
      </c>
      <c r="B73" s="438" t="s">
        <v>2088</v>
      </c>
      <c r="C73" s="440" t="s">
        <v>2114</v>
      </c>
      <c r="D73" s="440">
        <v>3.0</v>
      </c>
      <c r="E73" s="440"/>
      <c r="F73" s="440" t="s">
        <v>2115</v>
      </c>
      <c r="G73" s="444" t="s">
        <v>2091</v>
      </c>
      <c r="H73" s="441">
        <f t="shared" si="1"/>
        <v>2</v>
      </c>
      <c r="I73" s="446"/>
      <c r="J73" s="442">
        <v>4.0</v>
      </c>
      <c r="K73" s="446"/>
      <c r="L73" s="446">
        <v>2.0</v>
      </c>
      <c r="M73" s="443"/>
      <c r="N73" s="446"/>
      <c r="O73" s="442">
        <v>-3.0</v>
      </c>
      <c r="P73" s="446"/>
      <c r="Q73" s="446">
        <v>0.0</v>
      </c>
      <c r="R73" s="443"/>
      <c r="S73" s="446"/>
      <c r="T73" s="442">
        <v>4.0</v>
      </c>
      <c r="U73" s="446"/>
      <c r="V73" s="446">
        <v>3.0</v>
      </c>
      <c r="W73" s="443"/>
    </row>
    <row r="74" ht="15.75" customHeight="1">
      <c r="A74" s="447" t="s">
        <v>1717</v>
      </c>
      <c r="B74" s="448" t="s">
        <v>2116</v>
      </c>
      <c r="C74" s="449" t="s">
        <v>2117</v>
      </c>
      <c r="D74" s="449">
        <v>0.0</v>
      </c>
      <c r="E74" s="450">
        <v>1.0</v>
      </c>
      <c r="F74" s="451" t="s">
        <v>2118</v>
      </c>
      <c r="G74" s="9"/>
      <c r="H74" s="441">
        <f t="shared" si="1"/>
        <v>2.333333333</v>
      </c>
      <c r="I74" s="9"/>
      <c r="J74" s="442">
        <v>4.0</v>
      </c>
      <c r="K74" s="9"/>
      <c r="L74" s="9">
        <v>4.0</v>
      </c>
      <c r="M74" s="443">
        <v>4.0</v>
      </c>
      <c r="N74" s="9"/>
      <c r="O74" s="442">
        <v>-4.0</v>
      </c>
      <c r="P74" s="9"/>
      <c r="Q74" s="9">
        <v>-3.0</v>
      </c>
      <c r="R74" s="443">
        <v>-4.0</v>
      </c>
      <c r="S74" s="9"/>
      <c r="T74" s="442">
        <v>3.0</v>
      </c>
      <c r="U74" s="9"/>
      <c r="V74" s="9">
        <v>3.0</v>
      </c>
      <c r="W74" s="443">
        <v>3.0</v>
      </c>
    </row>
    <row r="75" ht="15.75" customHeight="1">
      <c r="A75" s="447" t="s">
        <v>1717</v>
      </c>
      <c r="B75" s="448" t="s">
        <v>2116</v>
      </c>
      <c r="C75" s="449" t="s">
        <v>2119</v>
      </c>
      <c r="D75" s="449">
        <v>1.0</v>
      </c>
      <c r="E75" s="450"/>
      <c r="F75" s="451" t="s">
        <v>2120</v>
      </c>
      <c r="G75" s="9"/>
      <c r="H75" s="441">
        <f t="shared" si="1"/>
        <v>3.333333333</v>
      </c>
      <c r="I75" s="9"/>
      <c r="J75" s="442">
        <v>4.0</v>
      </c>
      <c r="K75" s="9"/>
      <c r="L75" s="9">
        <v>4.0</v>
      </c>
      <c r="M75" s="443">
        <v>4.0</v>
      </c>
      <c r="N75" s="9"/>
      <c r="O75" s="442">
        <v>-2.0</v>
      </c>
      <c r="P75" s="9"/>
      <c r="Q75" s="9">
        <v>0.0</v>
      </c>
      <c r="R75" s="443">
        <v>-2.0</v>
      </c>
      <c r="S75" s="9"/>
      <c r="T75" s="442">
        <v>1.0</v>
      </c>
      <c r="U75" s="9"/>
      <c r="V75" s="9">
        <v>2.0</v>
      </c>
      <c r="W75" s="443">
        <v>2.0</v>
      </c>
    </row>
    <row r="76" ht="15.75" customHeight="1">
      <c r="A76" s="447" t="s">
        <v>1717</v>
      </c>
      <c r="B76" s="448" t="s">
        <v>2116</v>
      </c>
      <c r="C76" s="449" t="s">
        <v>2121</v>
      </c>
      <c r="D76" s="449">
        <v>1.0</v>
      </c>
      <c r="E76" s="450">
        <v>1.0</v>
      </c>
      <c r="F76" s="451" t="s">
        <v>2122</v>
      </c>
      <c r="G76" s="9"/>
      <c r="H76" s="441">
        <f t="shared" si="1"/>
        <v>2.666666667</v>
      </c>
      <c r="I76" s="9"/>
      <c r="J76" s="442">
        <v>1.0</v>
      </c>
      <c r="K76" s="9"/>
      <c r="L76" s="9">
        <v>3.0</v>
      </c>
      <c r="M76" s="443">
        <v>3.0</v>
      </c>
      <c r="N76" s="9"/>
      <c r="O76" s="442">
        <v>-1.0</v>
      </c>
      <c r="P76" s="9"/>
      <c r="Q76" s="9">
        <v>-1.0</v>
      </c>
      <c r="R76" s="443">
        <v>0.0</v>
      </c>
      <c r="S76" s="9"/>
      <c r="T76" s="442">
        <v>3.0</v>
      </c>
      <c r="U76" s="9"/>
      <c r="V76" s="9">
        <v>3.0</v>
      </c>
      <c r="W76" s="443">
        <v>3.0</v>
      </c>
    </row>
    <row r="77" ht="15.75" customHeight="1">
      <c r="A77" s="447" t="s">
        <v>1717</v>
      </c>
      <c r="B77" s="448" t="s">
        <v>2116</v>
      </c>
      <c r="C77" s="449" t="s">
        <v>2123</v>
      </c>
      <c r="D77" s="449">
        <v>1.0</v>
      </c>
      <c r="E77" s="450">
        <v>1.0</v>
      </c>
      <c r="F77" s="451" t="s">
        <v>2124</v>
      </c>
      <c r="G77" s="9"/>
      <c r="H77" s="441">
        <f t="shared" si="1"/>
        <v>4.333333333</v>
      </c>
      <c r="I77" s="9"/>
      <c r="J77" s="442">
        <v>4.0</v>
      </c>
      <c r="K77" s="9"/>
      <c r="L77" s="9">
        <v>4.0</v>
      </c>
      <c r="M77" s="443">
        <v>4.0</v>
      </c>
      <c r="N77" s="9"/>
      <c r="O77" s="442">
        <v>-2.0</v>
      </c>
      <c r="P77" s="9"/>
      <c r="Q77" s="9">
        <v>-1.0</v>
      </c>
      <c r="R77" s="443">
        <v>-1.0</v>
      </c>
      <c r="S77" s="9"/>
      <c r="T77" s="442">
        <v>4.0</v>
      </c>
      <c r="U77" s="9"/>
      <c r="V77" s="9">
        <v>4.0</v>
      </c>
      <c r="W77" s="443">
        <v>3.0</v>
      </c>
    </row>
    <row r="78" ht="15.75" customHeight="1">
      <c r="A78" s="447" t="s">
        <v>1717</v>
      </c>
      <c r="B78" s="448" t="s">
        <v>2116</v>
      </c>
      <c r="C78" s="449" t="s">
        <v>2125</v>
      </c>
      <c r="D78" s="449">
        <v>2.0</v>
      </c>
      <c r="E78" s="450"/>
      <c r="F78" s="451" t="s">
        <v>2126</v>
      </c>
      <c r="G78" s="9"/>
      <c r="H78" s="441">
        <f t="shared" si="1"/>
        <v>3.666666667</v>
      </c>
      <c r="I78" s="9"/>
      <c r="J78" s="442">
        <v>4.0</v>
      </c>
      <c r="K78" s="9"/>
      <c r="L78" s="9">
        <v>4.0</v>
      </c>
      <c r="M78" s="443">
        <v>4.0</v>
      </c>
      <c r="N78" s="9"/>
      <c r="O78" s="442">
        <v>-1.0</v>
      </c>
      <c r="P78" s="9"/>
      <c r="Q78" s="9">
        <v>-1.0</v>
      </c>
      <c r="R78" s="443">
        <v>0.0</v>
      </c>
      <c r="S78" s="9"/>
      <c r="T78" s="442">
        <v>2.0</v>
      </c>
      <c r="U78" s="9"/>
      <c r="V78" s="9">
        <v>3.0</v>
      </c>
      <c r="W78" s="443">
        <v>2.0</v>
      </c>
    </row>
    <row r="79" ht="15.75" customHeight="1">
      <c r="A79" s="447" t="s">
        <v>1717</v>
      </c>
      <c r="B79" s="448" t="s">
        <v>2116</v>
      </c>
      <c r="C79" s="449" t="s">
        <v>2127</v>
      </c>
      <c r="D79" s="449">
        <v>2.0</v>
      </c>
      <c r="E79" s="450"/>
      <c r="F79" s="451" t="s">
        <v>2128</v>
      </c>
      <c r="G79" s="9"/>
      <c r="H79" s="441">
        <f t="shared" si="1"/>
        <v>1.666666667</v>
      </c>
      <c r="I79" s="9"/>
      <c r="J79" s="442">
        <v>2.0</v>
      </c>
      <c r="K79" s="9"/>
      <c r="L79" s="9">
        <v>3.0</v>
      </c>
      <c r="M79" s="443">
        <v>2.0</v>
      </c>
      <c r="N79" s="9"/>
      <c r="O79" s="442">
        <v>-1.0</v>
      </c>
      <c r="P79" s="9"/>
      <c r="Q79" s="9">
        <v>-1.0</v>
      </c>
      <c r="R79" s="443">
        <v>-1.0</v>
      </c>
      <c r="S79" s="9"/>
      <c r="T79" s="442">
        <v>2.0</v>
      </c>
      <c r="U79" s="9"/>
      <c r="V79" s="9">
        <v>3.0</v>
      </c>
      <c r="W79" s="443">
        <v>2.0</v>
      </c>
    </row>
    <row r="80" ht="15.75" customHeight="1">
      <c r="A80" s="447" t="s">
        <v>1717</v>
      </c>
      <c r="B80" s="448" t="s">
        <v>2116</v>
      </c>
      <c r="C80" s="449" t="s">
        <v>2129</v>
      </c>
      <c r="D80" s="449">
        <v>2.0</v>
      </c>
      <c r="E80" s="450">
        <v>2.0</v>
      </c>
      <c r="F80" s="451" t="s">
        <v>2130</v>
      </c>
      <c r="G80" s="9"/>
      <c r="H80" s="441">
        <f t="shared" si="1"/>
        <v>1</v>
      </c>
      <c r="I80" s="9"/>
      <c r="J80" s="442">
        <v>4.0</v>
      </c>
      <c r="K80" s="9"/>
      <c r="L80" s="9">
        <v>4.0</v>
      </c>
      <c r="M80" s="443">
        <v>4.0</v>
      </c>
      <c r="N80" s="9"/>
      <c r="O80" s="442">
        <v>-2.0</v>
      </c>
      <c r="P80" s="9"/>
      <c r="Q80" s="9">
        <v>-3.0</v>
      </c>
      <c r="R80" s="443">
        <v>-3.0</v>
      </c>
      <c r="S80" s="9"/>
      <c r="T80" s="442">
        <v>4.0</v>
      </c>
      <c r="U80" s="9"/>
      <c r="V80" s="9">
        <v>4.0</v>
      </c>
      <c r="W80" s="443">
        <v>3.0</v>
      </c>
    </row>
    <row r="81" ht="15.75" customHeight="1">
      <c r="A81" s="447" t="s">
        <v>1717</v>
      </c>
      <c r="B81" s="448" t="s">
        <v>2116</v>
      </c>
      <c r="C81" s="449" t="s">
        <v>2131</v>
      </c>
      <c r="D81" s="449">
        <v>3.0</v>
      </c>
      <c r="E81" s="450"/>
      <c r="F81" s="451" t="s">
        <v>2132</v>
      </c>
      <c r="G81" s="9"/>
      <c r="H81" s="441">
        <f t="shared" si="1"/>
        <v>3.666666667</v>
      </c>
      <c r="I81" s="9"/>
      <c r="J81" s="442">
        <v>4.0</v>
      </c>
      <c r="K81" s="9"/>
      <c r="L81" s="9">
        <v>4.0</v>
      </c>
      <c r="M81" s="443">
        <v>4.0</v>
      </c>
      <c r="N81" s="9"/>
      <c r="O81" s="442">
        <v>-2.0</v>
      </c>
      <c r="P81" s="9"/>
      <c r="Q81" s="9">
        <v>-1.0</v>
      </c>
      <c r="R81" s="443">
        <v>-1.0</v>
      </c>
      <c r="S81" s="9"/>
      <c r="T81" s="442">
        <v>4.0</v>
      </c>
      <c r="U81" s="9"/>
      <c r="V81" s="9">
        <v>5.0</v>
      </c>
      <c r="W81" s="443">
        <v>3.0</v>
      </c>
    </row>
    <row r="82" ht="15.75" customHeight="1">
      <c r="A82" s="447" t="s">
        <v>1717</v>
      </c>
      <c r="B82" s="448" t="s">
        <v>2116</v>
      </c>
      <c r="C82" s="449" t="s">
        <v>2133</v>
      </c>
      <c r="D82" s="449">
        <v>3.0</v>
      </c>
      <c r="E82" s="450"/>
      <c r="F82" s="451" t="s">
        <v>2134</v>
      </c>
      <c r="G82" s="9"/>
      <c r="H82" s="441">
        <f t="shared" si="1"/>
        <v>2.333333333</v>
      </c>
      <c r="I82" s="9"/>
      <c r="J82" s="442">
        <v>3.0</v>
      </c>
      <c r="K82" s="9"/>
      <c r="L82" s="9">
        <v>3.0</v>
      </c>
      <c r="M82" s="443">
        <v>4.0</v>
      </c>
      <c r="N82" s="9"/>
      <c r="O82" s="442">
        <v>-1.0</v>
      </c>
      <c r="P82" s="9"/>
      <c r="Q82" s="9">
        <v>-1.0</v>
      </c>
      <c r="R82" s="443">
        <v>-1.0</v>
      </c>
      <c r="S82" s="9"/>
      <c r="T82" s="442">
        <v>3.0</v>
      </c>
      <c r="U82" s="9"/>
      <c r="V82" s="9">
        <v>4.0</v>
      </c>
      <c r="W82" s="443">
        <v>2.0</v>
      </c>
    </row>
    <row r="83" ht="15.75" customHeight="1">
      <c r="A83" s="447" t="s">
        <v>1717</v>
      </c>
      <c r="B83" s="448" t="s">
        <v>2135</v>
      </c>
      <c r="C83" s="449" t="s">
        <v>2136</v>
      </c>
      <c r="D83" s="449">
        <v>0.0</v>
      </c>
      <c r="E83" s="450">
        <v>1.0</v>
      </c>
      <c r="F83" s="451" t="s">
        <v>2137</v>
      </c>
      <c r="G83" s="9"/>
      <c r="H83" s="441">
        <f t="shared" si="1"/>
        <v>3.333333333</v>
      </c>
      <c r="I83" s="9"/>
      <c r="J83" s="442">
        <v>4.0</v>
      </c>
      <c r="K83" s="9"/>
      <c r="L83" s="9">
        <v>4.0</v>
      </c>
      <c r="M83" s="443">
        <v>4.0</v>
      </c>
      <c r="N83" s="9"/>
      <c r="O83" s="442">
        <v>-3.0</v>
      </c>
      <c r="P83" s="9"/>
      <c r="Q83" s="9">
        <v>-3.0</v>
      </c>
      <c r="R83" s="443">
        <v>-3.0</v>
      </c>
      <c r="S83" s="9"/>
      <c r="T83" s="442">
        <v>3.0</v>
      </c>
      <c r="U83" s="9"/>
      <c r="V83" s="9">
        <v>3.0</v>
      </c>
      <c r="W83" s="443">
        <v>4.0</v>
      </c>
      <c r="X83" s="9"/>
      <c r="Y83" s="9"/>
      <c r="Z83" s="9"/>
      <c r="AA83" s="9"/>
    </row>
    <row r="84" ht="15.75" customHeight="1">
      <c r="A84" s="447" t="s">
        <v>1717</v>
      </c>
      <c r="B84" s="448" t="s">
        <v>2135</v>
      </c>
      <c r="C84" s="449" t="s">
        <v>2138</v>
      </c>
      <c r="D84" s="449">
        <v>1.0</v>
      </c>
      <c r="E84" s="450">
        <v>2.0</v>
      </c>
      <c r="F84" s="451" t="s">
        <v>2139</v>
      </c>
      <c r="G84" s="9"/>
      <c r="H84" s="441">
        <f t="shared" si="1"/>
        <v>1</v>
      </c>
      <c r="I84" s="9"/>
      <c r="J84" s="442">
        <v>4.0</v>
      </c>
      <c r="K84" s="9"/>
      <c r="L84" s="9">
        <v>4.0</v>
      </c>
      <c r="M84" s="443">
        <v>4.0</v>
      </c>
      <c r="N84" s="9"/>
      <c r="O84" s="442">
        <v>-3.0</v>
      </c>
      <c r="P84" s="9"/>
      <c r="Q84" s="9">
        <v>-3.0</v>
      </c>
      <c r="R84" s="443">
        <v>-2.0</v>
      </c>
      <c r="S84" s="9"/>
      <c r="T84" s="442">
        <v>2.0</v>
      </c>
      <c r="U84" s="9"/>
      <c r="V84" s="9">
        <v>3.0</v>
      </c>
      <c r="W84" s="443">
        <v>3.0</v>
      </c>
      <c r="X84" s="9"/>
      <c r="Y84" s="9"/>
      <c r="Z84" s="9"/>
      <c r="AA84" s="9"/>
    </row>
    <row r="85" ht="15.75" customHeight="1">
      <c r="A85" s="447" t="s">
        <v>1717</v>
      </c>
      <c r="B85" s="448" t="s">
        <v>2135</v>
      </c>
      <c r="C85" s="449" t="s">
        <v>2140</v>
      </c>
      <c r="D85" s="449">
        <v>1.0</v>
      </c>
      <c r="E85" s="450"/>
      <c r="F85" s="451" t="s">
        <v>2141</v>
      </c>
      <c r="G85" s="9"/>
      <c r="H85" s="441">
        <f t="shared" si="1"/>
        <v>4.333333333</v>
      </c>
      <c r="I85" s="9"/>
      <c r="J85" s="442">
        <v>2.0</v>
      </c>
      <c r="K85" s="9"/>
      <c r="L85" s="9">
        <v>4.0</v>
      </c>
      <c r="M85" s="443">
        <v>2.0</v>
      </c>
      <c r="N85" s="9"/>
      <c r="O85" s="442">
        <v>-1.0</v>
      </c>
      <c r="P85" s="9"/>
      <c r="Q85" s="9">
        <v>-2.0</v>
      </c>
      <c r="R85" s="443">
        <v>-1.0</v>
      </c>
      <c r="S85" s="9"/>
      <c r="T85" s="442">
        <v>3.0</v>
      </c>
      <c r="U85" s="9"/>
      <c r="V85" s="9">
        <v>4.0</v>
      </c>
      <c r="W85" s="443">
        <v>5.0</v>
      </c>
      <c r="X85" s="9"/>
      <c r="Y85" s="9"/>
      <c r="Z85" s="9"/>
      <c r="AA85" s="9"/>
    </row>
    <row r="86" ht="15.75" customHeight="1">
      <c r="A86" s="447" t="s">
        <v>1717</v>
      </c>
      <c r="B86" s="448" t="s">
        <v>2135</v>
      </c>
      <c r="C86" s="449" t="s">
        <v>2142</v>
      </c>
      <c r="D86" s="449">
        <v>1.0</v>
      </c>
      <c r="E86" s="450">
        <v>1.0</v>
      </c>
      <c r="F86" s="451" t="s">
        <v>2143</v>
      </c>
      <c r="G86" s="9"/>
      <c r="H86" s="441">
        <f t="shared" si="1"/>
        <v>3.333333333</v>
      </c>
      <c r="I86" s="9"/>
      <c r="J86" s="442">
        <v>4.0</v>
      </c>
      <c r="K86" s="9"/>
      <c r="L86" s="9">
        <v>4.0</v>
      </c>
      <c r="M86" s="443">
        <v>4.0</v>
      </c>
      <c r="N86" s="9"/>
      <c r="O86" s="442">
        <v>-2.0</v>
      </c>
      <c r="P86" s="9"/>
      <c r="Q86" s="9">
        <v>-2.0</v>
      </c>
      <c r="R86" s="443">
        <v>-3.0</v>
      </c>
      <c r="S86" s="9"/>
      <c r="T86" s="442">
        <v>4.0</v>
      </c>
      <c r="U86" s="9"/>
      <c r="V86" s="9">
        <v>4.0</v>
      </c>
      <c r="W86" s="443">
        <v>3.0</v>
      </c>
      <c r="X86" s="9"/>
      <c r="Y86" s="9"/>
      <c r="Z86" s="9"/>
      <c r="AA86" s="9"/>
    </row>
    <row r="87" ht="15.75" customHeight="1">
      <c r="A87" s="447" t="s">
        <v>1717</v>
      </c>
      <c r="B87" s="448" t="s">
        <v>2135</v>
      </c>
      <c r="C87" s="449" t="s">
        <v>2144</v>
      </c>
      <c r="D87" s="449">
        <v>2.0</v>
      </c>
      <c r="E87" s="450"/>
      <c r="F87" s="451" t="s">
        <v>2145</v>
      </c>
      <c r="G87" s="9"/>
      <c r="H87" s="441">
        <f t="shared" si="1"/>
        <v>3.666666667</v>
      </c>
      <c r="I87" s="9"/>
      <c r="J87" s="442">
        <v>4.0</v>
      </c>
      <c r="K87" s="9"/>
      <c r="L87" s="9">
        <v>4.0</v>
      </c>
      <c r="M87" s="443">
        <v>4.0</v>
      </c>
      <c r="N87" s="9"/>
      <c r="O87" s="442">
        <v>-3.0</v>
      </c>
      <c r="P87" s="9"/>
      <c r="Q87" s="9">
        <v>-1.0</v>
      </c>
      <c r="R87" s="443">
        <v>-1.0</v>
      </c>
      <c r="S87" s="9"/>
      <c r="T87" s="442">
        <v>3.0</v>
      </c>
      <c r="U87" s="9"/>
      <c r="V87" s="9">
        <v>3.0</v>
      </c>
      <c r="W87" s="443">
        <v>4.0</v>
      </c>
      <c r="X87" s="9"/>
      <c r="Y87" s="9"/>
      <c r="Z87" s="9"/>
      <c r="AA87" s="9"/>
    </row>
    <row r="88" ht="15.75" customHeight="1">
      <c r="A88" s="447" t="s">
        <v>1717</v>
      </c>
      <c r="B88" s="448" t="s">
        <v>2135</v>
      </c>
      <c r="C88" s="449" t="s">
        <v>1206</v>
      </c>
      <c r="D88" s="449">
        <v>2.0</v>
      </c>
      <c r="E88" s="450">
        <v>2.0</v>
      </c>
      <c r="F88" s="451" t="s">
        <v>2146</v>
      </c>
      <c r="G88" s="9"/>
      <c r="H88" s="441">
        <f t="shared" si="1"/>
        <v>1.666666667</v>
      </c>
      <c r="I88" s="9"/>
      <c r="J88" s="442">
        <v>4.0</v>
      </c>
      <c r="K88" s="9"/>
      <c r="L88" s="9">
        <v>4.0</v>
      </c>
      <c r="M88" s="443">
        <v>4.0</v>
      </c>
      <c r="N88" s="9"/>
      <c r="O88" s="442">
        <v>-3.0</v>
      </c>
      <c r="P88" s="9"/>
      <c r="Q88" s="9">
        <v>-2.0</v>
      </c>
      <c r="R88" s="443">
        <v>-3.0</v>
      </c>
      <c r="S88" s="9"/>
      <c r="T88" s="442">
        <v>5.0</v>
      </c>
      <c r="U88" s="9"/>
      <c r="V88" s="9">
        <v>3.0</v>
      </c>
      <c r="W88" s="443">
        <v>5.0</v>
      </c>
      <c r="X88" s="9"/>
      <c r="Y88" s="9"/>
      <c r="Z88" s="9"/>
      <c r="AA88" s="9"/>
    </row>
    <row r="89" ht="15.75" customHeight="1">
      <c r="A89" s="447" t="s">
        <v>1717</v>
      </c>
      <c r="B89" s="448" t="s">
        <v>2135</v>
      </c>
      <c r="C89" s="449" t="s">
        <v>2147</v>
      </c>
      <c r="D89" s="449">
        <v>2.0</v>
      </c>
      <c r="E89" s="450">
        <v>1.0</v>
      </c>
      <c r="F89" s="451" t="s">
        <v>2148</v>
      </c>
      <c r="G89" s="9"/>
      <c r="H89" s="441">
        <f t="shared" si="1"/>
        <v>3.666666667</v>
      </c>
      <c r="I89" s="9"/>
      <c r="J89" s="442">
        <v>4.0</v>
      </c>
      <c r="K89" s="9"/>
      <c r="L89" s="9">
        <v>5.0</v>
      </c>
      <c r="M89" s="443">
        <v>5.0</v>
      </c>
      <c r="N89" s="9"/>
      <c r="O89" s="442">
        <v>-3.0</v>
      </c>
      <c r="P89" s="9"/>
      <c r="Q89" s="9">
        <v>-3.0</v>
      </c>
      <c r="R89" s="443">
        <v>-3.0</v>
      </c>
      <c r="S89" s="9"/>
      <c r="T89" s="442">
        <v>5.0</v>
      </c>
      <c r="U89" s="9"/>
      <c r="V89" s="9">
        <v>5.0</v>
      </c>
      <c r="W89" s="443">
        <v>5.0</v>
      </c>
      <c r="X89" s="9"/>
      <c r="Y89" s="9"/>
      <c r="Z89" s="9"/>
      <c r="AA89" s="9"/>
    </row>
    <row r="90" ht="15.75" customHeight="1">
      <c r="A90" s="447" t="s">
        <v>1717</v>
      </c>
      <c r="B90" s="448" t="s">
        <v>2135</v>
      </c>
      <c r="C90" s="449" t="s">
        <v>2149</v>
      </c>
      <c r="D90" s="449">
        <v>3.0</v>
      </c>
      <c r="E90" s="450">
        <f>(1+2+3+4+5)/5</f>
        <v>3</v>
      </c>
      <c r="F90" s="451" t="s">
        <v>2150</v>
      </c>
      <c r="G90" s="9"/>
      <c r="H90" s="441">
        <f t="shared" si="1"/>
        <v>0.3333333333</v>
      </c>
      <c r="I90" s="9"/>
      <c r="J90" s="442">
        <v>4.0</v>
      </c>
      <c r="K90" s="9"/>
      <c r="L90" s="9">
        <v>4.0</v>
      </c>
      <c r="M90" s="443">
        <v>4.0</v>
      </c>
      <c r="N90" s="9"/>
      <c r="O90" s="442">
        <v>-2.0</v>
      </c>
      <c r="P90" s="9"/>
      <c r="Q90" s="9">
        <v>-2.0</v>
      </c>
      <c r="R90" s="443">
        <v>-2.0</v>
      </c>
      <c r="S90" s="9"/>
      <c r="T90" s="442">
        <v>4.0</v>
      </c>
      <c r="U90" s="9"/>
      <c r="V90" s="9">
        <v>4.0</v>
      </c>
      <c r="W90" s="443">
        <v>5.0</v>
      </c>
      <c r="X90" s="9"/>
      <c r="Y90" s="9"/>
      <c r="Z90" s="9"/>
      <c r="AA90" s="9"/>
    </row>
    <row r="91" ht="15.75" customHeight="1">
      <c r="A91" s="447" t="s">
        <v>1717</v>
      </c>
      <c r="B91" s="448" t="s">
        <v>2135</v>
      </c>
      <c r="C91" s="449" t="s">
        <v>2151</v>
      </c>
      <c r="D91" s="449">
        <v>3.0</v>
      </c>
      <c r="E91" s="450">
        <v>2.0</v>
      </c>
      <c r="F91" s="451" t="s">
        <v>2152</v>
      </c>
      <c r="G91" s="9"/>
      <c r="H91" s="441">
        <f t="shared" si="1"/>
        <v>0</v>
      </c>
      <c r="I91" s="9"/>
      <c r="J91" s="442">
        <v>4.0</v>
      </c>
      <c r="K91" s="9"/>
      <c r="L91" s="9">
        <v>4.0</v>
      </c>
      <c r="M91" s="443">
        <v>4.0</v>
      </c>
      <c r="N91" s="9"/>
      <c r="O91" s="442">
        <v>-3.0</v>
      </c>
      <c r="P91" s="9"/>
      <c r="Q91" s="9">
        <v>-3.0</v>
      </c>
      <c r="R91" s="443">
        <v>-4.0</v>
      </c>
      <c r="S91" s="9"/>
      <c r="T91" s="442">
        <v>4.0</v>
      </c>
      <c r="U91" s="9"/>
      <c r="V91" s="9">
        <v>4.0</v>
      </c>
      <c r="W91" s="443">
        <v>5.0</v>
      </c>
      <c r="X91" s="9"/>
      <c r="Y91" s="9"/>
      <c r="Z91" s="9"/>
      <c r="AA91" s="9"/>
    </row>
    <row r="92" ht="15.75" customHeight="1">
      <c r="A92" s="448" t="s">
        <v>1717</v>
      </c>
      <c r="B92" s="448" t="s">
        <v>2153</v>
      </c>
      <c r="C92" s="449" t="s">
        <v>2154</v>
      </c>
      <c r="D92" s="449">
        <v>0.0</v>
      </c>
      <c r="E92" s="449"/>
      <c r="F92" s="451" t="s">
        <v>2155</v>
      </c>
      <c r="G92" s="444" t="s">
        <v>2156</v>
      </c>
      <c r="H92" s="441">
        <f t="shared" si="1"/>
        <v>5</v>
      </c>
      <c r="I92" s="9"/>
      <c r="J92" s="442">
        <v>4.0</v>
      </c>
      <c r="K92" s="9"/>
      <c r="L92" s="9">
        <v>4.0</v>
      </c>
      <c r="M92" s="443"/>
      <c r="N92" s="9"/>
      <c r="O92" s="442">
        <v>-1.0</v>
      </c>
      <c r="P92" s="9"/>
      <c r="Q92" s="9">
        <v>-1.0</v>
      </c>
      <c r="R92" s="443"/>
      <c r="S92" s="9"/>
      <c r="T92" s="442">
        <v>2.0</v>
      </c>
      <c r="U92" s="9"/>
      <c r="V92" s="9">
        <v>2.0</v>
      </c>
      <c r="W92" s="443"/>
      <c r="X92" s="9"/>
      <c r="Y92" s="9"/>
      <c r="Z92" s="9"/>
      <c r="AA92" s="9"/>
    </row>
    <row r="93" ht="15.75" customHeight="1">
      <c r="A93" s="448" t="s">
        <v>1717</v>
      </c>
      <c r="B93" s="448" t="s">
        <v>2153</v>
      </c>
      <c r="C93" s="449" t="s">
        <v>2157</v>
      </c>
      <c r="D93" s="449">
        <v>1.0</v>
      </c>
      <c r="E93" s="449"/>
      <c r="F93" s="451" t="s">
        <v>2158</v>
      </c>
      <c r="G93" s="444" t="s">
        <v>2156</v>
      </c>
      <c r="H93" s="441">
        <f t="shared" si="1"/>
        <v>3</v>
      </c>
      <c r="I93" s="9"/>
      <c r="J93" s="442">
        <v>2.0</v>
      </c>
      <c r="K93" s="9"/>
      <c r="L93" s="9">
        <v>2.0</v>
      </c>
      <c r="M93" s="443"/>
      <c r="N93" s="9"/>
      <c r="O93" s="442">
        <v>-1.0</v>
      </c>
      <c r="P93" s="9"/>
      <c r="Q93" s="9">
        <v>-1.0</v>
      </c>
      <c r="R93" s="443"/>
      <c r="S93" s="9"/>
      <c r="T93" s="442">
        <v>3.0</v>
      </c>
      <c r="U93" s="9"/>
      <c r="V93" s="9">
        <v>3.0</v>
      </c>
      <c r="W93" s="443"/>
      <c r="X93" s="9"/>
      <c r="Y93" s="9"/>
      <c r="Z93" s="9"/>
      <c r="AA93" s="9"/>
    </row>
    <row r="94" ht="15.75" customHeight="1">
      <c r="A94" s="448" t="s">
        <v>1717</v>
      </c>
      <c r="B94" s="448" t="s">
        <v>2153</v>
      </c>
      <c r="C94" s="449" t="s">
        <v>2159</v>
      </c>
      <c r="D94" s="449">
        <v>1.0</v>
      </c>
      <c r="E94" s="449"/>
      <c r="F94" s="451" t="s">
        <v>2160</v>
      </c>
      <c r="G94" s="444" t="s">
        <v>2156</v>
      </c>
      <c r="H94" s="441">
        <f t="shared" si="1"/>
        <v>3</v>
      </c>
      <c r="I94" s="9"/>
      <c r="J94" s="442">
        <v>2.0</v>
      </c>
      <c r="K94" s="9"/>
      <c r="L94" s="9">
        <v>3.0</v>
      </c>
      <c r="M94" s="443"/>
      <c r="N94" s="9"/>
      <c r="O94" s="442">
        <v>-1.0</v>
      </c>
      <c r="P94" s="9"/>
      <c r="Q94" s="9">
        <v>-1.0</v>
      </c>
      <c r="R94" s="443"/>
      <c r="S94" s="9"/>
      <c r="T94" s="442">
        <v>2.0</v>
      </c>
      <c r="U94" s="9"/>
      <c r="V94" s="9">
        <v>3.0</v>
      </c>
      <c r="W94" s="443"/>
      <c r="X94" s="9"/>
      <c r="Y94" s="9"/>
      <c r="Z94" s="9"/>
      <c r="AA94" s="9"/>
    </row>
    <row r="95" ht="15.75" customHeight="1">
      <c r="A95" s="448" t="s">
        <v>1717</v>
      </c>
      <c r="B95" s="448" t="s">
        <v>2153</v>
      </c>
      <c r="C95" s="449" t="s">
        <v>2161</v>
      </c>
      <c r="D95" s="449">
        <v>1.0</v>
      </c>
      <c r="E95" s="449">
        <v>1.0</v>
      </c>
      <c r="F95" s="451" t="s">
        <v>2162</v>
      </c>
      <c r="G95" s="444" t="s">
        <v>2156</v>
      </c>
      <c r="H95" s="441">
        <f t="shared" si="1"/>
        <v>1.5</v>
      </c>
      <c r="I95" s="9"/>
      <c r="J95" s="442">
        <v>2.0</v>
      </c>
      <c r="K95" s="9"/>
      <c r="L95" s="9">
        <v>3.0</v>
      </c>
      <c r="M95" s="443"/>
      <c r="N95" s="9"/>
      <c r="O95" s="442">
        <v>-2.0</v>
      </c>
      <c r="P95" s="9"/>
      <c r="Q95" s="9">
        <v>-2.0</v>
      </c>
      <c r="R95" s="443"/>
      <c r="S95" s="9"/>
      <c r="T95" s="442">
        <v>4.0</v>
      </c>
      <c r="U95" s="9"/>
      <c r="V95" s="9">
        <v>2.0</v>
      </c>
      <c r="W95" s="443"/>
      <c r="X95" s="9"/>
      <c r="Y95" s="9"/>
      <c r="Z95" s="9"/>
      <c r="AA95" s="9"/>
    </row>
    <row r="96" ht="15.75" customHeight="1">
      <c r="A96" s="448" t="s">
        <v>1717</v>
      </c>
      <c r="B96" s="448" t="s">
        <v>2153</v>
      </c>
      <c r="C96" s="449" t="s">
        <v>2163</v>
      </c>
      <c r="D96" s="449">
        <v>2.0</v>
      </c>
      <c r="E96" s="449">
        <v>2.0</v>
      </c>
      <c r="F96" s="451" t="s">
        <v>2164</v>
      </c>
      <c r="G96" s="444" t="s">
        <v>2156</v>
      </c>
      <c r="H96" s="441">
        <f t="shared" si="1"/>
        <v>-0.5</v>
      </c>
      <c r="I96" s="9"/>
      <c r="J96" s="442">
        <v>4.0</v>
      </c>
      <c r="K96" s="9"/>
      <c r="L96" s="9">
        <v>3.0</v>
      </c>
      <c r="M96" s="443"/>
      <c r="N96" s="9"/>
      <c r="O96" s="442">
        <v>-4.0</v>
      </c>
      <c r="P96" s="9"/>
      <c r="Q96" s="9">
        <v>-3.0</v>
      </c>
      <c r="R96" s="443"/>
      <c r="S96" s="9"/>
      <c r="T96" s="442">
        <v>5.0</v>
      </c>
      <c r="U96" s="9"/>
      <c r="V96" s="9">
        <v>2.0</v>
      </c>
      <c r="W96" s="443"/>
      <c r="X96" s="9"/>
      <c r="Y96" s="9"/>
      <c r="Z96" s="9"/>
      <c r="AA96" s="9"/>
    </row>
    <row r="97" ht="15.75" customHeight="1">
      <c r="A97" s="448" t="s">
        <v>1717</v>
      </c>
      <c r="B97" s="448" t="s">
        <v>2153</v>
      </c>
      <c r="C97" s="449" t="s">
        <v>2165</v>
      </c>
      <c r="D97" s="449">
        <v>2.0</v>
      </c>
      <c r="E97" s="449"/>
      <c r="F97" s="451" t="s">
        <v>2166</v>
      </c>
      <c r="G97" s="444" t="s">
        <v>2156</v>
      </c>
      <c r="H97" s="441">
        <f t="shared" si="1"/>
        <v>4</v>
      </c>
      <c r="I97" s="9"/>
      <c r="J97" s="442">
        <v>4.0</v>
      </c>
      <c r="K97" s="9"/>
      <c r="L97" s="9">
        <v>4.0</v>
      </c>
      <c r="M97" s="443"/>
      <c r="N97" s="9"/>
      <c r="O97" s="442">
        <v>-3.0</v>
      </c>
      <c r="P97" s="9"/>
      <c r="Q97" s="9">
        <v>-3.0</v>
      </c>
      <c r="R97" s="443"/>
      <c r="S97" s="9"/>
      <c r="T97" s="442">
        <v>5.0</v>
      </c>
      <c r="U97" s="9"/>
      <c r="V97" s="9">
        <v>5.0</v>
      </c>
      <c r="W97" s="443"/>
      <c r="X97" s="9"/>
      <c r="Y97" s="9"/>
      <c r="Z97" s="9"/>
      <c r="AA97" s="9"/>
    </row>
    <row r="98" ht="15.75" customHeight="1">
      <c r="A98" s="448" t="s">
        <v>1717</v>
      </c>
      <c r="B98" s="448" t="s">
        <v>2153</v>
      </c>
      <c r="C98" s="449" t="s">
        <v>2167</v>
      </c>
      <c r="D98" s="449">
        <v>2.0</v>
      </c>
      <c r="E98" s="449"/>
      <c r="F98" s="451" t="s">
        <v>2168</v>
      </c>
      <c r="G98" s="444" t="s">
        <v>2156</v>
      </c>
      <c r="H98" s="441">
        <f t="shared" si="1"/>
        <v>3</v>
      </c>
      <c r="I98" s="9"/>
      <c r="J98" s="442">
        <v>2.0</v>
      </c>
      <c r="K98" s="9"/>
      <c r="L98" s="9">
        <v>3.0</v>
      </c>
      <c r="M98" s="443"/>
      <c r="N98" s="9"/>
      <c r="O98" s="442">
        <v>-1.0</v>
      </c>
      <c r="P98" s="9"/>
      <c r="Q98" s="9">
        <v>-1.0</v>
      </c>
      <c r="R98" s="443"/>
      <c r="S98" s="9"/>
      <c r="T98" s="442">
        <v>3.0</v>
      </c>
      <c r="U98" s="9"/>
      <c r="V98" s="9">
        <v>4.0</v>
      </c>
      <c r="W98" s="443"/>
      <c r="X98" s="9"/>
      <c r="Y98" s="9"/>
      <c r="Z98" s="9"/>
      <c r="AA98" s="9"/>
    </row>
    <row r="99" ht="15.75" customHeight="1">
      <c r="A99" s="448" t="s">
        <v>1717</v>
      </c>
      <c r="B99" s="448" t="s">
        <v>2153</v>
      </c>
      <c r="C99" s="449" t="s">
        <v>2169</v>
      </c>
      <c r="D99" s="449">
        <v>3.0</v>
      </c>
      <c r="E99" s="449">
        <v>1.0</v>
      </c>
      <c r="F99" s="452" t="s">
        <v>2170</v>
      </c>
      <c r="G99" s="444" t="s">
        <v>2156</v>
      </c>
      <c r="H99" s="441">
        <f t="shared" si="1"/>
        <v>1</v>
      </c>
      <c r="I99" s="9"/>
      <c r="J99" s="442">
        <v>2.0</v>
      </c>
      <c r="K99" s="9"/>
      <c r="L99" s="9">
        <v>3.0</v>
      </c>
      <c r="M99" s="443"/>
      <c r="N99" s="9"/>
      <c r="O99" s="442">
        <v>-2.0</v>
      </c>
      <c r="P99" s="9"/>
      <c r="Q99" s="9">
        <v>-3.0</v>
      </c>
      <c r="R99" s="443"/>
      <c r="S99" s="9"/>
      <c r="T99" s="442">
        <v>5.0</v>
      </c>
      <c r="U99" s="9"/>
      <c r="V99" s="9">
        <v>5.0</v>
      </c>
      <c r="W99" s="443"/>
      <c r="X99" s="9"/>
      <c r="Y99" s="9"/>
      <c r="Z99" s="9"/>
      <c r="AA99" s="9"/>
    </row>
    <row r="100" ht="15.75" customHeight="1">
      <c r="A100" s="448" t="s">
        <v>1717</v>
      </c>
      <c r="B100" s="448" t="s">
        <v>2153</v>
      </c>
      <c r="C100" s="449" t="s">
        <v>2171</v>
      </c>
      <c r="D100" s="449">
        <v>3.0</v>
      </c>
      <c r="E100" s="449"/>
      <c r="F100" s="451" t="s">
        <v>2172</v>
      </c>
      <c r="G100" s="444" t="s">
        <v>2156</v>
      </c>
      <c r="H100" s="441">
        <f t="shared" si="1"/>
        <v>3</v>
      </c>
      <c r="I100" s="9"/>
      <c r="J100" s="442">
        <v>4.0</v>
      </c>
      <c r="K100" s="9"/>
      <c r="L100" s="9">
        <v>4.0</v>
      </c>
      <c r="M100" s="443"/>
      <c r="N100" s="9"/>
      <c r="O100" s="442">
        <v>-2.0</v>
      </c>
      <c r="P100" s="9"/>
      <c r="Q100" s="9">
        <v>-3.0</v>
      </c>
      <c r="R100" s="443"/>
      <c r="S100" s="9"/>
      <c r="T100" s="442">
        <v>4.0</v>
      </c>
      <c r="U100" s="9"/>
      <c r="V100" s="9">
        <v>5.0</v>
      </c>
      <c r="W100" s="443"/>
      <c r="X100" s="9"/>
      <c r="Y100" s="9"/>
      <c r="Z100" s="9"/>
      <c r="AA100" s="9"/>
    </row>
    <row r="101" ht="15.75" customHeight="1">
      <c r="A101" s="448" t="s">
        <v>1717</v>
      </c>
      <c r="B101" s="448" t="s">
        <v>1411</v>
      </c>
      <c r="C101" s="449" t="s">
        <v>2173</v>
      </c>
      <c r="D101" s="449">
        <v>0.0</v>
      </c>
      <c r="E101" s="449">
        <v>2.0</v>
      </c>
      <c r="F101" s="451" t="s">
        <v>2174</v>
      </c>
      <c r="G101" s="444" t="s">
        <v>2175</v>
      </c>
      <c r="H101" s="441">
        <f t="shared" si="1"/>
        <v>3</v>
      </c>
      <c r="I101" s="9"/>
      <c r="J101" s="442">
        <v>4.0</v>
      </c>
      <c r="K101" s="9"/>
      <c r="L101" s="9">
        <v>4.0</v>
      </c>
      <c r="M101" s="443"/>
      <c r="N101" s="9"/>
      <c r="O101" s="442">
        <v>-2.0</v>
      </c>
      <c r="P101" s="9"/>
      <c r="Q101" s="9">
        <v>-3.0</v>
      </c>
      <c r="R101" s="443"/>
      <c r="S101" s="9"/>
      <c r="T101" s="442">
        <v>3.0</v>
      </c>
      <c r="U101" s="9"/>
      <c r="V101" s="9">
        <v>4.0</v>
      </c>
      <c r="W101" s="443"/>
      <c r="X101" s="9"/>
      <c r="Y101" s="9"/>
      <c r="Z101" s="9"/>
      <c r="AA101" s="9"/>
    </row>
    <row r="102" ht="15.75" customHeight="1">
      <c r="A102" s="448" t="s">
        <v>1717</v>
      </c>
      <c r="B102" s="448" t="s">
        <v>1411</v>
      </c>
      <c r="C102" s="449" t="s">
        <v>2176</v>
      </c>
      <c r="D102" s="449">
        <v>1.0</v>
      </c>
      <c r="E102" s="449"/>
      <c r="F102" s="451" t="s">
        <v>2177</v>
      </c>
      <c r="G102" s="444" t="s">
        <v>2175</v>
      </c>
      <c r="H102" s="441">
        <f t="shared" si="1"/>
        <v>4.5</v>
      </c>
      <c r="I102" s="9"/>
      <c r="J102" s="442">
        <v>2.0</v>
      </c>
      <c r="K102" s="9"/>
      <c r="L102" s="9">
        <v>2.0</v>
      </c>
      <c r="M102" s="443"/>
      <c r="N102" s="9"/>
      <c r="O102" s="442">
        <v>-1.0</v>
      </c>
      <c r="P102" s="9"/>
      <c r="Q102" s="9">
        <v>-1.0</v>
      </c>
      <c r="R102" s="443"/>
      <c r="S102" s="9"/>
      <c r="T102" s="442">
        <v>4.0</v>
      </c>
      <c r="U102" s="9"/>
      <c r="V102" s="9">
        <v>5.0</v>
      </c>
      <c r="W102" s="443"/>
      <c r="X102" s="9"/>
      <c r="Y102" s="9"/>
      <c r="Z102" s="9"/>
      <c r="AA102" s="9"/>
    </row>
    <row r="103" ht="15.75" customHeight="1">
      <c r="A103" s="448" t="s">
        <v>1717</v>
      </c>
      <c r="B103" s="448" t="s">
        <v>1411</v>
      </c>
      <c r="C103" s="449" t="s">
        <v>2178</v>
      </c>
      <c r="D103" s="449">
        <v>1.0</v>
      </c>
      <c r="E103" s="449"/>
      <c r="F103" s="451" t="s">
        <v>2179</v>
      </c>
      <c r="G103" s="444" t="s">
        <v>2175</v>
      </c>
      <c r="H103" s="441">
        <f t="shared" si="1"/>
        <v>7</v>
      </c>
      <c r="I103" s="9"/>
      <c r="J103" s="442">
        <v>4.0</v>
      </c>
      <c r="K103" s="9"/>
      <c r="L103" s="9">
        <v>4.0</v>
      </c>
      <c r="M103" s="443"/>
      <c r="N103" s="9"/>
      <c r="O103" s="442">
        <v>0.0</v>
      </c>
      <c r="P103" s="9"/>
      <c r="Q103" s="9">
        <v>0.0</v>
      </c>
      <c r="R103" s="443"/>
      <c r="S103" s="9"/>
      <c r="T103" s="442">
        <v>4.0</v>
      </c>
      <c r="U103" s="9"/>
      <c r="V103" s="9">
        <v>4.0</v>
      </c>
      <c r="W103" s="443"/>
      <c r="X103" s="9"/>
      <c r="Y103" s="9"/>
      <c r="Z103" s="9"/>
      <c r="AA103" s="9"/>
    </row>
    <row r="104" ht="15.75" customHeight="1">
      <c r="A104" s="448" t="s">
        <v>1717</v>
      </c>
      <c r="B104" s="448" t="s">
        <v>1411</v>
      </c>
      <c r="C104" s="449" t="s">
        <v>2180</v>
      </c>
      <c r="D104" s="449">
        <v>1.0</v>
      </c>
      <c r="E104" s="449">
        <v>1.0</v>
      </c>
      <c r="F104" s="451" t="s">
        <v>2181</v>
      </c>
      <c r="G104" s="444" t="s">
        <v>2175</v>
      </c>
      <c r="H104" s="441">
        <f t="shared" si="1"/>
        <v>3</v>
      </c>
      <c r="I104" s="9"/>
      <c r="J104" s="442">
        <v>4.0</v>
      </c>
      <c r="K104" s="9"/>
      <c r="L104" s="9">
        <v>4.0</v>
      </c>
      <c r="M104" s="443"/>
      <c r="N104" s="9"/>
      <c r="O104" s="442">
        <v>-2.0</v>
      </c>
      <c r="P104" s="9"/>
      <c r="Q104" s="9">
        <v>-3.0</v>
      </c>
      <c r="R104" s="443"/>
      <c r="S104" s="9"/>
      <c r="T104" s="442">
        <v>3.0</v>
      </c>
      <c r="U104" s="9"/>
      <c r="V104" s="9">
        <v>4.0</v>
      </c>
      <c r="W104" s="443"/>
      <c r="X104" s="9"/>
      <c r="Y104" s="9"/>
      <c r="Z104" s="9"/>
      <c r="AA104" s="9"/>
    </row>
    <row r="105" ht="15.75" customHeight="1">
      <c r="A105" s="448" t="s">
        <v>1717</v>
      </c>
      <c r="B105" s="448" t="s">
        <v>1411</v>
      </c>
      <c r="C105" s="449" t="s">
        <v>2182</v>
      </c>
      <c r="D105" s="449">
        <v>2.0</v>
      </c>
      <c r="E105" s="449">
        <v>1.0</v>
      </c>
      <c r="F105" s="451" t="s">
        <v>2183</v>
      </c>
      <c r="G105" s="444" t="s">
        <v>2175</v>
      </c>
      <c r="H105" s="441">
        <f t="shared" si="1"/>
        <v>1</v>
      </c>
      <c r="I105" s="9"/>
      <c r="J105" s="442">
        <v>4.0</v>
      </c>
      <c r="K105" s="9"/>
      <c r="L105" s="9">
        <v>3.0</v>
      </c>
      <c r="M105" s="443"/>
      <c r="N105" s="9"/>
      <c r="O105" s="442">
        <v>-2.0</v>
      </c>
      <c r="P105" s="9"/>
      <c r="Q105" s="9">
        <v>-3.0</v>
      </c>
      <c r="R105" s="443"/>
      <c r="S105" s="9"/>
      <c r="T105" s="442">
        <v>4.0</v>
      </c>
      <c r="U105" s="9"/>
      <c r="V105" s="9">
        <v>2.0</v>
      </c>
      <c r="W105" s="443"/>
      <c r="X105" s="9"/>
      <c r="Y105" s="9"/>
      <c r="Z105" s="9"/>
      <c r="AA105" s="9"/>
    </row>
    <row r="106" ht="15.75" customHeight="1">
      <c r="A106" s="448" t="s">
        <v>1717</v>
      </c>
      <c r="B106" s="448" t="s">
        <v>1411</v>
      </c>
      <c r="C106" s="449" t="s">
        <v>2184</v>
      </c>
      <c r="D106" s="449">
        <v>2.0</v>
      </c>
      <c r="E106" s="449"/>
      <c r="F106" s="451" t="s">
        <v>2185</v>
      </c>
      <c r="G106" s="444" t="s">
        <v>2175</v>
      </c>
      <c r="H106" s="441">
        <f t="shared" si="1"/>
        <v>2.5</v>
      </c>
      <c r="I106" s="9"/>
      <c r="J106" s="442">
        <v>2.0</v>
      </c>
      <c r="K106" s="9"/>
      <c r="L106" s="9">
        <v>2.0</v>
      </c>
      <c r="M106" s="443"/>
      <c r="N106" s="9"/>
      <c r="O106" s="442">
        <v>-1.0</v>
      </c>
      <c r="P106" s="9"/>
      <c r="Q106" s="9">
        <v>-1.0</v>
      </c>
      <c r="R106" s="443"/>
      <c r="S106" s="9"/>
      <c r="T106" s="442">
        <v>4.0</v>
      </c>
      <c r="U106" s="9"/>
      <c r="V106" s="9">
        <v>3.0</v>
      </c>
      <c r="W106" s="443"/>
      <c r="X106" s="9"/>
      <c r="Y106" s="9"/>
      <c r="Z106" s="9"/>
      <c r="AA106" s="9"/>
    </row>
    <row r="107" ht="15.75" customHeight="1">
      <c r="A107" s="448" t="s">
        <v>1717</v>
      </c>
      <c r="B107" s="448" t="s">
        <v>1411</v>
      </c>
      <c r="C107" s="449" t="s">
        <v>2186</v>
      </c>
      <c r="D107" s="449">
        <v>2.0</v>
      </c>
      <c r="E107" s="449">
        <v>1.0</v>
      </c>
      <c r="F107" s="451" t="s">
        <v>2187</v>
      </c>
      <c r="G107" s="444" t="s">
        <v>2175</v>
      </c>
      <c r="H107" s="441">
        <f t="shared" si="1"/>
        <v>-0.5</v>
      </c>
      <c r="I107" s="9"/>
      <c r="J107" s="442">
        <v>2.0</v>
      </c>
      <c r="K107" s="9"/>
      <c r="L107" s="9">
        <v>2.0</v>
      </c>
      <c r="M107" s="443"/>
      <c r="N107" s="9"/>
      <c r="O107" s="442">
        <v>-2.0</v>
      </c>
      <c r="P107" s="9"/>
      <c r="Q107" s="9">
        <v>-2.0</v>
      </c>
      <c r="R107" s="443"/>
      <c r="S107" s="9"/>
      <c r="T107" s="442">
        <v>2.0</v>
      </c>
      <c r="U107" s="9"/>
      <c r="V107" s="9">
        <v>3.0</v>
      </c>
      <c r="W107" s="443"/>
      <c r="X107" s="9"/>
      <c r="Y107" s="9"/>
      <c r="Z107" s="9"/>
      <c r="AA107" s="9"/>
    </row>
    <row r="108" ht="15.75" customHeight="1">
      <c r="A108" s="448" t="s">
        <v>1717</v>
      </c>
      <c r="B108" s="448" t="s">
        <v>1411</v>
      </c>
      <c r="C108" s="449" t="s">
        <v>2188</v>
      </c>
      <c r="D108" s="449">
        <v>3.0</v>
      </c>
      <c r="E108" s="449"/>
      <c r="F108" s="451" t="s">
        <v>2189</v>
      </c>
      <c r="G108" s="444" t="s">
        <v>2175</v>
      </c>
      <c r="H108" s="441">
        <f t="shared" si="1"/>
        <v>4.5</v>
      </c>
      <c r="I108" s="9"/>
      <c r="J108" s="442">
        <v>4.0</v>
      </c>
      <c r="K108" s="9"/>
      <c r="L108" s="9">
        <v>2.0</v>
      </c>
      <c r="M108" s="443"/>
      <c r="N108" s="9"/>
      <c r="O108" s="442">
        <v>-1.0</v>
      </c>
      <c r="P108" s="9"/>
      <c r="Q108" s="9">
        <v>0.0</v>
      </c>
      <c r="R108" s="443"/>
      <c r="S108" s="9"/>
      <c r="T108" s="442">
        <v>5.0</v>
      </c>
      <c r="U108" s="9"/>
      <c r="V108" s="9">
        <v>5.0</v>
      </c>
      <c r="W108" s="443"/>
      <c r="X108" s="9"/>
      <c r="Y108" s="9"/>
      <c r="Z108" s="9"/>
      <c r="AA108" s="9"/>
    </row>
    <row r="109" ht="15.75" customHeight="1">
      <c r="A109" s="448" t="s">
        <v>1717</v>
      </c>
      <c r="B109" s="448" t="s">
        <v>1411</v>
      </c>
      <c r="C109" s="449" t="s">
        <v>2190</v>
      </c>
      <c r="D109" s="449">
        <v>3.0</v>
      </c>
      <c r="E109" s="449">
        <v>3.0</v>
      </c>
      <c r="F109" s="451" t="s">
        <v>2191</v>
      </c>
      <c r="G109" s="444" t="s">
        <v>2175</v>
      </c>
      <c r="H109" s="441">
        <f t="shared" si="1"/>
        <v>0</v>
      </c>
      <c r="I109" s="9"/>
      <c r="J109" s="442">
        <v>4.0</v>
      </c>
      <c r="K109" s="9"/>
      <c r="L109" s="9">
        <v>4.0</v>
      </c>
      <c r="M109" s="443"/>
      <c r="N109" s="9"/>
      <c r="O109" s="442">
        <v>-3.0</v>
      </c>
      <c r="P109" s="9"/>
      <c r="Q109" s="9">
        <v>-3.0</v>
      </c>
      <c r="R109" s="443"/>
      <c r="S109" s="9"/>
      <c r="T109" s="442">
        <v>5.0</v>
      </c>
      <c r="U109" s="9"/>
      <c r="V109" s="9">
        <v>5.0</v>
      </c>
      <c r="W109" s="443"/>
      <c r="X109" s="9"/>
      <c r="Y109" s="9"/>
      <c r="Z109" s="9"/>
      <c r="AA109" s="9"/>
    </row>
    <row r="110" ht="15.75" customHeight="1">
      <c r="A110" s="448" t="s">
        <v>1717</v>
      </c>
      <c r="B110" s="448" t="s">
        <v>2192</v>
      </c>
      <c r="C110" s="449" t="s">
        <v>374</v>
      </c>
      <c r="D110" s="449">
        <v>0.0</v>
      </c>
      <c r="E110" s="449">
        <v>1.0</v>
      </c>
      <c r="F110" s="451" t="s">
        <v>2193</v>
      </c>
      <c r="G110" s="444" t="s">
        <v>2194</v>
      </c>
      <c r="H110" s="441">
        <f t="shared" si="1"/>
        <v>3.5</v>
      </c>
      <c r="I110" s="9"/>
      <c r="J110" s="442">
        <v>4.0</v>
      </c>
      <c r="K110" s="9"/>
      <c r="L110" s="9">
        <v>4.0</v>
      </c>
      <c r="M110" s="443"/>
      <c r="N110" s="9"/>
      <c r="O110" s="442">
        <v>-2.0</v>
      </c>
      <c r="P110" s="9"/>
      <c r="Q110" s="9">
        <v>-3.0</v>
      </c>
      <c r="R110" s="443"/>
      <c r="S110" s="9"/>
      <c r="T110" s="442">
        <v>3.0</v>
      </c>
      <c r="U110" s="9"/>
      <c r="V110" s="9">
        <v>3.0</v>
      </c>
      <c r="W110" s="443"/>
      <c r="X110" s="9"/>
      <c r="Y110" s="9"/>
      <c r="Z110" s="9"/>
      <c r="AA110" s="9"/>
    </row>
    <row r="111" ht="15.75" customHeight="1">
      <c r="A111" s="448" t="s">
        <v>1717</v>
      </c>
      <c r="B111" s="448" t="s">
        <v>2192</v>
      </c>
      <c r="C111" s="449" t="s">
        <v>2195</v>
      </c>
      <c r="D111" s="449">
        <v>1.0</v>
      </c>
      <c r="E111" s="449"/>
      <c r="F111" s="451" t="s">
        <v>2196</v>
      </c>
      <c r="G111" s="444" t="s">
        <v>2194</v>
      </c>
      <c r="H111" s="441">
        <f t="shared" si="1"/>
        <v>4.5</v>
      </c>
      <c r="I111" s="9"/>
      <c r="J111" s="442">
        <v>4.0</v>
      </c>
      <c r="K111" s="9"/>
      <c r="L111" s="9">
        <v>3.0</v>
      </c>
      <c r="M111" s="443"/>
      <c r="N111" s="9"/>
      <c r="O111" s="442">
        <v>-2.0</v>
      </c>
      <c r="P111" s="9"/>
      <c r="Q111" s="9">
        <v>-2.0</v>
      </c>
      <c r="R111" s="443"/>
      <c r="S111" s="9"/>
      <c r="T111" s="442">
        <v>4.0</v>
      </c>
      <c r="U111" s="9"/>
      <c r="V111" s="9">
        <v>4.0</v>
      </c>
      <c r="W111" s="443"/>
      <c r="X111" s="9"/>
      <c r="Y111" s="9"/>
      <c r="Z111" s="9"/>
      <c r="AA111" s="9"/>
    </row>
    <row r="112" ht="15.75" customHeight="1">
      <c r="A112" s="448" t="s">
        <v>1717</v>
      </c>
      <c r="B112" s="448" t="s">
        <v>2192</v>
      </c>
      <c r="C112" s="449" t="s">
        <v>2197</v>
      </c>
      <c r="D112" s="449">
        <v>1.0</v>
      </c>
      <c r="E112" s="449">
        <v>1.0</v>
      </c>
      <c r="F112" s="451" t="s">
        <v>2198</v>
      </c>
      <c r="G112" s="444" t="s">
        <v>2194</v>
      </c>
      <c r="H112" s="441">
        <f t="shared" si="1"/>
        <v>3</v>
      </c>
      <c r="I112" s="9"/>
      <c r="J112" s="442">
        <v>4.0</v>
      </c>
      <c r="K112" s="9"/>
      <c r="L112" s="9">
        <v>4.0</v>
      </c>
      <c r="M112" s="443"/>
      <c r="N112" s="9"/>
      <c r="O112" s="442">
        <v>-3.0</v>
      </c>
      <c r="P112" s="9"/>
      <c r="Q112" s="9">
        <v>-3.0</v>
      </c>
      <c r="R112" s="443"/>
      <c r="S112" s="9"/>
      <c r="T112" s="442">
        <v>3.0</v>
      </c>
      <c r="U112" s="9"/>
      <c r="V112" s="9">
        <v>5.0</v>
      </c>
      <c r="W112" s="443"/>
      <c r="X112" s="9"/>
      <c r="Y112" s="9"/>
      <c r="Z112" s="9"/>
      <c r="AA112" s="9"/>
    </row>
    <row r="113" ht="15.75" customHeight="1">
      <c r="A113" s="448" t="s">
        <v>1717</v>
      </c>
      <c r="B113" s="448" t="s">
        <v>2192</v>
      </c>
      <c r="C113" s="449" t="s">
        <v>2199</v>
      </c>
      <c r="D113" s="449">
        <v>1.0</v>
      </c>
      <c r="E113" s="449">
        <v>2.0</v>
      </c>
      <c r="F113" s="451" t="s">
        <v>2200</v>
      </c>
      <c r="G113" s="444" t="s">
        <v>2194</v>
      </c>
      <c r="H113" s="441">
        <f t="shared" si="1"/>
        <v>2</v>
      </c>
      <c r="I113" s="9"/>
      <c r="J113" s="442">
        <v>4.0</v>
      </c>
      <c r="K113" s="9"/>
      <c r="L113" s="9">
        <v>4.0</v>
      </c>
      <c r="M113" s="443"/>
      <c r="N113" s="9"/>
      <c r="O113" s="442">
        <v>-2.0</v>
      </c>
      <c r="P113" s="9"/>
      <c r="Q113" s="9">
        <v>-3.0</v>
      </c>
      <c r="R113" s="443"/>
      <c r="S113" s="9"/>
      <c r="T113" s="442">
        <v>4.0</v>
      </c>
      <c r="U113" s="9"/>
      <c r="V113" s="9">
        <v>3.0</v>
      </c>
      <c r="W113" s="443"/>
      <c r="X113" s="9"/>
      <c r="Y113" s="9"/>
      <c r="Z113" s="9"/>
      <c r="AA113" s="9"/>
    </row>
    <row r="114" ht="15.75" customHeight="1">
      <c r="A114" s="448" t="s">
        <v>1717</v>
      </c>
      <c r="B114" s="448" t="s">
        <v>2192</v>
      </c>
      <c r="C114" s="449" t="s">
        <v>2201</v>
      </c>
      <c r="D114" s="449">
        <v>2.0</v>
      </c>
      <c r="E114" s="449">
        <v>1.0</v>
      </c>
      <c r="F114" s="451" t="s">
        <v>2202</v>
      </c>
      <c r="G114" s="444" t="s">
        <v>2194</v>
      </c>
      <c r="H114" s="441">
        <f t="shared" si="1"/>
        <v>-0.5</v>
      </c>
      <c r="I114" s="9"/>
      <c r="J114" s="442">
        <v>4.0</v>
      </c>
      <c r="K114" s="9"/>
      <c r="L114" s="9">
        <v>2.0</v>
      </c>
      <c r="M114" s="443"/>
      <c r="N114" s="9"/>
      <c r="O114" s="442">
        <v>-3.0</v>
      </c>
      <c r="P114" s="9"/>
      <c r="Q114" s="9">
        <v>-3.0</v>
      </c>
      <c r="R114" s="443"/>
      <c r="S114" s="9"/>
      <c r="T114" s="442">
        <v>3.0</v>
      </c>
      <c r="U114" s="9"/>
      <c r="V114" s="9">
        <v>2.0</v>
      </c>
      <c r="W114" s="443"/>
      <c r="X114" s="9"/>
      <c r="Y114" s="9"/>
      <c r="Z114" s="9"/>
      <c r="AA114" s="9"/>
    </row>
    <row r="115" ht="15.75" customHeight="1">
      <c r="A115" s="448" t="s">
        <v>1717</v>
      </c>
      <c r="B115" s="448" t="s">
        <v>2192</v>
      </c>
      <c r="C115" s="449" t="s">
        <v>2203</v>
      </c>
      <c r="D115" s="449">
        <v>2.0</v>
      </c>
      <c r="E115" s="449">
        <v>1.0</v>
      </c>
      <c r="F115" s="451" t="s">
        <v>2204</v>
      </c>
      <c r="G115" s="444" t="s">
        <v>2194</v>
      </c>
      <c r="H115" s="441">
        <f t="shared" si="1"/>
        <v>1</v>
      </c>
      <c r="I115" s="9"/>
      <c r="J115" s="442">
        <v>4.0</v>
      </c>
      <c r="K115" s="9"/>
      <c r="L115" s="9">
        <v>4.0</v>
      </c>
      <c r="M115" s="443"/>
      <c r="N115" s="9"/>
      <c r="O115" s="442">
        <v>-2.0</v>
      </c>
      <c r="P115" s="9"/>
      <c r="Q115" s="9">
        <v>-2.0</v>
      </c>
      <c r="R115" s="443"/>
      <c r="S115" s="9"/>
      <c r="T115" s="442">
        <v>1.0</v>
      </c>
      <c r="U115" s="9"/>
      <c r="V115" s="9">
        <v>3.0</v>
      </c>
      <c r="W115" s="443"/>
      <c r="X115" s="9"/>
      <c r="Y115" s="9"/>
      <c r="Z115" s="9"/>
      <c r="AA115" s="9"/>
    </row>
    <row r="116" ht="15.75" customHeight="1">
      <c r="A116" s="448" t="s">
        <v>1717</v>
      </c>
      <c r="B116" s="448" t="s">
        <v>2192</v>
      </c>
      <c r="C116" s="449" t="s">
        <v>2205</v>
      </c>
      <c r="D116" s="449">
        <v>2.0</v>
      </c>
      <c r="E116" s="449"/>
      <c r="F116" s="451" t="s">
        <v>2206</v>
      </c>
      <c r="G116" s="444" t="s">
        <v>2194</v>
      </c>
      <c r="H116" s="441">
        <f t="shared" si="1"/>
        <v>1.5</v>
      </c>
      <c r="I116" s="9"/>
      <c r="J116" s="442">
        <v>4.0</v>
      </c>
      <c r="K116" s="9"/>
      <c r="L116" s="9">
        <v>4.0</v>
      </c>
      <c r="M116" s="443"/>
      <c r="N116" s="9"/>
      <c r="O116" s="442">
        <v>-3.0</v>
      </c>
      <c r="P116" s="9"/>
      <c r="Q116" s="9">
        <v>-3.0</v>
      </c>
      <c r="R116" s="443"/>
      <c r="S116" s="9"/>
      <c r="T116" s="442">
        <v>2.0</v>
      </c>
      <c r="U116" s="9"/>
      <c r="V116" s="9">
        <v>3.0</v>
      </c>
      <c r="W116" s="443"/>
      <c r="X116" s="9"/>
      <c r="Y116" s="9"/>
      <c r="Z116" s="9"/>
      <c r="AA116" s="9"/>
    </row>
    <row r="117" ht="15.75" customHeight="1">
      <c r="A117" s="448" t="s">
        <v>1717</v>
      </c>
      <c r="B117" s="448" t="s">
        <v>2192</v>
      </c>
      <c r="C117" s="449" t="s">
        <v>2207</v>
      </c>
      <c r="D117" s="449">
        <v>3.0</v>
      </c>
      <c r="E117" s="449"/>
      <c r="F117" s="451" t="s">
        <v>2208</v>
      </c>
      <c r="G117" s="444" t="s">
        <v>2194</v>
      </c>
      <c r="H117" s="441">
        <f t="shared" si="1"/>
        <v>2</v>
      </c>
      <c r="I117" s="9"/>
      <c r="J117" s="442">
        <v>4.0</v>
      </c>
      <c r="K117" s="9"/>
      <c r="L117" s="9">
        <v>4.0</v>
      </c>
      <c r="M117" s="443"/>
      <c r="N117" s="9"/>
      <c r="O117" s="442">
        <v>-3.0</v>
      </c>
      <c r="P117" s="9"/>
      <c r="Q117" s="9">
        <v>-3.0</v>
      </c>
      <c r="R117" s="443"/>
      <c r="S117" s="9"/>
      <c r="T117" s="442">
        <v>5.0</v>
      </c>
      <c r="U117" s="9"/>
      <c r="V117" s="9">
        <v>3.0</v>
      </c>
      <c r="W117" s="443"/>
      <c r="X117" s="9"/>
      <c r="Y117" s="9"/>
      <c r="Z117" s="9"/>
      <c r="AA117" s="9"/>
    </row>
    <row r="118" ht="15.75" customHeight="1">
      <c r="A118" s="448" t="s">
        <v>1717</v>
      </c>
      <c r="B118" s="448" t="s">
        <v>2192</v>
      </c>
      <c r="C118" s="449" t="s">
        <v>2209</v>
      </c>
      <c r="D118" s="449">
        <v>3.0</v>
      </c>
      <c r="E118" s="449">
        <v>2.0</v>
      </c>
      <c r="F118" s="451" t="s">
        <v>2210</v>
      </c>
      <c r="G118" s="444" t="s">
        <v>2194</v>
      </c>
      <c r="H118" s="441">
        <f t="shared" si="1"/>
        <v>0</v>
      </c>
      <c r="I118" s="9"/>
      <c r="J118" s="442">
        <v>4.0</v>
      </c>
      <c r="K118" s="9"/>
      <c r="L118" s="9">
        <v>4.0</v>
      </c>
      <c r="M118" s="443"/>
      <c r="N118" s="9"/>
      <c r="O118" s="442">
        <v>-3.0</v>
      </c>
      <c r="P118" s="9"/>
      <c r="Q118" s="9">
        <v>-3.0</v>
      </c>
      <c r="R118" s="443"/>
      <c r="S118" s="9"/>
      <c r="T118" s="442">
        <v>5.0</v>
      </c>
      <c r="U118" s="9"/>
      <c r="V118" s="9">
        <v>3.0</v>
      </c>
      <c r="W118" s="443"/>
      <c r="X118" s="9"/>
      <c r="Y118" s="9"/>
      <c r="Z118" s="9"/>
      <c r="AA118" s="9"/>
    </row>
    <row r="119" ht="15.75" customHeight="1">
      <c r="A119" s="448" t="s">
        <v>1717</v>
      </c>
      <c r="B119" s="448" t="s">
        <v>1951</v>
      </c>
      <c r="C119" s="449" t="s">
        <v>2211</v>
      </c>
      <c r="D119" s="449">
        <v>0.0</v>
      </c>
      <c r="E119" s="449">
        <v>1.0</v>
      </c>
      <c r="F119" s="451" t="s">
        <v>2212</v>
      </c>
      <c r="G119" s="444" t="s">
        <v>2213</v>
      </c>
      <c r="H119" s="441">
        <f t="shared" si="1"/>
        <v>4</v>
      </c>
      <c r="I119" s="9"/>
      <c r="J119" s="442">
        <v>4.0</v>
      </c>
      <c r="K119" s="9"/>
      <c r="L119" s="9">
        <v>4.0</v>
      </c>
      <c r="M119" s="443"/>
      <c r="N119" s="9"/>
      <c r="O119" s="442">
        <v>-3.0</v>
      </c>
      <c r="P119" s="9"/>
      <c r="Q119" s="9">
        <v>-3.0</v>
      </c>
      <c r="R119" s="443"/>
      <c r="S119" s="9"/>
      <c r="T119" s="442">
        <v>5.0</v>
      </c>
      <c r="U119" s="9"/>
      <c r="V119" s="9">
        <v>3.0</v>
      </c>
      <c r="W119" s="443"/>
      <c r="X119" s="9"/>
      <c r="Y119" s="9"/>
      <c r="Z119" s="9"/>
      <c r="AA119" s="9"/>
    </row>
    <row r="120" ht="15.75" customHeight="1">
      <c r="A120" s="448" t="s">
        <v>1717</v>
      </c>
      <c r="B120" s="448" t="s">
        <v>1951</v>
      </c>
      <c r="C120" s="449" t="s">
        <v>2214</v>
      </c>
      <c r="D120" s="449">
        <v>1.0</v>
      </c>
      <c r="E120" s="449">
        <v>2.0</v>
      </c>
      <c r="F120" s="451" t="s">
        <v>2215</v>
      </c>
      <c r="G120" s="444" t="s">
        <v>2213</v>
      </c>
      <c r="H120" s="441">
        <f t="shared" si="1"/>
        <v>2</v>
      </c>
      <c r="I120" s="9"/>
      <c r="J120" s="442">
        <v>4.0</v>
      </c>
      <c r="K120" s="9"/>
      <c r="L120" s="9">
        <v>4.0</v>
      </c>
      <c r="M120" s="443"/>
      <c r="N120" s="9"/>
      <c r="O120" s="442">
        <v>-3.0</v>
      </c>
      <c r="P120" s="9"/>
      <c r="Q120" s="9">
        <v>-3.0</v>
      </c>
      <c r="R120" s="443"/>
      <c r="S120" s="9"/>
      <c r="T120" s="442">
        <v>4.0</v>
      </c>
      <c r="U120" s="9"/>
      <c r="V120" s="9">
        <v>4.0</v>
      </c>
      <c r="W120" s="443"/>
      <c r="X120" s="9"/>
      <c r="Y120" s="9"/>
      <c r="Z120" s="9"/>
      <c r="AA120" s="9"/>
    </row>
    <row r="121" ht="15.75" customHeight="1">
      <c r="A121" s="448" t="s">
        <v>1717</v>
      </c>
      <c r="B121" s="448" t="s">
        <v>1951</v>
      </c>
      <c r="C121" s="449" t="s">
        <v>2216</v>
      </c>
      <c r="D121" s="449">
        <v>1.0</v>
      </c>
      <c r="E121" s="449"/>
      <c r="F121" s="451" t="s">
        <v>2217</v>
      </c>
      <c r="G121" s="444" t="s">
        <v>2213</v>
      </c>
      <c r="H121" s="441">
        <f t="shared" si="1"/>
        <v>2.5</v>
      </c>
      <c r="I121" s="9"/>
      <c r="J121" s="442">
        <v>3.0</v>
      </c>
      <c r="K121" s="9"/>
      <c r="L121" s="9">
        <v>3.0</v>
      </c>
      <c r="M121" s="443"/>
      <c r="N121" s="9"/>
      <c r="O121" s="442">
        <v>-1.0</v>
      </c>
      <c r="P121" s="9"/>
      <c r="Q121" s="9">
        <v>-3.0</v>
      </c>
      <c r="R121" s="443"/>
      <c r="S121" s="9"/>
      <c r="T121" s="442">
        <v>2.0</v>
      </c>
      <c r="U121" s="9"/>
      <c r="V121" s="9">
        <v>3.0</v>
      </c>
      <c r="W121" s="443"/>
      <c r="X121" s="9"/>
      <c r="Y121" s="9"/>
      <c r="Z121" s="9"/>
      <c r="AA121" s="9"/>
    </row>
    <row r="122" ht="15.75" customHeight="1">
      <c r="A122" s="448" t="s">
        <v>1717</v>
      </c>
      <c r="B122" s="448" t="s">
        <v>1951</v>
      </c>
      <c r="C122" s="449" t="s">
        <v>2218</v>
      </c>
      <c r="D122" s="449">
        <v>1.0</v>
      </c>
      <c r="E122" s="449"/>
      <c r="F122" s="451" t="s">
        <v>2219</v>
      </c>
      <c r="G122" s="444" t="s">
        <v>2213</v>
      </c>
      <c r="H122" s="441">
        <f t="shared" si="1"/>
        <v>5</v>
      </c>
      <c r="I122" s="9"/>
      <c r="J122" s="442">
        <v>3.0</v>
      </c>
      <c r="K122" s="9"/>
      <c r="L122" s="9">
        <v>3.0</v>
      </c>
      <c r="M122" s="443"/>
      <c r="N122" s="9"/>
      <c r="O122" s="442">
        <v>-1.0</v>
      </c>
      <c r="P122" s="9"/>
      <c r="Q122" s="9">
        <v>0.0</v>
      </c>
      <c r="R122" s="443"/>
      <c r="S122" s="9"/>
      <c r="T122" s="442">
        <v>3.0</v>
      </c>
      <c r="U122" s="9"/>
      <c r="V122" s="9">
        <v>4.0</v>
      </c>
      <c r="W122" s="443"/>
      <c r="X122" s="9"/>
      <c r="Y122" s="9"/>
      <c r="Z122" s="9"/>
      <c r="AA122" s="9"/>
    </row>
    <row r="123" ht="15.75" customHeight="1">
      <c r="A123" s="448" t="s">
        <v>1717</v>
      </c>
      <c r="B123" s="448" t="s">
        <v>1951</v>
      </c>
      <c r="C123" s="449" t="s">
        <v>2220</v>
      </c>
      <c r="D123" s="449">
        <v>2.0</v>
      </c>
      <c r="E123" s="449">
        <v>2.0</v>
      </c>
      <c r="F123" s="451" t="s">
        <v>2221</v>
      </c>
      <c r="G123" s="444" t="s">
        <v>2213</v>
      </c>
      <c r="H123" s="441">
        <f t="shared" si="1"/>
        <v>0.5</v>
      </c>
      <c r="I123" s="9"/>
      <c r="J123" s="442">
        <v>4.0</v>
      </c>
      <c r="K123" s="9"/>
      <c r="L123" s="9">
        <v>4.0</v>
      </c>
      <c r="M123" s="443"/>
      <c r="N123" s="9"/>
      <c r="O123" s="442">
        <v>-4.0</v>
      </c>
      <c r="P123" s="9"/>
      <c r="Q123" s="9">
        <v>-3.0</v>
      </c>
      <c r="R123" s="443"/>
      <c r="S123" s="9"/>
      <c r="T123" s="442">
        <v>4.0</v>
      </c>
      <c r="U123" s="9"/>
      <c r="V123" s="9">
        <v>4.0</v>
      </c>
      <c r="W123" s="443"/>
      <c r="X123" s="9"/>
      <c r="Y123" s="9"/>
      <c r="Z123" s="9"/>
      <c r="AA123" s="9"/>
    </row>
    <row r="124" ht="15.75" customHeight="1">
      <c r="A124" s="448" t="s">
        <v>1717</v>
      </c>
      <c r="B124" s="448" t="s">
        <v>1951</v>
      </c>
      <c r="C124" s="449" t="s">
        <v>2222</v>
      </c>
      <c r="D124" s="449">
        <v>2.0</v>
      </c>
      <c r="E124" s="449"/>
      <c r="F124" s="451" t="s">
        <v>2223</v>
      </c>
      <c r="G124" s="444" t="s">
        <v>2213</v>
      </c>
      <c r="H124" s="441">
        <f t="shared" si="1"/>
        <v>5.5</v>
      </c>
      <c r="I124" s="9"/>
      <c r="J124" s="442">
        <v>4.0</v>
      </c>
      <c r="K124" s="9"/>
      <c r="L124" s="9">
        <v>4.0</v>
      </c>
      <c r="M124" s="443"/>
      <c r="N124" s="9"/>
      <c r="O124" s="442">
        <v>-1.0</v>
      </c>
      <c r="P124" s="9"/>
      <c r="Q124" s="9">
        <v>0.0</v>
      </c>
      <c r="R124" s="443"/>
      <c r="S124" s="9"/>
      <c r="T124" s="442">
        <v>4.0</v>
      </c>
      <c r="U124" s="9"/>
      <c r="V124" s="9">
        <v>4.0</v>
      </c>
      <c r="W124" s="443"/>
      <c r="X124" s="9"/>
      <c r="Y124" s="9"/>
      <c r="Z124" s="9"/>
      <c r="AA124" s="9"/>
    </row>
    <row r="125" ht="15.75" customHeight="1">
      <c r="A125" s="448" t="s">
        <v>1717</v>
      </c>
      <c r="B125" s="448" t="s">
        <v>1951</v>
      </c>
      <c r="C125" s="449" t="s">
        <v>2224</v>
      </c>
      <c r="D125" s="449">
        <v>2.0</v>
      </c>
      <c r="E125" s="449"/>
      <c r="F125" s="452" t="s">
        <v>2225</v>
      </c>
      <c r="G125" s="444" t="s">
        <v>2213</v>
      </c>
      <c r="H125" s="441">
        <f t="shared" si="1"/>
        <v>2</v>
      </c>
      <c r="I125" s="9"/>
      <c r="J125" s="442">
        <v>4.0</v>
      </c>
      <c r="K125" s="9"/>
      <c r="L125" s="9">
        <v>4.0</v>
      </c>
      <c r="M125" s="443"/>
      <c r="N125" s="9"/>
      <c r="O125" s="442">
        <v>-3.0</v>
      </c>
      <c r="P125" s="9"/>
      <c r="Q125" s="9">
        <v>-3.0</v>
      </c>
      <c r="R125" s="443"/>
      <c r="S125" s="9"/>
      <c r="T125" s="442">
        <v>3.0</v>
      </c>
      <c r="U125" s="9"/>
      <c r="V125" s="9">
        <v>3.0</v>
      </c>
      <c r="W125" s="443"/>
      <c r="X125" s="9"/>
      <c r="Y125" s="9"/>
      <c r="Z125" s="9"/>
      <c r="AA125" s="9"/>
    </row>
    <row r="126" ht="15.75" customHeight="1">
      <c r="A126" s="448" t="s">
        <v>1717</v>
      </c>
      <c r="B126" s="448" t="s">
        <v>1951</v>
      </c>
      <c r="C126" s="449" t="s">
        <v>2226</v>
      </c>
      <c r="D126" s="449">
        <v>3.0</v>
      </c>
      <c r="E126" s="449"/>
      <c r="F126" s="451" t="s">
        <v>2227</v>
      </c>
      <c r="G126" s="444" t="s">
        <v>2213</v>
      </c>
      <c r="H126" s="441">
        <f t="shared" si="1"/>
        <v>2</v>
      </c>
      <c r="I126" s="9"/>
      <c r="J126" s="442">
        <v>4.0</v>
      </c>
      <c r="K126" s="9"/>
      <c r="L126" s="9">
        <v>4.0</v>
      </c>
      <c r="M126" s="443"/>
      <c r="N126" s="9"/>
      <c r="O126" s="442">
        <v>-4.0</v>
      </c>
      <c r="P126" s="9"/>
      <c r="Q126" s="9">
        <v>-2.0</v>
      </c>
      <c r="R126" s="443"/>
      <c r="S126" s="9"/>
      <c r="T126" s="442">
        <v>4.0</v>
      </c>
      <c r="U126" s="9"/>
      <c r="V126" s="9">
        <v>4.0</v>
      </c>
      <c r="W126" s="443"/>
      <c r="X126" s="9"/>
      <c r="Y126" s="9"/>
      <c r="Z126" s="9"/>
      <c r="AA126" s="9"/>
    </row>
    <row r="127" ht="15.75" customHeight="1">
      <c r="A127" s="448" t="s">
        <v>1717</v>
      </c>
      <c r="B127" s="448" t="s">
        <v>1951</v>
      </c>
      <c r="C127" s="449" t="s">
        <v>2228</v>
      </c>
      <c r="D127" s="449">
        <v>3.0</v>
      </c>
      <c r="E127" s="449"/>
      <c r="F127" s="451" t="s">
        <v>2229</v>
      </c>
      <c r="G127" s="444" t="s">
        <v>2213</v>
      </c>
      <c r="H127" s="441">
        <f t="shared" si="1"/>
        <v>4.5</v>
      </c>
      <c r="I127" s="9"/>
      <c r="J127" s="442">
        <v>4.0</v>
      </c>
      <c r="K127" s="9"/>
      <c r="L127" s="9">
        <v>4.0</v>
      </c>
      <c r="M127" s="443"/>
      <c r="N127" s="9"/>
      <c r="O127" s="442">
        <v>0.0</v>
      </c>
      <c r="P127" s="9"/>
      <c r="Q127" s="9">
        <v>0.0</v>
      </c>
      <c r="R127" s="443"/>
      <c r="S127" s="9"/>
      <c r="T127" s="442">
        <v>4.0</v>
      </c>
      <c r="U127" s="9"/>
      <c r="V127" s="9">
        <v>3.0</v>
      </c>
      <c r="W127" s="443"/>
      <c r="X127" s="9"/>
      <c r="Y127" s="9"/>
      <c r="Z127" s="9"/>
      <c r="AA127" s="9"/>
    </row>
    <row r="128" ht="15.75" customHeight="1">
      <c r="A128" s="448" t="s">
        <v>1717</v>
      </c>
      <c r="B128" s="448" t="s">
        <v>2230</v>
      </c>
      <c r="C128" s="449" t="s">
        <v>2231</v>
      </c>
      <c r="D128" s="449">
        <v>0.0</v>
      </c>
      <c r="E128" s="449"/>
      <c r="F128" s="451" t="s">
        <v>2232</v>
      </c>
      <c r="G128" s="444" t="s">
        <v>2233</v>
      </c>
      <c r="H128" s="441">
        <f t="shared" si="1"/>
        <v>0</v>
      </c>
      <c r="I128" s="9"/>
      <c r="J128" s="442">
        <v>0.0</v>
      </c>
      <c r="K128" s="9"/>
      <c r="L128" s="9">
        <v>0.0</v>
      </c>
      <c r="M128" s="443"/>
      <c r="N128" s="9"/>
      <c r="O128" s="442">
        <v>0.0</v>
      </c>
      <c r="P128" s="9"/>
      <c r="Q128" s="9">
        <v>0.0</v>
      </c>
      <c r="R128" s="443"/>
      <c r="S128" s="9"/>
      <c r="T128" s="442">
        <v>0.0</v>
      </c>
      <c r="U128" s="9"/>
      <c r="V128" s="9">
        <v>0.0</v>
      </c>
      <c r="W128" s="443"/>
      <c r="X128" s="9"/>
      <c r="Y128" s="9"/>
      <c r="Z128" s="9"/>
      <c r="AA128" s="9"/>
    </row>
    <row r="129" ht="15.75" customHeight="1">
      <c r="A129" s="448" t="s">
        <v>1717</v>
      </c>
      <c r="B129" s="448" t="s">
        <v>2230</v>
      </c>
      <c r="C129" s="449" t="s">
        <v>2234</v>
      </c>
      <c r="D129" s="449">
        <v>1.0</v>
      </c>
      <c r="E129" s="449"/>
      <c r="F129" s="451" t="s">
        <v>2235</v>
      </c>
      <c r="G129" s="444" t="s">
        <v>2233</v>
      </c>
      <c r="H129" s="441">
        <f t="shared" si="1"/>
        <v>5</v>
      </c>
      <c r="I129" s="9"/>
      <c r="J129" s="442">
        <v>4.0</v>
      </c>
      <c r="K129" s="9"/>
      <c r="L129" s="9">
        <v>2.0</v>
      </c>
      <c r="M129" s="443"/>
      <c r="N129" s="9"/>
      <c r="O129" s="442">
        <v>-1.0</v>
      </c>
      <c r="P129" s="9"/>
      <c r="Q129" s="9">
        <v>0.0</v>
      </c>
      <c r="R129" s="443"/>
      <c r="S129" s="9"/>
      <c r="T129" s="442">
        <v>4.0</v>
      </c>
      <c r="U129" s="9"/>
      <c r="V129" s="9">
        <v>3.0</v>
      </c>
      <c r="W129" s="443"/>
      <c r="X129" s="9"/>
      <c r="Y129" s="9"/>
      <c r="Z129" s="9"/>
      <c r="AA129" s="9"/>
    </row>
    <row r="130" ht="15.75" customHeight="1">
      <c r="A130" s="448" t="s">
        <v>1717</v>
      </c>
      <c r="B130" s="448" t="s">
        <v>2230</v>
      </c>
      <c r="C130" s="449" t="s">
        <v>2236</v>
      </c>
      <c r="D130" s="449">
        <v>2.0</v>
      </c>
      <c r="E130" s="449"/>
      <c r="F130" s="451" t="s">
        <v>2237</v>
      </c>
      <c r="G130" s="444" t="s">
        <v>2233</v>
      </c>
      <c r="H130" s="441">
        <f t="shared" si="1"/>
        <v>2</v>
      </c>
      <c r="I130" s="9"/>
      <c r="J130" s="442">
        <v>2.0</v>
      </c>
      <c r="K130" s="9"/>
      <c r="L130" s="9">
        <v>2.0</v>
      </c>
      <c r="M130" s="443"/>
      <c r="N130" s="9"/>
      <c r="O130" s="442">
        <v>-2.0</v>
      </c>
      <c r="P130" s="9"/>
      <c r="Q130" s="9">
        <v>-2.0</v>
      </c>
      <c r="R130" s="443"/>
      <c r="S130" s="9"/>
      <c r="T130" s="442">
        <v>4.0</v>
      </c>
      <c r="U130" s="9"/>
      <c r="V130" s="9">
        <v>4.0</v>
      </c>
      <c r="W130" s="443"/>
      <c r="X130" s="9"/>
      <c r="Y130" s="9"/>
      <c r="Z130" s="9"/>
      <c r="AA130" s="9"/>
    </row>
    <row r="131" ht="15.75" customHeight="1">
      <c r="A131" s="448" t="s">
        <v>1717</v>
      </c>
      <c r="B131" s="448" t="s">
        <v>2230</v>
      </c>
      <c r="C131" s="449" t="s">
        <v>2238</v>
      </c>
      <c r="D131" s="449">
        <v>3.0</v>
      </c>
      <c r="E131" s="449">
        <v>1.0</v>
      </c>
      <c r="F131" s="451" t="s">
        <v>2239</v>
      </c>
      <c r="G131" s="444" t="s">
        <v>2233</v>
      </c>
      <c r="H131" s="441">
        <f t="shared" si="1"/>
        <v>2</v>
      </c>
      <c r="I131" s="9"/>
      <c r="J131" s="442">
        <v>3.0</v>
      </c>
      <c r="K131" s="9"/>
      <c r="L131" s="9">
        <v>2.0</v>
      </c>
      <c r="M131" s="443"/>
      <c r="N131" s="9"/>
      <c r="O131" s="442">
        <v>-1.0</v>
      </c>
      <c r="P131" s="9"/>
      <c r="Q131" s="9">
        <v>0.0</v>
      </c>
      <c r="R131" s="443"/>
      <c r="S131" s="9"/>
      <c r="T131" s="442">
        <v>5.0</v>
      </c>
      <c r="U131" s="9"/>
      <c r="V131" s="9">
        <v>3.0</v>
      </c>
      <c r="W131" s="443"/>
      <c r="X131" s="9"/>
      <c r="Y131" s="9"/>
      <c r="Z131" s="9"/>
      <c r="AA131" s="9"/>
    </row>
    <row r="132" ht="15.75" customHeight="1">
      <c r="A132" s="448" t="s">
        <v>1717</v>
      </c>
      <c r="B132" s="448" t="s">
        <v>2240</v>
      </c>
      <c r="C132" s="449" t="s">
        <v>2241</v>
      </c>
      <c r="D132" s="449">
        <v>0.0</v>
      </c>
      <c r="E132" s="449"/>
      <c r="F132" s="451" t="s">
        <v>2242</v>
      </c>
      <c r="G132" s="444" t="s">
        <v>2243</v>
      </c>
      <c r="H132" s="441">
        <f t="shared" si="1"/>
        <v>1</v>
      </c>
      <c r="I132" s="9"/>
      <c r="J132" s="442">
        <v>0.0</v>
      </c>
      <c r="K132" s="9"/>
      <c r="L132" s="9">
        <v>2.0</v>
      </c>
      <c r="M132" s="443"/>
      <c r="N132" s="9"/>
      <c r="O132" s="442">
        <v>0.0</v>
      </c>
      <c r="P132" s="9"/>
      <c r="Q132" s="9">
        <v>0.0</v>
      </c>
      <c r="R132" s="443"/>
      <c r="S132" s="9"/>
      <c r="T132" s="442">
        <v>0.0</v>
      </c>
      <c r="U132" s="9"/>
      <c r="V132" s="9">
        <v>0.0</v>
      </c>
      <c r="W132" s="443"/>
      <c r="X132" s="9"/>
      <c r="Y132" s="9"/>
      <c r="Z132" s="9"/>
      <c r="AA132" s="9"/>
    </row>
    <row r="133" ht="15.75" customHeight="1">
      <c r="A133" s="448" t="s">
        <v>1717</v>
      </c>
      <c r="B133" s="448" t="s">
        <v>2240</v>
      </c>
      <c r="C133" s="449" t="s">
        <v>2244</v>
      </c>
      <c r="D133" s="449">
        <v>1.0</v>
      </c>
      <c r="E133" s="449"/>
      <c r="F133" s="451" t="s">
        <v>2245</v>
      </c>
      <c r="G133" s="444" t="s">
        <v>2243</v>
      </c>
      <c r="H133" s="441">
        <f t="shared" si="1"/>
        <v>2</v>
      </c>
      <c r="I133" s="9"/>
      <c r="J133" s="442">
        <v>2.0</v>
      </c>
      <c r="K133" s="9"/>
      <c r="L133" s="9">
        <v>2.0</v>
      </c>
      <c r="M133" s="443"/>
      <c r="N133" s="9"/>
      <c r="O133" s="442">
        <v>-1.0</v>
      </c>
      <c r="P133" s="9"/>
      <c r="Q133" s="9">
        <v>-1.0</v>
      </c>
      <c r="R133" s="443"/>
      <c r="S133" s="9"/>
      <c r="T133" s="442">
        <v>2.0</v>
      </c>
      <c r="U133" s="9"/>
      <c r="V133" s="9">
        <v>2.0</v>
      </c>
      <c r="W133" s="443"/>
      <c r="X133" s="9"/>
      <c r="Y133" s="9"/>
      <c r="Z133" s="9"/>
      <c r="AA133" s="9"/>
    </row>
    <row r="134" ht="15.75" customHeight="1">
      <c r="A134" s="448" t="s">
        <v>1717</v>
      </c>
      <c r="B134" s="448" t="s">
        <v>2240</v>
      </c>
      <c r="C134" s="449" t="s">
        <v>2246</v>
      </c>
      <c r="D134" s="449">
        <v>2.0</v>
      </c>
      <c r="E134" s="449"/>
      <c r="F134" s="451" t="s">
        <v>2247</v>
      </c>
      <c r="G134" s="444" t="s">
        <v>2243</v>
      </c>
      <c r="H134" s="441">
        <f t="shared" si="1"/>
        <v>4.5</v>
      </c>
      <c r="I134" s="9"/>
      <c r="J134" s="442">
        <v>4.0</v>
      </c>
      <c r="K134" s="9"/>
      <c r="L134" s="9">
        <v>4.0</v>
      </c>
      <c r="M134" s="443"/>
      <c r="N134" s="9"/>
      <c r="O134" s="442">
        <v>-1.0</v>
      </c>
      <c r="P134" s="9"/>
      <c r="Q134" s="9">
        <v>-3.0</v>
      </c>
      <c r="R134" s="443"/>
      <c r="S134" s="9"/>
      <c r="T134" s="442">
        <v>5.0</v>
      </c>
      <c r="U134" s="9"/>
      <c r="V134" s="9">
        <v>4.0</v>
      </c>
      <c r="W134" s="443"/>
      <c r="X134" s="9"/>
      <c r="Y134" s="9"/>
      <c r="Z134" s="9"/>
      <c r="AA134" s="9"/>
    </row>
    <row r="135" ht="15.75" customHeight="1">
      <c r="A135" s="448" t="s">
        <v>1717</v>
      </c>
      <c r="B135" s="448" t="s">
        <v>2240</v>
      </c>
      <c r="C135" s="449" t="s">
        <v>2248</v>
      </c>
      <c r="D135" s="449">
        <v>3.0</v>
      </c>
      <c r="E135" s="449">
        <v>1.0</v>
      </c>
      <c r="F135" s="451" t="s">
        <v>2249</v>
      </c>
      <c r="G135" s="444" t="s">
        <v>2243</v>
      </c>
      <c r="H135" s="441">
        <f t="shared" si="1"/>
        <v>1.5</v>
      </c>
      <c r="I135" s="9"/>
      <c r="J135" s="442">
        <v>4.0</v>
      </c>
      <c r="K135" s="9"/>
      <c r="L135" s="9">
        <v>4.0</v>
      </c>
      <c r="M135" s="443"/>
      <c r="N135" s="9"/>
      <c r="O135" s="442">
        <v>-3.0</v>
      </c>
      <c r="P135" s="9"/>
      <c r="Q135" s="9">
        <v>-3.0</v>
      </c>
      <c r="R135" s="443"/>
      <c r="S135" s="9"/>
      <c r="T135" s="442">
        <v>5.0</v>
      </c>
      <c r="U135" s="9"/>
      <c r="V135" s="9">
        <v>4.0</v>
      </c>
      <c r="W135" s="443"/>
      <c r="X135" s="9"/>
      <c r="Y135" s="9"/>
      <c r="Z135" s="9"/>
      <c r="AA135" s="9"/>
    </row>
    <row r="136" ht="15.75" customHeight="1">
      <c r="A136" s="448" t="s">
        <v>1717</v>
      </c>
      <c r="B136" s="448" t="s">
        <v>2250</v>
      </c>
      <c r="C136" s="449" t="s">
        <v>2251</v>
      </c>
      <c r="D136" s="449">
        <v>0.0</v>
      </c>
      <c r="E136" s="449"/>
      <c r="F136" s="451" t="s">
        <v>2252</v>
      </c>
      <c r="G136" s="444" t="s">
        <v>2253</v>
      </c>
      <c r="H136" s="441">
        <f t="shared" si="1"/>
        <v>0</v>
      </c>
      <c r="I136" s="9"/>
      <c r="J136" s="442">
        <v>0.0</v>
      </c>
      <c r="K136" s="9"/>
      <c r="L136" s="9">
        <v>0.0</v>
      </c>
      <c r="M136" s="443"/>
      <c r="N136" s="9"/>
      <c r="O136" s="442">
        <v>0.0</v>
      </c>
      <c r="P136" s="9"/>
      <c r="Q136" s="9">
        <v>0.0</v>
      </c>
      <c r="R136" s="443"/>
      <c r="S136" s="9"/>
      <c r="T136" s="442">
        <v>0.0</v>
      </c>
      <c r="U136" s="9"/>
      <c r="V136" s="9">
        <v>0.0</v>
      </c>
      <c r="W136" s="443"/>
      <c r="X136" s="9"/>
      <c r="Y136" s="9"/>
      <c r="Z136" s="9"/>
      <c r="AA136" s="9"/>
    </row>
    <row r="137" ht="15.75" customHeight="1">
      <c r="A137" s="448" t="s">
        <v>1717</v>
      </c>
      <c r="B137" s="448" t="s">
        <v>2250</v>
      </c>
      <c r="C137" s="449" t="s">
        <v>2254</v>
      </c>
      <c r="D137" s="449">
        <v>1.0</v>
      </c>
      <c r="E137" s="449"/>
      <c r="F137" s="451" t="s">
        <v>2255</v>
      </c>
      <c r="G137" s="444" t="s">
        <v>2253</v>
      </c>
      <c r="H137" s="441">
        <f t="shared" si="1"/>
        <v>4</v>
      </c>
      <c r="I137" s="9"/>
      <c r="J137" s="442">
        <v>4.0</v>
      </c>
      <c r="K137" s="9"/>
      <c r="L137" s="9">
        <v>4.0</v>
      </c>
      <c r="M137" s="443"/>
      <c r="N137" s="9"/>
      <c r="O137" s="442">
        <v>-1.0</v>
      </c>
      <c r="P137" s="9"/>
      <c r="Q137" s="9">
        <v>-3.0</v>
      </c>
      <c r="R137" s="443"/>
      <c r="S137" s="9"/>
      <c r="T137" s="442">
        <v>3.0</v>
      </c>
      <c r="U137" s="9"/>
      <c r="V137" s="9">
        <v>3.0</v>
      </c>
      <c r="W137" s="443"/>
      <c r="X137" s="9"/>
      <c r="Y137" s="9"/>
      <c r="Z137" s="9"/>
      <c r="AA137" s="9"/>
    </row>
    <row r="138" ht="15.75" customHeight="1">
      <c r="A138" s="448" t="s">
        <v>1717</v>
      </c>
      <c r="B138" s="448" t="s">
        <v>2250</v>
      </c>
      <c r="C138" s="449" t="s">
        <v>2256</v>
      </c>
      <c r="D138" s="449">
        <v>2.0</v>
      </c>
      <c r="E138" s="449"/>
      <c r="F138" s="451" t="s">
        <v>2257</v>
      </c>
      <c r="G138" s="444" t="s">
        <v>2253</v>
      </c>
      <c r="H138" s="441">
        <f t="shared" si="1"/>
        <v>3</v>
      </c>
      <c r="I138" s="9"/>
      <c r="J138" s="442">
        <v>2.0</v>
      </c>
      <c r="K138" s="9"/>
      <c r="L138" s="9">
        <v>2.0</v>
      </c>
      <c r="M138" s="443"/>
      <c r="N138" s="9"/>
      <c r="O138" s="442">
        <v>0.0</v>
      </c>
      <c r="P138" s="9"/>
      <c r="Q138" s="9">
        <v>-1.0</v>
      </c>
      <c r="R138" s="443"/>
      <c r="S138" s="9"/>
      <c r="T138" s="442">
        <v>4.0</v>
      </c>
      <c r="U138" s="9"/>
      <c r="V138" s="9">
        <v>3.0</v>
      </c>
      <c r="W138" s="443"/>
      <c r="X138" s="9"/>
      <c r="Y138" s="9"/>
      <c r="Z138" s="9"/>
      <c r="AA138" s="9"/>
    </row>
    <row r="139" ht="15.75" customHeight="1">
      <c r="A139" s="448" t="s">
        <v>1717</v>
      </c>
      <c r="B139" s="448" t="s">
        <v>2250</v>
      </c>
      <c r="C139" s="449" t="s">
        <v>2258</v>
      </c>
      <c r="D139" s="449">
        <v>3.0</v>
      </c>
      <c r="E139" s="449">
        <v>1.0</v>
      </c>
      <c r="F139" s="451" t="s">
        <v>2259</v>
      </c>
      <c r="G139" s="444" t="s">
        <v>2253</v>
      </c>
      <c r="H139" s="441">
        <f t="shared" si="1"/>
        <v>1</v>
      </c>
      <c r="I139" s="9"/>
      <c r="J139" s="442">
        <v>2.0</v>
      </c>
      <c r="K139" s="9"/>
      <c r="L139" s="9">
        <v>4.0</v>
      </c>
      <c r="M139" s="443"/>
      <c r="N139" s="9"/>
      <c r="O139" s="442">
        <v>0.0</v>
      </c>
      <c r="P139" s="9"/>
      <c r="Q139" s="9">
        <v>-3.0</v>
      </c>
      <c r="R139" s="443"/>
      <c r="S139" s="9"/>
      <c r="T139" s="442">
        <v>4.0</v>
      </c>
      <c r="U139" s="9"/>
      <c r="V139" s="9">
        <v>3.0</v>
      </c>
      <c r="W139" s="443"/>
      <c r="X139" s="9"/>
      <c r="Y139" s="9"/>
      <c r="Z139" s="9"/>
      <c r="AA139" s="9"/>
    </row>
    <row r="140" ht="15.75" customHeight="1">
      <c r="A140" s="453" t="s">
        <v>1738</v>
      </c>
      <c r="B140" s="453" t="s">
        <v>1501</v>
      </c>
      <c r="C140" s="454" t="s">
        <v>2260</v>
      </c>
      <c r="D140" s="454">
        <v>0.0</v>
      </c>
      <c r="E140" s="455">
        <v>1.0</v>
      </c>
      <c r="F140" s="456" t="s">
        <v>2261</v>
      </c>
      <c r="G140" s="9"/>
      <c r="H140" s="441">
        <f t="shared" si="1"/>
        <v>0.3333333333</v>
      </c>
      <c r="I140" s="9"/>
      <c r="J140" s="442">
        <v>2.0</v>
      </c>
      <c r="K140" s="9"/>
      <c r="L140" s="9">
        <v>2.0</v>
      </c>
      <c r="M140" s="443">
        <v>2.0</v>
      </c>
      <c r="N140" s="9"/>
      <c r="O140" s="442">
        <v>-3.0</v>
      </c>
      <c r="P140" s="9"/>
      <c r="Q140" s="9">
        <v>-3.0</v>
      </c>
      <c r="R140" s="443">
        <v>-4.0</v>
      </c>
      <c r="S140" s="9"/>
      <c r="T140" s="442">
        <v>2.0</v>
      </c>
      <c r="U140" s="9"/>
      <c r="V140" s="9">
        <v>2.0</v>
      </c>
      <c r="W140" s="443">
        <v>4.0</v>
      </c>
      <c r="X140" s="9"/>
      <c r="Y140" s="9"/>
      <c r="Z140" s="9"/>
      <c r="AA140" s="9"/>
    </row>
    <row r="141" ht="15.75" customHeight="1">
      <c r="A141" s="453" t="s">
        <v>1738</v>
      </c>
      <c r="B141" s="453" t="s">
        <v>1501</v>
      </c>
      <c r="C141" s="454" t="s">
        <v>2262</v>
      </c>
      <c r="D141" s="454">
        <v>1.0</v>
      </c>
      <c r="E141" s="455"/>
      <c r="F141" s="456" t="s">
        <v>2263</v>
      </c>
      <c r="G141" s="9"/>
      <c r="H141" s="441">
        <f t="shared" si="1"/>
        <v>1.333333333</v>
      </c>
      <c r="I141" s="9"/>
      <c r="J141" s="442">
        <v>2.0</v>
      </c>
      <c r="K141" s="9"/>
      <c r="L141" s="9">
        <v>2.0</v>
      </c>
      <c r="M141" s="443">
        <v>2.0</v>
      </c>
      <c r="N141" s="9"/>
      <c r="O141" s="442">
        <v>-1.0</v>
      </c>
      <c r="P141" s="9"/>
      <c r="Q141" s="9">
        <v>-3.0</v>
      </c>
      <c r="R141" s="443">
        <v>-1.0</v>
      </c>
      <c r="S141" s="9"/>
      <c r="T141" s="442">
        <v>2.0</v>
      </c>
      <c r="U141" s="9"/>
      <c r="V141" s="9">
        <v>2.0</v>
      </c>
      <c r="W141" s="443">
        <v>2.0</v>
      </c>
      <c r="X141" s="9"/>
      <c r="Y141" s="9"/>
      <c r="Z141" s="9"/>
      <c r="AA141" s="9"/>
    </row>
    <row r="142" ht="15.75" customHeight="1">
      <c r="A142" s="453" t="s">
        <v>1738</v>
      </c>
      <c r="B142" s="453" t="s">
        <v>1501</v>
      </c>
      <c r="C142" s="454" t="s">
        <v>2264</v>
      </c>
      <c r="D142" s="454">
        <v>1.0</v>
      </c>
      <c r="E142" s="455"/>
      <c r="F142" s="456" t="s">
        <v>2265</v>
      </c>
      <c r="G142" s="9"/>
      <c r="H142" s="441">
        <f t="shared" si="1"/>
        <v>3.333333333</v>
      </c>
      <c r="I142" s="9"/>
      <c r="J142" s="442">
        <v>4.0</v>
      </c>
      <c r="K142" s="9"/>
      <c r="L142" s="9">
        <v>2.0</v>
      </c>
      <c r="M142" s="443">
        <v>4.0</v>
      </c>
      <c r="N142" s="9"/>
      <c r="O142" s="442">
        <v>-2.0</v>
      </c>
      <c r="P142" s="9"/>
      <c r="Q142" s="9">
        <v>-2.0</v>
      </c>
      <c r="R142" s="443">
        <v>-2.0</v>
      </c>
      <c r="S142" s="9"/>
      <c r="T142" s="442">
        <v>2.0</v>
      </c>
      <c r="U142" s="9"/>
      <c r="V142" s="9">
        <v>3.0</v>
      </c>
      <c r="W142" s="443">
        <v>4.0</v>
      </c>
      <c r="X142" s="9"/>
      <c r="Y142" s="9"/>
      <c r="Z142" s="9"/>
      <c r="AA142" s="9"/>
    </row>
    <row r="143" ht="15.75" customHeight="1">
      <c r="A143" s="453" t="s">
        <v>1738</v>
      </c>
      <c r="B143" s="453" t="s">
        <v>1501</v>
      </c>
      <c r="C143" s="454" t="s">
        <v>2266</v>
      </c>
      <c r="D143" s="454">
        <v>1.0</v>
      </c>
      <c r="E143" s="455">
        <v>1.0</v>
      </c>
      <c r="F143" s="456" t="s">
        <v>2267</v>
      </c>
      <c r="G143" s="9"/>
      <c r="H143" s="441">
        <f t="shared" si="1"/>
        <v>1.666666667</v>
      </c>
      <c r="I143" s="9"/>
      <c r="J143" s="442">
        <v>4.0</v>
      </c>
      <c r="K143" s="9"/>
      <c r="L143" s="9">
        <v>4.0</v>
      </c>
      <c r="M143" s="443">
        <v>4.0</v>
      </c>
      <c r="N143" s="9"/>
      <c r="O143" s="442">
        <v>-4.0</v>
      </c>
      <c r="P143" s="9"/>
      <c r="Q143" s="9">
        <v>-3.0</v>
      </c>
      <c r="R143" s="443">
        <v>-4.0</v>
      </c>
      <c r="S143" s="9"/>
      <c r="T143" s="442">
        <v>3.0</v>
      </c>
      <c r="U143" s="9"/>
      <c r="V143" s="9">
        <v>4.0</v>
      </c>
      <c r="W143" s="443">
        <v>3.0</v>
      </c>
      <c r="X143" s="9"/>
      <c r="Y143" s="9"/>
      <c r="Z143" s="9"/>
      <c r="AA143" s="9"/>
    </row>
    <row r="144" ht="15.75" customHeight="1">
      <c r="A144" s="453" t="s">
        <v>1738</v>
      </c>
      <c r="B144" s="453" t="s">
        <v>1501</v>
      </c>
      <c r="C144" s="454" t="s">
        <v>2268</v>
      </c>
      <c r="D144" s="454">
        <v>2.0</v>
      </c>
      <c r="E144" s="455">
        <v>1.0</v>
      </c>
      <c r="F144" s="456" t="s">
        <v>2269</v>
      </c>
      <c r="G144" s="9"/>
      <c r="H144" s="441">
        <f t="shared" si="1"/>
        <v>1.666666667</v>
      </c>
      <c r="I144" s="9"/>
      <c r="J144" s="442">
        <v>4.0</v>
      </c>
      <c r="K144" s="9"/>
      <c r="L144" s="9">
        <v>4.0</v>
      </c>
      <c r="M144" s="443">
        <v>4.0</v>
      </c>
      <c r="N144" s="9"/>
      <c r="O144" s="442">
        <v>-3.0</v>
      </c>
      <c r="P144" s="9"/>
      <c r="Q144" s="9">
        <v>-3.0</v>
      </c>
      <c r="R144" s="443">
        <v>-3.0</v>
      </c>
      <c r="S144" s="9"/>
      <c r="T144" s="442">
        <v>3.0</v>
      </c>
      <c r="U144" s="9"/>
      <c r="V144" s="9">
        <v>4.0</v>
      </c>
      <c r="W144" s="443">
        <v>4.0</v>
      </c>
      <c r="X144" s="9"/>
      <c r="Y144" s="9"/>
      <c r="Z144" s="9"/>
      <c r="AA144" s="9"/>
    </row>
    <row r="145" ht="15.75" customHeight="1">
      <c r="A145" s="453" t="s">
        <v>1738</v>
      </c>
      <c r="B145" s="453" t="s">
        <v>1501</v>
      </c>
      <c r="C145" s="454" t="s">
        <v>2270</v>
      </c>
      <c r="D145" s="454">
        <v>2.0</v>
      </c>
      <c r="E145" s="455">
        <v>2.0</v>
      </c>
      <c r="F145" s="456" t="s">
        <v>2271</v>
      </c>
      <c r="G145" s="9"/>
      <c r="H145" s="441">
        <f t="shared" si="1"/>
        <v>1.666666667</v>
      </c>
      <c r="I145" s="9"/>
      <c r="J145" s="442">
        <v>3.0</v>
      </c>
      <c r="K145" s="9"/>
      <c r="L145" s="9">
        <v>3.0</v>
      </c>
      <c r="M145" s="443">
        <v>3.0</v>
      </c>
      <c r="N145" s="9"/>
      <c r="O145" s="442">
        <v>-2.0</v>
      </c>
      <c r="P145" s="9"/>
      <c r="Q145" s="9">
        <v>-2.0</v>
      </c>
      <c r="R145" s="443">
        <v>-2.0</v>
      </c>
      <c r="S145" s="9"/>
      <c r="T145" s="442">
        <v>5.0</v>
      </c>
      <c r="U145" s="9"/>
      <c r="V145" s="9">
        <v>4.0</v>
      </c>
      <c r="W145" s="443">
        <v>5.0</v>
      </c>
      <c r="X145" s="9"/>
      <c r="Y145" s="9"/>
      <c r="Z145" s="9"/>
      <c r="AA145" s="9"/>
    </row>
    <row r="146" ht="15.75" customHeight="1">
      <c r="A146" s="453" t="s">
        <v>1738</v>
      </c>
      <c r="B146" s="453" t="s">
        <v>1501</v>
      </c>
      <c r="C146" s="454" t="s">
        <v>2272</v>
      </c>
      <c r="D146" s="454">
        <v>2.0</v>
      </c>
      <c r="E146" s="455">
        <v>1.0</v>
      </c>
      <c r="F146" s="456" t="s">
        <v>2273</v>
      </c>
      <c r="G146" s="9"/>
      <c r="H146" s="441">
        <f t="shared" si="1"/>
        <v>1</v>
      </c>
      <c r="I146" s="9"/>
      <c r="J146" s="442">
        <v>2.0</v>
      </c>
      <c r="K146" s="9"/>
      <c r="L146" s="9">
        <v>2.0</v>
      </c>
      <c r="M146" s="443">
        <v>2.0</v>
      </c>
      <c r="N146" s="9"/>
      <c r="O146" s="442">
        <v>-2.0</v>
      </c>
      <c r="P146" s="9"/>
      <c r="Q146" s="9">
        <v>-2.0</v>
      </c>
      <c r="R146" s="443">
        <v>-2.0</v>
      </c>
      <c r="S146" s="9"/>
      <c r="T146" s="442">
        <v>4.0</v>
      </c>
      <c r="U146" s="9"/>
      <c r="V146" s="9">
        <v>5.0</v>
      </c>
      <c r="W146" s="443">
        <v>3.0</v>
      </c>
      <c r="X146" s="9"/>
      <c r="Y146" s="9"/>
      <c r="Z146" s="9"/>
      <c r="AA146" s="9"/>
    </row>
    <row r="147" ht="15.75" customHeight="1">
      <c r="A147" s="453" t="s">
        <v>1738</v>
      </c>
      <c r="B147" s="453" t="s">
        <v>1501</v>
      </c>
      <c r="C147" s="454" t="s">
        <v>2274</v>
      </c>
      <c r="D147" s="454">
        <v>3.0</v>
      </c>
      <c r="E147" s="455">
        <v>1.0</v>
      </c>
      <c r="F147" s="456" t="s">
        <v>2275</v>
      </c>
      <c r="G147" s="9"/>
      <c r="H147" s="441">
        <f t="shared" si="1"/>
        <v>0</v>
      </c>
      <c r="I147" s="9"/>
      <c r="J147" s="442">
        <v>3.0</v>
      </c>
      <c r="K147" s="9"/>
      <c r="L147" s="9">
        <v>3.0</v>
      </c>
      <c r="M147" s="443">
        <v>3.0</v>
      </c>
      <c r="N147" s="9"/>
      <c r="O147" s="442">
        <v>-3.0</v>
      </c>
      <c r="P147" s="9"/>
      <c r="Q147" s="9">
        <v>-2.0</v>
      </c>
      <c r="R147" s="443">
        <v>-2.0</v>
      </c>
      <c r="S147" s="9"/>
      <c r="T147" s="442">
        <v>3.0</v>
      </c>
      <c r="U147" s="9"/>
      <c r="V147" s="9">
        <v>3.0</v>
      </c>
      <c r="W147" s="443">
        <v>4.0</v>
      </c>
      <c r="X147" s="9"/>
      <c r="Y147" s="9"/>
      <c r="Z147" s="9"/>
      <c r="AA147" s="9"/>
    </row>
    <row r="148" ht="15.75" customHeight="1">
      <c r="A148" s="453" t="s">
        <v>1738</v>
      </c>
      <c r="B148" s="453" t="s">
        <v>1501</v>
      </c>
      <c r="C148" s="454" t="s">
        <v>2276</v>
      </c>
      <c r="D148" s="454">
        <v>3.0</v>
      </c>
      <c r="E148" s="454">
        <v>1.0</v>
      </c>
      <c r="F148" s="456" t="s">
        <v>2277</v>
      </c>
      <c r="G148" s="9"/>
      <c r="H148" s="441">
        <f t="shared" si="1"/>
        <v>0.3333333333</v>
      </c>
      <c r="I148" s="9"/>
      <c r="J148" s="442">
        <v>4.0</v>
      </c>
      <c r="K148" s="9"/>
      <c r="L148" s="9">
        <v>4.0</v>
      </c>
      <c r="M148" s="443">
        <v>4.0</v>
      </c>
      <c r="N148" s="9"/>
      <c r="O148" s="442">
        <v>-3.0</v>
      </c>
      <c r="P148" s="9"/>
      <c r="Q148" s="9">
        <v>-3.0</v>
      </c>
      <c r="R148" s="443">
        <v>-3.0</v>
      </c>
      <c r="S148" s="9"/>
      <c r="T148" s="442">
        <v>4.0</v>
      </c>
      <c r="U148" s="9"/>
      <c r="V148" s="9">
        <v>3.0</v>
      </c>
      <c r="W148" s="443">
        <v>3.0</v>
      </c>
      <c r="X148" s="9"/>
      <c r="Y148" s="9"/>
      <c r="Z148" s="9"/>
      <c r="AA148" s="9"/>
    </row>
    <row r="149" ht="15.75" customHeight="1">
      <c r="A149" s="453" t="s">
        <v>1738</v>
      </c>
      <c r="B149" s="453" t="s">
        <v>1450</v>
      </c>
      <c r="C149" s="454" t="s">
        <v>2278</v>
      </c>
      <c r="D149" s="454">
        <v>0.0</v>
      </c>
      <c r="E149" s="455">
        <v>1.0</v>
      </c>
      <c r="F149" s="456" t="s">
        <v>2279</v>
      </c>
      <c r="G149" s="9"/>
      <c r="H149" s="441">
        <f t="shared" si="1"/>
        <v>1.666666667</v>
      </c>
      <c r="I149" s="9"/>
      <c r="J149" s="442">
        <v>2.0</v>
      </c>
      <c r="K149" s="9"/>
      <c r="L149" s="9">
        <v>2.0</v>
      </c>
      <c r="M149" s="443">
        <v>2.0</v>
      </c>
      <c r="N149" s="9"/>
      <c r="O149" s="442">
        <v>-1.0</v>
      </c>
      <c r="P149" s="9"/>
      <c r="Q149" s="9">
        <v>-3.0</v>
      </c>
      <c r="R149" s="443">
        <v>-1.0</v>
      </c>
      <c r="S149" s="9"/>
      <c r="T149" s="442">
        <v>2.0</v>
      </c>
      <c r="U149" s="9"/>
      <c r="V149" s="9">
        <v>3.0</v>
      </c>
      <c r="W149" s="443">
        <v>2.0</v>
      </c>
      <c r="X149" s="9"/>
      <c r="Y149" s="9"/>
      <c r="Z149" s="9"/>
      <c r="AA149" s="9"/>
    </row>
    <row r="150" ht="15.75" customHeight="1">
      <c r="A150" s="453" t="s">
        <v>1738</v>
      </c>
      <c r="B150" s="453" t="s">
        <v>1450</v>
      </c>
      <c r="C150" s="454" t="s">
        <v>2280</v>
      </c>
      <c r="D150" s="454">
        <v>1.0</v>
      </c>
      <c r="E150" s="455"/>
      <c r="F150" s="456" t="s">
        <v>2281</v>
      </c>
      <c r="G150" s="9"/>
      <c r="H150" s="441">
        <f t="shared" si="1"/>
        <v>5</v>
      </c>
      <c r="I150" s="9"/>
      <c r="J150" s="442">
        <v>4.0</v>
      </c>
      <c r="K150" s="9"/>
      <c r="L150" s="9">
        <v>4.0</v>
      </c>
      <c r="M150" s="443">
        <v>4.0</v>
      </c>
      <c r="N150" s="9"/>
      <c r="O150" s="442">
        <v>-1.0</v>
      </c>
      <c r="P150" s="9"/>
      <c r="Q150" s="9">
        <v>-2.0</v>
      </c>
      <c r="R150" s="443">
        <v>0.0</v>
      </c>
      <c r="S150" s="9"/>
      <c r="T150" s="442">
        <v>3.0</v>
      </c>
      <c r="U150" s="9"/>
      <c r="V150" s="9">
        <v>3.0</v>
      </c>
      <c r="W150" s="443">
        <v>3.0</v>
      </c>
      <c r="X150" s="9"/>
      <c r="Y150" s="9"/>
      <c r="Z150" s="9"/>
      <c r="AA150" s="9"/>
    </row>
    <row r="151" ht="15.75" customHeight="1">
      <c r="A151" s="453" t="s">
        <v>1738</v>
      </c>
      <c r="B151" s="453" t="s">
        <v>1450</v>
      </c>
      <c r="C151" s="454" t="s">
        <v>2282</v>
      </c>
      <c r="D151" s="454">
        <v>1.0</v>
      </c>
      <c r="E151" s="455">
        <v>2.0</v>
      </c>
      <c r="F151" s="456" t="s">
        <v>2283</v>
      </c>
      <c r="G151" s="9"/>
      <c r="H151" s="441">
        <f t="shared" si="1"/>
        <v>1.666666667</v>
      </c>
      <c r="I151" s="9"/>
      <c r="J151" s="442">
        <v>4.0</v>
      </c>
      <c r="K151" s="9"/>
      <c r="L151" s="9">
        <v>4.0</v>
      </c>
      <c r="M151" s="443">
        <v>4.0</v>
      </c>
      <c r="N151" s="9"/>
      <c r="O151" s="442">
        <v>-4.0</v>
      </c>
      <c r="P151" s="9"/>
      <c r="Q151" s="9">
        <v>-2.0</v>
      </c>
      <c r="R151" s="443">
        <v>-2.0</v>
      </c>
      <c r="S151" s="9"/>
      <c r="T151" s="442">
        <v>2.0</v>
      </c>
      <c r="U151" s="9"/>
      <c r="V151" s="9">
        <v>3.0</v>
      </c>
      <c r="W151" s="443">
        <v>5.0</v>
      </c>
      <c r="X151" s="9"/>
      <c r="Y151" s="9"/>
      <c r="Z151" s="9"/>
      <c r="AA151" s="9"/>
    </row>
    <row r="152" ht="15.75" customHeight="1">
      <c r="A152" s="453" t="s">
        <v>1738</v>
      </c>
      <c r="B152" s="453" t="s">
        <v>1450</v>
      </c>
      <c r="C152" s="454" t="s">
        <v>2284</v>
      </c>
      <c r="D152" s="454">
        <v>1.0</v>
      </c>
      <c r="E152" s="455"/>
      <c r="F152" s="456" t="s">
        <v>2285</v>
      </c>
      <c r="G152" s="9"/>
      <c r="H152" s="441">
        <f t="shared" si="1"/>
        <v>4.666666667</v>
      </c>
      <c r="I152" s="9"/>
      <c r="J152" s="442">
        <v>2.0</v>
      </c>
      <c r="K152" s="9"/>
      <c r="L152" s="9">
        <v>2.0</v>
      </c>
      <c r="M152" s="443">
        <v>2.0</v>
      </c>
      <c r="N152" s="9"/>
      <c r="O152" s="442">
        <v>0.0</v>
      </c>
      <c r="P152" s="9"/>
      <c r="Q152" s="9">
        <v>0.0</v>
      </c>
      <c r="R152" s="443">
        <v>0.0</v>
      </c>
      <c r="S152" s="9"/>
      <c r="T152" s="442">
        <v>4.0</v>
      </c>
      <c r="U152" s="9"/>
      <c r="V152" s="9">
        <v>4.0</v>
      </c>
      <c r="W152" s="443">
        <v>3.0</v>
      </c>
      <c r="X152" s="9"/>
      <c r="Y152" s="9"/>
      <c r="Z152" s="9"/>
      <c r="AA152" s="9"/>
    </row>
    <row r="153" ht="15.75" customHeight="1">
      <c r="A153" s="453" t="s">
        <v>1738</v>
      </c>
      <c r="B153" s="453" t="s">
        <v>1450</v>
      </c>
      <c r="C153" s="454" t="s">
        <v>2286</v>
      </c>
      <c r="D153" s="454">
        <v>2.0</v>
      </c>
      <c r="E153" s="455"/>
      <c r="F153" s="456" t="s">
        <v>2287</v>
      </c>
      <c r="G153" s="9"/>
      <c r="H153" s="441">
        <f t="shared" si="1"/>
        <v>3.333333333</v>
      </c>
      <c r="I153" s="9"/>
      <c r="J153" s="442">
        <v>4.0</v>
      </c>
      <c r="K153" s="9"/>
      <c r="L153" s="9">
        <v>4.0</v>
      </c>
      <c r="M153" s="443">
        <v>4.0</v>
      </c>
      <c r="N153" s="9"/>
      <c r="O153" s="442">
        <v>-2.0</v>
      </c>
      <c r="P153" s="9"/>
      <c r="Q153" s="9">
        <v>-2.0</v>
      </c>
      <c r="R153" s="443">
        <v>-2.0</v>
      </c>
      <c r="S153" s="9"/>
      <c r="T153" s="442">
        <v>3.0</v>
      </c>
      <c r="U153" s="9"/>
      <c r="V153" s="9">
        <v>4.0</v>
      </c>
      <c r="W153" s="443">
        <v>3.0</v>
      </c>
      <c r="X153" s="9"/>
      <c r="Y153" s="9"/>
      <c r="Z153" s="9"/>
      <c r="AA153" s="9"/>
    </row>
    <row r="154" ht="15.75" customHeight="1">
      <c r="A154" s="453" t="s">
        <v>1738</v>
      </c>
      <c r="B154" s="453" t="s">
        <v>1450</v>
      </c>
      <c r="C154" s="454" t="s">
        <v>2288</v>
      </c>
      <c r="D154" s="454">
        <v>2.0</v>
      </c>
      <c r="E154" s="455"/>
      <c r="F154" s="456" t="s">
        <v>2289</v>
      </c>
      <c r="G154" s="9"/>
      <c r="H154" s="441">
        <f t="shared" si="1"/>
        <v>3</v>
      </c>
      <c r="I154" s="9"/>
      <c r="J154" s="442">
        <v>2.0</v>
      </c>
      <c r="K154" s="9"/>
      <c r="L154" s="9">
        <v>2.0</v>
      </c>
      <c r="M154" s="443">
        <v>2.0</v>
      </c>
      <c r="N154" s="9"/>
      <c r="O154" s="442">
        <v>-1.0</v>
      </c>
      <c r="P154" s="9"/>
      <c r="Q154" s="9">
        <v>0.0</v>
      </c>
      <c r="R154" s="443">
        <v>0.0</v>
      </c>
      <c r="S154" s="9"/>
      <c r="T154" s="442">
        <v>4.0</v>
      </c>
      <c r="U154" s="9"/>
      <c r="V154" s="9">
        <v>3.0</v>
      </c>
      <c r="W154" s="443">
        <v>3.0</v>
      </c>
      <c r="X154" s="9"/>
      <c r="Y154" s="9"/>
      <c r="Z154" s="9"/>
      <c r="AA154" s="9"/>
    </row>
    <row r="155" ht="15.75" customHeight="1">
      <c r="A155" s="453" t="s">
        <v>1738</v>
      </c>
      <c r="B155" s="453" t="s">
        <v>1450</v>
      </c>
      <c r="C155" s="454" t="s">
        <v>2290</v>
      </c>
      <c r="D155" s="454">
        <v>2.0</v>
      </c>
      <c r="E155" s="455">
        <v>2.0</v>
      </c>
      <c r="F155" s="456" t="s">
        <v>2291</v>
      </c>
      <c r="G155" s="9"/>
      <c r="H155" s="441">
        <f t="shared" si="1"/>
        <v>1.666666667</v>
      </c>
      <c r="I155" s="9"/>
      <c r="J155" s="442">
        <v>4.0</v>
      </c>
      <c r="K155" s="9"/>
      <c r="L155" s="9">
        <v>4.0</v>
      </c>
      <c r="M155" s="443">
        <v>4.0</v>
      </c>
      <c r="N155" s="9"/>
      <c r="O155" s="442">
        <v>-2.0</v>
      </c>
      <c r="P155" s="9"/>
      <c r="Q155" s="9">
        <v>-1.0</v>
      </c>
      <c r="R155" s="443">
        <v>-2.0</v>
      </c>
      <c r="S155" s="9"/>
      <c r="T155" s="442">
        <v>4.0</v>
      </c>
      <c r="U155" s="9"/>
      <c r="V155" s="9">
        <v>3.0</v>
      </c>
      <c r="W155" s="443">
        <v>3.0</v>
      </c>
      <c r="X155" s="9"/>
      <c r="Y155" s="9"/>
      <c r="Z155" s="9"/>
      <c r="AA155" s="9"/>
    </row>
    <row r="156" ht="15.75" customHeight="1">
      <c r="A156" s="453" t="s">
        <v>1738</v>
      </c>
      <c r="B156" s="453" t="s">
        <v>1450</v>
      </c>
      <c r="C156" s="454" t="s">
        <v>2292</v>
      </c>
      <c r="D156" s="454">
        <v>3.0</v>
      </c>
      <c r="E156" s="455">
        <v>1.0</v>
      </c>
      <c r="F156" s="456" t="s">
        <v>2293</v>
      </c>
      <c r="G156" s="9"/>
      <c r="H156" s="441">
        <f t="shared" si="1"/>
        <v>1</v>
      </c>
      <c r="I156" s="9"/>
      <c r="J156" s="442">
        <v>4.0</v>
      </c>
      <c r="K156" s="9"/>
      <c r="L156" s="9">
        <v>4.0</v>
      </c>
      <c r="M156" s="443">
        <v>4.0</v>
      </c>
      <c r="N156" s="9"/>
      <c r="O156" s="442">
        <v>-3.0</v>
      </c>
      <c r="P156" s="9"/>
      <c r="Q156" s="9">
        <v>-3.0</v>
      </c>
      <c r="R156" s="443">
        <v>-3.0</v>
      </c>
      <c r="S156" s="9"/>
      <c r="T156" s="442">
        <v>4.0</v>
      </c>
      <c r="U156" s="9"/>
      <c r="V156" s="9">
        <v>4.0</v>
      </c>
      <c r="W156" s="443">
        <v>4.0</v>
      </c>
      <c r="X156" s="9"/>
      <c r="Y156" s="9"/>
      <c r="Z156" s="9"/>
      <c r="AA156" s="9"/>
    </row>
    <row r="157" ht="15.75" customHeight="1">
      <c r="A157" s="453" t="s">
        <v>1738</v>
      </c>
      <c r="B157" s="453" t="s">
        <v>1450</v>
      </c>
      <c r="C157" s="454" t="s">
        <v>2294</v>
      </c>
      <c r="D157" s="454">
        <v>3.0</v>
      </c>
      <c r="E157" s="454"/>
      <c r="F157" s="456" t="s">
        <v>2295</v>
      </c>
      <c r="G157" s="9"/>
      <c r="H157" s="441">
        <f t="shared" si="1"/>
        <v>2.333333333</v>
      </c>
      <c r="I157" s="9"/>
      <c r="J157" s="442">
        <v>2.0</v>
      </c>
      <c r="K157" s="9"/>
      <c r="L157" s="9">
        <v>2.0</v>
      </c>
      <c r="M157" s="443">
        <v>2.0</v>
      </c>
      <c r="N157" s="9"/>
      <c r="O157" s="442">
        <v>-1.0</v>
      </c>
      <c r="P157" s="9"/>
      <c r="Q157" s="9">
        <v>-1.0</v>
      </c>
      <c r="R157" s="443">
        <v>-1.0</v>
      </c>
      <c r="S157" s="9"/>
      <c r="T157" s="442">
        <v>5.0</v>
      </c>
      <c r="U157" s="9"/>
      <c r="V157" s="9">
        <v>4.0</v>
      </c>
      <c r="W157" s="443">
        <v>4.0</v>
      </c>
      <c r="X157" s="9"/>
      <c r="Y157" s="9"/>
      <c r="Z157" s="9"/>
      <c r="AA157" s="9"/>
    </row>
    <row r="158" ht="15.75" customHeight="1">
      <c r="A158" s="453" t="s">
        <v>1738</v>
      </c>
      <c r="B158" s="453" t="s">
        <v>1952</v>
      </c>
      <c r="C158" s="454" t="s">
        <v>2296</v>
      </c>
      <c r="D158" s="454">
        <v>0.0</v>
      </c>
      <c r="E158" s="454">
        <v>1.0</v>
      </c>
      <c r="F158" s="456" t="s">
        <v>2297</v>
      </c>
      <c r="G158" s="444" t="s">
        <v>2298</v>
      </c>
      <c r="H158" s="441">
        <f t="shared" si="1"/>
        <v>0</v>
      </c>
      <c r="I158" s="9"/>
      <c r="J158" s="442">
        <v>2.0</v>
      </c>
      <c r="K158" s="9"/>
      <c r="L158" s="9">
        <v>2.0</v>
      </c>
      <c r="M158" s="443"/>
      <c r="N158" s="9"/>
      <c r="O158" s="442">
        <v>-3.0</v>
      </c>
      <c r="P158" s="9"/>
      <c r="Q158" s="9">
        <v>-3.0</v>
      </c>
      <c r="R158" s="443"/>
      <c r="S158" s="9"/>
      <c r="T158" s="442">
        <v>1.0</v>
      </c>
      <c r="U158" s="9"/>
      <c r="V158" s="9">
        <v>3.0</v>
      </c>
      <c r="W158" s="443"/>
      <c r="X158" s="9"/>
      <c r="Y158" s="9"/>
      <c r="Z158" s="9"/>
      <c r="AA158" s="9"/>
    </row>
    <row r="159" ht="15.75" customHeight="1">
      <c r="A159" s="453" t="s">
        <v>1738</v>
      </c>
      <c r="B159" s="453" t="s">
        <v>1952</v>
      </c>
      <c r="C159" s="454" t="s">
        <v>2299</v>
      </c>
      <c r="D159" s="454">
        <v>1.0</v>
      </c>
      <c r="E159" s="454"/>
      <c r="F159" s="456" t="s">
        <v>2300</v>
      </c>
      <c r="G159" s="444" t="s">
        <v>2298</v>
      </c>
      <c r="H159" s="441">
        <f t="shared" si="1"/>
        <v>0</v>
      </c>
      <c r="I159" s="9"/>
      <c r="J159" s="442">
        <v>2.0</v>
      </c>
      <c r="K159" s="9"/>
      <c r="L159" s="9">
        <v>2.0</v>
      </c>
      <c r="M159" s="443"/>
      <c r="N159" s="9"/>
      <c r="O159" s="442">
        <v>-4.0</v>
      </c>
      <c r="P159" s="9"/>
      <c r="Q159" s="9">
        <v>-3.0</v>
      </c>
      <c r="R159" s="443"/>
      <c r="S159" s="9"/>
      <c r="T159" s="442">
        <v>2.0</v>
      </c>
      <c r="U159" s="9"/>
      <c r="V159" s="9">
        <v>3.0</v>
      </c>
      <c r="W159" s="443"/>
      <c r="X159" s="9"/>
      <c r="Y159" s="9"/>
      <c r="Z159" s="9"/>
      <c r="AA159" s="9"/>
    </row>
    <row r="160" ht="15.75" customHeight="1">
      <c r="A160" s="453" t="s">
        <v>1738</v>
      </c>
      <c r="B160" s="453" t="s">
        <v>1952</v>
      </c>
      <c r="C160" s="454" t="s">
        <v>2301</v>
      </c>
      <c r="D160" s="454">
        <v>1.0</v>
      </c>
      <c r="E160" s="454">
        <v>1.0</v>
      </c>
      <c r="F160" s="456" t="s">
        <v>2302</v>
      </c>
      <c r="G160" s="444" t="s">
        <v>2298</v>
      </c>
      <c r="H160" s="441">
        <f t="shared" si="1"/>
        <v>2.5</v>
      </c>
      <c r="I160" s="9"/>
      <c r="J160" s="442">
        <v>4.0</v>
      </c>
      <c r="K160" s="9"/>
      <c r="L160" s="9">
        <v>4.0</v>
      </c>
      <c r="M160" s="443"/>
      <c r="N160" s="9"/>
      <c r="O160" s="442">
        <v>-3.0</v>
      </c>
      <c r="P160" s="9"/>
      <c r="Q160" s="9">
        <v>-3.0</v>
      </c>
      <c r="R160" s="443"/>
      <c r="S160" s="9"/>
      <c r="T160" s="442">
        <v>3.0</v>
      </c>
      <c r="U160" s="9"/>
      <c r="V160" s="9">
        <v>4.0</v>
      </c>
      <c r="W160" s="443"/>
      <c r="X160" s="9"/>
      <c r="Y160" s="9"/>
      <c r="Z160" s="9"/>
      <c r="AA160" s="9"/>
    </row>
    <row r="161" ht="15.75" customHeight="1">
      <c r="A161" s="453" t="s">
        <v>1738</v>
      </c>
      <c r="B161" s="453" t="s">
        <v>1952</v>
      </c>
      <c r="C161" s="454" t="s">
        <v>2303</v>
      </c>
      <c r="D161" s="454">
        <v>1.0</v>
      </c>
      <c r="E161" s="454"/>
      <c r="F161" s="456" t="s">
        <v>2304</v>
      </c>
      <c r="G161" s="444" t="s">
        <v>2298</v>
      </c>
      <c r="H161" s="441">
        <f t="shared" si="1"/>
        <v>1</v>
      </c>
      <c r="I161" s="9"/>
      <c r="J161" s="442">
        <v>2.0</v>
      </c>
      <c r="K161" s="9"/>
      <c r="L161" s="9">
        <v>2.0</v>
      </c>
      <c r="M161" s="443"/>
      <c r="N161" s="9"/>
      <c r="O161" s="442">
        <v>-2.0</v>
      </c>
      <c r="P161" s="9"/>
      <c r="Q161" s="9">
        <v>-2.0</v>
      </c>
      <c r="R161" s="443"/>
      <c r="S161" s="9"/>
      <c r="T161" s="442">
        <v>2.0</v>
      </c>
      <c r="U161" s="9"/>
      <c r="V161" s="9">
        <v>2.0</v>
      </c>
      <c r="W161" s="443"/>
      <c r="X161" s="9"/>
      <c r="Y161" s="9"/>
      <c r="Z161" s="9"/>
      <c r="AA161" s="9"/>
    </row>
    <row r="162" ht="15.75" customHeight="1">
      <c r="A162" s="453" t="s">
        <v>1738</v>
      </c>
      <c r="B162" s="453" t="s">
        <v>1952</v>
      </c>
      <c r="C162" s="454" t="s">
        <v>2305</v>
      </c>
      <c r="D162" s="454">
        <v>2.0</v>
      </c>
      <c r="E162" s="454"/>
      <c r="F162" s="456" t="s">
        <v>2306</v>
      </c>
      <c r="G162" s="444" t="s">
        <v>2298</v>
      </c>
      <c r="H162" s="441">
        <f t="shared" si="1"/>
        <v>3</v>
      </c>
      <c r="I162" s="9"/>
      <c r="J162" s="442">
        <v>2.0</v>
      </c>
      <c r="K162" s="9"/>
      <c r="L162" s="9">
        <v>2.0</v>
      </c>
      <c r="M162" s="443"/>
      <c r="N162" s="9"/>
      <c r="O162" s="442">
        <v>-1.0</v>
      </c>
      <c r="P162" s="9"/>
      <c r="Q162" s="9">
        <v>0.0</v>
      </c>
      <c r="R162" s="443"/>
      <c r="S162" s="9"/>
      <c r="T162" s="442">
        <v>4.0</v>
      </c>
      <c r="U162" s="9"/>
      <c r="V162" s="9">
        <v>3.0</v>
      </c>
      <c r="W162" s="443"/>
      <c r="X162" s="9"/>
      <c r="Y162" s="9"/>
      <c r="Z162" s="9"/>
      <c r="AA162" s="9"/>
    </row>
    <row r="163" ht="15.75" customHeight="1">
      <c r="A163" s="453" t="s">
        <v>1738</v>
      </c>
      <c r="B163" s="453" t="s">
        <v>1952</v>
      </c>
      <c r="C163" s="454" t="s">
        <v>2307</v>
      </c>
      <c r="D163" s="454">
        <v>2.0</v>
      </c>
      <c r="E163" s="454"/>
      <c r="F163" s="456" t="s">
        <v>2308</v>
      </c>
      <c r="G163" s="444" t="s">
        <v>2298</v>
      </c>
      <c r="H163" s="441">
        <f t="shared" si="1"/>
        <v>2.5</v>
      </c>
      <c r="I163" s="9"/>
      <c r="J163" s="442">
        <v>3.0</v>
      </c>
      <c r="K163" s="9"/>
      <c r="L163" s="9">
        <v>3.0</v>
      </c>
      <c r="M163" s="443"/>
      <c r="N163" s="9"/>
      <c r="O163" s="442">
        <v>-1.0</v>
      </c>
      <c r="P163" s="9"/>
      <c r="Q163" s="9">
        <v>0.0</v>
      </c>
      <c r="R163" s="443"/>
      <c r="S163" s="9"/>
      <c r="T163" s="442">
        <v>2.0</v>
      </c>
      <c r="U163" s="9"/>
      <c r="V163" s="9">
        <v>2.0</v>
      </c>
      <c r="W163" s="443"/>
      <c r="X163" s="9"/>
      <c r="Y163" s="9"/>
      <c r="Z163" s="9"/>
      <c r="AA163" s="9"/>
    </row>
    <row r="164" ht="15.75" customHeight="1">
      <c r="A164" s="453" t="s">
        <v>1738</v>
      </c>
      <c r="B164" s="453" t="s">
        <v>1952</v>
      </c>
      <c r="C164" s="454" t="s">
        <v>2309</v>
      </c>
      <c r="D164" s="454">
        <v>2.0</v>
      </c>
      <c r="E164" s="454"/>
      <c r="F164" s="456" t="s">
        <v>2310</v>
      </c>
      <c r="G164" s="444" t="s">
        <v>2298</v>
      </c>
      <c r="H164" s="441">
        <f t="shared" si="1"/>
        <v>5.5</v>
      </c>
      <c r="I164" s="9"/>
      <c r="J164" s="442">
        <v>4.0</v>
      </c>
      <c r="K164" s="9"/>
      <c r="L164" s="9">
        <v>4.0</v>
      </c>
      <c r="M164" s="443"/>
      <c r="N164" s="9"/>
      <c r="O164" s="442">
        <v>-1.0</v>
      </c>
      <c r="P164" s="9"/>
      <c r="Q164" s="9">
        <v>0.0</v>
      </c>
      <c r="R164" s="443"/>
      <c r="S164" s="9"/>
      <c r="T164" s="442">
        <v>4.0</v>
      </c>
      <c r="U164" s="9"/>
      <c r="V164" s="9">
        <v>4.0</v>
      </c>
      <c r="W164" s="443"/>
      <c r="X164" s="9"/>
      <c r="Y164" s="9"/>
      <c r="Z164" s="9"/>
      <c r="AA164" s="9"/>
    </row>
    <row r="165" ht="15.75" customHeight="1">
      <c r="A165" s="453" t="s">
        <v>1738</v>
      </c>
      <c r="B165" s="453" t="s">
        <v>1952</v>
      </c>
      <c r="C165" s="454" t="s">
        <v>1124</v>
      </c>
      <c r="D165" s="454">
        <v>3.0</v>
      </c>
      <c r="E165" s="454">
        <v>1.0</v>
      </c>
      <c r="F165" s="456" t="s">
        <v>2311</v>
      </c>
      <c r="G165" s="444" t="s">
        <v>2298</v>
      </c>
      <c r="H165" s="441">
        <f t="shared" si="1"/>
        <v>-1</v>
      </c>
      <c r="I165" s="9"/>
      <c r="J165" s="442">
        <v>4.0</v>
      </c>
      <c r="K165" s="9"/>
      <c r="L165" s="9">
        <v>2.0</v>
      </c>
      <c r="M165" s="443"/>
      <c r="N165" s="9"/>
      <c r="O165" s="442">
        <v>-4.0</v>
      </c>
      <c r="P165" s="9"/>
      <c r="Q165" s="9">
        <v>-2.0</v>
      </c>
      <c r="R165" s="443"/>
      <c r="S165" s="9"/>
      <c r="T165" s="442">
        <v>3.0</v>
      </c>
      <c r="U165" s="9"/>
      <c r="V165" s="9">
        <v>3.0</v>
      </c>
      <c r="W165" s="443"/>
      <c r="X165" s="9"/>
      <c r="Y165" s="9"/>
      <c r="Z165" s="9"/>
      <c r="AA165" s="9"/>
    </row>
    <row r="166" ht="15.75" customHeight="1">
      <c r="A166" s="453" t="s">
        <v>1738</v>
      </c>
      <c r="B166" s="453" t="s">
        <v>1952</v>
      </c>
      <c r="C166" s="454" t="s">
        <v>2312</v>
      </c>
      <c r="D166" s="454">
        <v>3.0</v>
      </c>
      <c r="E166" s="454">
        <v>3.0</v>
      </c>
      <c r="F166" s="456" t="s">
        <v>2313</v>
      </c>
      <c r="G166" s="444" t="s">
        <v>2298</v>
      </c>
      <c r="H166" s="441">
        <f t="shared" si="1"/>
        <v>-1.5</v>
      </c>
      <c r="I166" s="9"/>
      <c r="J166" s="442">
        <v>4.0</v>
      </c>
      <c r="K166" s="9"/>
      <c r="L166" s="9">
        <v>4.0</v>
      </c>
      <c r="M166" s="443"/>
      <c r="N166" s="9"/>
      <c r="O166" s="442">
        <v>-4.0</v>
      </c>
      <c r="P166" s="9"/>
      <c r="Q166" s="9">
        <v>-2.0</v>
      </c>
      <c r="R166" s="443"/>
      <c r="S166" s="9"/>
      <c r="T166" s="442">
        <v>4.0</v>
      </c>
      <c r="U166" s="9"/>
      <c r="V166" s="9">
        <v>3.0</v>
      </c>
      <c r="W166" s="443"/>
      <c r="X166" s="9"/>
      <c r="Y166" s="9"/>
      <c r="Z166" s="9"/>
      <c r="AA166" s="9"/>
    </row>
    <row r="167" ht="15.75" customHeight="1">
      <c r="A167" s="453" t="s">
        <v>1738</v>
      </c>
      <c r="B167" s="453" t="s">
        <v>2314</v>
      </c>
      <c r="C167" s="454" t="s">
        <v>2315</v>
      </c>
      <c r="D167" s="454">
        <v>0.0</v>
      </c>
      <c r="E167" s="454"/>
      <c r="F167" s="456" t="s">
        <v>2316</v>
      </c>
      <c r="G167" s="444" t="s">
        <v>2317</v>
      </c>
      <c r="H167" s="441">
        <f t="shared" si="1"/>
        <v>3</v>
      </c>
      <c r="I167" s="9"/>
      <c r="J167" s="442">
        <v>2.0</v>
      </c>
      <c r="K167" s="9"/>
      <c r="L167" s="9">
        <v>2.0</v>
      </c>
      <c r="M167" s="443"/>
      <c r="N167" s="9"/>
      <c r="O167" s="442">
        <v>-1.0</v>
      </c>
      <c r="P167" s="9"/>
      <c r="Q167" s="9">
        <v>-1.0</v>
      </c>
      <c r="R167" s="443"/>
      <c r="S167" s="9"/>
      <c r="T167" s="442">
        <v>2.0</v>
      </c>
      <c r="U167" s="9"/>
      <c r="V167" s="9">
        <v>2.0</v>
      </c>
      <c r="W167" s="443"/>
      <c r="X167" s="9"/>
      <c r="Y167" s="9"/>
      <c r="Z167" s="9"/>
      <c r="AA167" s="9"/>
    </row>
    <row r="168" ht="15.75" customHeight="1">
      <c r="A168" s="453" t="s">
        <v>1738</v>
      </c>
      <c r="B168" s="453" t="s">
        <v>2314</v>
      </c>
      <c r="C168" s="454" t="s">
        <v>2318</v>
      </c>
      <c r="D168" s="454">
        <v>1.0</v>
      </c>
      <c r="E168" s="454">
        <v>1.0</v>
      </c>
      <c r="F168" s="456" t="s">
        <v>2319</v>
      </c>
      <c r="G168" s="444" t="s">
        <v>2317</v>
      </c>
      <c r="H168" s="441">
        <f t="shared" si="1"/>
        <v>0</v>
      </c>
      <c r="I168" s="9"/>
      <c r="J168" s="442">
        <v>3.0</v>
      </c>
      <c r="K168" s="9"/>
      <c r="L168" s="9">
        <v>2.0</v>
      </c>
      <c r="M168" s="443"/>
      <c r="N168" s="9"/>
      <c r="O168" s="442">
        <v>-4.0</v>
      </c>
      <c r="P168" s="9"/>
      <c r="Q168" s="9">
        <v>-3.0</v>
      </c>
      <c r="R168" s="443"/>
      <c r="S168" s="9"/>
      <c r="T168" s="442">
        <v>3.0</v>
      </c>
      <c r="U168" s="9"/>
      <c r="V168" s="9">
        <v>3.0</v>
      </c>
      <c r="W168" s="443"/>
      <c r="X168" s="9"/>
      <c r="Y168" s="9"/>
      <c r="Z168" s="9"/>
      <c r="AA168" s="9"/>
    </row>
    <row r="169" ht="15.75" customHeight="1">
      <c r="A169" s="453" t="s">
        <v>1738</v>
      </c>
      <c r="B169" s="453" t="s">
        <v>2314</v>
      </c>
      <c r="C169" s="454" t="s">
        <v>2320</v>
      </c>
      <c r="D169" s="454">
        <v>1.0</v>
      </c>
      <c r="E169" s="454"/>
      <c r="F169" s="456" t="s">
        <v>2321</v>
      </c>
      <c r="G169" s="444" t="s">
        <v>2317</v>
      </c>
      <c r="H169" s="441">
        <f t="shared" si="1"/>
        <v>0</v>
      </c>
      <c r="I169" s="9"/>
      <c r="J169" s="442">
        <v>-2.0</v>
      </c>
      <c r="K169" s="9"/>
      <c r="L169" s="9">
        <v>2.0</v>
      </c>
      <c r="M169" s="443"/>
      <c r="N169" s="9"/>
      <c r="O169" s="442">
        <v>-2.0</v>
      </c>
      <c r="P169" s="9"/>
      <c r="Q169" s="9">
        <v>-3.0</v>
      </c>
      <c r="R169" s="443"/>
      <c r="S169" s="9"/>
      <c r="T169" s="442">
        <v>3.0</v>
      </c>
      <c r="U169" s="9"/>
      <c r="V169" s="9">
        <v>4.0</v>
      </c>
      <c r="W169" s="443"/>
      <c r="X169" s="9"/>
      <c r="Y169" s="9"/>
      <c r="Z169" s="9"/>
      <c r="AA169" s="9"/>
    </row>
    <row r="170" ht="15.75" customHeight="1">
      <c r="A170" s="453" t="s">
        <v>1738</v>
      </c>
      <c r="B170" s="453" t="s">
        <v>2314</v>
      </c>
      <c r="C170" s="454" t="s">
        <v>2322</v>
      </c>
      <c r="D170" s="454">
        <v>1.0</v>
      </c>
      <c r="E170" s="454">
        <v>1.0</v>
      </c>
      <c r="F170" s="456" t="s">
        <v>2323</v>
      </c>
      <c r="G170" s="444" t="s">
        <v>2317</v>
      </c>
      <c r="H170" s="441">
        <f t="shared" si="1"/>
        <v>0.5</v>
      </c>
      <c r="I170" s="9"/>
      <c r="J170" s="442">
        <v>2.0</v>
      </c>
      <c r="K170" s="9"/>
      <c r="L170" s="9">
        <v>2.0</v>
      </c>
      <c r="M170" s="443"/>
      <c r="N170" s="9"/>
      <c r="O170" s="442">
        <v>-2.0</v>
      </c>
      <c r="P170" s="9"/>
      <c r="Q170" s="9">
        <v>-3.0</v>
      </c>
      <c r="R170" s="443"/>
      <c r="S170" s="9"/>
      <c r="T170" s="442">
        <v>3.0</v>
      </c>
      <c r="U170" s="9"/>
      <c r="V170" s="9">
        <v>3.0</v>
      </c>
      <c r="W170" s="443"/>
      <c r="X170" s="9"/>
      <c r="Y170" s="9"/>
      <c r="Z170" s="9"/>
      <c r="AA170" s="9"/>
    </row>
    <row r="171" ht="15.75" customHeight="1">
      <c r="A171" s="453" t="s">
        <v>1738</v>
      </c>
      <c r="B171" s="453" t="s">
        <v>2314</v>
      </c>
      <c r="C171" s="454" t="s">
        <v>2324</v>
      </c>
      <c r="D171" s="454">
        <v>2.0</v>
      </c>
      <c r="E171" s="454">
        <v>1.0</v>
      </c>
      <c r="F171" s="457" t="s">
        <v>2325</v>
      </c>
      <c r="G171" s="444" t="s">
        <v>2317</v>
      </c>
      <c r="H171" s="441">
        <f t="shared" si="1"/>
        <v>0.5</v>
      </c>
      <c r="I171" s="9"/>
      <c r="J171" s="442">
        <v>3.0</v>
      </c>
      <c r="K171" s="9"/>
      <c r="L171" s="9">
        <v>3.0</v>
      </c>
      <c r="M171" s="443"/>
      <c r="N171" s="9"/>
      <c r="O171" s="442">
        <v>-3.0</v>
      </c>
      <c r="P171" s="9"/>
      <c r="Q171" s="9">
        <v>-3.0</v>
      </c>
      <c r="R171" s="443"/>
      <c r="S171" s="9"/>
      <c r="T171" s="442">
        <v>3.0</v>
      </c>
      <c r="U171" s="9"/>
      <c r="V171" s="9">
        <v>4.0</v>
      </c>
      <c r="W171" s="443"/>
      <c r="X171" s="9"/>
      <c r="Y171" s="9"/>
      <c r="Z171" s="9"/>
      <c r="AA171" s="9"/>
    </row>
    <row r="172" ht="15.75" customHeight="1">
      <c r="A172" s="453" t="s">
        <v>1738</v>
      </c>
      <c r="B172" s="453" t="s">
        <v>2314</v>
      </c>
      <c r="C172" s="454" t="s">
        <v>2326</v>
      </c>
      <c r="D172" s="454">
        <v>2.0</v>
      </c>
      <c r="E172" s="454"/>
      <c r="F172" s="456" t="s">
        <v>2327</v>
      </c>
      <c r="G172" s="444" t="s">
        <v>2317</v>
      </c>
      <c r="H172" s="441">
        <f t="shared" si="1"/>
        <v>1.5</v>
      </c>
      <c r="I172" s="9"/>
      <c r="J172" s="442">
        <v>2.0</v>
      </c>
      <c r="K172" s="9"/>
      <c r="L172" s="9">
        <v>2.0</v>
      </c>
      <c r="M172" s="443"/>
      <c r="N172" s="9"/>
      <c r="O172" s="442">
        <v>-1.0</v>
      </c>
      <c r="P172" s="9"/>
      <c r="Q172" s="9">
        <v>0.0</v>
      </c>
      <c r="R172" s="443"/>
      <c r="S172" s="9"/>
      <c r="T172" s="442">
        <v>2.0</v>
      </c>
      <c r="U172" s="9"/>
      <c r="V172" s="9">
        <v>2.0</v>
      </c>
      <c r="W172" s="443"/>
      <c r="X172" s="9"/>
      <c r="Y172" s="9"/>
      <c r="Z172" s="9"/>
      <c r="AA172" s="9"/>
    </row>
    <row r="173" ht="15.75" customHeight="1">
      <c r="A173" s="453" t="s">
        <v>1738</v>
      </c>
      <c r="B173" s="453" t="s">
        <v>2314</v>
      </c>
      <c r="C173" s="454" t="s">
        <v>2328</v>
      </c>
      <c r="D173" s="454">
        <v>2.0</v>
      </c>
      <c r="E173" s="454"/>
      <c r="F173" s="456" t="s">
        <v>2329</v>
      </c>
      <c r="G173" s="444" t="s">
        <v>2317</v>
      </c>
      <c r="H173" s="441">
        <f t="shared" si="1"/>
        <v>4.5</v>
      </c>
      <c r="I173" s="9"/>
      <c r="J173" s="442">
        <v>4.0</v>
      </c>
      <c r="K173" s="9"/>
      <c r="L173" s="9">
        <v>4.0</v>
      </c>
      <c r="M173" s="443"/>
      <c r="N173" s="9"/>
      <c r="O173" s="442">
        <v>-1.0</v>
      </c>
      <c r="P173" s="9"/>
      <c r="Q173" s="9">
        <v>0.0</v>
      </c>
      <c r="R173" s="443"/>
      <c r="S173" s="9"/>
      <c r="T173" s="442">
        <v>3.0</v>
      </c>
      <c r="U173" s="9"/>
      <c r="V173" s="9">
        <v>3.0</v>
      </c>
      <c r="W173" s="443"/>
      <c r="X173" s="9"/>
      <c r="Y173" s="9"/>
      <c r="Z173" s="9"/>
      <c r="AA173" s="9"/>
    </row>
    <row r="174" ht="15.75" customHeight="1">
      <c r="A174" s="453" t="s">
        <v>1738</v>
      </c>
      <c r="B174" s="453" t="s">
        <v>2314</v>
      </c>
      <c r="C174" s="454" t="s">
        <v>2330</v>
      </c>
      <c r="D174" s="454">
        <v>3.0</v>
      </c>
      <c r="E174" s="454">
        <v>1.0</v>
      </c>
      <c r="F174" s="456" t="s">
        <v>2331</v>
      </c>
      <c r="G174" s="444" t="s">
        <v>2317</v>
      </c>
      <c r="H174" s="441">
        <f t="shared" si="1"/>
        <v>-0.5</v>
      </c>
      <c r="I174" s="9"/>
      <c r="J174" s="442">
        <v>4.0</v>
      </c>
      <c r="K174" s="9"/>
      <c r="L174" s="9">
        <v>4.0</v>
      </c>
      <c r="M174" s="443"/>
      <c r="N174" s="9"/>
      <c r="O174" s="442">
        <v>-3.0</v>
      </c>
      <c r="P174" s="9"/>
      <c r="Q174" s="9">
        <v>-3.0</v>
      </c>
      <c r="R174" s="443"/>
      <c r="S174" s="9"/>
      <c r="T174" s="442">
        <v>2.0</v>
      </c>
      <c r="U174" s="9"/>
      <c r="V174" s="9">
        <v>3.0</v>
      </c>
      <c r="W174" s="443"/>
      <c r="X174" s="9"/>
      <c r="Y174" s="9"/>
      <c r="Z174" s="9"/>
      <c r="AA174" s="9"/>
    </row>
    <row r="175" ht="15.75" customHeight="1">
      <c r="A175" s="453" t="s">
        <v>1738</v>
      </c>
      <c r="B175" s="453" t="s">
        <v>2314</v>
      </c>
      <c r="C175" s="454" t="s">
        <v>2332</v>
      </c>
      <c r="D175" s="454">
        <v>3.0</v>
      </c>
      <c r="E175" s="454">
        <v>1.0</v>
      </c>
      <c r="F175" s="456" t="s">
        <v>2333</v>
      </c>
      <c r="G175" s="444" t="s">
        <v>2317</v>
      </c>
      <c r="H175" s="441">
        <f t="shared" si="1"/>
        <v>-2</v>
      </c>
      <c r="I175" s="9"/>
      <c r="J175" s="442">
        <v>2.0</v>
      </c>
      <c r="K175" s="9"/>
      <c r="L175" s="9">
        <v>2.0</v>
      </c>
      <c r="M175" s="443"/>
      <c r="N175" s="9"/>
      <c r="O175" s="442">
        <v>-1.0</v>
      </c>
      <c r="P175" s="9"/>
      <c r="Q175" s="9">
        <v>-3.0</v>
      </c>
      <c r="R175" s="443"/>
      <c r="S175" s="9"/>
      <c r="T175" s="442">
        <v>2.0</v>
      </c>
      <c r="U175" s="9"/>
      <c r="V175" s="9">
        <v>2.0</v>
      </c>
      <c r="W175" s="443"/>
      <c r="X175" s="9"/>
      <c r="Y175" s="9"/>
      <c r="Z175" s="9"/>
      <c r="AA175" s="9"/>
    </row>
    <row r="176" ht="15.75" customHeight="1">
      <c r="A176" s="453" t="s">
        <v>1738</v>
      </c>
      <c r="B176" s="453" t="s">
        <v>2334</v>
      </c>
      <c r="C176" s="454" t="s">
        <v>2335</v>
      </c>
      <c r="D176" s="454">
        <v>0.0</v>
      </c>
      <c r="E176" s="454">
        <v>1.0</v>
      </c>
      <c r="F176" s="456" t="s">
        <v>2336</v>
      </c>
      <c r="G176" s="444" t="s">
        <v>2337</v>
      </c>
      <c r="H176" s="441">
        <f t="shared" si="1"/>
        <v>3</v>
      </c>
      <c r="I176" s="9"/>
      <c r="J176" s="442">
        <v>4.0</v>
      </c>
      <c r="K176" s="9"/>
      <c r="L176" s="9">
        <v>3.0</v>
      </c>
      <c r="M176" s="443"/>
      <c r="N176" s="9"/>
      <c r="O176" s="442">
        <v>-2.0</v>
      </c>
      <c r="P176" s="9"/>
      <c r="Q176" s="9">
        <v>-2.0</v>
      </c>
      <c r="R176" s="443"/>
      <c r="S176" s="9"/>
      <c r="T176" s="442">
        <v>2.0</v>
      </c>
      <c r="U176" s="9"/>
      <c r="V176" s="9">
        <v>3.0</v>
      </c>
      <c r="W176" s="443"/>
      <c r="X176" s="9"/>
      <c r="Y176" s="9"/>
      <c r="Z176" s="9"/>
      <c r="AA176" s="9"/>
    </row>
    <row r="177" ht="15.75" customHeight="1">
      <c r="A177" s="453" t="s">
        <v>1738</v>
      </c>
      <c r="B177" s="453" t="s">
        <v>2334</v>
      </c>
      <c r="C177" s="454" t="s">
        <v>2338</v>
      </c>
      <c r="D177" s="454">
        <v>1.0</v>
      </c>
      <c r="E177" s="454">
        <v>1.0</v>
      </c>
      <c r="F177" s="456" t="s">
        <v>2339</v>
      </c>
      <c r="G177" s="444" t="s">
        <v>2337</v>
      </c>
      <c r="H177" s="441">
        <f t="shared" si="1"/>
        <v>1.5</v>
      </c>
      <c r="I177" s="9"/>
      <c r="J177" s="442">
        <v>4.0</v>
      </c>
      <c r="K177" s="9"/>
      <c r="L177" s="9">
        <v>4.0</v>
      </c>
      <c r="M177" s="443"/>
      <c r="N177" s="9"/>
      <c r="O177" s="442">
        <v>-4.0</v>
      </c>
      <c r="P177" s="9"/>
      <c r="Q177" s="9">
        <v>-3.0</v>
      </c>
      <c r="R177" s="443"/>
      <c r="S177" s="9"/>
      <c r="T177" s="442">
        <v>3.0</v>
      </c>
      <c r="U177" s="9"/>
      <c r="V177" s="9">
        <v>3.0</v>
      </c>
      <c r="W177" s="443"/>
      <c r="X177" s="9"/>
      <c r="Y177" s="9"/>
      <c r="Z177" s="9"/>
      <c r="AA177" s="9"/>
    </row>
    <row r="178" ht="15.75" customHeight="1">
      <c r="A178" s="453" t="s">
        <v>1738</v>
      </c>
      <c r="B178" s="453" t="s">
        <v>2334</v>
      </c>
      <c r="C178" s="454" t="s">
        <v>2340</v>
      </c>
      <c r="D178" s="454">
        <v>1.0</v>
      </c>
      <c r="E178" s="454">
        <v>1.0</v>
      </c>
      <c r="F178" s="456" t="s">
        <v>2341</v>
      </c>
      <c r="G178" s="444" t="s">
        <v>2337</v>
      </c>
      <c r="H178" s="441">
        <f t="shared" si="1"/>
        <v>2.5</v>
      </c>
      <c r="I178" s="9"/>
      <c r="J178" s="442">
        <v>4.0</v>
      </c>
      <c r="K178" s="9"/>
      <c r="L178" s="9">
        <v>4.0</v>
      </c>
      <c r="M178" s="443"/>
      <c r="N178" s="9"/>
      <c r="O178" s="442">
        <v>-3.0</v>
      </c>
      <c r="P178" s="9"/>
      <c r="Q178" s="9">
        <v>-2.0</v>
      </c>
      <c r="R178" s="443"/>
      <c r="S178" s="9"/>
      <c r="T178" s="442">
        <v>3.0</v>
      </c>
      <c r="U178" s="9"/>
      <c r="V178" s="9">
        <v>3.0</v>
      </c>
      <c r="W178" s="443"/>
      <c r="X178" s="9"/>
      <c r="Y178" s="9"/>
      <c r="Z178" s="9"/>
      <c r="AA178" s="9"/>
    </row>
    <row r="179" ht="15.75" customHeight="1">
      <c r="A179" s="453" t="s">
        <v>1738</v>
      </c>
      <c r="B179" s="453" t="s">
        <v>2334</v>
      </c>
      <c r="C179" s="454" t="s">
        <v>2342</v>
      </c>
      <c r="D179" s="454">
        <v>1.0</v>
      </c>
      <c r="E179" s="454"/>
      <c r="F179" s="456" t="s">
        <v>2343</v>
      </c>
      <c r="G179" s="444" t="s">
        <v>2337</v>
      </c>
      <c r="H179" s="441">
        <f t="shared" si="1"/>
        <v>2</v>
      </c>
      <c r="I179" s="9"/>
      <c r="J179" s="442">
        <v>2.0</v>
      </c>
      <c r="K179" s="9"/>
      <c r="L179" s="9">
        <v>2.0</v>
      </c>
      <c r="M179" s="443"/>
      <c r="N179" s="9"/>
      <c r="O179" s="442">
        <v>-2.0</v>
      </c>
      <c r="P179" s="9"/>
      <c r="Q179" s="9">
        <v>-3.0</v>
      </c>
      <c r="R179" s="443"/>
      <c r="S179" s="9"/>
      <c r="T179" s="442">
        <v>4.0</v>
      </c>
      <c r="U179" s="9"/>
      <c r="V179" s="9">
        <v>3.0</v>
      </c>
      <c r="W179" s="443"/>
      <c r="X179" s="9"/>
      <c r="Y179" s="9"/>
      <c r="Z179" s="9"/>
      <c r="AA179" s="9"/>
    </row>
    <row r="180" ht="15.75" customHeight="1">
      <c r="A180" s="453" t="s">
        <v>1738</v>
      </c>
      <c r="B180" s="453" t="s">
        <v>2334</v>
      </c>
      <c r="C180" s="454" t="s">
        <v>2344</v>
      </c>
      <c r="D180" s="454">
        <v>2.0</v>
      </c>
      <c r="E180" s="454">
        <v>1.0</v>
      </c>
      <c r="F180" s="456" t="s">
        <v>2345</v>
      </c>
      <c r="G180" s="444" t="s">
        <v>2337</v>
      </c>
      <c r="H180" s="441">
        <f t="shared" si="1"/>
        <v>1.5</v>
      </c>
      <c r="I180" s="9"/>
      <c r="J180" s="442">
        <v>4.0</v>
      </c>
      <c r="K180" s="9"/>
      <c r="L180" s="9">
        <v>4.0</v>
      </c>
      <c r="M180" s="443"/>
      <c r="N180" s="9"/>
      <c r="O180" s="442">
        <v>-4.0</v>
      </c>
      <c r="P180" s="9"/>
      <c r="Q180" s="9">
        <v>-2.0</v>
      </c>
      <c r="R180" s="443"/>
      <c r="S180" s="9"/>
      <c r="T180" s="442">
        <v>3.0</v>
      </c>
      <c r="U180" s="9"/>
      <c r="V180" s="9">
        <v>4.0</v>
      </c>
      <c r="W180" s="443"/>
      <c r="X180" s="9"/>
      <c r="Y180" s="9"/>
      <c r="Z180" s="9"/>
      <c r="AA180" s="9"/>
    </row>
    <row r="181" ht="15.75" customHeight="1">
      <c r="A181" s="453" t="s">
        <v>1738</v>
      </c>
      <c r="B181" s="453" t="s">
        <v>2334</v>
      </c>
      <c r="C181" s="454" t="s">
        <v>2346</v>
      </c>
      <c r="D181" s="454">
        <v>2.0</v>
      </c>
      <c r="E181" s="454"/>
      <c r="F181" s="456" t="s">
        <v>2347</v>
      </c>
      <c r="G181" s="444" t="s">
        <v>2337</v>
      </c>
      <c r="H181" s="441">
        <f t="shared" si="1"/>
        <v>2.5</v>
      </c>
      <c r="I181" s="9"/>
      <c r="J181" s="442">
        <v>2.0</v>
      </c>
      <c r="K181" s="9"/>
      <c r="L181" s="9">
        <v>2.0</v>
      </c>
      <c r="M181" s="443"/>
      <c r="N181" s="9"/>
      <c r="O181" s="442">
        <v>-1.0</v>
      </c>
      <c r="P181" s="9"/>
      <c r="Q181" s="9">
        <v>-2.0</v>
      </c>
      <c r="R181" s="443"/>
      <c r="S181" s="9"/>
      <c r="T181" s="442">
        <v>3.0</v>
      </c>
      <c r="U181" s="9"/>
      <c r="V181" s="9">
        <v>5.0</v>
      </c>
      <c r="W181" s="443"/>
      <c r="X181" s="9"/>
      <c r="Y181" s="9"/>
      <c r="Z181" s="9"/>
      <c r="AA181" s="9"/>
    </row>
    <row r="182" ht="15.75" customHeight="1">
      <c r="A182" s="453" t="s">
        <v>1738</v>
      </c>
      <c r="B182" s="453" t="s">
        <v>2334</v>
      </c>
      <c r="C182" s="454" t="s">
        <v>2348</v>
      </c>
      <c r="D182" s="454">
        <v>2.0</v>
      </c>
      <c r="E182" s="454">
        <v>2.0</v>
      </c>
      <c r="F182" s="456" t="s">
        <v>2349</v>
      </c>
      <c r="G182" s="444" t="s">
        <v>2337</v>
      </c>
      <c r="H182" s="441">
        <f t="shared" si="1"/>
        <v>1</v>
      </c>
      <c r="I182" s="9"/>
      <c r="J182" s="442">
        <v>4.0</v>
      </c>
      <c r="K182" s="9"/>
      <c r="L182" s="9">
        <v>4.0</v>
      </c>
      <c r="M182" s="443"/>
      <c r="N182" s="9"/>
      <c r="O182" s="442">
        <v>-3.0</v>
      </c>
      <c r="P182" s="9"/>
      <c r="Q182" s="9">
        <v>-2.0</v>
      </c>
      <c r="R182" s="443"/>
      <c r="S182" s="9"/>
      <c r="T182" s="442">
        <v>3.0</v>
      </c>
      <c r="U182" s="9"/>
      <c r="V182" s="9">
        <v>4.0</v>
      </c>
      <c r="W182" s="443"/>
      <c r="X182" s="9"/>
      <c r="Y182" s="9"/>
      <c r="Z182" s="9"/>
      <c r="AA182" s="9"/>
    </row>
    <row r="183" ht="15.75" customHeight="1">
      <c r="A183" s="453" t="s">
        <v>1738</v>
      </c>
      <c r="B183" s="453" t="s">
        <v>2334</v>
      </c>
      <c r="C183" s="454" t="s">
        <v>2350</v>
      </c>
      <c r="D183" s="454">
        <v>3.0</v>
      </c>
      <c r="E183" s="454">
        <v>1.0</v>
      </c>
      <c r="F183" s="456" t="s">
        <v>2351</v>
      </c>
      <c r="G183" s="444" t="s">
        <v>2337</v>
      </c>
      <c r="H183" s="441">
        <f t="shared" si="1"/>
        <v>1.5</v>
      </c>
      <c r="I183" s="9"/>
      <c r="J183" s="442">
        <v>4.0</v>
      </c>
      <c r="K183" s="9"/>
      <c r="L183" s="9">
        <v>4.0</v>
      </c>
      <c r="M183" s="443"/>
      <c r="N183" s="9"/>
      <c r="O183" s="442">
        <v>-3.0</v>
      </c>
      <c r="P183" s="9"/>
      <c r="Q183" s="9">
        <v>-3.0</v>
      </c>
      <c r="R183" s="443"/>
      <c r="S183" s="9"/>
      <c r="T183" s="442">
        <v>5.0</v>
      </c>
      <c r="U183" s="9"/>
      <c r="V183" s="9">
        <v>4.0</v>
      </c>
      <c r="W183" s="443"/>
      <c r="X183" s="9"/>
      <c r="Y183" s="9"/>
      <c r="Z183" s="9"/>
      <c r="AA183" s="9"/>
    </row>
    <row r="184" ht="15.75" customHeight="1">
      <c r="A184" s="453" t="s">
        <v>1738</v>
      </c>
      <c r="B184" s="453" t="s">
        <v>2334</v>
      </c>
      <c r="C184" s="454" t="s">
        <v>2352</v>
      </c>
      <c r="D184" s="454">
        <v>3.0</v>
      </c>
      <c r="E184" s="454">
        <v>2.0</v>
      </c>
      <c r="F184" s="456" t="s">
        <v>2353</v>
      </c>
      <c r="G184" s="444" t="s">
        <v>2337</v>
      </c>
      <c r="H184" s="441">
        <f t="shared" si="1"/>
        <v>2</v>
      </c>
      <c r="I184" s="9"/>
      <c r="J184" s="442">
        <v>4.0</v>
      </c>
      <c r="K184" s="9"/>
      <c r="L184" s="9">
        <v>4.0</v>
      </c>
      <c r="M184" s="443"/>
      <c r="N184" s="9"/>
      <c r="O184" s="442">
        <v>-1.0</v>
      </c>
      <c r="P184" s="9"/>
      <c r="Q184" s="9">
        <v>-2.0</v>
      </c>
      <c r="R184" s="443"/>
      <c r="S184" s="9"/>
      <c r="T184" s="442">
        <v>5.0</v>
      </c>
      <c r="U184" s="9"/>
      <c r="V184" s="9">
        <v>4.0</v>
      </c>
      <c r="W184" s="443"/>
      <c r="X184" s="9"/>
      <c r="Y184" s="9"/>
      <c r="Z184" s="9"/>
      <c r="AA184" s="9"/>
    </row>
    <row r="185" ht="15.75" customHeight="1">
      <c r="A185" s="453" t="s">
        <v>1738</v>
      </c>
      <c r="B185" s="453" t="s">
        <v>2354</v>
      </c>
      <c r="C185" s="454" t="s">
        <v>2355</v>
      </c>
      <c r="D185" s="454">
        <v>0.0</v>
      </c>
      <c r="E185" s="454">
        <v>1.0</v>
      </c>
      <c r="F185" s="456" t="s">
        <v>2356</v>
      </c>
      <c r="G185" s="444" t="s">
        <v>2357</v>
      </c>
      <c r="H185" s="441">
        <f t="shared" si="1"/>
        <v>3.5</v>
      </c>
      <c r="I185" s="9"/>
      <c r="J185" s="442">
        <v>4.0</v>
      </c>
      <c r="K185" s="9"/>
      <c r="L185" s="9">
        <v>4.0</v>
      </c>
      <c r="M185" s="443"/>
      <c r="N185" s="9"/>
      <c r="O185" s="442">
        <v>-2.0</v>
      </c>
      <c r="P185" s="9"/>
      <c r="Q185" s="9">
        <v>-2.0</v>
      </c>
      <c r="R185" s="443"/>
      <c r="S185" s="9"/>
      <c r="T185" s="442">
        <v>2.0</v>
      </c>
      <c r="U185" s="9"/>
      <c r="V185" s="9">
        <v>3.0</v>
      </c>
      <c r="W185" s="443"/>
      <c r="X185" s="9"/>
      <c r="Y185" s="9"/>
      <c r="Z185" s="9"/>
      <c r="AA185" s="9"/>
    </row>
    <row r="186" ht="15.75" customHeight="1">
      <c r="A186" s="453" t="s">
        <v>1738</v>
      </c>
      <c r="B186" s="453" t="s">
        <v>2354</v>
      </c>
      <c r="C186" s="454" t="s">
        <v>2358</v>
      </c>
      <c r="D186" s="454">
        <v>1.0</v>
      </c>
      <c r="E186" s="454"/>
      <c r="F186" s="456" t="s">
        <v>2359</v>
      </c>
      <c r="G186" s="444" t="s">
        <v>2357</v>
      </c>
      <c r="H186" s="441">
        <f t="shared" si="1"/>
        <v>4</v>
      </c>
      <c r="I186" s="9"/>
      <c r="J186" s="442">
        <v>4.0</v>
      </c>
      <c r="K186" s="9"/>
      <c r="L186" s="9">
        <v>4.0</v>
      </c>
      <c r="M186" s="443"/>
      <c r="N186" s="9"/>
      <c r="O186" s="442">
        <v>-4.0</v>
      </c>
      <c r="P186" s="9"/>
      <c r="Q186" s="9">
        <v>-2.0</v>
      </c>
      <c r="R186" s="443"/>
      <c r="S186" s="9"/>
      <c r="T186" s="442">
        <v>4.0</v>
      </c>
      <c r="U186" s="9"/>
      <c r="V186" s="9">
        <v>4.0</v>
      </c>
      <c r="W186" s="443"/>
      <c r="X186" s="9"/>
      <c r="Y186" s="9"/>
      <c r="Z186" s="9"/>
      <c r="AA186" s="9"/>
    </row>
    <row r="187" ht="15.75" customHeight="1">
      <c r="A187" s="453" t="s">
        <v>1738</v>
      </c>
      <c r="B187" s="453" t="s">
        <v>2354</v>
      </c>
      <c r="C187" s="454" t="s">
        <v>2360</v>
      </c>
      <c r="D187" s="454">
        <v>1.0</v>
      </c>
      <c r="E187" s="454">
        <v>1.0</v>
      </c>
      <c r="F187" s="456" t="s">
        <v>2361</v>
      </c>
      <c r="G187" s="444" t="s">
        <v>2357</v>
      </c>
      <c r="H187" s="441">
        <f t="shared" si="1"/>
        <v>3.5</v>
      </c>
      <c r="I187" s="9"/>
      <c r="J187" s="442">
        <v>3.0</v>
      </c>
      <c r="K187" s="9"/>
      <c r="L187" s="9">
        <v>4.0</v>
      </c>
      <c r="M187" s="443"/>
      <c r="N187" s="9"/>
      <c r="O187" s="442">
        <v>-1.0</v>
      </c>
      <c r="P187" s="9"/>
      <c r="Q187" s="9">
        <v>-1.0</v>
      </c>
      <c r="R187" s="443"/>
      <c r="S187" s="9"/>
      <c r="T187" s="442">
        <v>3.0</v>
      </c>
      <c r="U187" s="9"/>
      <c r="V187" s="9">
        <v>3.0</v>
      </c>
      <c r="W187" s="443"/>
      <c r="X187" s="9"/>
      <c r="Y187" s="9"/>
      <c r="Z187" s="9"/>
      <c r="AA187" s="9"/>
    </row>
    <row r="188" ht="15.75" customHeight="1">
      <c r="A188" s="453" t="s">
        <v>1738</v>
      </c>
      <c r="B188" s="453" t="s">
        <v>2354</v>
      </c>
      <c r="C188" s="454" t="s">
        <v>2362</v>
      </c>
      <c r="D188" s="454">
        <v>1.0</v>
      </c>
      <c r="E188" s="454">
        <v>1.0</v>
      </c>
      <c r="F188" s="456" t="s">
        <v>2363</v>
      </c>
      <c r="G188" s="444" t="s">
        <v>2357</v>
      </c>
      <c r="H188" s="441">
        <f t="shared" si="1"/>
        <v>3</v>
      </c>
      <c r="I188" s="9"/>
      <c r="J188" s="442">
        <v>4.0</v>
      </c>
      <c r="K188" s="9"/>
      <c r="L188" s="9">
        <v>4.0</v>
      </c>
      <c r="M188" s="443"/>
      <c r="N188" s="9"/>
      <c r="O188" s="442">
        <v>-2.0</v>
      </c>
      <c r="P188" s="9"/>
      <c r="Q188" s="9">
        <v>-3.0</v>
      </c>
      <c r="R188" s="443"/>
      <c r="S188" s="9"/>
      <c r="T188" s="442">
        <v>3.0</v>
      </c>
      <c r="U188" s="9"/>
      <c r="V188" s="9">
        <v>4.0</v>
      </c>
      <c r="W188" s="443"/>
      <c r="X188" s="9"/>
      <c r="Y188" s="9"/>
      <c r="Z188" s="9"/>
      <c r="AA188" s="9"/>
    </row>
    <row r="189" ht="15.75" customHeight="1">
      <c r="A189" s="453" t="s">
        <v>1738</v>
      </c>
      <c r="B189" s="453" t="s">
        <v>2354</v>
      </c>
      <c r="C189" s="454" t="s">
        <v>2364</v>
      </c>
      <c r="D189" s="454">
        <v>2.0</v>
      </c>
      <c r="E189" s="454"/>
      <c r="F189" s="456" t="s">
        <v>2365</v>
      </c>
      <c r="G189" s="444" t="s">
        <v>2357</v>
      </c>
      <c r="H189" s="441">
        <f t="shared" si="1"/>
        <v>1.5</v>
      </c>
      <c r="I189" s="9"/>
      <c r="J189" s="442">
        <v>4.0</v>
      </c>
      <c r="K189" s="9"/>
      <c r="L189" s="9">
        <v>4.0</v>
      </c>
      <c r="M189" s="443"/>
      <c r="N189" s="9"/>
      <c r="O189" s="442">
        <v>-3.0</v>
      </c>
      <c r="P189" s="9"/>
      <c r="Q189" s="9">
        <v>-3.0</v>
      </c>
      <c r="R189" s="443"/>
      <c r="S189" s="9"/>
      <c r="T189" s="442">
        <v>2.0</v>
      </c>
      <c r="U189" s="9"/>
      <c r="V189" s="9">
        <v>3.0</v>
      </c>
      <c r="W189" s="443"/>
      <c r="X189" s="9"/>
      <c r="Y189" s="9"/>
      <c r="Z189" s="9"/>
      <c r="AA189" s="9"/>
    </row>
    <row r="190" ht="15.75" customHeight="1">
      <c r="A190" s="453" t="s">
        <v>1738</v>
      </c>
      <c r="B190" s="453" t="s">
        <v>2354</v>
      </c>
      <c r="C190" s="454" t="s">
        <v>2366</v>
      </c>
      <c r="D190" s="454">
        <v>2.0</v>
      </c>
      <c r="E190" s="454"/>
      <c r="F190" s="456" t="s">
        <v>2367</v>
      </c>
      <c r="G190" s="444" t="s">
        <v>2357</v>
      </c>
      <c r="H190" s="441">
        <f t="shared" si="1"/>
        <v>1.5</v>
      </c>
      <c r="I190" s="9"/>
      <c r="J190" s="442">
        <v>3.0</v>
      </c>
      <c r="K190" s="9"/>
      <c r="L190" s="9">
        <v>3.0</v>
      </c>
      <c r="M190" s="443"/>
      <c r="N190" s="9"/>
      <c r="O190" s="442">
        <v>-3.0</v>
      </c>
      <c r="P190" s="9"/>
      <c r="Q190" s="9">
        <v>-3.0</v>
      </c>
      <c r="R190" s="443"/>
      <c r="S190" s="9"/>
      <c r="T190" s="442">
        <v>3.0</v>
      </c>
      <c r="U190" s="9"/>
      <c r="V190" s="9">
        <v>4.0</v>
      </c>
      <c r="W190" s="443"/>
      <c r="X190" s="9"/>
      <c r="Y190" s="9"/>
      <c r="Z190" s="9"/>
      <c r="AA190" s="9"/>
    </row>
    <row r="191" ht="15.75" customHeight="1">
      <c r="A191" s="453" t="s">
        <v>1738</v>
      </c>
      <c r="B191" s="453" t="s">
        <v>2354</v>
      </c>
      <c r="C191" s="454" t="s">
        <v>2368</v>
      </c>
      <c r="D191" s="454">
        <v>2.0</v>
      </c>
      <c r="E191" s="454"/>
      <c r="F191" s="456" t="s">
        <v>2369</v>
      </c>
      <c r="G191" s="444" t="s">
        <v>2357</v>
      </c>
      <c r="H191" s="441">
        <f t="shared" si="1"/>
        <v>1.5</v>
      </c>
      <c r="I191" s="9"/>
      <c r="J191" s="442">
        <v>3.0</v>
      </c>
      <c r="K191" s="9"/>
      <c r="L191" s="9">
        <v>4.0</v>
      </c>
      <c r="M191" s="443"/>
      <c r="N191" s="9"/>
      <c r="O191" s="442">
        <v>-3.0</v>
      </c>
      <c r="P191" s="9"/>
      <c r="Q191" s="9">
        <v>-3.0</v>
      </c>
      <c r="R191" s="443"/>
      <c r="S191" s="9"/>
      <c r="T191" s="442">
        <v>3.0</v>
      </c>
      <c r="U191" s="9"/>
      <c r="V191" s="9">
        <v>3.0</v>
      </c>
      <c r="W191" s="443"/>
      <c r="X191" s="9"/>
      <c r="Y191" s="9"/>
      <c r="Z191" s="9"/>
      <c r="AA191" s="9"/>
    </row>
    <row r="192" ht="15.75" customHeight="1">
      <c r="A192" s="453" t="s">
        <v>1738</v>
      </c>
      <c r="B192" s="453" t="s">
        <v>2354</v>
      </c>
      <c r="C192" s="454" t="s">
        <v>2370</v>
      </c>
      <c r="D192" s="454">
        <v>3.0</v>
      </c>
      <c r="E192" s="454"/>
      <c r="F192" s="456" t="s">
        <v>2371</v>
      </c>
      <c r="G192" s="444" t="s">
        <v>2357</v>
      </c>
      <c r="H192" s="441">
        <f t="shared" si="1"/>
        <v>1</v>
      </c>
      <c r="I192" s="9"/>
      <c r="J192" s="442">
        <v>3.0</v>
      </c>
      <c r="K192" s="9"/>
      <c r="L192" s="9">
        <v>4.0</v>
      </c>
      <c r="M192" s="443"/>
      <c r="N192" s="9"/>
      <c r="O192" s="442">
        <v>-3.0</v>
      </c>
      <c r="P192" s="9"/>
      <c r="Q192" s="9">
        <v>-3.0</v>
      </c>
      <c r="R192" s="443"/>
      <c r="S192" s="9"/>
      <c r="T192" s="442">
        <v>4.0</v>
      </c>
      <c r="U192" s="9"/>
      <c r="V192" s="9">
        <v>3.0</v>
      </c>
      <c r="W192" s="443"/>
      <c r="X192" s="9"/>
      <c r="Y192" s="9"/>
      <c r="Z192" s="9"/>
      <c r="AA192" s="9"/>
    </row>
    <row r="193" ht="15.75" customHeight="1">
      <c r="A193" s="453" t="s">
        <v>1738</v>
      </c>
      <c r="B193" s="453" t="s">
        <v>2354</v>
      </c>
      <c r="C193" s="454" t="s">
        <v>2372</v>
      </c>
      <c r="D193" s="454">
        <v>3.0</v>
      </c>
      <c r="E193" s="454">
        <v>1.0</v>
      </c>
      <c r="F193" s="456" t="s">
        <v>2373</v>
      </c>
      <c r="G193" s="444" t="s">
        <v>2357</v>
      </c>
      <c r="H193" s="441">
        <f t="shared" si="1"/>
        <v>2</v>
      </c>
      <c r="I193" s="9"/>
      <c r="J193" s="442">
        <v>4.0</v>
      </c>
      <c r="K193" s="9"/>
      <c r="L193" s="9">
        <v>4.0</v>
      </c>
      <c r="M193" s="443"/>
      <c r="N193" s="9"/>
      <c r="O193" s="442">
        <v>-2.0</v>
      </c>
      <c r="P193" s="9"/>
      <c r="Q193" s="9">
        <v>-3.0</v>
      </c>
      <c r="R193" s="443"/>
      <c r="S193" s="9"/>
      <c r="T193" s="442">
        <v>5.0</v>
      </c>
      <c r="U193" s="9"/>
      <c r="V193" s="9">
        <v>4.0</v>
      </c>
      <c r="W193" s="443"/>
      <c r="X193" s="9"/>
      <c r="Y193" s="9"/>
      <c r="Z193" s="9"/>
      <c r="AA193" s="9"/>
    </row>
    <row r="194" ht="15.75" customHeight="1">
      <c r="A194" s="453" t="s">
        <v>1738</v>
      </c>
      <c r="B194" s="453" t="s">
        <v>2374</v>
      </c>
      <c r="C194" s="454" t="s">
        <v>2375</v>
      </c>
      <c r="D194" s="454">
        <v>0.0</v>
      </c>
      <c r="E194" s="454"/>
      <c r="F194" s="456" t="s">
        <v>2376</v>
      </c>
      <c r="G194" s="444" t="s">
        <v>2377</v>
      </c>
      <c r="H194" s="441">
        <f t="shared" si="1"/>
        <v>0</v>
      </c>
      <c r="I194" s="9"/>
      <c r="J194" s="442"/>
      <c r="K194" s="9"/>
      <c r="L194" s="9">
        <v>0.0</v>
      </c>
      <c r="M194" s="443"/>
      <c r="N194" s="9"/>
      <c r="O194" s="442"/>
      <c r="P194" s="9"/>
      <c r="Q194" s="9">
        <v>0.0</v>
      </c>
      <c r="R194" s="443"/>
      <c r="S194" s="9"/>
      <c r="T194" s="442"/>
      <c r="U194" s="9"/>
      <c r="V194" s="9">
        <v>0.0</v>
      </c>
      <c r="W194" s="443"/>
      <c r="X194" s="9"/>
      <c r="Y194" s="9"/>
      <c r="Z194" s="9"/>
      <c r="AA194" s="9"/>
    </row>
    <row r="195" ht="15.75" customHeight="1">
      <c r="A195" s="453" t="s">
        <v>1738</v>
      </c>
      <c r="B195" s="453" t="s">
        <v>2374</v>
      </c>
      <c r="C195" s="454" t="s">
        <v>2378</v>
      </c>
      <c r="D195" s="454">
        <v>1.0</v>
      </c>
      <c r="E195" s="454">
        <v>1.0</v>
      </c>
      <c r="F195" s="456" t="s">
        <v>2379</v>
      </c>
      <c r="G195" s="444" t="s">
        <v>2377</v>
      </c>
      <c r="H195" s="441">
        <f t="shared" si="1"/>
        <v>0</v>
      </c>
      <c r="I195" s="9"/>
      <c r="J195" s="442">
        <v>2.0</v>
      </c>
      <c r="K195" s="9"/>
      <c r="L195" s="9">
        <v>2.0</v>
      </c>
      <c r="M195" s="443"/>
      <c r="N195" s="9"/>
      <c r="O195" s="442">
        <v>-3.0</v>
      </c>
      <c r="P195" s="9"/>
      <c r="Q195" s="9">
        <v>-3.0</v>
      </c>
      <c r="R195" s="443"/>
      <c r="S195" s="9"/>
      <c r="T195" s="442">
        <v>3.0</v>
      </c>
      <c r="U195" s="9"/>
      <c r="V195" s="9">
        <v>3.0</v>
      </c>
      <c r="W195" s="443"/>
      <c r="X195" s="9"/>
      <c r="Y195" s="9"/>
      <c r="Z195" s="9"/>
      <c r="AA195" s="9"/>
    </row>
    <row r="196" ht="15.75" customHeight="1">
      <c r="A196" s="453" t="s">
        <v>1738</v>
      </c>
      <c r="B196" s="453" t="s">
        <v>2374</v>
      </c>
      <c r="C196" s="454" t="s">
        <v>2380</v>
      </c>
      <c r="D196" s="454">
        <v>2.0</v>
      </c>
      <c r="E196" s="454">
        <v>1.0</v>
      </c>
      <c r="F196" s="456" t="s">
        <v>2381</v>
      </c>
      <c r="G196" s="444" t="s">
        <v>2377</v>
      </c>
      <c r="H196" s="441">
        <f t="shared" si="1"/>
        <v>1.5</v>
      </c>
      <c r="I196" s="9"/>
      <c r="J196" s="442">
        <v>4.0</v>
      </c>
      <c r="K196" s="9"/>
      <c r="L196" s="9">
        <v>4.0</v>
      </c>
      <c r="M196" s="443"/>
      <c r="N196" s="9"/>
      <c r="O196" s="442">
        <v>-4.0</v>
      </c>
      <c r="P196" s="9"/>
      <c r="Q196" s="9">
        <v>-3.0</v>
      </c>
      <c r="R196" s="443"/>
      <c r="S196" s="9"/>
      <c r="T196" s="442">
        <v>5.0</v>
      </c>
      <c r="U196" s="9"/>
      <c r="V196" s="9">
        <v>3.0</v>
      </c>
      <c r="W196" s="443"/>
      <c r="X196" s="9"/>
      <c r="Y196" s="9"/>
      <c r="Z196" s="9"/>
      <c r="AA196" s="9"/>
    </row>
    <row r="197" ht="15.75" customHeight="1">
      <c r="A197" s="453" t="s">
        <v>1738</v>
      </c>
      <c r="B197" s="453" t="s">
        <v>2374</v>
      </c>
      <c r="C197" s="454" t="s">
        <v>2382</v>
      </c>
      <c r="D197" s="454">
        <v>3.0</v>
      </c>
      <c r="E197" s="454"/>
      <c r="F197" s="456" t="s">
        <v>2383</v>
      </c>
      <c r="G197" s="444" t="s">
        <v>2377</v>
      </c>
      <c r="H197" s="441">
        <f t="shared" si="1"/>
        <v>5</v>
      </c>
      <c r="I197" s="9"/>
      <c r="J197" s="442">
        <v>4.0</v>
      </c>
      <c r="K197" s="9"/>
      <c r="L197" s="9">
        <v>4.0</v>
      </c>
      <c r="M197" s="443"/>
      <c r="N197" s="9"/>
      <c r="O197" s="442">
        <v>-1.0</v>
      </c>
      <c r="P197" s="9"/>
      <c r="Q197" s="9">
        <v>-1.0</v>
      </c>
      <c r="R197" s="443"/>
      <c r="S197" s="9"/>
      <c r="T197" s="442">
        <v>5.0</v>
      </c>
      <c r="U197" s="9"/>
      <c r="V197" s="9">
        <v>5.0</v>
      </c>
      <c r="W197" s="443"/>
      <c r="X197" s="9"/>
      <c r="Y197" s="9"/>
      <c r="Z197" s="9"/>
      <c r="AA197" s="9"/>
    </row>
    <row r="198" ht="15.75" customHeight="1">
      <c r="A198" s="453" t="s">
        <v>1738</v>
      </c>
      <c r="B198" s="453" t="s">
        <v>2384</v>
      </c>
      <c r="C198" s="454" t="s">
        <v>2385</v>
      </c>
      <c r="D198" s="454"/>
      <c r="E198" s="454"/>
      <c r="F198" s="456" t="s">
        <v>2386</v>
      </c>
      <c r="G198" s="444" t="s">
        <v>2387</v>
      </c>
      <c r="H198" s="441">
        <f t="shared" si="1"/>
        <v>0</v>
      </c>
      <c r="I198" s="9"/>
      <c r="J198" s="442"/>
      <c r="K198" s="9"/>
      <c r="L198" s="9">
        <v>0.0</v>
      </c>
      <c r="M198" s="443"/>
      <c r="N198" s="9"/>
      <c r="O198" s="442"/>
      <c r="P198" s="9"/>
      <c r="Q198" s="9">
        <v>0.0</v>
      </c>
      <c r="R198" s="443"/>
      <c r="S198" s="9"/>
      <c r="T198" s="442"/>
      <c r="U198" s="9"/>
      <c r="V198" s="9">
        <v>0.0</v>
      </c>
      <c r="W198" s="443"/>
      <c r="X198" s="9"/>
      <c r="Y198" s="9"/>
      <c r="Z198" s="9"/>
      <c r="AA198" s="9"/>
    </row>
    <row r="199" ht="15.75" customHeight="1">
      <c r="A199" s="453" t="s">
        <v>1738</v>
      </c>
      <c r="B199" s="453" t="s">
        <v>2384</v>
      </c>
      <c r="C199" s="454" t="s">
        <v>2388</v>
      </c>
      <c r="D199" s="454">
        <v>1.0</v>
      </c>
      <c r="E199" s="454"/>
      <c r="F199" s="456" t="s">
        <v>2389</v>
      </c>
      <c r="G199" s="444" t="s">
        <v>2387</v>
      </c>
      <c r="H199" s="441">
        <f t="shared" si="1"/>
        <v>2.5</v>
      </c>
      <c r="I199" s="9"/>
      <c r="J199" s="442">
        <v>2.0</v>
      </c>
      <c r="K199" s="9"/>
      <c r="L199" s="9">
        <v>2.0</v>
      </c>
      <c r="M199" s="443"/>
      <c r="N199" s="9"/>
      <c r="O199" s="442">
        <v>-1.0</v>
      </c>
      <c r="P199" s="9"/>
      <c r="Q199" s="9">
        <v>-1.0</v>
      </c>
      <c r="R199" s="443"/>
      <c r="S199" s="9"/>
      <c r="T199" s="442">
        <v>3.0</v>
      </c>
      <c r="U199" s="9"/>
      <c r="V199" s="9">
        <v>2.0</v>
      </c>
      <c r="W199" s="443"/>
      <c r="X199" s="9"/>
      <c r="Y199" s="9"/>
      <c r="Z199" s="9"/>
      <c r="AA199" s="9"/>
    </row>
    <row r="200" ht="15.75" customHeight="1">
      <c r="A200" s="453" t="s">
        <v>1738</v>
      </c>
      <c r="B200" s="453" t="s">
        <v>2384</v>
      </c>
      <c r="C200" s="454" t="s">
        <v>2390</v>
      </c>
      <c r="D200" s="454">
        <v>2.0</v>
      </c>
      <c r="E200" s="454">
        <v>1.0</v>
      </c>
      <c r="F200" s="456" t="s">
        <v>2391</v>
      </c>
      <c r="G200" s="444" t="s">
        <v>2387</v>
      </c>
      <c r="H200" s="441">
        <f t="shared" si="1"/>
        <v>0</v>
      </c>
      <c r="I200" s="9"/>
      <c r="J200" s="442">
        <v>2.0</v>
      </c>
      <c r="K200" s="9"/>
      <c r="L200" s="9">
        <v>3.0</v>
      </c>
      <c r="M200" s="443"/>
      <c r="N200" s="9"/>
      <c r="O200" s="442">
        <v>-1.0</v>
      </c>
      <c r="P200" s="9"/>
      <c r="Q200" s="9">
        <v>-3.0</v>
      </c>
      <c r="R200" s="443"/>
      <c r="S200" s="9"/>
      <c r="T200" s="442">
        <v>2.0</v>
      </c>
      <c r="U200" s="9"/>
      <c r="V200" s="9">
        <v>3.0</v>
      </c>
      <c r="W200" s="443"/>
      <c r="X200" s="9"/>
      <c r="Y200" s="9"/>
      <c r="Z200" s="9"/>
      <c r="AA200" s="9"/>
    </row>
    <row r="201" ht="15.75" customHeight="1">
      <c r="A201" s="453" t="s">
        <v>1738</v>
      </c>
      <c r="B201" s="453" t="s">
        <v>2384</v>
      </c>
      <c r="C201" s="454" t="s">
        <v>2392</v>
      </c>
      <c r="D201" s="454">
        <v>3.0</v>
      </c>
      <c r="E201" s="454"/>
      <c r="F201" s="456" t="s">
        <v>2393</v>
      </c>
      <c r="G201" s="444" t="s">
        <v>2387</v>
      </c>
      <c r="H201" s="441">
        <f t="shared" si="1"/>
        <v>3.5</v>
      </c>
      <c r="I201" s="9"/>
      <c r="J201" s="442">
        <v>4.0</v>
      </c>
      <c r="K201" s="9"/>
      <c r="L201" s="9">
        <v>4.0</v>
      </c>
      <c r="M201" s="443"/>
      <c r="N201" s="9"/>
      <c r="O201" s="442">
        <v>0.0</v>
      </c>
      <c r="P201" s="9"/>
      <c r="Q201" s="9">
        <v>0.0</v>
      </c>
      <c r="R201" s="443"/>
      <c r="S201" s="9"/>
      <c r="T201" s="442">
        <v>3.0</v>
      </c>
      <c r="U201" s="9"/>
      <c r="V201" s="9">
        <v>2.0</v>
      </c>
      <c r="W201" s="443"/>
      <c r="X201" s="9"/>
      <c r="Y201" s="9"/>
      <c r="Z201" s="9"/>
      <c r="AA201" s="9"/>
    </row>
    <row r="202" ht="15.75" customHeight="1">
      <c r="A202" s="453" t="s">
        <v>1738</v>
      </c>
      <c r="B202" s="453" t="s">
        <v>2394</v>
      </c>
      <c r="C202" s="454" t="s">
        <v>2395</v>
      </c>
      <c r="D202" s="454"/>
      <c r="E202" s="454"/>
      <c r="F202" s="456" t="s">
        <v>2396</v>
      </c>
      <c r="G202" s="444" t="s">
        <v>2397</v>
      </c>
      <c r="H202" s="441">
        <f t="shared" si="1"/>
        <v>0</v>
      </c>
      <c r="I202" s="9"/>
      <c r="J202" s="442"/>
      <c r="K202" s="9"/>
      <c r="L202" s="9">
        <v>0.0</v>
      </c>
      <c r="M202" s="443"/>
      <c r="N202" s="9"/>
      <c r="O202" s="442"/>
      <c r="P202" s="9"/>
      <c r="Q202" s="9">
        <v>0.0</v>
      </c>
      <c r="R202" s="443"/>
      <c r="S202" s="9"/>
      <c r="T202" s="442"/>
      <c r="U202" s="9"/>
      <c r="V202" s="9">
        <v>0.0</v>
      </c>
      <c r="W202" s="443"/>
      <c r="X202" s="9"/>
      <c r="Y202" s="9"/>
      <c r="Z202" s="9"/>
      <c r="AA202" s="9"/>
    </row>
    <row r="203" ht="15.75" customHeight="1">
      <c r="A203" s="453" t="s">
        <v>1738</v>
      </c>
      <c r="B203" s="453" t="s">
        <v>2394</v>
      </c>
      <c r="C203" s="454" t="s">
        <v>2398</v>
      </c>
      <c r="D203" s="454">
        <v>1.0</v>
      </c>
      <c r="E203" s="454">
        <v>1.0</v>
      </c>
      <c r="F203" s="456" t="s">
        <v>2399</v>
      </c>
      <c r="G203" s="444" t="s">
        <v>2397</v>
      </c>
      <c r="H203" s="441">
        <f t="shared" si="1"/>
        <v>2.5</v>
      </c>
      <c r="I203" s="9"/>
      <c r="J203" s="442">
        <v>4.0</v>
      </c>
      <c r="K203" s="9"/>
      <c r="L203" s="9">
        <v>2.0</v>
      </c>
      <c r="M203" s="443"/>
      <c r="N203" s="9"/>
      <c r="O203" s="442">
        <v>-3.0</v>
      </c>
      <c r="P203" s="9"/>
      <c r="Q203" s="9">
        <v>-3.0</v>
      </c>
      <c r="R203" s="443"/>
      <c r="S203" s="9"/>
      <c r="T203" s="442">
        <v>4.0</v>
      </c>
      <c r="U203" s="9"/>
      <c r="V203" s="9">
        <v>5.0</v>
      </c>
      <c r="W203" s="443"/>
      <c r="X203" s="9"/>
      <c r="Y203" s="9"/>
      <c r="Z203" s="9"/>
      <c r="AA203" s="9"/>
    </row>
    <row r="204" ht="15.75" customHeight="1">
      <c r="A204" s="453" t="s">
        <v>1738</v>
      </c>
      <c r="B204" s="453" t="s">
        <v>2394</v>
      </c>
      <c r="C204" s="454" t="s">
        <v>2400</v>
      </c>
      <c r="D204" s="454">
        <v>2.0</v>
      </c>
      <c r="E204" s="454"/>
      <c r="F204" s="456" t="s">
        <v>2401</v>
      </c>
      <c r="G204" s="444" t="s">
        <v>2397</v>
      </c>
      <c r="H204" s="441">
        <f t="shared" si="1"/>
        <v>5.5</v>
      </c>
      <c r="I204" s="9"/>
      <c r="J204" s="442">
        <v>4.0</v>
      </c>
      <c r="K204" s="9"/>
      <c r="L204" s="9">
        <v>4.0</v>
      </c>
      <c r="M204" s="443"/>
      <c r="N204" s="9"/>
      <c r="O204" s="442">
        <v>-1.0</v>
      </c>
      <c r="P204" s="9"/>
      <c r="Q204" s="9">
        <v>0.0</v>
      </c>
      <c r="R204" s="443"/>
      <c r="S204" s="9"/>
      <c r="T204" s="442">
        <v>4.0</v>
      </c>
      <c r="U204" s="9"/>
      <c r="V204" s="9">
        <v>4.0</v>
      </c>
      <c r="W204" s="443"/>
      <c r="X204" s="9"/>
      <c r="Y204" s="9"/>
      <c r="Z204" s="9"/>
      <c r="AA204" s="9"/>
    </row>
    <row r="205" ht="15.75" customHeight="1">
      <c r="A205" s="453" t="s">
        <v>1738</v>
      </c>
      <c r="B205" s="453" t="s">
        <v>2394</v>
      </c>
      <c r="C205" s="454" t="s">
        <v>2402</v>
      </c>
      <c r="D205" s="454">
        <v>3.0</v>
      </c>
      <c r="E205" s="454">
        <v>1.0</v>
      </c>
      <c r="F205" s="456" t="s">
        <v>2403</v>
      </c>
      <c r="G205" s="444" t="s">
        <v>2397</v>
      </c>
      <c r="H205" s="441">
        <f t="shared" si="1"/>
        <v>1.5</v>
      </c>
      <c r="I205" s="9"/>
      <c r="J205" s="442">
        <v>4.0</v>
      </c>
      <c r="K205" s="9"/>
      <c r="L205" s="9">
        <v>4.0</v>
      </c>
      <c r="M205" s="443"/>
      <c r="N205" s="9"/>
      <c r="O205" s="442">
        <v>-2.0</v>
      </c>
      <c r="P205" s="9"/>
      <c r="Q205" s="9">
        <v>-2.0</v>
      </c>
      <c r="R205" s="443"/>
      <c r="S205" s="9"/>
      <c r="T205" s="442">
        <v>4.0</v>
      </c>
      <c r="U205" s="9"/>
      <c r="V205" s="9">
        <v>3.0</v>
      </c>
      <c r="W205" s="443"/>
      <c r="X205" s="9"/>
      <c r="Y205" s="9"/>
      <c r="Z205" s="9"/>
      <c r="AA205" s="9"/>
    </row>
    <row r="206" ht="15.75" customHeight="1">
      <c r="A206" s="458" t="s">
        <v>1721</v>
      </c>
      <c r="B206" s="458" t="s">
        <v>2404</v>
      </c>
      <c r="C206" s="459" t="s">
        <v>2405</v>
      </c>
      <c r="D206" s="459">
        <v>0.0</v>
      </c>
      <c r="E206" s="460">
        <v>1.0</v>
      </c>
      <c r="F206" s="461" t="s">
        <v>2406</v>
      </c>
      <c r="G206" s="9"/>
      <c r="H206" s="441">
        <f t="shared" si="1"/>
        <v>2</v>
      </c>
      <c r="I206" s="9"/>
      <c r="J206" s="442">
        <v>2.0</v>
      </c>
      <c r="K206" s="9"/>
      <c r="L206" s="9">
        <v>3.0</v>
      </c>
      <c r="M206" s="443">
        <v>2.0</v>
      </c>
      <c r="N206" s="9"/>
      <c r="O206" s="442">
        <v>-2.0</v>
      </c>
      <c r="P206" s="9"/>
      <c r="Q206" s="9">
        <v>-2.0</v>
      </c>
      <c r="R206" s="443">
        <v>-2.0</v>
      </c>
      <c r="S206" s="9"/>
      <c r="T206" s="442">
        <v>3.0</v>
      </c>
      <c r="U206" s="9"/>
      <c r="V206" s="9">
        <v>3.0</v>
      </c>
      <c r="W206" s="443">
        <v>2.0</v>
      </c>
      <c r="X206" s="9"/>
      <c r="Y206" s="9"/>
      <c r="Z206" s="9"/>
      <c r="AA206" s="9"/>
    </row>
    <row r="207" ht="15.75" customHeight="1">
      <c r="A207" s="458" t="s">
        <v>1721</v>
      </c>
      <c r="B207" s="458" t="s">
        <v>2404</v>
      </c>
      <c r="C207" s="459" t="s">
        <v>2407</v>
      </c>
      <c r="D207" s="459">
        <v>1.0</v>
      </c>
      <c r="E207" s="460"/>
      <c r="F207" s="461" t="s">
        <v>2408</v>
      </c>
      <c r="G207" s="9"/>
      <c r="H207" s="441">
        <f t="shared" si="1"/>
        <v>3</v>
      </c>
      <c r="I207" s="9"/>
      <c r="J207" s="442">
        <v>2.0</v>
      </c>
      <c r="K207" s="9"/>
      <c r="L207" s="9">
        <v>2.0</v>
      </c>
      <c r="M207" s="443">
        <v>2.0</v>
      </c>
      <c r="N207" s="9"/>
      <c r="O207" s="442">
        <v>-1.0</v>
      </c>
      <c r="P207" s="9"/>
      <c r="Q207" s="9">
        <v>0.0</v>
      </c>
      <c r="R207" s="443">
        <v>-1.0</v>
      </c>
      <c r="S207" s="9"/>
      <c r="T207" s="442">
        <v>2.0</v>
      </c>
      <c r="U207" s="9"/>
      <c r="V207" s="9">
        <v>3.0</v>
      </c>
      <c r="W207" s="443">
        <v>3.0</v>
      </c>
      <c r="X207" s="9"/>
      <c r="Y207" s="9"/>
      <c r="Z207" s="9"/>
      <c r="AA207" s="9"/>
    </row>
    <row r="208" ht="15.75" customHeight="1">
      <c r="A208" s="458" t="s">
        <v>1721</v>
      </c>
      <c r="B208" s="458" t="s">
        <v>2404</v>
      </c>
      <c r="C208" s="459" t="s">
        <v>2409</v>
      </c>
      <c r="D208" s="459">
        <v>1.0</v>
      </c>
      <c r="E208" s="460">
        <v>1.0</v>
      </c>
      <c r="F208" s="461" t="s">
        <v>2410</v>
      </c>
      <c r="G208" s="9"/>
      <c r="H208" s="441">
        <f t="shared" si="1"/>
        <v>0.3333333333</v>
      </c>
      <c r="I208" s="9"/>
      <c r="J208" s="442">
        <v>2.0</v>
      </c>
      <c r="K208" s="9"/>
      <c r="L208" s="9">
        <v>2.0</v>
      </c>
      <c r="M208" s="443">
        <v>2.0</v>
      </c>
      <c r="N208" s="9"/>
      <c r="O208" s="442">
        <v>-4.0</v>
      </c>
      <c r="P208" s="9"/>
      <c r="Q208" s="9">
        <v>-3.0</v>
      </c>
      <c r="R208" s="443">
        <v>-4.0</v>
      </c>
      <c r="S208" s="9"/>
      <c r="T208" s="442">
        <v>4.0</v>
      </c>
      <c r="U208" s="9"/>
      <c r="V208" s="9">
        <v>3.0</v>
      </c>
      <c r="W208" s="443">
        <v>5.0</v>
      </c>
      <c r="X208" s="9"/>
      <c r="Y208" s="9"/>
      <c r="Z208" s="9"/>
      <c r="AA208" s="9"/>
    </row>
    <row r="209" ht="15.75" customHeight="1">
      <c r="A209" s="458" t="s">
        <v>1721</v>
      </c>
      <c r="B209" s="458" t="s">
        <v>2404</v>
      </c>
      <c r="C209" s="459" t="s">
        <v>2411</v>
      </c>
      <c r="D209" s="459">
        <v>1.0</v>
      </c>
      <c r="E209" s="460"/>
      <c r="F209" s="461" t="s">
        <v>2412</v>
      </c>
      <c r="G209" s="9"/>
      <c r="H209" s="441">
        <f t="shared" si="1"/>
        <v>1.333333333</v>
      </c>
      <c r="I209" s="9"/>
      <c r="J209" s="442">
        <v>2.0</v>
      </c>
      <c r="K209" s="9"/>
      <c r="L209" s="9">
        <v>3.0</v>
      </c>
      <c r="M209" s="443">
        <v>2.0</v>
      </c>
      <c r="N209" s="9"/>
      <c r="O209" s="442">
        <v>-1.0</v>
      </c>
      <c r="P209" s="9"/>
      <c r="Q209" s="9">
        <v>-3.0</v>
      </c>
      <c r="R209" s="443">
        <v>-1.0</v>
      </c>
      <c r="S209" s="9"/>
      <c r="T209" s="442">
        <v>1.0</v>
      </c>
      <c r="U209" s="9"/>
      <c r="V209" s="9">
        <v>3.0</v>
      </c>
      <c r="W209" s="443">
        <v>1.0</v>
      </c>
      <c r="X209" s="9"/>
      <c r="Y209" s="9"/>
      <c r="Z209" s="9"/>
      <c r="AA209" s="9"/>
    </row>
    <row r="210" ht="15.75" customHeight="1">
      <c r="A210" s="458" t="s">
        <v>1721</v>
      </c>
      <c r="B210" s="458" t="s">
        <v>2404</v>
      </c>
      <c r="C210" s="459" t="s">
        <v>2413</v>
      </c>
      <c r="D210" s="459">
        <v>2.0</v>
      </c>
      <c r="E210" s="460"/>
      <c r="F210" s="461" t="s">
        <v>2414</v>
      </c>
      <c r="G210" s="9"/>
      <c r="H210" s="441">
        <f t="shared" si="1"/>
        <v>1.666666667</v>
      </c>
      <c r="I210" s="9"/>
      <c r="J210" s="442">
        <v>2.0</v>
      </c>
      <c r="K210" s="9"/>
      <c r="L210" s="9">
        <v>4.0</v>
      </c>
      <c r="M210" s="443">
        <v>2.0</v>
      </c>
      <c r="N210" s="9"/>
      <c r="O210" s="442">
        <v>-1.0</v>
      </c>
      <c r="P210" s="9"/>
      <c r="Q210" s="9">
        <v>-3.0</v>
      </c>
      <c r="R210" s="443">
        <v>-1.0</v>
      </c>
      <c r="S210" s="9"/>
      <c r="T210" s="442">
        <v>3.0</v>
      </c>
      <c r="U210" s="9"/>
      <c r="V210" s="9">
        <v>3.0</v>
      </c>
      <c r="W210" s="443">
        <v>2.0</v>
      </c>
      <c r="X210" s="9"/>
      <c r="Y210" s="9"/>
      <c r="Z210" s="9"/>
      <c r="AA210" s="9"/>
    </row>
    <row r="211" ht="15.75" customHeight="1">
      <c r="A211" s="458" t="s">
        <v>1721</v>
      </c>
      <c r="B211" s="458" t="s">
        <v>2404</v>
      </c>
      <c r="C211" s="459" t="s">
        <v>2415</v>
      </c>
      <c r="D211" s="459">
        <v>2.0</v>
      </c>
      <c r="E211" s="460"/>
      <c r="F211" s="461" t="s">
        <v>2416</v>
      </c>
      <c r="G211" s="9"/>
      <c r="H211" s="441">
        <f t="shared" si="1"/>
        <v>0.3333333333</v>
      </c>
      <c r="I211" s="9"/>
      <c r="J211" s="442">
        <v>2.0</v>
      </c>
      <c r="K211" s="9"/>
      <c r="L211" s="9">
        <v>2.0</v>
      </c>
      <c r="M211" s="443">
        <v>2.0</v>
      </c>
      <c r="N211" s="9"/>
      <c r="O211" s="442">
        <v>-3.0</v>
      </c>
      <c r="P211" s="9"/>
      <c r="Q211" s="9">
        <v>-2.0</v>
      </c>
      <c r="R211" s="443">
        <v>-3.0</v>
      </c>
      <c r="S211" s="9"/>
      <c r="T211" s="442">
        <v>4.0</v>
      </c>
      <c r="U211" s="9"/>
      <c r="V211" s="9">
        <v>2.0</v>
      </c>
      <c r="W211" s="443">
        <v>3.0</v>
      </c>
      <c r="X211" s="9"/>
      <c r="Y211" s="9"/>
      <c r="Z211" s="9"/>
      <c r="AA211" s="9"/>
    </row>
    <row r="212" ht="15.75" customHeight="1">
      <c r="A212" s="458" t="s">
        <v>1721</v>
      </c>
      <c r="B212" s="458" t="s">
        <v>2404</v>
      </c>
      <c r="C212" s="459" t="s">
        <v>2417</v>
      </c>
      <c r="D212" s="459">
        <v>2.0</v>
      </c>
      <c r="E212" s="460">
        <v>2.0</v>
      </c>
      <c r="F212" s="461" t="s">
        <v>2418</v>
      </c>
      <c r="G212" s="9"/>
      <c r="H212" s="441">
        <f t="shared" si="1"/>
        <v>1.666666667</v>
      </c>
      <c r="I212" s="9"/>
      <c r="J212" s="442">
        <v>4.0</v>
      </c>
      <c r="K212" s="9"/>
      <c r="L212" s="9">
        <v>3.0</v>
      </c>
      <c r="M212" s="443">
        <v>5.0</v>
      </c>
      <c r="N212" s="9"/>
      <c r="O212" s="442">
        <v>-3.0</v>
      </c>
      <c r="P212" s="9"/>
      <c r="Q212" s="9">
        <v>-2.0</v>
      </c>
      <c r="R212" s="443">
        <v>-3.0</v>
      </c>
      <c r="S212" s="9"/>
      <c r="T212" s="442">
        <v>4.0</v>
      </c>
      <c r="U212" s="9"/>
      <c r="V212" s="9">
        <v>4.0</v>
      </c>
      <c r="W212" s="443">
        <v>5.0</v>
      </c>
      <c r="X212" s="9"/>
      <c r="Y212" s="9"/>
      <c r="Z212" s="9"/>
      <c r="AA212" s="9"/>
    </row>
    <row r="213" ht="15.75" customHeight="1">
      <c r="A213" s="458" t="s">
        <v>1721</v>
      </c>
      <c r="B213" s="458" t="s">
        <v>2404</v>
      </c>
      <c r="C213" s="459" t="s">
        <v>2419</v>
      </c>
      <c r="D213" s="459">
        <v>3.0</v>
      </c>
      <c r="E213" s="460">
        <v>3.0</v>
      </c>
      <c r="F213" s="461" t="s">
        <v>2420</v>
      </c>
      <c r="G213" s="9"/>
      <c r="H213" s="441">
        <f t="shared" si="1"/>
        <v>1</v>
      </c>
      <c r="I213" s="9"/>
      <c r="J213" s="442">
        <v>5.0</v>
      </c>
      <c r="K213" s="9"/>
      <c r="L213" s="9">
        <v>5.0</v>
      </c>
      <c r="M213" s="443">
        <v>5.0</v>
      </c>
      <c r="N213" s="9"/>
      <c r="O213" s="442">
        <v>-3.0</v>
      </c>
      <c r="P213" s="9"/>
      <c r="Q213" s="9">
        <v>-3.0</v>
      </c>
      <c r="R213" s="443">
        <v>-3.0</v>
      </c>
      <c r="S213" s="9"/>
      <c r="T213" s="442">
        <v>5.0</v>
      </c>
      <c r="U213" s="9"/>
      <c r="V213" s="9">
        <v>5.0</v>
      </c>
      <c r="W213" s="443">
        <v>5.0</v>
      </c>
      <c r="X213" s="9"/>
      <c r="Y213" s="9"/>
      <c r="Z213" s="9"/>
      <c r="AA213" s="9"/>
    </row>
    <row r="214" ht="15.75" customHeight="1">
      <c r="A214" s="458" t="s">
        <v>1721</v>
      </c>
      <c r="B214" s="458" t="s">
        <v>2404</v>
      </c>
      <c r="C214" s="459" t="s">
        <v>2421</v>
      </c>
      <c r="D214" s="459">
        <v>3.0</v>
      </c>
      <c r="E214" s="460"/>
      <c r="F214" s="461" t="s">
        <v>2422</v>
      </c>
      <c r="G214" s="9"/>
      <c r="H214" s="441">
        <f t="shared" si="1"/>
        <v>4</v>
      </c>
      <c r="I214" s="9"/>
      <c r="J214" s="442">
        <v>3.0</v>
      </c>
      <c r="K214" s="9"/>
      <c r="L214" s="9">
        <v>5.0</v>
      </c>
      <c r="M214" s="443">
        <v>3.0</v>
      </c>
      <c r="N214" s="9"/>
      <c r="O214" s="442">
        <v>-1.0</v>
      </c>
      <c r="P214" s="9"/>
      <c r="Q214" s="9">
        <v>-3.0</v>
      </c>
      <c r="R214" s="443">
        <v>0.0</v>
      </c>
      <c r="S214" s="9"/>
      <c r="T214" s="442">
        <v>5.0</v>
      </c>
      <c r="U214" s="9"/>
      <c r="V214" s="9">
        <v>4.0</v>
      </c>
      <c r="W214" s="443">
        <v>5.0</v>
      </c>
      <c r="X214" s="9"/>
      <c r="Y214" s="9"/>
      <c r="Z214" s="9"/>
      <c r="AA214" s="9"/>
    </row>
    <row r="215" ht="15.75" customHeight="1">
      <c r="A215" s="458" t="s">
        <v>1721</v>
      </c>
      <c r="B215" s="458" t="s">
        <v>1452</v>
      </c>
      <c r="C215" s="459" t="s">
        <v>2423</v>
      </c>
      <c r="D215" s="459">
        <v>0.0</v>
      </c>
      <c r="E215" s="460">
        <v>1.0</v>
      </c>
      <c r="F215" s="462" t="s">
        <v>2424</v>
      </c>
      <c r="G215" s="9"/>
      <c r="H215" s="441">
        <f t="shared" si="1"/>
        <v>1.666666667</v>
      </c>
      <c r="I215" s="9"/>
      <c r="J215" s="442">
        <v>2.0</v>
      </c>
      <c r="K215" s="9"/>
      <c r="L215" s="9">
        <v>3.0</v>
      </c>
      <c r="M215" s="443">
        <v>2.0</v>
      </c>
      <c r="N215" s="9"/>
      <c r="O215" s="442">
        <v>-2.0</v>
      </c>
      <c r="P215" s="9"/>
      <c r="Q215" s="9">
        <v>-3.0</v>
      </c>
      <c r="R215" s="443">
        <v>-2.0</v>
      </c>
      <c r="S215" s="9"/>
      <c r="T215" s="442">
        <v>3.0</v>
      </c>
      <c r="U215" s="9"/>
      <c r="V215" s="9">
        <v>3.0</v>
      </c>
      <c r="W215" s="443">
        <v>2.0</v>
      </c>
      <c r="X215" s="9"/>
      <c r="Y215" s="9"/>
      <c r="Z215" s="9"/>
      <c r="AA215" s="9"/>
    </row>
    <row r="216" ht="15.75" customHeight="1">
      <c r="A216" s="458" t="s">
        <v>1721</v>
      </c>
      <c r="B216" s="458" t="s">
        <v>1452</v>
      </c>
      <c r="C216" s="459" t="s">
        <v>2425</v>
      </c>
      <c r="D216" s="459">
        <v>1.0</v>
      </c>
      <c r="E216" s="460">
        <v>2.0</v>
      </c>
      <c r="F216" s="461" t="s">
        <v>2426</v>
      </c>
      <c r="G216" s="9"/>
      <c r="H216" s="441">
        <f t="shared" si="1"/>
        <v>2.666666667</v>
      </c>
      <c r="I216" s="9"/>
      <c r="J216" s="442">
        <v>3.0</v>
      </c>
      <c r="K216" s="9"/>
      <c r="L216" s="9">
        <v>5.0</v>
      </c>
      <c r="M216" s="443">
        <v>3.0</v>
      </c>
      <c r="N216" s="9"/>
      <c r="O216" s="442">
        <v>-3.0</v>
      </c>
      <c r="P216" s="9"/>
      <c r="Q216" s="9">
        <v>-3.0</v>
      </c>
      <c r="R216" s="443">
        <v>-3.0</v>
      </c>
      <c r="S216" s="9"/>
      <c r="T216" s="442">
        <v>5.0</v>
      </c>
      <c r="U216" s="9"/>
      <c r="V216" s="9">
        <v>5.0</v>
      </c>
      <c r="W216" s="443">
        <v>5.0</v>
      </c>
      <c r="X216" s="9"/>
      <c r="Y216" s="9"/>
      <c r="Z216" s="9"/>
      <c r="AA216" s="9"/>
    </row>
    <row r="217" ht="15.75" customHeight="1">
      <c r="A217" s="458" t="s">
        <v>1721</v>
      </c>
      <c r="B217" s="458" t="s">
        <v>1452</v>
      </c>
      <c r="C217" s="459" t="s">
        <v>2427</v>
      </c>
      <c r="D217" s="459">
        <v>1.0</v>
      </c>
      <c r="E217" s="460">
        <v>1.0</v>
      </c>
      <c r="F217" s="461" t="s">
        <v>2428</v>
      </c>
      <c r="G217" s="9"/>
      <c r="H217" s="441">
        <f t="shared" si="1"/>
        <v>2.333333333</v>
      </c>
      <c r="I217" s="9"/>
      <c r="J217" s="442">
        <v>4.0</v>
      </c>
      <c r="K217" s="9"/>
      <c r="L217" s="9">
        <v>4.0</v>
      </c>
      <c r="M217" s="443">
        <v>4.0</v>
      </c>
      <c r="N217" s="9"/>
      <c r="O217" s="442">
        <v>-4.0</v>
      </c>
      <c r="P217" s="9"/>
      <c r="Q217" s="9">
        <v>-3.0</v>
      </c>
      <c r="R217" s="443">
        <v>-3.0</v>
      </c>
      <c r="S217" s="9"/>
      <c r="T217" s="442">
        <v>3.0</v>
      </c>
      <c r="U217" s="9"/>
      <c r="V217" s="9">
        <v>4.0</v>
      </c>
      <c r="W217" s="443">
        <v>4.0</v>
      </c>
      <c r="X217" s="9"/>
      <c r="Y217" s="9"/>
      <c r="Z217" s="9"/>
      <c r="AA217" s="9"/>
    </row>
    <row r="218" ht="15.75" customHeight="1">
      <c r="A218" s="458" t="s">
        <v>1721</v>
      </c>
      <c r="B218" s="458" t="s">
        <v>1452</v>
      </c>
      <c r="C218" s="459" t="s">
        <v>2429</v>
      </c>
      <c r="D218" s="459">
        <v>1.0</v>
      </c>
      <c r="E218" s="460">
        <v>1.0</v>
      </c>
      <c r="F218" s="461" t="s">
        <v>2430</v>
      </c>
      <c r="G218" s="9"/>
      <c r="H218" s="441">
        <f t="shared" si="1"/>
        <v>2.333333333</v>
      </c>
      <c r="I218" s="9"/>
      <c r="J218" s="442">
        <v>4.0</v>
      </c>
      <c r="K218" s="9"/>
      <c r="L218" s="9">
        <v>4.0</v>
      </c>
      <c r="M218" s="443">
        <v>4.0</v>
      </c>
      <c r="N218" s="9"/>
      <c r="O218" s="442">
        <v>-4.0</v>
      </c>
      <c r="P218" s="9"/>
      <c r="Q218" s="9">
        <v>-3.0</v>
      </c>
      <c r="R218" s="443">
        <v>-3.0</v>
      </c>
      <c r="S218" s="9"/>
      <c r="T218" s="442">
        <v>3.0</v>
      </c>
      <c r="U218" s="9"/>
      <c r="V218" s="9">
        <v>4.0</v>
      </c>
      <c r="W218" s="443">
        <v>4.0</v>
      </c>
      <c r="X218" s="9"/>
      <c r="Y218" s="9"/>
      <c r="Z218" s="9"/>
      <c r="AA218" s="9"/>
    </row>
    <row r="219" ht="15.75" customHeight="1">
      <c r="A219" s="458" t="s">
        <v>1721</v>
      </c>
      <c r="B219" s="458" t="s">
        <v>1452</v>
      </c>
      <c r="C219" s="459" t="s">
        <v>2431</v>
      </c>
      <c r="D219" s="459">
        <v>2.0</v>
      </c>
      <c r="E219" s="460">
        <v>2.0</v>
      </c>
      <c r="F219" s="461" t="s">
        <v>2432</v>
      </c>
      <c r="G219" s="9"/>
      <c r="H219" s="441">
        <f t="shared" si="1"/>
        <v>2</v>
      </c>
      <c r="I219" s="9"/>
      <c r="J219" s="442">
        <v>5.0</v>
      </c>
      <c r="K219" s="9"/>
      <c r="L219" s="9">
        <v>4.0</v>
      </c>
      <c r="M219" s="443">
        <v>5.0</v>
      </c>
      <c r="N219" s="9"/>
      <c r="O219" s="442">
        <v>-4.0</v>
      </c>
      <c r="P219" s="9"/>
      <c r="Q219" s="9">
        <v>-2.0</v>
      </c>
      <c r="R219" s="443">
        <v>-4.0</v>
      </c>
      <c r="S219" s="9"/>
      <c r="T219" s="442">
        <v>5.0</v>
      </c>
      <c r="U219" s="9"/>
      <c r="V219" s="9">
        <v>4.0</v>
      </c>
      <c r="W219" s="443">
        <v>5.0</v>
      </c>
      <c r="X219" s="9"/>
      <c r="Y219" s="9"/>
      <c r="Z219" s="9"/>
      <c r="AA219" s="9"/>
    </row>
    <row r="220" ht="15.75" customHeight="1">
      <c r="A220" s="458" t="s">
        <v>1721</v>
      </c>
      <c r="B220" s="458" t="s">
        <v>1452</v>
      </c>
      <c r="C220" s="459" t="s">
        <v>2433</v>
      </c>
      <c r="D220" s="459">
        <v>2.0</v>
      </c>
      <c r="E220" s="460">
        <v>1.0</v>
      </c>
      <c r="F220" s="461" t="s">
        <v>2434</v>
      </c>
      <c r="G220" s="9"/>
      <c r="H220" s="441">
        <f t="shared" si="1"/>
        <v>3.333333333</v>
      </c>
      <c r="I220" s="9"/>
      <c r="J220" s="442">
        <v>4.0</v>
      </c>
      <c r="K220" s="9"/>
      <c r="L220" s="9">
        <v>5.0</v>
      </c>
      <c r="M220" s="443">
        <v>5.0</v>
      </c>
      <c r="N220" s="9"/>
      <c r="O220" s="442">
        <v>-4.0</v>
      </c>
      <c r="P220" s="9"/>
      <c r="Q220" s="9">
        <v>-2.0</v>
      </c>
      <c r="R220" s="443">
        <v>-3.0</v>
      </c>
      <c r="S220" s="9"/>
      <c r="T220" s="442">
        <v>4.0</v>
      </c>
      <c r="U220" s="9"/>
      <c r="V220" s="9">
        <v>5.0</v>
      </c>
      <c r="W220" s="443">
        <v>5.0</v>
      </c>
      <c r="X220" s="9"/>
      <c r="Y220" s="9"/>
      <c r="Z220" s="9"/>
      <c r="AA220" s="9"/>
    </row>
    <row r="221" ht="15.75" customHeight="1">
      <c r="A221" s="458" t="s">
        <v>1721</v>
      </c>
      <c r="B221" s="458" t="s">
        <v>1452</v>
      </c>
      <c r="C221" s="459" t="s">
        <v>2435</v>
      </c>
      <c r="D221" s="459">
        <v>2.0</v>
      </c>
      <c r="E221" s="460"/>
      <c r="F221" s="461" t="s">
        <v>2436</v>
      </c>
      <c r="G221" s="9"/>
      <c r="H221" s="441">
        <f t="shared" si="1"/>
        <v>4.666666667</v>
      </c>
      <c r="I221" s="9"/>
      <c r="J221" s="442">
        <v>2.0</v>
      </c>
      <c r="K221" s="9"/>
      <c r="L221" s="9">
        <v>2.0</v>
      </c>
      <c r="M221" s="443">
        <v>2.0</v>
      </c>
      <c r="N221" s="9"/>
      <c r="O221" s="442">
        <v>-1.0</v>
      </c>
      <c r="P221" s="9"/>
      <c r="Q221" s="9">
        <v>0.0</v>
      </c>
      <c r="R221" s="443">
        <v>0.0</v>
      </c>
      <c r="S221" s="9"/>
      <c r="T221" s="442">
        <v>5.0</v>
      </c>
      <c r="U221" s="9"/>
      <c r="V221" s="9">
        <v>5.0</v>
      </c>
      <c r="W221" s="443">
        <v>5.0</v>
      </c>
      <c r="X221" s="9"/>
      <c r="Y221" s="9"/>
      <c r="Z221" s="9"/>
      <c r="AA221" s="9"/>
    </row>
    <row r="222" ht="15.75" customHeight="1">
      <c r="A222" s="458" t="s">
        <v>1721</v>
      </c>
      <c r="B222" s="458" t="s">
        <v>1452</v>
      </c>
      <c r="C222" s="459" t="s">
        <v>2437</v>
      </c>
      <c r="D222" s="459">
        <v>3.0</v>
      </c>
      <c r="E222" s="460">
        <v>1.0</v>
      </c>
      <c r="F222" s="461" t="s">
        <v>2438</v>
      </c>
      <c r="G222" s="9"/>
      <c r="H222" s="441">
        <f t="shared" si="1"/>
        <v>1</v>
      </c>
      <c r="I222" s="9"/>
      <c r="J222" s="442">
        <v>5.0</v>
      </c>
      <c r="K222" s="9"/>
      <c r="L222" s="9">
        <v>5.0</v>
      </c>
      <c r="M222" s="443">
        <v>5.0</v>
      </c>
      <c r="N222" s="9"/>
      <c r="O222" s="442">
        <v>-3.0</v>
      </c>
      <c r="P222" s="9"/>
      <c r="Q222" s="9">
        <v>-3.0</v>
      </c>
      <c r="R222" s="443">
        <v>-3.0</v>
      </c>
      <c r="S222" s="9"/>
      <c r="T222" s="442">
        <v>3.0</v>
      </c>
      <c r="U222" s="9"/>
      <c r="V222" s="9">
        <v>3.0</v>
      </c>
      <c r="W222" s="443">
        <v>3.0</v>
      </c>
      <c r="X222" s="9"/>
      <c r="Y222" s="9"/>
      <c r="Z222" s="9"/>
      <c r="AA222" s="9"/>
    </row>
    <row r="223" ht="15.75" customHeight="1">
      <c r="A223" s="458" t="s">
        <v>1721</v>
      </c>
      <c r="B223" s="458" t="s">
        <v>1452</v>
      </c>
      <c r="C223" s="459" t="s">
        <v>2439</v>
      </c>
      <c r="D223" s="459">
        <v>3.0</v>
      </c>
      <c r="E223" s="460"/>
      <c r="F223" s="461" t="s">
        <v>2440</v>
      </c>
      <c r="G223" s="9"/>
      <c r="H223" s="441">
        <f t="shared" si="1"/>
        <v>5</v>
      </c>
      <c r="I223" s="9"/>
      <c r="J223" s="442">
        <v>5.0</v>
      </c>
      <c r="K223" s="9"/>
      <c r="L223" s="9">
        <v>4.0</v>
      </c>
      <c r="M223" s="443">
        <v>4.0</v>
      </c>
      <c r="N223" s="9"/>
      <c r="O223" s="442">
        <v>-1.0</v>
      </c>
      <c r="P223" s="9"/>
      <c r="Q223" s="9">
        <v>0.0</v>
      </c>
      <c r="R223" s="443">
        <v>-1.0</v>
      </c>
      <c r="S223" s="9"/>
      <c r="T223" s="442">
        <v>5.0</v>
      </c>
      <c r="U223" s="9"/>
      <c r="V223" s="9">
        <v>4.0</v>
      </c>
      <c r="W223" s="443">
        <v>4.0</v>
      </c>
      <c r="X223" s="9"/>
      <c r="Y223" s="9"/>
      <c r="Z223" s="9"/>
      <c r="AA223" s="9"/>
    </row>
    <row r="224" ht="15.75" customHeight="1">
      <c r="A224" s="458" t="s">
        <v>1721</v>
      </c>
      <c r="B224" s="458" t="s">
        <v>2441</v>
      </c>
      <c r="C224" s="459" t="s">
        <v>2442</v>
      </c>
      <c r="D224" s="459">
        <v>0.0</v>
      </c>
      <c r="E224" s="459">
        <v>1.0</v>
      </c>
      <c r="F224" s="461" t="s">
        <v>2443</v>
      </c>
      <c r="G224" s="444" t="s">
        <v>2444</v>
      </c>
      <c r="H224" s="441">
        <f t="shared" si="1"/>
        <v>2</v>
      </c>
      <c r="I224" s="9"/>
      <c r="J224" s="442">
        <v>2.0</v>
      </c>
      <c r="K224" s="9"/>
      <c r="L224" s="9">
        <v>2.0</v>
      </c>
      <c r="M224" s="443">
        <v>2.0</v>
      </c>
      <c r="N224" s="9"/>
      <c r="O224" s="442">
        <v>-2.0</v>
      </c>
      <c r="P224" s="9"/>
      <c r="Q224" s="9">
        <v>-2.0</v>
      </c>
      <c r="R224" s="443">
        <v>-2.0</v>
      </c>
      <c r="S224" s="9"/>
      <c r="T224" s="442">
        <v>3.0</v>
      </c>
      <c r="U224" s="9"/>
      <c r="V224" s="9">
        <v>3.0</v>
      </c>
      <c r="W224" s="443">
        <v>3.0</v>
      </c>
      <c r="X224" s="9"/>
      <c r="Y224" s="9"/>
      <c r="Z224" s="9"/>
      <c r="AA224" s="9"/>
    </row>
    <row r="225" ht="15.75" customHeight="1">
      <c r="A225" s="458" t="s">
        <v>1721</v>
      </c>
      <c r="B225" s="458" t="s">
        <v>2441</v>
      </c>
      <c r="C225" s="459" t="s">
        <v>2445</v>
      </c>
      <c r="D225" s="459">
        <v>1.0</v>
      </c>
      <c r="E225" s="459">
        <v>2.0</v>
      </c>
      <c r="F225" s="461" t="s">
        <v>2446</v>
      </c>
      <c r="G225" s="444" t="s">
        <v>2444</v>
      </c>
      <c r="H225" s="441">
        <f t="shared" si="1"/>
        <v>3.666666667</v>
      </c>
      <c r="I225" s="9"/>
      <c r="J225" s="442">
        <v>4.0</v>
      </c>
      <c r="K225" s="9"/>
      <c r="L225" s="9">
        <v>4.0</v>
      </c>
      <c r="M225" s="443">
        <v>4.0</v>
      </c>
      <c r="N225" s="9"/>
      <c r="O225" s="442">
        <v>-1.0</v>
      </c>
      <c r="P225" s="9"/>
      <c r="Q225" s="9">
        <v>-1.0</v>
      </c>
      <c r="R225" s="443">
        <v>-1.0</v>
      </c>
      <c r="S225" s="9"/>
      <c r="T225" s="442">
        <v>3.0</v>
      </c>
      <c r="U225" s="9"/>
      <c r="V225" s="9">
        <v>3.0</v>
      </c>
      <c r="W225" s="443">
        <v>5.0</v>
      </c>
      <c r="X225" s="9"/>
      <c r="Y225" s="9"/>
      <c r="Z225" s="9"/>
      <c r="AA225" s="9"/>
    </row>
    <row r="226" ht="15.75" customHeight="1">
      <c r="A226" s="458" t="s">
        <v>1721</v>
      </c>
      <c r="B226" s="458" t="s">
        <v>2441</v>
      </c>
      <c r="C226" s="459" t="s">
        <v>2447</v>
      </c>
      <c r="D226" s="459">
        <v>1.0</v>
      </c>
      <c r="E226" s="459">
        <v>2.0</v>
      </c>
      <c r="F226" s="461" t="s">
        <v>2448</v>
      </c>
      <c r="G226" s="444" t="s">
        <v>2444</v>
      </c>
      <c r="H226" s="441">
        <f t="shared" si="1"/>
        <v>0.3333333333</v>
      </c>
      <c r="I226" s="9"/>
      <c r="J226" s="442">
        <v>4.0</v>
      </c>
      <c r="K226" s="9"/>
      <c r="L226" s="9">
        <v>4.0</v>
      </c>
      <c r="M226" s="443">
        <v>4.0</v>
      </c>
      <c r="N226" s="9"/>
      <c r="O226" s="442">
        <v>-3.0</v>
      </c>
      <c r="P226" s="9"/>
      <c r="Q226" s="9">
        <v>-3.0</v>
      </c>
      <c r="R226" s="443">
        <v>-2.0</v>
      </c>
      <c r="S226" s="9"/>
      <c r="T226" s="442">
        <v>2.0</v>
      </c>
      <c r="U226" s="9"/>
      <c r="V226" s="9">
        <v>2.0</v>
      </c>
      <c r="W226" s="443">
        <v>2.0</v>
      </c>
      <c r="X226" s="9"/>
      <c r="Y226" s="9"/>
      <c r="Z226" s="9"/>
      <c r="AA226" s="9"/>
    </row>
    <row r="227" ht="15.75" customHeight="1">
      <c r="A227" s="458" t="s">
        <v>1721</v>
      </c>
      <c r="B227" s="458" t="s">
        <v>2441</v>
      </c>
      <c r="C227" s="459" t="s">
        <v>2449</v>
      </c>
      <c r="D227" s="459">
        <v>1.0</v>
      </c>
      <c r="E227" s="459">
        <v>1.0</v>
      </c>
      <c r="F227" s="461" t="s">
        <v>2450</v>
      </c>
      <c r="G227" s="444" t="s">
        <v>2444</v>
      </c>
      <c r="H227" s="441">
        <f t="shared" si="1"/>
        <v>0</v>
      </c>
      <c r="I227" s="9"/>
      <c r="J227" s="442">
        <v>2.0</v>
      </c>
      <c r="K227" s="9"/>
      <c r="L227" s="9">
        <v>2.0</v>
      </c>
      <c r="M227" s="443">
        <v>2.0</v>
      </c>
      <c r="N227" s="9"/>
      <c r="O227" s="442">
        <v>-3.0</v>
      </c>
      <c r="P227" s="9"/>
      <c r="Q227" s="9">
        <v>-3.0</v>
      </c>
      <c r="R227" s="443">
        <v>-3.0</v>
      </c>
      <c r="S227" s="9"/>
      <c r="T227" s="442">
        <v>3.0</v>
      </c>
      <c r="U227" s="9"/>
      <c r="V227" s="9">
        <v>3.0</v>
      </c>
      <c r="W227" s="443">
        <v>3.0</v>
      </c>
      <c r="X227" s="9"/>
      <c r="Y227" s="9"/>
      <c r="Z227" s="9"/>
      <c r="AA227" s="9"/>
    </row>
    <row r="228" ht="15.75" customHeight="1">
      <c r="A228" s="458" t="s">
        <v>1721</v>
      </c>
      <c r="B228" s="458" t="s">
        <v>2441</v>
      </c>
      <c r="C228" s="459" t="s">
        <v>2451</v>
      </c>
      <c r="D228" s="459">
        <v>2.0</v>
      </c>
      <c r="E228" s="459">
        <v>1.0</v>
      </c>
      <c r="F228" s="461" t="s">
        <v>2452</v>
      </c>
      <c r="G228" s="444" t="s">
        <v>2444</v>
      </c>
      <c r="H228" s="441">
        <f t="shared" si="1"/>
        <v>-0.6666666667</v>
      </c>
      <c r="I228" s="9"/>
      <c r="J228" s="442">
        <v>2.0</v>
      </c>
      <c r="K228" s="9"/>
      <c r="L228" s="9">
        <v>2.0</v>
      </c>
      <c r="M228" s="443">
        <v>2.0</v>
      </c>
      <c r="N228" s="9"/>
      <c r="O228" s="442">
        <v>-3.0</v>
      </c>
      <c r="P228" s="9"/>
      <c r="Q228" s="9">
        <v>-3.0</v>
      </c>
      <c r="R228" s="443">
        <v>-2.0</v>
      </c>
      <c r="S228" s="9"/>
      <c r="T228" s="442">
        <v>3.0</v>
      </c>
      <c r="U228" s="9"/>
      <c r="V228" s="9">
        <v>3.0</v>
      </c>
      <c r="W228" s="443">
        <v>3.0</v>
      </c>
      <c r="X228" s="9"/>
      <c r="Y228" s="9"/>
      <c r="Z228" s="9"/>
      <c r="AA228" s="9"/>
    </row>
    <row r="229" ht="15.75" customHeight="1">
      <c r="A229" s="458" t="s">
        <v>1721</v>
      </c>
      <c r="B229" s="458" t="s">
        <v>2441</v>
      </c>
      <c r="C229" s="459" t="s">
        <v>2453</v>
      </c>
      <c r="D229" s="459">
        <v>2.0</v>
      </c>
      <c r="E229" s="459">
        <v>2.0</v>
      </c>
      <c r="F229" s="461" t="s">
        <v>2454</v>
      </c>
      <c r="G229" s="444" t="s">
        <v>2444</v>
      </c>
      <c r="H229" s="441">
        <f t="shared" si="1"/>
        <v>0</v>
      </c>
      <c r="I229" s="9"/>
      <c r="J229" s="442">
        <v>2.0</v>
      </c>
      <c r="K229" s="9"/>
      <c r="L229" s="9">
        <v>2.0</v>
      </c>
      <c r="M229" s="443">
        <v>2.0</v>
      </c>
      <c r="N229" s="9"/>
      <c r="O229" s="442">
        <v>-3.0</v>
      </c>
      <c r="P229" s="9"/>
      <c r="Q229" s="9">
        <v>-3.0</v>
      </c>
      <c r="R229" s="443">
        <v>-2.0</v>
      </c>
      <c r="S229" s="9"/>
      <c r="T229" s="442">
        <v>4.0</v>
      </c>
      <c r="U229" s="9"/>
      <c r="V229" s="9">
        <v>5.0</v>
      </c>
      <c r="W229" s="443">
        <v>5.0</v>
      </c>
      <c r="X229" s="9"/>
      <c r="Y229" s="9"/>
      <c r="Z229" s="9"/>
      <c r="AA229" s="9"/>
    </row>
    <row r="230" ht="15.75" customHeight="1">
      <c r="A230" s="458" t="s">
        <v>1721</v>
      </c>
      <c r="B230" s="458" t="s">
        <v>2441</v>
      </c>
      <c r="C230" s="459" t="s">
        <v>2455</v>
      </c>
      <c r="D230" s="459">
        <v>2.0</v>
      </c>
      <c r="E230" s="459">
        <v>2.0</v>
      </c>
      <c r="F230" s="461" t="s">
        <v>2456</v>
      </c>
      <c r="G230" s="444" t="s">
        <v>2444</v>
      </c>
      <c r="H230" s="441">
        <f t="shared" si="1"/>
        <v>0.3333333333</v>
      </c>
      <c r="I230" s="9"/>
      <c r="J230" s="442">
        <v>5.0</v>
      </c>
      <c r="K230" s="9"/>
      <c r="L230" s="9">
        <v>4.0</v>
      </c>
      <c r="M230" s="443">
        <v>2.0</v>
      </c>
      <c r="N230" s="9"/>
      <c r="O230" s="442">
        <v>-3.0</v>
      </c>
      <c r="P230" s="9"/>
      <c r="Q230" s="9">
        <v>-3.0</v>
      </c>
      <c r="R230" s="443">
        <v>-3.0</v>
      </c>
      <c r="S230" s="9"/>
      <c r="T230" s="442">
        <v>3.0</v>
      </c>
      <c r="U230" s="9"/>
      <c r="V230" s="9">
        <v>4.0</v>
      </c>
      <c r="W230" s="443">
        <v>4.0</v>
      </c>
      <c r="X230" s="9"/>
      <c r="Y230" s="9"/>
      <c r="Z230" s="9"/>
      <c r="AA230" s="9"/>
    </row>
    <row r="231" ht="15.75" customHeight="1">
      <c r="A231" s="458" t="s">
        <v>1721</v>
      </c>
      <c r="B231" s="458" t="s">
        <v>2441</v>
      </c>
      <c r="C231" s="459" t="s">
        <v>2457</v>
      </c>
      <c r="D231" s="459">
        <v>3.0</v>
      </c>
      <c r="E231" s="459"/>
      <c r="F231" s="461" t="s">
        <v>2458</v>
      </c>
      <c r="G231" s="444" t="s">
        <v>2444</v>
      </c>
      <c r="H231" s="441">
        <f t="shared" si="1"/>
        <v>2</v>
      </c>
      <c r="I231" s="9"/>
      <c r="J231" s="442">
        <v>3.0</v>
      </c>
      <c r="K231" s="9"/>
      <c r="L231" s="9">
        <v>2.0</v>
      </c>
      <c r="M231" s="443">
        <v>3.0</v>
      </c>
      <c r="N231" s="9"/>
      <c r="O231" s="442">
        <v>-1.0</v>
      </c>
      <c r="P231" s="9"/>
      <c r="Q231" s="9">
        <v>-1.0</v>
      </c>
      <c r="R231" s="443">
        <v>0.0</v>
      </c>
      <c r="S231" s="9"/>
      <c r="T231" s="442">
        <v>3.0</v>
      </c>
      <c r="U231" s="9"/>
      <c r="V231" s="9">
        <v>3.0</v>
      </c>
      <c r="W231" s="443">
        <v>3.0</v>
      </c>
      <c r="X231" s="9"/>
      <c r="Y231" s="9"/>
      <c r="Z231" s="9"/>
      <c r="AA231" s="9"/>
    </row>
    <row r="232" ht="15.75" customHeight="1">
      <c r="A232" s="458" t="s">
        <v>1721</v>
      </c>
      <c r="B232" s="458" t="s">
        <v>2441</v>
      </c>
      <c r="C232" s="459" t="s">
        <v>2459</v>
      </c>
      <c r="D232" s="459">
        <v>3.0</v>
      </c>
      <c r="E232" s="459">
        <v>3.0</v>
      </c>
      <c r="F232" s="461" t="s">
        <v>2460</v>
      </c>
      <c r="G232" s="444" t="s">
        <v>2444</v>
      </c>
      <c r="H232" s="441">
        <f t="shared" si="1"/>
        <v>-0.6666666667</v>
      </c>
      <c r="I232" s="9"/>
      <c r="J232" s="442">
        <v>4.0</v>
      </c>
      <c r="K232" s="9"/>
      <c r="L232" s="9">
        <v>3.0</v>
      </c>
      <c r="M232" s="443">
        <v>4.0</v>
      </c>
      <c r="N232" s="9"/>
      <c r="O232" s="442">
        <v>-3.0</v>
      </c>
      <c r="P232" s="9"/>
      <c r="Q232" s="9">
        <v>-3.0</v>
      </c>
      <c r="R232" s="443">
        <v>-3.0</v>
      </c>
      <c r="S232" s="9"/>
      <c r="T232" s="442">
        <v>5.0</v>
      </c>
      <c r="U232" s="9"/>
      <c r="V232" s="9">
        <v>4.0</v>
      </c>
      <c r="W232" s="443">
        <v>5.0</v>
      </c>
      <c r="X232" s="9"/>
      <c r="Y232" s="9"/>
      <c r="Z232" s="9"/>
      <c r="AA232" s="9"/>
    </row>
    <row r="233" ht="15.75" customHeight="1">
      <c r="A233" s="458" t="s">
        <v>1721</v>
      </c>
      <c r="B233" s="458" t="s">
        <v>2461</v>
      </c>
      <c r="C233" s="459" t="s">
        <v>2462</v>
      </c>
      <c r="D233" s="459">
        <v>0.0</v>
      </c>
      <c r="E233" s="459">
        <v>1.0</v>
      </c>
      <c r="F233" s="461" t="s">
        <v>2463</v>
      </c>
      <c r="G233" s="444" t="s">
        <v>2464</v>
      </c>
      <c r="H233" s="441">
        <f t="shared" si="1"/>
        <v>2</v>
      </c>
      <c r="I233" s="9"/>
      <c r="J233" s="442">
        <v>2.0</v>
      </c>
      <c r="K233" s="9"/>
      <c r="L233" s="9">
        <v>2.0</v>
      </c>
      <c r="M233" s="443">
        <v>2.0</v>
      </c>
      <c r="N233" s="9"/>
      <c r="O233" s="442">
        <v>-2.0</v>
      </c>
      <c r="P233" s="9"/>
      <c r="Q233" s="9">
        <v>-2.0</v>
      </c>
      <c r="R233" s="443">
        <v>-2.0</v>
      </c>
      <c r="S233" s="9"/>
      <c r="T233" s="442">
        <v>4.0</v>
      </c>
      <c r="U233" s="9"/>
      <c r="V233" s="9">
        <v>3.0</v>
      </c>
      <c r="W233" s="443">
        <v>2.0</v>
      </c>
      <c r="X233" s="9"/>
      <c r="Y233" s="9"/>
      <c r="Z233" s="9"/>
      <c r="AA233" s="9"/>
    </row>
    <row r="234" ht="15.75" customHeight="1">
      <c r="A234" s="458" t="s">
        <v>1721</v>
      </c>
      <c r="B234" s="458" t="s">
        <v>2461</v>
      </c>
      <c r="C234" s="459" t="s">
        <v>2465</v>
      </c>
      <c r="D234" s="459">
        <v>1.0</v>
      </c>
      <c r="E234" s="459">
        <v>1.0</v>
      </c>
      <c r="F234" s="461" t="s">
        <v>2466</v>
      </c>
      <c r="G234" s="444" t="s">
        <v>2464</v>
      </c>
      <c r="H234" s="441">
        <f t="shared" si="1"/>
        <v>2.666666667</v>
      </c>
      <c r="I234" s="9"/>
      <c r="J234" s="442">
        <v>4.0</v>
      </c>
      <c r="K234" s="9"/>
      <c r="L234" s="9">
        <v>4.0</v>
      </c>
      <c r="M234" s="443">
        <v>4.0</v>
      </c>
      <c r="N234" s="9"/>
      <c r="O234" s="442">
        <v>-3.0</v>
      </c>
      <c r="P234" s="9"/>
      <c r="Q234" s="9">
        <v>-3.0</v>
      </c>
      <c r="R234" s="443">
        <v>-3.0</v>
      </c>
      <c r="S234" s="9"/>
      <c r="T234" s="442">
        <v>3.0</v>
      </c>
      <c r="U234" s="9"/>
      <c r="V234" s="9">
        <v>3.0</v>
      </c>
      <c r="W234" s="443">
        <v>5.0</v>
      </c>
      <c r="X234" s="9"/>
      <c r="Y234" s="9"/>
      <c r="Z234" s="9"/>
      <c r="AA234" s="9"/>
    </row>
    <row r="235" ht="15.75" customHeight="1">
      <c r="A235" s="458" t="s">
        <v>1721</v>
      </c>
      <c r="B235" s="458" t="s">
        <v>2461</v>
      </c>
      <c r="C235" s="459" t="s">
        <v>2467</v>
      </c>
      <c r="D235" s="459">
        <v>1.0</v>
      </c>
      <c r="E235" s="459"/>
      <c r="F235" s="461" t="s">
        <v>2468</v>
      </c>
      <c r="G235" s="444" t="s">
        <v>2464</v>
      </c>
      <c r="H235" s="441">
        <f t="shared" si="1"/>
        <v>0.6666666667</v>
      </c>
      <c r="I235" s="9"/>
      <c r="J235" s="442">
        <v>2.0</v>
      </c>
      <c r="K235" s="9"/>
      <c r="L235" s="9">
        <v>2.0</v>
      </c>
      <c r="M235" s="443">
        <v>2.0</v>
      </c>
      <c r="N235" s="9"/>
      <c r="O235" s="442">
        <v>-3.0</v>
      </c>
      <c r="P235" s="9"/>
      <c r="Q235" s="9">
        <v>-3.0</v>
      </c>
      <c r="R235" s="443">
        <v>-2.0</v>
      </c>
      <c r="S235" s="9"/>
      <c r="T235" s="442">
        <v>2.0</v>
      </c>
      <c r="U235" s="9"/>
      <c r="V235" s="9">
        <v>2.0</v>
      </c>
      <c r="W235" s="443">
        <v>3.0</v>
      </c>
      <c r="X235" s="9"/>
      <c r="Y235" s="9"/>
      <c r="Z235" s="9"/>
      <c r="AA235" s="9"/>
    </row>
    <row r="236" ht="15.75" customHeight="1">
      <c r="A236" s="458" t="s">
        <v>1721</v>
      </c>
      <c r="B236" s="458" t="s">
        <v>2461</v>
      </c>
      <c r="C236" s="459" t="s">
        <v>2469</v>
      </c>
      <c r="D236" s="459">
        <v>1.0</v>
      </c>
      <c r="E236" s="459">
        <v>1.0</v>
      </c>
      <c r="F236" s="461" t="s">
        <v>2470</v>
      </c>
      <c r="G236" s="444" t="s">
        <v>2464</v>
      </c>
      <c r="H236" s="441">
        <f t="shared" si="1"/>
        <v>1.333333333</v>
      </c>
      <c r="I236" s="9"/>
      <c r="J236" s="442">
        <v>4.0</v>
      </c>
      <c r="K236" s="9"/>
      <c r="L236" s="9">
        <v>3.0</v>
      </c>
      <c r="M236" s="443">
        <v>4.0</v>
      </c>
      <c r="N236" s="9"/>
      <c r="O236" s="442">
        <v>-2.0</v>
      </c>
      <c r="P236" s="9"/>
      <c r="Q236" s="9">
        <v>-3.0</v>
      </c>
      <c r="R236" s="443">
        <v>-2.0</v>
      </c>
      <c r="S236" s="9"/>
      <c r="T236" s="442">
        <v>2.0</v>
      </c>
      <c r="U236" s="9"/>
      <c r="V236" s="9">
        <v>2.0</v>
      </c>
      <c r="W236" s="443">
        <v>2.0</v>
      </c>
      <c r="X236" s="9"/>
      <c r="Y236" s="9"/>
      <c r="Z236" s="9"/>
      <c r="AA236" s="9"/>
    </row>
    <row r="237" ht="15.75" customHeight="1">
      <c r="A237" s="458" t="s">
        <v>1721</v>
      </c>
      <c r="B237" s="458" t="s">
        <v>2461</v>
      </c>
      <c r="C237" s="459" t="s">
        <v>2471</v>
      </c>
      <c r="D237" s="459">
        <v>2.0</v>
      </c>
      <c r="E237" s="459">
        <v>2.0</v>
      </c>
      <c r="F237" s="461" t="s">
        <v>2472</v>
      </c>
      <c r="G237" s="444" t="s">
        <v>2464</v>
      </c>
      <c r="H237" s="441">
        <f t="shared" si="1"/>
        <v>3</v>
      </c>
      <c r="I237" s="9"/>
      <c r="J237" s="442">
        <v>4.0</v>
      </c>
      <c r="K237" s="9"/>
      <c r="L237" s="9">
        <v>4.0</v>
      </c>
      <c r="M237" s="443">
        <v>4.0</v>
      </c>
      <c r="N237" s="9"/>
      <c r="O237" s="442">
        <v>-2.0</v>
      </c>
      <c r="P237" s="9"/>
      <c r="Q237" s="9">
        <v>-2.0</v>
      </c>
      <c r="R237" s="443">
        <v>-2.0</v>
      </c>
      <c r="S237" s="9"/>
      <c r="T237" s="442">
        <v>5.0</v>
      </c>
      <c r="U237" s="9"/>
      <c r="V237" s="9">
        <v>5.0</v>
      </c>
      <c r="W237" s="443">
        <v>5.0</v>
      </c>
      <c r="X237" s="9"/>
      <c r="Y237" s="9"/>
      <c r="Z237" s="9"/>
      <c r="AA237" s="9"/>
    </row>
    <row r="238" ht="15.75" customHeight="1">
      <c r="A238" s="458" t="s">
        <v>1721</v>
      </c>
      <c r="B238" s="458" t="s">
        <v>2461</v>
      </c>
      <c r="C238" s="459" t="s">
        <v>2473</v>
      </c>
      <c r="D238" s="459">
        <v>2.0</v>
      </c>
      <c r="E238" s="459">
        <v>1.0</v>
      </c>
      <c r="F238" s="461" t="s">
        <v>2474</v>
      </c>
      <c r="G238" s="444" t="s">
        <v>2464</v>
      </c>
      <c r="H238" s="441">
        <f t="shared" si="1"/>
        <v>3</v>
      </c>
      <c r="I238" s="9"/>
      <c r="J238" s="442">
        <v>4.0</v>
      </c>
      <c r="K238" s="9"/>
      <c r="L238" s="9">
        <v>4.0</v>
      </c>
      <c r="M238" s="443">
        <v>4.0</v>
      </c>
      <c r="N238" s="9"/>
      <c r="O238" s="442">
        <v>-2.0</v>
      </c>
      <c r="P238" s="9"/>
      <c r="Q238" s="9">
        <v>-3.0</v>
      </c>
      <c r="R238" s="443">
        <v>-2.0</v>
      </c>
      <c r="S238" s="9"/>
      <c r="T238" s="442">
        <v>4.0</v>
      </c>
      <c r="U238" s="9"/>
      <c r="V238" s="9">
        <v>4.0</v>
      </c>
      <c r="W238" s="443">
        <v>5.0</v>
      </c>
      <c r="X238" s="9"/>
      <c r="Y238" s="9"/>
      <c r="Z238" s="9"/>
      <c r="AA238" s="9"/>
    </row>
    <row r="239" ht="15.75" customHeight="1">
      <c r="A239" s="458" t="s">
        <v>1721</v>
      </c>
      <c r="B239" s="458" t="s">
        <v>2461</v>
      </c>
      <c r="C239" s="459" t="s">
        <v>2475</v>
      </c>
      <c r="D239" s="459">
        <v>2.0</v>
      </c>
      <c r="E239" s="459">
        <v>1.0</v>
      </c>
      <c r="F239" s="462" t="s">
        <v>2476</v>
      </c>
      <c r="G239" s="444" t="s">
        <v>2464</v>
      </c>
      <c r="H239" s="441">
        <f t="shared" si="1"/>
        <v>-0.6666666667</v>
      </c>
      <c r="I239" s="9"/>
      <c r="J239" s="442">
        <v>2.0</v>
      </c>
      <c r="K239" s="9"/>
      <c r="L239" s="9">
        <v>2.0</v>
      </c>
      <c r="M239" s="443">
        <v>2.0</v>
      </c>
      <c r="N239" s="9"/>
      <c r="O239" s="442">
        <v>-2.0</v>
      </c>
      <c r="P239" s="9"/>
      <c r="Q239" s="9">
        <v>-2.0</v>
      </c>
      <c r="R239" s="443">
        <v>-2.0</v>
      </c>
      <c r="S239" s="9"/>
      <c r="T239" s="442">
        <v>3.0</v>
      </c>
      <c r="U239" s="9"/>
      <c r="V239" s="9">
        <v>2.0</v>
      </c>
      <c r="W239" s="443">
        <v>2.0</v>
      </c>
      <c r="X239" s="9"/>
      <c r="Y239" s="9"/>
      <c r="Z239" s="9"/>
      <c r="AA239" s="9"/>
    </row>
    <row r="240" ht="15.75" customHeight="1">
      <c r="A240" s="458" t="s">
        <v>1721</v>
      </c>
      <c r="B240" s="458" t="s">
        <v>2461</v>
      </c>
      <c r="C240" s="459" t="s">
        <v>2477</v>
      </c>
      <c r="D240" s="459">
        <v>3.0</v>
      </c>
      <c r="E240" s="459">
        <v>2.0</v>
      </c>
      <c r="F240" s="461" t="s">
        <v>2478</v>
      </c>
      <c r="G240" s="444" t="s">
        <v>2464</v>
      </c>
      <c r="H240" s="441">
        <f t="shared" si="1"/>
        <v>-0.3333333333</v>
      </c>
      <c r="I240" s="9"/>
      <c r="J240" s="442">
        <v>2.0</v>
      </c>
      <c r="K240" s="9"/>
      <c r="L240" s="9">
        <v>5.0</v>
      </c>
      <c r="M240" s="443">
        <v>5.0</v>
      </c>
      <c r="N240" s="9"/>
      <c r="O240" s="442">
        <v>-3.0</v>
      </c>
      <c r="P240" s="9"/>
      <c r="Q240" s="9">
        <v>-2.0</v>
      </c>
      <c r="R240" s="443">
        <v>-2.0</v>
      </c>
      <c r="S240" s="9"/>
      <c r="T240" s="442">
        <v>3.0</v>
      </c>
      <c r="U240" s="9"/>
      <c r="V240" s="9">
        <v>3.0</v>
      </c>
      <c r="W240" s="443">
        <v>3.0</v>
      </c>
      <c r="X240" s="9"/>
      <c r="Y240" s="9"/>
      <c r="Z240" s="9"/>
      <c r="AA240" s="9"/>
    </row>
    <row r="241" ht="15.75" customHeight="1">
      <c r="A241" s="458" t="s">
        <v>1721</v>
      </c>
      <c r="B241" s="458" t="s">
        <v>2461</v>
      </c>
      <c r="C241" s="459" t="s">
        <v>2479</v>
      </c>
      <c r="D241" s="459">
        <v>3.0</v>
      </c>
      <c r="E241" s="459"/>
      <c r="F241" s="461" t="s">
        <v>2480</v>
      </c>
      <c r="G241" s="444" t="s">
        <v>2464</v>
      </c>
      <c r="H241" s="441">
        <f t="shared" si="1"/>
        <v>2</v>
      </c>
      <c r="I241" s="9"/>
      <c r="J241" s="442">
        <v>2.0</v>
      </c>
      <c r="K241" s="9"/>
      <c r="L241" s="9">
        <v>2.0</v>
      </c>
      <c r="M241" s="443">
        <v>2.0</v>
      </c>
      <c r="N241" s="9"/>
      <c r="O241" s="442">
        <v>-2.0</v>
      </c>
      <c r="P241" s="9"/>
      <c r="Q241" s="9">
        <v>-2.0</v>
      </c>
      <c r="R241" s="443">
        <v>-2.0</v>
      </c>
      <c r="S241" s="9"/>
      <c r="T241" s="442">
        <v>5.0</v>
      </c>
      <c r="U241" s="9"/>
      <c r="V241" s="9">
        <v>5.0</v>
      </c>
      <c r="W241" s="443">
        <v>5.0</v>
      </c>
      <c r="X241" s="9"/>
      <c r="Y241" s="9"/>
      <c r="Z241" s="9"/>
      <c r="AA241" s="9"/>
    </row>
    <row r="242" ht="15.75" customHeight="1">
      <c r="A242" s="458" t="s">
        <v>1721</v>
      </c>
      <c r="B242" s="458" t="s">
        <v>2481</v>
      </c>
      <c r="C242" s="459" t="s">
        <v>2482</v>
      </c>
      <c r="D242" s="459">
        <v>0.0</v>
      </c>
      <c r="E242" s="459">
        <v>2.0</v>
      </c>
      <c r="F242" s="461" t="s">
        <v>2483</v>
      </c>
      <c r="G242" s="444" t="s">
        <v>2484</v>
      </c>
      <c r="H242" s="441">
        <f t="shared" si="1"/>
        <v>2</v>
      </c>
      <c r="I242" s="9"/>
      <c r="J242" s="442">
        <v>2.0</v>
      </c>
      <c r="K242" s="9"/>
      <c r="L242" s="9">
        <v>3.0</v>
      </c>
      <c r="M242" s="443">
        <v>3.0</v>
      </c>
      <c r="N242" s="9"/>
      <c r="O242" s="442">
        <v>-1.0</v>
      </c>
      <c r="P242" s="9"/>
      <c r="Q242" s="9">
        <v>-1.0</v>
      </c>
      <c r="R242" s="443">
        <v>-1.0</v>
      </c>
      <c r="S242" s="9"/>
      <c r="T242" s="442">
        <v>2.0</v>
      </c>
      <c r="U242" s="9"/>
      <c r="V242" s="9">
        <v>3.0</v>
      </c>
      <c r="W242" s="443">
        <v>2.0</v>
      </c>
      <c r="X242" s="9"/>
      <c r="Y242" s="9"/>
      <c r="Z242" s="9"/>
      <c r="AA242" s="9"/>
    </row>
    <row r="243" ht="15.75" customHeight="1">
      <c r="A243" s="458" t="s">
        <v>1721</v>
      </c>
      <c r="B243" s="458" t="s">
        <v>2481</v>
      </c>
      <c r="C243" s="459" t="s">
        <v>2485</v>
      </c>
      <c r="D243" s="459">
        <v>1.0</v>
      </c>
      <c r="E243" s="459">
        <v>2.0</v>
      </c>
      <c r="F243" s="461" t="s">
        <v>2486</v>
      </c>
      <c r="G243" s="444" t="s">
        <v>2484</v>
      </c>
      <c r="H243" s="441">
        <f t="shared" si="1"/>
        <v>2.333333333</v>
      </c>
      <c r="I243" s="9"/>
      <c r="J243" s="442">
        <v>4.0</v>
      </c>
      <c r="K243" s="9"/>
      <c r="L243" s="9">
        <v>4.0</v>
      </c>
      <c r="M243" s="443">
        <v>4.0</v>
      </c>
      <c r="N243" s="9"/>
      <c r="O243" s="442">
        <v>-1.0</v>
      </c>
      <c r="P243" s="9"/>
      <c r="Q243" s="9">
        <v>-1.0</v>
      </c>
      <c r="R243" s="443">
        <v>-1.0</v>
      </c>
      <c r="S243" s="9"/>
      <c r="T243" s="442">
        <v>2.0</v>
      </c>
      <c r="U243" s="9"/>
      <c r="V243" s="9">
        <v>3.0</v>
      </c>
      <c r="W243" s="443">
        <v>2.0</v>
      </c>
      <c r="X243" s="9"/>
      <c r="Y243" s="9"/>
      <c r="Z243" s="9"/>
      <c r="AA243" s="9"/>
    </row>
    <row r="244" ht="15.75" customHeight="1">
      <c r="A244" s="458" t="s">
        <v>1721</v>
      </c>
      <c r="B244" s="458" t="s">
        <v>2481</v>
      </c>
      <c r="C244" s="459" t="s">
        <v>2487</v>
      </c>
      <c r="D244" s="459">
        <v>1.0</v>
      </c>
      <c r="E244" s="459">
        <v>1.0</v>
      </c>
      <c r="F244" s="461" t="s">
        <v>2488</v>
      </c>
      <c r="G244" s="444" t="s">
        <v>2484</v>
      </c>
      <c r="H244" s="441">
        <f t="shared" si="1"/>
        <v>2</v>
      </c>
      <c r="I244" s="9"/>
      <c r="J244" s="442">
        <v>2.0</v>
      </c>
      <c r="K244" s="9"/>
      <c r="L244" s="9">
        <v>2.0</v>
      </c>
      <c r="M244" s="443">
        <v>3.0</v>
      </c>
      <c r="N244" s="9"/>
      <c r="O244" s="442">
        <v>-1.0</v>
      </c>
      <c r="P244" s="9"/>
      <c r="Q244" s="9">
        <v>-1.0</v>
      </c>
      <c r="R244" s="443">
        <v>-1.0</v>
      </c>
      <c r="S244" s="9"/>
      <c r="T244" s="442">
        <v>3.0</v>
      </c>
      <c r="U244" s="9"/>
      <c r="V244" s="9">
        <v>3.0</v>
      </c>
      <c r="W244" s="443">
        <v>2.0</v>
      </c>
      <c r="X244" s="9"/>
      <c r="Y244" s="9"/>
      <c r="Z244" s="9"/>
      <c r="AA244" s="9"/>
    </row>
    <row r="245" ht="15.75" customHeight="1">
      <c r="A245" s="458" t="s">
        <v>1721</v>
      </c>
      <c r="B245" s="458" t="s">
        <v>2481</v>
      </c>
      <c r="C245" s="459" t="s">
        <v>2489</v>
      </c>
      <c r="D245" s="459">
        <v>1.0</v>
      </c>
      <c r="E245" s="459"/>
      <c r="F245" s="461" t="s">
        <v>2490</v>
      </c>
      <c r="G245" s="444" t="s">
        <v>2484</v>
      </c>
      <c r="H245" s="441">
        <f t="shared" si="1"/>
        <v>3</v>
      </c>
      <c r="I245" s="9"/>
      <c r="J245" s="442">
        <v>3.0</v>
      </c>
      <c r="K245" s="9"/>
      <c r="L245" s="9">
        <v>2.0</v>
      </c>
      <c r="M245" s="443">
        <v>3.0</v>
      </c>
      <c r="N245" s="9"/>
      <c r="O245" s="442">
        <v>-1.0</v>
      </c>
      <c r="P245" s="9"/>
      <c r="Q245" s="9">
        <v>-1.0</v>
      </c>
      <c r="R245" s="443">
        <v>-1.0</v>
      </c>
      <c r="S245" s="9"/>
      <c r="T245" s="442">
        <v>2.0</v>
      </c>
      <c r="U245" s="9"/>
      <c r="V245" s="9">
        <v>3.0</v>
      </c>
      <c r="W245" s="443">
        <v>2.0</v>
      </c>
      <c r="X245" s="9"/>
      <c r="Y245" s="9"/>
      <c r="Z245" s="9"/>
      <c r="AA245" s="9"/>
    </row>
    <row r="246" ht="15.75" customHeight="1">
      <c r="A246" s="458" t="s">
        <v>1721</v>
      </c>
      <c r="B246" s="458" t="s">
        <v>2481</v>
      </c>
      <c r="C246" s="459" t="s">
        <v>2491</v>
      </c>
      <c r="D246" s="459">
        <v>2.0</v>
      </c>
      <c r="E246" s="459">
        <v>2.0</v>
      </c>
      <c r="F246" s="461" t="s">
        <v>2492</v>
      </c>
      <c r="G246" s="444" t="s">
        <v>2484</v>
      </c>
      <c r="H246" s="441">
        <f t="shared" si="1"/>
        <v>0.6666666667</v>
      </c>
      <c r="I246" s="9"/>
      <c r="J246" s="442">
        <v>2.0</v>
      </c>
      <c r="K246" s="9"/>
      <c r="L246" s="9">
        <v>2.0</v>
      </c>
      <c r="M246" s="443">
        <v>3.0</v>
      </c>
      <c r="N246" s="9"/>
      <c r="O246" s="442">
        <v>-1.0</v>
      </c>
      <c r="P246" s="9"/>
      <c r="Q246" s="9">
        <v>-1.0</v>
      </c>
      <c r="R246" s="443">
        <v>-1.0</v>
      </c>
      <c r="S246" s="9"/>
      <c r="T246" s="442">
        <v>3.0</v>
      </c>
      <c r="U246" s="9"/>
      <c r="V246" s="9">
        <v>3.0</v>
      </c>
      <c r="W246" s="443">
        <v>4.0</v>
      </c>
      <c r="X246" s="9"/>
      <c r="Y246" s="9"/>
      <c r="Z246" s="9"/>
      <c r="AA246" s="9"/>
    </row>
    <row r="247" ht="15.75" customHeight="1">
      <c r="A247" s="458" t="s">
        <v>1721</v>
      </c>
      <c r="B247" s="458" t="s">
        <v>2481</v>
      </c>
      <c r="C247" s="459" t="s">
        <v>2493</v>
      </c>
      <c r="D247" s="459">
        <v>2.0</v>
      </c>
      <c r="E247" s="459">
        <v>1.0</v>
      </c>
      <c r="F247" s="461" t="s">
        <v>2494</v>
      </c>
      <c r="G247" s="444" t="s">
        <v>2484</v>
      </c>
      <c r="H247" s="441">
        <f t="shared" si="1"/>
        <v>2</v>
      </c>
      <c r="I247" s="9"/>
      <c r="J247" s="442">
        <v>2.0</v>
      </c>
      <c r="K247" s="9"/>
      <c r="L247" s="9">
        <v>2.0</v>
      </c>
      <c r="M247" s="443">
        <v>3.0</v>
      </c>
      <c r="N247" s="9"/>
      <c r="O247" s="442">
        <v>-1.0</v>
      </c>
      <c r="P247" s="9"/>
      <c r="Q247" s="9">
        <v>-1.0</v>
      </c>
      <c r="R247" s="443">
        <v>-1.0</v>
      </c>
      <c r="S247" s="9"/>
      <c r="T247" s="442">
        <v>5.0</v>
      </c>
      <c r="U247" s="9"/>
      <c r="V247" s="9">
        <v>3.0</v>
      </c>
      <c r="W247" s="443">
        <v>3.0</v>
      </c>
      <c r="X247" s="9"/>
      <c r="Y247" s="9"/>
      <c r="Z247" s="9"/>
      <c r="AA247" s="9"/>
    </row>
    <row r="248" ht="15.75" customHeight="1">
      <c r="A248" s="458" t="s">
        <v>1721</v>
      </c>
      <c r="B248" s="458" t="s">
        <v>2481</v>
      </c>
      <c r="C248" s="459" t="s">
        <v>2495</v>
      </c>
      <c r="D248" s="459">
        <v>2.0</v>
      </c>
      <c r="E248" s="459">
        <v>1.0</v>
      </c>
      <c r="F248" s="461" t="s">
        <v>2496</v>
      </c>
      <c r="G248" s="444" t="s">
        <v>2484</v>
      </c>
      <c r="H248" s="441">
        <f t="shared" si="1"/>
        <v>1</v>
      </c>
      <c r="I248" s="9"/>
      <c r="J248" s="442">
        <v>2.0</v>
      </c>
      <c r="K248" s="9"/>
      <c r="L248" s="9">
        <v>2.0</v>
      </c>
      <c r="M248" s="443">
        <v>2.0</v>
      </c>
      <c r="N248" s="9"/>
      <c r="O248" s="442">
        <v>-2.0</v>
      </c>
      <c r="P248" s="9"/>
      <c r="Q248" s="9">
        <v>-2.0</v>
      </c>
      <c r="R248" s="443">
        <v>-1.0</v>
      </c>
      <c r="S248" s="9"/>
      <c r="T248" s="442">
        <v>4.0</v>
      </c>
      <c r="U248" s="9"/>
      <c r="V248" s="9">
        <v>4.0</v>
      </c>
      <c r="W248" s="443">
        <v>3.0</v>
      </c>
      <c r="X248" s="9"/>
      <c r="Y248" s="9"/>
      <c r="Z248" s="9"/>
      <c r="AA248" s="9"/>
    </row>
    <row r="249" ht="15.75" customHeight="1">
      <c r="A249" s="458" t="s">
        <v>1721</v>
      </c>
      <c r="B249" s="458" t="s">
        <v>2481</v>
      </c>
      <c r="C249" s="459" t="s">
        <v>2497</v>
      </c>
      <c r="D249" s="459">
        <v>3.0</v>
      </c>
      <c r="E249" s="459">
        <v>3.0</v>
      </c>
      <c r="F249" s="461" t="s">
        <v>2498</v>
      </c>
      <c r="G249" s="444" t="s">
        <v>2484</v>
      </c>
      <c r="H249" s="441">
        <f t="shared" si="1"/>
        <v>-2.333333333</v>
      </c>
      <c r="I249" s="9"/>
      <c r="J249" s="442">
        <v>2.0</v>
      </c>
      <c r="K249" s="9"/>
      <c r="L249" s="9">
        <v>2.0</v>
      </c>
      <c r="M249" s="443">
        <v>2.0</v>
      </c>
      <c r="N249" s="9"/>
      <c r="O249" s="442">
        <v>-2.0</v>
      </c>
      <c r="P249" s="9"/>
      <c r="Q249" s="9">
        <v>-3.0</v>
      </c>
      <c r="R249" s="443">
        <v>-2.0</v>
      </c>
      <c r="S249" s="9"/>
      <c r="T249" s="442">
        <v>4.0</v>
      </c>
      <c r="U249" s="9"/>
      <c r="V249" s="9">
        <v>4.0</v>
      </c>
      <c r="W249" s="443">
        <v>4.0</v>
      </c>
      <c r="X249" s="9"/>
      <c r="Y249" s="9"/>
      <c r="Z249" s="9"/>
      <c r="AA249" s="9"/>
    </row>
    <row r="250" ht="15.75" customHeight="1">
      <c r="A250" s="458" t="s">
        <v>1721</v>
      </c>
      <c r="B250" s="458" t="s">
        <v>2481</v>
      </c>
      <c r="C250" s="459" t="s">
        <v>2499</v>
      </c>
      <c r="D250" s="459">
        <v>3.0</v>
      </c>
      <c r="E250" s="459"/>
      <c r="F250" s="461" t="s">
        <v>2500</v>
      </c>
      <c r="G250" s="444" t="s">
        <v>2484</v>
      </c>
      <c r="H250" s="441">
        <f t="shared" si="1"/>
        <v>3.666666667</v>
      </c>
      <c r="I250" s="9"/>
      <c r="J250" s="442">
        <v>2.0</v>
      </c>
      <c r="K250" s="9"/>
      <c r="L250" s="9">
        <v>2.0</v>
      </c>
      <c r="M250" s="443">
        <v>2.0</v>
      </c>
      <c r="N250" s="9"/>
      <c r="O250" s="442">
        <v>0.0</v>
      </c>
      <c r="P250" s="9"/>
      <c r="Q250" s="9">
        <v>0.0</v>
      </c>
      <c r="R250" s="443">
        <v>0.0</v>
      </c>
      <c r="S250" s="9"/>
      <c r="T250" s="442">
        <v>5.0</v>
      </c>
      <c r="U250" s="9"/>
      <c r="V250" s="9">
        <v>4.0</v>
      </c>
      <c r="W250" s="443">
        <v>5.0</v>
      </c>
      <c r="X250" s="9"/>
      <c r="Y250" s="9"/>
      <c r="Z250" s="9"/>
      <c r="AA250" s="9"/>
    </row>
    <row r="251" ht="15.75" customHeight="1">
      <c r="A251" s="458" t="s">
        <v>1721</v>
      </c>
      <c r="B251" s="463" t="s">
        <v>2501</v>
      </c>
      <c r="C251" s="464" t="s">
        <v>2502</v>
      </c>
      <c r="D251" s="464">
        <v>0.0</v>
      </c>
      <c r="E251" s="464"/>
      <c r="F251" s="465" t="s">
        <v>2503</v>
      </c>
      <c r="G251" s="466" t="s">
        <v>2504</v>
      </c>
      <c r="H251" s="467">
        <f t="shared" si="1"/>
        <v>0</v>
      </c>
      <c r="I251" s="152"/>
      <c r="J251" s="442"/>
      <c r="K251" s="152"/>
      <c r="L251" s="152"/>
      <c r="M251" s="152"/>
      <c r="N251" s="152"/>
      <c r="O251" s="442"/>
      <c r="P251" s="152"/>
      <c r="Q251" s="152"/>
      <c r="R251" s="152"/>
      <c r="S251" s="152"/>
      <c r="T251" s="442"/>
      <c r="U251" s="152"/>
      <c r="V251" s="152"/>
      <c r="W251" s="152"/>
      <c r="X251" s="9"/>
      <c r="Y251" s="9"/>
      <c r="Z251" s="9"/>
      <c r="AA251" s="9"/>
    </row>
    <row r="252" ht="15.75" customHeight="1">
      <c r="A252" s="458" t="s">
        <v>1721</v>
      </c>
      <c r="B252" s="458" t="s">
        <v>2501</v>
      </c>
      <c r="C252" s="459" t="s">
        <v>2505</v>
      </c>
      <c r="D252" s="459">
        <v>1.0</v>
      </c>
      <c r="E252" s="459">
        <v>1.0</v>
      </c>
      <c r="F252" s="461" t="s">
        <v>2506</v>
      </c>
      <c r="G252" s="444" t="s">
        <v>2504</v>
      </c>
      <c r="H252" s="441">
        <f t="shared" si="1"/>
        <v>1.333333333</v>
      </c>
      <c r="I252" s="9"/>
      <c r="J252" s="442">
        <v>2.0</v>
      </c>
      <c r="K252" s="9"/>
      <c r="L252" s="9">
        <v>2.0</v>
      </c>
      <c r="M252" s="443">
        <v>2.0</v>
      </c>
      <c r="N252" s="9"/>
      <c r="O252" s="442">
        <v>-1.0</v>
      </c>
      <c r="P252" s="9"/>
      <c r="Q252" s="9">
        <v>-1.0</v>
      </c>
      <c r="R252" s="443">
        <v>-1.0</v>
      </c>
      <c r="S252" s="9"/>
      <c r="T252" s="442">
        <v>2.0</v>
      </c>
      <c r="U252" s="9"/>
      <c r="V252" s="9">
        <v>3.0</v>
      </c>
      <c r="W252" s="443">
        <v>2.0</v>
      </c>
      <c r="X252" s="9"/>
      <c r="Y252" s="9"/>
      <c r="Z252" s="9"/>
      <c r="AA252" s="9"/>
    </row>
    <row r="253" ht="15.75" customHeight="1">
      <c r="A253" s="458" t="s">
        <v>1721</v>
      </c>
      <c r="B253" s="458" t="s">
        <v>2501</v>
      </c>
      <c r="C253" s="459" t="s">
        <v>2507</v>
      </c>
      <c r="D253" s="459">
        <v>2.0</v>
      </c>
      <c r="E253" s="459"/>
      <c r="F253" s="461" t="s">
        <v>2508</v>
      </c>
      <c r="G253" s="444" t="s">
        <v>2504</v>
      </c>
      <c r="H253" s="441">
        <f t="shared" si="1"/>
        <v>1.666666667</v>
      </c>
      <c r="I253" s="9"/>
      <c r="J253" s="442">
        <v>2.0</v>
      </c>
      <c r="K253" s="9"/>
      <c r="L253" s="9">
        <v>2.0</v>
      </c>
      <c r="M253" s="443">
        <v>3.0</v>
      </c>
      <c r="N253" s="9"/>
      <c r="O253" s="442">
        <v>-2.0</v>
      </c>
      <c r="P253" s="9"/>
      <c r="Q253" s="9">
        <v>-3.0</v>
      </c>
      <c r="R253" s="443">
        <v>-2.0</v>
      </c>
      <c r="S253" s="9"/>
      <c r="T253" s="442">
        <v>4.0</v>
      </c>
      <c r="U253" s="9"/>
      <c r="V253" s="9">
        <v>3.0</v>
      </c>
      <c r="W253" s="443">
        <v>4.0</v>
      </c>
      <c r="X253" s="9"/>
      <c r="Y253" s="9"/>
      <c r="Z253" s="9"/>
      <c r="AA253" s="9"/>
    </row>
    <row r="254" ht="15.75" customHeight="1">
      <c r="A254" s="458" t="s">
        <v>1721</v>
      </c>
      <c r="B254" s="458" t="s">
        <v>2501</v>
      </c>
      <c r="C254" s="459" t="s">
        <v>2509</v>
      </c>
      <c r="D254" s="459">
        <v>3.0</v>
      </c>
      <c r="E254" s="459"/>
      <c r="F254" s="461" t="s">
        <v>2510</v>
      </c>
      <c r="G254" s="444" t="s">
        <v>2504</v>
      </c>
      <c r="H254" s="441">
        <f t="shared" si="1"/>
        <v>0</v>
      </c>
      <c r="I254" s="9"/>
      <c r="J254" s="442">
        <v>2.0</v>
      </c>
      <c r="K254" s="9"/>
      <c r="L254" s="9">
        <v>2.0</v>
      </c>
      <c r="M254" s="443">
        <v>2.0</v>
      </c>
      <c r="N254" s="9"/>
      <c r="O254" s="442">
        <v>-2.0</v>
      </c>
      <c r="P254" s="9"/>
      <c r="Q254" s="9">
        <v>-2.0</v>
      </c>
      <c r="R254" s="443">
        <v>-1.0</v>
      </c>
      <c r="S254" s="9"/>
      <c r="T254" s="442">
        <v>3.0</v>
      </c>
      <c r="U254" s="9"/>
      <c r="V254" s="9">
        <v>2.0</v>
      </c>
      <c r="W254" s="443">
        <v>3.0</v>
      </c>
      <c r="X254" s="9"/>
      <c r="Y254" s="9"/>
      <c r="Z254" s="9"/>
      <c r="AA254" s="9"/>
    </row>
    <row r="255" ht="15.75" customHeight="1">
      <c r="A255" s="458" t="s">
        <v>1721</v>
      </c>
      <c r="B255" s="458" t="s">
        <v>2511</v>
      </c>
      <c r="C255" s="459" t="s">
        <v>2512</v>
      </c>
      <c r="D255" s="459">
        <v>0.0</v>
      </c>
      <c r="E255" s="459"/>
      <c r="F255" s="461" t="s">
        <v>2513</v>
      </c>
      <c r="G255" s="444" t="s">
        <v>2514</v>
      </c>
      <c r="H255" s="441">
        <f t="shared" si="1"/>
        <v>2</v>
      </c>
      <c r="I255" s="9"/>
      <c r="J255" s="442">
        <v>2.0</v>
      </c>
      <c r="K255" s="9"/>
      <c r="L255" s="9">
        <v>2.0</v>
      </c>
      <c r="M255" s="443">
        <v>2.0</v>
      </c>
      <c r="N255" s="9"/>
      <c r="O255" s="442">
        <v>-1.0</v>
      </c>
      <c r="P255" s="9"/>
      <c r="Q255" s="9">
        <v>-1.0</v>
      </c>
      <c r="R255" s="443">
        <v>-1.0</v>
      </c>
      <c r="S255" s="9"/>
      <c r="T255" s="442">
        <v>1.0</v>
      </c>
      <c r="U255" s="9"/>
      <c r="V255" s="9">
        <v>1.0</v>
      </c>
      <c r="W255" s="443">
        <v>1.0</v>
      </c>
      <c r="X255" s="9"/>
      <c r="Y255" s="9"/>
      <c r="Z255" s="9"/>
      <c r="AA255" s="9"/>
    </row>
    <row r="256" ht="15.75" customHeight="1">
      <c r="A256" s="458" t="s">
        <v>1721</v>
      </c>
      <c r="B256" s="458" t="s">
        <v>2511</v>
      </c>
      <c r="C256" s="459" t="s">
        <v>2515</v>
      </c>
      <c r="D256" s="459">
        <v>0.0</v>
      </c>
      <c r="E256" s="459">
        <v>1.0</v>
      </c>
      <c r="F256" s="461" t="s">
        <v>2516</v>
      </c>
      <c r="G256" s="444" t="s">
        <v>2514</v>
      </c>
      <c r="H256" s="441">
        <f t="shared" si="1"/>
        <v>1.333333333</v>
      </c>
      <c r="I256" s="9"/>
      <c r="J256" s="442">
        <v>2.0</v>
      </c>
      <c r="K256" s="9"/>
      <c r="L256" s="9">
        <v>2.0</v>
      </c>
      <c r="M256" s="443">
        <v>3.0</v>
      </c>
      <c r="N256" s="9"/>
      <c r="O256" s="442">
        <v>-3.0</v>
      </c>
      <c r="P256" s="9"/>
      <c r="Q256" s="9">
        <v>-3.0</v>
      </c>
      <c r="R256" s="443">
        <v>-3.0</v>
      </c>
      <c r="S256" s="9"/>
      <c r="T256" s="442">
        <v>3.0</v>
      </c>
      <c r="U256" s="9"/>
      <c r="V256" s="9">
        <v>3.0</v>
      </c>
      <c r="W256" s="443">
        <v>3.0</v>
      </c>
      <c r="X256" s="9"/>
      <c r="Y256" s="9"/>
      <c r="Z256" s="9"/>
      <c r="AA256" s="9"/>
    </row>
    <row r="257" ht="15.75" customHeight="1">
      <c r="A257" s="458" t="s">
        <v>1721</v>
      </c>
      <c r="B257" s="458" t="s">
        <v>2511</v>
      </c>
      <c r="C257" s="459" t="s">
        <v>2517</v>
      </c>
      <c r="D257" s="459">
        <v>1.0</v>
      </c>
      <c r="E257" s="459"/>
      <c r="F257" s="461" t="s">
        <v>2518</v>
      </c>
      <c r="G257" s="444" t="s">
        <v>2514</v>
      </c>
      <c r="H257" s="441">
        <f t="shared" si="1"/>
        <v>2</v>
      </c>
      <c r="I257" s="9"/>
      <c r="J257" s="442">
        <v>2.0</v>
      </c>
      <c r="K257" s="9"/>
      <c r="L257" s="9">
        <v>2.0</v>
      </c>
      <c r="M257" s="443">
        <v>2.0</v>
      </c>
      <c r="N257" s="9"/>
      <c r="O257" s="442">
        <v>-1.0</v>
      </c>
      <c r="P257" s="9"/>
      <c r="Q257" s="9">
        <v>-1.0</v>
      </c>
      <c r="R257" s="443">
        <v>-1.0</v>
      </c>
      <c r="S257" s="9"/>
      <c r="T257" s="442">
        <v>2.0</v>
      </c>
      <c r="U257" s="9"/>
      <c r="V257" s="9">
        <v>2.0</v>
      </c>
      <c r="W257" s="443">
        <v>2.0</v>
      </c>
      <c r="X257" s="9"/>
      <c r="Y257" s="9"/>
      <c r="Z257" s="9"/>
      <c r="AA257" s="9"/>
    </row>
    <row r="258" ht="15.75" customHeight="1">
      <c r="A258" s="458" t="s">
        <v>1721</v>
      </c>
      <c r="B258" s="458" t="s">
        <v>2511</v>
      </c>
      <c r="C258" s="459" t="s">
        <v>2519</v>
      </c>
      <c r="D258" s="459">
        <v>1.0</v>
      </c>
      <c r="E258" s="459"/>
      <c r="F258" s="461" t="s">
        <v>2520</v>
      </c>
      <c r="G258" s="444" t="s">
        <v>2514</v>
      </c>
      <c r="H258" s="441">
        <f t="shared" si="1"/>
        <v>4</v>
      </c>
      <c r="I258" s="9"/>
      <c r="J258" s="442">
        <v>4.0</v>
      </c>
      <c r="K258" s="9"/>
      <c r="L258" s="9">
        <v>4.0</v>
      </c>
      <c r="M258" s="443">
        <v>4.0</v>
      </c>
      <c r="N258" s="9"/>
      <c r="O258" s="442">
        <v>-1.0</v>
      </c>
      <c r="P258" s="9"/>
      <c r="Q258" s="9">
        <v>-1.0</v>
      </c>
      <c r="R258" s="443">
        <v>-1.0</v>
      </c>
      <c r="S258" s="9"/>
      <c r="T258" s="442">
        <v>2.0</v>
      </c>
      <c r="U258" s="9"/>
      <c r="V258" s="9">
        <v>2.0</v>
      </c>
      <c r="W258" s="443">
        <v>2.0</v>
      </c>
      <c r="X258" s="9"/>
      <c r="Y258" s="9"/>
      <c r="Z258" s="9"/>
      <c r="AA258" s="9"/>
    </row>
    <row r="259" ht="15.75" customHeight="1">
      <c r="A259" s="458" t="s">
        <v>1721</v>
      </c>
      <c r="B259" s="458" t="s">
        <v>2511</v>
      </c>
      <c r="C259" s="459" t="s">
        <v>2521</v>
      </c>
      <c r="D259" s="459">
        <v>1.0</v>
      </c>
      <c r="E259" s="459">
        <v>2.0</v>
      </c>
      <c r="F259" s="461" t="s">
        <v>2522</v>
      </c>
      <c r="G259" s="444" t="s">
        <v>2514</v>
      </c>
      <c r="H259" s="441">
        <f t="shared" si="1"/>
        <v>0</v>
      </c>
      <c r="I259" s="9"/>
      <c r="J259" s="442">
        <v>4.0</v>
      </c>
      <c r="K259" s="9"/>
      <c r="L259" s="9">
        <v>2.0</v>
      </c>
      <c r="M259" s="443">
        <v>5.0</v>
      </c>
      <c r="N259" s="9"/>
      <c r="O259" s="442">
        <v>-3.0</v>
      </c>
      <c r="P259" s="9"/>
      <c r="Q259" s="9">
        <v>-3.0</v>
      </c>
      <c r="R259" s="443">
        <v>-3.0</v>
      </c>
      <c r="S259" s="9"/>
      <c r="T259" s="442">
        <v>2.0</v>
      </c>
      <c r="U259" s="9"/>
      <c r="V259" s="9">
        <v>3.0</v>
      </c>
      <c r="W259" s="443">
        <v>2.0</v>
      </c>
      <c r="X259" s="9"/>
      <c r="Y259" s="9"/>
      <c r="Z259" s="9"/>
      <c r="AA259" s="9"/>
    </row>
    <row r="260" ht="15.75" customHeight="1">
      <c r="A260" s="458" t="s">
        <v>1721</v>
      </c>
      <c r="B260" s="458" t="s">
        <v>2511</v>
      </c>
      <c r="C260" s="459" t="s">
        <v>2523</v>
      </c>
      <c r="D260" s="459">
        <v>2.0</v>
      </c>
      <c r="E260" s="459">
        <v>1.0</v>
      </c>
      <c r="F260" s="461" t="s">
        <v>2524</v>
      </c>
      <c r="G260" s="444" t="s">
        <v>2514</v>
      </c>
      <c r="H260" s="441">
        <f t="shared" si="1"/>
        <v>0.3333333333</v>
      </c>
      <c r="I260" s="9"/>
      <c r="J260" s="442">
        <v>4.0</v>
      </c>
      <c r="K260" s="9"/>
      <c r="L260" s="9">
        <v>4.0</v>
      </c>
      <c r="M260" s="443">
        <v>4.0</v>
      </c>
      <c r="N260" s="9"/>
      <c r="O260" s="442">
        <v>-3.0</v>
      </c>
      <c r="P260" s="9"/>
      <c r="Q260" s="9">
        <v>-3.0</v>
      </c>
      <c r="R260" s="443">
        <v>-3.0</v>
      </c>
      <c r="S260" s="9"/>
      <c r="T260" s="442">
        <v>2.0</v>
      </c>
      <c r="U260" s="9"/>
      <c r="V260" s="9">
        <v>2.0</v>
      </c>
      <c r="W260" s="443">
        <v>3.0</v>
      </c>
      <c r="X260" s="9"/>
      <c r="Y260" s="9"/>
      <c r="Z260" s="9"/>
      <c r="AA260" s="9"/>
    </row>
    <row r="261" ht="15.75" customHeight="1">
      <c r="A261" s="458" t="s">
        <v>1721</v>
      </c>
      <c r="B261" s="458" t="s">
        <v>2511</v>
      </c>
      <c r="C261" s="459" t="s">
        <v>2525</v>
      </c>
      <c r="D261" s="459">
        <v>2.0</v>
      </c>
      <c r="E261" s="459"/>
      <c r="F261" s="461" t="s">
        <v>2526</v>
      </c>
      <c r="G261" s="444" t="s">
        <v>2514</v>
      </c>
      <c r="H261" s="441">
        <f t="shared" si="1"/>
        <v>4</v>
      </c>
      <c r="I261" s="9"/>
      <c r="J261" s="442">
        <v>3.0</v>
      </c>
      <c r="K261" s="9"/>
      <c r="L261" s="9">
        <v>3.0</v>
      </c>
      <c r="M261" s="443">
        <v>3.0</v>
      </c>
      <c r="N261" s="9"/>
      <c r="O261" s="442">
        <v>-1.0</v>
      </c>
      <c r="P261" s="9"/>
      <c r="Q261" s="9">
        <v>-1.0</v>
      </c>
      <c r="R261" s="443">
        <v>-1.0</v>
      </c>
      <c r="S261" s="9"/>
      <c r="T261" s="442">
        <v>5.0</v>
      </c>
      <c r="U261" s="9"/>
      <c r="V261" s="9">
        <v>3.0</v>
      </c>
      <c r="W261" s="443">
        <v>4.0</v>
      </c>
      <c r="X261" s="9"/>
      <c r="Y261" s="9"/>
      <c r="Z261" s="9"/>
      <c r="AA261" s="9"/>
    </row>
    <row r="262" ht="15.75" customHeight="1">
      <c r="A262" s="458" t="s">
        <v>1721</v>
      </c>
      <c r="B262" s="458" t="s">
        <v>2511</v>
      </c>
      <c r="C262" s="459" t="s">
        <v>2527</v>
      </c>
      <c r="D262" s="459">
        <v>2.0</v>
      </c>
      <c r="E262" s="459">
        <v>1.0</v>
      </c>
      <c r="F262" s="461" t="s">
        <v>2528</v>
      </c>
      <c r="G262" s="444" t="s">
        <v>2514</v>
      </c>
      <c r="H262" s="441">
        <f t="shared" si="1"/>
        <v>2</v>
      </c>
      <c r="I262" s="9"/>
      <c r="J262" s="442">
        <v>2.0</v>
      </c>
      <c r="K262" s="9"/>
      <c r="L262" s="9">
        <v>3.0</v>
      </c>
      <c r="M262" s="443">
        <v>5.0</v>
      </c>
      <c r="N262" s="9"/>
      <c r="O262" s="442">
        <v>-2.0</v>
      </c>
      <c r="P262" s="9"/>
      <c r="Q262" s="9">
        <v>-1.0</v>
      </c>
      <c r="R262" s="443">
        <v>-2.0</v>
      </c>
      <c r="S262" s="9"/>
      <c r="T262" s="442">
        <v>3.0</v>
      </c>
      <c r="U262" s="9"/>
      <c r="V262" s="9">
        <v>3.0</v>
      </c>
      <c r="W262" s="443">
        <v>4.0</v>
      </c>
      <c r="X262" s="9"/>
      <c r="Y262" s="9"/>
      <c r="Z262" s="9"/>
      <c r="AA262" s="9"/>
    </row>
    <row r="263" ht="15.75" customHeight="1">
      <c r="A263" s="458" t="s">
        <v>1721</v>
      </c>
      <c r="B263" s="458" t="s">
        <v>2511</v>
      </c>
      <c r="C263" s="459" t="s">
        <v>2529</v>
      </c>
      <c r="D263" s="459">
        <v>3.0</v>
      </c>
      <c r="E263" s="459"/>
      <c r="F263" s="461" t="s">
        <v>2530</v>
      </c>
      <c r="G263" s="444" t="s">
        <v>2514</v>
      </c>
      <c r="H263" s="441">
        <f t="shared" si="1"/>
        <v>1</v>
      </c>
      <c r="I263" s="9"/>
      <c r="J263" s="442">
        <v>3.0</v>
      </c>
      <c r="K263" s="9"/>
      <c r="L263" s="9">
        <v>2.0</v>
      </c>
      <c r="M263" s="443">
        <v>3.0</v>
      </c>
      <c r="N263" s="9"/>
      <c r="O263" s="442">
        <v>-1.0</v>
      </c>
      <c r="P263" s="9"/>
      <c r="Q263" s="9">
        <v>-1.0</v>
      </c>
      <c r="R263" s="443">
        <v>-1.0</v>
      </c>
      <c r="S263" s="9"/>
      <c r="T263" s="442">
        <v>3.0</v>
      </c>
      <c r="U263" s="9"/>
      <c r="V263" s="9">
        <v>2.0</v>
      </c>
      <c r="W263" s="443">
        <v>2.0</v>
      </c>
      <c r="X263" s="9"/>
      <c r="Y263" s="9"/>
      <c r="Z263" s="9"/>
      <c r="AA263" s="9"/>
    </row>
    <row r="264" ht="15.75" customHeight="1">
      <c r="A264" s="458" t="s">
        <v>1721</v>
      </c>
      <c r="B264" s="458" t="s">
        <v>2511</v>
      </c>
      <c r="C264" s="459" t="s">
        <v>2531</v>
      </c>
      <c r="D264" s="459">
        <v>3.0</v>
      </c>
      <c r="E264" s="459"/>
      <c r="F264" s="461" t="s">
        <v>2532</v>
      </c>
      <c r="G264" s="444" t="s">
        <v>2514</v>
      </c>
      <c r="H264" s="441">
        <f t="shared" si="1"/>
        <v>4</v>
      </c>
      <c r="I264" s="9"/>
      <c r="J264" s="442">
        <v>5.0</v>
      </c>
      <c r="K264" s="9"/>
      <c r="L264" s="9">
        <v>2.0</v>
      </c>
      <c r="M264" s="443">
        <v>5.0</v>
      </c>
      <c r="N264" s="9"/>
      <c r="O264" s="442">
        <v>-1.0</v>
      </c>
      <c r="P264" s="9"/>
      <c r="Q264" s="9">
        <v>0.0</v>
      </c>
      <c r="R264" s="443">
        <v>0.0</v>
      </c>
      <c r="S264" s="9"/>
      <c r="T264" s="442">
        <v>3.0</v>
      </c>
      <c r="U264" s="9"/>
      <c r="V264" s="9">
        <v>4.0</v>
      </c>
      <c r="W264" s="443">
        <v>3.0</v>
      </c>
      <c r="X264" s="9"/>
      <c r="Y264" s="9"/>
      <c r="Z264" s="9"/>
      <c r="AA264" s="9"/>
    </row>
    <row r="265" ht="15.75" customHeight="1">
      <c r="A265" s="458" t="s">
        <v>1721</v>
      </c>
      <c r="B265" s="463" t="s">
        <v>2533</v>
      </c>
      <c r="C265" s="464" t="s">
        <v>2534</v>
      </c>
      <c r="D265" s="464">
        <v>0.0</v>
      </c>
      <c r="E265" s="464"/>
      <c r="F265" s="465" t="s">
        <v>2535</v>
      </c>
      <c r="G265" s="466" t="s">
        <v>2536</v>
      </c>
      <c r="H265" s="467">
        <f t="shared" si="1"/>
        <v>0</v>
      </c>
      <c r="I265" s="152"/>
      <c r="J265" s="442"/>
      <c r="K265" s="152"/>
      <c r="L265" s="152"/>
      <c r="M265" s="152"/>
      <c r="N265" s="152"/>
      <c r="O265" s="442"/>
      <c r="P265" s="152"/>
      <c r="Q265" s="152"/>
      <c r="R265" s="152"/>
      <c r="S265" s="152"/>
      <c r="T265" s="442"/>
      <c r="U265" s="152"/>
      <c r="V265" s="152"/>
      <c r="W265" s="152"/>
      <c r="X265" s="9"/>
      <c r="Y265" s="9"/>
      <c r="Z265" s="9"/>
      <c r="AA265" s="9"/>
    </row>
    <row r="266" ht="15.75" customHeight="1">
      <c r="A266" s="458" t="s">
        <v>1721</v>
      </c>
      <c r="B266" s="458" t="s">
        <v>2533</v>
      </c>
      <c r="C266" s="459" t="s">
        <v>2537</v>
      </c>
      <c r="D266" s="459">
        <v>1.0</v>
      </c>
      <c r="E266" s="459">
        <v>1.0</v>
      </c>
      <c r="F266" s="461" t="s">
        <v>2538</v>
      </c>
      <c r="G266" s="444" t="s">
        <v>2536</v>
      </c>
      <c r="H266" s="441">
        <f t="shared" si="1"/>
        <v>1</v>
      </c>
      <c r="I266" s="9"/>
      <c r="J266" s="442">
        <v>2.0</v>
      </c>
      <c r="K266" s="9"/>
      <c r="L266" s="9">
        <v>2.0</v>
      </c>
      <c r="M266" s="443">
        <v>2.0</v>
      </c>
      <c r="N266" s="9"/>
      <c r="O266" s="442">
        <v>-2.0</v>
      </c>
      <c r="P266" s="9"/>
      <c r="Q266" s="9">
        <v>-2.0</v>
      </c>
      <c r="R266" s="443">
        <v>-2.0</v>
      </c>
      <c r="S266" s="9"/>
      <c r="T266" s="442">
        <v>3.0</v>
      </c>
      <c r="U266" s="9"/>
      <c r="V266" s="9">
        <v>3.0</v>
      </c>
      <c r="W266" s="443">
        <v>3.0</v>
      </c>
      <c r="X266" s="9"/>
      <c r="Y266" s="9"/>
      <c r="Z266" s="9"/>
      <c r="AA266" s="9"/>
    </row>
    <row r="267" ht="15.75" customHeight="1">
      <c r="A267" s="458" t="s">
        <v>1721</v>
      </c>
      <c r="B267" s="458" t="s">
        <v>2533</v>
      </c>
      <c r="C267" s="459" t="s">
        <v>2539</v>
      </c>
      <c r="D267" s="459">
        <v>2.0</v>
      </c>
      <c r="E267" s="459"/>
      <c r="F267" s="461" t="s">
        <v>2540</v>
      </c>
      <c r="G267" s="444" t="s">
        <v>2536</v>
      </c>
      <c r="H267" s="441">
        <f t="shared" si="1"/>
        <v>-0.6666666667</v>
      </c>
      <c r="I267" s="9"/>
      <c r="J267" s="442">
        <v>2.0</v>
      </c>
      <c r="K267" s="9"/>
      <c r="L267" s="9">
        <v>2.0</v>
      </c>
      <c r="M267" s="443">
        <v>2.0</v>
      </c>
      <c r="N267" s="9"/>
      <c r="O267" s="442">
        <v>-2.0</v>
      </c>
      <c r="P267" s="9"/>
      <c r="Q267" s="9">
        <v>-2.0</v>
      </c>
      <c r="R267" s="443">
        <v>-2.0</v>
      </c>
      <c r="S267" s="9"/>
      <c r="T267" s="442">
        <v>1.0</v>
      </c>
      <c r="U267" s="9"/>
      <c r="V267" s="9">
        <v>2.0</v>
      </c>
      <c r="W267" s="443">
        <v>1.0</v>
      </c>
      <c r="X267" s="9"/>
      <c r="Y267" s="9"/>
      <c r="Z267" s="9"/>
      <c r="AA267" s="9"/>
    </row>
    <row r="268" ht="15.75" customHeight="1">
      <c r="A268" s="458" t="s">
        <v>1721</v>
      </c>
      <c r="B268" s="458" t="s">
        <v>2533</v>
      </c>
      <c r="C268" s="459" t="s">
        <v>2541</v>
      </c>
      <c r="D268" s="459">
        <v>3.0</v>
      </c>
      <c r="E268" s="459"/>
      <c r="F268" s="461" t="s">
        <v>2542</v>
      </c>
      <c r="G268" s="444" t="s">
        <v>2536</v>
      </c>
      <c r="H268" s="441">
        <f t="shared" si="1"/>
        <v>4.666666667</v>
      </c>
      <c r="I268" s="9"/>
      <c r="J268" s="442">
        <v>5.0</v>
      </c>
      <c r="K268" s="9"/>
      <c r="L268" s="9">
        <v>4.0</v>
      </c>
      <c r="M268" s="443">
        <v>5.0</v>
      </c>
      <c r="N268" s="9"/>
      <c r="O268" s="442">
        <v>-1.0</v>
      </c>
      <c r="P268" s="9"/>
      <c r="Q268" s="9">
        <v>-1.0</v>
      </c>
      <c r="R268" s="443">
        <v>-1.0</v>
      </c>
      <c r="S268" s="9"/>
      <c r="T268" s="442">
        <v>4.0</v>
      </c>
      <c r="U268" s="9"/>
      <c r="V268" s="9">
        <v>4.0</v>
      </c>
      <c r="W268" s="443">
        <v>4.0</v>
      </c>
      <c r="X268" s="9"/>
      <c r="Y268" s="9"/>
      <c r="Z268" s="9"/>
      <c r="AA268" s="9"/>
    </row>
    <row r="269" ht="15.75" customHeight="1">
      <c r="A269" s="458" t="s">
        <v>1721</v>
      </c>
      <c r="B269" s="463" t="s">
        <v>2543</v>
      </c>
      <c r="C269" s="464" t="s">
        <v>2544</v>
      </c>
      <c r="D269" s="464">
        <v>0.0</v>
      </c>
      <c r="E269" s="464"/>
      <c r="F269" s="465" t="s">
        <v>2545</v>
      </c>
      <c r="G269" s="466" t="s">
        <v>2546</v>
      </c>
      <c r="H269" s="467">
        <f t="shared" si="1"/>
        <v>0</v>
      </c>
      <c r="I269" s="152"/>
      <c r="J269" s="442"/>
      <c r="K269" s="152"/>
      <c r="L269" s="152"/>
      <c r="M269" s="152"/>
      <c r="N269" s="152"/>
      <c r="O269" s="442"/>
      <c r="P269" s="152"/>
      <c r="Q269" s="152"/>
      <c r="R269" s="152"/>
      <c r="S269" s="152"/>
      <c r="T269" s="442"/>
      <c r="U269" s="152"/>
      <c r="V269" s="152"/>
      <c r="W269" s="152"/>
      <c r="X269" s="9"/>
      <c r="Y269" s="9"/>
      <c r="Z269" s="9"/>
      <c r="AA269" s="9"/>
    </row>
    <row r="270" ht="15.75" customHeight="1">
      <c r="A270" s="458" t="s">
        <v>1721</v>
      </c>
      <c r="B270" s="458" t="s">
        <v>2543</v>
      </c>
      <c r="C270" s="459" t="s">
        <v>2547</v>
      </c>
      <c r="D270" s="459">
        <v>1.0</v>
      </c>
      <c r="E270" s="459">
        <v>1.0</v>
      </c>
      <c r="F270" s="461" t="s">
        <v>2548</v>
      </c>
      <c r="G270" s="444" t="s">
        <v>2546</v>
      </c>
      <c r="H270" s="441">
        <f t="shared" si="1"/>
        <v>2.333333333</v>
      </c>
      <c r="I270" s="9"/>
      <c r="J270" s="442">
        <v>5.0</v>
      </c>
      <c r="K270" s="9"/>
      <c r="L270" s="9">
        <v>2.0</v>
      </c>
      <c r="M270" s="443">
        <v>3.0</v>
      </c>
      <c r="N270" s="9"/>
      <c r="O270" s="442">
        <v>-2.0</v>
      </c>
      <c r="P270" s="9"/>
      <c r="Q270" s="9">
        <v>-3.0</v>
      </c>
      <c r="R270" s="443">
        <v>-2.0</v>
      </c>
      <c r="S270" s="9"/>
      <c r="T270" s="442">
        <v>3.0</v>
      </c>
      <c r="U270" s="9"/>
      <c r="V270" s="9">
        <v>3.0</v>
      </c>
      <c r="W270" s="443">
        <v>4.0</v>
      </c>
      <c r="X270" s="9"/>
      <c r="Y270" s="9"/>
      <c r="Z270" s="9"/>
      <c r="AA270" s="9"/>
    </row>
    <row r="271" ht="15.75" customHeight="1">
      <c r="A271" s="458" t="s">
        <v>1721</v>
      </c>
      <c r="B271" s="458" t="s">
        <v>2543</v>
      </c>
      <c r="C271" s="459" t="s">
        <v>2549</v>
      </c>
      <c r="D271" s="459">
        <v>2.0</v>
      </c>
      <c r="E271" s="459"/>
      <c r="F271" s="461" t="s">
        <v>2550</v>
      </c>
      <c r="G271" s="444" t="s">
        <v>2546</v>
      </c>
      <c r="H271" s="441">
        <f t="shared" si="1"/>
        <v>1</v>
      </c>
      <c r="I271" s="9"/>
      <c r="J271" s="442">
        <v>2.0</v>
      </c>
      <c r="K271" s="9"/>
      <c r="L271" s="9">
        <v>2.0</v>
      </c>
      <c r="M271" s="443">
        <v>2.0</v>
      </c>
      <c r="N271" s="9"/>
      <c r="O271" s="442">
        <v>-1.0</v>
      </c>
      <c r="P271" s="9"/>
      <c r="Q271" s="9">
        <v>-1.0</v>
      </c>
      <c r="R271" s="443">
        <v>-1.0</v>
      </c>
      <c r="S271" s="9"/>
      <c r="T271" s="442">
        <v>2.0</v>
      </c>
      <c r="U271" s="9"/>
      <c r="V271" s="9">
        <v>2.0</v>
      </c>
      <c r="W271" s="443">
        <v>2.0</v>
      </c>
      <c r="X271" s="9"/>
      <c r="Y271" s="9"/>
      <c r="Z271" s="9"/>
      <c r="AA271" s="9"/>
    </row>
    <row r="272" ht="15.75" customHeight="1">
      <c r="A272" s="458" t="s">
        <v>1721</v>
      </c>
      <c r="B272" s="458" t="s">
        <v>2543</v>
      </c>
      <c r="C272" s="459" t="s">
        <v>2551</v>
      </c>
      <c r="D272" s="459">
        <v>3.0</v>
      </c>
      <c r="E272" s="459">
        <v>1.0</v>
      </c>
      <c r="F272" s="461" t="s">
        <v>2552</v>
      </c>
      <c r="G272" s="444" t="s">
        <v>2546</v>
      </c>
      <c r="H272" s="441">
        <f t="shared" si="1"/>
        <v>1.666666667</v>
      </c>
      <c r="I272" s="9"/>
      <c r="J272" s="442">
        <v>5.0</v>
      </c>
      <c r="K272" s="9"/>
      <c r="L272" s="9">
        <v>2.0</v>
      </c>
      <c r="M272" s="443">
        <v>5.0</v>
      </c>
      <c r="N272" s="9"/>
      <c r="O272" s="442">
        <v>-2.0</v>
      </c>
      <c r="P272" s="9"/>
      <c r="Q272" s="9">
        <v>-3.0</v>
      </c>
      <c r="R272" s="443">
        <v>-2.0</v>
      </c>
      <c r="S272" s="9"/>
      <c r="T272" s="442">
        <v>4.0</v>
      </c>
      <c r="U272" s="9"/>
      <c r="V272" s="9">
        <v>4.0</v>
      </c>
      <c r="W272" s="443">
        <v>4.0</v>
      </c>
      <c r="X272" s="9"/>
      <c r="Y272" s="9"/>
      <c r="Z272" s="9"/>
      <c r="AA272" s="9"/>
    </row>
    <row r="273" ht="15.75" customHeight="1"/>
    <row r="274" ht="15.75" customHeight="1"/>
  </sheetData>
  <mergeCells count="11">
    <mergeCell ref="H1:H2"/>
    <mergeCell ref="I1:M1"/>
    <mergeCell ref="N1:R1"/>
    <mergeCell ref="S1:W1"/>
    <mergeCell ref="A1:A2"/>
    <mergeCell ref="B1:B2"/>
    <mergeCell ref="C1:C2"/>
    <mergeCell ref="D1:D2"/>
    <mergeCell ref="E1:E2"/>
    <mergeCell ref="F1:F2"/>
    <mergeCell ref="G1:G2"/>
  </mergeCells>
  <hyperlinks>
    <hyperlink r:id="rId1" ref="G21"/>
    <hyperlink r:id="rId2" ref="G22"/>
    <hyperlink r:id="rId3" ref="G23"/>
    <hyperlink r:id="rId4" ref="G24"/>
    <hyperlink r:id="rId5" ref="G25"/>
    <hyperlink r:id="rId6" ref="G26"/>
    <hyperlink r:id="rId7" ref="G27"/>
    <hyperlink r:id="rId8" ref="G28"/>
    <hyperlink r:id="rId9" ref="G29"/>
    <hyperlink r:id="rId10" ref="G30"/>
    <hyperlink r:id="rId11" ref="G31"/>
    <hyperlink r:id="rId12" ref="G32"/>
    <hyperlink r:id="rId13" ref="G33"/>
    <hyperlink r:id="rId14" ref="G34"/>
    <hyperlink r:id="rId15" ref="G35"/>
    <hyperlink r:id="rId16" ref="G36"/>
    <hyperlink r:id="rId17" ref="G37"/>
    <hyperlink r:id="rId18" ref="G38"/>
    <hyperlink r:id="rId19" ref="G39"/>
    <hyperlink r:id="rId20" ref="G40"/>
    <hyperlink r:id="rId21" ref="G41"/>
    <hyperlink r:id="rId22" ref="G42"/>
    <hyperlink r:id="rId23" ref="G43"/>
    <hyperlink r:id="rId24" ref="G44"/>
    <hyperlink r:id="rId25" ref="G45"/>
    <hyperlink r:id="rId26" ref="G46"/>
    <hyperlink r:id="rId27" ref="G47"/>
    <hyperlink r:id="rId28" ref="G48"/>
    <hyperlink r:id="rId29" ref="G49"/>
    <hyperlink r:id="rId30" ref="G50"/>
    <hyperlink r:id="rId31" ref="G51"/>
    <hyperlink r:id="rId32" ref="G52"/>
    <hyperlink r:id="rId33" ref="G53"/>
    <hyperlink r:id="rId34" ref="G54"/>
    <hyperlink r:id="rId35" ref="G55"/>
    <hyperlink r:id="rId36" ref="G56"/>
    <hyperlink r:id="rId37" ref="G57"/>
    <hyperlink r:id="rId38" ref="G58"/>
    <hyperlink r:id="rId39" ref="G59"/>
    <hyperlink r:id="rId40" ref="G60"/>
    <hyperlink r:id="rId41" ref="G61"/>
    <hyperlink r:id="rId42" ref="G62"/>
    <hyperlink r:id="rId43" ref="G63"/>
    <hyperlink r:id="rId44" ref="G64"/>
    <hyperlink r:id="rId45" ref="G65"/>
    <hyperlink r:id="rId46" ref="G66"/>
    <hyperlink r:id="rId47" ref="G67"/>
    <hyperlink r:id="rId48" ref="G68"/>
    <hyperlink r:id="rId49" ref="G69"/>
    <hyperlink r:id="rId50" ref="G70"/>
    <hyperlink r:id="rId51" ref="G71"/>
    <hyperlink r:id="rId52" ref="G72"/>
    <hyperlink r:id="rId53" ref="G73"/>
    <hyperlink r:id="rId54" ref="G92"/>
    <hyperlink r:id="rId55" ref="G93"/>
    <hyperlink r:id="rId56" ref="G94"/>
    <hyperlink r:id="rId57" ref="G95"/>
    <hyperlink r:id="rId58" ref="G96"/>
    <hyperlink r:id="rId59" ref="G97"/>
    <hyperlink r:id="rId60" ref="G98"/>
    <hyperlink r:id="rId61" ref="G99"/>
    <hyperlink r:id="rId62" ref="G100"/>
    <hyperlink r:id="rId63" ref="G101"/>
    <hyperlink r:id="rId64" ref="G102"/>
    <hyperlink r:id="rId65" ref="G103"/>
    <hyperlink r:id="rId66" ref="G104"/>
    <hyperlink r:id="rId67" ref="G105"/>
    <hyperlink r:id="rId68" ref="G106"/>
    <hyperlink r:id="rId69" ref="G107"/>
    <hyperlink r:id="rId70" ref="G108"/>
    <hyperlink r:id="rId71" ref="G109"/>
    <hyperlink r:id="rId72" ref="G110"/>
    <hyperlink r:id="rId73" ref="G111"/>
    <hyperlink r:id="rId74" ref="G112"/>
    <hyperlink r:id="rId75" ref="G113"/>
    <hyperlink r:id="rId76" ref="G114"/>
    <hyperlink r:id="rId77" ref="G115"/>
    <hyperlink r:id="rId78" ref="G116"/>
    <hyperlink r:id="rId79" ref="G117"/>
    <hyperlink r:id="rId80" ref="G118"/>
    <hyperlink r:id="rId81" ref="G119"/>
    <hyperlink r:id="rId82" ref="G120"/>
    <hyperlink r:id="rId83" ref="G121"/>
    <hyperlink r:id="rId84" ref="G122"/>
    <hyperlink r:id="rId85" ref="G123"/>
    <hyperlink r:id="rId86" ref="G124"/>
    <hyperlink r:id="rId87" ref="G125"/>
    <hyperlink r:id="rId88" ref="G126"/>
    <hyperlink r:id="rId89" ref="G127"/>
    <hyperlink r:id="rId90" ref="G128"/>
    <hyperlink r:id="rId91" ref="G129"/>
    <hyperlink r:id="rId92" ref="G130"/>
    <hyperlink r:id="rId93" ref="G131"/>
    <hyperlink r:id="rId94" ref="G132"/>
    <hyperlink r:id="rId95" ref="G133"/>
    <hyperlink r:id="rId96" ref="G134"/>
    <hyperlink r:id="rId97" ref="G135"/>
    <hyperlink r:id="rId98" ref="G136"/>
    <hyperlink r:id="rId99" ref="G137"/>
    <hyperlink r:id="rId100" ref="G138"/>
    <hyperlink r:id="rId101" ref="G139"/>
    <hyperlink r:id="rId102" ref="G158"/>
    <hyperlink r:id="rId103" ref="G159"/>
    <hyperlink r:id="rId104" ref="G160"/>
    <hyperlink r:id="rId105" ref="G161"/>
    <hyperlink r:id="rId106" ref="G162"/>
    <hyperlink r:id="rId107" ref="G163"/>
    <hyperlink r:id="rId108" ref="G164"/>
    <hyperlink r:id="rId109" ref="G165"/>
    <hyperlink r:id="rId110" ref="G166"/>
    <hyperlink r:id="rId111" ref="G167"/>
    <hyperlink r:id="rId112" ref="G168"/>
    <hyperlink r:id="rId113" ref="G169"/>
    <hyperlink r:id="rId114" ref="G170"/>
    <hyperlink r:id="rId115" ref="G171"/>
    <hyperlink r:id="rId116" ref="G172"/>
    <hyperlink r:id="rId117" ref="G173"/>
    <hyperlink r:id="rId118" ref="G174"/>
    <hyperlink r:id="rId119" ref="G175"/>
    <hyperlink r:id="rId120" ref="G176"/>
    <hyperlink r:id="rId121" ref="G177"/>
    <hyperlink r:id="rId122" ref="G178"/>
    <hyperlink r:id="rId123" ref="G179"/>
    <hyperlink r:id="rId124" ref="G180"/>
    <hyperlink r:id="rId125" ref="G181"/>
    <hyperlink r:id="rId126" ref="G182"/>
    <hyperlink r:id="rId127" ref="G183"/>
    <hyperlink r:id="rId128" ref="G184"/>
    <hyperlink r:id="rId129" ref="G185"/>
    <hyperlink r:id="rId130" ref="G186"/>
    <hyperlink r:id="rId131" ref="G187"/>
    <hyperlink r:id="rId132" ref="G188"/>
    <hyperlink r:id="rId133" ref="G189"/>
    <hyperlink r:id="rId134" ref="G190"/>
    <hyperlink r:id="rId135" ref="G191"/>
    <hyperlink r:id="rId136" ref="G192"/>
    <hyperlink r:id="rId137" ref="G193"/>
    <hyperlink r:id="rId138" ref="G194"/>
    <hyperlink r:id="rId139" ref="G195"/>
    <hyperlink r:id="rId140" ref="G196"/>
    <hyperlink r:id="rId141" ref="G197"/>
    <hyperlink r:id="rId142" ref="G198"/>
    <hyperlink r:id="rId143" ref="G199"/>
    <hyperlink r:id="rId144" ref="G200"/>
    <hyperlink r:id="rId145" ref="G201"/>
    <hyperlink r:id="rId146" ref="G202"/>
    <hyperlink r:id="rId147" ref="G203"/>
    <hyperlink r:id="rId148" ref="G204"/>
    <hyperlink r:id="rId149" ref="G205"/>
    <hyperlink r:id="rId150" ref="G224"/>
    <hyperlink r:id="rId151" ref="G225"/>
    <hyperlink r:id="rId152" ref="G226"/>
    <hyperlink r:id="rId153" ref="G227"/>
    <hyperlink r:id="rId154" ref="G228"/>
    <hyperlink r:id="rId155" ref="G229"/>
    <hyperlink r:id="rId156" ref="G230"/>
    <hyperlink r:id="rId157" ref="G231"/>
    <hyperlink r:id="rId158" ref="G232"/>
    <hyperlink r:id="rId159" ref="G233"/>
    <hyperlink r:id="rId160" ref="G234"/>
    <hyperlink r:id="rId161" ref="G235"/>
    <hyperlink r:id="rId162" ref="G236"/>
    <hyperlink r:id="rId163" ref="G237"/>
    <hyperlink r:id="rId164" ref="G238"/>
    <hyperlink r:id="rId165" ref="G239"/>
    <hyperlink r:id="rId166" ref="G240"/>
    <hyperlink r:id="rId167" ref="G241"/>
    <hyperlink r:id="rId168" ref="G242"/>
    <hyperlink r:id="rId169" ref="G243"/>
    <hyperlink r:id="rId170" ref="G244"/>
    <hyperlink r:id="rId171" ref="G245"/>
    <hyperlink r:id="rId172" ref="G246"/>
    <hyperlink r:id="rId173" ref="G247"/>
    <hyperlink r:id="rId174" ref="G248"/>
    <hyperlink r:id="rId175" ref="G249"/>
    <hyperlink r:id="rId176" ref="G250"/>
    <hyperlink r:id="rId177" ref="G251"/>
    <hyperlink r:id="rId178" ref="G252"/>
    <hyperlink r:id="rId179" ref="G253"/>
    <hyperlink r:id="rId180" ref="G254"/>
    <hyperlink r:id="rId181" ref="G255"/>
    <hyperlink r:id="rId182" ref="G256"/>
    <hyperlink r:id="rId183" ref="G257"/>
    <hyperlink r:id="rId184" ref="G258"/>
    <hyperlink r:id="rId185" ref="G259"/>
    <hyperlink r:id="rId186" ref="G260"/>
    <hyperlink r:id="rId187" ref="G261"/>
    <hyperlink r:id="rId188" ref="G262"/>
    <hyperlink r:id="rId189" ref="G263"/>
    <hyperlink r:id="rId190" ref="G264"/>
    <hyperlink r:id="rId191" ref="G265"/>
    <hyperlink r:id="rId192" ref="G266"/>
    <hyperlink r:id="rId193" ref="G267"/>
    <hyperlink r:id="rId194" ref="G268"/>
    <hyperlink r:id="rId195" ref="G269"/>
    <hyperlink r:id="rId196" ref="G270"/>
    <hyperlink r:id="rId197" ref="G271"/>
    <hyperlink r:id="rId198" ref="G272"/>
  </hyperlinks>
  <drawing r:id="rId19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5.63"/>
    <col customWidth="1" min="2" max="2" width="6.25"/>
    <col customWidth="1" hidden="1" min="3" max="3" width="3.63"/>
    <col customWidth="1" min="4" max="4" width="8.38"/>
    <col customWidth="1" min="5" max="7" width="3.13"/>
    <col customWidth="1" min="8" max="8" width="10.75"/>
    <col customWidth="1" min="9" max="9" width="5.63"/>
    <col customWidth="1" min="10" max="10" width="6.5"/>
    <col customWidth="1" min="11" max="11" width="15.5"/>
    <col customWidth="1" min="12" max="12" width="5.63"/>
    <col customWidth="1" min="13" max="13" width="26.5"/>
    <col customWidth="1" min="14" max="14" width="5.13"/>
    <col customWidth="1" min="15" max="15" width="16.88"/>
    <col customWidth="1" min="16" max="16" width="5.88"/>
    <col customWidth="1" min="17" max="17" width="23.75"/>
    <col customWidth="1" min="18" max="18" width="5.63"/>
    <col customWidth="1" min="19" max="19" width="15.0"/>
    <col customWidth="1" min="20" max="20" width="5.63"/>
    <col customWidth="1" min="21" max="21" width="23.75"/>
    <col customWidth="1" min="22" max="24" width="5.63"/>
    <col customWidth="1" min="25" max="25" width="5.5"/>
    <col customWidth="1" min="26" max="35" width="3.13"/>
    <col customWidth="1" min="36" max="36" width="5.0"/>
    <col customWidth="1" hidden="1" min="37" max="37" width="5.0"/>
    <col customWidth="1" min="38" max="38" width="5.0"/>
    <col customWidth="1" hidden="1" min="39" max="39" width="5.0"/>
    <col customWidth="1" min="40" max="41" width="5.0"/>
    <col customWidth="1" min="42" max="43" width="5.5"/>
  </cols>
  <sheetData>
    <row r="1">
      <c r="A1" s="468"/>
      <c r="B1" s="468"/>
      <c r="C1" s="468"/>
      <c r="D1" s="468"/>
      <c r="E1" s="469"/>
      <c r="F1" s="469"/>
      <c r="G1" s="469"/>
      <c r="H1" s="470"/>
      <c r="I1" s="471"/>
      <c r="J1" s="469"/>
      <c r="K1" s="470"/>
      <c r="L1" s="471"/>
      <c r="M1" s="470"/>
      <c r="N1" s="471"/>
      <c r="O1" s="470"/>
      <c r="P1" s="472"/>
      <c r="Q1" s="5"/>
      <c r="R1" s="5"/>
      <c r="S1" s="5"/>
      <c r="T1" s="5"/>
      <c r="U1" s="5"/>
      <c r="V1" s="5"/>
      <c r="W1" s="119"/>
      <c r="X1" s="119"/>
      <c r="Y1" s="119"/>
      <c r="Z1" s="114"/>
      <c r="AA1" s="114"/>
      <c r="AB1" s="114"/>
      <c r="AC1" s="114"/>
      <c r="AD1" s="114"/>
      <c r="AE1" s="114"/>
      <c r="AF1" s="114"/>
      <c r="AG1" s="114"/>
      <c r="AH1" s="114"/>
      <c r="AI1" s="114"/>
      <c r="AJ1" s="114"/>
      <c r="AK1" s="473"/>
      <c r="AL1" s="114"/>
      <c r="AM1" s="473"/>
      <c r="AN1" s="114"/>
      <c r="AO1" s="473"/>
      <c r="AP1" s="5"/>
      <c r="AQ1" s="468"/>
    </row>
    <row r="2" ht="65.25" customHeight="1">
      <c r="A2" s="468" t="s">
        <v>435</v>
      </c>
      <c r="B2" s="468"/>
      <c r="C2" s="468" t="s">
        <v>2553</v>
      </c>
      <c r="D2" s="468" t="s">
        <v>1413</v>
      </c>
      <c r="E2" s="474" t="s">
        <v>1941</v>
      </c>
      <c r="F2" s="474" t="s">
        <v>1942</v>
      </c>
      <c r="G2" s="474" t="s">
        <v>1490</v>
      </c>
      <c r="H2" s="468" t="s">
        <v>1943</v>
      </c>
      <c r="I2" s="475" t="s">
        <v>1944</v>
      </c>
      <c r="J2" s="474" t="s">
        <v>1491</v>
      </c>
      <c r="K2" s="468" t="s">
        <v>1492</v>
      </c>
      <c r="L2" s="475" t="s">
        <v>1945</v>
      </c>
      <c r="M2" s="468" t="s">
        <v>948</v>
      </c>
      <c r="N2" s="476" t="s">
        <v>1506</v>
      </c>
      <c r="O2" s="477" t="s">
        <v>1286</v>
      </c>
      <c r="P2" s="478" t="s">
        <v>2554</v>
      </c>
      <c r="Q2" s="479" t="s">
        <v>1507</v>
      </c>
      <c r="R2" s="480" t="s">
        <v>1508</v>
      </c>
      <c r="S2" s="479" t="s">
        <v>1509</v>
      </c>
      <c r="T2" s="480" t="s">
        <v>1510</v>
      </c>
      <c r="U2" s="479" t="s">
        <v>1511</v>
      </c>
      <c r="V2" s="481" t="s">
        <v>1512</v>
      </c>
      <c r="W2" s="480" t="s">
        <v>1513</v>
      </c>
      <c r="X2" s="482" t="s">
        <v>1514</v>
      </c>
      <c r="Y2" s="480" t="s">
        <v>1515</v>
      </c>
      <c r="Z2" s="483" t="s">
        <v>2555</v>
      </c>
      <c r="AA2" s="483" t="s">
        <v>2556</v>
      </c>
      <c r="AB2" s="483" t="s">
        <v>2557</v>
      </c>
      <c r="AC2" s="483" t="s">
        <v>2558</v>
      </c>
      <c r="AD2" s="483" t="s">
        <v>1930</v>
      </c>
      <c r="AE2" s="483" t="s">
        <v>2559</v>
      </c>
      <c r="AF2" s="483" t="s">
        <v>2560</v>
      </c>
      <c r="AG2" s="483" t="s">
        <v>2561</v>
      </c>
      <c r="AH2" s="483" t="s">
        <v>1393</v>
      </c>
      <c r="AI2" s="483" t="s">
        <v>2562</v>
      </c>
      <c r="AJ2" s="484" t="s">
        <v>2563</v>
      </c>
      <c r="AK2" s="485" t="s">
        <v>2564</v>
      </c>
      <c r="AL2" s="484" t="s">
        <v>2565</v>
      </c>
      <c r="AM2" s="485" t="s">
        <v>2566</v>
      </c>
      <c r="AN2" s="484" t="s">
        <v>2567</v>
      </c>
      <c r="AO2" s="485" t="s">
        <v>2568</v>
      </c>
      <c r="AP2" s="486" t="s">
        <v>2569</v>
      </c>
      <c r="AQ2" s="468" t="s">
        <v>1400</v>
      </c>
    </row>
    <row r="3" ht="14.25" customHeight="1">
      <c r="A3" s="137" t="s">
        <v>1470</v>
      </c>
      <c r="B3" s="114" t="s">
        <v>2570</v>
      </c>
      <c r="C3" s="114">
        <v>12.0</v>
      </c>
      <c r="D3" s="114">
        <v>2.0</v>
      </c>
      <c r="E3" s="114">
        <v>4.0</v>
      </c>
      <c r="F3" s="487">
        <v>3.0</v>
      </c>
      <c r="G3" s="488">
        <v>9.0</v>
      </c>
      <c r="H3" s="114" t="s">
        <v>1671</v>
      </c>
      <c r="I3" s="130">
        <f>IFERROR(__xludf.DUMMYFUNCTION("SWITCH(
LEN(H3) - LEN(SUBSTITUTE(H3,"","","""")),
0 , VLOOKUP(H3, Variables!$A:$B, 2, FALSE),
1 , VLOOKUP(index(split(H3 ,"", "", FALSE),1,1), Variables!$A:$B , 2, FALSE) + VLOOKUP(index(split(H3 ,"", "", FALSE),1,2), Variables!$A:$B , 2, FALSE),
2 , VLOO"&amp;"KUP(index(split(H3 ,"", "", FALSE),1,1), Variables!$A:$B , 2, FALSE) + VLOOKUP(index(split(H3 ,"", "", FALSE),1,2), Variables!$A:$B , 2, FALSE) + VLOOKUP(index(split(H3 ,"", "", FALSE),1,3), Variables!$A:$B , 2, FALSE)
)"),2.1666666666666665)</f>
        <v>2.166666667</v>
      </c>
      <c r="J3" s="114" t="s">
        <v>1521</v>
      </c>
      <c r="K3" s="114" t="s">
        <v>1522</v>
      </c>
      <c r="L3" s="130">
        <f>IFERROR(__xludf.DUMMYFUNCTION("SWITCH(
LEN(K3) - LEN(SUBSTITUTE(K3,"","","""")),
0 , VLOOKUP(K3, Variables!$A:$B, 2, FALSE),
1 , VLOOKUP(index(split(K3 ,"", "", FALSE),1,1), Variables!$A:$B , 2, FALSE) + VLOOKUP(index(split(K3 ,"", "", FALSE),1,2), Variables!$A:$B , 2, FALSE),
2 , VLOO"&amp;"KUP(index(split(K3 ,"", "", FALSE),1,1), Variables!$A:$B , 2, FALSE) + VLOOKUP(index(split(K3 ,"", "", FALSE),1,2), Variables!$A:$B , 2, FALSE) + VLOOKUP(index(split(K3 ,"", "", FALSE),1,3), Variables!$A:$B , 2, FALSE)
)
+
IF(J3=""Ranged"", 1 , 0)"),3.9999999999999996)</f>
        <v>4</v>
      </c>
      <c r="M3" s="114" t="s">
        <v>1052</v>
      </c>
      <c r="N3" s="130">
        <f>IFERROR(__xludf.DUMMYFUNCTION("IF(ISBLANK(M3), , 
SWITCH(
LEN(M3)- LEN(SUBSTITUTE(M3,"","","""")), 
0 , VLOOKUP(M3, vote4TRAITS!A:C , 3, FALSE),
1 , VLOOKUP(index(split(M3 ,"", "", FALSE),1,1), vote4TRAITS!A:C , 3, FALSE) + VLOOKUP(index(split(M3 ,"", "", FALSE),1,2), vote4TRAITS!A:C ,"&amp;" 3, FALSE),
2 , VLOOKUP(index(split(M3 ,"", "", FALSE),1,1), vote4TRAITS!A:C , 3, FALSE) + VLOOKUP(index(split(M3 ,"", "", FALSE),1,2), vote4TRAITS!A:C , 3, FALSE) + VLOOKUP(index(split(M3 ,"", "", FALSE),1,3), vote4TRAITS!A:C , 3, FALSE)
)
)"),4.666666666666667)</f>
        <v>4.666666667</v>
      </c>
      <c r="O3" s="114" t="s">
        <v>1363</v>
      </c>
      <c r="P3" s="165">
        <f>IFERROR(__xludf.DUMMYFUNCTION("IF(ISBLANK(O3), , 
SWITCH(
LEN(O3)- LEN(SUBSTITUTE(O3,"","","""")), 
0 , VLOOKUP(O3, vote4ACTIONS!A:C , 3, FALSE),
1 , VLOOKUP(index(split(O3 ,"", "", FALSE),1,1), vote4ACTIONS!A:C , 3, FALSE) + VLOOKUP(index(split(O3 ,"", "", FALSE),1,2), vote4ACTIONS!A:"&amp;"C , 3, FALSE),
2 , VLOOKUP(index(split(O3 ,"", "", FALSE),1,1), vote4ACTIONS!A:C , 3, FALSE) + VLOOKUP(index(split(O3 ,"", "", FALSE),1,2), vote4ACTIONS!A:C , 3, FALSE) + VLOOKUP(index(split(O3 ,"", "", FALSE),1,3), vote4ACTIONS!A:C , 3, FALSE),
3 , VLOOK"&amp;"UP(index(split(O3 ,"", "", FALSE),1,1), vote4ACTIONS!A:C , 3, FALSE) + VLOOKUP(index(split(O3 ,"", "", FALSE),1,2), vote4ACTIONS!A:C , 3, FALSE) + VLOOKUP(index(split(O3 ,"", "", FALSE),1,3), vote4ACTIONS!A:C , 3, FALSE) + VLOOKUP(index(split(O3 ,"", "", "&amp;"FALSE),1,4), vote4ACTIONS!A:C , 3, FALSE)
)
)"),4.25)</f>
        <v>4.25</v>
      </c>
      <c r="Q3" s="169" t="s">
        <v>2571</v>
      </c>
      <c r="R3" s="342">
        <f>IF(ISBLANK(Q3),,IFERROR(
IF(IFERROR(SEARCH("SS:",Q3),0) &gt; 0, 
VLOOKUP(SUBSTITUTE(Q3,"SS: ",""),vote4SURGE!$A:$C , 3, FALSE) - 2,
VLOOKUP(SUBSTITUTE(Q3,"S: ",""),vote4SURGE!$A:$C , 3, FALSE)
)
,
IF(IFERROR(SEARCH("SS:",Q3),0) &gt; 0, 
VLOOKUP(A3,vote4SURGE!$A:$C , 3, FALSE) - 2,
VLOOKUP(A3,vote4SURGE!$A:$C , 3, FALSE)
)
))</f>
        <v>2.5</v>
      </c>
      <c r="S3" s="489"/>
      <c r="T3" s="342" t="str">
        <f>IF(ISBLANK(S3),,IFERROR(
IF(IFERROR(SEARCH("SS:",S3),0) &gt; 0, 
VLOOKUP(SUBSTITUTE(S3,"SS: ",""),vote4SURGE!$A:$C , 3, FALSE) - 2,
VLOOKUP(SUBSTITUTE(S3,"S: ",""),vote4SURGE!$A:$C , 3, FALSE)
)
,
IF(IFERROR(SEARCH("SS:",S3),0) &gt; 0, 
VLOOKUP(A3,vote4SURGE!$A:$C , 3, FALSE) - 2,
VLOOKUP(A3,vote4SURGE!$A:$C , 3, FALSE)
)
))</f>
        <v/>
      </c>
      <c r="U3" s="489"/>
      <c r="V3" s="343" t="str">
        <f>IF(ISBLANK(U3),,IFERROR(
IF(IFERROR(SEARCH("SS:",U3),0) &gt; 0, 
VLOOKUP(SUBSTITUTE(U3,"SS: ",""),vote4SURGE!$A:$C , 3, FALSE) - 2,
VLOOKUP(SUBSTITUTE(U3,"S: ",""),vote4SURGE!$A:$C , 3, FALSE)
)
,
IF(IFERROR(SEARCH("SS:",U3),0) &gt; 0, 
VLOOKUP(A3,vote4SURGE!$A:$C , 3, FALSE) - 2,
VLOOKUP(A3,vote4SURGE!$A:$C , 3, FALSE)
)
))</f>
        <v/>
      </c>
      <c r="W3" s="343">
        <f t="shared" ref="W3:W222" si="1">SUM(
IF(ISBLANK(Q3),,IF(IFERROR(SEARCH("SS:",Q3),0) &gt; 0, 2, 1)),
IF(ISBLANK(S3),,IF(IFERROR(SEARCH("SS:",S3),0) &gt; 0, 2, 1)),
IF(ISBLANK(U3),,IF(IFERROR(SEARCH("SS:",U3),0) &gt; 0, 2, 1)),
)</f>
        <v>2</v>
      </c>
      <c r="X3" s="344">
        <f>IFERROR(__xludf.DUMMYFUNCTION("SWITCH(
LEN(K3) - LEN(SUBSTITUTE(K3,"","","""")),
0 , VLOOKUP(K3, Variables!$A:$C, 3, FALSE),
1 , VLOOKUP(index(split(K3 ,"", "", FALSE),1,1), Variables!$A:$C, 3, FALSE) + VLOOKUP(index(split(K3 ,"", "", FALSE),1,2), Variables!$A:$C, 3, FALSE),
2 , VLOOKU"&amp;"P(index(split(K3 ,"", "", FALSE),1,1), Variables!$A:$C, 3, FALSE) + VLOOKUP(index(split(K3 ,"", "", FALSE),1,2), Variables!$A:$C, 3, FALSE) + VLOOKUP(index(split(K3 ,"", "", FALSE),1,3), Variables!$A:$C, 3, FALSE)
)"),1.1666666666666665)</f>
        <v>1.166666667</v>
      </c>
      <c r="Y3" s="342">
        <f t="shared" ref="Y3:Y222" si="2">IF(W3 &gt; 1, 
MAX(R3,T3,V3) + 
(IF(OR(W3 = 0,X3 = 0), 1 ,(X3 / W3)) * (SUM(R3,T3,V3) - MAX(R3,T3,V3)))
,
IF(OR(W3 = 0,X3 = 0), 1 ,(X3 / W3)) * SUM(R3,T3,V3)
)</f>
        <v>2.5</v>
      </c>
      <c r="Z3" s="114"/>
      <c r="AA3" s="114"/>
      <c r="AB3" s="114"/>
      <c r="AC3" s="114"/>
      <c r="AD3" s="114" t="s">
        <v>2572</v>
      </c>
      <c r="AE3" s="114"/>
      <c r="AF3" s="114"/>
      <c r="AG3" s="114"/>
      <c r="AH3" s="114"/>
      <c r="AI3" s="114" t="s">
        <v>2572</v>
      </c>
      <c r="AJ3" s="114" t="s">
        <v>2573</v>
      </c>
      <c r="AK3" s="473">
        <v>7.0</v>
      </c>
      <c r="AL3" s="114" t="s">
        <v>2574</v>
      </c>
      <c r="AM3" s="473">
        <v>9.0</v>
      </c>
      <c r="AN3" s="114" t="s">
        <v>2574</v>
      </c>
      <c r="AO3" s="473">
        <v>16.0</v>
      </c>
      <c r="AP3" s="130">
        <f>SUM(
VLOOKUP("Ravage",vote4TRAITS!A:C,3,FALSE)
)</f>
        <v>7.333333333</v>
      </c>
      <c r="AQ3" s="130">
        <f t="shared" ref="AQ3:AQ222" si="3">SUM( (F3 + IF(E3 &gt; 3, E3/2 - 1, E3 - 1)) * 0.33,G3*I3,L3,N3,P3,Y3) - AP3</f>
        <v>28.90333333</v>
      </c>
    </row>
    <row r="4" ht="14.25" customHeight="1">
      <c r="A4" s="137" t="s">
        <v>1470</v>
      </c>
      <c r="B4" s="114" t="s">
        <v>2570</v>
      </c>
      <c r="C4" s="114">
        <v>12.0</v>
      </c>
      <c r="D4" s="114">
        <v>1.0</v>
      </c>
      <c r="E4" s="114">
        <v>4.0</v>
      </c>
      <c r="F4" s="487">
        <v>3.0</v>
      </c>
      <c r="G4" s="488">
        <v>7.0</v>
      </c>
      <c r="H4" s="114" t="s">
        <v>2575</v>
      </c>
      <c r="I4" s="130">
        <f>IFERROR(__xludf.DUMMYFUNCTION("SWITCH(
LEN(H4) - LEN(SUBSTITUTE(H4,"","","""")),
0 , VLOOKUP(H4, Variables!$A:$B, 2, FALSE),
1 , VLOOKUP(index(split(H4 ,"", "", FALSE),1,1), Variables!$A:$B , 2, FALSE) + VLOOKUP(index(split(H4 ,"", "", FALSE),1,2), Variables!$A:$B , 2, FALSE),
2 , VLOO"&amp;"KUP(index(split(H4 ,"", "", FALSE),1,1), Variables!$A:$B , 2, FALSE) + VLOOKUP(index(split(H4 ,"", "", FALSE),1,2), Variables!$A:$B , 2, FALSE) + VLOOKUP(index(split(H4 ,"", "", FALSE),1,3), Variables!$A:$B , 2, FALSE)
)"),2.0)</f>
        <v>2</v>
      </c>
      <c r="J4" s="114" t="s">
        <v>1521</v>
      </c>
      <c r="K4" s="114" t="s">
        <v>1522</v>
      </c>
      <c r="L4" s="130">
        <f>IFERROR(__xludf.DUMMYFUNCTION("SWITCH(
LEN(K4) - LEN(SUBSTITUTE(K4,"","","""")),
0 , VLOOKUP(K4, Variables!$A:$B, 2, FALSE),
1 , VLOOKUP(index(split(K4 ,"", "", FALSE),1,1), Variables!$A:$B , 2, FALSE) + VLOOKUP(index(split(K4 ,"", "", FALSE),1,2), Variables!$A:$B , 2, FALSE),
2 , VLOO"&amp;"KUP(index(split(K4 ,"", "", FALSE),1,1), Variables!$A:$B , 2, FALSE) + VLOOKUP(index(split(K4 ,"", "", FALSE),1,2), Variables!$A:$B , 2, FALSE) + VLOOKUP(index(split(K4 ,"", "", FALSE),1,3), Variables!$A:$B , 2, FALSE)
)
+
IF(J4=""Ranged"", 1 , 0)"),3.9999999999999996)</f>
        <v>4</v>
      </c>
      <c r="M4" s="114" t="s">
        <v>1052</v>
      </c>
      <c r="N4" s="130">
        <f>IFERROR(__xludf.DUMMYFUNCTION("IF(ISBLANK(M4), , 
SWITCH(
LEN(M4)- LEN(SUBSTITUTE(M4,"","","""")), 
0 , VLOOKUP(M4, vote4TRAITS!A:C , 3, FALSE),
1 , VLOOKUP(index(split(M4 ,"", "", FALSE),1,1), vote4TRAITS!A:C , 3, FALSE) + VLOOKUP(index(split(M4 ,"", "", FALSE),1,2), vote4TRAITS!A:C ,"&amp;" 3, FALSE),
2 , VLOOKUP(index(split(M4 ,"", "", FALSE),1,1), vote4TRAITS!A:C , 3, FALSE) + VLOOKUP(index(split(M4 ,"", "", FALSE),1,2), vote4TRAITS!A:C , 3, FALSE) + VLOOKUP(index(split(M4 ,"", "", FALSE),1,3), vote4TRAITS!A:C , 3, FALSE)
)
)"),4.666666666666667)</f>
        <v>4.666666667</v>
      </c>
      <c r="O4" s="114" t="s">
        <v>1363</v>
      </c>
      <c r="P4" s="165">
        <f>IFERROR(__xludf.DUMMYFUNCTION("IF(ISBLANK(O4), , 
SWITCH(
LEN(O4)- LEN(SUBSTITUTE(O4,"","","""")), 
0 , VLOOKUP(O4, vote4ACTIONS!A:C , 3, FALSE),
1 , VLOOKUP(index(split(O4 ,"", "", FALSE),1,1), vote4ACTIONS!A:C , 3, FALSE) + VLOOKUP(index(split(O4 ,"", "", FALSE),1,2), vote4ACTIONS!A:"&amp;"C , 3, FALSE),
2 , VLOOKUP(index(split(O4 ,"", "", FALSE),1,1), vote4ACTIONS!A:C , 3, FALSE) + VLOOKUP(index(split(O4 ,"", "", FALSE),1,2), vote4ACTIONS!A:C , 3, FALSE) + VLOOKUP(index(split(O4 ,"", "", FALSE),1,3), vote4ACTIONS!A:C , 3, FALSE),
3 , VLOOK"&amp;"UP(index(split(O4 ,"", "", FALSE),1,1), vote4ACTIONS!A:C , 3, FALSE) + VLOOKUP(index(split(O4 ,"", "", FALSE),1,2), vote4ACTIONS!A:C , 3, FALSE) + VLOOKUP(index(split(O4 ,"", "", FALSE),1,3), vote4ACTIONS!A:C , 3, FALSE) + VLOOKUP(index(split(O4 ,"", "", "&amp;"FALSE),1,4), vote4ACTIONS!A:C , 3, FALSE)
)
)"),4.25)</f>
        <v>4.25</v>
      </c>
      <c r="Q4" s="169" t="s">
        <v>2571</v>
      </c>
      <c r="R4" s="342">
        <f>IF(ISBLANK(Q4),,IFERROR(
IF(IFERROR(SEARCH("SS:",Q4),0) &gt; 0, 
VLOOKUP(SUBSTITUTE(Q4,"SS: ",""),vote4SURGE!$A:$C , 3, FALSE) - 2,
VLOOKUP(SUBSTITUTE(Q4,"S: ",""),vote4SURGE!$A:$C , 3, FALSE)
)
,
IF(IFERROR(SEARCH("SS:",Q4),0) &gt; 0, 
VLOOKUP(A4,vote4SURGE!$A:$C , 3, FALSE) - 2,
VLOOKUP(A4,vote4SURGE!$A:$C , 3, FALSE)
)
))</f>
        <v>2.5</v>
      </c>
      <c r="S4" s="340"/>
      <c r="T4" s="342" t="str">
        <f>IF(ISBLANK(S4),,IFERROR(
IF(IFERROR(SEARCH("SS:",S4),0) &gt; 0, 
VLOOKUP(SUBSTITUTE(S4,"SS: ",""),vote4SURGE!$A:$C , 3, FALSE) - 2,
VLOOKUP(SUBSTITUTE(S4,"S: ",""),vote4SURGE!$A:$C , 3, FALSE)
)
,
IF(IFERROR(SEARCH("SS:",S4),0) &gt; 0, 
VLOOKUP(A4,vote4SURGE!$A:$C , 3, FALSE) - 2,
VLOOKUP(A4,vote4SURGE!$A:$C , 3, FALSE)
)
))</f>
        <v/>
      </c>
      <c r="U4" s="341"/>
      <c r="V4" s="343" t="str">
        <f>IF(ISBLANK(U4),,IFERROR(
IF(IFERROR(SEARCH("SS:",U4),0) &gt; 0, 
VLOOKUP(SUBSTITUTE(U4,"SS: ",""),vote4SURGE!$A:$C , 3, FALSE) - 2,
VLOOKUP(SUBSTITUTE(U4,"S: ",""),vote4SURGE!$A:$C , 3, FALSE)
)
,
IF(IFERROR(SEARCH("SS:",U4),0) &gt; 0, 
VLOOKUP(A4,vote4SURGE!$A:$C , 3, FALSE) - 2,
VLOOKUP(A4,vote4SURGE!$A:$C , 3, FALSE)
)
))</f>
        <v/>
      </c>
      <c r="W4" s="343">
        <f t="shared" si="1"/>
        <v>2</v>
      </c>
      <c r="X4" s="344">
        <f>IFERROR(__xludf.DUMMYFUNCTION("SWITCH(
LEN(K4) - LEN(SUBSTITUTE(K4,"","","""")),
0 , VLOOKUP(K4, Variables!$A:$C, 3, FALSE),
1 , VLOOKUP(index(split(K4 ,"", "", FALSE),1,1), Variables!$A:$C, 3, FALSE) + VLOOKUP(index(split(K4 ,"", "", FALSE),1,2), Variables!$A:$C, 3, FALSE),
2 , VLOOKU"&amp;"P(index(split(K4 ,"", "", FALSE),1,1), Variables!$A:$C, 3, FALSE) + VLOOKUP(index(split(K4 ,"", "", FALSE),1,2), Variables!$A:$C, 3, FALSE) + VLOOKUP(index(split(K4 ,"", "", FALSE),1,3), Variables!$A:$C, 3, FALSE)
)"),1.1666666666666665)</f>
        <v>1.166666667</v>
      </c>
      <c r="Y4" s="342">
        <f t="shared" si="2"/>
        <v>2.5</v>
      </c>
      <c r="Z4" s="114"/>
      <c r="AA4" s="114"/>
      <c r="AB4" s="114"/>
      <c r="AC4" s="114"/>
      <c r="AD4" s="114" t="s">
        <v>2572</v>
      </c>
      <c r="AE4" s="114"/>
      <c r="AF4" s="114"/>
      <c r="AG4" s="114"/>
      <c r="AH4" s="114"/>
      <c r="AI4" s="114" t="s">
        <v>2572</v>
      </c>
      <c r="AJ4" s="114" t="s">
        <v>2573</v>
      </c>
      <c r="AK4" s="473">
        <v>5.0</v>
      </c>
      <c r="AL4" s="114" t="s">
        <v>2574</v>
      </c>
      <c r="AM4" s="473">
        <v>7.0</v>
      </c>
      <c r="AN4" s="114" t="s">
        <v>2574</v>
      </c>
      <c r="AO4" s="473">
        <v>12.0</v>
      </c>
      <c r="AP4" s="130">
        <f>SUM(
VLOOKUP("Ravage",vote4TRAITS!A:C,3,FALSE)
)</f>
        <v>7.333333333</v>
      </c>
      <c r="AQ4" s="130">
        <f t="shared" si="3"/>
        <v>23.40333333</v>
      </c>
    </row>
    <row r="5" ht="14.25" customHeight="1">
      <c r="A5" s="137" t="s">
        <v>1470</v>
      </c>
      <c r="B5" s="114" t="s">
        <v>2576</v>
      </c>
      <c r="C5" s="114">
        <v>12.0</v>
      </c>
      <c r="D5" s="114">
        <v>2.0</v>
      </c>
      <c r="E5" s="114">
        <v>4.0</v>
      </c>
      <c r="F5" s="487">
        <v>3.0</v>
      </c>
      <c r="G5" s="488">
        <v>7.0</v>
      </c>
      <c r="H5" s="114" t="s">
        <v>1671</v>
      </c>
      <c r="I5" s="130">
        <f>IFERROR(__xludf.DUMMYFUNCTION("SWITCH(
LEN(H5) - LEN(SUBSTITUTE(H5,"","","""")),
0 , VLOOKUP(H5, Variables!$A:$B, 2, FALSE),
1 , VLOOKUP(index(split(H5 ,"", "", FALSE),1,1), Variables!$A:$B , 2, FALSE) + VLOOKUP(index(split(H5 ,"", "", FALSE),1,2), Variables!$A:$B , 2, FALSE),
2 , VLOO"&amp;"KUP(index(split(H5 ,"", "", FALSE),1,1), Variables!$A:$B , 2, FALSE) + VLOOKUP(index(split(H5 ,"", "", FALSE),1,2), Variables!$A:$B , 2, FALSE) + VLOOKUP(index(split(H5 ,"", "", FALSE),1,3), Variables!$A:$B , 2, FALSE)
)"),2.1666666666666665)</f>
        <v>2.166666667</v>
      </c>
      <c r="J5" s="114" t="s">
        <v>1521</v>
      </c>
      <c r="K5" s="114" t="s">
        <v>1522</v>
      </c>
      <c r="L5" s="130">
        <f>IFERROR(__xludf.DUMMYFUNCTION("SWITCH(
LEN(K5) - LEN(SUBSTITUTE(K5,"","","""")),
0 , VLOOKUP(K5, Variables!$A:$B, 2, FALSE),
1 , VLOOKUP(index(split(K5 ,"", "", FALSE),1,1), Variables!$A:$B , 2, FALSE) + VLOOKUP(index(split(K5 ,"", "", FALSE),1,2), Variables!$A:$B , 2, FALSE),
2 , VLOO"&amp;"KUP(index(split(K5 ,"", "", FALSE),1,1), Variables!$A:$B , 2, FALSE) + VLOOKUP(index(split(K5 ,"", "", FALSE),1,2), Variables!$A:$B , 2, FALSE) + VLOOKUP(index(split(K5 ,"", "", FALSE),1,3), Variables!$A:$B , 2, FALSE)
)
+
IF(J5=""Ranged"", 1 , 0)"),3.9999999999999996)</f>
        <v>4</v>
      </c>
      <c r="M5" s="114"/>
      <c r="N5" s="130" t="str">
        <f>IFERROR(__xludf.DUMMYFUNCTION("IF(ISBLANK(M5), , 
SWITCH(
LEN(M5)- LEN(SUBSTITUTE(M5,"","","""")), 
0 , VLOOKUP(M5, vote4TRAITS!A:C , 3, FALSE),
1 , VLOOKUP(index(split(M5 ,"", "", FALSE),1,1), vote4TRAITS!A:C , 3, FALSE) + VLOOKUP(index(split(M5 ,"", "", FALSE),1,2), vote4TRAITS!A:C ,"&amp;" 3, FALSE),
2 , VLOOKUP(index(split(M5 ,"", "", FALSE),1,1), vote4TRAITS!A:C , 3, FALSE) + VLOOKUP(index(split(M5 ,"", "", FALSE),1,2), vote4TRAITS!A:C , 3, FALSE) + VLOOKUP(index(split(M5 ,"", "", FALSE),1,3), vote4TRAITS!A:C , 3, FALSE)
)
)"),"")</f>
        <v/>
      </c>
      <c r="O5" s="114" t="s">
        <v>1363</v>
      </c>
      <c r="P5" s="165">
        <f>IFERROR(__xludf.DUMMYFUNCTION("IF(ISBLANK(O5), , 
SWITCH(
LEN(O5)- LEN(SUBSTITUTE(O5,"","","""")), 
0 , VLOOKUP(O5, vote4ACTIONS!A:C , 3, FALSE),
1 , VLOOKUP(index(split(O5 ,"", "", FALSE),1,1), vote4ACTIONS!A:C , 3, FALSE) + VLOOKUP(index(split(O5 ,"", "", FALSE),1,2), vote4ACTIONS!A:"&amp;"C , 3, FALSE),
2 , VLOOKUP(index(split(O5 ,"", "", FALSE),1,1), vote4ACTIONS!A:C , 3, FALSE) + VLOOKUP(index(split(O5 ,"", "", FALSE),1,2), vote4ACTIONS!A:C , 3, FALSE) + VLOOKUP(index(split(O5 ,"", "", FALSE),1,3), vote4ACTIONS!A:C , 3, FALSE),
3 , VLOOK"&amp;"UP(index(split(O5 ,"", "", FALSE),1,1), vote4ACTIONS!A:C , 3, FALSE) + VLOOKUP(index(split(O5 ,"", "", FALSE),1,2), vote4ACTIONS!A:C , 3, FALSE) + VLOOKUP(index(split(O5 ,"", "", FALSE),1,3), vote4ACTIONS!A:C , 3, FALSE) + VLOOKUP(index(split(O5 ,"", "", "&amp;"FALSE),1,4), vote4ACTIONS!A:C , 3, FALSE)
)
)"),4.25)</f>
        <v>4.25</v>
      </c>
      <c r="Q5" s="169" t="s">
        <v>2577</v>
      </c>
      <c r="R5" s="342">
        <f>IF(ISBLANK(Q5),,IFERROR(
IF(IFERROR(SEARCH("SS:",Q5),0) &gt; 0, 
VLOOKUP(SUBSTITUTE(Q5,"SS: ",""),vote4SURGE!$A:$C , 3, FALSE) - 2,
VLOOKUP(SUBSTITUTE(Q5,"S: ",""),vote4SURGE!$A:$C , 3, FALSE)
)
,
IF(IFERROR(SEARCH("SS:",Q5),0) &gt; 0, 
VLOOKUP(A5,vote4SURGE!$A:$C , 3, FALSE) - 2,
VLOOKUP(A5,vote4SURGE!$A:$C , 3, FALSE)
)
))</f>
        <v>1.5</v>
      </c>
      <c r="S5" s="341"/>
      <c r="T5" s="342" t="str">
        <f>IF(ISBLANK(S5),,IFERROR(
IF(IFERROR(SEARCH("SS:",S5),0) &gt; 0, 
VLOOKUP(SUBSTITUTE(S5,"SS: ",""),vote4SURGE!$A:$C , 3, FALSE) - 2,
VLOOKUP(SUBSTITUTE(S5,"S: ",""),vote4SURGE!$A:$C , 3, FALSE)
)
,
IF(IFERROR(SEARCH("SS:",S5),0) &gt; 0, 
VLOOKUP(A5,vote4SURGE!$A:$C , 3, FALSE) - 2,
VLOOKUP(A5,vote4SURGE!$A:$C , 3, FALSE)
)
))</f>
        <v/>
      </c>
      <c r="U5" s="341"/>
      <c r="V5" s="343" t="str">
        <f>IF(ISBLANK(U5),,IFERROR(
IF(IFERROR(SEARCH("SS:",U5),0) &gt; 0, 
VLOOKUP(SUBSTITUTE(U5,"SS: ",""),vote4SURGE!$A:$C , 3, FALSE) - 2,
VLOOKUP(SUBSTITUTE(U5,"S: ",""),vote4SURGE!$A:$C , 3, FALSE)
)
,
IF(IFERROR(SEARCH("SS:",U5),0) &gt; 0, 
VLOOKUP(A5,vote4SURGE!$A:$C , 3, FALSE) - 2,
VLOOKUP(A5,vote4SURGE!$A:$C , 3, FALSE)
)
))</f>
        <v/>
      </c>
      <c r="W5" s="343">
        <f t="shared" si="1"/>
        <v>2</v>
      </c>
      <c r="X5" s="344">
        <f>IFERROR(__xludf.DUMMYFUNCTION("SWITCH(
LEN(K5) - LEN(SUBSTITUTE(K5,"","","""")),
0 , VLOOKUP(K5, Variables!$A:$C, 3, FALSE),
1 , VLOOKUP(index(split(K5 ,"", "", FALSE),1,1), Variables!$A:$C, 3, FALSE) + VLOOKUP(index(split(K5 ,"", "", FALSE),1,2), Variables!$A:$C, 3, FALSE),
2 , VLOOKU"&amp;"P(index(split(K5 ,"", "", FALSE),1,1), Variables!$A:$C, 3, FALSE) + VLOOKUP(index(split(K5 ,"", "", FALSE),1,2), Variables!$A:$C, 3, FALSE) + VLOOKUP(index(split(K5 ,"", "", FALSE),1,3), Variables!$A:$C, 3, FALSE)
)"),1.1666666666666665)</f>
        <v>1.166666667</v>
      </c>
      <c r="Y5" s="342">
        <f t="shared" si="2"/>
        <v>1.5</v>
      </c>
      <c r="Z5" s="114"/>
      <c r="AA5" s="114"/>
      <c r="AB5" s="114"/>
      <c r="AC5" s="114"/>
      <c r="AD5" s="114" t="s">
        <v>2572</v>
      </c>
      <c r="AE5" s="114"/>
      <c r="AF5" s="114"/>
      <c r="AG5" s="114"/>
      <c r="AH5" s="114"/>
      <c r="AI5" s="114" t="s">
        <v>2572</v>
      </c>
      <c r="AJ5" s="114" t="s">
        <v>2574</v>
      </c>
      <c r="AK5" s="473">
        <v>7.0</v>
      </c>
      <c r="AL5" s="114" t="s">
        <v>2573</v>
      </c>
      <c r="AM5" s="473">
        <v>9.0</v>
      </c>
      <c r="AN5" s="114" t="s">
        <v>2574</v>
      </c>
      <c r="AO5" s="473">
        <v>16.0</v>
      </c>
      <c r="AP5" s="130">
        <f>SUM(
VLOOKUP("Ravage",vote4TRAITS!A:C,3,FALSE)
)</f>
        <v>7.333333333</v>
      </c>
      <c r="AQ5" s="130">
        <f t="shared" si="3"/>
        <v>18.90333333</v>
      </c>
    </row>
    <row r="6" ht="14.25" customHeight="1">
      <c r="A6" s="137" t="s">
        <v>1470</v>
      </c>
      <c r="B6" s="114" t="s">
        <v>2576</v>
      </c>
      <c r="C6" s="114">
        <v>12.0</v>
      </c>
      <c r="D6" s="114">
        <v>1.0</v>
      </c>
      <c r="E6" s="114">
        <v>4.0</v>
      </c>
      <c r="F6" s="487">
        <v>3.0</v>
      </c>
      <c r="G6" s="488">
        <v>5.0</v>
      </c>
      <c r="H6" s="114" t="s">
        <v>2575</v>
      </c>
      <c r="I6" s="130">
        <f>IFERROR(__xludf.DUMMYFUNCTION("SWITCH(
LEN(H6) - LEN(SUBSTITUTE(H6,"","","""")),
0 , VLOOKUP(H6, Variables!$A:$B, 2, FALSE),
1 , VLOOKUP(index(split(H6 ,"", "", FALSE),1,1), Variables!$A:$B , 2, FALSE) + VLOOKUP(index(split(H6 ,"", "", FALSE),1,2), Variables!$A:$B , 2, FALSE),
2 , VLOO"&amp;"KUP(index(split(H6 ,"", "", FALSE),1,1), Variables!$A:$B , 2, FALSE) + VLOOKUP(index(split(H6 ,"", "", FALSE),1,2), Variables!$A:$B , 2, FALSE) + VLOOKUP(index(split(H6 ,"", "", FALSE),1,3), Variables!$A:$B , 2, FALSE)
)"),2.0)</f>
        <v>2</v>
      </c>
      <c r="J6" s="114" t="s">
        <v>1521</v>
      </c>
      <c r="K6" s="114" t="s">
        <v>1522</v>
      </c>
      <c r="L6" s="130">
        <f>IFERROR(__xludf.DUMMYFUNCTION("SWITCH(
LEN(K6) - LEN(SUBSTITUTE(K6,"","","""")),
0 , VLOOKUP(K6, Variables!$A:$B, 2, FALSE),
1 , VLOOKUP(index(split(K6 ,"", "", FALSE),1,1), Variables!$A:$B , 2, FALSE) + VLOOKUP(index(split(K6 ,"", "", FALSE),1,2), Variables!$A:$B , 2, FALSE),
2 , VLOO"&amp;"KUP(index(split(K6 ,"", "", FALSE),1,1), Variables!$A:$B , 2, FALSE) + VLOOKUP(index(split(K6 ,"", "", FALSE),1,2), Variables!$A:$B , 2, FALSE) + VLOOKUP(index(split(K6 ,"", "", FALSE),1,3), Variables!$A:$B , 2, FALSE)
)
+
IF(J6=""Ranged"", 1 , 0)"),3.9999999999999996)</f>
        <v>4</v>
      </c>
      <c r="M6" s="114"/>
      <c r="N6" s="130" t="str">
        <f>IFERROR(__xludf.DUMMYFUNCTION("IF(ISBLANK(M6), , 
SWITCH(
LEN(M6)- LEN(SUBSTITUTE(M6,"","","""")), 
0 , VLOOKUP(M6, vote4TRAITS!A:C , 3, FALSE),
1 , VLOOKUP(index(split(M6 ,"", "", FALSE),1,1), vote4TRAITS!A:C , 3, FALSE) + VLOOKUP(index(split(M6 ,"", "", FALSE),1,2), vote4TRAITS!A:C ,"&amp;" 3, FALSE),
2 , VLOOKUP(index(split(M6 ,"", "", FALSE),1,1), vote4TRAITS!A:C , 3, FALSE) + VLOOKUP(index(split(M6 ,"", "", FALSE),1,2), vote4TRAITS!A:C , 3, FALSE) + VLOOKUP(index(split(M6 ,"", "", FALSE),1,3), vote4TRAITS!A:C , 3, FALSE)
)
)"),"")</f>
        <v/>
      </c>
      <c r="O6" s="114" t="s">
        <v>1363</v>
      </c>
      <c r="P6" s="165">
        <f>IFERROR(__xludf.DUMMYFUNCTION("IF(ISBLANK(O6), , 
SWITCH(
LEN(O6)- LEN(SUBSTITUTE(O6,"","","""")), 
0 , VLOOKUP(O6, vote4ACTIONS!A:C , 3, FALSE),
1 , VLOOKUP(index(split(O6 ,"", "", FALSE),1,1), vote4ACTIONS!A:C , 3, FALSE) + VLOOKUP(index(split(O6 ,"", "", FALSE),1,2), vote4ACTIONS!A:"&amp;"C , 3, FALSE),
2 , VLOOKUP(index(split(O6 ,"", "", FALSE),1,1), vote4ACTIONS!A:C , 3, FALSE) + VLOOKUP(index(split(O6 ,"", "", FALSE),1,2), vote4ACTIONS!A:C , 3, FALSE) + VLOOKUP(index(split(O6 ,"", "", FALSE),1,3), vote4ACTIONS!A:C , 3, FALSE),
3 , VLOOK"&amp;"UP(index(split(O6 ,"", "", FALSE),1,1), vote4ACTIONS!A:C , 3, FALSE) + VLOOKUP(index(split(O6 ,"", "", FALSE),1,2), vote4ACTIONS!A:C , 3, FALSE) + VLOOKUP(index(split(O6 ,"", "", FALSE),1,3), vote4ACTIONS!A:C , 3, FALSE) + VLOOKUP(index(split(O6 ,"", "", "&amp;"FALSE),1,4), vote4ACTIONS!A:C , 3, FALSE)
)
)"),4.25)</f>
        <v>4.25</v>
      </c>
      <c r="Q6" s="169" t="s">
        <v>2577</v>
      </c>
      <c r="R6" s="342">
        <f>IF(ISBLANK(Q6),,IFERROR(
IF(IFERROR(SEARCH("SS:",Q6),0) &gt; 0, 
VLOOKUP(SUBSTITUTE(Q6,"SS: ",""),vote4SURGE!$A:$C , 3, FALSE) - 2,
VLOOKUP(SUBSTITUTE(Q6,"S: ",""),vote4SURGE!$A:$C , 3, FALSE)
)
,
IF(IFERROR(SEARCH("SS:",Q6),0) &gt; 0, 
VLOOKUP(A6,vote4SURGE!$A:$C , 3, FALSE) - 2,
VLOOKUP(A6,vote4SURGE!$A:$C , 3, FALSE)
)
))</f>
        <v>1.5</v>
      </c>
      <c r="S6" s="341"/>
      <c r="T6" s="342" t="str">
        <f>IF(ISBLANK(S6),,IFERROR(
IF(IFERROR(SEARCH("SS:",S6),0) &gt; 0, 
VLOOKUP(SUBSTITUTE(S6,"SS: ",""),vote4SURGE!$A:$C , 3, FALSE) - 2,
VLOOKUP(SUBSTITUTE(S6,"S: ",""),vote4SURGE!$A:$C , 3, FALSE)
)
,
IF(IFERROR(SEARCH("SS:",S6),0) &gt; 0, 
VLOOKUP(A6,vote4SURGE!$A:$C , 3, FALSE) - 2,
VLOOKUP(A6,vote4SURGE!$A:$C , 3, FALSE)
)
))</f>
        <v/>
      </c>
      <c r="U6" s="341"/>
      <c r="V6" s="343" t="str">
        <f>IF(ISBLANK(U6),,IFERROR(
IF(IFERROR(SEARCH("SS:",U6),0) &gt; 0, 
VLOOKUP(SUBSTITUTE(U6,"SS: ",""),vote4SURGE!$A:$C , 3, FALSE) - 2,
VLOOKUP(SUBSTITUTE(U6,"S: ",""),vote4SURGE!$A:$C , 3, FALSE)
)
,
IF(IFERROR(SEARCH("SS:",U6),0) &gt; 0, 
VLOOKUP(A6,vote4SURGE!$A:$C , 3, FALSE) - 2,
VLOOKUP(A6,vote4SURGE!$A:$C , 3, FALSE)
)
))</f>
        <v/>
      </c>
      <c r="W6" s="343">
        <f t="shared" si="1"/>
        <v>2</v>
      </c>
      <c r="X6" s="344">
        <f>IFERROR(__xludf.DUMMYFUNCTION("SWITCH(
LEN(K6) - LEN(SUBSTITUTE(K6,"","","""")),
0 , VLOOKUP(K6, Variables!$A:$C, 3, FALSE),
1 , VLOOKUP(index(split(K6 ,"", "", FALSE),1,1), Variables!$A:$C, 3, FALSE) + VLOOKUP(index(split(K6 ,"", "", FALSE),1,2), Variables!$A:$C, 3, FALSE),
2 , VLOOKU"&amp;"P(index(split(K6 ,"", "", FALSE),1,1), Variables!$A:$C, 3, FALSE) + VLOOKUP(index(split(K6 ,"", "", FALSE),1,2), Variables!$A:$C, 3, FALSE) + VLOOKUP(index(split(K6 ,"", "", FALSE),1,3), Variables!$A:$C, 3, FALSE)
)"),1.1666666666666665)</f>
        <v>1.166666667</v>
      </c>
      <c r="Y6" s="342">
        <f t="shared" si="2"/>
        <v>1.5</v>
      </c>
      <c r="Z6" s="114"/>
      <c r="AA6" s="114"/>
      <c r="AB6" s="114"/>
      <c r="AC6" s="114"/>
      <c r="AD6" s="114" t="s">
        <v>2572</v>
      </c>
      <c r="AE6" s="114"/>
      <c r="AF6" s="114"/>
      <c r="AG6" s="114"/>
      <c r="AH6" s="114"/>
      <c r="AI6" s="114" t="s">
        <v>2572</v>
      </c>
      <c r="AJ6" s="114" t="s">
        <v>2574</v>
      </c>
      <c r="AK6" s="473">
        <v>5.0</v>
      </c>
      <c r="AL6" s="114" t="s">
        <v>2573</v>
      </c>
      <c r="AM6" s="473">
        <v>7.0</v>
      </c>
      <c r="AN6" s="114" t="s">
        <v>2574</v>
      </c>
      <c r="AO6" s="473">
        <v>12.0</v>
      </c>
      <c r="AP6" s="130">
        <f>SUM(
VLOOKUP("Ravage",vote4TRAITS!A:C,3,FALSE)
)</f>
        <v>7.333333333</v>
      </c>
      <c r="AQ6" s="130">
        <f t="shared" si="3"/>
        <v>13.73666667</v>
      </c>
    </row>
    <row r="7" ht="14.25" customHeight="1">
      <c r="A7" s="137" t="s">
        <v>2578</v>
      </c>
      <c r="B7" s="114" t="s">
        <v>2570</v>
      </c>
      <c r="C7" s="114">
        <v>22.0</v>
      </c>
      <c r="D7" s="114">
        <v>2.0</v>
      </c>
      <c r="E7" s="114">
        <v>1.0</v>
      </c>
      <c r="F7" s="487">
        <v>4.0</v>
      </c>
      <c r="G7" s="488">
        <v>7.0</v>
      </c>
      <c r="H7" s="114" t="s">
        <v>1663</v>
      </c>
      <c r="I7" s="130">
        <f>IFERROR(__xludf.DUMMYFUNCTION("SWITCH(
LEN(H7) - LEN(SUBSTITUTE(H7,"","","""")),
0 , VLOOKUP(H7, Variables!$A:$B, 2, FALSE),
1 , VLOOKUP(index(split(H7 ,"", "", FALSE),1,1), Variables!$A:$B , 2, FALSE) + VLOOKUP(index(split(H7 ,"", "", FALSE),1,2), Variables!$A:$B , 2, FALSE),
2 , VLOO"&amp;"KUP(index(split(H7 ,"", "", FALSE),1,1), Variables!$A:$B , 2, FALSE) + VLOOKUP(index(split(H7 ,"", "", FALSE),1,2), Variables!$A:$B , 2, FALSE) + VLOOKUP(index(split(H7 ,"", "", FALSE),1,3), Variables!$A:$B , 2, FALSE)
)"),1.3333333333333333)</f>
        <v>1.333333333</v>
      </c>
      <c r="J7" s="114" t="s">
        <v>1567</v>
      </c>
      <c r="K7" s="114" t="s">
        <v>1546</v>
      </c>
      <c r="L7" s="130">
        <f>IFERROR(__xludf.DUMMYFUNCTION("SWITCH(
LEN(K7) - LEN(SUBSTITUTE(K7,"","","""")),
0 , VLOOKUP(K7, Variables!$A:$B, 2, FALSE),
1 , VLOOKUP(index(split(K7 ,"", "", FALSE),1,1), Variables!$A:$B , 2, FALSE) + VLOOKUP(index(split(K7 ,"", "", FALSE),1,2), Variables!$A:$B , 2, FALSE),
2 , VLOO"&amp;"KUP(index(split(K7 ,"", "", FALSE),1,1), Variables!$A:$B , 2, FALSE) + VLOOKUP(index(split(K7 ,"", "", FALSE),1,2), Variables!$A:$B , 2, FALSE) + VLOOKUP(index(split(K7 ,"", "", FALSE),1,3), Variables!$A:$B , 2, FALSE)
)
+
IF(J7=""Ranged"", 1 , 0)"),4.5)</f>
        <v>4.5</v>
      </c>
      <c r="M7" s="114"/>
      <c r="N7" s="130" t="str">
        <f>IFERROR(__xludf.DUMMYFUNCTION("IF(ISBLANK(M7), , 
SWITCH(
LEN(M7)- LEN(SUBSTITUTE(M7,"","","""")), 
0 , VLOOKUP(M7, vote4TRAITS!A:C , 3, FALSE),
1 , VLOOKUP(index(split(M7 ,"", "", FALSE),1,1), vote4TRAITS!A:C , 3, FALSE) + VLOOKUP(index(split(M7 ,"", "", FALSE),1,2), vote4TRAITS!A:C ,"&amp;" 3, FALSE),
2 , VLOOKUP(index(split(M7 ,"", "", FALSE),1,1), vote4TRAITS!A:C , 3, FALSE) + VLOOKUP(index(split(M7 ,"", "", FALSE),1,2), vote4TRAITS!A:C , 3, FALSE) + VLOOKUP(index(split(M7 ,"", "", FALSE),1,3), vote4TRAITS!A:C , 3, FALSE)
)
)"),"")</f>
        <v/>
      </c>
      <c r="O7" s="114" t="s">
        <v>1361</v>
      </c>
      <c r="P7" s="165">
        <f>IFERROR(__xludf.DUMMYFUNCTION("IF(ISBLANK(O7), , 
SWITCH(
LEN(O7)- LEN(SUBSTITUTE(O7,"","","""")), 
0 , VLOOKUP(O7, vote4ACTIONS!A:C , 3, FALSE),
1 , VLOOKUP(index(split(O7 ,"", "", FALSE),1,1), vote4ACTIONS!A:C , 3, FALSE) + VLOOKUP(index(split(O7 ,"", "", FALSE),1,2), vote4ACTIONS!A:"&amp;"C , 3, FALSE),
2 , VLOOKUP(index(split(O7 ,"", "", FALSE),1,1), vote4ACTIONS!A:C , 3, FALSE) + VLOOKUP(index(split(O7 ,"", "", FALSE),1,2), vote4ACTIONS!A:C , 3, FALSE) + VLOOKUP(index(split(O7 ,"", "", FALSE),1,3), vote4ACTIONS!A:C , 3, FALSE),
3 , VLOOK"&amp;"UP(index(split(O7 ,"", "", FALSE),1,1), vote4ACTIONS!A:C , 3, FALSE) + VLOOKUP(index(split(O7 ,"", "", FALSE),1,2), vote4ACTIONS!A:C , 3, FALSE) + VLOOKUP(index(split(O7 ,"", "", FALSE),1,3), vote4ACTIONS!A:C , 3, FALSE) + VLOOKUP(index(split(O7 ,"", "", "&amp;"FALSE),1,4), vote4ACTIONS!A:C , 3, FALSE)
)
)"),2.5)</f>
        <v>2.5</v>
      </c>
      <c r="Q7" s="340" t="s">
        <v>1534</v>
      </c>
      <c r="R7" s="342">
        <f>IF(ISBLANK(Q7),,IFERROR(
IF(IFERROR(SEARCH("SS:",Q7),0) &gt; 0, 
VLOOKUP(SUBSTITUTE(Q7,"SS: ",""),vote4SURGE!$A:$C , 3, FALSE) - 2,
VLOOKUP(SUBSTITUTE(Q7,"S: ",""),vote4SURGE!$A:$C , 3, FALSE)
)
,
IF(IFERROR(SEARCH("SS:",Q7),0) &gt; 0, 
VLOOKUP(A7,vote4SURGE!$A:$C , 3, FALSE) - 2,
VLOOKUP(A7,vote4SURGE!$A:$C , 3, FALSE)
)
))</f>
        <v>4.25</v>
      </c>
      <c r="S7" s="489" t="s">
        <v>2579</v>
      </c>
      <c r="T7" s="342">
        <f>IF(ISBLANK(S7),,IFERROR(
IF(IFERROR(SEARCH("SS:",S7),0) &gt; 0, 
VLOOKUP(SUBSTITUTE(S7,"SS: ",""),vote4SURGE!$A:$C , 3, FALSE) - 2,
VLOOKUP(SUBSTITUTE(S7,"S: ",""),vote4SURGE!$A:$C , 3, FALSE)
)
,
IF(IFERROR(SEARCH("SS:",S7),0) &gt; 0, 
VLOOKUP(A7,vote4SURGE!$A:$C , 3, FALSE) - 2,
VLOOKUP(A7,vote4SURGE!$A:$C , 3, FALSE)
)
))</f>
        <v>5</v>
      </c>
      <c r="U7" s="341"/>
      <c r="V7" s="343" t="str">
        <f>IF(ISBLANK(U7),,IFERROR(
IF(IFERROR(SEARCH("SS:",U7),0) &gt; 0, 
VLOOKUP(SUBSTITUTE(U7,"SS: ",""),vote4SURGE!$A:$C , 3, FALSE) - 2,
VLOOKUP(SUBSTITUTE(U7,"S: ",""),vote4SURGE!$A:$C , 3, FALSE)
)
,
IF(IFERROR(SEARCH("SS:",U7),0) &gt; 0, 
VLOOKUP(A7,vote4SURGE!$A:$C , 3, FALSE) - 2,
VLOOKUP(A7,vote4SURGE!$A:$C , 3, FALSE)
)
))</f>
        <v/>
      </c>
      <c r="W7" s="343">
        <f t="shared" si="1"/>
        <v>2</v>
      </c>
      <c r="X7" s="344">
        <f>IFERROR(__xludf.DUMMYFUNCTION("SWITCH(
LEN(K7) - LEN(SUBSTITUTE(K7,"","","""")),
0 , VLOOKUP(K7, Variables!$A:$C, 3, FALSE),
1 , VLOOKUP(index(split(K7 ,"", "", FALSE),1,1), Variables!$A:$C, 3, FALSE) + VLOOKUP(index(split(K7 ,"", "", FALSE),1,2), Variables!$A:$C, 3, FALSE),
2 , VLOOKU"&amp;"P(index(split(K7 ,"", "", FALSE),1,1), Variables!$A:$C, 3, FALSE) + VLOOKUP(index(split(K7 ,"", "", FALSE),1,2), Variables!$A:$C, 3, FALSE) + VLOOKUP(index(split(K7 ,"", "", FALSE),1,3), Variables!$A:$C, 3, FALSE)
)"),1.3333333333333333)</f>
        <v>1.333333333</v>
      </c>
      <c r="Y7" s="342">
        <f t="shared" si="2"/>
        <v>7.833333333</v>
      </c>
      <c r="Z7" s="114" t="s">
        <v>2572</v>
      </c>
      <c r="AA7" s="114"/>
      <c r="AB7" s="114"/>
      <c r="AC7" s="114"/>
      <c r="AD7" s="114"/>
      <c r="AE7" s="114"/>
      <c r="AF7" s="114"/>
      <c r="AG7" s="114"/>
      <c r="AH7" s="114"/>
      <c r="AI7" s="114" t="s">
        <v>2572</v>
      </c>
      <c r="AJ7" s="164" t="s">
        <v>2574</v>
      </c>
      <c r="AK7" s="473">
        <v>19.0</v>
      </c>
      <c r="AL7" s="164" t="s">
        <v>2574</v>
      </c>
      <c r="AM7" s="473">
        <v>25.0</v>
      </c>
      <c r="AN7" s="164" t="s">
        <v>2574</v>
      </c>
      <c r="AO7" s="473">
        <v>31.0</v>
      </c>
      <c r="AP7" s="130">
        <f>SUM(
VLOOKUP("Ravage",vote4TRAITS!A:C,3,FALSE)
)</f>
        <v>7.333333333</v>
      </c>
      <c r="AQ7" s="130">
        <f t="shared" si="3"/>
        <v>18.15333333</v>
      </c>
    </row>
    <row r="8" ht="14.25" customHeight="1">
      <c r="A8" s="137" t="s">
        <v>2578</v>
      </c>
      <c r="B8" s="114" t="s">
        <v>2576</v>
      </c>
      <c r="C8" s="114">
        <v>22.0</v>
      </c>
      <c r="D8" s="114">
        <v>2.0</v>
      </c>
      <c r="E8" s="114">
        <v>1.0</v>
      </c>
      <c r="F8" s="487">
        <v>4.0</v>
      </c>
      <c r="G8" s="488">
        <v>6.0</v>
      </c>
      <c r="H8" s="114" t="s">
        <v>1663</v>
      </c>
      <c r="I8" s="130">
        <f>IFERROR(__xludf.DUMMYFUNCTION("SWITCH(
LEN(H8) - LEN(SUBSTITUTE(H8,"","","""")),
0 , VLOOKUP(H8, Variables!$A:$B, 2, FALSE),
1 , VLOOKUP(index(split(H8 ,"", "", FALSE),1,1), Variables!$A:$B , 2, FALSE) + VLOOKUP(index(split(H8 ,"", "", FALSE),1,2), Variables!$A:$B , 2, FALSE),
2 , VLOO"&amp;"KUP(index(split(H8 ,"", "", FALSE),1,1), Variables!$A:$B , 2, FALSE) + VLOOKUP(index(split(H8 ,"", "", FALSE),1,2), Variables!$A:$B , 2, FALSE) + VLOOKUP(index(split(H8 ,"", "", FALSE),1,3), Variables!$A:$B , 2, FALSE)
)"),1.3333333333333333)</f>
        <v>1.333333333</v>
      </c>
      <c r="J8" s="114" t="s">
        <v>1567</v>
      </c>
      <c r="K8" s="114" t="s">
        <v>1525</v>
      </c>
      <c r="L8" s="130">
        <f>IFERROR(__xludf.DUMMYFUNCTION("SWITCH(
LEN(K8) - LEN(SUBSTITUTE(K8,"","","""")),
0 , VLOOKUP(K8, Variables!$A:$B, 2, FALSE),
1 , VLOOKUP(index(split(K8 ,"", "", FALSE),1,1), Variables!$A:$B , 2, FALSE) + VLOOKUP(index(split(K8 ,"", "", FALSE),1,2), Variables!$A:$B , 2, FALSE),
2 , VLOO"&amp;"KUP(index(split(K8 ,"", "", FALSE),1,1), Variables!$A:$B , 2, FALSE) + VLOOKUP(index(split(K8 ,"", "", FALSE),1,2), Variables!$A:$B , 2, FALSE) + VLOOKUP(index(split(K8 ,"", "", FALSE),1,3), Variables!$A:$B , 2, FALSE)
)
+
IF(J8=""Ranged"", 1 , 0)"),4.333333333333333)</f>
        <v>4.333333333</v>
      </c>
      <c r="M8" s="114"/>
      <c r="N8" s="130" t="str">
        <f>IFERROR(__xludf.DUMMYFUNCTION("IF(ISBLANK(M8), , 
SWITCH(
LEN(M8)- LEN(SUBSTITUTE(M8,"","","""")), 
0 , VLOOKUP(M8, vote4TRAITS!A:C , 3, FALSE),
1 , VLOOKUP(index(split(M8 ,"", "", FALSE),1,1), vote4TRAITS!A:C , 3, FALSE) + VLOOKUP(index(split(M8 ,"", "", FALSE),1,2), vote4TRAITS!A:C ,"&amp;" 3, FALSE),
2 , VLOOKUP(index(split(M8 ,"", "", FALSE),1,1), vote4TRAITS!A:C , 3, FALSE) + VLOOKUP(index(split(M8 ,"", "", FALSE),1,2), vote4TRAITS!A:C , 3, FALSE) + VLOOKUP(index(split(M8 ,"", "", FALSE),1,3), vote4TRAITS!A:C , 3, FALSE)
)
)"),"")</f>
        <v/>
      </c>
      <c r="O8" s="114" t="s">
        <v>1361</v>
      </c>
      <c r="P8" s="165">
        <f>IFERROR(__xludf.DUMMYFUNCTION("IF(ISBLANK(O8), , 
SWITCH(
LEN(O8)- LEN(SUBSTITUTE(O8,"","","""")), 
0 , VLOOKUP(O8, vote4ACTIONS!A:C , 3, FALSE),
1 , VLOOKUP(index(split(O8 ,"", "", FALSE),1,1), vote4ACTIONS!A:C , 3, FALSE) + VLOOKUP(index(split(O8 ,"", "", FALSE),1,2), vote4ACTIONS!A:"&amp;"C , 3, FALSE),
2 , VLOOKUP(index(split(O8 ,"", "", FALSE),1,1), vote4ACTIONS!A:C , 3, FALSE) + VLOOKUP(index(split(O8 ,"", "", FALSE),1,2), vote4ACTIONS!A:C , 3, FALSE) + VLOOKUP(index(split(O8 ,"", "", FALSE),1,3), vote4ACTIONS!A:C , 3, FALSE),
3 , VLOOK"&amp;"UP(index(split(O8 ,"", "", FALSE),1,1), vote4ACTIONS!A:C , 3, FALSE) + VLOOKUP(index(split(O8 ,"", "", FALSE),1,2), vote4ACTIONS!A:C , 3, FALSE) + VLOOKUP(index(split(O8 ,"", "", FALSE),1,3), vote4ACTIONS!A:C , 3, FALSE) + VLOOKUP(index(split(O8 ,"", "", "&amp;"FALSE),1,4), vote4ACTIONS!A:C , 3, FALSE)
)
)"),2.5)</f>
        <v>2.5</v>
      </c>
      <c r="Q8" s="340" t="s">
        <v>1534</v>
      </c>
      <c r="R8" s="342">
        <f>IF(ISBLANK(Q8),,IFERROR(
IF(IFERROR(SEARCH("SS:",Q8),0) &gt; 0, 
VLOOKUP(SUBSTITUTE(Q8,"SS: ",""),vote4SURGE!$A:$C , 3, FALSE) - 2,
VLOOKUP(SUBSTITUTE(Q8,"S: ",""),vote4SURGE!$A:$C , 3, FALSE)
)
,
IF(IFERROR(SEARCH("SS:",Q8),0) &gt; 0, 
VLOOKUP(A8,vote4SURGE!$A:$C , 3, FALSE) - 2,
VLOOKUP(A8,vote4SURGE!$A:$C , 3, FALSE)
)
))</f>
        <v>4.25</v>
      </c>
      <c r="S8" s="489" t="s">
        <v>1652</v>
      </c>
      <c r="T8" s="342">
        <f>IF(ISBLANK(S8),,IFERROR(
IF(IFERROR(SEARCH("SS:",S8),0) &gt; 0, 
VLOOKUP(SUBSTITUTE(S8,"SS: ",""),vote4SURGE!$A:$C , 3, FALSE) - 2,
VLOOKUP(SUBSTITUTE(S8,"S: ",""),vote4SURGE!$A:$C , 3, FALSE)
)
,
IF(IFERROR(SEARCH("SS:",S8),0) &gt; 0, 
VLOOKUP(A8,vote4SURGE!$A:$C , 3, FALSE) - 2,
VLOOKUP(A8,vote4SURGE!$A:$C , 3, FALSE)
)
))</f>
        <v>4</v>
      </c>
      <c r="U8" s="83"/>
      <c r="V8" s="343" t="str">
        <f>IF(ISBLANK(U8),,IFERROR(
IF(IFERROR(SEARCH("SS:",U8),0) &gt; 0, 
VLOOKUP(SUBSTITUTE(U8,"SS: ",""),vote4SURGE!$A:$C , 3, FALSE) - 2,
VLOOKUP(SUBSTITUTE(U8,"S: ",""),vote4SURGE!$A:$C , 3, FALSE)
)
,
IF(IFERROR(SEARCH("SS:",U8),0) &gt; 0, 
VLOOKUP(A8,vote4SURGE!$A:$C , 3, FALSE) - 2,
VLOOKUP(A8,vote4SURGE!$A:$C , 3, FALSE)
)
))</f>
        <v/>
      </c>
      <c r="W8" s="343">
        <f t="shared" si="1"/>
        <v>2</v>
      </c>
      <c r="X8" s="344">
        <f>IFERROR(__xludf.DUMMYFUNCTION("SWITCH(
LEN(K8) - LEN(SUBSTITUTE(K8,"","","""")),
0 , VLOOKUP(K8, Variables!$A:$C, 3, FALSE),
1 , VLOOKUP(index(split(K8 ,"", "", FALSE),1,1), Variables!$A:$C, 3, FALSE) + VLOOKUP(index(split(K8 ,"", "", FALSE),1,2), Variables!$A:$C, 3, FALSE),
2 , VLOOKU"&amp;"P(index(split(K8 ,"", "", FALSE),1,1), Variables!$A:$C, 3, FALSE) + VLOOKUP(index(split(K8 ,"", "", FALSE),1,2), Variables!$A:$C, 3, FALSE) + VLOOKUP(index(split(K8 ,"", "", FALSE),1,3), Variables!$A:$C, 3, FALSE)
)"),0.5)</f>
        <v>0.5</v>
      </c>
      <c r="Y8" s="342">
        <f t="shared" si="2"/>
        <v>5.25</v>
      </c>
      <c r="Z8" s="114" t="s">
        <v>2572</v>
      </c>
      <c r="AA8" s="114"/>
      <c r="AB8" s="114"/>
      <c r="AC8" s="114"/>
      <c r="AD8" s="114"/>
      <c r="AE8" s="114"/>
      <c r="AF8" s="114"/>
      <c r="AG8" s="114"/>
      <c r="AH8" s="114"/>
      <c r="AI8" s="114" t="s">
        <v>2572</v>
      </c>
      <c r="AJ8" s="164" t="s">
        <v>369</v>
      </c>
      <c r="AK8" s="473">
        <v>19.0</v>
      </c>
      <c r="AL8" s="164" t="s">
        <v>368</v>
      </c>
      <c r="AM8" s="473">
        <v>25.0</v>
      </c>
      <c r="AN8" s="164" t="s">
        <v>2580</v>
      </c>
      <c r="AO8" s="473">
        <v>31.0</v>
      </c>
      <c r="AP8" s="130">
        <f>SUM(
VLOOKUP("Ravage",vote4TRAITS!A:C,3,FALSE)
)</f>
        <v>7.333333333</v>
      </c>
      <c r="AQ8" s="130">
        <f t="shared" si="3"/>
        <v>14.07</v>
      </c>
    </row>
    <row r="9" ht="14.25" customHeight="1">
      <c r="A9" s="137" t="s">
        <v>2578</v>
      </c>
      <c r="B9" s="114" t="s">
        <v>2570</v>
      </c>
      <c r="C9" s="114">
        <v>22.0</v>
      </c>
      <c r="D9" s="114">
        <v>1.0</v>
      </c>
      <c r="E9" s="114">
        <v>1.0</v>
      </c>
      <c r="F9" s="487">
        <v>5.0</v>
      </c>
      <c r="G9" s="488">
        <v>5.0</v>
      </c>
      <c r="H9" s="114" t="s">
        <v>1663</v>
      </c>
      <c r="I9" s="130">
        <f>IFERROR(__xludf.DUMMYFUNCTION("SWITCH(
LEN(H9) - LEN(SUBSTITUTE(H9,"","","""")),
0 , VLOOKUP(H9, Variables!$A:$B, 2, FALSE),
1 , VLOOKUP(index(split(H9 ,"", "", FALSE),1,1), Variables!$A:$B , 2, FALSE) + VLOOKUP(index(split(H9 ,"", "", FALSE),1,2), Variables!$A:$B , 2, FALSE),
2 , VLOO"&amp;"KUP(index(split(H9 ,"", "", FALSE),1,1), Variables!$A:$B , 2, FALSE) + VLOOKUP(index(split(H9 ,"", "", FALSE),1,2), Variables!$A:$B , 2, FALSE) + VLOOKUP(index(split(H9 ,"", "", FALSE),1,3), Variables!$A:$B , 2, FALSE)
)"),1.3333333333333333)</f>
        <v>1.333333333</v>
      </c>
      <c r="J9" s="114" t="s">
        <v>1567</v>
      </c>
      <c r="K9" s="114" t="s">
        <v>1548</v>
      </c>
      <c r="L9" s="130">
        <f>IFERROR(__xludf.DUMMYFUNCTION("SWITCH(
LEN(K9) - LEN(SUBSTITUTE(K9,"","","""")),
0 , VLOOKUP(K9, Variables!$A:$B, 2, FALSE),
1 , VLOOKUP(index(split(K9 ,"", "", FALSE),1,1), Variables!$A:$B , 2, FALSE) + VLOOKUP(index(split(K9 ,"", "", FALSE),1,2), Variables!$A:$B , 2, FALSE),
2 , VLOO"&amp;"KUP(index(split(K9 ,"", "", FALSE),1,1), Variables!$A:$B , 2, FALSE) + VLOOKUP(index(split(K9 ,"", "", FALSE),1,2), Variables!$A:$B , 2, FALSE) + VLOOKUP(index(split(K9 ,"", "", FALSE),1,3), Variables!$A:$B , 2, FALSE)
)
+
IF(J9=""Ranged"", 1 , 0)"),3.3333333333333335)</f>
        <v>3.333333333</v>
      </c>
      <c r="M9" s="114"/>
      <c r="N9" s="130" t="str">
        <f>IFERROR(__xludf.DUMMYFUNCTION("IF(ISBLANK(M9), , 
SWITCH(
LEN(M9)- LEN(SUBSTITUTE(M9,"","","""")), 
0 , VLOOKUP(M9, vote4TRAITS!A:C , 3, FALSE),
1 , VLOOKUP(index(split(M9 ,"", "", FALSE),1,1), vote4TRAITS!A:C , 3, FALSE) + VLOOKUP(index(split(M9 ,"", "", FALSE),1,2), vote4TRAITS!A:C ,"&amp;" 3, FALSE),
2 , VLOOKUP(index(split(M9 ,"", "", FALSE),1,1), vote4TRAITS!A:C , 3, FALSE) + VLOOKUP(index(split(M9 ,"", "", FALSE),1,2), vote4TRAITS!A:C , 3, FALSE) + VLOOKUP(index(split(M9 ,"", "", FALSE),1,3), vote4TRAITS!A:C , 3, FALSE)
)
)"),"")</f>
        <v/>
      </c>
      <c r="O9" s="114" t="s">
        <v>1361</v>
      </c>
      <c r="P9" s="165">
        <f>IFERROR(__xludf.DUMMYFUNCTION("IF(ISBLANK(O9), , 
SWITCH(
LEN(O9)- LEN(SUBSTITUTE(O9,"","","""")), 
0 , VLOOKUP(O9, vote4ACTIONS!A:C , 3, FALSE),
1 , VLOOKUP(index(split(O9 ,"", "", FALSE),1,1), vote4ACTIONS!A:C , 3, FALSE) + VLOOKUP(index(split(O9 ,"", "", FALSE),1,2), vote4ACTIONS!A:"&amp;"C , 3, FALSE),
2 , VLOOKUP(index(split(O9 ,"", "", FALSE),1,1), vote4ACTIONS!A:C , 3, FALSE) + VLOOKUP(index(split(O9 ,"", "", FALSE),1,2), vote4ACTIONS!A:C , 3, FALSE) + VLOOKUP(index(split(O9 ,"", "", FALSE),1,3), vote4ACTIONS!A:C , 3, FALSE),
3 , VLOOK"&amp;"UP(index(split(O9 ,"", "", FALSE),1,1), vote4ACTIONS!A:C , 3, FALSE) + VLOOKUP(index(split(O9 ,"", "", FALSE),1,2), vote4ACTIONS!A:C , 3, FALSE) + VLOOKUP(index(split(O9 ,"", "", FALSE),1,3), vote4ACTIONS!A:C , 3, FALSE) + VLOOKUP(index(split(O9 ,"", "", "&amp;"FALSE),1,4), vote4ACTIONS!A:C , 3, FALSE)
)
)"),2.5)</f>
        <v>2.5</v>
      </c>
      <c r="Q9" s="340" t="s">
        <v>1534</v>
      </c>
      <c r="R9" s="342">
        <f>IF(ISBLANK(Q9),,IFERROR(
IF(IFERROR(SEARCH("SS:",Q9),0) &gt; 0, 
VLOOKUP(SUBSTITUTE(Q9,"SS: ",""),vote4SURGE!$A:$C , 3, FALSE) - 2,
VLOOKUP(SUBSTITUTE(Q9,"S: ",""),vote4SURGE!$A:$C , 3, FALSE)
)
,
IF(IFERROR(SEARCH("SS:",Q9),0) &gt; 0, 
VLOOKUP(A9,vote4SURGE!$A:$C , 3, FALSE) - 2,
VLOOKUP(A9,vote4SURGE!$A:$C , 3, FALSE)
)
))</f>
        <v>4.25</v>
      </c>
      <c r="S9" s="489" t="s">
        <v>2579</v>
      </c>
      <c r="T9" s="342">
        <f>IF(ISBLANK(S9),,IFERROR(
IF(IFERROR(SEARCH("SS:",S9),0) &gt; 0, 
VLOOKUP(SUBSTITUTE(S9,"SS: ",""),vote4SURGE!$A:$C , 3, FALSE) - 2,
VLOOKUP(SUBSTITUTE(S9,"S: ",""),vote4SURGE!$A:$C , 3, FALSE)
)
,
IF(IFERROR(SEARCH("SS:",S9),0) &gt; 0, 
VLOOKUP(A9,vote4SURGE!$A:$C , 3, FALSE) - 2,
VLOOKUP(A9,vote4SURGE!$A:$C , 3, FALSE)
)
))</f>
        <v>5</v>
      </c>
      <c r="U9" s="341"/>
      <c r="V9" s="343" t="str">
        <f>IF(ISBLANK(U9),,IFERROR(
IF(IFERROR(SEARCH("SS:",U9),0) &gt; 0, 
VLOOKUP(SUBSTITUTE(U9,"SS: ",""),vote4SURGE!$A:$C , 3, FALSE) - 2,
VLOOKUP(SUBSTITUTE(U9,"S: ",""),vote4SURGE!$A:$C , 3, FALSE)
)
,
IF(IFERROR(SEARCH("SS:",U9),0) &gt; 0, 
VLOOKUP(A9,vote4SURGE!$A:$C , 3, FALSE) - 2,
VLOOKUP(A9,vote4SURGE!$A:$C , 3, FALSE)
)
))</f>
        <v/>
      </c>
      <c r="W9" s="343">
        <f t="shared" si="1"/>
        <v>2</v>
      </c>
      <c r="X9" s="344">
        <f>IFERROR(__xludf.DUMMYFUNCTION("SWITCH(
LEN(K9) - LEN(SUBSTITUTE(K9,"","","""")),
0 , VLOOKUP(K9, Variables!$A:$C, 3, FALSE),
1 , VLOOKUP(index(split(K9 ,"", "", FALSE),1,1), Variables!$A:$C, 3, FALSE) + VLOOKUP(index(split(K9 ,"", "", FALSE),1,2), Variables!$A:$C, 3, FALSE),
2 , VLOOKU"&amp;"P(index(split(K9 ,"", "", FALSE),1,1), Variables!$A:$C, 3, FALSE) + VLOOKUP(index(split(K9 ,"", "", FALSE),1,2), Variables!$A:$C, 3, FALSE) + VLOOKUP(index(split(K9 ,"", "", FALSE),1,3), Variables!$A:$C, 3, FALSE)
)"),0.8333333333333333)</f>
        <v>0.8333333333</v>
      </c>
      <c r="Y9" s="342">
        <f t="shared" si="2"/>
        <v>6.770833333</v>
      </c>
      <c r="Z9" s="114" t="s">
        <v>2572</v>
      </c>
      <c r="AA9" s="114"/>
      <c r="AB9" s="114"/>
      <c r="AC9" s="114"/>
      <c r="AD9" s="114"/>
      <c r="AE9" s="114"/>
      <c r="AF9" s="114"/>
      <c r="AG9" s="114"/>
      <c r="AH9" s="114"/>
      <c r="AI9" s="114" t="s">
        <v>2572</v>
      </c>
      <c r="AJ9" s="164" t="s">
        <v>2574</v>
      </c>
      <c r="AK9" s="473">
        <v>13.0</v>
      </c>
      <c r="AL9" s="164" t="s">
        <v>2574</v>
      </c>
      <c r="AM9" s="473">
        <v>17.0</v>
      </c>
      <c r="AN9" s="164" t="s">
        <v>2574</v>
      </c>
      <c r="AO9" s="473">
        <v>21.0</v>
      </c>
      <c r="AP9" s="130">
        <f>SUM(
VLOOKUP("Ravage",vote4TRAITS!A:C,3,FALSE)
)</f>
        <v>7.333333333</v>
      </c>
      <c r="AQ9" s="130">
        <f t="shared" si="3"/>
        <v>13.5875</v>
      </c>
    </row>
    <row r="10" ht="14.25" customHeight="1">
      <c r="A10" s="137" t="s">
        <v>2578</v>
      </c>
      <c r="B10" s="114" t="s">
        <v>2576</v>
      </c>
      <c r="C10" s="114">
        <v>22.0</v>
      </c>
      <c r="D10" s="114">
        <v>1.0</v>
      </c>
      <c r="E10" s="114">
        <v>1.0</v>
      </c>
      <c r="F10" s="487">
        <v>4.0</v>
      </c>
      <c r="G10" s="488">
        <v>4.0</v>
      </c>
      <c r="H10" s="114" t="s">
        <v>1621</v>
      </c>
      <c r="I10" s="130">
        <f>IFERROR(__xludf.DUMMYFUNCTION("SWITCH(
LEN(H10) - LEN(SUBSTITUTE(H10,"","","""")),
0 , VLOOKUP(H10, Variables!$A:$B, 2, FALSE),
1 , VLOOKUP(index(split(H10 ,"", "", FALSE),1,1), Variables!$A:$B , 2, FALSE) + VLOOKUP(index(split(H10 ,"", "", FALSE),1,2), Variables!$A:$B , 2, FALSE),
2 ,"&amp;" VLOOKUP(index(split(H10 ,"", "", FALSE),1,1), Variables!$A:$B , 2, FALSE) + VLOOKUP(index(split(H10 ,"", "", FALSE),1,2), Variables!$A:$B , 2, FALSE) + VLOOKUP(index(split(H10 ,"", "", FALSE),1,3), Variables!$A:$B , 2, FALSE)
)"),0.6666666666666666)</f>
        <v>0.6666666667</v>
      </c>
      <c r="J10" s="114" t="s">
        <v>1567</v>
      </c>
      <c r="K10" s="114" t="s">
        <v>1525</v>
      </c>
      <c r="L10" s="130">
        <f>IFERROR(__xludf.DUMMYFUNCTION("SWITCH(
LEN(K10) - LEN(SUBSTITUTE(K10,"","","""")),
0 , VLOOKUP(K10, Variables!$A:$B, 2, FALSE),
1 , VLOOKUP(index(split(K10 ,"", "", FALSE),1,1), Variables!$A:$B , 2, FALSE) + VLOOKUP(index(split(K10 ,"", "", FALSE),1,2), Variables!$A:$B , 2, FALSE),
2 ,"&amp;" VLOOKUP(index(split(K10 ,"", "", FALSE),1,1), Variables!$A:$B , 2, FALSE) + VLOOKUP(index(split(K10 ,"", "", FALSE),1,2), Variables!$A:$B , 2, FALSE) + VLOOKUP(index(split(K10 ,"", "", FALSE),1,3), Variables!$A:$B , 2, FALSE)
)
+
IF(J10=""Ranged"", 1 , 0"&amp;")"),4.333333333333333)</f>
        <v>4.333333333</v>
      </c>
      <c r="M10" s="114"/>
      <c r="N10" s="130" t="str">
        <f>IFERROR(__xludf.DUMMYFUNCTION("IF(ISBLANK(M10), , 
SWITCH(
LEN(M10)- LEN(SUBSTITUTE(M10,"","","""")), 
0 , VLOOKUP(M10, vote4TRAITS!A:C , 3, FALSE),
1 , VLOOKUP(index(split(M10 ,"", "", FALSE),1,1), vote4TRAITS!A:C , 3, FALSE) + VLOOKUP(index(split(M10 ,"", "", FALSE),1,2), vote4TRAITS"&amp;"!A:C , 3, FALSE),
2 , VLOOKUP(index(split(M10 ,"", "", FALSE),1,1), vote4TRAITS!A:C , 3, FALSE) + VLOOKUP(index(split(M10 ,"", "", FALSE),1,2), vote4TRAITS!A:C , 3, FALSE) + VLOOKUP(index(split(M10 ,"", "", FALSE),1,3), vote4TRAITS!A:C , 3, FALSE)
)
)"),"")</f>
        <v/>
      </c>
      <c r="O10" s="114" t="s">
        <v>1361</v>
      </c>
      <c r="P10" s="165">
        <f>IFERROR(__xludf.DUMMYFUNCTION("IF(ISBLANK(O10), , 
SWITCH(
LEN(O10)- LEN(SUBSTITUTE(O10,"","","""")), 
0 , VLOOKUP(O10, vote4ACTIONS!A:C , 3, FALSE),
1 , VLOOKUP(index(split(O10 ,"", "", FALSE),1,1), vote4ACTIONS!A:C , 3, FALSE) + VLOOKUP(index(split(O10 ,"", "", FALSE),1,2), vote4ACTI"&amp;"ONS!A:C , 3, FALSE),
2 , VLOOKUP(index(split(O10 ,"", "", FALSE),1,1), vote4ACTIONS!A:C , 3, FALSE) + VLOOKUP(index(split(O10 ,"", "", FALSE),1,2), vote4ACTIONS!A:C , 3, FALSE) + VLOOKUP(index(split(O10 ,"", "", FALSE),1,3), vote4ACTIONS!A:C , 3, FALSE),
"&amp;"3 , VLOOKUP(index(split(O10 ,"", "", FALSE),1,1), vote4ACTIONS!A:C , 3, FALSE) + VLOOKUP(index(split(O10 ,"", "", FALSE),1,2), vote4ACTIONS!A:C , 3, FALSE) + VLOOKUP(index(split(O10 ,"", "", FALSE),1,3), vote4ACTIONS!A:C , 3, FALSE) + VLOOKUP(index(split("&amp;"O10 ,"", "", FALSE),1,4), vote4ACTIONS!A:C , 3, FALSE)
)
)"),2.5)</f>
        <v>2.5</v>
      </c>
      <c r="Q10" s="340" t="s">
        <v>1562</v>
      </c>
      <c r="R10" s="342">
        <f>IF(ISBLANK(Q10),,IFERROR(
IF(IFERROR(SEARCH("SS:",Q10),0) &gt; 0, 
VLOOKUP(SUBSTITUTE(Q10,"SS: ",""),vote4SURGE!$A:$C , 3, FALSE) - 2,
VLOOKUP(SUBSTITUTE(Q10,"S: ",""),vote4SURGE!$A:$C , 3, FALSE)
)
,
IF(IFERROR(SEARCH("SS:",Q10),0) &gt; 0, 
VLOOKUP(A10,vote4SURGE!$A:$C , 3, FALSE) - 2,
VLOOKUP(A10,vote4SURGE!$A:$C , 3, FALSE)
)
))</f>
        <v>3.5</v>
      </c>
      <c r="S10" s="489" t="s">
        <v>1652</v>
      </c>
      <c r="T10" s="342">
        <f>IF(ISBLANK(S10),,IFERROR(
IF(IFERROR(SEARCH("SS:",S10),0) &gt; 0, 
VLOOKUP(SUBSTITUTE(S10,"SS: ",""),vote4SURGE!$A:$C , 3, FALSE) - 2,
VLOOKUP(SUBSTITUTE(S10,"S: ",""),vote4SURGE!$A:$C , 3, FALSE)
)
,
IF(IFERROR(SEARCH("SS:",S10),0) &gt; 0, 
VLOOKUP(A10,vote4SURGE!$A:$C , 3, FALSE) - 2,
VLOOKUP(A10,vote4SURGE!$A:$C , 3, FALSE)
)
))</f>
        <v>4</v>
      </c>
      <c r="U10" s="83"/>
      <c r="V10" s="343" t="str">
        <f>IF(ISBLANK(U10),,IFERROR(
IF(IFERROR(SEARCH("SS:",U10),0) &gt; 0, 
VLOOKUP(SUBSTITUTE(U10,"SS: ",""),vote4SURGE!$A:$C , 3, FALSE) - 2,
VLOOKUP(SUBSTITUTE(U10,"S: ",""),vote4SURGE!$A:$C , 3, FALSE)
)
,
IF(IFERROR(SEARCH("SS:",U10),0) &gt; 0, 
VLOOKUP(A10,vote4SURGE!$A:$C , 3, FALSE) - 2,
VLOOKUP(A10,vote4SURGE!$A:$C , 3, FALSE)
)
))</f>
        <v/>
      </c>
      <c r="W10" s="343">
        <f t="shared" si="1"/>
        <v>2</v>
      </c>
      <c r="X10" s="344">
        <f>IFERROR(__xludf.DUMMYFUNCTION("SWITCH(
LEN(K10) - LEN(SUBSTITUTE(K10,"","","""")),
0 , VLOOKUP(K10, Variables!$A:$C, 3, FALSE),
1 , VLOOKUP(index(split(K10 ,"", "", FALSE),1,1), Variables!$A:$C, 3, FALSE) + VLOOKUP(index(split(K10 ,"", "", FALSE),1,2), Variables!$A:$C, 3, FALSE),
2 , V"&amp;"LOOKUP(index(split(K10 ,"", "", FALSE),1,1), Variables!$A:$C, 3, FALSE) + VLOOKUP(index(split(K10 ,"", "", FALSE),1,2), Variables!$A:$C, 3, FALSE) + VLOOKUP(index(split(K10 ,"", "", FALSE),1,3), Variables!$A:$C, 3, FALSE)
)"),0.5)</f>
        <v>0.5</v>
      </c>
      <c r="Y10" s="342">
        <f t="shared" si="2"/>
        <v>4.875</v>
      </c>
      <c r="Z10" s="114" t="s">
        <v>2572</v>
      </c>
      <c r="AA10" s="114"/>
      <c r="AB10" s="114"/>
      <c r="AC10" s="114"/>
      <c r="AD10" s="114"/>
      <c r="AE10" s="114"/>
      <c r="AF10" s="114"/>
      <c r="AG10" s="114"/>
      <c r="AH10" s="114"/>
      <c r="AI10" s="114" t="s">
        <v>2572</v>
      </c>
      <c r="AJ10" s="164" t="s">
        <v>369</v>
      </c>
      <c r="AK10" s="473">
        <v>13.0</v>
      </c>
      <c r="AL10" s="164" t="s">
        <v>368</v>
      </c>
      <c r="AM10" s="473">
        <v>17.0</v>
      </c>
      <c r="AN10" s="164" t="s">
        <v>2580</v>
      </c>
      <c r="AO10" s="473">
        <v>21.0</v>
      </c>
      <c r="AP10" s="130">
        <f>SUM(
VLOOKUP("Ravage",vote4TRAITS!A:C,3,FALSE)
)</f>
        <v>7.333333333</v>
      </c>
      <c r="AQ10" s="130">
        <f t="shared" si="3"/>
        <v>8.361666667</v>
      </c>
    </row>
    <row r="11" ht="14.25" customHeight="1">
      <c r="A11" s="137" t="s">
        <v>1465</v>
      </c>
      <c r="B11" s="114" t="s">
        <v>2570</v>
      </c>
      <c r="C11" s="114">
        <v>30.0</v>
      </c>
      <c r="D11" s="114">
        <v>2.0</v>
      </c>
      <c r="E11" s="114">
        <v>4.0</v>
      </c>
      <c r="F11" s="487">
        <v>4.0</v>
      </c>
      <c r="G11" s="488">
        <v>9.0</v>
      </c>
      <c r="H11" s="114" t="s">
        <v>2575</v>
      </c>
      <c r="I11" s="130">
        <f>IFERROR(__xludf.DUMMYFUNCTION("SWITCH(
LEN(H11) - LEN(SUBSTITUTE(H11,"","","""")),
0 , VLOOKUP(H11, Variables!$A:$B, 2, FALSE),
1 , VLOOKUP(index(split(H11 ,"", "", FALSE),1,1), Variables!$A:$B , 2, FALSE) + VLOOKUP(index(split(H11 ,"", "", FALSE),1,2), Variables!$A:$B , 2, FALSE),
2 ,"&amp;" VLOOKUP(index(split(H11 ,"", "", FALSE),1,1), Variables!$A:$B , 2, FALSE) + VLOOKUP(index(split(H11 ,"", "", FALSE),1,2), Variables!$A:$B , 2, FALSE) + VLOOKUP(index(split(H11 ,"", "", FALSE),1,3), Variables!$A:$B , 2, FALSE)
)"),2.0)</f>
        <v>2</v>
      </c>
      <c r="J11" s="114" t="s">
        <v>1567</v>
      </c>
      <c r="K11" s="114" t="s">
        <v>1537</v>
      </c>
      <c r="L11" s="130">
        <f>IFERROR(__xludf.DUMMYFUNCTION("SWITCH(
LEN(K11) - LEN(SUBSTITUTE(K11,"","","""")),
0 , VLOOKUP(K11, Variables!$A:$B, 2, FALSE),
1 , VLOOKUP(index(split(K11 ,"", "", FALSE),1,1), Variables!$A:$B , 2, FALSE) + VLOOKUP(index(split(K11 ,"", "", FALSE),1,2), Variables!$A:$B , 2, FALSE),
2 ,"&amp;" VLOOKUP(index(split(K11 ,"", "", FALSE),1,1), Variables!$A:$B , 2, FALSE) + VLOOKUP(index(split(K11 ,"", "", FALSE),1,2), Variables!$A:$B , 2, FALSE) + VLOOKUP(index(split(K11 ,"", "", FALSE),1,3), Variables!$A:$B , 2, FALSE)
)
+
IF(J11=""Ranged"", 1 , 0"&amp;")"),5.5)</f>
        <v>5.5</v>
      </c>
      <c r="M11" s="114"/>
      <c r="N11" s="130" t="str">
        <f>IFERROR(__xludf.DUMMYFUNCTION("IF(ISBLANK(M11), , 
SWITCH(
LEN(M11)- LEN(SUBSTITUTE(M11,"","","""")), 
0 , VLOOKUP(M11, vote4TRAITS!A:C , 3, FALSE),
1 , VLOOKUP(index(split(M11 ,"", "", FALSE),1,1), vote4TRAITS!A:C , 3, FALSE) + VLOOKUP(index(split(M11 ,"", "", FALSE),1,2), vote4TRAITS"&amp;"!A:C , 3, FALSE),
2 , VLOOKUP(index(split(M11 ,"", "", FALSE),1,1), vote4TRAITS!A:C , 3, FALSE) + VLOOKUP(index(split(M11 ,"", "", FALSE),1,2), vote4TRAITS!A:C , 3, FALSE) + VLOOKUP(index(split(M11 ,"", "", FALSE),1,3), vote4TRAITS!A:C , 3, FALSE)
)
)"),"")</f>
        <v/>
      </c>
      <c r="O11" s="114" t="s">
        <v>1304</v>
      </c>
      <c r="P11" s="165">
        <f>IFERROR(__xludf.DUMMYFUNCTION("IF(ISBLANK(O11), , 
SWITCH(
LEN(O11)- LEN(SUBSTITUTE(O11,"","","""")), 
0 , VLOOKUP(O11, vote4ACTIONS!A:C , 3, FALSE),
1 , VLOOKUP(index(split(O11 ,"", "", FALSE),1,1), vote4ACTIONS!A:C , 3, FALSE) + VLOOKUP(index(split(O11 ,"", "", FALSE),1,2), vote4ACTI"&amp;"ONS!A:C , 3, FALSE),
2 , VLOOKUP(index(split(O11 ,"", "", FALSE),1,1), vote4ACTIONS!A:C , 3, FALSE) + VLOOKUP(index(split(O11 ,"", "", FALSE),1,2), vote4ACTIONS!A:C , 3, FALSE) + VLOOKUP(index(split(O11 ,"", "", FALSE),1,3), vote4ACTIONS!A:C , 3, FALSE),
"&amp;"3 , VLOOKUP(index(split(O11 ,"", "", FALSE),1,1), vote4ACTIONS!A:C , 3, FALSE) + VLOOKUP(index(split(O11 ,"", "", FALSE),1,2), vote4ACTIONS!A:C , 3, FALSE) + VLOOKUP(index(split(O11 ,"", "", FALSE),1,3), vote4ACTIONS!A:C , 3, FALSE) + VLOOKUP(index(split("&amp;"O11 ,"", "", FALSE),1,4), vote4ACTIONS!A:C , 3, FALSE)
)
)"),1.25)</f>
        <v>1.25</v>
      </c>
      <c r="Q11" s="489" t="s">
        <v>1540</v>
      </c>
      <c r="R11" s="342">
        <f>IF(ISBLANK(Q11),,IFERROR(
IF(IFERROR(SEARCH("SS:",Q11),0) &gt; 0, 
VLOOKUP(SUBSTITUTE(Q11,"SS: ",""),vote4SURGE!$A:$C , 3, FALSE) - 2,
VLOOKUP(SUBSTITUTE(Q11,"S: ",""),vote4SURGE!$A:$C , 3, FALSE)
)
,
IF(IFERROR(SEARCH("SS:",Q11),0) &gt; 0, 
VLOOKUP(A11,vote4SURGE!$A:$C , 3, FALSE) - 2,
VLOOKUP(A11,vote4SURGE!$A:$C , 3, FALSE)
)
))</f>
        <v>5.25</v>
      </c>
      <c r="S11" s="489" t="s">
        <v>1652</v>
      </c>
      <c r="T11" s="342">
        <f>IF(ISBLANK(S11),,IFERROR(
IF(IFERROR(SEARCH("SS:",S11),0) &gt; 0, 
VLOOKUP(SUBSTITUTE(S11,"SS: ",""),vote4SURGE!$A:$C , 3, FALSE) - 2,
VLOOKUP(SUBSTITUTE(S11,"S: ",""),vote4SURGE!$A:$C , 3, FALSE)
)
,
IF(IFERROR(SEARCH("SS:",S11),0) &gt; 0, 
VLOOKUP(A11,vote4SURGE!$A:$C , 3, FALSE) - 2,
VLOOKUP(A11,vote4SURGE!$A:$C , 3, FALSE)
)
))</f>
        <v>4</v>
      </c>
      <c r="U11" s="83"/>
      <c r="V11" s="343" t="str">
        <f>IF(ISBLANK(U11),,IFERROR(
IF(IFERROR(SEARCH("SS:",U11),0) &gt; 0, 
VLOOKUP(SUBSTITUTE(U11,"SS: ",""),vote4SURGE!$A:$C , 3, FALSE) - 2,
VLOOKUP(SUBSTITUTE(U11,"S: ",""),vote4SURGE!$A:$C , 3, FALSE)
)
,
IF(IFERROR(SEARCH("SS:",U11),0) &gt; 0, 
VLOOKUP(A11,vote4SURGE!$A:$C , 3, FALSE) - 2,
VLOOKUP(A11,vote4SURGE!$A:$C , 3, FALSE)
)
))</f>
        <v/>
      </c>
      <c r="W11" s="343">
        <f t="shared" si="1"/>
        <v>2</v>
      </c>
      <c r="X11" s="344">
        <f>IFERROR(__xludf.DUMMYFUNCTION("SWITCH(
LEN(K11) - LEN(SUBSTITUTE(K11,"","","""")),
0 , VLOOKUP(K11, Variables!$A:$C, 3, FALSE),
1 , VLOOKUP(index(split(K11 ,"", "", FALSE),1,1), Variables!$A:$C, 3, FALSE) + VLOOKUP(index(split(K11 ,"", "", FALSE),1,2), Variables!$A:$C, 3, FALSE),
2 , V"&amp;"LOOKUP(index(split(K11 ,"", "", FALSE),1,1), Variables!$A:$C, 3, FALSE) + VLOOKUP(index(split(K11 ,"", "", FALSE),1,2), Variables!$A:$C, 3, FALSE) + VLOOKUP(index(split(K11 ,"", "", FALSE),1,3), Variables!$A:$C, 3, FALSE)
)"),1.0)</f>
        <v>1</v>
      </c>
      <c r="Y11" s="342">
        <f t="shared" si="2"/>
        <v>7.25</v>
      </c>
      <c r="Z11" s="114"/>
      <c r="AA11" s="114" t="s">
        <v>2572</v>
      </c>
      <c r="AB11" s="114"/>
      <c r="AC11" s="114"/>
      <c r="AD11" s="114"/>
      <c r="AE11" s="114" t="s">
        <v>2572</v>
      </c>
      <c r="AF11" s="114"/>
      <c r="AG11" s="114"/>
      <c r="AH11" s="114"/>
      <c r="AI11" s="114"/>
      <c r="AJ11" s="114" t="s">
        <v>2574</v>
      </c>
      <c r="AK11" s="473">
        <v>9.0</v>
      </c>
      <c r="AL11" s="114" t="s">
        <v>2574</v>
      </c>
      <c r="AM11" s="473">
        <v>15.0</v>
      </c>
      <c r="AN11" s="114" t="s">
        <v>2574</v>
      </c>
      <c r="AO11" s="473">
        <v>21.0</v>
      </c>
      <c r="AP11" s="130">
        <f>SUM(
VLOOKUP("Ravage",vote4TRAITS!A:C,3,FALSE)
)</f>
        <v>7.333333333</v>
      </c>
      <c r="AQ11" s="130">
        <f t="shared" si="3"/>
        <v>26.31666667</v>
      </c>
    </row>
    <row r="12" ht="14.25" customHeight="1">
      <c r="A12" s="137" t="s">
        <v>1465</v>
      </c>
      <c r="B12" s="114" t="s">
        <v>2570</v>
      </c>
      <c r="C12" s="114">
        <v>30.0</v>
      </c>
      <c r="D12" s="114">
        <v>1.0</v>
      </c>
      <c r="E12" s="114">
        <v>4.0</v>
      </c>
      <c r="F12" s="487">
        <v>4.0</v>
      </c>
      <c r="G12" s="488">
        <v>7.0</v>
      </c>
      <c r="H12" s="114" t="s">
        <v>1663</v>
      </c>
      <c r="I12" s="130">
        <f>IFERROR(__xludf.DUMMYFUNCTION("SWITCH(
LEN(H12) - LEN(SUBSTITUTE(H12,"","","""")),
0 , VLOOKUP(H12, Variables!$A:$B, 2, FALSE),
1 , VLOOKUP(index(split(H12 ,"", "", FALSE),1,1), Variables!$A:$B , 2, FALSE) + VLOOKUP(index(split(H12 ,"", "", FALSE),1,2), Variables!$A:$B , 2, FALSE),
2 ,"&amp;" VLOOKUP(index(split(H12 ,"", "", FALSE),1,1), Variables!$A:$B , 2, FALSE) + VLOOKUP(index(split(H12 ,"", "", FALSE),1,2), Variables!$A:$B , 2, FALSE) + VLOOKUP(index(split(H12 ,"", "", FALSE),1,3), Variables!$A:$B , 2, FALSE)
)"),1.3333333333333333)</f>
        <v>1.333333333</v>
      </c>
      <c r="J12" s="114" t="s">
        <v>1567</v>
      </c>
      <c r="K12" s="114" t="s">
        <v>1525</v>
      </c>
      <c r="L12" s="130">
        <f>IFERROR(__xludf.DUMMYFUNCTION("SWITCH(
LEN(K12) - LEN(SUBSTITUTE(K12,"","","""")),
0 , VLOOKUP(K12, Variables!$A:$B, 2, FALSE),
1 , VLOOKUP(index(split(K12 ,"", "", FALSE),1,1), Variables!$A:$B , 2, FALSE) + VLOOKUP(index(split(K12 ,"", "", FALSE),1,2), Variables!$A:$B , 2, FALSE),
2 ,"&amp;" VLOOKUP(index(split(K12 ,"", "", FALSE),1,1), Variables!$A:$B , 2, FALSE) + VLOOKUP(index(split(K12 ,"", "", FALSE),1,2), Variables!$A:$B , 2, FALSE) + VLOOKUP(index(split(K12 ,"", "", FALSE),1,3), Variables!$A:$B , 2, FALSE)
)
+
IF(J12=""Ranged"", 1 , 0"&amp;")"),4.333333333333333)</f>
        <v>4.333333333</v>
      </c>
      <c r="M12" s="114"/>
      <c r="N12" s="130" t="str">
        <f>IFERROR(__xludf.DUMMYFUNCTION("IF(ISBLANK(M12), , 
SWITCH(
LEN(M12)- LEN(SUBSTITUTE(M12,"","","""")), 
0 , VLOOKUP(M12, vote4TRAITS!A:C , 3, FALSE),
1 , VLOOKUP(index(split(M12 ,"", "", FALSE),1,1), vote4TRAITS!A:C , 3, FALSE) + VLOOKUP(index(split(M12 ,"", "", FALSE),1,2), vote4TRAITS"&amp;"!A:C , 3, FALSE),
2 , VLOOKUP(index(split(M12 ,"", "", FALSE),1,1), vote4TRAITS!A:C , 3, FALSE) + VLOOKUP(index(split(M12 ,"", "", FALSE),1,2), vote4TRAITS!A:C , 3, FALSE) + VLOOKUP(index(split(M12 ,"", "", FALSE),1,3), vote4TRAITS!A:C , 3, FALSE)
)
)"),"")</f>
        <v/>
      </c>
      <c r="O12" s="114" t="s">
        <v>1304</v>
      </c>
      <c r="P12" s="165">
        <f>IFERROR(__xludf.DUMMYFUNCTION("IF(ISBLANK(O12), , 
SWITCH(
LEN(O12)- LEN(SUBSTITUTE(O12,"","","""")), 
0 , VLOOKUP(O12, vote4ACTIONS!A:C , 3, FALSE),
1 , VLOOKUP(index(split(O12 ,"", "", FALSE),1,1), vote4ACTIONS!A:C , 3, FALSE) + VLOOKUP(index(split(O12 ,"", "", FALSE),1,2), vote4ACTI"&amp;"ONS!A:C , 3, FALSE),
2 , VLOOKUP(index(split(O12 ,"", "", FALSE),1,1), vote4ACTIONS!A:C , 3, FALSE) + VLOOKUP(index(split(O12 ,"", "", FALSE),1,2), vote4ACTIONS!A:C , 3, FALSE) + VLOOKUP(index(split(O12 ,"", "", FALSE),1,3), vote4ACTIONS!A:C , 3, FALSE),
"&amp;"3 , VLOOKUP(index(split(O12 ,"", "", FALSE),1,1), vote4ACTIONS!A:C , 3, FALSE) + VLOOKUP(index(split(O12 ,"", "", FALSE),1,2), vote4ACTIONS!A:C , 3, FALSE) + VLOOKUP(index(split(O12 ,"", "", FALSE),1,3), vote4ACTIONS!A:C , 3, FALSE) + VLOOKUP(index(split("&amp;"O12 ,"", "", FALSE),1,4), vote4ACTIONS!A:C , 3, FALSE)
)
)"),1.25)</f>
        <v>1.25</v>
      </c>
      <c r="Q12" s="489" t="s">
        <v>1524</v>
      </c>
      <c r="R12" s="342">
        <f>IF(ISBLANK(Q12),,IFERROR(
IF(IFERROR(SEARCH("SS:",Q12),0) &gt; 0, 
VLOOKUP(SUBSTITUTE(Q12,"SS: ",""),vote4SURGE!$A:$C , 3, FALSE) - 2,
VLOOKUP(SUBSTITUTE(Q12,"S: ",""),vote4SURGE!$A:$C , 3, FALSE)
)
,
IF(IFERROR(SEARCH("SS:",Q12),0) &gt; 0, 
VLOOKUP(A12,vote4SURGE!$A:$C , 3, FALSE) - 2,
VLOOKUP(A12,vote4SURGE!$A:$C , 3, FALSE)
)
))</f>
        <v>4.5</v>
      </c>
      <c r="S12" s="489" t="s">
        <v>1652</v>
      </c>
      <c r="T12" s="342">
        <f>IF(ISBLANK(S12),,IFERROR(
IF(IFERROR(SEARCH("SS:",S12),0) &gt; 0, 
VLOOKUP(SUBSTITUTE(S12,"SS: ",""),vote4SURGE!$A:$C , 3, FALSE) - 2,
VLOOKUP(SUBSTITUTE(S12,"S: ",""),vote4SURGE!$A:$C , 3, FALSE)
)
,
IF(IFERROR(SEARCH("SS:",S12),0) &gt; 0, 
VLOOKUP(A12,vote4SURGE!$A:$C , 3, FALSE) - 2,
VLOOKUP(A12,vote4SURGE!$A:$C , 3, FALSE)
)
))</f>
        <v>4</v>
      </c>
      <c r="U12" s="83"/>
      <c r="V12" s="343" t="str">
        <f>IF(ISBLANK(U12),,IFERROR(
IF(IFERROR(SEARCH("SS:",U12),0) &gt; 0, 
VLOOKUP(SUBSTITUTE(U12,"SS: ",""),vote4SURGE!$A:$C , 3, FALSE) - 2,
VLOOKUP(SUBSTITUTE(U12,"S: ",""),vote4SURGE!$A:$C , 3, FALSE)
)
,
IF(IFERROR(SEARCH("SS:",U12),0) &gt; 0, 
VLOOKUP(A12,vote4SURGE!$A:$C , 3, FALSE) - 2,
VLOOKUP(A12,vote4SURGE!$A:$C , 3, FALSE)
)
))</f>
        <v/>
      </c>
      <c r="W12" s="343">
        <f t="shared" si="1"/>
        <v>2</v>
      </c>
      <c r="X12" s="344">
        <f>IFERROR(__xludf.DUMMYFUNCTION("SWITCH(
LEN(K12) - LEN(SUBSTITUTE(K12,"","","""")),
0 , VLOOKUP(K12, Variables!$A:$C, 3, FALSE),
1 , VLOOKUP(index(split(K12 ,"", "", FALSE),1,1), Variables!$A:$C, 3, FALSE) + VLOOKUP(index(split(K12 ,"", "", FALSE),1,2), Variables!$A:$C, 3, FALSE),
2 , V"&amp;"LOOKUP(index(split(K12 ,"", "", FALSE),1,1), Variables!$A:$C, 3, FALSE) + VLOOKUP(index(split(K12 ,"", "", FALSE),1,2), Variables!$A:$C, 3, FALSE) + VLOOKUP(index(split(K12 ,"", "", FALSE),1,3), Variables!$A:$C, 3, FALSE)
)"),0.5)</f>
        <v>0.5</v>
      </c>
      <c r="Y12" s="342">
        <f t="shared" si="2"/>
        <v>5.5</v>
      </c>
      <c r="Z12" s="114"/>
      <c r="AA12" s="114" t="s">
        <v>2572</v>
      </c>
      <c r="AB12" s="114"/>
      <c r="AC12" s="114"/>
      <c r="AD12" s="114"/>
      <c r="AE12" s="114" t="s">
        <v>2572</v>
      </c>
      <c r="AF12" s="114"/>
      <c r="AG12" s="114"/>
      <c r="AH12" s="114"/>
      <c r="AI12" s="114"/>
      <c r="AJ12" s="114" t="s">
        <v>2574</v>
      </c>
      <c r="AK12" s="473">
        <v>7.0</v>
      </c>
      <c r="AL12" s="114" t="s">
        <v>2574</v>
      </c>
      <c r="AM12" s="473">
        <v>11.0</v>
      </c>
      <c r="AN12" s="114" t="s">
        <v>2574</v>
      </c>
      <c r="AO12" s="473">
        <v>15.0</v>
      </c>
      <c r="AP12" s="130">
        <f>SUM(
VLOOKUP("Ravage",vote4TRAITS!A:C,3,FALSE)
)</f>
        <v>7.333333333</v>
      </c>
      <c r="AQ12" s="130">
        <f t="shared" si="3"/>
        <v>14.73333333</v>
      </c>
    </row>
    <row r="13" ht="14.25" customHeight="1">
      <c r="A13" s="137" t="s">
        <v>1465</v>
      </c>
      <c r="B13" s="114" t="s">
        <v>2576</v>
      </c>
      <c r="C13" s="114">
        <v>30.0</v>
      </c>
      <c r="D13" s="114">
        <v>2.0</v>
      </c>
      <c r="E13" s="114">
        <v>4.0</v>
      </c>
      <c r="F13" s="487">
        <v>4.0</v>
      </c>
      <c r="G13" s="488">
        <v>6.0</v>
      </c>
      <c r="H13" s="114" t="s">
        <v>2575</v>
      </c>
      <c r="I13" s="130">
        <f>IFERROR(__xludf.DUMMYFUNCTION("SWITCH(
LEN(H13) - LEN(SUBSTITUTE(H13,"","","""")),
0 , VLOOKUP(H13, Variables!$A:$B, 2, FALSE),
1 , VLOOKUP(index(split(H13 ,"", "", FALSE),1,1), Variables!$A:$B , 2, FALSE) + VLOOKUP(index(split(H13 ,"", "", FALSE),1,2), Variables!$A:$B , 2, FALSE),
2 ,"&amp;" VLOOKUP(index(split(H13 ,"", "", FALSE),1,1), Variables!$A:$B , 2, FALSE) + VLOOKUP(index(split(H13 ,"", "", FALSE),1,2), Variables!$A:$B , 2, FALSE) + VLOOKUP(index(split(H13 ,"", "", FALSE),1,3), Variables!$A:$B , 2, FALSE)
)"),2.0)</f>
        <v>2</v>
      </c>
      <c r="J13" s="114" t="s">
        <v>1567</v>
      </c>
      <c r="K13" s="114" t="s">
        <v>1525</v>
      </c>
      <c r="L13" s="130">
        <f>IFERROR(__xludf.DUMMYFUNCTION("SWITCH(
LEN(K13) - LEN(SUBSTITUTE(K13,"","","""")),
0 , VLOOKUP(K13, Variables!$A:$B, 2, FALSE),
1 , VLOOKUP(index(split(K13 ,"", "", FALSE),1,1), Variables!$A:$B , 2, FALSE) + VLOOKUP(index(split(K13 ,"", "", FALSE),1,2), Variables!$A:$B , 2, FALSE),
2 ,"&amp;" VLOOKUP(index(split(K13 ,"", "", FALSE),1,1), Variables!$A:$B , 2, FALSE) + VLOOKUP(index(split(K13 ,"", "", FALSE),1,2), Variables!$A:$B , 2, FALSE) + VLOOKUP(index(split(K13 ,"", "", FALSE),1,3), Variables!$A:$B , 2, FALSE)
)
+
IF(J13=""Ranged"", 1 , 0"&amp;")"),4.333333333333333)</f>
        <v>4.333333333</v>
      </c>
      <c r="M13" s="114"/>
      <c r="N13" s="130" t="str">
        <f>IFERROR(__xludf.DUMMYFUNCTION("IF(ISBLANK(M13), , 
SWITCH(
LEN(M13)- LEN(SUBSTITUTE(M13,"","","""")), 
0 , VLOOKUP(M13, vote4TRAITS!A:C , 3, FALSE),
1 , VLOOKUP(index(split(M13 ,"", "", FALSE),1,1), vote4TRAITS!A:C , 3, FALSE) + VLOOKUP(index(split(M13 ,"", "", FALSE),1,2), vote4TRAITS"&amp;"!A:C , 3, FALSE),
2 , VLOOKUP(index(split(M13 ,"", "", FALSE),1,1), vote4TRAITS!A:C , 3, FALSE) + VLOOKUP(index(split(M13 ,"", "", FALSE),1,2), vote4TRAITS!A:C , 3, FALSE) + VLOOKUP(index(split(M13 ,"", "", FALSE),1,3), vote4TRAITS!A:C , 3, FALSE)
)
)"),"")</f>
        <v/>
      </c>
      <c r="O13" s="490"/>
      <c r="P13" s="165" t="str">
        <f>IFERROR(__xludf.DUMMYFUNCTION("IF(ISBLANK(O13), , 
SWITCH(
LEN(O13)- LEN(SUBSTITUTE(O13,"","","""")), 
0 , VLOOKUP(O13, vote4ACTIONS!A:C , 3, FALSE),
1 , VLOOKUP(index(split(O13 ,"", "", FALSE),1,1), vote4ACTIONS!A:C , 3, FALSE) + VLOOKUP(index(split(O13 ,"", "", FALSE),1,2), vote4ACTI"&amp;"ONS!A:C , 3, FALSE),
2 , VLOOKUP(index(split(O13 ,"", "", FALSE),1,1), vote4ACTIONS!A:C , 3, FALSE) + VLOOKUP(index(split(O13 ,"", "", FALSE),1,2), vote4ACTIONS!A:C , 3, FALSE) + VLOOKUP(index(split(O13 ,"", "", FALSE),1,3), vote4ACTIONS!A:C , 3, FALSE),
"&amp;"3 , VLOOKUP(index(split(O13 ,"", "", FALSE),1,1), vote4ACTIONS!A:C , 3, FALSE) + VLOOKUP(index(split(O13 ,"", "", FALSE),1,2), vote4ACTIONS!A:C , 3, FALSE) + VLOOKUP(index(split(O13 ,"", "", FALSE),1,3), vote4ACTIONS!A:C , 3, FALSE) + VLOOKUP(index(split("&amp;"O13 ,"", "", FALSE),1,4), vote4ACTIONS!A:C , 3, FALSE)
)
)"),"")</f>
        <v/>
      </c>
      <c r="Q13" s="169" t="s">
        <v>1524</v>
      </c>
      <c r="R13" s="342">
        <f>IF(ISBLANK(Q13),,IFERROR(
IF(IFERROR(SEARCH("SS:",Q13),0) &gt; 0, 
VLOOKUP(SUBSTITUTE(Q13,"SS: ",""),vote4SURGE!$A:$C , 3, FALSE) - 2,
VLOOKUP(SUBSTITUTE(Q13,"S: ",""),vote4SURGE!$A:$C , 3, FALSE)
)
,
IF(IFERROR(SEARCH("SS:",Q13),0) &gt; 0, 
VLOOKUP(A13,vote4SURGE!$A:$C , 3, FALSE) - 2,
VLOOKUP(A13,vote4SURGE!$A:$C , 3, FALSE)
)
))</f>
        <v>4.5</v>
      </c>
      <c r="S13" s="489" t="s">
        <v>1652</v>
      </c>
      <c r="T13" s="342">
        <f>IF(ISBLANK(S13),,IFERROR(
IF(IFERROR(SEARCH("SS:",S13),0) &gt; 0, 
VLOOKUP(SUBSTITUTE(S13,"SS: ",""),vote4SURGE!$A:$C , 3, FALSE) - 2,
VLOOKUP(SUBSTITUTE(S13,"S: ",""),vote4SURGE!$A:$C , 3, FALSE)
)
,
IF(IFERROR(SEARCH("SS:",S13),0) &gt; 0, 
VLOOKUP(A13,vote4SURGE!$A:$C , 3, FALSE) - 2,
VLOOKUP(A13,vote4SURGE!$A:$C , 3, FALSE)
)
))</f>
        <v>4</v>
      </c>
      <c r="U13" s="83"/>
      <c r="V13" s="343" t="str">
        <f>IF(ISBLANK(U13),,IFERROR(
IF(IFERROR(SEARCH("SS:",U13),0) &gt; 0, 
VLOOKUP(SUBSTITUTE(U13,"SS: ",""),vote4SURGE!$A:$C , 3, FALSE) - 2,
VLOOKUP(SUBSTITUTE(U13,"S: ",""),vote4SURGE!$A:$C , 3, FALSE)
)
,
IF(IFERROR(SEARCH("SS:",U13),0) &gt; 0, 
VLOOKUP(A13,vote4SURGE!$A:$C , 3, FALSE) - 2,
VLOOKUP(A13,vote4SURGE!$A:$C , 3, FALSE)
)
))</f>
        <v/>
      </c>
      <c r="W13" s="343">
        <f t="shared" si="1"/>
        <v>2</v>
      </c>
      <c r="X13" s="344">
        <f>IFERROR(__xludf.DUMMYFUNCTION("SWITCH(
LEN(K13) - LEN(SUBSTITUTE(K13,"","","""")),
0 , VLOOKUP(K13, Variables!$A:$C, 3, FALSE),
1 , VLOOKUP(index(split(K13 ,"", "", FALSE),1,1), Variables!$A:$C, 3, FALSE) + VLOOKUP(index(split(K13 ,"", "", FALSE),1,2), Variables!$A:$C, 3, FALSE),
2 , V"&amp;"LOOKUP(index(split(K13 ,"", "", FALSE),1,1), Variables!$A:$C, 3, FALSE) + VLOOKUP(index(split(K13 ,"", "", FALSE),1,2), Variables!$A:$C, 3, FALSE) + VLOOKUP(index(split(K13 ,"", "", FALSE),1,3), Variables!$A:$C, 3, FALSE)
)"),0.5)</f>
        <v>0.5</v>
      </c>
      <c r="Y13" s="342">
        <f t="shared" si="2"/>
        <v>5.5</v>
      </c>
      <c r="Z13" s="114"/>
      <c r="AA13" s="114" t="s">
        <v>2572</v>
      </c>
      <c r="AB13" s="114"/>
      <c r="AC13" s="114"/>
      <c r="AD13" s="114"/>
      <c r="AE13" s="114" t="s">
        <v>2572</v>
      </c>
      <c r="AF13" s="114"/>
      <c r="AG13" s="114"/>
      <c r="AH13" s="114"/>
      <c r="AI13" s="114"/>
      <c r="AJ13" s="114" t="s">
        <v>2573</v>
      </c>
      <c r="AK13" s="473">
        <v>9.0</v>
      </c>
      <c r="AL13" s="114" t="s">
        <v>2574</v>
      </c>
      <c r="AM13" s="473">
        <v>15.0</v>
      </c>
      <c r="AN13" s="114" t="s">
        <v>369</v>
      </c>
      <c r="AO13" s="473">
        <v>21.0</v>
      </c>
      <c r="AP13" s="130">
        <f>SUM(
VLOOKUP("Ravage",vote4TRAITS!A:C,3,FALSE)
)</f>
        <v>7.333333333</v>
      </c>
      <c r="AQ13" s="130">
        <f t="shared" si="3"/>
        <v>16.15</v>
      </c>
    </row>
    <row r="14" ht="14.25" customHeight="1">
      <c r="A14" s="137" t="s">
        <v>1465</v>
      </c>
      <c r="B14" s="114" t="s">
        <v>2576</v>
      </c>
      <c r="C14" s="114">
        <v>30.0</v>
      </c>
      <c r="D14" s="114">
        <v>1.0</v>
      </c>
      <c r="E14" s="114">
        <v>4.0</v>
      </c>
      <c r="F14" s="487">
        <v>4.0</v>
      </c>
      <c r="G14" s="488">
        <v>4.0</v>
      </c>
      <c r="H14" s="114" t="s">
        <v>1663</v>
      </c>
      <c r="I14" s="130">
        <f>IFERROR(__xludf.DUMMYFUNCTION("SWITCH(
LEN(H14) - LEN(SUBSTITUTE(H14,"","","""")),
0 , VLOOKUP(H14, Variables!$A:$B, 2, FALSE),
1 , VLOOKUP(index(split(H14 ,"", "", FALSE),1,1), Variables!$A:$B , 2, FALSE) + VLOOKUP(index(split(H14 ,"", "", FALSE),1,2), Variables!$A:$B , 2, FALSE),
2 ,"&amp;" VLOOKUP(index(split(H14 ,"", "", FALSE),1,1), Variables!$A:$B , 2, FALSE) + VLOOKUP(index(split(H14 ,"", "", FALSE),1,2), Variables!$A:$B , 2, FALSE) + VLOOKUP(index(split(H14 ,"", "", FALSE),1,3), Variables!$A:$B , 2, FALSE)
)"),1.3333333333333333)</f>
        <v>1.333333333</v>
      </c>
      <c r="J14" s="114" t="s">
        <v>1567</v>
      </c>
      <c r="K14" s="114" t="s">
        <v>1525</v>
      </c>
      <c r="L14" s="130">
        <f>IFERROR(__xludf.DUMMYFUNCTION("SWITCH(
LEN(K14) - LEN(SUBSTITUTE(K14,"","","""")),
0 , VLOOKUP(K14, Variables!$A:$B, 2, FALSE),
1 , VLOOKUP(index(split(K14 ,"", "", FALSE),1,1), Variables!$A:$B , 2, FALSE) + VLOOKUP(index(split(K14 ,"", "", FALSE),1,2), Variables!$A:$B , 2, FALSE),
2 ,"&amp;" VLOOKUP(index(split(K14 ,"", "", FALSE),1,1), Variables!$A:$B , 2, FALSE) + VLOOKUP(index(split(K14 ,"", "", FALSE),1,2), Variables!$A:$B , 2, FALSE) + VLOOKUP(index(split(K14 ,"", "", FALSE),1,3), Variables!$A:$B , 2, FALSE)
)
+
IF(J14=""Ranged"", 1 , 0"&amp;")"),4.333333333333333)</f>
        <v>4.333333333</v>
      </c>
      <c r="M14" s="114"/>
      <c r="N14" s="130" t="str">
        <f>IFERROR(__xludf.DUMMYFUNCTION("IF(ISBLANK(M14), , 
SWITCH(
LEN(M14)- LEN(SUBSTITUTE(M14,"","","""")), 
0 , VLOOKUP(M14, vote4TRAITS!A:C , 3, FALSE),
1 , VLOOKUP(index(split(M14 ,"", "", FALSE),1,1), vote4TRAITS!A:C , 3, FALSE) + VLOOKUP(index(split(M14 ,"", "", FALSE),1,2), vote4TRAITS"&amp;"!A:C , 3, FALSE),
2 , VLOOKUP(index(split(M14 ,"", "", FALSE),1,1), vote4TRAITS!A:C , 3, FALSE) + VLOOKUP(index(split(M14 ,"", "", FALSE),1,2), vote4TRAITS!A:C , 3, FALSE) + VLOOKUP(index(split(M14 ,"", "", FALSE),1,3), vote4TRAITS!A:C , 3, FALSE)
)
)"),"")</f>
        <v/>
      </c>
      <c r="O14" s="490"/>
      <c r="P14" s="165" t="str">
        <f>IFERROR(__xludf.DUMMYFUNCTION("IF(ISBLANK(O14), , 
SWITCH(
LEN(O14)- LEN(SUBSTITUTE(O14,"","","""")), 
0 , VLOOKUP(O14, vote4ACTIONS!A:C , 3, FALSE),
1 , VLOOKUP(index(split(O14 ,"", "", FALSE),1,1), vote4ACTIONS!A:C , 3, FALSE) + VLOOKUP(index(split(O14 ,"", "", FALSE),1,2), vote4ACTI"&amp;"ONS!A:C , 3, FALSE),
2 , VLOOKUP(index(split(O14 ,"", "", FALSE),1,1), vote4ACTIONS!A:C , 3, FALSE) + VLOOKUP(index(split(O14 ,"", "", FALSE),1,2), vote4ACTIONS!A:C , 3, FALSE) + VLOOKUP(index(split(O14 ,"", "", FALSE),1,3), vote4ACTIONS!A:C , 3, FALSE),
"&amp;"3 , VLOOKUP(index(split(O14 ,"", "", FALSE),1,1), vote4ACTIONS!A:C , 3, FALSE) + VLOOKUP(index(split(O14 ,"", "", FALSE),1,2), vote4ACTIONS!A:C , 3, FALSE) + VLOOKUP(index(split(O14 ,"", "", FALSE),1,3), vote4ACTIONS!A:C , 3, FALSE) + VLOOKUP(index(split("&amp;"O14 ,"", "", FALSE),1,4), vote4ACTIONS!A:C , 3, FALSE)
)
)"),"")</f>
        <v/>
      </c>
      <c r="Q14" s="169" t="s">
        <v>1564</v>
      </c>
      <c r="R14" s="342">
        <f>IF(ISBLANK(Q14),,IFERROR(
IF(IFERROR(SEARCH("SS:",Q14),0) &gt; 0, 
VLOOKUP(SUBSTITUTE(Q14,"SS: ",""),vote4SURGE!$A:$C , 3, FALSE) - 2,
VLOOKUP(SUBSTITUTE(Q14,"S: ",""),vote4SURGE!$A:$C , 3, FALSE)
)
,
IF(IFERROR(SEARCH("SS:",Q14),0) &gt; 0, 
VLOOKUP(A14,vote4SURGE!$A:$C , 3, FALSE) - 2,
VLOOKUP(A14,vote4SURGE!$A:$C , 3, FALSE)
)
))</f>
        <v>3.5</v>
      </c>
      <c r="S14" s="489" t="s">
        <v>1652</v>
      </c>
      <c r="T14" s="342">
        <f>IF(ISBLANK(S14),,IFERROR(
IF(IFERROR(SEARCH("SS:",S14),0) &gt; 0, 
VLOOKUP(SUBSTITUTE(S14,"SS: ",""),vote4SURGE!$A:$C , 3, FALSE) - 2,
VLOOKUP(SUBSTITUTE(S14,"S: ",""),vote4SURGE!$A:$C , 3, FALSE)
)
,
IF(IFERROR(SEARCH("SS:",S14),0) &gt; 0, 
VLOOKUP(A14,vote4SURGE!$A:$C , 3, FALSE) - 2,
VLOOKUP(A14,vote4SURGE!$A:$C , 3, FALSE)
)
))</f>
        <v>4</v>
      </c>
      <c r="U14" s="83"/>
      <c r="V14" s="343" t="str">
        <f>IF(ISBLANK(U14),,IFERROR(
IF(IFERROR(SEARCH("SS:",U14),0) &gt; 0, 
VLOOKUP(SUBSTITUTE(U14,"SS: ",""),vote4SURGE!$A:$C , 3, FALSE) - 2,
VLOOKUP(SUBSTITUTE(U14,"S: ",""),vote4SURGE!$A:$C , 3, FALSE)
)
,
IF(IFERROR(SEARCH("SS:",U14),0) &gt; 0, 
VLOOKUP(A14,vote4SURGE!$A:$C , 3, FALSE) - 2,
VLOOKUP(A14,vote4SURGE!$A:$C , 3, FALSE)
)
))</f>
        <v/>
      </c>
      <c r="W14" s="343">
        <f t="shared" si="1"/>
        <v>2</v>
      </c>
      <c r="X14" s="344">
        <f>IFERROR(__xludf.DUMMYFUNCTION("SWITCH(
LEN(K14) - LEN(SUBSTITUTE(K14,"","","""")),
0 , VLOOKUP(K14, Variables!$A:$C, 3, FALSE),
1 , VLOOKUP(index(split(K14 ,"", "", FALSE),1,1), Variables!$A:$C, 3, FALSE) + VLOOKUP(index(split(K14 ,"", "", FALSE),1,2), Variables!$A:$C, 3, FALSE),
2 , V"&amp;"LOOKUP(index(split(K14 ,"", "", FALSE),1,1), Variables!$A:$C, 3, FALSE) + VLOOKUP(index(split(K14 ,"", "", FALSE),1,2), Variables!$A:$C, 3, FALSE) + VLOOKUP(index(split(K14 ,"", "", FALSE),1,3), Variables!$A:$C, 3, FALSE)
)"),0.5)</f>
        <v>0.5</v>
      </c>
      <c r="Y14" s="342">
        <f t="shared" si="2"/>
        <v>4.875</v>
      </c>
      <c r="Z14" s="114"/>
      <c r="AA14" s="114" t="s">
        <v>2572</v>
      </c>
      <c r="AB14" s="114"/>
      <c r="AC14" s="114"/>
      <c r="AD14" s="114"/>
      <c r="AE14" s="114" t="s">
        <v>2572</v>
      </c>
      <c r="AF14" s="114"/>
      <c r="AG14" s="114"/>
      <c r="AH14" s="114"/>
      <c r="AI14" s="114"/>
      <c r="AJ14" s="114" t="s">
        <v>2573</v>
      </c>
      <c r="AK14" s="473">
        <v>7.0</v>
      </c>
      <c r="AL14" s="114" t="s">
        <v>2574</v>
      </c>
      <c r="AM14" s="473">
        <v>11.0</v>
      </c>
      <c r="AN14" s="114" t="s">
        <v>369</v>
      </c>
      <c r="AO14" s="473">
        <v>15.0</v>
      </c>
      <c r="AP14" s="130">
        <f>SUM(
VLOOKUP("Ravage",vote4TRAITS!A:C,3,FALSE)
)</f>
        <v>7.333333333</v>
      </c>
      <c r="AQ14" s="130">
        <f t="shared" si="3"/>
        <v>8.858333333</v>
      </c>
    </row>
    <row r="15" ht="14.25" customHeight="1">
      <c r="A15" s="137" t="s">
        <v>2581</v>
      </c>
      <c r="B15" s="114" t="s">
        <v>2570</v>
      </c>
      <c r="C15" s="114">
        <v>1.0</v>
      </c>
      <c r="D15" s="114">
        <v>2.0</v>
      </c>
      <c r="E15" s="114">
        <v>2.0</v>
      </c>
      <c r="F15" s="487">
        <v>4.0</v>
      </c>
      <c r="G15" s="488">
        <v>8.0</v>
      </c>
      <c r="H15" s="114" t="s">
        <v>1671</v>
      </c>
      <c r="I15" s="130">
        <f>IFERROR(__xludf.DUMMYFUNCTION("SWITCH(
LEN(H15) - LEN(SUBSTITUTE(H15,"","","""")),
0 , VLOOKUP(H15, Variables!$A:$B, 2, FALSE),
1 , VLOOKUP(index(split(H15 ,"", "", FALSE),1,1), Variables!$A:$B , 2, FALSE) + VLOOKUP(index(split(H15 ,"", "", FALSE),1,2), Variables!$A:$B , 2, FALSE),
2 ,"&amp;" VLOOKUP(index(split(H15 ,"", "", FALSE),1,1), Variables!$A:$B , 2, FALSE) + VLOOKUP(index(split(H15 ,"", "", FALSE),1,2), Variables!$A:$B , 2, FALSE) + VLOOKUP(index(split(H15 ,"", "", FALSE),1,3), Variables!$A:$B , 2, FALSE)
)"),2.1666666666666665)</f>
        <v>2.166666667</v>
      </c>
      <c r="J15" s="114" t="s">
        <v>1521</v>
      </c>
      <c r="K15" s="114" t="s">
        <v>1537</v>
      </c>
      <c r="L15" s="130">
        <f>IFERROR(__xludf.DUMMYFUNCTION("SWITCH(
LEN(K15) - LEN(SUBSTITUTE(K15,"","","""")),
0 , VLOOKUP(K15, Variables!$A:$B, 2, FALSE),
1 , VLOOKUP(index(split(K15 ,"", "", FALSE),1,1), Variables!$A:$B , 2, FALSE) + VLOOKUP(index(split(K15 ,"", "", FALSE),1,2), Variables!$A:$B , 2, FALSE),
2 ,"&amp;" VLOOKUP(index(split(K15 ,"", "", FALSE),1,1), Variables!$A:$B , 2, FALSE) + VLOOKUP(index(split(K15 ,"", "", FALSE),1,2), Variables!$A:$B , 2, FALSE) + VLOOKUP(index(split(K15 ,"", "", FALSE),1,3), Variables!$A:$B , 2, FALSE)
)
+
IF(J15=""Ranged"", 1 , 0"&amp;")"),4.5)</f>
        <v>4.5</v>
      </c>
      <c r="M15" s="114" t="s">
        <v>1062</v>
      </c>
      <c r="N15" s="130">
        <f>IFERROR(__xludf.DUMMYFUNCTION("IF(ISBLANK(M15), , 
SWITCH(
LEN(M15)- LEN(SUBSTITUTE(M15,"","","""")), 
0 , VLOOKUP(M15, vote4TRAITS!A:C , 3, FALSE),
1 , VLOOKUP(index(split(M15 ,"", "", FALSE),1,1), vote4TRAITS!A:C , 3, FALSE) + VLOOKUP(index(split(M15 ,"", "", FALSE),1,2), vote4TRAITS"&amp;"!A:C , 3, FALSE),
2 , VLOOKUP(index(split(M15 ,"", "", FALSE),1,1), vote4TRAITS!A:C , 3, FALSE) + VLOOKUP(index(split(M15 ,"", "", FALSE),1,2), vote4TRAITS!A:C , 3, FALSE) + VLOOKUP(index(split(M15 ,"", "", FALSE),1,3), vote4TRAITS!A:C , 3, FALSE)
)
)"),2.3333333333333335)</f>
        <v>2.333333333</v>
      </c>
      <c r="O15" s="114" t="s">
        <v>1342</v>
      </c>
      <c r="P15" s="165">
        <f>IFERROR(__xludf.DUMMYFUNCTION("IF(ISBLANK(O15), , 
SWITCH(
LEN(O15)- LEN(SUBSTITUTE(O15,"","","""")), 
0 , VLOOKUP(O15, vote4ACTIONS!A:C , 3, FALSE),
1 , VLOOKUP(index(split(O15 ,"", "", FALSE),1,1), vote4ACTIONS!A:C , 3, FALSE) + VLOOKUP(index(split(O15 ,"", "", FALSE),1,2), vote4ACTI"&amp;"ONS!A:C , 3, FALSE),
2 , VLOOKUP(index(split(O15 ,"", "", FALSE),1,1), vote4ACTIONS!A:C , 3, FALSE) + VLOOKUP(index(split(O15 ,"", "", FALSE),1,2), vote4ACTIONS!A:C , 3, FALSE) + VLOOKUP(index(split(O15 ,"", "", FALSE),1,3), vote4ACTIONS!A:C , 3, FALSE),
"&amp;"3 , VLOOKUP(index(split(O15 ,"", "", FALSE),1,1), vote4ACTIONS!A:C , 3, FALSE) + VLOOKUP(index(split(O15 ,"", "", FALSE),1,2), vote4ACTIONS!A:C , 3, FALSE) + VLOOKUP(index(split(O15 ,"", "", FALSE),1,3), vote4ACTIONS!A:C , 3, FALSE) + VLOOKUP(index(split("&amp;"O15 ,"", "", FALSE),1,4), vote4ACTIONS!A:C , 3, FALSE)
)
)"),2.0)</f>
        <v>2</v>
      </c>
      <c r="Q15" s="340" t="s">
        <v>1534</v>
      </c>
      <c r="R15" s="342">
        <f>IF(ISBLANK(Q15),,IFERROR(
IF(IFERROR(SEARCH("SS:",Q15),0) &gt; 0, 
VLOOKUP(SUBSTITUTE(Q15,"SS: ",""),vote4SURGE!$A:$C , 3, FALSE) - 2,
VLOOKUP(SUBSTITUTE(Q15,"S: ",""),vote4SURGE!$A:$C , 3, FALSE)
)
,
IF(IFERROR(SEARCH("SS:",Q15),0) &gt; 0, 
VLOOKUP(A15,vote4SURGE!$A:$C , 3, FALSE) - 2,
VLOOKUP(A15,vote4SURGE!$A:$C , 3, FALSE)
)
))</f>
        <v>4.25</v>
      </c>
      <c r="S15" s="341"/>
      <c r="T15" s="342" t="str">
        <f>IF(ISBLANK(S15),,IFERROR(
IF(IFERROR(SEARCH("SS:",S15),0) &gt; 0, 
VLOOKUP(SUBSTITUTE(S15,"SS: ",""),vote4SURGE!$A:$C , 3, FALSE) - 2,
VLOOKUP(SUBSTITUTE(S15,"S: ",""),vote4SURGE!$A:$C , 3, FALSE)
)
,
IF(IFERROR(SEARCH("SS:",S15),0) &gt; 0, 
VLOOKUP(A15,vote4SURGE!$A:$C , 3, FALSE) - 2,
VLOOKUP(A15,vote4SURGE!$A:$C , 3, FALSE)
)
))</f>
        <v/>
      </c>
      <c r="U15" s="341"/>
      <c r="V15" s="343" t="str">
        <f>IF(ISBLANK(U15),,IFERROR(
IF(IFERROR(SEARCH("SS:",U15),0) &gt; 0, 
VLOOKUP(SUBSTITUTE(U15,"SS: ",""),vote4SURGE!$A:$C , 3, FALSE) - 2,
VLOOKUP(SUBSTITUTE(U15,"S: ",""),vote4SURGE!$A:$C , 3, FALSE)
)
,
IF(IFERROR(SEARCH("SS:",U15),0) &gt; 0, 
VLOOKUP(A15,vote4SURGE!$A:$C , 3, FALSE) - 2,
VLOOKUP(A15,vote4SURGE!$A:$C , 3, FALSE)
)
))</f>
        <v/>
      </c>
      <c r="W15" s="343">
        <f t="shared" si="1"/>
        <v>1</v>
      </c>
      <c r="X15" s="344">
        <f>IFERROR(__xludf.DUMMYFUNCTION("SWITCH(
LEN(K15) - LEN(SUBSTITUTE(K15,"","","""")),
0 , VLOOKUP(K15, Variables!$A:$C, 3, FALSE),
1 , VLOOKUP(index(split(K15 ,"", "", FALSE),1,1), Variables!$A:$C, 3, FALSE) + VLOOKUP(index(split(K15 ,"", "", FALSE),1,2), Variables!$A:$C, 3, FALSE),
2 , V"&amp;"LOOKUP(index(split(K15 ,"", "", FALSE),1,1), Variables!$A:$C, 3, FALSE) + VLOOKUP(index(split(K15 ,"", "", FALSE),1,2), Variables!$A:$C, 3, FALSE) + VLOOKUP(index(split(K15 ,"", "", FALSE),1,3), Variables!$A:$C, 3, FALSE)
)"),1.0)</f>
        <v>1</v>
      </c>
      <c r="Y15" s="342">
        <f t="shared" si="2"/>
        <v>4.25</v>
      </c>
      <c r="Z15" s="114"/>
      <c r="AA15" s="114"/>
      <c r="AB15" s="114"/>
      <c r="AC15" s="114"/>
      <c r="AD15" s="114"/>
      <c r="AE15" s="114" t="s">
        <v>2572</v>
      </c>
      <c r="AF15" s="114"/>
      <c r="AG15" s="114"/>
      <c r="AH15" s="114"/>
      <c r="AI15" s="114" t="s">
        <v>2572</v>
      </c>
      <c r="AJ15" s="114" t="s">
        <v>2574</v>
      </c>
      <c r="AK15" s="473">
        <v>14.0</v>
      </c>
      <c r="AL15" s="114" t="s">
        <v>2574</v>
      </c>
      <c r="AM15" s="473">
        <v>20.0</v>
      </c>
      <c r="AN15" s="114" t="s">
        <v>2574</v>
      </c>
      <c r="AO15" s="473">
        <v>26.0</v>
      </c>
      <c r="AP15" s="130">
        <f>SUM(
VLOOKUP("Ravage",vote4TRAITS!A:C,3,FALSE)
)</f>
        <v>7.333333333</v>
      </c>
      <c r="AQ15" s="130">
        <f t="shared" si="3"/>
        <v>24.73333333</v>
      </c>
    </row>
    <row r="16" ht="14.25" customHeight="1">
      <c r="A16" s="137" t="s">
        <v>2581</v>
      </c>
      <c r="B16" s="114" t="s">
        <v>2570</v>
      </c>
      <c r="C16" s="114">
        <v>1.0</v>
      </c>
      <c r="D16" s="114">
        <v>1.0</v>
      </c>
      <c r="E16" s="114">
        <v>2.0</v>
      </c>
      <c r="F16" s="487">
        <v>4.0</v>
      </c>
      <c r="G16" s="488">
        <v>6.0</v>
      </c>
      <c r="H16" s="114" t="s">
        <v>1663</v>
      </c>
      <c r="I16" s="130">
        <f>IFERROR(__xludf.DUMMYFUNCTION("SWITCH(
LEN(H16) - LEN(SUBSTITUTE(H16,"","","""")),
0 , VLOOKUP(H16, Variables!$A:$B, 2, FALSE),
1 , VLOOKUP(index(split(H16 ,"", "", FALSE),1,1), Variables!$A:$B , 2, FALSE) + VLOOKUP(index(split(H16 ,"", "", FALSE),1,2), Variables!$A:$B , 2, FALSE),
2 ,"&amp;" VLOOKUP(index(split(H16 ,"", "", FALSE),1,1), Variables!$A:$B , 2, FALSE) + VLOOKUP(index(split(H16 ,"", "", FALSE),1,2), Variables!$A:$B , 2, FALSE) + VLOOKUP(index(split(H16 ,"", "", FALSE),1,3), Variables!$A:$B , 2, FALSE)
)"),1.3333333333333333)</f>
        <v>1.333333333</v>
      </c>
      <c r="J16" s="114" t="s">
        <v>1521</v>
      </c>
      <c r="K16" s="114" t="s">
        <v>1525</v>
      </c>
      <c r="L16" s="130">
        <f>IFERROR(__xludf.DUMMYFUNCTION("SWITCH(
LEN(K16) - LEN(SUBSTITUTE(K16,"","","""")),
0 , VLOOKUP(K16, Variables!$A:$B, 2, FALSE),
1 , VLOOKUP(index(split(K16 ,"", "", FALSE),1,1), Variables!$A:$B , 2, FALSE) + VLOOKUP(index(split(K16 ,"", "", FALSE),1,2), Variables!$A:$B , 2, FALSE),
2 ,"&amp;" VLOOKUP(index(split(K16 ,"", "", FALSE),1,1), Variables!$A:$B , 2, FALSE) + VLOOKUP(index(split(K16 ,"", "", FALSE),1,2), Variables!$A:$B , 2, FALSE) + VLOOKUP(index(split(K16 ,"", "", FALSE),1,3), Variables!$A:$B , 2, FALSE)
)
+
IF(J16=""Ranged"", 1 , 0"&amp;")"),3.333333333333333)</f>
        <v>3.333333333</v>
      </c>
      <c r="M16" s="114" t="s">
        <v>1062</v>
      </c>
      <c r="N16" s="130">
        <f>IFERROR(__xludf.DUMMYFUNCTION("IF(ISBLANK(M16), , 
SWITCH(
LEN(M16)- LEN(SUBSTITUTE(M16,"","","""")), 
0 , VLOOKUP(M16, vote4TRAITS!A:C , 3, FALSE),
1 , VLOOKUP(index(split(M16 ,"", "", FALSE),1,1), vote4TRAITS!A:C , 3, FALSE) + VLOOKUP(index(split(M16 ,"", "", FALSE),1,2), vote4TRAITS"&amp;"!A:C , 3, FALSE),
2 , VLOOKUP(index(split(M16 ,"", "", FALSE),1,1), vote4TRAITS!A:C , 3, FALSE) + VLOOKUP(index(split(M16 ,"", "", FALSE),1,2), vote4TRAITS!A:C , 3, FALSE) + VLOOKUP(index(split(M16 ,"", "", FALSE),1,3), vote4TRAITS!A:C , 3, FALSE)
)
)"),2.3333333333333335)</f>
        <v>2.333333333</v>
      </c>
      <c r="O16" s="114" t="s">
        <v>1342</v>
      </c>
      <c r="P16" s="165">
        <f>IFERROR(__xludf.DUMMYFUNCTION("IF(ISBLANK(O16), , 
SWITCH(
LEN(O16)- LEN(SUBSTITUTE(O16,"","","""")), 
0 , VLOOKUP(O16, vote4ACTIONS!A:C , 3, FALSE),
1 , VLOOKUP(index(split(O16 ,"", "", FALSE),1,1), vote4ACTIONS!A:C , 3, FALSE) + VLOOKUP(index(split(O16 ,"", "", FALSE),1,2), vote4ACTI"&amp;"ONS!A:C , 3, FALSE),
2 , VLOOKUP(index(split(O16 ,"", "", FALSE),1,1), vote4ACTIONS!A:C , 3, FALSE) + VLOOKUP(index(split(O16 ,"", "", FALSE),1,2), vote4ACTIONS!A:C , 3, FALSE) + VLOOKUP(index(split(O16 ,"", "", FALSE),1,3), vote4ACTIONS!A:C , 3, FALSE),
"&amp;"3 , VLOOKUP(index(split(O16 ,"", "", FALSE),1,1), vote4ACTIONS!A:C , 3, FALSE) + VLOOKUP(index(split(O16 ,"", "", FALSE),1,2), vote4ACTIONS!A:C , 3, FALSE) + VLOOKUP(index(split(O16 ,"", "", FALSE),1,3), vote4ACTIONS!A:C , 3, FALSE) + VLOOKUP(index(split("&amp;"O16 ,"", "", FALSE),1,4), vote4ACTIONS!A:C , 3, FALSE)
)
)"),2.0)</f>
        <v>2</v>
      </c>
      <c r="Q16" s="340" t="s">
        <v>1534</v>
      </c>
      <c r="R16" s="342">
        <f>IF(ISBLANK(Q16),,IFERROR(
IF(IFERROR(SEARCH("SS:",Q16),0) &gt; 0, 
VLOOKUP(SUBSTITUTE(Q16,"SS: ",""),vote4SURGE!$A:$C , 3, FALSE) - 2,
VLOOKUP(SUBSTITUTE(Q16,"S: ",""),vote4SURGE!$A:$C , 3, FALSE)
)
,
IF(IFERROR(SEARCH("SS:",Q16),0) &gt; 0, 
VLOOKUP(A16,vote4SURGE!$A:$C , 3, FALSE) - 2,
VLOOKUP(A16,vote4SURGE!$A:$C , 3, FALSE)
)
))</f>
        <v>4.25</v>
      </c>
      <c r="S16" s="341"/>
      <c r="T16" s="342" t="str">
        <f>IF(ISBLANK(S16),,IFERROR(
IF(IFERROR(SEARCH("SS:",S16),0) &gt; 0, 
VLOOKUP(SUBSTITUTE(S16,"SS: ",""),vote4SURGE!$A:$C , 3, FALSE) - 2,
VLOOKUP(SUBSTITUTE(S16,"S: ",""),vote4SURGE!$A:$C , 3, FALSE)
)
,
IF(IFERROR(SEARCH("SS:",S16),0) &gt; 0, 
VLOOKUP(A16,vote4SURGE!$A:$C , 3, FALSE) - 2,
VLOOKUP(A16,vote4SURGE!$A:$C , 3, FALSE)
)
))</f>
        <v/>
      </c>
      <c r="U16" s="341"/>
      <c r="V16" s="343" t="str">
        <f>IF(ISBLANK(U16),,IFERROR(
IF(IFERROR(SEARCH("SS:",U16),0) &gt; 0, 
VLOOKUP(SUBSTITUTE(U16,"SS: ",""),vote4SURGE!$A:$C , 3, FALSE) - 2,
VLOOKUP(SUBSTITUTE(U16,"S: ",""),vote4SURGE!$A:$C , 3, FALSE)
)
,
IF(IFERROR(SEARCH("SS:",U16),0) &gt; 0, 
VLOOKUP(A16,vote4SURGE!$A:$C , 3, FALSE) - 2,
VLOOKUP(A16,vote4SURGE!$A:$C , 3, FALSE)
)
))</f>
        <v/>
      </c>
      <c r="W16" s="343">
        <f t="shared" si="1"/>
        <v>1</v>
      </c>
      <c r="X16" s="344">
        <f>IFERROR(__xludf.DUMMYFUNCTION("SWITCH(
LEN(K16) - LEN(SUBSTITUTE(K16,"","","""")),
0 , VLOOKUP(K16, Variables!$A:$C, 3, FALSE),
1 , VLOOKUP(index(split(K16 ,"", "", FALSE),1,1), Variables!$A:$C, 3, FALSE) + VLOOKUP(index(split(K16 ,"", "", FALSE),1,2), Variables!$A:$C, 3, FALSE),
2 , V"&amp;"LOOKUP(index(split(K16 ,"", "", FALSE),1,1), Variables!$A:$C, 3, FALSE) + VLOOKUP(index(split(K16 ,"", "", FALSE),1,2), Variables!$A:$C, 3, FALSE) + VLOOKUP(index(split(K16 ,"", "", FALSE),1,3), Variables!$A:$C, 3, FALSE)
)"),0.5)</f>
        <v>0.5</v>
      </c>
      <c r="Y16" s="342">
        <f t="shared" si="2"/>
        <v>2.125</v>
      </c>
      <c r="Z16" s="114"/>
      <c r="AA16" s="114"/>
      <c r="AB16" s="114"/>
      <c r="AC16" s="114"/>
      <c r="AD16" s="114"/>
      <c r="AE16" s="114" t="s">
        <v>2572</v>
      </c>
      <c r="AF16" s="114"/>
      <c r="AG16" s="114"/>
      <c r="AH16" s="114"/>
      <c r="AI16" s="114" t="s">
        <v>2572</v>
      </c>
      <c r="AJ16" s="114" t="s">
        <v>2574</v>
      </c>
      <c r="AK16" s="473">
        <v>10.0</v>
      </c>
      <c r="AL16" s="114" t="s">
        <v>2574</v>
      </c>
      <c r="AM16" s="473">
        <v>14.0</v>
      </c>
      <c r="AN16" s="114" t="s">
        <v>2574</v>
      </c>
      <c r="AO16" s="473">
        <v>18.0</v>
      </c>
      <c r="AP16" s="130">
        <f>SUM(
VLOOKUP("Ravage",vote4TRAITS!A:C,3,FALSE)
)</f>
        <v>7.333333333</v>
      </c>
      <c r="AQ16" s="130">
        <f t="shared" si="3"/>
        <v>12.10833333</v>
      </c>
    </row>
    <row r="17" ht="14.25" customHeight="1">
      <c r="A17" s="137" t="s">
        <v>2581</v>
      </c>
      <c r="B17" s="114" t="s">
        <v>2576</v>
      </c>
      <c r="C17" s="114">
        <v>1.0</v>
      </c>
      <c r="D17" s="114">
        <v>2.0</v>
      </c>
      <c r="E17" s="114">
        <v>2.0</v>
      </c>
      <c r="F17" s="487">
        <v>4.0</v>
      </c>
      <c r="G17" s="488">
        <v>6.0</v>
      </c>
      <c r="H17" s="114" t="s">
        <v>1671</v>
      </c>
      <c r="I17" s="130">
        <f>IFERROR(__xludf.DUMMYFUNCTION("SWITCH(
LEN(H17) - LEN(SUBSTITUTE(H17,"","","""")),
0 , VLOOKUP(H17, Variables!$A:$B, 2, FALSE),
1 , VLOOKUP(index(split(H17 ,"", "", FALSE),1,1), Variables!$A:$B , 2, FALSE) + VLOOKUP(index(split(H17 ,"", "", FALSE),1,2), Variables!$A:$B , 2, FALSE),
2 ,"&amp;" VLOOKUP(index(split(H17 ,"", "", FALSE),1,1), Variables!$A:$B , 2, FALSE) + VLOOKUP(index(split(H17 ,"", "", FALSE),1,2), Variables!$A:$B , 2, FALSE) + VLOOKUP(index(split(H17 ,"", "", FALSE),1,3), Variables!$A:$B , 2, FALSE)
)"),2.1666666666666665)</f>
        <v>2.166666667</v>
      </c>
      <c r="J17" s="114" t="s">
        <v>1521</v>
      </c>
      <c r="K17" s="114" t="s">
        <v>1525</v>
      </c>
      <c r="L17" s="130">
        <f>IFERROR(__xludf.DUMMYFUNCTION("SWITCH(
LEN(K17) - LEN(SUBSTITUTE(K17,"","","""")),
0 , VLOOKUP(K17, Variables!$A:$B, 2, FALSE),
1 , VLOOKUP(index(split(K17 ,"", "", FALSE),1,1), Variables!$A:$B , 2, FALSE) + VLOOKUP(index(split(K17 ,"", "", FALSE),1,2), Variables!$A:$B , 2, FALSE),
2 ,"&amp;" VLOOKUP(index(split(K17 ,"", "", FALSE),1,1), Variables!$A:$B , 2, FALSE) + VLOOKUP(index(split(K17 ,"", "", FALSE),1,2), Variables!$A:$B , 2, FALSE) + VLOOKUP(index(split(K17 ,"", "", FALSE),1,3), Variables!$A:$B , 2, FALSE)
)
+
IF(J17=""Ranged"", 1 , 0"&amp;")"),3.333333333333333)</f>
        <v>3.333333333</v>
      </c>
      <c r="M17" s="114"/>
      <c r="N17" s="130" t="str">
        <f>IFERROR(__xludf.DUMMYFUNCTION("IF(ISBLANK(M17), , 
SWITCH(
LEN(M17)- LEN(SUBSTITUTE(M17,"","","""")), 
0 , VLOOKUP(M17, vote4TRAITS!A:C , 3, FALSE),
1 , VLOOKUP(index(split(M17 ,"", "", FALSE),1,1), vote4TRAITS!A:C , 3, FALSE) + VLOOKUP(index(split(M17 ,"", "", FALSE),1,2), vote4TRAITS"&amp;"!A:C , 3, FALSE),
2 , VLOOKUP(index(split(M17 ,"", "", FALSE),1,1), vote4TRAITS!A:C , 3, FALSE) + VLOOKUP(index(split(M17 ,"", "", FALSE),1,2), vote4TRAITS!A:C , 3, FALSE) + VLOOKUP(index(split(M17 ,"", "", FALSE),1,3), vote4TRAITS!A:C , 3, FALSE)
)
)"),"")</f>
        <v/>
      </c>
      <c r="O17" s="114" t="s">
        <v>1342</v>
      </c>
      <c r="P17" s="165">
        <f>IFERROR(__xludf.DUMMYFUNCTION("IF(ISBLANK(O17), , 
SWITCH(
LEN(O17)- LEN(SUBSTITUTE(O17,"","","""")), 
0 , VLOOKUP(O17, vote4ACTIONS!A:C , 3, FALSE),
1 , VLOOKUP(index(split(O17 ,"", "", FALSE),1,1), vote4ACTIONS!A:C , 3, FALSE) + VLOOKUP(index(split(O17 ,"", "", FALSE),1,2), vote4ACTI"&amp;"ONS!A:C , 3, FALSE),
2 , VLOOKUP(index(split(O17 ,"", "", FALSE),1,1), vote4ACTIONS!A:C , 3, FALSE) + VLOOKUP(index(split(O17 ,"", "", FALSE),1,2), vote4ACTIONS!A:C , 3, FALSE) + VLOOKUP(index(split(O17 ,"", "", FALSE),1,3), vote4ACTIONS!A:C , 3, FALSE),
"&amp;"3 , VLOOKUP(index(split(O17 ,"", "", FALSE),1,1), vote4ACTIONS!A:C , 3, FALSE) + VLOOKUP(index(split(O17 ,"", "", FALSE),1,2), vote4ACTIONS!A:C , 3, FALSE) + VLOOKUP(index(split(O17 ,"", "", FALSE),1,3), vote4ACTIONS!A:C , 3, FALSE) + VLOOKUP(index(split("&amp;"O17 ,"", "", FALSE),1,4), vote4ACTIONS!A:C , 3, FALSE)
)
)"),2.0)</f>
        <v>2</v>
      </c>
      <c r="Q17" s="340" t="s">
        <v>1534</v>
      </c>
      <c r="R17" s="342">
        <f>IF(ISBLANK(Q17),,IFERROR(
IF(IFERROR(SEARCH("SS:",Q17),0) &gt; 0, 
VLOOKUP(SUBSTITUTE(Q17,"SS: ",""),vote4SURGE!$A:$C , 3, FALSE) - 2,
VLOOKUP(SUBSTITUTE(Q17,"S: ",""),vote4SURGE!$A:$C , 3, FALSE)
)
,
IF(IFERROR(SEARCH("SS:",Q17),0) &gt; 0, 
VLOOKUP(A17,vote4SURGE!$A:$C , 3, FALSE) - 2,
VLOOKUP(A17,vote4SURGE!$A:$C , 3, FALSE)
)
))</f>
        <v>4.25</v>
      </c>
      <c r="S17" s="164"/>
      <c r="T17" s="342" t="str">
        <f>IF(ISBLANK(S17),,IFERROR(
IF(IFERROR(SEARCH("SS:",S17),0) &gt; 0, 
VLOOKUP(SUBSTITUTE(S17,"SS: ",""),vote4SURGE!$A:$C , 3, FALSE) - 2,
VLOOKUP(SUBSTITUTE(S17,"S: ",""),vote4SURGE!$A:$C , 3, FALSE)
)
,
IF(IFERROR(SEARCH("SS:",S17),0) &gt; 0, 
VLOOKUP(A17,vote4SURGE!$A:$C , 3, FALSE) - 2,
VLOOKUP(A17,vote4SURGE!$A:$C , 3, FALSE)
)
))</f>
        <v/>
      </c>
      <c r="U17" s="164"/>
      <c r="V17" s="343" t="str">
        <f>IF(ISBLANK(U17),,IFERROR(
IF(IFERROR(SEARCH("SS:",U17),0) &gt; 0, 
VLOOKUP(SUBSTITUTE(U17,"SS: ",""),vote4SURGE!$A:$C , 3, FALSE) - 2,
VLOOKUP(SUBSTITUTE(U17,"S: ",""),vote4SURGE!$A:$C , 3, FALSE)
)
,
IF(IFERROR(SEARCH("SS:",U17),0) &gt; 0, 
VLOOKUP(A17,vote4SURGE!$A:$C , 3, FALSE) - 2,
VLOOKUP(A17,vote4SURGE!$A:$C , 3, FALSE)
)
))</f>
        <v/>
      </c>
      <c r="W17" s="343">
        <f t="shared" si="1"/>
        <v>1</v>
      </c>
      <c r="X17" s="344">
        <f>IFERROR(__xludf.DUMMYFUNCTION("SWITCH(
LEN(K17) - LEN(SUBSTITUTE(K17,"","","""")),
0 , VLOOKUP(K17, Variables!$A:$C, 3, FALSE),
1 , VLOOKUP(index(split(K17 ,"", "", FALSE),1,1), Variables!$A:$C, 3, FALSE) + VLOOKUP(index(split(K17 ,"", "", FALSE),1,2), Variables!$A:$C, 3, FALSE),
2 , V"&amp;"LOOKUP(index(split(K17 ,"", "", FALSE),1,1), Variables!$A:$C, 3, FALSE) + VLOOKUP(index(split(K17 ,"", "", FALSE),1,2), Variables!$A:$C, 3, FALSE) + VLOOKUP(index(split(K17 ,"", "", FALSE),1,3), Variables!$A:$C, 3, FALSE)
)"),0.5)</f>
        <v>0.5</v>
      </c>
      <c r="Y17" s="342">
        <f t="shared" si="2"/>
        <v>2.125</v>
      </c>
      <c r="Z17" s="114"/>
      <c r="AA17" s="114"/>
      <c r="AB17" s="114"/>
      <c r="AC17" s="114"/>
      <c r="AD17" s="114"/>
      <c r="AE17" s="114" t="s">
        <v>2572</v>
      </c>
      <c r="AF17" s="114"/>
      <c r="AG17" s="114"/>
      <c r="AH17" s="114"/>
      <c r="AI17" s="114" t="s">
        <v>2572</v>
      </c>
      <c r="AJ17" s="114" t="s">
        <v>2574</v>
      </c>
      <c r="AK17" s="473">
        <v>14.0</v>
      </c>
      <c r="AL17" s="114" t="s">
        <v>369</v>
      </c>
      <c r="AM17" s="473">
        <v>20.0</v>
      </c>
      <c r="AN17" s="114" t="s">
        <v>368</v>
      </c>
      <c r="AO17" s="473">
        <v>26.0</v>
      </c>
      <c r="AP17" s="130">
        <f>SUM(
VLOOKUP("Ravage",vote4TRAITS!A:C,3,FALSE)
)</f>
        <v>7.333333333</v>
      </c>
      <c r="AQ17" s="130">
        <f t="shared" si="3"/>
        <v>14.775</v>
      </c>
    </row>
    <row r="18" ht="14.25" customHeight="1">
      <c r="A18" s="137" t="s">
        <v>2581</v>
      </c>
      <c r="B18" s="114" t="s">
        <v>2576</v>
      </c>
      <c r="C18" s="114">
        <v>1.0</v>
      </c>
      <c r="D18" s="114">
        <v>1.0</v>
      </c>
      <c r="E18" s="114">
        <v>2.0</v>
      </c>
      <c r="F18" s="487">
        <v>4.0</v>
      </c>
      <c r="G18" s="488">
        <v>4.0</v>
      </c>
      <c r="H18" s="114" t="s">
        <v>1663</v>
      </c>
      <c r="I18" s="130">
        <f>IFERROR(__xludf.DUMMYFUNCTION("SWITCH(
LEN(H18) - LEN(SUBSTITUTE(H18,"","","""")),
0 , VLOOKUP(H18, Variables!$A:$B, 2, FALSE),
1 , VLOOKUP(index(split(H18 ,"", "", FALSE),1,1), Variables!$A:$B , 2, FALSE) + VLOOKUP(index(split(H18 ,"", "", FALSE),1,2), Variables!$A:$B , 2, FALSE),
2 ,"&amp;" VLOOKUP(index(split(H18 ,"", "", FALSE),1,1), Variables!$A:$B , 2, FALSE) + VLOOKUP(index(split(H18 ,"", "", FALSE),1,2), Variables!$A:$B , 2, FALSE) + VLOOKUP(index(split(H18 ,"", "", FALSE),1,3), Variables!$A:$B , 2, FALSE)
)"),1.3333333333333333)</f>
        <v>1.333333333</v>
      </c>
      <c r="J18" s="114" t="s">
        <v>1521</v>
      </c>
      <c r="K18" s="114" t="s">
        <v>1525</v>
      </c>
      <c r="L18" s="130">
        <f>IFERROR(__xludf.DUMMYFUNCTION("SWITCH(
LEN(K18) - LEN(SUBSTITUTE(K18,"","","""")),
0 , VLOOKUP(K18, Variables!$A:$B, 2, FALSE),
1 , VLOOKUP(index(split(K18 ,"", "", FALSE),1,1), Variables!$A:$B , 2, FALSE) + VLOOKUP(index(split(K18 ,"", "", FALSE),1,2), Variables!$A:$B , 2, FALSE),
2 ,"&amp;" VLOOKUP(index(split(K18 ,"", "", FALSE),1,1), Variables!$A:$B , 2, FALSE) + VLOOKUP(index(split(K18 ,"", "", FALSE),1,2), Variables!$A:$B , 2, FALSE) + VLOOKUP(index(split(K18 ,"", "", FALSE),1,3), Variables!$A:$B , 2, FALSE)
)
+
IF(J18=""Ranged"", 1 , 0"&amp;")"),3.333333333333333)</f>
        <v>3.333333333</v>
      </c>
      <c r="M18" s="114"/>
      <c r="N18" s="130" t="str">
        <f>IFERROR(__xludf.DUMMYFUNCTION("IF(ISBLANK(M18), , 
SWITCH(
LEN(M18)- LEN(SUBSTITUTE(M18,"","","""")), 
0 , VLOOKUP(M18, vote4TRAITS!A:C , 3, FALSE),
1 , VLOOKUP(index(split(M18 ,"", "", FALSE),1,1), vote4TRAITS!A:C , 3, FALSE) + VLOOKUP(index(split(M18 ,"", "", FALSE),1,2), vote4TRAITS"&amp;"!A:C , 3, FALSE),
2 , VLOOKUP(index(split(M18 ,"", "", FALSE),1,1), vote4TRAITS!A:C , 3, FALSE) + VLOOKUP(index(split(M18 ,"", "", FALSE),1,2), vote4TRAITS!A:C , 3, FALSE) + VLOOKUP(index(split(M18 ,"", "", FALSE),1,3), vote4TRAITS!A:C , 3, FALSE)
)
)"),"")</f>
        <v/>
      </c>
      <c r="O18" s="114" t="s">
        <v>1342</v>
      </c>
      <c r="P18" s="165">
        <f>IFERROR(__xludf.DUMMYFUNCTION("IF(ISBLANK(O18), , 
SWITCH(
LEN(O18)- LEN(SUBSTITUTE(O18,"","","""")), 
0 , VLOOKUP(O18, vote4ACTIONS!A:C , 3, FALSE),
1 , VLOOKUP(index(split(O18 ,"", "", FALSE),1,1), vote4ACTIONS!A:C , 3, FALSE) + VLOOKUP(index(split(O18 ,"", "", FALSE),1,2), vote4ACTI"&amp;"ONS!A:C , 3, FALSE),
2 , VLOOKUP(index(split(O18 ,"", "", FALSE),1,1), vote4ACTIONS!A:C , 3, FALSE) + VLOOKUP(index(split(O18 ,"", "", FALSE),1,2), vote4ACTIONS!A:C , 3, FALSE) + VLOOKUP(index(split(O18 ,"", "", FALSE),1,3), vote4ACTIONS!A:C , 3, FALSE),
"&amp;"3 , VLOOKUP(index(split(O18 ,"", "", FALSE),1,1), vote4ACTIONS!A:C , 3, FALSE) + VLOOKUP(index(split(O18 ,"", "", FALSE),1,2), vote4ACTIONS!A:C , 3, FALSE) + VLOOKUP(index(split(O18 ,"", "", FALSE),1,3), vote4ACTIONS!A:C , 3, FALSE) + VLOOKUP(index(split("&amp;"O18 ,"", "", FALSE),1,4), vote4ACTIONS!A:C , 3, FALSE)
)
)"),2.0)</f>
        <v>2</v>
      </c>
      <c r="Q18" s="340" t="s">
        <v>1562</v>
      </c>
      <c r="R18" s="342">
        <f>IF(ISBLANK(Q18),,IFERROR(
IF(IFERROR(SEARCH("SS:",Q18),0) &gt; 0, 
VLOOKUP(SUBSTITUTE(Q18,"SS: ",""),vote4SURGE!$A:$C , 3, FALSE) - 2,
VLOOKUP(SUBSTITUTE(Q18,"S: ",""),vote4SURGE!$A:$C , 3, FALSE)
)
,
IF(IFERROR(SEARCH("SS:",Q18),0) &gt; 0, 
VLOOKUP(A18,vote4SURGE!$A:$C , 3, FALSE) - 2,
VLOOKUP(A18,vote4SURGE!$A:$C , 3, FALSE)
)
))</f>
        <v>3.5</v>
      </c>
      <c r="S18" s="164"/>
      <c r="T18" s="342" t="str">
        <f>IF(ISBLANK(S18),,IFERROR(
IF(IFERROR(SEARCH("SS:",S18),0) &gt; 0, 
VLOOKUP(SUBSTITUTE(S18,"SS: ",""),vote4SURGE!$A:$C , 3, FALSE) - 2,
VLOOKUP(SUBSTITUTE(S18,"S: ",""),vote4SURGE!$A:$C , 3, FALSE)
)
,
IF(IFERROR(SEARCH("SS:",S18),0) &gt; 0, 
VLOOKUP(A18,vote4SURGE!$A:$C , 3, FALSE) - 2,
VLOOKUP(A18,vote4SURGE!$A:$C , 3, FALSE)
)
))</f>
        <v/>
      </c>
      <c r="U18" s="164"/>
      <c r="V18" s="343" t="str">
        <f>IF(ISBLANK(U18),,IFERROR(
IF(IFERROR(SEARCH("SS:",U18),0) &gt; 0, 
VLOOKUP(SUBSTITUTE(U18,"SS: ",""),vote4SURGE!$A:$C , 3, FALSE) - 2,
VLOOKUP(SUBSTITUTE(U18,"S: ",""),vote4SURGE!$A:$C , 3, FALSE)
)
,
IF(IFERROR(SEARCH("SS:",U18),0) &gt; 0, 
VLOOKUP(A18,vote4SURGE!$A:$C , 3, FALSE) - 2,
VLOOKUP(A18,vote4SURGE!$A:$C , 3, FALSE)
)
))</f>
        <v/>
      </c>
      <c r="W18" s="343">
        <f t="shared" si="1"/>
        <v>1</v>
      </c>
      <c r="X18" s="344">
        <f>IFERROR(__xludf.DUMMYFUNCTION("SWITCH(
LEN(K18) - LEN(SUBSTITUTE(K18,"","","""")),
0 , VLOOKUP(K18, Variables!$A:$C, 3, FALSE),
1 , VLOOKUP(index(split(K18 ,"", "", FALSE),1,1), Variables!$A:$C, 3, FALSE) + VLOOKUP(index(split(K18 ,"", "", FALSE),1,2), Variables!$A:$C, 3, FALSE),
2 , V"&amp;"LOOKUP(index(split(K18 ,"", "", FALSE),1,1), Variables!$A:$C, 3, FALSE) + VLOOKUP(index(split(K18 ,"", "", FALSE),1,2), Variables!$A:$C, 3, FALSE) + VLOOKUP(index(split(K18 ,"", "", FALSE),1,3), Variables!$A:$C, 3, FALSE)
)"),0.5)</f>
        <v>0.5</v>
      </c>
      <c r="Y18" s="342">
        <f t="shared" si="2"/>
        <v>1.75</v>
      </c>
      <c r="Z18" s="114"/>
      <c r="AA18" s="114"/>
      <c r="AB18" s="114"/>
      <c r="AC18" s="114"/>
      <c r="AD18" s="114"/>
      <c r="AE18" s="114" t="s">
        <v>2572</v>
      </c>
      <c r="AF18" s="114"/>
      <c r="AG18" s="114"/>
      <c r="AH18" s="114"/>
      <c r="AI18" s="114" t="s">
        <v>2572</v>
      </c>
      <c r="AJ18" s="114" t="s">
        <v>2574</v>
      </c>
      <c r="AK18" s="473">
        <v>10.0</v>
      </c>
      <c r="AL18" s="114" t="s">
        <v>369</v>
      </c>
      <c r="AM18" s="473">
        <v>14.0</v>
      </c>
      <c r="AN18" s="114" t="s">
        <v>368</v>
      </c>
      <c r="AO18" s="473">
        <v>18.0</v>
      </c>
      <c r="AP18" s="130">
        <f>SUM(
VLOOKUP("Ravage",vote4TRAITS!A:C,3,FALSE)
)</f>
        <v>7.333333333</v>
      </c>
      <c r="AQ18" s="130">
        <f t="shared" si="3"/>
        <v>6.733333333</v>
      </c>
    </row>
    <row r="19" ht="14.25" customHeight="1">
      <c r="A19" s="137" t="s">
        <v>2582</v>
      </c>
      <c r="B19" s="114" t="s">
        <v>2570</v>
      </c>
      <c r="C19" s="114">
        <v>31.0</v>
      </c>
      <c r="D19" s="114">
        <v>2.0</v>
      </c>
      <c r="E19" s="114">
        <v>1.0</v>
      </c>
      <c r="F19" s="487">
        <v>5.0</v>
      </c>
      <c r="G19" s="488">
        <v>6.0</v>
      </c>
      <c r="H19" s="114" t="s">
        <v>1663</v>
      </c>
      <c r="I19" s="130">
        <f>IFERROR(__xludf.DUMMYFUNCTION("SWITCH(
LEN(H19) - LEN(SUBSTITUTE(H19,"","","""")),
0 , VLOOKUP(H19, Variables!$A:$B, 2, FALSE),
1 , VLOOKUP(index(split(H19 ,"", "", FALSE),1,1), Variables!$A:$B , 2, FALSE) + VLOOKUP(index(split(H19 ,"", "", FALSE),1,2), Variables!$A:$B , 2, FALSE),
2 ,"&amp;" VLOOKUP(index(split(H19 ,"", "", FALSE),1,1), Variables!$A:$B , 2, FALSE) + VLOOKUP(index(split(H19 ,"", "", FALSE),1,2), Variables!$A:$B , 2, FALSE) + VLOOKUP(index(split(H19 ,"", "", FALSE),1,3), Variables!$A:$B , 2, FALSE)
)"),1.3333333333333333)</f>
        <v>1.333333333</v>
      </c>
      <c r="J19" s="114" t="s">
        <v>1521</v>
      </c>
      <c r="K19" s="114" t="s">
        <v>1537</v>
      </c>
      <c r="L19" s="130">
        <f>IFERROR(__xludf.DUMMYFUNCTION("SWITCH(
LEN(K19) - LEN(SUBSTITUTE(K19,"","","""")),
0 , VLOOKUP(K19, Variables!$A:$B, 2, FALSE),
1 , VLOOKUP(index(split(K19 ,"", "", FALSE),1,1), Variables!$A:$B , 2, FALSE) + VLOOKUP(index(split(K19 ,"", "", FALSE),1,2), Variables!$A:$B , 2, FALSE),
2 ,"&amp;" VLOOKUP(index(split(K19 ,"", "", FALSE),1,1), Variables!$A:$B , 2, FALSE) + VLOOKUP(index(split(K19 ,"", "", FALSE),1,2), Variables!$A:$B , 2, FALSE) + VLOOKUP(index(split(K19 ,"", "", FALSE),1,3), Variables!$A:$B , 2, FALSE)
)
+
IF(J19=""Ranged"", 1 , 0"&amp;")"),4.5)</f>
        <v>4.5</v>
      </c>
      <c r="M19" s="114" t="s">
        <v>2583</v>
      </c>
      <c r="N19" s="130">
        <f>IFERROR(__xludf.DUMMYFUNCTION("IF(ISBLANK(M19), , 
SWITCH(
LEN(M19)- LEN(SUBSTITUTE(M19,"","","""")), 
0 , VLOOKUP(M19, vote4TRAITS!A:C , 3, FALSE),
1 , VLOOKUP(index(split(M19 ,"", "", FALSE),1,1), vote4TRAITS!A:C , 3, FALSE) + VLOOKUP(index(split(M19 ,"", "", FALSE),1,2), vote4TRAITS"&amp;"!A:C , 3, FALSE),
2 , VLOOKUP(index(split(M19 ,"", "", FALSE),1,1), vote4TRAITS!A:C , 3, FALSE) + VLOOKUP(index(split(M19 ,"", "", FALSE),1,2), vote4TRAITS!A:C , 3, FALSE) + VLOOKUP(index(split(M19 ,"", "", FALSE),1,3), vote4TRAITS!A:C , 3, FALSE)
)
)"),13.083333333333332)</f>
        <v>13.08333333</v>
      </c>
      <c r="O19" s="490"/>
      <c r="P19" s="165" t="str">
        <f>IFERROR(__xludf.DUMMYFUNCTION("IF(ISBLANK(O19), , 
SWITCH(
LEN(O19)- LEN(SUBSTITUTE(O19,"","","""")), 
0 , VLOOKUP(O19, vote4ACTIONS!A:C , 3, FALSE),
1 , VLOOKUP(index(split(O19 ,"", "", FALSE),1,1), vote4ACTIONS!A:C , 3, FALSE) + VLOOKUP(index(split(O19 ,"", "", FALSE),1,2), vote4ACTI"&amp;"ONS!A:C , 3, FALSE),
2 , VLOOKUP(index(split(O19 ,"", "", FALSE),1,1), vote4ACTIONS!A:C , 3, FALSE) + VLOOKUP(index(split(O19 ,"", "", FALSE),1,2), vote4ACTIONS!A:C , 3, FALSE) + VLOOKUP(index(split(O19 ,"", "", FALSE),1,3), vote4ACTIONS!A:C , 3, FALSE),
"&amp;"3 , VLOOKUP(index(split(O19 ,"", "", FALSE),1,1), vote4ACTIONS!A:C , 3, FALSE) + VLOOKUP(index(split(O19 ,"", "", FALSE),1,2), vote4ACTIONS!A:C , 3, FALSE) + VLOOKUP(index(split(O19 ,"", "", FALSE),1,3), vote4ACTIONS!A:C , 3, FALSE) + VLOOKUP(index(split("&amp;"O19 ,"", "", FALSE),1,4), vote4ACTIONS!A:C , 3, FALSE)
)
)"),"")</f>
        <v/>
      </c>
      <c r="Q19" s="340" t="s">
        <v>1534</v>
      </c>
      <c r="R19" s="342">
        <f>IF(ISBLANK(Q19),,IFERROR(
IF(IFERROR(SEARCH("SS:",Q19),0) &gt; 0, 
VLOOKUP(SUBSTITUTE(Q19,"SS: ",""),vote4SURGE!$A:$C , 3, FALSE) - 2,
VLOOKUP(SUBSTITUTE(Q19,"S: ",""),vote4SURGE!$A:$C , 3, FALSE)
)
,
IF(IFERROR(SEARCH("SS:",Q19),0) &gt; 0, 
VLOOKUP(A19,vote4SURGE!$A:$C , 3, FALSE) - 2,
VLOOKUP(A19,vote4SURGE!$A:$C , 3, FALSE)
)
))</f>
        <v>4.25</v>
      </c>
      <c r="S19" s="489"/>
      <c r="T19" s="342" t="str">
        <f>IF(ISBLANK(S19),,IFERROR(
IF(IFERROR(SEARCH("SS:",S19),0) &gt; 0, 
VLOOKUP(SUBSTITUTE(S19,"SS: ",""),vote4SURGE!$A:$C , 3, FALSE) - 2,
VLOOKUP(SUBSTITUTE(S19,"S: ",""),vote4SURGE!$A:$C , 3, FALSE)
)
,
IF(IFERROR(SEARCH("SS:",S19),0) &gt; 0, 
VLOOKUP(A19,vote4SURGE!$A:$C , 3, FALSE) - 2,
VLOOKUP(A19,vote4SURGE!$A:$C , 3, FALSE)
)
))</f>
        <v/>
      </c>
      <c r="U19" s="341"/>
      <c r="V19" s="343" t="str">
        <f>IF(ISBLANK(U19),,IFERROR(
IF(IFERROR(SEARCH("SS:",U19),0) &gt; 0, 
VLOOKUP(SUBSTITUTE(U19,"SS: ",""),vote4SURGE!$A:$C , 3, FALSE) - 2,
VLOOKUP(SUBSTITUTE(U19,"S: ",""),vote4SURGE!$A:$C , 3, FALSE)
)
,
IF(IFERROR(SEARCH("SS:",U19),0) &gt; 0, 
VLOOKUP(A19,vote4SURGE!$A:$C , 3, FALSE) - 2,
VLOOKUP(A19,vote4SURGE!$A:$C , 3, FALSE)
)
))</f>
        <v/>
      </c>
      <c r="W19" s="343">
        <f t="shared" si="1"/>
        <v>1</v>
      </c>
      <c r="X19" s="344">
        <f>IFERROR(__xludf.DUMMYFUNCTION("SWITCH(
LEN(K19) - LEN(SUBSTITUTE(K19,"","","""")),
0 , VLOOKUP(K19, Variables!$A:$C, 3, FALSE),
1 , VLOOKUP(index(split(K19 ,"", "", FALSE),1,1), Variables!$A:$C, 3, FALSE) + VLOOKUP(index(split(K19 ,"", "", FALSE),1,2), Variables!$A:$C, 3, FALSE),
2 , V"&amp;"LOOKUP(index(split(K19 ,"", "", FALSE),1,1), Variables!$A:$C, 3, FALSE) + VLOOKUP(index(split(K19 ,"", "", FALSE),1,2), Variables!$A:$C, 3, FALSE) + VLOOKUP(index(split(K19 ,"", "", FALSE),1,3), Variables!$A:$C, 3, FALSE)
)"),1.0)</f>
        <v>1</v>
      </c>
      <c r="Y19" s="342">
        <f t="shared" si="2"/>
        <v>4.25</v>
      </c>
      <c r="Z19" s="114"/>
      <c r="AA19" s="114"/>
      <c r="AB19" s="114"/>
      <c r="AC19" s="114"/>
      <c r="AD19" s="114"/>
      <c r="AE19" s="114"/>
      <c r="AF19" s="114"/>
      <c r="AG19" s="114" t="s">
        <v>2572</v>
      </c>
      <c r="AH19" s="114"/>
      <c r="AI19" s="114" t="s">
        <v>2572</v>
      </c>
      <c r="AJ19" s="114" t="s">
        <v>2574</v>
      </c>
      <c r="AK19" s="473">
        <v>11.0</v>
      </c>
      <c r="AL19" s="114" t="s">
        <v>2574</v>
      </c>
      <c r="AM19" s="473">
        <v>16.0</v>
      </c>
      <c r="AN19" s="114" t="s">
        <v>2574</v>
      </c>
      <c r="AO19" s="473">
        <v>21.0</v>
      </c>
      <c r="AP19" s="130">
        <f>SUM(
VLOOKUP("Ravage",vote4TRAITS!A:C,3,FALSE)
)</f>
        <v>7.333333333</v>
      </c>
      <c r="AQ19" s="130">
        <f t="shared" si="3"/>
        <v>24.15</v>
      </c>
    </row>
    <row r="20" ht="14.25" customHeight="1">
      <c r="A20" s="137" t="s">
        <v>2582</v>
      </c>
      <c r="B20" s="114" t="s">
        <v>2570</v>
      </c>
      <c r="C20" s="114">
        <v>31.0</v>
      </c>
      <c r="D20" s="114">
        <v>1.0</v>
      </c>
      <c r="E20" s="114">
        <v>1.0</v>
      </c>
      <c r="F20" s="487">
        <v>4.0</v>
      </c>
      <c r="G20" s="488">
        <v>5.0</v>
      </c>
      <c r="H20" s="114" t="s">
        <v>1663</v>
      </c>
      <c r="I20" s="130">
        <f>IFERROR(__xludf.DUMMYFUNCTION("SWITCH(
LEN(H20) - LEN(SUBSTITUTE(H20,"","","""")),
0 , VLOOKUP(H20, Variables!$A:$B, 2, FALSE),
1 , VLOOKUP(index(split(H20 ,"", "", FALSE),1,1), Variables!$A:$B , 2, FALSE) + VLOOKUP(index(split(H20 ,"", "", FALSE),1,2), Variables!$A:$B , 2, FALSE),
2 ,"&amp;" VLOOKUP(index(split(H20 ,"", "", FALSE),1,1), Variables!$A:$B , 2, FALSE) + VLOOKUP(index(split(H20 ,"", "", FALSE),1,2), Variables!$A:$B , 2, FALSE) + VLOOKUP(index(split(H20 ,"", "", FALSE),1,3), Variables!$A:$B , 2, FALSE)
)"),1.3333333333333333)</f>
        <v>1.333333333</v>
      </c>
      <c r="J20" s="114" t="s">
        <v>1521</v>
      </c>
      <c r="K20" s="114" t="s">
        <v>1525</v>
      </c>
      <c r="L20" s="130">
        <f>IFERROR(__xludf.DUMMYFUNCTION("SWITCH(
LEN(K20) - LEN(SUBSTITUTE(K20,"","","""")),
0 , VLOOKUP(K20, Variables!$A:$B, 2, FALSE),
1 , VLOOKUP(index(split(K20 ,"", "", FALSE),1,1), Variables!$A:$B , 2, FALSE) + VLOOKUP(index(split(K20 ,"", "", FALSE),1,2), Variables!$A:$B , 2, FALSE),
2 ,"&amp;" VLOOKUP(index(split(K20 ,"", "", FALSE),1,1), Variables!$A:$B , 2, FALSE) + VLOOKUP(index(split(K20 ,"", "", FALSE),1,2), Variables!$A:$B , 2, FALSE) + VLOOKUP(index(split(K20 ,"", "", FALSE),1,3), Variables!$A:$B , 2, FALSE)
)
+
IF(J20=""Ranged"", 1 , 0"&amp;")"),3.333333333333333)</f>
        <v>3.333333333</v>
      </c>
      <c r="M20" s="114" t="s">
        <v>2583</v>
      </c>
      <c r="N20" s="130">
        <f>IFERROR(__xludf.DUMMYFUNCTION("IF(ISBLANK(M20), , 
SWITCH(
LEN(M20)- LEN(SUBSTITUTE(M20,"","","""")), 
0 , VLOOKUP(M20, vote4TRAITS!A:C , 3, FALSE),
1 , VLOOKUP(index(split(M20 ,"", "", FALSE),1,1), vote4TRAITS!A:C , 3, FALSE) + VLOOKUP(index(split(M20 ,"", "", FALSE),1,2), vote4TRAITS"&amp;"!A:C , 3, FALSE),
2 , VLOOKUP(index(split(M20 ,"", "", FALSE),1,1), vote4TRAITS!A:C , 3, FALSE) + VLOOKUP(index(split(M20 ,"", "", FALSE),1,2), vote4TRAITS!A:C , 3, FALSE) + VLOOKUP(index(split(M20 ,"", "", FALSE),1,3), vote4TRAITS!A:C , 3, FALSE)
)
)"),13.083333333333332)</f>
        <v>13.08333333</v>
      </c>
      <c r="O20" s="490"/>
      <c r="P20" s="165" t="str">
        <f>IFERROR(__xludf.DUMMYFUNCTION("IF(ISBLANK(O20), , 
SWITCH(
LEN(O20)- LEN(SUBSTITUTE(O20,"","","""")), 
0 , VLOOKUP(O20, vote4ACTIONS!A:C , 3, FALSE),
1 , VLOOKUP(index(split(O20 ,"", "", FALSE),1,1), vote4ACTIONS!A:C , 3, FALSE) + VLOOKUP(index(split(O20 ,"", "", FALSE),1,2), vote4ACTI"&amp;"ONS!A:C , 3, FALSE),
2 , VLOOKUP(index(split(O20 ,"", "", FALSE),1,1), vote4ACTIONS!A:C , 3, FALSE) + VLOOKUP(index(split(O20 ,"", "", FALSE),1,2), vote4ACTIONS!A:C , 3, FALSE) + VLOOKUP(index(split(O20 ,"", "", FALSE),1,3), vote4ACTIONS!A:C , 3, FALSE),
"&amp;"3 , VLOOKUP(index(split(O20 ,"", "", FALSE),1,1), vote4ACTIONS!A:C , 3, FALSE) + VLOOKUP(index(split(O20 ,"", "", FALSE),1,2), vote4ACTIONS!A:C , 3, FALSE) + VLOOKUP(index(split(O20 ,"", "", FALSE),1,3), vote4ACTIONS!A:C , 3, FALSE) + VLOOKUP(index(split("&amp;"O20 ,"", "", FALSE),1,4), vote4ACTIONS!A:C , 3, FALSE)
)
)"),"")</f>
        <v/>
      </c>
      <c r="Q20" s="340" t="s">
        <v>1534</v>
      </c>
      <c r="R20" s="342">
        <f>IF(ISBLANK(Q20),,IFERROR(
IF(IFERROR(SEARCH("SS:",Q20),0) &gt; 0, 
VLOOKUP(SUBSTITUTE(Q20,"SS: ",""),vote4SURGE!$A:$C , 3, FALSE) - 2,
VLOOKUP(SUBSTITUTE(Q20,"S: ",""),vote4SURGE!$A:$C , 3, FALSE)
)
,
IF(IFERROR(SEARCH("SS:",Q20),0) &gt; 0, 
VLOOKUP(A20,vote4SURGE!$A:$C , 3, FALSE) - 2,
VLOOKUP(A20,vote4SURGE!$A:$C , 3, FALSE)
)
))</f>
        <v>4.25</v>
      </c>
      <c r="S20" s="489"/>
      <c r="T20" s="342" t="str">
        <f>IF(ISBLANK(S20),,IFERROR(
IF(IFERROR(SEARCH("SS:",S20),0) &gt; 0, 
VLOOKUP(SUBSTITUTE(S20,"SS: ",""),vote4SURGE!$A:$C , 3, FALSE) - 2,
VLOOKUP(SUBSTITUTE(S20,"S: ",""),vote4SURGE!$A:$C , 3, FALSE)
)
,
IF(IFERROR(SEARCH("SS:",S20),0) &gt; 0, 
VLOOKUP(A20,vote4SURGE!$A:$C , 3, FALSE) - 2,
VLOOKUP(A20,vote4SURGE!$A:$C , 3, FALSE)
)
))</f>
        <v/>
      </c>
      <c r="U20" s="341"/>
      <c r="V20" s="343" t="str">
        <f>IF(ISBLANK(U20),,IFERROR(
IF(IFERROR(SEARCH("SS:",U20),0) &gt; 0, 
VLOOKUP(SUBSTITUTE(U20,"SS: ",""),vote4SURGE!$A:$C , 3, FALSE) - 2,
VLOOKUP(SUBSTITUTE(U20,"S: ",""),vote4SURGE!$A:$C , 3, FALSE)
)
,
IF(IFERROR(SEARCH("SS:",U20),0) &gt; 0, 
VLOOKUP(A20,vote4SURGE!$A:$C , 3, FALSE) - 2,
VLOOKUP(A20,vote4SURGE!$A:$C , 3, FALSE)
)
))</f>
        <v/>
      </c>
      <c r="W20" s="343">
        <f t="shared" si="1"/>
        <v>1</v>
      </c>
      <c r="X20" s="344">
        <f>IFERROR(__xludf.DUMMYFUNCTION("SWITCH(
LEN(K20) - LEN(SUBSTITUTE(K20,"","","""")),
0 , VLOOKUP(K20, Variables!$A:$C, 3, FALSE),
1 , VLOOKUP(index(split(K20 ,"", "", FALSE),1,1), Variables!$A:$C, 3, FALSE) + VLOOKUP(index(split(K20 ,"", "", FALSE),1,2), Variables!$A:$C, 3, FALSE),
2 , V"&amp;"LOOKUP(index(split(K20 ,"", "", FALSE),1,1), Variables!$A:$C, 3, FALSE) + VLOOKUP(index(split(K20 ,"", "", FALSE),1,2), Variables!$A:$C, 3, FALSE) + VLOOKUP(index(split(K20 ,"", "", FALSE),1,3), Variables!$A:$C, 3, FALSE)
)"),0.5)</f>
        <v>0.5</v>
      </c>
      <c r="Y20" s="342">
        <f t="shared" si="2"/>
        <v>2.125</v>
      </c>
      <c r="Z20" s="114"/>
      <c r="AA20" s="114"/>
      <c r="AB20" s="114"/>
      <c r="AC20" s="114"/>
      <c r="AD20" s="114"/>
      <c r="AE20" s="114"/>
      <c r="AF20" s="114"/>
      <c r="AG20" s="114" t="s">
        <v>2572</v>
      </c>
      <c r="AH20" s="114"/>
      <c r="AI20" s="114" t="s">
        <v>2572</v>
      </c>
      <c r="AJ20" s="114" t="s">
        <v>2574</v>
      </c>
      <c r="AK20" s="473">
        <v>9.0</v>
      </c>
      <c r="AL20" s="114" t="s">
        <v>2574</v>
      </c>
      <c r="AM20" s="473">
        <v>13.0</v>
      </c>
      <c r="AN20" s="114" t="s">
        <v>2574</v>
      </c>
      <c r="AO20" s="473">
        <v>17.0</v>
      </c>
      <c r="AP20" s="130">
        <f>SUM(
VLOOKUP("Ravage",vote4TRAITS!A:C,3,FALSE)
)</f>
        <v>7.333333333</v>
      </c>
      <c r="AQ20" s="130">
        <f t="shared" si="3"/>
        <v>19.195</v>
      </c>
    </row>
    <row r="21" ht="14.25" customHeight="1">
      <c r="A21" s="137" t="s">
        <v>2582</v>
      </c>
      <c r="B21" s="114" t="s">
        <v>2576</v>
      </c>
      <c r="C21" s="114">
        <v>31.0</v>
      </c>
      <c r="D21" s="114">
        <v>2.0</v>
      </c>
      <c r="E21" s="114">
        <v>1.0</v>
      </c>
      <c r="F21" s="487">
        <v>5.0</v>
      </c>
      <c r="G21" s="488">
        <v>5.0</v>
      </c>
      <c r="H21" s="114" t="s">
        <v>1663</v>
      </c>
      <c r="I21" s="130">
        <f>IFERROR(__xludf.DUMMYFUNCTION("SWITCH(
LEN(H21) - LEN(SUBSTITUTE(H21,"","","""")),
0 , VLOOKUP(H21, Variables!$A:$B, 2, FALSE),
1 , VLOOKUP(index(split(H21 ,"", "", FALSE),1,1), Variables!$A:$B , 2, FALSE) + VLOOKUP(index(split(H21 ,"", "", FALSE),1,2), Variables!$A:$B , 2, FALSE),
2 ,"&amp;" VLOOKUP(index(split(H21 ,"", "", FALSE),1,1), Variables!$A:$B , 2, FALSE) + VLOOKUP(index(split(H21 ,"", "", FALSE),1,2), Variables!$A:$B , 2, FALSE) + VLOOKUP(index(split(H21 ,"", "", FALSE),1,3), Variables!$A:$B , 2, FALSE)
)"),1.3333333333333333)</f>
        <v>1.333333333</v>
      </c>
      <c r="J21" s="114" t="s">
        <v>1521</v>
      </c>
      <c r="K21" s="114" t="s">
        <v>1525</v>
      </c>
      <c r="L21" s="130">
        <f>IFERROR(__xludf.DUMMYFUNCTION("SWITCH(
LEN(K21) - LEN(SUBSTITUTE(K21,"","","""")),
0 , VLOOKUP(K21, Variables!$A:$B, 2, FALSE),
1 , VLOOKUP(index(split(K21 ,"", "", FALSE),1,1), Variables!$A:$B , 2, FALSE) + VLOOKUP(index(split(K21 ,"", "", FALSE),1,2), Variables!$A:$B , 2, FALSE),
2 ,"&amp;" VLOOKUP(index(split(K21 ,"", "", FALSE),1,1), Variables!$A:$B , 2, FALSE) + VLOOKUP(index(split(K21 ,"", "", FALSE),1,2), Variables!$A:$B , 2, FALSE) + VLOOKUP(index(split(K21 ,"", "", FALSE),1,3), Variables!$A:$B , 2, FALSE)
)
+
IF(J21=""Ranged"", 1 , 0"&amp;")"),3.333333333333333)</f>
        <v>3.333333333</v>
      </c>
      <c r="M21" s="114" t="s">
        <v>1095</v>
      </c>
      <c r="N21" s="130">
        <f>IFERROR(__xludf.DUMMYFUNCTION("IF(ISBLANK(M21), , 
SWITCH(
LEN(M21)- LEN(SUBSTITUTE(M21,"","","""")), 
0 , VLOOKUP(M21, vote4TRAITS!A:C , 3, FALSE),
1 , VLOOKUP(index(split(M21 ,"", "", FALSE),1,1), vote4TRAITS!A:C , 3, FALSE) + VLOOKUP(index(split(M21 ,"", "", FALSE),1,2), vote4TRAITS"&amp;"!A:C , 3, FALSE),
2 , VLOOKUP(index(split(M21 ,"", "", FALSE),1,1), vote4TRAITS!A:C , 3, FALSE) + VLOOKUP(index(split(M21 ,"", "", FALSE),1,2), vote4TRAITS!A:C , 3, FALSE) + VLOOKUP(index(split(M21 ,"", "", FALSE),1,3), vote4TRAITS!A:C , 3, FALSE)
)
)"),7.333333333333333)</f>
        <v>7.333333333</v>
      </c>
      <c r="O21" s="490"/>
      <c r="P21" s="165" t="str">
        <f>IFERROR(__xludf.DUMMYFUNCTION("IF(ISBLANK(O21), , 
SWITCH(
LEN(O21)- LEN(SUBSTITUTE(O21,"","","""")), 
0 , VLOOKUP(O21, vote4ACTIONS!A:C , 3, FALSE),
1 , VLOOKUP(index(split(O21 ,"", "", FALSE),1,1), vote4ACTIONS!A:C , 3, FALSE) + VLOOKUP(index(split(O21 ,"", "", FALSE),1,2), vote4ACTI"&amp;"ONS!A:C , 3, FALSE),
2 , VLOOKUP(index(split(O21 ,"", "", FALSE),1,1), vote4ACTIONS!A:C , 3, FALSE) + VLOOKUP(index(split(O21 ,"", "", FALSE),1,2), vote4ACTIONS!A:C , 3, FALSE) + VLOOKUP(index(split(O21 ,"", "", FALSE),1,3), vote4ACTIONS!A:C , 3, FALSE),
"&amp;"3 , VLOOKUP(index(split(O21 ,"", "", FALSE),1,1), vote4ACTIONS!A:C , 3, FALSE) + VLOOKUP(index(split(O21 ,"", "", FALSE),1,2), vote4ACTIONS!A:C , 3, FALSE) + VLOOKUP(index(split(O21 ,"", "", FALSE),1,3), vote4ACTIONS!A:C , 3, FALSE) + VLOOKUP(index(split("&amp;"O21 ,"", "", FALSE),1,4), vote4ACTIONS!A:C , 3, FALSE)
)
)"),"")</f>
        <v/>
      </c>
      <c r="Q21" s="340" t="s">
        <v>1534</v>
      </c>
      <c r="R21" s="342">
        <f>IF(ISBLANK(Q21),,IFERROR(
IF(IFERROR(SEARCH("SS:",Q21),0) &gt; 0, 
VLOOKUP(SUBSTITUTE(Q21,"SS: ",""),vote4SURGE!$A:$C , 3, FALSE) - 2,
VLOOKUP(SUBSTITUTE(Q21,"S: ",""),vote4SURGE!$A:$C , 3, FALSE)
)
,
IF(IFERROR(SEARCH("SS:",Q21),0) &gt; 0, 
VLOOKUP(A21,vote4SURGE!$A:$C , 3, FALSE) - 2,
VLOOKUP(A21,vote4SURGE!$A:$C , 3, FALSE)
)
))</f>
        <v>4.25</v>
      </c>
      <c r="S21" s="341"/>
      <c r="T21" s="342" t="str">
        <f>IF(ISBLANK(S21),,IFERROR(
IF(IFERROR(SEARCH("SS:",S21),0) &gt; 0, 
VLOOKUP(SUBSTITUTE(S21,"SS: ",""),vote4SURGE!$A:$C , 3, FALSE) - 2,
VLOOKUP(SUBSTITUTE(S21,"S: ",""),vote4SURGE!$A:$C , 3, FALSE)
)
,
IF(IFERROR(SEARCH("SS:",S21),0) &gt; 0, 
VLOOKUP(A21,vote4SURGE!$A:$C , 3, FALSE) - 2,
VLOOKUP(A21,vote4SURGE!$A:$C , 3, FALSE)
)
))</f>
        <v/>
      </c>
      <c r="U21" s="341"/>
      <c r="V21" s="343" t="str">
        <f>IF(ISBLANK(U21),,IFERROR(
IF(IFERROR(SEARCH("SS:",U21),0) &gt; 0, 
VLOOKUP(SUBSTITUTE(U21,"SS: ",""),vote4SURGE!$A:$C , 3, FALSE) - 2,
VLOOKUP(SUBSTITUTE(U21,"S: ",""),vote4SURGE!$A:$C , 3, FALSE)
)
,
IF(IFERROR(SEARCH("SS:",U21),0) &gt; 0, 
VLOOKUP(A21,vote4SURGE!$A:$C , 3, FALSE) - 2,
VLOOKUP(A21,vote4SURGE!$A:$C , 3, FALSE)
)
))</f>
        <v/>
      </c>
      <c r="W21" s="343">
        <f t="shared" si="1"/>
        <v>1</v>
      </c>
      <c r="X21" s="344">
        <f>IFERROR(__xludf.DUMMYFUNCTION("SWITCH(
LEN(K21) - LEN(SUBSTITUTE(K21,"","","""")),
0 , VLOOKUP(K21, Variables!$A:$C, 3, FALSE),
1 , VLOOKUP(index(split(K21 ,"", "", FALSE),1,1), Variables!$A:$C, 3, FALSE) + VLOOKUP(index(split(K21 ,"", "", FALSE),1,2), Variables!$A:$C, 3, FALSE),
2 , V"&amp;"LOOKUP(index(split(K21 ,"", "", FALSE),1,1), Variables!$A:$C, 3, FALSE) + VLOOKUP(index(split(K21 ,"", "", FALSE),1,2), Variables!$A:$C, 3, FALSE) + VLOOKUP(index(split(K21 ,"", "", FALSE),1,3), Variables!$A:$C, 3, FALSE)
)"),0.5)</f>
        <v>0.5</v>
      </c>
      <c r="Y21" s="342">
        <f t="shared" si="2"/>
        <v>2.125</v>
      </c>
      <c r="Z21" s="114"/>
      <c r="AA21" s="114"/>
      <c r="AB21" s="114"/>
      <c r="AC21" s="114"/>
      <c r="AD21" s="114"/>
      <c r="AE21" s="114"/>
      <c r="AF21" s="114"/>
      <c r="AG21" s="114" t="s">
        <v>2572</v>
      </c>
      <c r="AH21" s="114"/>
      <c r="AI21" s="114" t="s">
        <v>2572</v>
      </c>
      <c r="AJ21" s="114" t="s">
        <v>2574</v>
      </c>
      <c r="AK21" s="473">
        <v>11.0</v>
      </c>
      <c r="AL21" s="114" t="s">
        <v>369</v>
      </c>
      <c r="AM21" s="473">
        <v>16.0</v>
      </c>
      <c r="AN21" s="114" t="s">
        <v>368</v>
      </c>
      <c r="AO21" s="473">
        <v>21.0</v>
      </c>
      <c r="AP21" s="130">
        <f>SUM(
VLOOKUP("Ravage",vote4TRAITS!A:C,3,FALSE)
)</f>
        <v>7.333333333</v>
      </c>
      <c r="AQ21" s="130">
        <f t="shared" si="3"/>
        <v>13.775</v>
      </c>
    </row>
    <row r="22" ht="14.25" customHeight="1">
      <c r="A22" s="137" t="s">
        <v>2582</v>
      </c>
      <c r="B22" s="114" t="s">
        <v>2576</v>
      </c>
      <c r="C22" s="114">
        <v>31.0</v>
      </c>
      <c r="D22" s="114">
        <v>1.0</v>
      </c>
      <c r="E22" s="114">
        <v>1.0</v>
      </c>
      <c r="F22" s="487">
        <v>4.0</v>
      </c>
      <c r="G22" s="488">
        <v>4.0</v>
      </c>
      <c r="H22" s="114" t="s">
        <v>1663</v>
      </c>
      <c r="I22" s="130">
        <f>IFERROR(__xludf.DUMMYFUNCTION("SWITCH(
LEN(H22) - LEN(SUBSTITUTE(H22,"","","""")),
0 , VLOOKUP(H22, Variables!$A:$B, 2, FALSE),
1 , VLOOKUP(index(split(H22 ,"", "", FALSE),1,1), Variables!$A:$B , 2, FALSE) + VLOOKUP(index(split(H22 ,"", "", FALSE),1,2), Variables!$A:$B , 2, FALSE),
2 ,"&amp;" VLOOKUP(index(split(H22 ,"", "", FALSE),1,1), Variables!$A:$B , 2, FALSE) + VLOOKUP(index(split(H22 ,"", "", FALSE),1,2), Variables!$A:$B , 2, FALSE) + VLOOKUP(index(split(H22 ,"", "", FALSE),1,3), Variables!$A:$B , 2, FALSE)
)"),1.3333333333333333)</f>
        <v>1.333333333</v>
      </c>
      <c r="J22" s="114" t="s">
        <v>1521</v>
      </c>
      <c r="K22" s="114" t="s">
        <v>1548</v>
      </c>
      <c r="L22" s="130">
        <f>IFERROR(__xludf.DUMMYFUNCTION("SWITCH(
LEN(K22) - LEN(SUBSTITUTE(K22,"","","""")),
0 , VLOOKUP(K22, Variables!$A:$B, 2, FALSE),
1 , VLOOKUP(index(split(K22 ,"", "", FALSE),1,1), Variables!$A:$B , 2, FALSE) + VLOOKUP(index(split(K22 ,"", "", FALSE),1,2), Variables!$A:$B , 2, FALSE),
2 ,"&amp;" VLOOKUP(index(split(K22 ,"", "", FALSE),1,1), Variables!$A:$B , 2, FALSE) + VLOOKUP(index(split(K22 ,"", "", FALSE),1,2), Variables!$A:$B , 2, FALSE) + VLOOKUP(index(split(K22 ,"", "", FALSE),1,3), Variables!$A:$B , 2, FALSE)
)
+
IF(J22=""Ranged"", 1 , 0"&amp;")"),2.3333333333333335)</f>
        <v>2.333333333</v>
      </c>
      <c r="M22" s="114" t="s">
        <v>1095</v>
      </c>
      <c r="N22" s="130">
        <f>IFERROR(__xludf.DUMMYFUNCTION("IF(ISBLANK(M22), , 
SWITCH(
LEN(M22)- LEN(SUBSTITUTE(M22,"","","""")), 
0 , VLOOKUP(M22, vote4TRAITS!A:C , 3, FALSE),
1 , VLOOKUP(index(split(M22 ,"", "", FALSE),1,1), vote4TRAITS!A:C , 3, FALSE) + VLOOKUP(index(split(M22 ,"", "", FALSE),1,2), vote4TRAITS"&amp;"!A:C , 3, FALSE),
2 , VLOOKUP(index(split(M22 ,"", "", FALSE),1,1), vote4TRAITS!A:C , 3, FALSE) + VLOOKUP(index(split(M22 ,"", "", FALSE),1,2), vote4TRAITS!A:C , 3, FALSE) + VLOOKUP(index(split(M22 ,"", "", FALSE),1,3), vote4TRAITS!A:C , 3, FALSE)
)
)"),7.333333333333333)</f>
        <v>7.333333333</v>
      </c>
      <c r="O22" s="490"/>
      <c r="P22" s="165" t="str">
        <f>IFERROR(__xludf.DUMMYFUNCTION("IF(ISBLANK(O22), , 
SWITCH(
LEN(O22)- LEN(SUBSTITUTE(O22,"","","""")), 
0 , VLOOKUP(O22, vote4ACTIONS!A:C , 3, FALSE),
1 , VLOOKUP(index(split(O22 ,"", "", FALSE),1,1), vote4ACTIONS!A:C , 3, FALSE) + VLOOKUP(index(split(O22 ,"", "", FALSE),1,2), vote4ACTI"&amp;"ONS!A:C , 3, FALSE),
2 , VLOOKUP(index(split(O22 ,"", "", FALSE),1,1), vote4ACTIONS!A:C , 3, FALSE) + VLOOKUP(index(split(O22 ,"", "", FALSE),1,2), vote4ACTIONS!A:C , 3, FALSE) + VLOOKUP(index(split(O22 ,"", "", FALSE),1,3), vote4ACTIONS!A:C , 3, FALSE),
"&amp;"3 , VLOOKUP(index(split(O22 ,"", "", FALSE),1,1), vote4ACTIONS!A:C , 3, FALSE) + VLOOKUP(index(split(O22 ,"", "", FALSE),1,2), vote4ACTIONS!A:C , 3, FALSE) + VLOOKUP(index(split(O22 ,"", "", FALSE),1,3), vote4ACTIONS!A:C , 3, FALSE) + VLOOKUP(index(split("&amp;"O22 ,"", "", FALSE),1,4), vote4ACTIONS!A:C , 3, FALSE)
)
)"),"")</f>
        <v/>
      </c>
      <c r="Q22" s="340" t="s">
        <v>1562</v>
      </c>
      <c r="R22" s="342">
        <f>IF(ISBLANK(Q22),,IFERROR(
IF(IFERROR(SEARCH("SS:",Q22),0) &gt; 0, 
VLOOKUP(SUBSTITUTE(Q22,"SS: ",""),vote4SURGE!$A:$C , 3, FALSE) - 2,
VLOOKUP(SUBSTITUTE(Q22,"S: ",""),vote4SURGE!$A:$C , 3, FALSE)
)
,
IF(IFERROR(SEARCH("SS:",Q22),0) &gt; 0, 
VLOOKUP(A22,vote4SURGE!$A:$C , 3, FALSE) - 2,
VLOOKUP(A22,vote4SURGE!$A:$C , 3, FALSE)
)
))</f>
        <v>3.5</v>
      </c>
      <c r="S22" s="341"/>
      <c r="T22" s="342" t="str">
        <f>IF(ISBLANK(S22),,IFERROR(
IF(IFERROR(SEARCH("SS:",S22),0) &gt; 0, 
VLOOKUP(SUBSTITUTE(S22,"SS: ",""),vote4SURGE!$A:$C , 3, FALSE) - 2,
VLOOKUP(SUBSTITUTE(S22,"S: ",""),vote4SURGE!$A:$C , 3, FALSE)
)
,
IF(IFERROR(SEARCH("SS:",S22),0) &gt; 0, 
VLOOKUP(A22,vote4SURGE!$A:$C , 3, FALSE) - 2,
VLOOKUP(A22,vote4SURGE!$A:$C , 3, FALSE)
)
))</f>
        <v/>
      </c>
      <c r="U22" s="341"/>
      <c r="V22" s="343" t="str">
        <f>IF(ISBLANK(U22),,IFERROR(
IF(IFERROR(SEARCH("SS:",U22),0) &gt; 0, 
VLOOKUP(SUBSTITUTE(U22,"SS: ",""),vote4SURGE!$A:$C , 3, FALSE) - 2,
VLOOKUP(SUBSTITUTE(U22,"S: ",""),vote4SURGE!$A:$C , 3, FALSE)
)
,
IF(IFERROR(SEARCH("SS:",U22),0) &gt; 0, 
VLOOKUP(A22,vote4SURGE!$A:$C , 3, FALSE) - 2,
VLOOKUP(A22,vote4SURGE!$A:$C , 3, FALSE)
)
))</f>
        <v/>
      </c>
      <c r="W22" s="343">
        <f t="shared" si="1"/>
        <v>1</v>
      </c>
      <c r="X22" s="344">
        <f>IFERROR(__xludf.DUMMYFUNCTION("SWITCH(
LEN(K22) - LEN(SUBSTITUTE(K22,"","","""")),
0 , VLOOKUP(K22, Variables!$A:$C, 3, FALSE),
1 , VLOOKUP(index(split(K22 ,"", "", FALSE),1,1), Variables!$A:$C, 3, FALSE) + VLOOKUP(index(split(K22 ,"", "", FALSE),1,2), Variables!$A:$C, 3, FALSE),
2 , V"&amp;"LOOKUP(index(split(K22 ,"", "", FALSE),1,1), Variables!$A:$C, 3, FALSE) + VLOOKUP(index(split(K22 ,"", "", FALSE),1,2), Variables!$A:$C, 3, FALSE) + VLOOKUP(index(split(K22 ,"", "", FALSE),1,3), Variables!$A:$C, 3, FALSE)
)"),0.8333333333333333)</f>
        <v>0.8333333333</v>
      </c>
      <c r="Y22" s="342">
        <f t="shared" si="2"/>
        <v>2.916666667</v>
      </c>
      <c r="Z22" s="114"/>
      <c r="AA22" s="114"/>
      <c r="AB22" s="114"/>
      <c r="AC22" s="114"/>
      <c r="AD22" s="114"/>
      <c r="AE22" s="114"/>
      <c r="AF22" s="114"/>
      <c r="AG22" s="114" t="s">
        <v>2572</v>
      </c>
      <c r="AH22" s="114"/>
      <c r="AI22" s="114" t="s">
        <v>2572</v>
      </c>
      <c r="AJ22" s="114" t="s">
        <v>2574</v>
      </c>
      <c r="AK22" s="473">
        <v>9.0</v>
      </c>
      <c r="AL22" s="114" t="s">
        <v>369</v>
      </c>
      <c r="AM22" s="473">
        <v>13.0</v>
      </c>
      <c r="AN22" s="114" t="s">
        <v>368</v>
      </c>
      <c r="AO22" s="473">
        <v>17.0</v>
      </c>
      <c r="AP22" s="130">
        <f>SUM(
VLOOKUP("Ravage",vote4TRAITS!A:C,3,FALSE)
)</f>
        <v>7.333333333</v>
      </c>
      <c r="AQ22" s="130">
        <f t="shared" si="3"/>
        <v>11.90333333</v>
      </c>
    </row>
    <row r="23" ht="14.25" customHeight="1">
      <c r="A23" s="137" t="s">
        <v>1459</v>
      </c>
      <c r="B23" s="114" t="s">
        <v>2570</v>
      </c>
      <c r="C23" s="114">
        <v>54.0</v>
      </c>
      <c r="D23" s="114">
        <v>2.0</v>
      </c>
      <c r="E23" s="114">
        <v>2.0</v>
      </c>
      <c r="F23" s="487">
        <v>4.0</v>
      </c>
      <c r="G23" s="488">
        <v>9.0</v>
      </c>
      <c r="H23" s="114" t="s">
        <v>1663</v>
      </c>
      <c r="I23" s="130">
        <f>IFERROR(__xludf.DUMMYFUNCTION("SWITCH(
LEN(H23) - LEN(SUBSTITUTE(H23,"","","""")),
0 , VLOOKUP(H23, Variables!$A:$B, 2, FALSE),
1 , VLOOKUP(index(split(H23 ,"", "", FALSE),1,1), Variables!$A:$B , 2, FALSE) + VLOOKUP(index(split(H23 ,"", "", FALSE),1,2), Variables!$A:$B , 2, FALSE),
2 ,"&amp;" VLOOKUP(index(split(H23 ,"", "", FALSE),1,1), Variables!$A:$B , 2, FALSE) + VLOOKUP(index(split(H23 ,"", "", FALSE),1,2), Variables!$A:$B , 2, FALSE) + VLOOKUP(index(split(H23 ,"", "", FALSE),1,3), Variables!$A:$B , 2, FALSE)
)"),1.3333333333333333)</f>
        <v>1.333333333</v>
      </c>
      <c r="J23" s="114" t="s">
        <v>1521</v>
      </c>
      <c r="K23" s="114" t="s">
        <v>1528</v>
      </c>
      <c r="L23" s="130">
        <f>IFERROR(__xludf.DUMMYFUNCTION("SWITCH(
LEN(K23) - LEN(SUBSTITUTE(K23,"","","""")),
0 , VLOOKUP(K23, Variables!$A:$B, 2, FALSE),
1 , VLOOKUP(index(split(K23 ,"", "", FALSE),1,1), Variables!$A:$B , 2, FALSE) + VLOOKUP(index(split(K23 ,"", "", FALSE),1,2), Variables!$A:$B , 2, FALSE),
2 ,"&amp;" VLOOKUP(index(split(K23 ,"", "", FALSE),1,1), Variables!$A:$B , 2, FALSE) + VLOOKUP(index(split(K23 ,"", "", FALSE),1,2), Variables!$A:$B , 2, FALSE) + VLOOKUP(index(split(K23 ,"", "", FALSE),1,3), Variables!$A:$B , 2, FALSE)
)
+
IF(J23=""Ranged"", 1 , 0"&amp;")"),5.5)</f>
        <v>5.5</v>
      </c>
      <c r="M23" s="114" t="s">
        <v>1095</v>
      </c>
      <c r="N23" s="130">
        <f>IFERROR(__xludf.DUMMYFUNCTION("IF(ISBLANK(M23), , 
SWITCH(
LEN(M23)- LEN(SUBSTITUTE(M23,"","","""")), 
0 , VLOOKUP(M23, vote4TRAITS!A:C , 3, FALSE),
1 , VLOOKUP(index(split(M23 ,"", "", FALSE),1,1), vote4TRAITS!A:C , 3, FALSE) + VLOOKUP(index(split(M23 ,"", "", FALSE),1,2), vote4TRAITS"&amp;"!A:C , 3, FALSE),
2 , VLOOKUP(index(split(M23 ,"", "", FALSE),1,1), vote4TRAITS!A:C , 3, FALSE) + VLOOKUP(index(split(M23 ,"", "", FALSE),1,2), vote4TRAITS!A:C , 3, FALSE) + VLOOKUP(index(split(M23 ,"", "", FALSE),1,3), vote4TRAITS!A:C , 3, FALSE)
)
)"),7.333333333333333)</f>
        <v>7.333333333</v>
      </c>
      <c r="O23" s="114" t="s">
        <v>1347</v>
      </c>
      <c r="P23" s="165">
        <f>IFERROR(__xludf.DUMMYFUNCTION("IF(ISBLANK(O23), , 
SWITCH(
LEN(O23)- LEN(SUBSTITUTE(O23,"","","""")), 
0 , VLOOKUP(O23, vote4ACTIONS!A:C , 3, FALSE),
1 , VLOOKUP(index(split(O23 ,"", "", FALSE),1,1), vote4ACTIONS!A:C , 3, FALSE) + VLOOKUP(index(split(O23 ,"", "", FALSE),1,2), vote4ACTI"&amp;"ONS!A:C , 3, FALSE),
2 , VLOOKUP(index(split(O23 ,"", "", FALSE),1,1), vote4ACTIONS!A:C , 3, FALSE) + VLOOKUP(index(split(O23 ,"", "", FALSE),1,2), vote4ACTIONS!A:C , 3, FALSE) + VLOOKUP(index(split(O23 ,"", "", FALSE),1,3), vote4ACTIONS!A:C , 3, FALSE),
"&amp;"3 , VLOOKUP(index(split(O23 ,"", "", FALSE),1,1), vote4ACTIONS!A:C , 3, FALSE) + VLOOKUP(index(split(O23 ,"", "", FALSE),1,2), vote4ACTIONS!A:C , 3, FALSE) + VLOOKUP(index(split(O23 ,"", "", FALSE),1,3), vote4ACTIONS!A:C , 3, FALSE) + VLOOKUP(index(split("&amp;"O23 ,"", "", FALSE),1,4), vote4ACTIONS!A:C , 3, FALSE)
)
)"),5.0)</f>
        <v>5</v>
      </c>
      <c r="Q23" s="340" t="s">
        <v>1534</v>
      </c>
      <c r="R23" s="342">
        <f>IF(ISBLANK(Q23),,IFERROR(
IF(IFERROR(SEARCH("SS:",Q23),0) &gt; 0, 
VLOOKUP(SUBSTITUTE(Q23,"SS: ",""),vote4SURGE!$A:$C , 3, FALSE) - 2,
VLOOKUP(SUBSTITUTE(Q23,"S: ",""),vote4SURGE!$A:$C , 3, FALSE)
)
,
IF(IFERROR(SEARCH("SS:",Q23),0) &gt; 0, 
VLOOKUP(A23,vote4SURGE!$A:$C , 3, FALSE) - 2,
VLOOKUP(A23,vote4SURGE!$A:$C , 3, FALSE)
)
))</f>
        <v>4.25</v>
      </c>
      <c r="S23" s="489"/>
      <c r="T23" s="342" t="str">
        <f>IF(ISBLANK(S23),,IFERROR(
IF(IFERROR(SEARCH("SS:",S23),0) &gt; 0, 
VLOOKUP(SUBSTITUTE(S23,"SS: ",""),vote4SURGE!$A:$C , 3, FALSE) - 2,
VLOOKUP(SUBSTITUTE(S23,"S: ",""),vote4SURGE!$A:$C , 3, FALSE)
)
,
IF(IFERROR(SEARCH("SS:",S23),0) &gt; 0, 
VLOOKUP(A23,vote4SURGE!$A:$C , 3, FALSE) - 2,
VLOOKUP(A23,vote4SURGE!$A:$C , 3, FALSE)
)
))</f>
        <v/>
      </c>
      <c r="U23" s="341"/>
      <c r="V23" s="343" t="str">
        <f>IF(ISBLANK(U23),,IFERROR(
IF(IFERROR(SEARCH("SS:",U23),0) &gt; 0, 
VLOOKUP(SUBSTITUTE(U23,"SS: ",""),vote4SURGE!$A:$C , 3, FALSE) - 2,
VLOOKUP(SUBSTITUTE(U23,"S: ",""),vote4SURGE!$A:$C , 3, FALSE)
)
,
IF(IFERROR(SEARCH("SS:",U23),0) &gt; 0, 
VLOOKUP(A23,vote4SURGE!$A:$C , 3, FALSE) - 2,
VLOOKUP(A23,vote4SURGE!$A:$C , 3, FALSE)
)
))</f>
        <v/>
      </c>
      <c r="W23" s="343">
        <f t="shared" si="1"/>
        <v>1</v>
      </c>
      <c r="X23" s="344">
        <f>IFERROR(__xludf.DUMMYFUNCTION("SWITCH(
LEN(K23) - LEN(SUBSTITUTE(K23,"","","""")),
0 , VLOOKUP(K23, Variables!$A:$C, 3, FALSE),
1 , VLOOKUP(index(split(K23 ,"", "", FALSE),1,1), Variables!$A:$C, 3, FALSE) + VLOOKUP(index(split(K23 ,"", "", FALSE),1,2), Variables!$A:$C, 3, FALSE),
2 , V"&amp;"LOOKUP(index(split(K23 ,"", "", FALSE),1,1), Variables!$A:$C, 3, FALSE) + VLOOKUP(index(split(K23 ,"", "", FALSE),1,2), Variables!$A:$C, 3, FALSE) + VLOOKUP(index(split(K23 ,"", "", FALSE),1,3), Variables!$A:$C, 3, FALSE)
)"),0.6666666666666666)</f>
        <v>0.6666666667</v>
      </c>
      <c r="Y23" s="342">
        <f t="shared" si="2"/>
        <v>2.833333333</v>
      </c>
      <c r="Z23" s="114"/>
      <c r="AA23" s="114" t="s">
        <v>2572</v>
      </c>
      <c r="AB23" s="114"/>
      <c r="AC23" s="114"/>
      <c r="AD23" s="114"/>
      <c r="AE23" s="114"/>
      <c r="AF23" s="114" t="s">
        <v>2572</v>
      </c>
      <c r="AG23" s="114"/>
      <c r="AH23" s="114"/>
      <c r="AI23" s="114"/>
      <c r="AJ23" s="114" t="s">
        <v>2574</v>
      </c>
      <c r="AK23" s="473">
        <v>9.0</v>
      </c>
      <c r="AL23" s="114" t="s">
        <v>2574</v>
      </c>
      <c r="AM23" s="473">
        <v>16.0</v>
      </c>
      <c r="AN23" s="114" t="s">
        <v>2574</v>
      </c>
      <c r="AO23" s="473">
        <v>23.0</v>
      </c>
      <c r="AP23" s="130">
        <f>SUM(
VLOOKUP("Ravage",vote4TRAITS!A:C,3,FALSE)
)</f>
        <v>7.333333333</v>
      </c>
      <c r="AQ23" s="130">
        <f t="shared" si="3"/>
        <v>26.98333333</v>
      </c>
    </row>
    <row r="24" ht="14.25" customHeight="1">
      <c r="A24" s="137" t="s">
        <v>1459</v>
      </c>
      <c r="B24" s="114" t="s">
        <v>2570</v>
      </c>
      <c r="C24" s="114">
        <v>54.0</v>
      </c>
      <c r="D24" s="114">
        <v>1.0</v>
      </c>
      <c r="E24" s="114">
        <v>2.0</v>
      </c>
      <c r="F24" s="487">
        <v>4.0</v>
      </c>
      <c r="G24" s="488">
        <v>7.0</v>
      </c>
      <c r="H24" s="114" t="s">
        <v>1663</v>
      </c>
      <c r="I24" s="130">
        <f>IFERROR(__xludf.DUMMYFUNCTION("SWITCH(
LEN(H24) - LEN(SUBSTITUTE(H24,"","","""")),
0 , VLOOKUP(H24, Variables!$A:$B, 2, FALSE),
1 , VLOOKUP(index(split(H24 ,"", "", FALSE),1,1), Variables!$A:$B , 2, FALSE) + VLOOKUP(index(split(H24 ,"", "", FALSE),1,2), Variables!$A:$B , 2, FALSE),
2 ,"&amp;" VLOOKUP(index(split(H24 ,"", "", FALSE),1,1), Variables!$A:$B , 2, FALSE) + VLOOKUP(index(split(H24 ,"", "", FALSE),1,2), Variables!$A:$B , 2, FALSE) + VLOOKUP(index(split(H24 ,"", "", FALSE),1,3), Variables!$A:$B , 2, FALSE)
)"),1.3333333333333333)</f>
        <v>1.333333333</v>
      </c>
      <c r="J24" s="114" t="s">
        <v>1521</v>
      </c>
      <c r="K24" s="114" t="s">
        <v>1525</v>
      </c>
      <c r="L24" s="130">
        <f>IFERROR(__xludf.DUMMYFUNCTION("SWITCH(
LEN(K24) - LEN(SUBSTITUTE(K24,"","","""")),
0 , VLOOKUP(K24, Variables!$A:$B, 2, FALSE),
1 , VLOOKUP(index(split(K24 ,"", "", FALSE),1,1), Variables!$A:$B , 2, FALSE) + VLOOKUP(index(split(K24 ,"", "", FALSE),1,2), Variables!$A:$B , 2, FALSE),
2 ,"&amp;" VLOOKUP(index(split(K24 ,"", "", FALSE),1,1), Variables!$A:$B , 2, FALSE) + VLOOKUP(index(split(K24 ,"", "", FALSE),1,2), Variables!$A:$B , 2, FALSE) + VLOOKUP(index(split(K24 ,"", "", FALSE),1,3), Variables!$A:$B , 2, FALSE)
)
+
IF(J24=""Ranged"", 1 , 0"&amp;")"),3.333333333333333)</f>
        <v>3.333333333</v>
      </c>
      <c r="M24" s="114" t="s">
        <v>1095</v>
      </c>
      <c r="N24" s="130">
        <f>IFERROR(__xludf.DUMMYFUNCTION("IF(ISBLANK(M24), , 
SWITCH(
LEN(M24)- LEN(SUBSTITUTE(M24,"","","""")), 
0 , VLOOKUP(M24, vote4TRAITS!A:C , 3, FALSE),
1 , VLOOKUP(index(split(M24 ,"", "", FALSE),1,1), vote4TRAITS!A:C , 3, FALSE) + VLOOKUP(index(split(M24 ,"", "", FALSE),1,2), vote4TRAITS"&amp;"!A:C , 3, FALSE),
2 , VLOOKUP(index(split(M24 ,"", "", FALSE),1,1), vote4TRAITS!A:C , 3, FALSE) + VLOOKUP(index(split(M24 ,"", "", FALSE),1,2), vote4TRAITS!A:C , 3, FALSE) + VLOOKUP(index(split(M24 ,"", "", FALSE),1,3), vote4TRAITS!A:C , 3, FALSE)
)
)"),7.333333333333333)</f>
        <v>7.333333333</v>
      </c>
      <c r="O24" s="114" t="s">
        <v>1347</v>
      </c>
      <c r="P24" s="165">
        <f>IFERROR(__xludf.DUMMYFUNCTION("IF(ISBLANK(O24), , 
SWITCH(
LEN(O24)- LEN(SUBSTITUTE(O24,"","","""")), 
0 , VLOOKUP(O24, vote4ACTIONS!A:C , 3, FALSE),
1 , VLOOKUP(index(split(O24 ,"", "", FALSE),1,1), vote4ACTIONS!A:C , 3, FALSE) + VLOOKUP(index(split(O24 ,"", "", FALSE),1,2), vote4ACTI"&amp;"ONS!A:C , 3, FALSE),
2 , VLOOKUP(index(split(O24 ,"", "", FALSE),1,1), vote4ACTIONS!A:C , 3, FALSE) + VLOOKUP(index(split(O24 ,"", "", FALSE),1,2), vote4ACTIONS!A:C , 3, FALSE) + VLOOKUP(index(split(O24 ,"", "", FALSE),1,3), vote4ACTIONS!A:C , 3, FALSE),
"&amp;"3 , VLOOKUP(index(split(O24 ,"", "", FALSE),1,1), vote4ACTIONS!A:C , 3, FALSE) + VLOOKUP(index(split(O24 ,"", "", FALSE),1,2), vote4ACTIONS!A:C , 3, FALSE) + VLOOKUP(index(split(O24 ,"", "", FALSE),1,3), vote4ACTIONS!A:C , 3, FALSE) + VLOOKUP(index(split("&amp;"O24 ,"", "", FALSE),1,4), vote4ACTIONS!A:C , 3, FALSE)
)
)"),5.0)</f>
        <v>5</v>
      </c>
      <c r="Q24" s="340" t="s">
        <v>1534</v>
      </c>
      <c r="R24" s="342">
        <f>IF(ISBLANK(Q24),,IFERROR(
IF(IFERROR(SEARCH("SS:",Q24),0) &gt; 0, 
VLOOKUP(SUBSTITUTE(Q24,"SS: ",""),vote4SURGE!$A:$C , 3, FALSE) - 2,
VLOOKUP(SUBSTITUTE(Q24,"S: ",""),vote4SURGE!$A:$C , 3, FALSE)
)
,
IF(IFERROR(SEARCH("SS:",Q24),0) &gt; 0, 
VLOOKUP(A24,vote4SURGE!$A:$C , 3, FALSE) - 2,
VLOOKUP(A24,vote4SURGE!$A:$C , 3, FALSE)
)
))</f>
        <v>4.25</v>
      </c>
      <c r="S24" s="341"/>
      <c r="T24" s="342" t="str">
        <f>IF(ISBLANK(S24),,IFERROR(
IF(IFERROR(SEARCH("SS:",S24),0) &gt; 0, 
VLOOKUP(SUBSTITUTE(S24,"SS: ",""),vote4SURGE!$A:$C , 3, FALSE) - 2,
VLOOKUP(SUBSTITUTE(S24,"S: ",""),vote4SURGE!$A:$C , 3, FALSE)
)
,
IF(IFERROR(SEARCH("SS:",S24),0) &gt; 0, 
VLOOKUP(A24,vote4SURGE!$A:$C , 3, FALSE) - 2,
VLOOKUP(A24,vote4SURGE!$A:$C , 3, FALSE)
)
))</f>
        <v/>
      </c>
      <c r="U24" s="341"/>
      <c r="V24" s="343" t="str">
        <f>IF(ISBLANK(U24),,IFERROR(
IF(IFERROR(SEARCH("SS:",U24),0) &gt; 0, 
VLOOKUP(SUBSTITUTE(U24,"SS: ",""),vote4SURGE!$A:$C , 3, FALSE) - 2,
VLOOKUP(SUBSTITUTE(U24,"S: ",""),vote4SURGE!$A:$C , 3, FALSE)
)
,
IF(IFERROR(SEARCH("SS:",U24),0) &gt; 0, 
VLOOKUP(A24,vote4SURGE!$A:$C , 3, FALSE) - 2,
VLOOKUP(A24,vote4SURGE!$A:$C , 3, FALSE)
)
))</f>
        <v/>
      </c>
      <c r="W24" s="343">
        <f t="shared" si="1"/>
        <v>1</v>
      </c>
      <c r="X24" s="344">
        <f>IFERROR(__xludf.DUMMYFUNCTION("SWITCH(
LEN(K24) - LEN(SUBSTITUTE(K24,"","","""")),
0 , VLOOKUP(K24, Variables!$A:$C, 3, FALSE),
1 , VLOOKUP(index(split(K24 ,"", "", FALSE),1,1), Variables!$A:$C, 3, FALSE) + VLOOKUP(index(split(K24 ,"", "", FALSE),1,2), Variables!$A:$C, 3, FALSE),
2 , V"&amp;"LOOKUP(index(split(K24 ,"", "", FALSE),1,1), Variables!$A:$C, 3, FALSE) + VLOOKUP(index(split(K24 ,"", "", FALSE),1,2), Variables!$A:$C, 3, FALSE) + VLOOKUP(index(split(K24 ,"", "", FALSE),1,3), Variables!$A:$C, 3, FALSE)
)"),0.5)</f>
        <v>0.5</v>
      </c>
      <c r="Y24" s="342">
        <f t="shared" si="2"/>
        <v>2.125</v>
      </c>
      <c r="Z24" s="114"/>
      <c r="AA24" s="114" t="s">
        <v>2572</v>
      </c>
      <c r="AB24" s="114"/>
      <c r="AC24" s="114"/>
      <c r="AD24" s="114"/>
      <c r="AE24" s="114"/>
      <c r="AF24" s="114" t="s">
        <v>2572</v>
      </c>
      <c r="AG24" s="114"/>
      <c r="AH24" s="114"/>
      <c r="AI24" s="114"/>
      <c r="AJ24" s="114" t="s">
        <v>2574</v>
      </c>
      <c r="AK24" s="473">
        <v>7.0</v>
      </c>
      <c r="AL24" s="114" t="s">
        <v>2574</v>
      </c>
      <c r="AM24" s="473">
        <v>12.0</v>
      </c>
      <c r="AN24" s="114" t="s">
        <v>2574</v>
      </c>
      <c r="AO24" s="473">
        <v>17.0</v>
      </c>
      <c r="AP24" s="130">
        <f>SUM(
VLOOKUP("Ravage",vote4TRAITS!A:C,3,FALSE)
)</f>
        <v>7.333333333</v>
      </c>
      <c r="AQ24" s="130">
        <f t="shared" si="3"/>
        <v>21.44166667</v>
      </c>
    </row>
    <row r="25" ht="14.25" customHeight="1">
      <c r="A25" s="137" t="s">
        <v>1459</v>
      </c>
      <c r="B25" s="114" t="s">
        <v>2576</v>
      </c>
      <c r="C25" s="114">
        <v>54.0</v>
      </c>
      <c r="D25" s="114">
        <v>2.0</v>
      </c>
      <c r="E25" s="114">
        <v>2.0</v>
      </c>
      <c r="F25" s="487">
        <v>4.0</v>
      </c>
      <c r="G25" s="488">
        <v>7.0</v>
      </c>
      <c r="H25" s="114" t="s">
        <v>1663</v>
      </c>
      <c r="I25" s="130">
        <f>IFERROR(__xludf.DUMMYFUNCTION("SWITCH(
LEN(H25) - LEN(SUBSTITUTE(H25,"","","""")),
0 , VLOOKUP(H25, Variables!$A:$B, 2, FALSE),
1 , VLOOKUP(index(split(H25 ,"", "", FALSE),1,1), Variables!$A:$B , 2, FALSE) + VLOOKUP(index(split(H25 ,"", "", FALSE),1,2), Variables!$A:$B , 2, FALSE),
2 ,"&amp;" VLOOKUP(index(split(H25 ,"", "", FALSE),1,1), Variables!$A:$B , 2, FALSE) + VLOOKUP(index(split(H25 ,"", "", FALSE),1,2), Variables!$A:$B , 2, FALSE) + VLOOKUP(index(split(H25 ,"", "", FALSE),1,3), Variables!$A:$B , 2, FALSE)
)"),1.3333333333333333)</f>
        <v>1.333333333</v>
      </c>
      <c r="J25" s="114" t="s">
        <v>1521</v>
      </c>
      <c r="K25" s="114" t="s">
        <v>1537</v>
      </c>
      <c r="L25" s="130">
        <f>IFERROR(__xludf.DUMMYFUNCTION("SWITCH(
LEN(K25) - LEN(SUBSTITUTE(K25,"","","""")),
0 , VLOOKUP(K25, Variables!$A:$B, 2, FALSE),
1 , VLOOKUP(index(split(K25 ,"", "", FALSE),1,1), Variables!$A:$B , 2, FALSE) + VLOOKUP(index(split(K25 ,"", "", FALSE),1,2), Variables!$A:$B , 2, FALSE),
2 ,"&amp;" VLOOKUP(index(split(K25 ,"", "", FALSE),1,1), Variables!$A:$B , 2, FALSE) + VLOOKUP(index(split(K25 ,"", "", FALSE),1,2), Variables!$A:$B , 2, FALSE) + VLOOKUP(index(split(K25 ,"", "", FALSE),1,3), Variables!$A:$B , 2, FALSE)
)
+
IF(J25=""Ranged"", 1 , 0"&amp;")"),4.5)</f>
        <v>4.5</v>
      </c>
      <c r="M25" s="114" t="s">
        <v>1095</v>
      </c>
      <c r="N25" s="130">
        <f>IFERROR(__xludf.DUMMYFUNCTION("IF(ISBLANK(M25), , 
SWITCH(
LEN(M25)- LEN(SUBSTITUTE(M25,"","","""")), 
0 , VLOOKUP(M25, vote4TRAITS!A:C , 3, FALSE),
1 , VLOOKUP(index(split(M25 ,"", "", FALSE),1,1), vote4TRAITS!A:C , 3, FALSE) + VLOOKUP(index(split(M25 ,"", "", FALSE),1,2), vote4TRAITS"&amp;"!A:C , 3, FALSE),
2 , VLOOKUP(index(split(M25 ,"", "", FALSE),1,1), vote4TRAITS!A:C , 3, FALSE) + VLOOKUP(index(split(M25 ,"", "", FALSE),1,2), vote4TRAITS!A:C , 3, FALSE) + VLOOKUP(index(split(M25 ,"", "", FALSE),1,3), vote4TRAITS!A:C , 3, FALSE)
)
)"),7.333333333333333)</f>
        <v>7.333333333</v>
      </c>
      <c r="O25" s="490"/>
      <c r="P25" s="165" t="str">
        <f>IFERROR(__xludf.DUMMYFUNCTION("IF(ISBLANK(O25), , 
SWITCH(
LEN(O25)- LEN(SUBSTITUTE(O25,"","","""")), 
0 , VLOOKUP(O25, vote4ACTIONS!A:C , 3, FALSE),
1 , VLOOKUP(index(split(O25 ,"", "", FALSE),1,1), vote4ACTIONS!A:C , 3, FALSE) + VLOOKUP(index(split(O25 ,"", "", FALSE),1,2), vote4ACTI"&amp;"ONS!A:C , 3, FALSE),
2 , VLOOKUP(index(split(O25 ,"", "", FALSE),1,1), vote4ACTIONS!A:C , 3, FALSE) + VLOOKUP(index(split(O25 ,"", "", FALSE),1,2), vote4ACTIONS!A:C , 3, FALSE) + VLOOKUP(index(split(O25 ,"", "", FALSE),1,3), vote4ACTIONS!A:C , 3, FALSE),
"&amp;"3 , VLOOKUP(index(split(O25 ,"", "", FALSE),1,1), vote4ACTIONS!A:C , 3, FALSE) + VLOOKUP(index(split(O25 ,"", "", FALSE),1,2), vote4ACTIONS!A:C , 3, FALSE) + VLOOKUP(index(split(O25 ,"", "", FALSE),1,3), vote4ACTIONS!A:C , 3, FALSE) + VLOOKUP(index(split("&amp;"O25 ,"", "", FALSE),1,4), vote4ACTIONS!A:C , 3, FALSE)
)
)"),"")</f>
        <v/>
      </c>
      <c r="Q25" s="340" t="s">
        <v>1534</v>
      </c>
      <c r="R25" s="342">
        <f>IF(ISBLANK(Q25),,IFERROR(
IF(IFERROR(SEARCH("SS:",Q25),0) &gt; 0, 
VLOOKUP(SUBSTITUTE(Q25,"SS: ",""),vote4SURGE!$A:$C , 3, FALSE) - 2,
VLOOKUP(SUBSTITUTE(Q25,"S: ",""),vote4SURGE!$A:$C , 3, FALSE)
)
,
IF(IFERROR(SEARCH("SS:",Q25),0) &gt; 0, 
VLOOKUP(A25,vote4SURGE!$A:$C , 3, FALSE) - 2,
VLOOKUP(A25,vote4SURGE!$A:$C , 3, FALSE)
)
))</f>
        <v>4.25</v>
      </c>
      <c r="S25" s="341"/>
      <c r="T25" s="342" t="str">
        <f>IF(ISBLANK(S25),,IFERROR(
IF(IFERROR(SEARCH("SS:",S25),0) &gt; 0, 
VLOOKUP(SUBSTITUTE(S25,"SS: ",""),vote4SURGE!$A:$C , 3, FALSE) - 2,
VLOOKUP(SUBSTITUTE(S25,"S: ",""),vote4SURGE!$A:$C , 3, FALSE)
)
,
IF(IFERROR(SEARCH("SS:",S25),0) &gt; 0, 
VLOOKUP(A25,vote4SURGE!$A:$C , 3, FALSE) - 2,
VLOOKUP(A25,vote4SURGE!$A:$C , 3, FALSE)
)
))</f>
        <v/>
      </c>
      <c r="U25" s="341"/>
      <c r="V25" s="343" t="str">
        <f>IF(ISBLANK(U25),,IFERROR(
IF(IFERROR(SEARCH("SS:",U25),0) &gt; 0, 
VLOOKUP(SUBSTITUTE(U25,"SS: ",""),vote4SURGE!$A:$C , 3, FALSE) - 2,
VLOOKUP(SUBSTITUTE(U25,"S: ",""),vote4SURGE!$A:$C , 3, FALSE)
)
,
IF(IFERROR(SEARCH("SS:",U25),0) &gt; 0, 
VLOOKUP(A25,vote4SURGE!$A:$C , 3, FALSE) - 2,
VLOOKUP(A25,vote4SURGE!$A:$C , 3, FALSE)
)
))</f>
        <v/>
      </c>
      <c r="W25" s="343">
        <f t="shared" si="1"/>
        <v>1</v>
      </c>
      <c r="X25" s="344">
        <f>IFERROR(__xludf.DUMMYFUNCTION("SWITCH(
LEN(K25) - LEN(SUBSTITUTE(K25,"","","""")),
0 , VLOOKUP(K25, Variables!$A:$C, 3, FALSE),
1 , VLOOKUP(index(split(K25 ,"", "", FALSE),1,1), Variables!$A:$C, 3, FALSE) + VLOOKUP(index(split(K25 ,"", "", FALSE),1,2), Variables!$A:$C, 3, FALSE),
2 , V"&amp;"LOOKUP(index(split(K25 ,"", "", FALSE),1,1), Variables!$A:$C, 3, FALSE) + VLOOKUP(index(split(K25 ,"", "", FALSE),1,2), Variables!$A:$C, 3, FALSE) + VLOOKUP(index(split(K25 ,"", "", FALSE),1,3), Variables!$A:$C, 3, FALSE)
)"),1.0)</f>
        <v>1</v>
      </c>
      <c r="Y25" s="342">
        <f t="shared" si="2"/>
        <v>4.25</v>
      </c>
      <c r="Z25" s="114"/>
      <c r="AA25" s="114" t="s">
        <v>2572</v>
      </c>
      <c r="AB25" s="114"/>
      <c r="AC25" s="114"/>
      <c r="AD25" s="114"/>
      <c r="AE25" s="114"/>
      <c r="AF25" s="114" t="s">
        <v>2572</v>
      </c>
      <c r="AG25" s="114"/>
      <c r="AH25" s="114"/>
      <c r="AI25" s="114"/>
      <c r="AJ25" s="114" t="s">
        <v>2573</v>
      </c>
      <c r="AK25" s="473">
        <v>9.0</v>
      </c>
      <c r="AL25" s="114" t="s">
        <v>2574</v>
      </c>
      <c r="AM25" s="473">
        <v>16.0</v>
      </c>
      <c r="AN25" s="114" t="s">
        <v>369</v>
      </c>
      <c r="AO25" s="473">
        <v>23.0</v>
      </c>
      <c r="AP25" s="130">
        <f>SUM(
VLOOKUP("Ravage",vote4TRAITS!A:C,3,FALSE)
)</f>
        <v>7.333333333</v>
      </c>
      <c r="AQ25" s="130">
        <f t="shared" si="3"/>
        <v>19.73333333</v>
      </c>
    </row>
    <row r="26" ht="14.25" customHeight="1">
      <c r="A26" s="137" t="s">
        <v>1459</v>
      </c>
      <c r="B26" s="114" t="s">
        <v>2576</v>
      </c>
      <c r="C26" s="114">
        <v>54.0</v>
      </c>
      <c r="D26" s="114">
        <v>1.0</v>
      </c>
      <c r="E26" s="114">
        <v>2.0</v>
      </c>
      <c r="F26" s="487">
        <v>4.0</v>
      </c>
      <c r="G26" s="488">
        <v>5.0</v>
      </c>
      <c r="H26" s="114" t="s">
        <v>1663</v>
      </c>
      <c r="I26" s="130">
        <f>IFERROR(__xludf.DUMMYFUNCTION("SWITCH(
LEN(H26) - LEN(SUBSTITUTE(H26,"","","""")),
0 , VLOOKUP(H26, Variables!$A:$B, 2, FALSE),
1 , VLOOKUP(index(split(H26 ,"", "", FALSE),1,1), Variables!$A:$B , 2, FALSE) + VLOOKUP(index(split(H26 ,"", "", FALSE),1,2), Variables!$A:$B , 2, FALSE),
2 ,"&amp;" VLOOKUP(index(split(H26 ,"", "", FALSE),1,1), Variables!$A:$B , 2, FALSE) + VLOOKUP(index(split(H26 ,"", "", FALSE),1,2), Variables!$A:$B , 2, FALSE) + VLOOKUP(index(split(H26 ,"", "", FALSE),1,3), Variables!$A:$B , 2, FALSE)
)"),1.3333333333333333)</f>
        <v>1.333333333</v>
      </c>
      <c r="J26" s="114" t="s">
        <v>1521</v>
      </c>
      <c r="K26" s="114" t="s">
        <v>1525</v>
      </c>
      <c r="L26" s="130">
        <f>IFERROR(__xludf.DUMMYFUNCTION("SWITCH(
LEN(K26) - LEN(SUBSTITUTE(K26,"","","""")),
0 , VLOOKUP(K26, Variables!$A:$B, 2, FALSE),
1 , VLOOKUP(index(split(K26 ,"", "", FALSE),1,1), Variables!$A:$B , 2, FALSE) + VLOOKUP(index(split(K26 ,"", "", FALSE),1,2), Variables!$A:$B , 2, FALSE),
2 ,"&amp;" VLOOKUP(index(split(K26 ,"", "", FALSE),1,1), Variables!$A:$B , 2, FALSE) + VLOOKUP(index(split(K26 ,"", "", FALSE),1,2), Variables!$A:$B , 2, FALSE) + VLOOKUP(index(split(K26 ,"", "", FALSE),1,3), Variables!$A:$B , 2, FALSE)
)
+
IF(J26=""Ranged"", 1 , 0"&amp;")"),3.333333333333333)</f>
        <v>3.333333333</v>
      </c>
      <c r="M26" s="114" t="s">
        <v>1095</v>
      </c>
      <c r="N26" s="130">
        <f>IFERROR(__xludf.DUMMYFUNCTION("IF(ISBLANK(M26), , 
SWITCH(
LEN(M26)- LEN(SUBSTITUTE(M26,"","","""")), 
0 , VLOOKUP(M26, vote4TRAITS!A:C , 3, FALSE),
1 , VLOOKUP(index(split(M26 ,"", "", FALSE),1,1), vote4TRAITS!A:C , 3, FALSE) + VLOOKUP(index(split(M26 ,"", "", FALSE),1,2), vote4TRAITS"&amp;"!A:C , 3, FALSE),
2 , VLOOKUP(index(split(M26 ,"", "", FALSE),1,1), vote4TRAITS!A:C , 3, FALSE) + VLOOKUP(index(split(M26 ,"", "", FALSE),1,2), vote4TRAITS!A:C , 3, FALSE) + VLOOKUP(index(split(M26 ,"", "", FALSE),1,3), vote4TRAITS!A:C , 3, FALSE)
)
)"),7.333333333333333)</f>
        <v>7.333333333</v>
      </c>
      <c r="O26" s="490"/>
      <c r="P26" s="165" t="str">
        <f>IFERROR(__xludf.DUMMYFUNCTION("IF(ISBLANK(O26), , 
SWITCH(
LEN(O26)- LEN(SUBSTITUTE(O26,"","","""")), 
0 , VLOOKUP(O26, vote4ACTIONS!A:C , 3, FALSE),
1 , VLOOKUP(index(split(O26 ,"", "", FALSE),1,1), vote4ACTIONS!A:C , 3, FALSE) + VLOOKUP(index(split(O26 ,"", "", FALSE),1,2), vote4ACTI"&amp;"ONS!A:C , 3, FALSE),
2 , VLOOKUP(index(split(O26 ,"", "", FALSE),1,1), vote4ACTIONS!A:C , 3, FALSE) + VLOOKUP(index(split(O26 ,"", "", FALSE),1,2), vote4ACTIONS!A:C , 3, FALSE) + VLOOKUP(index(split(O26 ,"", "", FALSE),1,3), vote4ACTIONS!A:C , 3, FALSE),
"&amp;"3 , VLOOKUP(index(split(O26 ,"", "", FALSE),1,1), vote4ACTIONS!A:C , 3, FALSE) + VLOOKUP(index(split(O26 ,"", "", FALSE),1,2), vote4ACTIONS!A:C , 3, FALSE) + VLOOKUP(index(split(O26 ,"", "", FALSE),1,3), vote4ACTIONS!A:C , 3, FALSE) + VLOOKUP(index(split("&amp;"O26 ,"", "", FALSE),1,4), vote4ACTIONS!A:C , 3, FALSE)
)
)"),"")</f>
        <v/>
      </c>
      <c r="Q26" s="340" t="s">
        <v>1562</v>
      </c>
      <c r="R26" s="342">
        <f>IF(ISBLANK(Q26),,IFERROR(
IF(IFERROR(SEARCH("SS:",Q26),0) &gt; 0, 
VLOOKUP(SUBSTITUTE(Q26,"SS: ",""),vote4SURGE!$A:$C , 3, FALSE) - 2,
VLOOKUP(SUBSTITUTE(Q26,"S: ",""),vote4SURGE!$A:$C , 3, FALSE)
)
,
IF(IFERROR(SEARCH("SS:",Q26),0) &gt; 0, 
VLOOKUP(A26,vote4SURGE!$A:$C , 3, FALSE) - 2,
VLOOKUP(A26,vote4SURGE!$A:$C , 3, FALSE)
)
))</f>
        <v>3.5</v>
      </c>
      <c r="S26" s="341"/>
      <c r="T26" s="342" t="str">
        <f>IF(ISBLANK(S26),,IFERROR(
IF(IFERROR(SEARCH("SS:",S26),0) &gt; 0, 
VLOOKUP(SUBSTITUTE(S26,"SS: ",""),vote4SURGE!$A:$C , 3, FALSE) - 2,
VLOOKUP(SUBSTITUTE(S26,"S: ",""),vote4SURGE!$A:$C , 3, FALSE)
)
,
IF(IFERROR(SEARCH("SS:",S26),0) &gt; 0, 
VLOOKUP(A26,vote4SURGE!$A:$C , 3, FALSE) - 2,
VLOOKUP(A26,vote4SURGE!$A:$C , 3, FALSE)
)
))</f>
        <v/>
      </c>
      <c r="U26" s="341"/>
      <c r="V26" s="343" t="str">
        <f>IF(ISBLANK(U26),,IFERROR(
IF(IFERROR(SEARCH("SS:",U26),0) &gt; 0, 
VLOOKUP(SUBSTITUTE(U26,"SS: ",""),vote4SURGE!$A:$C , 3, FALSE) - 2,
VLOOKUP(SUBSTITUTE(U26,"S: ",""),vote4SURGE!$A:$C , 3, FALSE)
)
,
IF(IFERROR(SEARCH("SS:",U26),0) &gt; 0, 
VLOOKUP(A26,vote4SURGE!$A:$C , 3, FALSE) - 2,
VLOOKUP(A26,vote4SURGE!$A:$C , 3, FALSE)
)
))</f>
        <v/>
      </c>
      <c r="W26" s="343">
        <f t="shared" si="1"/>
        <v>1</v>
      </c>
      <c r="X26" s="344">
        <f>IFERROR(__xludf.DUMMYFUNCTION("SWITCH(
LEN(K26) - LEN(SUBSTITUTE(K26,"","","""")),
0 , VLOOKUP(K26, Variables!$A:$C, 3, FALSE),
1 , VLOOKUP(index(split(K26 ,"", "", FALSE),1,1), Variables!$A:$C, 3, FALSE) + VLOOKUP(index(split(K26 ,"", "", FALSE),1,2), Variables!$A:$C, 3, FALSE),
2 , V"&amp;"LOOKUP(index(split(K26 ,"", "", FALSE),1,1), Variables!$A:$C, 3, FALSE) + VLOOKUP(index(split(K26 ,"", "", FALSE),1,2), Variables!$A:$C, 3, FALSE) + VLOOKUP(index(split(K26 ,"", "", FALSE),1,3), Variables!$A:$C, 3, FALSE)
)"),0.5)</f>
        <v>0.5</v>
      </c>
      <c r="Y26" s="342">
        <f t="shared" si="2"/>
        <v>1.75</v>
      </c>
      <c r="Z26" s="114"/>
      <c r="AA26" s="114" t="s">
        <v>2572</v>
      </c>
      <c r="AB26" s="114"/>
      <c r="AC26" s="114"/>
      <c r="AD26" s="114"/>
      <c r="AE26" s="114"/>
      <c r="AF26" s="114" t="s">
        <v>2572</v>
      </c>
      <c r="AG26" s="114"/>
      <c r="AH26" s="114"/>
      <c r="AI26" s="114"/>
      <c r="AJ26" s="114" t="s">
        <v>2573</v>
      </c>
      <c r="AK26" s="473">
        <v>7.0</v>
      </c>
      <c r="AL26" s="114" t="s">
        <v>2574</v>
      </c>
      <c r="AM26" s="473">
        <v>12.0</v>
      </c>
      <c r="AN26" s="114" t="s">
        <v>369</v>
      </c>
      <c r="AO26" s="473">
        <v>17.0</v>
      </c>
      <c r="AP26" s="130">
        <f>SUM(
VLOOKUP("Ravage",vote4TRAITS!A:C,3,FALSE)
)</f>
        <v>7.333333333</v>
      </c>
      <c r="AQ26" s="130">
        <f t="shared" si="3"/>
        <v>13.4</v>
      </c>
    </row>
    <row r="27" ht="14.25" customHeight="1">
      <c r="A27" s="137" t="s">
        <v>1437</v>
      </c>
      <c r="B27" s="114" t="s">
        <v>2570</v>
      </c>
      <c r="C27" s="114">
        <v>24.0</v>
      </c>
      <c r="D27" s="114">
        <v>2.0</v>
      </c>
      <c r="E27" s="114">
        <v>1.0</v>
      </c>
      <c r="F27" s="487">
        <v>5.0</v>
      </c>
      <c r="G27" s="488">
        <v>9.0</v>
      </c>
      <c r="H27" s="114" t="s">
        <v>1671</v>
      </c>
      <c r="I27" s="130">
        <f>IFERROR(__xludf.DUMMYFUNCTION("SWITCH(
LEN(H27) - LEN(SUBSTITUTE(H27,"","","""")),
0 , VLOOKUP(H27, Variables!$A:$B, 2, FALSE),
1 , VLOOKUP(index(split(H27 ,"", "", FALSE),1,1), Variables!$A:$B , 2, FALSE) + VLOOKUP(index(split(H27 ,"", "", FALSE),1,2), Variables!$A:$B , 2, FALSE),
2 ,"&amp;" VLOOKUP(index(split(H27 ,"", "", FALSE),1,1), Variables!$A:$B , 2, FALSE) + VLOOKUP(index(split(H27 ,"", "", FALSE),1,2), Variables!$A:$B , 2, FALSE) + VLOOKUP(index(split(H27 ,"", "", FALSE),1,3), Variables!$A:$B , 2, FALSE)
)"),2.1666666666666665)</f>
        <v>2.166666667</v>
      </c>
      <c r="J27" s="114" t="s">
        <v>1521</v>
      </c>
      <c r="K27" s="114" t="s">
        <v>1537</v>
      </c>
      <c r="L27" s="130">
        <f>IFERROR(__xludf.DUMMYFUNCTION("SWITCH(
LEN(K27) - LEN(SUBSTITUTE(K27,"","","""")),
0 , VLOOKUP(K27, Variables!$A:$B, 2, FALSE),
1 , VLOOKUP(index(split(K27 ,"", "", FALSE),1,1), Variables!$A:$B , 2, FALSE) + VLOOKUP(index(split(K27 ,"", "", FALSE),1,2), Variables!$A:$B , 2, FALSE),
2 ,"&amp;" VLOOKUP(index(split(K27 ,"", "", FALSE),1,1), Variables!$A:$B , 2, FALSE) + VLOOKUP(index(split(K27 ,"", "", FALSE),1,2), Variables!$A:$B , 2, FALSE) + VLOOKUP(index(split(K27 ,"", "", FALSE),1,3), Variables!$A:$B , 2, FALSE)
)
+
IF(J27=""Ranged"", 1 , 0"&amp;")"),4.5)</f>
        <v>4.5</v>
      </c>
      <c r="M27" s="114" t="s">
        <v>2584</v>
      </c>
      <c r="N27" s="130">
        <f>IFERROR(__xludf.DUMMYFUNCTION("IF(ISBLANK(M27), , 
SWITCH(
LEN(M27)- LEN(SUBSTITUTE(M27,"","","""")), 
0 , VLOOKUP(M27, vote4TRAITS!A:C , 3, FALSE),
1 , VLOOKUP(index(split(M27 ,"", "", FALSE),1,1), vote4TRAITS!A:C , 3, FALSE) + VLOOKUP(index(split(M27 ,"", "", FALSE),1,2), vote4TRAITS"&amp;"!A:C , 3, FALSE),
2 , VLOOKUP(index(split(M27 ,"", "", FALSE),1,1), vote4TRAITS!A:C , 3, FALSE) + VLOOKUP(index(split(M27 ,"", "", FALSE),1,2), vote4TRAITS!A:C , 3, FALSE) + VLOOKUP(index(split(M27 ,"", "", FALSE),1,3), vote4TRAITS!A:C , 3, FALSE)
)
)"),10.333333333333332)</f>
        <v>10.33333333</v>
      </c>
      <c r="O27" s="490"/>
      <c r="P27" s="165" t="str">
        <f>IFERROR(__xludf.DUMMYFUNCTION("IF(ISBLANK(O27), , 
SWITCH(
LEN(O27)- LEN(SUBSTITUTE(O27,"","","""")), 
0 , VLOOKUP(O27, vote4ACTIONS!A:C , 3, FALSE),
1 , VLOOKUP(index(split(O27 ,"", "", FALSE),1,1), vote4ACTIONS!A:C , 3, FALSE) + VLOOKUP(index(split(O27 ,"", "", FALSE),1,2), vote4ACTI"&amp;"ONS!A:C , 3, FALSE),
2 , VLOOKUP(index(split(O27 ,"", "", FALSE),1,1), vote4ACTIONS!A:C , 3, FALSE) + VLOOKUP(index(split(O27 ,"", "", FALSE),1,2), vote4ACTIONS!A:C , 3, FALSE) + VLOOKUP(index(split(O27 ,"", "", FALSE),1,3), vote4ACTIONS!A:C , 3, FALSE),
"&amp;"3 , VLOOKUP(index(split(O27 ,"", "", FALSE),1,1), vote4ACTIONS!A:C , 3, FALSE) + VLOOKUP(index(split(O27 ,"", "", FALSE),1,2), vote4ACTIONS!A:C , 3, FALSE) + VLOOKUP(index(split(O27 ,"", "", FALSE),1,3), vote4ACTIONS!A:C , 3, FALSE) + VLOOKUP(index(split("&amp;"O27 ,"", "", FALSE),1,4), vote4ACTIONS!A:C , 3, FALSE)
)
)"),"")</f>
        <v/>
      </c>
      <c r="Q27" s="169" t="s">
        <v>1524</v>
      </c>
      <c r="R27" s="342">
        <f>IF(ISBLANK(Q27),,IFERROR(
IF(IFERROR(SEARCH("SS:",Q27),0) &gt; 0, 
VLOOKUP(SUBSTITUTE(Q27,"SS: ",""),vote4SURGE!$A:$C , 3, FALSE) - 2,
VLOOKUP(SUBSTITUTE(Q27,"S: ",""),vote4SURGE!$A:$C , 3, FALSE)
)
,
IF(IFERROR(SEARCH("SS:",Q27),0) &gt; 0, 
VLOOKUP(A27,vote4SURGE!$A:$C , 3, FALSE) - 2,
VLOOKUP(A27,vote4SURGE!$A:$C , 3, FALSE)
)
))</f>
        <v>4.5</v>
      </c>
      <c r="S27" s="169" t="s">
        <v>2585</v>
      </c>
      <c r="T27" s="342">
        <f>IF(ISBLANK(S27),,IFERROR(
IF(IFERROR(SEARCH("SS:",S27),0) &gt; 0, 
VLOOKUP(SUBSTITUTE(S27,"SS: ",""),vote4SURGE!$A:$C , 3, FALSE) - 2,
VLOOKUP(SUBSTITUTE(S27,"S: ",""),vote4SURGE!$A:$C , 3, FALSE)
)
,
IF(IFERROR(SEARCH("SS:",S27),0) &gt; 0, 
VLOOKUP(A27,vote4SURGE!$A:$C , 3, FALSE) - 2,
VLOOKUP(A27,vote4SURGE!$A:$C , 3, FALSE)
)
))</f>
        <v>4</v>
      </c>
      <c r="U27" s="341"/>
      <c r="V27" s="343" t="str">
        <f>IF(ISBLANK(U27),,IFERROR(
IF(IFERROR(SEARCH("SS:",U27),0) &gt; 0, 
VLOOKUP(SUBSTITUTE(U27,"SS: ",""),vote4SURGE!$A:$C , 3, FALSE) - 2,
VLOOKUP(SUBSTITUTE(U27,"S: ",""),vote4SURGE!$A:$C , 3, FALSE)
)
,
IF(IFERROR(SEARCH("SS:",U27),0) &gt; 0, 
VLOOKUP(A27,vote4SURGE!$A:$C , 3, FALSE) - 2,
VLOOKUP(A27,vote4SURGE!$A:$C , 3, FALSE)
)
))</f>
        <v/>
      </c>
      <c r="W27" s="343">
        <f t="shared" si="1"/>
        <v>2</v>
      </c>
      <c r="X27" s="344">
        <f>IFERROR(__xludf.DUMMYFUNCTION("SWITCH(
LEN(K27) - LEN(SUBSTITUTE(K27,"","","""")),
0 , VLOOKUP(K27, Variables!$A:$C, 3, FALSE),
1 , VLOOKUP(index(split(K27 ,"", "", FALSE),1,1), Variables!$A:$C, 3, FALSE) + VLOOKUP(index(split(K27 ,"", "", FALSE),1,2), Variables!$A:$C, 3, FALSE),
2 , V"&amp;"LOOKUP(index(split(K27 ,"", "", FALSE),1,1), Variables!$A:$C, 3, FALSE) + VLOOKUP(index(split(K27 ,"", "", FALSE),1,2), Variables!$A:$C, 3, FALSE) + VLOOKUP(index(split(K27 ,"", "", FALSE),1,3), Variables!$A:$C, 3, FALSE)
)"),1.0)</f>
        <v>1</v>
      </c>
      <c r="Y27" s="342">
        <f t="shared" si="2"/>
        <v>6.5</v>
      </c>
      <c r="Z27" s="114"/>
      <c r="AA27" s="114" t="s">
        <v>2572</v>
      </c>
      <c r="AB27" s="114"/>
      <c r="AC27" s="114"/>
      <c r="AD27" s="114" t="s">
        <v>2572</v>
      </c>
      <c r="AE27" s="114"/>
      <c r="AF27" s="114"/>
      <c r="AG27" s="114"/>
      <c r="AH27" s="114"/>
      <c r="AI27" s="114"/>
      <c r="AJ27" s="164" t="s">
        <v>2574</v>
      </c>
      <c r="AK27" s="473">
        <v>9.0</v>
      </c>
      <c r="AL27" s="164" t="s">
        <v>2574</v>
      </c>
      <c r="AM27" s="473">
        <v>15.0</v>
      </c>
      <c r="AN27" s="164" t="s">
        <v>2574</v>
      </c>
      <c r="AO27" s="473">
        <v>21.0</v>
      </c>
      <c r="AP27" s="130">
        <f>SUM(
VLOOKUP("Ravage",vote4TRAITS!A:C,3,FALSE)
)</f>
        <v>7.333333333</v>
      </c>
      <c r="AQ27" s="130">
        <f t="shared" si="3"/>
        <v>35.15</v>
      </c>
    </row>
    <row r="28" ht="14.25" customHeight="1">
      <c r="A28" s="137" t="s">
        <v>1437</v>
      </c>
      <c r="B28" s="114" t="s">
        <v>2570</v>
      </c>
      <c r="C28" s="114">
        <v>24.0</v>
      </c>
      <c r="D28" s="114">
        <v>1.0</v>
      </c>
      <c r="E28" s="114">
        <v>1.0</v>
      </c>
      <c r="F28" s="487">
        <v>5.0</v>
      </c>
      <c r="G28" s="488">
        <v>7.0</v>
      </c>
      <c r="H28" s="114" t="s">
        <v>1663</v>
      </c>
      <c r="I28" s="130">
        <f>IFERROR(__xludf.DUMMYFUNCTION("SWITCH(
LEN(H28) - LEN(SUBSTITUTE(H28,"","","""")),
0 , VLOOKUP(H28, Variables!$A:$B, 2, FALSE),
1 , VLOOKUP(index(split(H28 ,"", "", FALSE),1,1), Variables!$A:$B , 2, FALSE) + VLOOKUP(index(split(H28 ,"", "", FALSE),1,2), Variables!$A:$B , 2, FALSE),
2 ,"&amp;" VLOOKUP(index(split(H28 ,"", "", FALSE),1,1), Variables!$A:$B , 2, FALSE) + VLOOKUP(index(split(H28 ,"", "", FALSE),1,2), Variables!$A:$B , 2, FALSE) + VLOOKUP(index(split(H28 ,"", "", FALSE),1,3), Variables!$A:$B , 2, FALSE)
)"),1.3333333333333333)</f>
        <v>1.333333333</v>
      </c>
      <c r="J28" s="114" t="s">
        <v>1521</v>
      </c>
      <c r="K28" s="114" t="s">
        <v>1548</v>
      </c>
      <c r="L28" s="130">
        <f>IFERROR(__xludf.DUMMYFUNCTION("SWITCH(
LEN(K28) - LEN(SUBSTITUTE(K28,"","","""")),
0 , VLOOKUP(K28, Variables!$A:$B, 2, FALSE),
1 , VLOOKUP(index(split(K28 ,"", "", FALSE),1,1), Variables!$A:$B , 2, FALSE) + VLOOKUP(index(split(K28 ,"", "", FALSE),1,2), Variables!$A:$B , 2, FALSE),
2 ,"&amp;" VLOOKUP(index(split(K28 ,"", "", FALSE),1,1), Variables!$A:$B , 2, FALSE) + VLOOKUP(index(split(K28 ,"", "", FALSE),1,2), Variables!$A:$B , 2, FALSE) + VLOOKUP(index(split(K28 ,"", "", FALSE),1,3), Variables!$A:$B , 2, FALSE)
)
+
IF(J28=""Ranged"", 1 , 0"&amp;")"),2.3333333333333335)</f>
        <v>2.333333333</v>
      </c>
      <c r="M28" s="114" t="s">
        <v>2584</v>
      </c>
      <c r="N28" s="130">
        <f>IFERROR(__xludf.DUMMYFUNCTION("IF(ISBLANK(M28), , 
SWITCH(
LEN(M28)- LEN(SUBSTITUTE(M28,"","","""")), 
0 , VLOOKUP(M28, vote4TRAITS!A:C , 3, FALSE),
1 , VLOOKUP(index(split(M28 ,"", "", FALSE),1,1), vote4TRAITS!A:C , 3, FALSE) + VLOOKUP(index(split(M28 ,"", "", FALSE),1,2), vote4TRAITS"&amp;"!A:C , 3, FALSE),
2 , VLOOKUP(index(split(M28 ,"", "", FALSE),1,1), vote4TRAITS!A:C , 3, FALSE) + VLOOKUP(index(split(M28 ,"", "", FALSE),1,2), vote4TRAITS!A:C , 3, FALSE) + VLOOKUP(index(split(M28 ,"", "", FALSE),1,3), vote4TRAITS!A:C , 3, FALSE)
)
)"),10.333333333333332)</f>
        <v>10.33333333</v>
      </c>
      <c r="O28" s="490"/>
      <c r="P28" s="165" t="str">
        <f>IFERROR(__xludf.DUMMYFUNCTION("IF(ISBLANK(O28), , 
SWITCH(
LEN(O28)- LEN(SUBSTITUTE(O28,"","","""")), 
0 , VLOOKUP(O28, vote4ACTIONS!A:C , 3, FALSE),
1 , VLOOKUP(index(split(O28 ,"", "", FALSE),1,1), vote4ACTIONS!A:C , 3, FALSE) + VLOOKUP(index(split(O28 ,"", "", FALSE),1,2), vote4ACTI"&amp;"ONS!A:C , 3, FALSE),
2 , VLOOKUP(index(split(O28 ,"", "", FALSE),1,1), vote4ACTIONS!A:C , 3, FALSE) + VLOOKUP(index(split(O28 ,"", "", FALSE),1,2), vote4ACTIONS!A:C , 3, FALSE) + VLOOKUP(index(split(O28 ,"", "", FALSE),1,3), vote4ACTIONS!A:C , 3, FALSE),
"&amp;"3 , VLOOKUP(index(split(O28 ,"", "", FALSE),1,1), vote4ACTIONS!A:C , 3, FALSE) + VLOOKUP(index(split(O28 ,"", "", FALSE),1,2), vote4ACTIONS!A:C , 3, FALSE) + VLOOKUP(index(split(O28 ,"", "", FALSE),1,3), vote4ACTIONS!A:C , 3, FALSE) + VLOOKUP(index(split("&amp;"O28 ,"", "", FALSE),1,4), vote4ACTIONS!A:C , 3, FALSE)
)
)"),"")</f>
        <v/>
      </c>
      <c r="Q28" s="169" t="s">
        <v>1524</v>
      </c>
      <c r="R28" s="342">
        <f>IF(ISBLANK(Q28),,IFERROR(
IF(IFERROR(SEARCH("SS:",Q28),0) &gt; 0, 
VLOOKUP(SUBSTITUTE(Q28,"SS: ",""),vote4SURGE!$A:$C , 3, FALSE) - 2,
VLOOKUP(SUBSTITUTE(Q28,"S: ",""),vote4SURGE!$A:$C , 3, FALSE)
)
,
IF(IFERROR(SEARCH("SS:",Q28),0) &gt; 0, 
VLOOKUP(A28,vote4SURGE!$A:$C , 3, FALSE) - 2,
VLOOKUP(A28,vote4SURGE!$A:$C , 3, FALSE)
)
))</f>
        <v>4.5</v>
      </c>
      <c r="S28" s="169" t="s">
        <v>2585</v>
      </c>
      <c r="T28" s="342">
        <f>IF(ISBLANK(S28),,IFERROR(
IF(IFERROR(SEARCH("SS:",S28),0) &gt; 0, 
VLOOKUP(SUBSTITUTE(S28,"SS: ",""),vote4SURGE!$A:$C , 3, FALSE) - 2,
VLOOKUP(SUBSTITUTE(S28,"S: ",""),vote4SURGE!$A:$C , 3, FALSE)
)
,
IF(IFERROR(SEARCH("SS:",S28),0) &gt; 0, 
VLOOKUP(A28,vote4SURGE!$A:$C , 3, FALSE) - 2,
VLOOKUP(A28,vote4SURGE!$A:$C , 3, FALSE)
)
))</f>
        <v>4</v>
      </c>
      <c r="U28" s="341"/>
      <c r="V28" s="343" t="str">
        <f>IF(ISBLANK(U28),,IFERROR(
IF(IFERROR(SEARCH("SS:",U28),0) &gt; 0, 
VLOOKUP(SUBSTITUTE(U28,"SS: ",""),vote4SURGE!$A:$C , 3, FALSE) - 2,
VLOOKUP(SUBSTITUTE(U28,"S: ",""),vote4SURGE!$A:$C , 3, FALSE)
)
,
IF(IFERROR(SEARCH("SS:",U28),0) &gt; 0, 
VLOOKUP(A28,vote4SURGE!$A:$C , 3, FALSE) - 2,
VLOOKUP(A28,vote4SURGE!$A:$C , 3, FALSE)
)
))</f>
        <v/>
      </c>
      <c r="W28" s="343">
        <f t="shared" si="1"/>
        <v>2</v>
      </c>
      <c r="X28" s="344">
        <f>IFERROR(__xludf.DUMMYFUNCTION("SWITCH(
LEN(K28) - LEN(SUBSTITUTE(K28,"","","""")),
0 , VLOOKUP(K28, Variables!$A:$C, 3, FALSE),
1 , VLOOKUP(index(split(K28 ,"", "", FALSE),1,1), Variables!$A:$C, 3, FALSE) + VLOOKUP(index(split(K28 ,"", "", FALSE),1,2), Variables!$A:$C, 3, FALSE),
2 , V"&amp;"LOOKUP(index(split(K28 ,"", "", FALSE),1,1), Variables!$A:$C, 3, FALSE) + VLOOKUP(index(split(K28 ,"", "", FALSE),1,2), Variables!$A:$C, 3, FALSE) + VLOOKUP(index(split(K28 ,"", "", FALSE),1,3), Variables!$A:$C, 3, FALSE)
)"),0.8333333333333333)</f>
        <v>0.8333333333</v>
      </c>
      <c r="Y28" s="342">
        <f t="shared" si="2"/>
        <v>6.166666667</v>
      </c>
      <c r="Z28" s="114"/>
      <c r="AA28" s="114" t="s">
        <v>2572</v>
      </c>
      <c r="AB28" s="114"/>
      <c r="AC28" s="114"/>
      <c r="AD28" s="114" t="s">
        <v>2572</v>
      </c>
      <c r="AE28" s="114"/>
      <c r="AF28" s="114"/>
      <c r="AG28" s="114"/>
      <c r="AH28" s="114"/>
      <c r="AI28" s="114"/>
      <c r="AJ28" s="164" t="s">
        <v>2574</v>
      </c>
      <c r="AK28" s="473">
        <v>7.0</v>
      </c>
      <c r="AL28" s="164" t="s">
        <v>2574</v>
      </c>
      <c r="AM28" s="473">
        <v>12.0</v>
      </c>
      <c r="AN28" s="164" t="s">
        <v>2574</v>
      </c>
      <c r="AO28" s="473">
        <v>17.0</v>
      </c>
      <c r="AP28" s="130">
        <f>SUM(
VLOOKUP("Ravage",vote4TRAITS!A:C,3,FALSE)
)</f>
        <v>7.333333333</v>
      </c>
      <c r="AQ28" s="130">
        <f t="shared" si="3"/>
        <v>22.48333333</v>
      </c>
    </row>
    <row r="29" ht="14.25" customHeight="1">
      <c r="A29" s="137" t="s">
        <v>1437</v>
      </c>
      <c r="B29" s="114" t="s">
        <v>2576</v>
      </c>
      <c r="C29" s="114">
        <v>24.0</v>
      </c>
      <c r="D29" s="114">
        <v>2.0</v>
      </c>
      <c r="E29" s="114">
        <v>1.0</v>
      </c>
      <c r="F29" s="487">
        <v>5.0</v>
      </c>
      <c r="G29" s="488">
        <v>6.0</v>
      </c>
      <c r="H29" s="114" t="s">
        <v>1671</v>
      </c>
      <c r="I29" s="130">
        <f>IFERROR(__xludf.DUMMYFUNCTION("SWITCH(
LEN(H29) - LEN(SUBSTITUTE(H29,"","","""")),
0 , VLOOKUP(H29, Variables!$A:$B, 2, FALSE),
1 , VLOOKUP(index(split(H29 ,"", "", FALSE),1,1), Variables!$A:$B , 2, FALSE) + VLOOKUP(index(split(H29 ,"", "", FALSE),1,2), Variables!$A:$B , 2, FALSE),
2 ,"&amp;" VLOOKUP(index(split(H29 ,"", "", FALSE),1,1), Variables!$A:$B , 2, FALSE) + VLOOKUP(index(split(H29 ,"", "", FALSE),1,2), Variables!$A:$B , 2, FALSE) + VLOOKUP(index(split(H29 ,"", "", FALSE),1,3), Variables!$A:$B , 2, FALSE)
)"),2.1666666666666665)</f>
        <v>2.166666667</v>
      </c>
      <c r="J29" s="114" t="s">
        <v>1521</v>
      </c>
      <c r="K29" s="114" t="s">
        <v>1525</v>
      </c>
      <c r="L29" s="130">
        <f>IFERROR(__xludf.DUMMYFUNCTION("SWITCH(
LEN(K29) - LEN(SUBSTITUTE(K29,"","","""")),
0 , VLOOKUP(K29, Variables!$A:$B, 2, FALSE),
1 , VLOOKUP(index(split(K29 ,"", "", FALSE),1,1), Variables!$A:$B , 2, FALSE) + VLOOKUP(index(split(K29 ,"", "", FALSE),1,2), Variables!$A:$B , 2, FALSE),
2 ,"&amp;" VLOOKUP(index(split(K29 ,"", "", FALSE),1,1), Variables!$A:$B , 2, FALSE) + VLOOKUP(index(split(K29 ,"", "", FALSE),1,2), Variables!$A:$B , 2, FALSE) + VLOOKUP(index(split(K29 ,"", "", FALSE),1,3), Variables!$A:$B , 2, FALSE)
)
+
IF(J29=""Ranged"", 1 , 0"&amp;")"),3.333333333333333)</f>
        <v>3.333333333</v>
      </c>
      <c r="M29" s="114" t="s">
        <v>2584</v>
      </c>
      <c r="N29" s="130">
        <f>IFERROR(__xludf.DUMMYFUNCTION("IF(ISBLANK(M29), , 
SWITCH(
LEN(M29)- LEN(SUBSTITUTE(M29,"","","""")), 
0 , VLOOKUP(M29, vote4TRAITS!A:C , 3, FALSE),
1 , VLOOKUP(index(split(M29 ,"", "", FALSE),1,1), vote4TRAITS!A:C , 3, FALSE) + VLOOKUP(index(split(M29 ,"", "", FALSE),1,2), vote4TRAITS"&amp;"!A:C , 3, FALSE),
2 , VLOOKUP(index(split(M29 ,"", "", FALSE),1,1), vote4TRAITS!A:C , 3, FALSE) + VLOOKUP(index(split(M29 ,"", "", FALSE),1,2), vote4TRAITS!A:C , 3, FALSE) + VLOOKUP(index(split(M29 ,"", "", FALSE),1,3), vote4TRAITS!A:C , 3, FALSE)
)
)"),10.333333333333332)</f>
        <v>10.33333333</v>
      </c>
      <c r="O29" s="490"/>
      <c r="P29" s="165" t="str">
        <f>IFERROR(__xludf.DUMMYFUNCTION("IF(ISBLANK(O29), , 
SWITCH(
LEN(O29)- LEN(SUBSTITUTE(O29,"","","""")), 
0 , VLOOKUP(O29, vote4ACTIONS!A:C , 3, FALSE),
1 , VLOOKUP(index(split(O29 ,"", "", FALSE),1,1), vote4ACTIONS!A:C , 3, FALSE) + VLOOKUP(index(split(O29 ,"", "", FALSE),1,2), vote4ACTI"&amp;"ONS!A:C , 3, FALSE),
2 , VLOOKUP(index(split(O29 ,"", "", FALSE),1,1), vote4ACTIONS!A:C , 3, FALSE) + VLOOKUP(index(split(O29 ,"", "", FALSE),1,2), vote4ACTIONS!A:C , 3, FALSE) + VLOOKUP(index(split(O29 ,"", "", FALSE),1,3), vote4ACTIONS!A:C , 3, FALSE),
"&amp;"3 , VLOOKUP(index(split(O29 ,"", "", FALSE),1,1), vote4ACTIONS!A:C , 3, FALSE) + VLOOKUP(index(split(O29 ,"", "", FALSE),1,2), vote4ACTIONS!A:C , 3, FALSE) + VLOOKUP(index(split(O29 ,"", "", FALSE),1,3), vote4ACTIONS!A:C , 3, FALSE) + VLOOKUP(index(split("&amp;"O29 ,"", "", FALSE),1,4), vote4ACTIONS!A:C , 3, FALSE)
)
)"),"")</f>
        <v/>
      </c>
      <c r="Q29" s="169" t="s">
        <v>1564</v>
      </c>
      <c r="R29" s="342">
        <f>IF(ISBLANK(Q29),,IFERROR(
IF(IFERROR(SEARCH("SS:",Q29),0) &gt; 0, 
VLOOKUP(SUBSTITUTE(Q29,"SS: ",""),vote4SURGE!$A:$C , 3, FALSE) - 2,
VLOOKUP(SUBSTITUTE(Q29,"S: ",""),vote4SURGE!$A:$C , 3, FALSE)
)
,
IF(IFERROR(SEARCH("SS:",Q29),0) &gt; 0, 
VLOOKUP(A29,vote4SURGE!$A:$C , 3, FALSE) - 2,
VLOOKUP(A29,vote4SURGE!$A:$C , 3, FALSE)
)
))</f>
        <v>3.5</v>
      </c>
      <c r="S29" s="341"/>
      <c r="T29" s="342" t="str">
        <f>IF(ISBLANK(S29),,IFERROR(
IF(IFERROR(SEARCH("SS:",S29),0) &gt; 0, 
VLOOKUP(SUBSTITUTE(S29,"SS: ",""),vote4SURGE!$A:$C , 3, FALSE) - 2,
VLOOKUP(SUBSTITUTE(S29,"S: ",""),vote4SURGE!$A:$C , 3, FALSE)
)
,
IF(IFERROR(SEARCH("SS:",S29),0) &gt; 0, 
VLOOKUP(A29,vote4SURGE!$A:$C , 3, FALSE) - 2,
VLOOKUP(A29,vote4SURGE!$A:$C , 3, FALSE)
)
))</f>
        <v/>
      </c>
      <c r="U29" s="341"/>
      <c r="V29" s="343" t="str">
        <f>IF(ISBLANK(U29),,IFERROR(
IF(IFERROR(SEARCH("SS:",U29),0) &gt; 0, 
VLOOKUP(SUBSTITUTE(U29,"SS: ",""),vote4SURGE!$A:$C , 3, FALSE) - 2,
VLOOKUP(SUBSTITUTE(U29,"S: ",""),vote4SURGE!$A:$C , 3, FALSE)
)
,
IF(IFERROR(SEARCH("SS:",U29),0) &gt; 0, 
VLOOKUP(A29,vote4SURGE!$A:$C , 3, FALSE) - 2,
VLOOKUP(A29,vote4SURGE!$A:$C , 3, FALSE)
)
))</f>
        <v/>
      </c>
      <c r="W29" s="343">
        <f t="shared" si="1"/>
        <v>1</v>
      </c>
      <c r="X29" s="344">
        <f>IFERROR(__xludf.DUMMYFUNCTION("SWITCH(
LEN(K29) - LEN(SUBSTITUTE(K29,"","","""")),
0 , VLOOKUP(K29, Variables!$A:$C, 3, FALSE),
1 , VLOOKUP(index(split(K29 ,"", "", FALSE),1,1), Variables!$A:$C, 3, FALSE) + VLOOKUP(index(split(K29 ,"", "", FALSE),1,2), Variables!$A:$C, 3, FALSE),
2 , V"&amp;"LOOKUP(index(split(K29 ,"", "", FALSE),1,1), Variables!$A:$C, 3, FALSE) + VLOOKUP(index(split(K29 ,"", "", FALSE),1,2), Variables!$A:$C, 3, FALSE) + VLOOKUP(index(split(K29 ,"", "", FALSE),1,3), Variables!$A:$C, 3, FALSE)
)"),0.5)</f>
        <v>0.5</v>
      </c>
      <c r="Y29" s="342">
        <f t="shared" si="2"/>
        <v>1.75</v>
      </c>
      <c r="Z29" s="114"/>
      <c r="AA29" s="114" t="s">
        <v>2572</v>
      </c>
      <c r="AB29" s="114"/>
      <c r="AC29" s="114"/>
      <c r="AD29" s="114" t="s">
        <v>2572</v>
      </c>
      <c r="AE29" s="114"/>
      <c r="AF29" s="114"/>
      <c r="AG29" s="114"/>
      <c r="AH29" s="114"/>
      <c r="AI29" s="114"/>
      <c r="AJ29" s="164" t="s">
        <v>2573</v>
      </c>
      <c r="AK29" s="473">
        <v>9.0</v>
      </c>
      <c r="AL29" s="164" t="s">
        <v>2574</v>
      </c>
      <c r="AM29" s="473">
        <v>15.0</v>
      </c>
      <c r="AN29" s="164" t="s">
        <v>369</v>
      </c>
      <c r="AO29" s="473">
        <v>21.0</v>
      </c>
      <c r="AP29" s="130">
        <f>SUM(
VLOOKUP("Ravage",vote4TRAITS!A:C,3,FALSE)
)</f>
        <v>7.333333333</v>
      </c>
      <c r="AQ29" s="130">
        <f t="shared" si="3"/>
        <v>22.73333333</v>
      </c>
    </row>
    <row r="30" ht="14.25" customHeight="1">
      <c r="A30" s="137" t="s">
        <v>1437</v>
      </c>
      <c r="B30" s="114" t="s">
        <v>2576</v>
      </c>
      <c r="C30" s="114">
        <v>24.0</v>
      </c>
      <c r="D30" s="114">
        <v>1.0</v>
      </c>
      <c r="E30" s="114">
        <v>1.0</v>
      </c>
      <c r="F30" s="487">
        <v>5.0</v>
      </c>
      <c r="G30" s="488">
        <v>5.0</v>
      </c>
      <c r="H30" s="114" t="s">
        <v>1663</v>
      </c>
      <c r="I30" s="130">
        <f>IFERROR(__xludf.DUMMYFUNCTION("SWITCH(
LEN(H30) - LEN(SUBSTITUTE(H30,"","","""")),
0 , VLOOKUP(H30, Variables!$A:$B, 2, FALSE),
1 , VLOOKUP(index(split(H30 ,"", "", FALSE),1,1), Variables!$A:$B , 2, FALSE) + VLOOKUP(index(split(H30 ,"", "", FALSE),1,2), Variables!$A:$B , 2, FALSE),
2 ,"&amp;" VLOOKUP(index(split(H30 ,"", "", FALSE),1,1), Variables!$A:$B , 2, FALSE) + VLOOKUP(index(split(H30 ,"", "", FALSE),1,2), Variables!$A:$B , 2, FALSE) + VLOOKUP(index(split(H30 ,"", "", FALSE),1,3), Variables!$A:$B , 2, FALSE)
)"),1.3333333333333333)</f>
        <v>1.333333333</v>
      </c>
      <c r="J30" s="114" t="s">
        <v>1521</v>
      </c>
      <c r="K30" s="114" t="s">
        <v>1548</v>
      </c>
      <c r="L30" s="130">
        <f>IFERROR(__xludf.DUMMYFUNCTION("SWITCH(
LEN(K30) - LEN(SUBSTITUTE(K30,"","","""")),
0 , VLOOKUP(K30, Variables!$A:$B, 2, FALSE),
1 , VLOOKUP(index(split(K30 ,"", "", FALSE),1,1), Variables!$A:$B , 2, FALSE) + VLOOKUP(index(split(K30 ,"", "", FALSE),1,2), Variables!$A:$B , 2, FALSE),
2 ,"&amp;" VLOOKUP(index(split(K30 ,"", "", FALSE),1,1), Variables!$A:$B , 2, FALSE) + VLOOKUP(index(split(K30 ,"", "", FALSE),1,2), Variables!$A:$B , 2, FALSE) + VLOOKUP(index(split(K30 ,"", "", FALSE),1,3), Variables!$A:$B , 2, FALSE)
)
+
IF(J30=""Ranged"", 1 , 0"&amp;")"),2.3333333333333335)</f>
        <v>2.333333333</v>
      </c>
      <c r="M30" s="114" t="s">
        <v>2584</v>
      </c>
      <c r="N30" s="130">
        <f>IFERROR(__xludf.DUMMYFUNCTION("IF(ISBLANK(M30), , 
SWITCH(
LEN(M30)- LEN(SUBSTITUTE(M30,"","","""")), 
0 , VLOOKUP(M30, vote4TRAITS!A:C , 3, FALSE),
1 , VLOOKUP(index(split(M30 ,"", "", FALSE),1,1), vote4TRAITS!A:C , 3, FALSE) + VLOOKUP(index(split(M30 ,"", "", FALSE),1,2), vote4TRAITS"&amp;"!A:C , 3, FALSE),
2 , VLOOKUP(index(split(M30 ,"", "", FALSE),1,1), vote4TRAITS!A:C , 3, FALSE) + VLOOKUP(index(split(M30 ,"", "", FALSE),1,2), vote4TRAITS!A:C , 3, FALSE) + VLOOKUP(index(split(M30 ,"", "", FALSE),1,3), vote4TRAITS!A:C , 3, FALSE)
)
)"),10.333333333333332)</f>
        <v>10.33333333</v>
      </c>
      <c r="O30" s="490"/>
      <c r="P30" s="165" t="str">
        <f>IFERROR(__xludf.DUMMYFUNCTION("IF(ISBLANK(O30), , 
SWITCH(
LEN(O30)- LEN(SUBSTITUTE(O30,"","","""")), 
0 , VLOOKUP(O30, vote4ACTIONS!A:C , 3, FALSE),
1 , VLOOKUP(index(split(O30 ,"", "", FALSE),1,1), vote4ACTIONS!A:C , 3, FALSE) + VLOOKUP(index(split(O30 ,"", "", FALSE),1,2), vote4ACTI"&amp;"ONS!A:C , 3, FALSE),
2 , VLOOKUP(index(split(O30 ,"", "", FALSE),1,1), vote4ACTIONS!A:C , 3, FALSE) + VLOOKUP(index(split(O30 ,"", "", FALSE),1,2), vote4ACTIONS!A:C , 3, FALSE) + VLOOKUP(index(split(O30 ,"", "", FALSE),1,3), vote4ACTIONS!A:C , 3, FALSE),
"&amp;"3 , VLOOKUP(index(split(O30 ,"", "", FALSE),1,1), vote4ACTIONS!A:C , 3, FALSE) + VLOOKUP(index(split(O30 ,"", "", FALSE),1,2), vote4ACTIONS!A:C , 3, FALSE) + VLOOKUP(index(split(O30 ,"", "", FALSE),1,3), vote4ACTIONS!A:C , 3, FALSE) + VLOOKUP(index(split("&amp;"O30 ,"", "", FALSE),1,4), vote4ACTIONS!A:C , 3, FALSE)
)
)"),"")</f>
        <v/>
      </c>
      <c r="Q30" s="169" t="s">
        <v>1564</v>
      </c>
      <c r="R30" s="342">
        <f>IF(ISBLANK(Q30),,IFERROR(
IF(IFERROR(SEARCH("SS:",Q30),0) &gt; 0, 
VLOOKUP(SUBSTITUTE(Q30,"SS: ",""),vote4SURGE!$A:$C , 3, FALSE) - 2,
VLOOKUP(SUBSTITUTE(Q30,"S: ",""),vote4SURGE!$A:$C , 3, FALSE)
)
,
IF(IFERROR(SEARCH("SS:",Q30),0) &gt; 0, 
VLOOKUP(A30,vote4SURGE!$A:$C , 3, FALSE) - 2,
VLOOKUP(A30,vote4SURGE!$A:$C , 3, FALSE)
)
))</f>
        <v>3.5</v>
      </c>
      <c r="S30" s="341"/>
      <c r="T30" s="342" t="str">
        <f>IF(ISBLANK(S30),,IFERROR(
IF(IFERROR(SEARCH("SS:",S30),0) &gt; 0, 
VLOOKUP(SUBSTITUTE(S30,"SS: ",""),vote4SURGE!$A:$C , 3, FALSE) - 2,
VLOOKUP(SUBSTITUTE(S30,"S: ",""),vote4SURGE!$A:$C , 3, FALSE)
)
,
IF(IFERROR(SEARCH("SS:",S30),0) &gt; 0, 
VLOOKUP(A30,vote4SURGE!$A:$C , 3, FALSE) - 2,
VLOOKUP(A30,vote4SURGE!$A:$C , 3, FALSE)
)
))</f>
        <v/>
      </c>
      <c r="U30" s="341"/>
      <c r="V30" s="343" t="str">
        <f>IF(ISBLANK(U30),,IFERROR(
IF(IFERROR(SEARCH("SS:",U30),0) &gt; 0, 
VLOOKUP(SUBSTITUTE(U30,"SS: ",""),vote4SURGE!$A:$C , 3, FALSE) - 2,
VLOOKUP(SUBSTITUTE(U30,"S: ",""),vote4SURGE!$A:$C , 3, FALSE)
)
,
IF(IFERROR(SEARCH("SS:",U30),0) &gt; 0, 
VLOOKUP(A30,vote4SURGE!$A:$C , 3, FALSE) - 2,
VLOOKUP(A30,vote4SURGE!$A:$C , 3, FALSE)
)
))</f>
        <v/>
      </c>
      <c r="W30" s="343">
        <f t="shared" si="1"/>
        <v>1</v>
      </c>
      <c r="X30" s="344">
        <f>IFERROR(__xludf.DUMMYFUNCTION("SWITCH(
LEN(K30) - LEN(SUBSTITUTE(K30,"","","""")),
0 , VLOOKUP(K30, Variables!$A:$C, 3, FALSE),
1 , VLOOKUP(index(split(K30 ,"", "", FALSE),1,1), Variables!$A:$C, 3, FALSE) + VLOOKUP(index(split(K30 ,"", "", FALSE),1,2), Variables!$A:$C, 3, FALSE),
2 , V"&amp;"LOOKUP(index(split(K30 ,"", "", FALSE),1,1), Variables!$A:$C, 3, FALSE) + VLOOKUP(index(split(K30 ,"", "", FALSE),1,2), Variables!$A:$C, 3, FALSE) + VLOOKUP(index(split(K30 ,"", "", FALSE),1,3), Variables!$A:$C, 3, FALSE)
)"),0.8333333333333333)</f>
        <v>0.8333333333</v>
      </c>
      <c r="Y30" s="342">
        <f t="shared" si="2"/>
        <v>2.916666667</v>
      </c>
      <c r="Z30" s="114"/>
      <c r="AA30" s="114" t="s">
        <v>2572</v>
      </c>
      <c r="AB30" s="114"/>
      <c r="AC30" s="114"/>
      <c r="AD30" s="114" t="s">
        <v>2572</v>
      </c>
      <c r="AE30" s="114"/>
      <c r="AF30" s="114"/>
      <c r="AG30" s="114"/>
      <c r="AH30" s="114"/>
      <c r="AI30" s="114"/>
      <c r="AJ30" s="164" t="s">
        <v>2573</v>
      </c>
      <c r="AK30" s="473">
        <v>7.0</v>
      </c>
      <c r="AL30" s="164" t="s">
        <v>2574</v>
      </c>
      <c r="AM30" s="473">
        <v>12.0</v>
      </c>
      <c r="AN30" s="164" t="s">
        <v>369</v>
      </c>
      <c r="AO30" s="473">
        <v>17.0</v>
      </c>
      <c r="AP30" s="130">
        <f>SUM(
VLOOKUP("Ravage",vote4TRAITS!A:C,3,FALSE)
)</f>
        <v>7.333333333</v>
      </c>
      <c r="AQ30" s="130">
        <f t="shared" si="3"/>
        <v>16.56666667</v>
      </c>
    </row>
    <row r="31" ht="14.25" customHeight="1">
      <c r="A31" s="137" t="s">
        <v>2586</v>
      </c>
      <c r="B31" s="114" t="s">
        <v>2570</v>
      </c>
      <c r="C31" s="114">
        <v>25.0</v>
      </c>
      <c r="D31" s="114">
        <v>2.0</v>
      </c>
      <c r="E31" s="114">
        <v>1.0</v>
      </c>
      <c r="F31" s="487">
        <v>2.0</v>
      </c>
      <c r="G31" s="488">
        <v>12.0</v>
      </c>
      <c r="H31" s="114" t="s">
        <v>1663</v>
      </c>
      <c r="I31" s="130">
        <f>IFERROR(__xludf.DUMMYFUNCTION("SWITCH(
LEN(H31) - LEN(SUBSTITUTE(H31,"","","""")),
0 , VLOOKUP(H31, Variables!$A:$B, 2, FALSE),
1 , VLOOKUP(index(split(H31 ,"", "", FALSE),1,1), Variables!$A:$B , 2, FALSE) + VLOOKUP(index(split(H31 ,"", "", FALSE),1,2), Variables!$A:$B , 2, FALSE),
2 ,"&amp;" VLOOKUP(index(split(H31 ,"", "", FALSE),1,1), Variables!$A:$B , 2, FALSE) + VLOOKUP(index(split(H31 ,"", "", FALSE),1,2), Variables!$A:$B , 2, FALSE) + VLOOKUP(index(split(H31 ,"", "", FALSE),1,3), Variables!$A:$B , 2, FALSE)
)"),1.3333333333333333)</f>
        <v>1.333333333</v>
      </c>
      <c r="J31" s="114" t="s">
        <v>1521</v>
      </c>
      <c r="K31" s="114" t="s">
        <v>1537</v>
      </c>
      <c r="L31" s="130">
        <f>IFERROR(__xludf.DUMMYFUNCTION("SWITCH(
LEN(K31) - LEN(SUBSTITUTE(K31,"","","""")),
0 , VLOOKUP(K31, Variables!$A:$B, 2, FALSE),
1 , VLOOKUP(index(split(K31 ,"", "", FALSE),1,1), Variables!$A:$B , 2, FALSE) + VLOOKUP(index(split(K31 ,"", "", FALSE),1,2), Variables!$A:$B , 2, FALSE),
2 ,"&amp;" VLOOKUP(index(split(K31 ,"", "", FALSE),1,1), Variables!$A:$B , 2, FALSE) + VLOOKUP(index(split(K31 ,"", "", FALSE),1,2), Variables!$A:$B , 2, FALSE) + VLOOKUP(index(split(K31 ,"", "", FALSE),1,3), Variables!$A:$B , 2, FALSE)
)
+
IF(J31=""Ranged"", 1 , 0"&amp;")"),4.5)</f>
        <v>4.5</v>
      </c>
      <c r="M31" s="114" t="s">
        <v>2587</v>
      </c>
      <c r="N31" s="130">
        <f>IFERROR(__xludf.DUMMYFUNCTION("IF(ISBLANK(M31), , 
SWITCH(
LEN(M31)- LEN(SUBSTITUTE(M31,"","","""")), 
0 , VLOOKUP(M31, vote4TRAITS!A:C , 3, FALSE),
1 , VLOOKUP(index(split(M31 ,"", "", FALSE),1,1), vote4TRAITS!A:C , 3, FALSE) + VLOOKUP(index(split(M31 ,"", "", FALSE),1,2), vote4TRAITS"&amp;"!A:C , 3, FALSE),
2 , VLOOKUP(index(split(M31 ,"", "", FALSE),1,1), vote4TRAITS!A:C , 3, FALSE) + VLOOKUP(index(split(M31 ,"", "", FALSE),1,2), vote4TRAITS!A:C , 3, FALSE) + VLOOKUP(index(split(M31 ,"", "", FALSE),1,3), vote4TRAITS!A:C , 3, FALSE)
)
)"),8.666666666666666)</f>
        <v>8.666666667</v>
      </c>
      <c r="O31" s="490"/>
      <c r="P31" s="165" t="str">
        <f>IFERROR(__xludf.DUMMYFUNCTION("IF(ISBLANK(O31), , 
SWITCH(
LEN(O31)- LEN(SUBSTITUTE(O31,"","","""")), 
0 , VLOOKUP(O31, vote4ACTIONS!A:C , 3, FALSE),
1 , VLOOKUP(index(split(O31 ,"", "", FALSE),1,1), vote4ACTIONS!A:C , 3, FALSE) + VLOOKUP(index(split(O31 ,"", "", FALSE),1,2), vote4ACTI"&amp;"ONS!A:C , 3, FALSE),
2 , VLOOKUP(index(split(O31 ,"", "", FALSE),1,1), vote4ACTIONS!A:C , 3, FALSE) + VLOOKUP(index(split(O31 ,"", "", FALSE),1,2), vote4ACTIONS!A:C , 3, FALSE) + VLOOKUP(index(split(O31 ,"", "", FALSE),1,3), vote4ACTIONS!A:C , 3, FALSE),
"&amp;"3 , VLOOKUP(index(split(O31 ,"", "", FALSE),1,1), vote4ACTIONS!A:C , 3, FALSE) + VLOOKUP(index(split(O31 ,"", "", FALSE),1,2), vote4ACTIONS!A:C , 3, FALSE) + VLOOKUP(index(split(O31 ,"", "", FALSE),1,3), vote4ACTIONS!A:C , 3, FALSE) + VLOOKUP(index(split("&amp;"O31 ,"", "", FALSE),1,4), vote4ACTIONS!A:C , 3, FALSE)
)
)"),"")</f>
        <v/>
      </c>
      <c r="Q31" s="340" t="s">
        <v>1562</v>
      </c>
      <c r="R31" s="342">
        <f>IF(ISBLANK(Q31),,IFERROR(
IF(IFERROR(SEARCH("SS:",Q31),0) &gt; 0, 
VLOOKUP(SUBSTITUTE(Q31,"SS: ",""),vote4SURGE!$A:$C , 3, FALSE) - 2,
VLOOKUP(SUBSTITUTE(Q31,"S: ",""),vote4SURGE!$A:$C , 3, FALSE)
)
,
IF(IFERROR(SEARCH("SS:",Q31),0) &gt; 0, 
VLOOKUP(A31,vote4SURGE!$A:$C , 3, FALSE) - 2,
VLOOKUP(A31,vote4SURGE!$A:$C , 3, FALSE)
)
))</f>
        <v>3.5</v>
      </c>
      <c r="S31" s="489" t="s">
        <v>2588</v>
      </c>
      <c r="T31" s="342">
        <f>IF(ISBLANK(S31),,IFERROR(
IF(IFERROR(SEARCH("SS:",S31),0) &gt; 0, 
VLOOKUP(SUBSTITUTE(S31,"SS: ",""),vote4SURGE!$A:$C , 3, FALSE) - 2,
VLOOKUP(SUBSTITUTE(S31,"S: ",""),vote4SURGE!$A:$C , 3, FALSE)
)
,
IF(IFERROR(SEARCH("SS:",S31),0) &gt; 0, 
VLOOKUP(A31,vote4SURGE!$A:$C , 3, FALSE) - 2,
VLOOKUP(A31,vote4SURGE!$A:$C , 3, FALSE)
)
))</f>
        <v>5.5</v>
      </c>
      <c r="U31" s="341"/>
      <c r="V31" s="343" t="str">
        <f>IF(ISBLANK(U31),,IFERROR(
IF(IFERROR(SEARCH("SS:",U31),0) &gt; 0, 
VLOOKUP(SUBSTITUTE(U31,"SS: ",""),vote4SURGE!$A:$C , 3, FALSE) - 2,
VLOOKUP(SUBSTITUTE(U31,"S: ",""),vote4SURGE!$A:$C , 3, FALSE)
)
,
IF(IFERROR(SEARCH("SS:",U31),0) &gt; 0, 
VLOOKUP(A31,vote4SURGE!$A:$C , 3, FALSE) - 2,
VLOOKUP(A31,vote4SURGE!$A:$C , 3, FALSE)
)
))</f>
        <v/>
      </c>
      <c r="W31" s="343">
        <f t="shared" si="1"/>
        <v>2</v>
      </c>
      <c r="X31" s="344">
        <f>IFERROR(__xludf.DUMMYFUNCTION("SWITCH(
LEN(K31) - LEN(SUBSTITUTE(K31,"","","""")),
0 , VLOOKUP(K31, Variables!$A:$C, 3, FALSE),
1 , VLOOKUP(index(split(K31 ,"", "", FALSE),1,1), Variables!$A:$C, 3, FALSE) + VLOOKUP(index(split(K31 ,"", "", FALSE),1,2), Variables!$A:$C, 3, FALSE),
2 , V"&amp;"LOOKUP(index(split(K31 ,"", "", FALSE),1,1), Variables!$A:$C, 3, FALSE) + VLOOKUP(index(split(K31 ,"", "", FALSE),1,2), Variables!$A:$C, 3, FALSE) + VLOOKUP(index(split(K31 ,"", "", FALSE),1,3), Variables!$A:$C, 3, FALSE)
)"),1.0)</f>
        <v>1</v>
      </c>
      <c r="Y31" s="342">
        <f t="shared" si="2"/>
        <v>7.25</v>
      </c>
      <c r="Z31" s="114" t="s">
        <v>2572</v>
      </c>
      <c r="AA31" s="114"/>
      <c r="AB31" s="114"/>
      <c r="AC31" s="114"/>
      <c r="AD31" s="114"/>
      <c r="AE31" s="114" t="s">
        <v>2572</v>
      </c>
      <c r="AF31" s="114"/>
      <c r="AG31" s="114"/>
      <c r="AH31" s="114"/>
      <c r="AI31" s="114"/>
      <c r="AJ31" s="164" t="s">
        <v>2574</v>
      </c>
      <c r="AK31" s="473">
        <v>12.0</v>
      </c>
      <c r="AL31" s="164" t="s">
        <v>2574</v>
      </c>
      <c r="AM31" s="473">
        <v>20.0</v>
      </c>
      <c r="AN31" s="164" t="s">
        <v>2574</v>
      </c>
      <c r="AO31" s="473">
        <v>28.0</v>
      </c>
      <c r="AP31" s="130">
        <f>SUM(
VLOOKUP("Ravage",vote4TRAITS!A:C,3,FALSE)
)</f>
        <v>7.333333333</v>
      </c>
      <c r="AQ31" s="130">
        <f t="shared" si="3"/>
        <v>29.74333333</v>
      </c>
    </row>
    <row r="32" ht="14.25" customHeight="1">
      <c r="A32" s="137" t="s">
        <v>2586</v>
      </c>
      <c r="B32" s="114" t="s">
        <v>2570</v>
      </c>
      <c r="C32" s="114">
        <v>25.0</v>
      </c>
      <c r="D32" s="114">
        <v>1.0</v>
      </c>
      <c r="E32" s="114">
        <v>1.0</v>
      </c>
      <c r="F32" s="487">
        <v>2.0</v>
      </c>
      <c r="G32" s="488">
        <v>10.0</v>
      </c>
      <c r="H32" s="114" t="s">
        <v>1621</v>
      </c>
      <c r="I32" s="130">
        <f>IFERROR(__xludf.DUMMYFUNCTION("SWITCH(
LEN(H32) - LEN(SUBSTITUTE(H32,"","","""")),
0 , VLOOKUP(H32, Variables!$A:$B, 2, FALSE),
1 , VLOOKUP(index(split(H32 ,"", "", FALSE),1,1), Variables!$A:$B , 2, FALSE) + VLOOKUP(index(split(H32 ,"", "", FALSE),1,2), Variables!$A:$B , 2, FALSE),
2 ,"&amp;" VLOOKUP(index(split(H32 ,"", "", FALSE),1,1), Variables!$A:$B , 2, FALSE) + VLOOKUP(index(split(H32 ,"", "", FALSE),1,2), Variables!$A:$B , 2, FALSE) + VLOOKUP(index(split(H32 ,"", "", FALSE),1,3), Variables!$A:$B , 2, FALSE)
)"),0.6666666666666666)</f>
        <v>0.6666666667</v>
      </c>
      <c r="J32" s="114" t="s">
        <v>1521</v>
      </c>
      <c r="K32" s="114" t="s">
        <v>1548</v>
      </c>
      <c r="L32" s="130">
        <f>IFERROR(__xludf.DUMMYFUNCTION("SWITCH(
LEN(K32) - LEN(SUBSTITUTE(K32,"","","""")),
0 , VLOOKUP(K32, Variables!$A:$B, 2, FALSE),
1 , VLOOKUP(index(split(K32 ,"", "", FALSE),1,1), Variables!$A:$B , 2, FALSE) + VLOOKUP(index(split(K32 ,"", "", FALSE),1,2), Variables!$A:$B , 2, FALSE),
2 ,"&amp;" VLOOKUP(index(split(K32 ,"", "", FALSE),1,1), Variables!$A:$B , 2, FALSE) + VLOOKUP(index(split(K32 ,"", "", FALSE),1,2), Variables!$A:$B , 2, FALSE) + VLOOKUP(index(split(K32 ,"", "", FALSE),1,3), Variables!$A:$B , 2, FALSE)
)
+
IF(J32=""Ranged"", 1 , 0"&amp;")"),2.3333333333333335)</f>
        <v>2.333333333</v>
      </c>
      <c r="M32" s="114" t="s">
        <v>2587</v>
      </c>
      <c r="N32" s="130">
        <f>IFERROR(__xludf.DUMMYFUNCTION("IF(ISBLANK(M32), , 
SWITCH(
LEN(M32)- LEN(SUBSTITUTE(M32,"","","""")), 
0 , VLOOKUP(M32, vote4TRAITS!A:C , 3, FALSE),
1 , VLOOKUP(index(split(M32 ,"", "", FALSE),1,1), vote4TRAITS!A:C , 3, FALSE) + VLOOKUP(index(split(M32 ,"", "", FALSE),1,2), vote4TRAITS"&amp;"!A:C , 3, FALSE),
2 , VLOOKUP(index(split(M32 ,"", "", FALSE),1,1), vote4TRAITS!A:C , 3, FALSE) + VLOOKUP(index(split(M32 ,"", "", FALSE),1,2), vote4TRAITS!A:C , 3, FALSE) + VLOOKUP(index(split(M32 ,"", "", FALSE),1,3), vote4TRAITS!A:C , 3, FALSE)
)
)"),8.666666666666666)</f>
        <v>8.666666667</v>
      </c>
      <c r="O32" s="490"/>
      <c r="P32" s="165" t="str">
        <f>IFERROR(__xludf.DUMMYFUNCTION("IF(ISBLANK(O32), , 
SWITCH(
LEN(O32)- LEN(SUBSTITUTE(O32,"","","""")), 
0 , VLOOKUP(O32, vote4ACTIONS!A:C , 3, FALSE),
1 , VLOOKUP(index(split(O32 ,"", "", FALSE),1,1), vote4ACTIONS!A:C , 3, FALSE) + VLOOKUP(index(split(O32 ,"", "", FALSE),1,2), vote4ACTI"&amp;"ONS!A:C , 3, FALSE),
2 , VLOOKUP(index(split(O32 ,"", "", FALSE),1,1), vote4ACTIONS!A:C , 3, FALSE) + VLOOKUP(index(split(O32 ,"", "", FALSE),1,2), vote4ACTIONS!A:C , 3, FALSE) + VLOOKUP(index(split(O32 ,"", "", FALSE),1,3), vote4ACTIONS!A:C , 3, FALSE),
"&amp;"3 , VLOOKUP(index(split(O32 ,"", "", FALSE),1,1), vote4ACTIONS!A:C , 3, FALSE) + VLOOKUP(index(split(O32 ,"", "", FALSE),1,2), vote4ACTIONS!A:C , 3, FALSE) + VLOOKUP(index(split(O32 ,"", "", FALSE),1,3), vote4ACTIONS!A:C , 3, FALSE) + VLOOKUP(index(split("&amp;"O32 ,"", "", FALSE),1,4), vote4ACTIONS!A:C , 3, FALSE)
)
)"),"")</f>
        <v/>
      </c>
      <c r="Q32" s="340" t="s">
        <v>1562</v>
      </c>
      <c r="R32" s="342">
        <f>IF(ISBLANK(Q32),,IFERROR(
IF(IFERROR(SEARCH("SS:",Q32),0) &gt; 0, 
VLOOKUP(SUBSTITUTE(Q32,"SS: ",""),vote4SURGE!$A:$C , 3, FALSE) - 2,
VLOOKUP(SUBSTITUTE(Q32,"S: ",""),vote4SURGE!$A:$C , 3, FALSE)
)
,
IF(IFERROR(SEARCH("SS:",Q32),0) &gt; 0, 
VLOOKUP(A32,vote4SURGE!$A:$C , 3, FALSE) - 2,
VLOOKUP(A32,vote4SURGE!$A:$C , 3, FALSE)
)
))</f>
        <v>3.5</v>
      </c>
      <c r="S32" s="341"/>
      <c r="T32" s="342" t="str">
        <f>IF(ISBLANK(S32),,IFERROR(
IF(IFERROR(SEARCH("SS:",S32),0) &gt; 0, 
VLOOKUP(SUBSTITUTE(S32,"SS: ",""),vote4SURGE!$A:$C , 3, FALSE) - 2,
VLOOKUP(SUBSTITUTE(S32,"S: ",""),vote4SURGE!$A:$C , 3, FALSE)
)
,
IF(IFERROR(SEARCH("SS:",S32),0) &gt; 0, 
VLOOKUP(A32,vote4SURGE!$A:$C , 3, FALSE) - 2,
VLOOKUP(A32,vote4SURGE!$A:$C , 3, FALSE)
)
))</f>
        <v/>
      </c>
      <c r="U32" s="341"/>
      <c r="V32" s="343" t="str">
        <f>IF(ISBLANK(U32),,IFERROR(
IF(IFERROR(SEARCH("SS:",U32),0) &gt; 0, 
VLOOKUP(SUBSTITUTE(U32,"SS: ",""),vote4SURGE!$A:$C , 3, FALSE) - 2,
VLOOKUP(SUBSTITUTE(U32,"S: ",""),vote4SURGE!$A:$C , 3, FALSE)
)
,
IF(IFERROR(SEARCH("SS:",U32),0) &gt; 0, 
VLOOKUP(A32,vote4SURGE!$A:$C , 3, FALSE) - 2,
VLOOKUP(A32,vote4SURGE!$A:$C , 3, FALSE)
)
))</f>
        <v/>
      </c>
      <c r="W32" s="343">
        <f t="shared" si="1"/>
        <v>1</v>
      </c>
      <c r="X32" s="344">
        <f>IFERROR(__xludf.DUMMYFUNCTION("SWITCH(
LEN(K32) - LEN(SUBSTITUTE(K32,"","","""")),
0 , VLOOKUP(K32, Variables!$A:$C, 3, FALSE),
1 , VLOOKUP(index(split(K32 ,"", "", FALSE),1,1), Variables!$A:$C, 3, FALSE) + VLOOKUP(index(split(K32 ,"", "", FALSE),1,2), Variables!$A:$C, 3, FALSE),
2 , V"&amp;"LOOKUP(index(split(K32 ,"", "", FALSE),1,1), Variables!$A:$C, 3, FALSE) + VLOOKUP(index(split(K32 ,"", "", FALSE),1,2), Variables!$A:$C, 3, FALSE) + VLOOKUP(index(split(K32 ,"", "", FALSE),1,3), Variables!$A:$C, 3, FALSE)
)"),0.8333333333333333)</f>
        <v>0.8333333333</v>
      </c>
      <c r="Y32" s="342">
        <f t="shared" si="2"/>
        <v>2.916666667</v>
      </c>
      <c r="Z32" s="114" t="s">
        <v>2572</v>
      </c>
      <c r="AA32" s="114"/>
      <c r="AB32" s="114"/>
      <c r="AC32" s="114"/>
      <c r="AD32" s="114"/>
      <c r="AE32" s="114" t="s">
        <v>2572</v>
      </c>
      <c r="AF32" s="114"/>
      <c r="AG32" s="114"/>
      <c r="AH32" s="114"/>
      <c r="AI32" s="114"/>
      <c r="AJ32" s="164" t="s">
        <v>2574</v>
      </c>
      <c r="AK32" s="473">
        <v>10.0</v>
      </c>
      <c r="AL32" s="164" t="s">
        <v>2574</v>
      </c>
      <c r="AM32" s="473">
        <v>17.0</v>
      </c>
      <c r="AN32" s="164" t="s">
        <v>2574</v>
      </c>
      <c r="AO32" s="473">
        <v>24.0</v>
      </c>
      <c r="AP32" s="130">
        <f>SUM(
VLOOKUP("Ravage",vote4TRAITS!A:C,3,FALSE)
)</f>
        <v>7.333333333</v>
      </c>
      <c r="AQ32" s="130">
        <f t="shared" si="3"/>
        <v>13.91</v>
      </c>
    </row>
    <row r="33" ht="14.25" customHeight="1">
      <c r="A33" s="137" t="s">
        <v>2586</v>
      </c>
      <c r="B33" s="114" t="s">
        <v>2576</v>
      </c>
      <c r="C33" s="114">
        <v>25.0</v>
      </c>
      <c r="D33" s="114">
        <v>2.0</v>
      </c>
      <c r="E33" s="114">
        <v>1.0</v>
      </c>
      <c r="F33" s="487">
        <v>2.0</v>
      </c>
      <c r="G33" s="488">
        <v>8.0</v>
      </c>
      <c r="H33" s="114" t="s">
        <v>1663</v>
      </c>
      <c r="I33" s="130">
        <f>IFERROR(__xludf.DUMMYFUNCTION("SWITCH(
LEN(H33) - LEN(SUBSTITUTE(H33,"","","""")),
0 , VLOOKUP(H33, Variables!$A:$B, 2, FALSE),
1 , VLOOKUP(index(split(H33 ,"", "", FALSE),1,1), Variables!$A:$B , 2, FALSE) + VLOOKUP(index(split(H33 ,"", "", FALSE),1,2), Variables!$A:$B , 2, FALSE),
2 ,"&amp;" VLOOKUP(index(split(H33 ,"", "", FALSE),1,1), Variables!$A:$B , 2, FALSE) + VLOOKUP(index(split(H33 ,"", "", FALSE),1,2), Variables!$A:$B , 2, FALSE) + VLOOKUP(index(split(H33 ,"", "", FALSE),1,3), Variables!$A:$B , 2, FALSE)
)"),1.3333333333333333)</f>
        <v>1.333333333</v>
      </c>
      <c r="J33" s="114" t="s">
        <v>1521</v>
      </c>
      <c r="K33" s="114" t="s">
        <v>1546</v>
      </c>
      <c r="L33" s="130">
        <f>IFERROR(__xludf.DUMMYFUNCTION("SWITCH(
LEN(K33) - LEN(SUBSTITUTE(K33,"","","""")),
0 , VLOOKUP(K33, Variables!$A:$B, 2, FALSE),
1 , VLOOKUP(index(split(K33 ,"", "", FALSE),1,1), Variables!$A:$B , 2, FALSE) + VLOOKUP(index(split(K33 ,"", "", FALSE),1,2), Variables!$A:$B , 2, FALSE),
2 ,"&amp;" VLOOKUP(index(split(K33 ,"", "", FALSE),1,1), Variables!$A:$B , 2, FALSE) + VLOOKUP(index(split(K33 ,"", "", FALSE),1,2), Variables!$A:$B , 2, FALSE) + VLOOKUP(index(split(K33 ,"", "", FALSE),1,3), Variables!$A:$B , 2, FALSE)
)
+
IF(J33=""Ranged"", 1 , 0"&amp;")"),3.5)</f>
        <v>3.5</v>
      </c>
      <c r="M33" s="114" t="s">
        <v>1068</v>
      </c>
      <c r="N33" s="130">
        <f>IFERROR(__xludf.DUMMYFUNCTION("IF(ISBLANK(M33), , 
SWITCH(
LEN(M33)- LEN(SUBSTITUTE(M33,"","","""")), 
0 , VLOOKUP(M33, vote4TRAITS!A:C , 3, FALSE),
1 , VLOOKUP(index(split(M33 ,"", "", FALSE),1,1), vote4TRAITS!A:C , 3, FALSE) + VLOOKUP(index(split(M33 ,"", "", FALSE),1,2), vote4TRAITS"&amp;"!A:C , 3, FALSE),
2 , VLOOKUP(index(split(M33 ,"", "", FALSE),1,1), vote4TRAITS!A:C , 3, FALSE) + VLOOKUP(index(split(M33 ,"", "", FALSE),1,2), vote4TRAITS!A:C , 3, FALSE) + VLOOKUP(index(split(M33 ,"", "", FALSE),1,3), vote4TRAITS!A:C , 3, FALSE)
)
)"),2.6666666666666665)</f>
        <v>2.666666667</v>
      </c>
      <c r="O33" s="490"/>
      <c r="P33" s="165" t="str">
        <f>IFERROR(__xludf.DUMMYFUNCTION("IF(ISBLANK(O33), , 
SWITCH(
LEN(O33)- LEN(SUBSTITUTE(O33,"","","""")), 
0 , VLOOKUP(O33, vote4ACTIONS!A:C , 3, FALSE),
1 , VLOOKUP(index(split(O33 ,"", "", FALSE),1,1), vote4ACTIONS!A:C , 3, FALSE) + VLOOKUP(index(split(O33 ,"", "", FALSE),1,2), vote4ACTI"&amp;"ONS!A:C , 3, FALSE),
2 , VLOOKUP(index(split(O33 ,"", "", FALSE),1,1), vote4ACTIONS!A:C , 3, FALSE) + VLOOKUP(index(split(O33 ,"", "", FALSE),1,2), vote4ACTIONS!A:C , 3, FALSE) + VLOOKUP(index(split(O33 ,"", "", FALSE),1,3), vote4ACTIONS!A:C , 3, FALSE),
"&amp;"3 , VLOOKUP(index(split(O33 ,"", "", FALSE),1,1), vote4ACTIONS!A:C , 3, FALSE) + VLOOKUP(index(split(O33 ,"", "", FALSE),1,2), vote4ACTIONS!A:C , 3, FALSE) + VLOOKUP(index(split(O33 ,"", "", FALSE),1,3), vote4ACTIONS!A:C , 3, FALSE) + VLOOKUP(index(split("&amp;"O33 ,"", "", FALSE),1,4), vote4ACTIONS!A:C , 3, FALSE)
)
)"),"")</f>
        <v/>
      </c>
      <c r="Q33" s="340" t="s">
        <v>1562</v>
      </c>
      <c r="R33" s="342">
        <f>IF(ISBLANK(Q33),,IFERROR(
IF(IFERROR(SEARCH("SS:",Q33),0) &gt; 0, 
VLOOKUP(SUBSTITUTE(Q33,"SS: ",""),vote4SURGE!$A:$C , 3, FALSE) - 2,
VLOOKUP(SUBSTITUTE(Q33,"S: ",""),vote4SURGE!$A:$C , 3, FALSE)
)
,
IF(IFERROR(SEARCH("SS:",Q33),0) &gt; 0, 
VLOOKUP(A33,vote4SURGE!$A:$C , 3, FALSE) - 2,
VLOOKUP(A33,vote4SURGE!$A:$C , 3, FALSE)
)
))</f>
        <v>3.5</v>
      </c>
      <c r="S33" s="489" t="s">
        <v>1600</v>
      </c>
      <c r="T33" s="342">
        <f>IF(ISBLANK(S33),,IFERROR(
IF(IFERROR(SEARCH("SS:",S33),0) &gt; 0, 
VLOOKUP(SUBSTITUTE(S33,"SS: ",""),vote4SURGE!$A:$C , 3, FALSE) - 2,
VLOOKUP(SUBSTITUTE(S33,"S: ",""),vote4SURGE!$A:$C , 3, FALSE)
)
,
IF(IFERROR(SEARCH("SS:",S33),0) &gt; 0, 
VLOOKUP(A33,vote4SURGE!$A:$C , 3, FALSE) - 2,
VLOOKUP(A33,vote4SURGE!$A:$C , 3, FALSE)
)
))</f>
        <v>4</v>
      </c>
      <c r="U33" s="341"/>
      <c r="V33" s="343" t="str">
        <f>IF(ISBLANK(U33),,IFERROR(
IF(IFERROR(SEARCH("SS:",U33),0) &gt; 0, 
VLOOKUP(SUBSTITUTE(U33,"SS: ",""),vote4SURGE!$A:$C , 3, FALSE) - 2,
VLOOKUP(SUBSTITUTE(U33,"S: ",""),vote4SURGE!$A:$C , 3, FALSE)
)
,
IF(IFERROR(SEARCH("SS:",U33),0) &gt; 0, 
VLOOKUP(A33,vote4SURGE!$A:$C , 3, FALSE) - 2,
VLOOKUP(A33,vote4SURGE!$A:$C , 3, FALSE)
)
))</f>
        <v/>
      </c>
      <c r="W33" s="343">
        <f t="shared" si="1"/>
        <v>2</v>
      </c>
      <c r="X33" s="344">
        <f>IFERROR(__xludf.DUMMYFUNCTION("SWITCH(
LEN(K33) - LEN(SUBSTITUTE(K33,"","","""")),
0 , VLOOKUP(K33, Variables!$A:$C, 3, FALSE),
1 , VLOOKUP(index(split(K33 ,"", "", FALSE),1,1), Variables!$A:$C, 3, FALSE) + VLOOKUP(index(split(K33 ,"", "", FALSE),1,2), Variables!$A:$C, 3, FALSE),
2 , V"&amp;"LOOKUP(index(split(K33 ,"", "", FALSE),1,1), Variables!$A:$C, 3, FALSE) + VLOOKUP(index(split(K33 ,"", "", FALSE),1,2), Variables!$A:$C, 3, FALSE) + VLOOKUP(index(split(K33 ,"", "", FALSE),1,3), Variables!$A:$C, 3, FALSE)
)"),1.3333333333333333)</f>
        <v>1.333333333</v>
      </c>
      <c r="Y33" s="342">
        <f t="shared" si="2"/>
        <v>6.333333333</v>
      </c>
      <c r="Z33" s="114" t="s">
        <v>2572</v>
      </c>
      <c r="AA33" s="114"/>
      <c r="AB33" s="114"/>
      <c r="AC33" s="114"/>
      <c r="AD33" s="114"/>
      <c r="AE33" s="114" t="s">
        <v>2572</v>
      </c>
      <c r="AF33" s="114"/>
      <c r="AG33" s="114"/>
      <c r="AH33" s="114"/>
      <c r="AI33" s="114"/>
      <c r="AJ33" s="164" t="s">
        <v>2573</v>
      </c>
      <c r="AK33" s="473">
        <v>12.0</v>
      </c>
      <c r="AL33" s="164" t="s">
        <v>2574</v>
      </c>
      <c r="AM33" s="473">
        <v>20.0</v>
      </c>
      <c r="AN33" s="164" t="s">
        <v>369</v>
      </c>
      <c r="AO33" s="473">
        <v>28.0</v>
      </c>
      <c r="AP33" s="130">
        <f>SUM(
VLOOKUP("Ravage",vote4TRAITS!A:C,3,FALSE)
)</f>
        <v>7.333333333</v>
      </c>
      <c r="AQ33" s="130">
        <f t="shared" si="3"/>
        <v>16.49333333</v>
      </c>
    </row>
    <row r="34" ht="14.25" customHeight="1">
      <c r="A34" s="137" t="s">
        <v>2586</v>
      </c>
      <c r="B34" s="114" t="s">
        <v>2576</v>
      </c>
      <c r="C34" s="114">
        <v>25.0</v>
      </c>
      <c r="D34" s="114">
        <v>1.0</v>
      </c>
      <c r="E34" s="114">
        <v>1.0</v>
      </c>
      <c r="F34" s="487">
        <v>2.0</v>
      </c>
      <c r="G34" s="488">
        <v>7.0</v>
      </c>
      <c r="H34" s="114" t="s">
        <v>1621</v>
      </c>
      <c r="I34" s="130">
        <f>IFERROR(__xludf.DUMMYFUNCTION("SWITCH(
LEN(H34) - LEN(SUBSTITUTE(H34,"","","""")),
0 , VLOOKUP(H34, Variables!$A:$B, 2, FALSE),
1 , VLOOKUP(index(split(H34 ,"", "", FALSE),1,1), Variables!$A:$B , 2, FALSE) + VLOOKUP(index(split(H34 ,"", "", FALSE),1,2), Variables!$A:$B , 2, FALSE),
2 ,"&amp;" VLOOKUP(index(split(H34 ,"", "", FALSE),1,1), Variables!$A:$B , 2, FALSE) + VLOOKUP(index(split(H34 ,"", "", FALSE),1,2), Variables!$A:$B , 2, FALSE) + VLOOKUP(index(split(H34 ,"", "", FALSE),1,3), Variables!$A:$B , 2, FALSE)
)"),0.6666666666666666)</f>
        <v>0.6666666667</v>
      </c>
      <c r="J34" s="114" t="s">
        <v>1521</v>
      </c>
      <c r="K34" s="114" t="s">
        <v>1548</v>
      </c>
      <c r="L34" s="130">
        <f>IFERROR(__xludf.DUMMYFUNCTION("SWITCH(
LEN(K34) - LEN(SUBSTITUTE(K34,"","","""")),
0 , VLOOKUP(K34, Variables!$A:$B, 2, FALSE),
1 , VLOOKUP(index(split(K34 ,"", "", FALSE),1,1), Variables!$A:$B , 2, FALSE) + VLOOKUP(index(split(K34 ,"", "", FALSE),1,2), Variables!$A:$B , 2, FALSE),
2 ,"&amp;" VLOOKUP(index(split(K34 ,"", "", FALSE),1,1), Variables!$A:$B , 2, FALSE) + VLOOKUP(index(split(K34 ,"", "", FALSE),1,2), Variables!$A:$B , 2, FALSE) + VLOOKUP(index(split(K34 ,"", "", FALSE),1,3), Variables!$A:$B , 2, FALSE)
)
+
IF(J34=""Ranged"", 1 , 0"&amp;")"),2.3333333333333335)</f>
        <v>2.333333333</v>
      </c>
      <c r="M34" s="114" t="s">
        <v>1068</v>
      </c>
      <c r="N34" s="130">
        <f>IFERROR(__xludf.DUMMYFUNCTION("IF(ISBLANK(M34), , 
SWITCH(
LEN(M34)- LEN(SUBSTITUTE(M34,"","","""")), 
0 , VLOOKUP(M34, vote4TRAITS!A:C , 3, FALSE),
1 , VLOOKUP(index(split(M34 ,"", "", FALSE),1,1), vote4TRAITS!A:C , 3, FALSE) + VLOOKUP(index(split(M34 ,"", "", FALSE),1,2), vote4TRAITS"&amp;"!A:C , 3, FALSE),
2 , VLOOKUP(index(split(M34 ,"", "", FALSE),1,1), vote4TRAITS!A:C , 3, FALSE) + VLOOKUP(index(split(M34 ,"", "", FALSE),1,2), vote4TRAITS!A:C , 3, FALSE) + VLOOKUP(index(split(M34 ,"", "", FALSE),1,3), vote4TRAITS!A:C , 3, FALSE)
)
)"),2.6666666666666665)</f>
        <v>2.666666667</v>
      </c>
      <c r="O34" s="490"/>
      <c r="P34" s="165" t="str">
        <f>IFERROR(__xludf.DUMMYFUNCTION("IF(ISBLANK(O34), , 
SWITCH(
LEN(O34)- LEN(SUBSTITUTE(O34,"","","""")), 
0 , VLOOKUP(O34, vote4ACTIONS!A:C , 3, FALSE),
1 , VLOOKUP(index(split(O34 ,"", "", FALSE),1,1), vote4ACTIONS!A:C , 3, FALSE) + VLOOKUP(index(split(O34 ,"", "", FALSE),1,2), vote4ACTI"&amp;"ONS!A:C , 3, FALSE),
2 , VLOOKUP(index(split(O34 ,"", "", FALSE),1,1), vote4ACTIONS!A:C , 3, FALSE) + VLOOKUP(index(split(O34 ,"", "", FALSE),1,2), vote4ACTIONS!A:C , 3, FALSE) + VLOOKUP(index(split(O34 ,"", "", FALSE),1,3), vote4ACTIONS!A:C , 3, FALSE),
"&amp;"3 , VLOOKUP(index(split(O34 ,"", "", FALSE),1,1), vote4ACTIONS!A:C , 3, FALSE) + VLOOKUP(index(split(O34 ,"", "", FALSE),1,2), vote4ACTIONS!A:C , 3, FALSE) + VLOOKUP(index(split(O34 ,"", "", FALSE),1,3), vote4ACTIONS!A:C , 3, FALSE) + VLOOKUP(index(split("&amp;"O34 ,"", "", FALSE),1,4), vote4ACTIONS!A:C , 3, FALSE)
)
)"),"")</f>
        <v/>
      </c>
      <c r="Q34" s="340" t="s">
        <v>1562</v>
      </c>
      <c r="R34" s="342">
        <f>IF(ISBLANK(Q34),,IFERROR(
IF(IFERROR(SEARCH("SS:",Q34),0) &gt; 0, 
VLOOKUP(SUBSTITUTE(Q34,"SS: ",""),vote4SURGE!$A:$C , 3, FALSE) - 2,
VLOOKUP(SUBSTITUTE(Q34,"S: ",""),vote4SURGE!$A:$C , 3, FALSE)
)
,
IF(IFERROR(SEARCH("SS:",Q34),0) &gt; 0, 
VLOOKUP(A34,vote4SURGE!$A:$C , 3, FALSE) - 2,
VLOOKUP(A34,vote4SURGE!$A:$C , 3, FALSE)
)
))</f>
        <v>3.5</v>
      </c>
      <c r="S34" s="489" t="s">
        <v>1600</v>
      </c>
      <c r="T34" s="342">
        <f>IF(ISBLANK(S34),,IFERROR(
IF(IFERROR(SEARCH("SS:",S34),0) &gt; 0, 
VLOOKUP(SUBSTITUTE(S34,"SS: ",""),vote4SURGE!$A:$C , 3, FALSE) - 2,
VLOOKUP(SUBSTITUTE(S34,"S: ",""),vote4SURGE!$A:$C , 3, FALSE)
)
,
IF(IFERROR(SEARCH("SS:",S34),0) &gt; 0, 
VLOOKUP(A34,vote4SURGE!$A:$C , 3, FALSE) - 2,
VLOOKUP(A34,vote4SURGE!$A:$C , 3, FALSE)
)
))</f>
        <v>4</v>
      </c>
      <c r="U34" s="341"/>
      <c r="V34" s="343" t="str">
        <f>IF(ISBLANK(U34),,IFERROR(
IF(IFERROR(SEARCH("SS:",U34),0) &gt; 0, 
VLOOKUP(SUBSTITUTE(U34,"SS: ",""),vote4SURGE!$A:$C , 3, FALSE) - 2,
VLOOKUP(SUBSTITUTE(U34,"S: ",""),vote4SURGE!$A:$C , 3, FALSE)
)
,
IF(IFERROR(SEARCH("SS:",U34),0) &gt; 0, 
VLOOKUP(A34,vote4SURGE!$A:$C , 3, FALSE) - 2,
VLOOKUP(A34,vote4SURGE!$A:$C , 3, FALSE)
)
))</f>
        <v/>
      </c>
      <c r="W34" s="343">
        <f t="shared" si="1"/>
        <v>2</v>
      </c>
      <c r="X34" s="344">
        <f>IFERROR(__xludf.DUMMYFUNCTION("SWITCH(
LEN(K34) - LEN(SUBSTITUTE(K34,"","","""")),
0 , VLOOKUP(K34, Variables!$A:$C, 3, FALSE),
1 , VLOOKUP(index(split(K34 ,"", "", FALSE),1,1), Variables!$A:$C, 3, FALSE) + VLOOKUP(index(split(K34 ,"", "", FALSE),1,2), Variables!$A:$C, 3, FALSE),
2 , V"&amp;"LOOKUP(index(split(K34 ,"", "", FALSE),1,1), Variables!$A:$C, 3, FALSE) + VLOOKUP(index(split(K34 ,"", "", FALSE),1,2), Variables!$A:$C, 3, FALSE) + VLOOKUP(index(split(K34 ,"", "", FALSE),1,3), Variables!$A:$C, 3, FALSE)
)"),0.8333333333333333)</f>
        <v>0.8333333333</v>
      </c>
      <c r="Y34" s="342">
        <f t="shared" si="2"/>
        <v>5.458333333</v>
      </c>
      <c r="Z34" s="114" t="s">
        <v>2572</v>
      </c>
      <c r="AA34" s="114"/>
      <c r="AB34" s="114"/>
      <c r="AC34" s="114"/>
      <c r="AD34" s="114"/>
      <c r="AE34" s="114" t="s">
        <v>2572</v>
      </c>
      <c r="AF34" s="114"/>
      <c r="AG34" s="114"/>
      <c r="AH34" s="114"/>
      <c r="AI34" s="114"/>
      <c r="AJ34" s="164" t="s">
        <v>2573</v>
      </c>
      <c r="AK34" s="473">
        <v>10.0</v>
      </c>
      <c r="AL34" s="164" t="s">
        <v>2574</v>
      </c>
      <c r="AM34" s="473">
        <v>17.0</v>
      </c>
      <c r="AN34" s="164" t="s">
        <v>369</v>
      </c>
      <c r="AO34" s="473">
        <v>24.0</v>
      </c>
      <c r="AP34" s="130">
        <f>SUM(
VLOOKUP("Ravage",vote4TRAITS!A:C,3,FALSE)
)</f>
        <v>7.333333333</v>
      </c>
      <c r="AQ34" s="130">
        <f t="shared" si="3"/>
        <v>8.451666667</v>
      </c>
    </row>
    <row r="35" ht="14.25" customHeight="1">
      <c r="A35" s="137" t="s">
        <v>2589</v>
      </c>
      <c r="B35" s="114" t="s">
        <v>2570</v>
      </c>
      <c r="C35" s="114">
        <v>13.0</v>
      </c>
      <c r="D35" s="114">
        <v>2.0</v>
      </c>
      <c r="E35" s="114">
        <v>1.0</v>
      </c>
      <c r="F35" s="487">
        <v>5.0</v>
      </c>
      <c r="G35" s="488">
        <v>10.0</v>
      </c>
      <c r="H35" s="114" t="s">
        <v>2590</v>
      </c>
      <c r="I35" s="130">
        <f>IFERROR(__xludf.DUMMYFUNCTION("SWITCH(
LEN(H35) - LEN(SUBSTITUTE(H35,"","","""")),
0 , VLOOKUP(H35, Variables!$A:$B, 2, FALSE),
1 , VLOOKUP(index(split(H35 ,"", "", FALSE),1,1), Variables!$A:$B , 2, FALSE) + VLOOKUP(index(split(H35 ,"", "", FALSE),1,2), Variables!$A:$B , 2, FALSE),
2 ,"&amp;" VLOOKUP(index(split(H35 ,"", "", FALSE),1,1), Variables!$A:$B , 2, FALSE) + VLOOKUP(index(split(H35 ,"", "", FALSE),1,2), Variables!$A:$B , 2, FALSE) + VLOOKUP(index(split(H35 ,"", "", FALSE),1,3), Variables!$A:$B , 2, FALSE)
)"),2.6666666666666665)</f>
        <v>2.666666667</v>
      </c>
      <c r="J35" s="114" t="s">
        <v>1521</v>
      </c>
      <c r="K35" s="114" t="s">
        <v>1532</v>
      </c>
      <c r="L35" s="130">
        <f>IFERROR(__xludf.DUMMYFUNCTION("SWITCH(
LEN(K35) - LEN(SUBSTITUTE(K35,"","","""")),
0 , VLOOKUP(K35, Variables!$A:$B, 2, FALSE),
1 , VLOOKUP(index(split(K35 ,"", "", FALSE),1,1), Variables!$A:$B , 2, FALSE) + VLOOKUP(index(split(K35 ,"", "", FALSE),1,2), Variables!$A:$B , 2, FALSE),
2 ,"&amp;" VLOOKUP(index(split(K35 ,"", "", FALSE),1,1), Variables!$A:$B , 2, FALSE) + VLOOKUP(index(split(K35 ,"", "", FALSE),1,2), Variables!$A:$B , 2, FALSE) + VLOOKUP(index(split(K35 ,"", "", FALSE),1,3), Variables!$A:$B , 2, FALSE)
)
+
IF(J35=""Ranged"", 1 , 0"&amp;")"),3.0)</f>
        <v>3</v>
      </c>
      <c r="M35" s="114" t="s">
        <v>2591</v>
      </c>
      <c r="N35" s="130">
        <f>IFERROR(__xludf.DUMMYFUNCTION("IF(ISBLANK(M35), , 
SWITCH(
LEN(M35)- LEN(SUBSTITUTE(M35,"","","""")), 
0 , VLOOKUP(M35, vote4TRAITS!A:C , 3, FALSE),
1 , VLOOKUP(index(split(M35 ,"", "", FALSE),1,1), vote4TRAITS!A:C , 3, FALSE) + VLOOKUP(index(split(M35 ,"", "", FALSE),1,2), vote4TRAITS"&amp;"!A:C , 3, FALSE),
2 , VLOOKUP(index(split(M35 ,"", "", FALSE),1,1), vote4TRAITS!A:C , 3, FALSE) + VLOOKUP(index(split(M35 ,"", "", FALSE),1,2), vote4TRAITS!A:C , 3, FALSE) + VLOOKUP(index(split(M35 ,"", "", FALSE),1,3), vote4TRAITS!A:C , 3, FALSE)
)
)"),8.0)</f>
        <v>8</v>
      </c>
      <c r="O35" s="490"/>
      <c r="P35" s="165" t="str">
        <f>IFERROR(__xludf.DUMMYFUNCTION("IF(ISBLANK(O35), , 
SWITCH(
LEN(O35)- LEN(SUBSTITUTE(O35,"","","""")), 
0 , VLOOKUP(O35, vote4ACTIONS!A:C , 3, FALSE),
1 , VLOOKUP(index(split(O35 ,"", "", FALSE),1,1), vote4ACTIONS!A:C , 3, FALSE) + VLOOKUP(index(split(O35 ,"", "", FALSE),1,2), vote4ACTI"&amp;"ONS!A:C , 3, FALSE),
2 , VLOOKUP(index(split(O35 ,"", "", FALSE),1,1), vote4ACTIONS!A:C , 3, FALSE) + VLOOKUP(index(split(O35 ,"", "", FALSE),1,2), vote4ACTIONS!A:C , 3, FALSE) + VLOOKUP(index(split(O35 ,"", "", FALSE),1,3), vote4ACTIONS!A:C , 3, FALSE),
"&amp;"3 , VLOOKUP(index(split(O35 ,"", "", FALSE),1,1), vote4ACTIONS!A:C , 3, FALSE) + VLOOKUP(index(split(O35 ,"", "", FALSE),1,2), vote4ACTIONS!A:C , 3, FALSE) + VLOOKUP(index(split(O35 ,"", "", FALSE),1,3), vote4ACTIONS!A:C , 3, FALSE) + VLOOKUP(index(split("&amp;"O35 ,"", "", FALSE),1,4), vote4ACTIONS!A:C , 3, FALSE)
)
)"),"")</f>
        <v/>
      </c>
      <c r="Q35" s="340" t="s">
        <v>1534</v>
      </c>
      <c r="R35" s="342">
        <f>IF(ISBLANK(Q35),,IFERROR(
IF(IFERROR(SEARCH("SS:",Q35),0) &gt; 0, 
VLOOKUP(SUBSTITUTE(Q35,"SS: ",""),vote4SURGE!$A:$C , 3, FALSE) - 2,
VLOOKUP(SUBSTITUTE(Q35,"S: ",""),vote4SURGE!$A:$C , 3, FALSE)
)
,
IF(IFERROR(SEARCH("SS:",Q35),0) &gt; 0, 
VLOOKUP(A35,vote4SURGE!$A:$C , 3, FALSE) - 2,
VLOOKUP(A35,vote4SURGE!$A:$C , 3, FALSE)
)
))</f>
        <v>4.25</v>
      </c>
      <c r="S35" s="489" t="s">
        <v>1553</v>
      </c>
      <c r="T35" s="342">
        <f>IF(ISBLANK(S35),,IFERROR(
IF(IFERROR(SEARCH("SS:",S35),0) &gt; 0, 
VLOOKUP(SUBSTITUTE(S35,"SS: ",""),vote4SURGE!$A:$C , 3, FALSE) - 2,
VLOOKUP(SUBSTITUTE(S35,"S: ",""),vote4SURGE!$A:$C , 3, FALSE)
)
,
IF(IFERROR(SEARCH("SS:",S35),0) &gt; 0, 
VLOOKUP(A35,vote4SURGE!$A:$C , 3, FALSE) - 2,
VLOOKUP(A35,vote4SURGE!$A:$C , 3, FALSE)
)
))</f>
        <v>4</v>
      </c>
      <c r="U35" s="341"/>
      <c r="V35" s="343" t="str">
        <f>IF(ISBLANK(U35),,IFERROR(
IF(IFERROR(SEARCH("SS:",U35),0) &gt; 0, 
VLOOKUP(SUBSTITUTE(U35,"SS: ",""),vote4SURGE!$A:$C , 3, FALSE) - 2,
VLOOKUP(SUBSTITUTE(U35,"S: ",""),vote4SURGE!$A:$C , 3, FALSE)
)
,
IF(IFERROR(SEARCH("SS:",U35),0) &gt; 0, 
VLOOKUP(A35,vote4SURGE!$A:$C , 3, FALSE) - 2,
VLOOKUP(A35,vote4SURGE!$A:$C , 3, FALSE)
)
))</f>
        <v/>
      </c>
      <c r="W35" s="343">
        <f t="shared" si="1"/>
        <v>2</v>
      </c>
      <c r="X35" s="344">
        <f>IFERROR(__xludf.DUMMYFUNCTION("SWITCH(
LEN(K35) - LEN(SUBSTITUTE(K35,"","","""")),
0 , VLOOKUP(K35, Variables!$A:$C, 3, FALSE),
1 , VLOOKUP(index(split(K35 ,"", "", FALSE),1,1), Variables!$A:$C, 3, FALSE) + VLOOKUP(index(split(K35 ,"", "", FALSE),1,2), Variables!$A:$C, 3, FALSE),
2 , V"&amp;"LOOKUP(index(split(K35 ,"", "", FALSE),1,1), Variables!$A:$C, 3, FALSE) + VLOOKUP(index(split(K35 ,"", "", FALSE),1,2), Variables!$A:$C, 3, FALSE) + VLOOKUP(index(split(K35 ,"", "", FALSE),1,3), Variables!$A:$C, 3, FALSE)
)"),1.5)</f>
        <v>1.5</v>
      </c>
      <c r="Y35" s="342">
        <f t="shared" si="2"/>
        <v>7.25</v>
      </c>
      <c r="Z35" s="114"/>
      <c r="AA35" s="114"/>
      <c r="AB35" s="114"/>
      <c r="AC35" s="114"/>
      <c r="AD35" s="114"/>
      <c r="AE35" s="114" t="s">
        <v>2572</v>
      </c>
      <c r="AF35" s="114"/>
      <c r="AG35" s="114"/>
      <c r="AH35" s="114" t="s">
        <v>2572</v>
      </c>
      <c r="AI35" s="114"/>
      <c r="AJ35" s="114" t="s">
        <v>2574</v>
      </c>
      <c r="AK35" s="473">
        <v>10.0</v>
      </c>
      <c r="AL35" s="114" t="s">
        <v>2574</v>
      </c>
      <c r="AM35" s="473">
        <v>17.0</v>
      </c>
      <c r="AN35" s="114" t="s">
        <v>2574</v>
      </c>
      <c r="AO35" s="473">
        <v>24.0</v>
      </c>
      <c r="AP35" s="130">
        <f>SUM(
VLOOKUP("Ravage",vote4TRAITS!A:C,3,FALSE)
)</f>
        <v>7.333333333</v>
      </c>
      <c r="AQ35" s="130">
        <f t="shared" si="3"/>
        <v>39.23333333</v>
      </c>
    </row>
    <row r="36" ht="14.25" customHeight="1">
      <c r="A36" s="137" t="s">
        <v>2589</v>
      </c>
      <c r="B36" s="114" t="s">
        <v>2570</v>
      </c>
      <c r="C36" s="114">
        <v>13.0</v>
      </c>
      <c r="D36" s="114">
        <v>1.0</v>
      </c>
      <c r="E36" s="114">
        <v>1.0</v>
      </c>
      <c r="F36" s="487">
        <v>5.0</v>
      </c>
      <c r="G36" s="488">
        <v>8.0</v>
      </c>
      <c r="H36" s="114" t="s">
        <v>1663</v>
      </c>
      <c r="I36" s="130">
        <f>IFERROR(__xludf.DUMMYFUNCTION("SWITCH(
LEN(H36) - LEN(SUBSTITUTE(H36,"","","""")),
0 , VLOOKUP(H36, Variables!$A:$B, 2, FALSE),
1 , VLOOKUP(index(split(H36 ,"", "", FALSE),1,1), Variables!$A:$B , 2, FALSE) + VLOOKUP(index(split(H36 ,"", "", FALSE),1,2), Variables!$A:$B , 2, FALSE),
2 ,"&amp;" VLOOKUP(index(split(H36 ,"", "", FALSE),1,1), Variables!$A:$B , 2, FALSE) + VLOOKUP(index(split(H36 ,"", "", FALSE),1,2), Variables!$A:$B , 2, FALSE) + VLOOKUP(index(split(H36 ,"", "", FALSE),1,3), Variables!$A:$B , 2, FALSE)
)"),1.3333333333333333)</f>
        <v>1.333333333</v>
      </c>
      <c r="J36" s="114" t="s">
        <v>1521</v>
      </c>
      <c r="K36" s="114" t="s">
        <v>1548</v>
      </c>
      <c r="L36" s="130">
        <f>IFERROR(__xludf.DUMMYFUNCTION("SWITCH(
LEN(K36) - LEN(SUBSTITUTE(K36,"","","""")),
0 , VLOOKUP(K36, Variables!$A:$B, 2, FALSE),
1 , VLOOKUP(index(split(K36 ,"", "", FALSE),1,1), Variables!$A:$B , 2, FALSE) + VLOOKUP(index(split(K36 ,"", "", FALSE),1,2), Variables!$A:$B , 2, FALSE),
2 ,"&amp;" VLOOKUP(index(split(K36 ,"", "", FALSE),1,1), Variables!$A:$B , 2, FALSE) + VLOOKUP(index(split(K36 ,"", "", FALSE),1,2), Variables!$A:$B , 2, FALSE) + VLOOKUP(index(split(K36 ,"", "", FALSE),1,3), Variables!$A:$B , 2, FALSE)
)
+
IF(J36=""Ranged"", 1 , 0"&amp;")"),2.3333333333333335)</f>
        <v>2.333333333</v>
      </c>
      <c r="M36" s="114" t="s">
        <v>2591</v>
      </c>
      <c r="N36" s="130">
        <f>IFERROR(__xludf.DUMMYFUNCTION("IF(ISBLANK(M36), , 
SWITCH(
LEN(M36)- LEN(SUBSTITUTE(M36,"","","""")), 
0 , VLOOKUP(M36, vote4TRAITS!A:C , 3, FALSE),
1 , VLOOKUP(index(split(M36 ,"", "", FALSE),1,1), vote4TRAITS!A:C , 3, FALSE) + VLOOKUP(index(split(M36 ,"", "", FALSE),1,2), vote4TRAITS"&amp;"!A:C , 3, FALSE),
2 , VLOOKUP(index(split(M36 ,"", "", FALSE),1,1), vote4TRAITS!A:C , 3, FALSE) + VLOOKUP(index(split(M36 ,"", "", FALSE),1,2), vote4TRAITS!A:C , 3, FALSE) + VLOOKUP(index(split(M36 ,"", "", FALSE),1,3), vote4TRAITS!A:C , 3, FALSE)
)
)"),8.0)</f>
        <v>8</v>
      </c>
      <c r="O36" s="490"/>
      <c r="P36" s="165" t="str">
        <f>IFERROR(__xludf.DUMMYFUNCTION("IF(ISBLANK(O36), , 
SWITCH(
LEN(O36)- LEN(SUBSTITUTE(O36,"","","""")), 
0 , VLOOKUP(O36, vote4ACTIONS!A:C , 3, FALSE),
1 , VLOOKUP(index(split(O36 ,"", "", FALSE),1,1), vote4ACTIONS!A:C , 3, FALSE) + VLOOKUP(index(split(O36 ,"", "", FALSE),1,2), vote4ACTI"&amp;"ONS!A:C , 3, FALSE),
2 , VLOOKUP(index(split(O36 ,"", "", FALSE),1,1), vote4ACTIONS!A:C , 3, FALSE) + VLOOKUP(index(split(O36 ,"", "", FALSE),1,2), vote4ACTIONS!A:C , 3, FALSE) + VLOOKUP(index(split(O36 ,"", "", FALSE),1,3), vote4ACTIONS!A:C , 3, FALSE),
"&amp;"3 , VLOOKUP(index(split(O36 ,"", "", FALSE),1,1), vote4ACTIONS!A:C , 3, FALSE) + VLOOKUP(index(split(O36 ,"", "", FALSE),1,2), vote4ACTIONS!A:C , 3, FALSE) + VLOOKUP(index(split(O36 ,"", "", FALSE),1,3), vote4ACTIONS!A:C , 3, FALSE) + VLOOKUP(index(split("&amp;"O36 ,"", "", FALSE),1,4), vote4ACTIONS!A:C , 3, FALSE)
)
)"),"")</f>
        <v/>
      </c>
      <c r="Q36" s="340" t="s">
        <v>1534</v>
      </c>
      <c r="R36" s="342">
        <f>IF(ISBLANK(Q36),,IFERROR(
IF(IFERROR(SEARCH("SS:",Q36),0) &gt; 0, 
VLOOKUP(SUBSTITUTE(Q36,"SS: ",""),vote4SURGE!$A:$C , 3, FALSE) - 2,
VLOOKUP(SUBSTITUTE(Q36,"S: ",""),vote4SURGE!$A:$C , 3, FALSE)
)
,
IF(IFERROR(SEARCH("SS:",Q36),0) &gt; 0, 
VLOOKUP(A36,vote4SURGE!$A:$C , 3, FALSE) - 2,
VLOOKUP(A36,vote4SURGE!$A:$C , 3, FALSE)
)
))</f>
        <v>4.25</v>
      </c>
      <c r="S36" s="489" t="s">
        <v>1553</v>
      </c>
      <c r="T36" s="342">
        <f>IF(ISBLANK(S36),,IFERROR(
IF(IFERROR(SEARCH("SS:",S36),0) &gt; 0, 
VLOOKUP(SUBSTITUTE(S36,"SS: ",""),vote4SURGE!$A:$C , 3, FALSE) - 2,
VLOOKUP(SUBSTITUTE(S36,"S: ",""),vote4SURGE!$A:$C , 3, FALSE)
)
,
IF(IFERROR(SEARCH("SS:",S36),0) &gt; 0, 
VLOOKUP(A36,vote4SURGE!$A:$C , 3, FALSE) - 2,
VLOOKUP(A36,vote4SURGE!$A:$C , 3, FALSE)
)
))</f>
        <v>4</v>
      </c>
      <c r="U36" s="341"/>
      <c r="V36" s="343" t="str">
        <f>IF(ISBLANK(U36),,IFERROR(
IF(IFERROR(SEARCH("SS:",U36),0) &gt; 0, 
VLOOKUP(SUBSTITUTE(U36,"SS: ",""),vote4SURGE!$A:$C , 3, FALSE) - 2,
VLOOKUP(SUBSTITUTE(U36,"S: ",""),vote4SURGE!$A:$C , 3, FALSE)
)
,
IF(IFERROR(SEARCH("SS:",U36),0) &gt; 0, 
VLOOKUP(A36,vote4SURGE!$A:$C , 3, FALSE) - 2,
VLOOKUP(A36,vote4SURGE!$A:$C , 3, FALSE)
)
))</f>
        <v/>
      </c>
      <c r="W36" s="343">
        <f t="shared" si="1"/>
        <v>2</v>
      </c>
      <c r="X36" s="344">
        <f>IFERROR(__xludf.DUMMYFUNCTION("SWITCH(
LEN(K36) - LEN(SUBSTITUTE(K36,"","","""")),
0 , VLOOKUP(K36, Variables!$A:$C, 3, FALSE),
1 , VLOOKUP(index(split(K36 ,"", "", FALSE),1,1), Variables!$A:$C, 3, FALSE) + VLOOKUP(index(split(K36 ,"", "", FALSE),1,2), Variables!$A:$C, 3, FALSE),
2 , V"&amp;"LOOKUP(index(split(K36 ,"", "", FALSE),1,1), Variables!$A:$C, 3, FALSE) + VLOOKUP(index(split(K36 ,"", "", FALSE),1,2), Variables!$A:$C, 3, FALSE) + VLOOKUP(index(split(K36 ,"", "", FALSE),1,3), Variables!$A:$C, 3, FALSE)
)"),0.8333333333333333)</f>
        <v>0.8333333333</v>
      </c>
      <c r="Y36" s="342">
        <f t="shared" si="2"/>
        <v>5.916666667</v>
      </c>
      <c r="Z36" s="114"/>
      <c r="AA36" s="114"/>
      <c r="AB36" s="114"/>
      <c r="AC36" s="114"/>
      <c r="AD36" s="114"/>
      <c r="AE36" s="114" t="s">
        <v>2572</v>
      </c>
      <c r="AF36" s="114"/>
      <c r="AG36" s="114"/>
      <c r="AH36" s="114" t="s">
        <v>2572</v>
      </c>
      <c r="AI36" s="114"/>
      <c r="AJ36" s="114" t="s">
        <v>2574</v>
      </c>
      <c r="AK36" s="473">
        <v>8.0</v>
      </c>
      <c r="AL36" s="114" t="s">
        <v>2574</v>
      </c>
      <c r="AM36" s="473">
        <v>14.0</v>
      </c>
      <c r="AN36" s="114" t="s">
        <v>2574</v>
      </c>
      <c r="AO36" s="473">
        <v>20.0</v>
      </c>
      <c r="AP36" s="130">
        <f>SUM(
VLOOKUP("Ravage",vote4TRAITS!A:C,3,FALSE)
)</f>
        <v>7.333333333</v>
      </c>
      <c r="AQ36" s="130">
        <f t="shared" si="3"/>
        <v>21.23333333</v>
      </c>
    </row>
    <row r="37" ht="14.25" customHeight="1">
      <c r="A37" s="137" t="s">
        <v>2589</v>
      </c>
      <c r="B37" s="114" t="s">
        <v>2576</v>
      </c>
      <c r="C37" s="114">
        <v>13.0</v>
      </c>
      <c r="D37" s="114">
        <v>2.0</v>
      </c>
      <c r="E37" s="114">
        <v>1.0</v>
      </c>
      <c r="F37" s="487">
        <v>5.0</v>
      </c>
      <c r="G37" s="488">
        <v>7.0</v>
      </c>
      <c r="H37" s="114" t="s">
        <v>2575</v>
      </c>
      <c r="I37" s="130">
        <f>IFERROR(__xludf.DUMMYFUNCTION("SWITCH(
LEN(H37) - LEN(SUBSTITUTE(H37,"","","""")),
0 , VLOOKUP(H37, Variables!$A:$B, 2, FALSE),
1 , VLOOKUP(index(split(H37 ,"", "", FALSE),1,1), Variables!$A:$B , 2, FALSE) + VLOOKUP(index(split(H37 ,"", "", FALSE),1,2), Variables!$A:$B , 2, FALSE),
2 ,"&amp;" VLOOKUP(index(split(H37 ,"", "", FALSE),1,1), Variables!$A:$B , 2, FALSE) + VLOOKUP(index(split(H37 ,"", "", FALSE),1,2), Variables!$A:$B , 2, FALSE) + VLOOKUP(index(split(H37 ,"", "", FALSE),1,3), Variables!$A:$B , 2, FALSE)
)"),2.0)</f>
        <v>2</v>
      </c>
      <c r="J37" s="114" t="s">
        <v>1521</v>
      </c>
      <c r="K37" s="114" t="s">
        <v>1532</v>
      </c>
      <c r="L37" s="130">
        <f>IFERROR(__xludf.DUMMYFUNCTION("SWITCH(
LEN(K37) - LEN(SUBSTITUTE(K37,"","","""")),
0 , VLOOKUP(K37, Variables!$A:$B, 2, FALSE),
1 , VLOOKUP(index(split(K37 ,"", "", FALSE),1,1), Variables!$A:$B , 2, FALSE) + VLOOKUP(index(split(K37 ,"", "", FALSE),1,2), Variables!$A:$B , 2, FALSE),
2 ,"&amp;" VLOOKUP(index(split(K37 ,"", "", FALSE),1,1), Variables!$A:$B , 2, FALSE) + VLOOKUP(index(split(K37 ,"", "", FALSE),1,2), Variables!$A:$B , 2, FALSE) + VLOOKUP(index(split(K37 ,"", "", FALSE),1,3), Variables!$A:$B , 2, FALSE)
)
+
IF(J37=""Ranged"", 1 , 0"&amp;")"),3.0)</f>
        <v>3</v>
      </c>
      <c r="M37" s="114" t="s">
        <v>1029</v>
      </c>
      <c r="N37" s="130">
        <f>IFERROR(__xludf.DUMMYFUNCTION("IF(ISBLANK(M37), , 
SWITCH(
LEN(M37)- LEN(SUBSTITUTE(M37,"","","""")), 
0 , VLOOKUP(M37, vote4TRAITS!A:C , 3, FALSE),
1 , VLOOKUP(index(split(M37 ,"", "", FALSE),1,1), vote4TRAITS!A:C , 3, FALSE) + VLOOKUP(index(split(M37 ,"", "", FALSE),1,2), vote4TRAITS"&amp;"!A:C , 3, FALSE),
2 , VLOOKUP(index(split(M37 ,"", "", FALSE),1,1), vote4TRAITS!A:C , 3, FALSE) + VLOOKUP(index(split(M37 ,"", "", FALSE),1,2), vote4TRAITS!A:C , 3, FALSE) + VLOOKUP(index(split(M37 ,"", "", FALSE),1,3), vote4TRAITS!A:C , 3, FALSE)
)
)"),5.0)</f>
        <v>5</v>
      </c>
      <c r="O37" s="490"/>
      <c r="P37" s="165" t="str">
        <f>IFERROR(__xludf.DUMMYFUNCTION("IF(ISBLANK(O37), , 
SWITCH(
LEN(O37)- LEN(SUBSTITUTE(O37,"","","""")), 
0 , VLOOKUP(O37, vote4ACTIONS!A:C , 3, FALSE),
1 , VLOOKUP(index(split(O37 ,"", "", FALSE),1,1), vote4ACTIONS!A:C , 3, FALSE) + VLOOKUP(index(split(O37 ,"", "", FALSE),1,2), vote4ACTI"&amp;"ONS!A:C , 3, FALSE),
2 , VLOOKUP(index(split(O37 ,"", "", FALSE),1,1), vote4ACTIONS!A:C , 3, FALSE) + VLOOKUP(index(split(O37 ,"", "", FALSE),1,2), vote4ACTIONS!A:C , 3, FALSE) + VLOOKUP(index(split(O37 ,"", "", FALSE),1,3), vote4ACTIONS!A:C , 3, FALSE),
"&amp;"3 , VLOOKUP(index(split(O37 ,"", "", FALSE),1,1), vote4ACTIONS!A:C , 3, FALSE) + VLOOKUP(index(split(O37 ,"", "", FALSE),1,2), vote4ACTIONS!A:C , 3, FALSE) + VLOOKUP(index(split(O37 ,"", "", FALSE),1,3), vote4ACTIONS!A:C , 3, FALSE) + VLOOKUP(index(split("&amp;"O37 ,"", "", FALSE),1,4), vote4ACTIONS!A:C , 3, FALSE)
)
)"),"")</f>
        <v/>
      </c>
      <c r="Q37" s="340" t="s">
        <v>1562</v>
      </c>
      <c r="R37" s="342">
        <f>IF(ISBLANK(Q37),,IFERROR(
IF(IFERROR(SEARCH("SS:",Q37),0) &gt; 0, 
VLOOKUP(SUBSTITUTE(Q37,"SS: ",""),vote4SURGE!$A:$C , 3, FALSE) - 2,
VLOOKUP(SUBSTITUTE(Q37,"S: ",""),vote4SURGE!$A:$C , 3, FALSE)
)
,
IF(IFERROR(SEARCH("SS:",Q37),0) &gt; 0, 
VLOOKUP(A37,vote4SURGE!$A:$C , 3, FALSE) - 2,
VLOOKUP(A37,vote4SURGE!$A:$C , 3, FALSE)
)
))</f>
        <v>3.5</v>
      </c>
      <c r="S37" s="340" t="s">
        <v>1562</v>
      </c>
      <c r="T37" s="342">
        <f>IF(ISBLANK(S37),,IFERROR(
IF(IFERROR(SEARCH("SS:",S37),0) &gt; 0, 
VLOOKUP(SUBSTITUTE(S37,"SS: ",""),vote4SURGE!$A:$C , 3, FALSE) - 2,
VLOOKUP(SUBSTITUTE(S37,"S: ",""),vote4SURGE!$A:$C , 3, FALSE)
)
,
IF(IFERROR(SEARCH("SS:",S37),0) &gt; 0, 
VLOOKUP(A37,vote4SURGE!$A:$C , 3, FALSE) - 2,
VLOOKUP(A37,vote4SURGE!$A:$C , 3, FALSE)
)
))</f>
        <v>3.5</v>
      </c>
      <c r="U37" s="489" t="s">
        <v>1553</v>
      </c>
      <c r="V37" s="343">
        <f>IF(ISBLANK(U37),,IFERROR(
IF(IFERROR(SEARCH("SS:",U37),0) &gt; 0, 
VLOOKUP(SUBSTITUTE(U37,"SS: ",""),vote4SURGE!$A:$C , 3, FALSE) - 2,
VLOOKUP(SUBSTITUTE(U37,"S: ",""),vote4SURGE!$A:$C , 3, FALSE)
)
,
IF(IFERROR(SEARCH("SS:",U37),0) &gt; 0, 
VLOOKUP(A37,vote4SURGE!$A:$C , 3, FALSE) - 2,
VLOOKUP(A37,vote4SURGE!$A:$C , 3, FALSE)
)
))</f>
        <v>4</v>
      </c>
      <c r="W37" s="343">
        <f t="shared" si="1"/>
        <v>3</v>
      </c>
      <c r="X37" s="344">
        <f>IFERROR(__xludf.DUMMYFUNCTION("SWITCH(
LEN(K37) - LEN(SUBSTITUTE(K37,"","","""")),
0 , VLOOKUP(K37, Variables!$A:$C, 3, FALSE),
1 , VLOOKUP(index(split(K37 ,"", "", FALSE),1,1), Variables!$A:$C, 3, FALSE) + VLOOKUP(index(split(K37 ,"", "", FALSE),1,2), Variables!$A:$C, 3, FALSE),
2 , V"&amp;"LOOKUP(index(split(K37 ,"", "", FALSE),1,1), Variables!$A:$C, 3, FALSE) + VLOOKUP(index(split(K37 ,"", "", FALSE),1,2), Variables!$A:$C, 3, FALSE) + VLOOKUP(index(split(K37 ,"", "", FALSE),1,3), Variables!$A:$C, 3, FALSE)
)"),1.5)</f>
        <v>1.5</v>
      </c>
      <c r="Y37" s="342">
        <f t="shared" si="2"/>
        <v>7.5</v>
      </c>
      <c r="Z37" s="114"/>
      <c r="AA37" s="114"/>
      <c r="AB37" s="114"/>
      <c r="AC37" s="114"/>
      <c r="AD37" s="114"/>
      <c r="AE37" s="114" t="s">
        <v>2572</v>
      </c>
      <c r="AF37" s="114"/>
      <c r="AG37" s="114"/>
      <c r="AH37" s="114" t="s">
        <v>2572</v>
      </c>
      <c r="AI37" s="114"/>
      <c r="AJ37" s="114" t="s">
        <v>2573</v>
      </c>
      <c r="AK37" s="473">
        <v>10.0</v>
      </c>
      <c r="AL37" s="114" t="s">
        <v>2574</v>
      </c>
      <c r="AM37" s="473">
        <v>17.0</v>
      </c>
      <c r="AN37" s="114" t="s">
        <v>369</v>
      </c>
      <c r="AO37" s="473">
        <v>24.0</v>
      </c>
      <c r="AP37" s="130">
        <f>SUM(
VLOOKUP("Ravage",vote4TRAITS!A:C,3,FALSE)
)</f>
        <v>7.333333333</v>
      </c>
      <c r="AQ37" s="130">
        <f t="shared" si="3"/>
        <v>23.81666667</v>
      </c>
    </row>
    <row r="38" ht="14.25" customHeight="1">
      <c r="A38" s="137" t="s">
        <v>2589</v>
      </c>
      <c r="B38" s="114" t="s">
        <v>2576</v>
      </c>
      <c r="C38" s="114">
        <v>13.0</v>
      </c>
      <c r="D38" s="114">
        <v>1.0</v>
      </c>
      <c r="E38" s="114">
        <v>1.0</v>
      </c>
      <c r="F38" s="487">
        <v>5.0</v>
      </c>
      <c r="G38" s="488">
        <v>6.0</v>
      </c>
      <c r="H38" s="114" t="s">
        <v>1663</v>
      </c>
      <c r="I38" s="130">
        <f>IFERROR(__xludf.DUMMYFUNCTION("SWITCH(
LEN(H38) - LEN(SUBSTITUTE(H38,"","","""")),
0 , VLOOKUP(H38, Variables!$A:$B, 2, FALSE),
1 , VLOOKUP(index(split(H38 ,"", "", FALSE),1,1), Variables!$A:$B , 2, FALSE) + VLOOKUP(index(split(H38 ,"", "", FALSE),1,2), Variables!$A:$B , 2, FALSE),
2 ,"&amp;" VLOOKUP(index(split(H38 ,"", "", FALSE),1,1), Variables!$A:$B , 2, FALSE) + VLOOKUP(index(split(H38 ,"", "", FALSE),1,2), Variables!$A:$B , 2, FALSE) + VLOOKUP(index(split(H38 ,"", "", FALSE),1,3), Variables!$A:$B , 2, FALSE)
)"),1.3333333333333333)</f>
        <v>1.333333333</v>
      </c>
      <c r="J38" s="114" t="s">
        <v>1521</v>
      </c>
      <c r="K38" s="114" t="s">
        <v>1548</v>
      </c>
      <c r="L38" s="130">
        <f>IFERROR(__xludf.DUMMYFUNCTION("SWITCH(
LEN(K38) - LEN(SUBSTITUTE(K38,"","","""")),
0 , VLOOKUP(K38, Variables!$A:$B, 2, FALSE),
1 , VLOOKUP(index(split(K38 ,"", "", FALSE),1,1), Variables!$A:$B , 2, FALSE) + VLOOKUP(index(split(K38 ,"", "", FALSE),1,2), Variables!$A:$B , 2, FALSE),
2 ,"&amp;" VLOOKUP(index(split(K38 ,"", "", FALSE),1,1), Variables!$A:$B , 2, FALSE) + VLOOKUP(index(split(K38 ,"", "", FALSE),1,2), Variables!$A:$B , 2, FALSE) + VLOOKUP(index(split(K38 ,"", "", FALSE),1,3), Variables!$A:$B , 2, FALSE)
)
+
IF(J38=""Ranged"", 1 , 0"&amp;")"),2.3333333333333335)</f>
        <v>2.333333333</v>
      </c>
      <c r="M38" s="114" t="s">
        <v>1029</v>
      </c>
      <c r="N38" s="130">
        <f>IFERROR(__xludf.DUMMYFUNCTION("IF(ISBLANK(M38), , 
SWITCH(
LEN(M38)- LEN(SUBSTITUTE(M38,"","","""")), 
0 , VLOOKUP(M38, vote4TRAITS!A:C , 3, FALSE),
1 , VLOOKUP(index(split(M38 ,"", "", FALSE),1,1), vote4TRAITS!A:C , 3, FALSE) + VLOOKUP(index(split(M38 ,"", "", FALSE),1,2), vote4TRAITS"&amp;"!A:C , 3, FALSE),
2 , VLOOKUP(index(split(M38 ,"", "", FALSE),1,1), vote4TRAITS!A:C , 3, FALSE) + VLOOKUP(index(split(M38 ,"", "", FALSE),1,2), vote4TRAITS!A:C , 3, FALSE) + VLOOKUP(index(split(M38 ,"", "", FALSE),1,3), vote4TRAITS!A:C , 3, FALSE)
)
)"),5.0)</f>
        <v>5</v>
      </c>
      <c r="O38" s="490"/>
      <c r="P38" s="165" t="str">
        <f>IFERROR(__xludf.DUMMYFUNCTION("IF(ISBLANK(O38), , 
SWITCH(
LEN(O38)- LEN(SUBSTITUTE(O38,"","","""")), 
0 , VLOOKUP(O38, vote4ACTIONS!A:C , 3, FALSE),
1 , VLOOKUP(index(split(O38 ,"", "", FALSE),1,1), vote4ACTIONS!A:C , 3, FALSE) + VLOOKUP(index(split(O38 ,"", "", FALSE),1,2), vote4ACTI"&amp;"ONS!A:C , 3, FALSE),
2 , VLOOKUP(index(split(O38 ,"", "", FALSE),1,1), vote4ACTIONS!A:C , 3, FALSE) + VLOOKUP(index(split(O38 ,"", "", FALSE),1,2), vote4ACTIONS!A:C , 3, FALSE) + VLOOKUP(index(split(O38 ,"", "", FALSE),1,3), vote4ACTIONS!A:C , 3, FALSE),
"&amp;"3 , VLOOKUP(index(split(O38 ,"", "", FALSE),1,1), vote4ACTIONS!A:C , 3, FALSE) + VLOOKUP(index(split(O38 ,"", "", FALSE),1,2), vote4ACTIONS!A:C , 3, FALSE) + VLOOKUP(index(split(O38 ,"", "", FALSE),1,3), vote4ACTIONS!A:C , 3, FALSE) + VLOOKUP(index(split("&amp;"O38 ,"", "", FALSE),1,4), vote4ACTIONS!A:C , 3, FALSE)
)
)"),"")</f>
        <v/>
      </c>
      <c r="Q38" s="340" t="s">
        <v>1562</v>
      </c>
      <c r="R38" s="342">
        <f>IF(ISBLANK(Q38),,IFERROR(
IF(IFERROR(SEARCH("SS:",Q38),0) &gt; 0, 
VLOOKUP(SUBSTITUTE(Q38,"SS: ",""),vote4SURGE!$A:$C , 3, FALSE) - 2,
VLOOKUP(SUBSTITUTE(Q38,"S: ",""),vote4SURGE!$A:$C , 3, FALSE)
)
,
IF(IFERROR(SEARCH("SS:",Q38),0) &gt; 0, 
VLOOKUP(A38,vote4SURGE!$A:$C , 3, FALSE) - 2,
VLOOKUP(A38,vote4SURGE!$A:$C , 3, FALSE)
)
))</f>
        <v>3.5</v>
      </c>
      <c r="S38" s="489" t="s">
        <v>1553</v>
      </c>
      <c r="T38" s="342">
        <f>IF(ISBLANK(S38),,IFERROR(
IF(IFERROR(SEARCH("SS:",S38),0) &gt; 0, 
VLOOKUP(SUBSTITUTE(S38,"SS: ",""),vote4SURGE!$A:$C , 3, FALSE) - 2,
VLOOKUP(SUBSTITUTE(S38,"S: ",""),vote4SURGE!$A:$C , 3, FALSE)
)
,
IF(IFERROR(SEARCH("SS:",S38),0) &gt; 0, 
VLOOKUP(A38,vote4SURGE!$A:$C , 3, FALSE) - 2,
VLOOKUP(A38,vote4SURGE!$A:$C , 3, FALSE)
)
))</f>
        <v>4</v>
      </c>
      <c r="U38" s="341"/>
      <c r="V38" s="343" t="str">
        <f>IF(ISBLANK(U38),,IFERROR(
IF(IFERROR(SEARCH("SS:",U38),0) &gt; 0, 
VLOOKUP(SUBSTITUTE(U38,"SS: ",""),vote4SURGE!$A:$C , 3, FALSE) - 2,
VLOOKUP(SUBSTITUTE(U38,"S: ",""),vote4SURGE!$A:$C , 3, FALSE)
)
,
IF(IFERROR(SEARCH("SS:",U38),0) &gt; 0, 
VLOOKUP(A38,vote4SURGE!$A:$C , 3, FALSE) - 2,
VLOOKUP(A38,vote4SURGE!$A:$C , 3, FALSE)
)
))</f>
        <v/>
      </c>
      <c r="W38" s="343">
        <f t="shared" si="1"/>
        <v>2</v>
      </c>
      <c r="X38" s="344">
        <f>IFERROR(__xludf.DUMMYFUNCTION("SWITCH(
LEN(K38) - LEN(SUBSTITUTE(K38,"","","""")),
0 , VLOOKUP(K38, Variables!$A:$C, 3, FALSE),
1 , VLOOKUP(index(split(K38 ,"", "", FALSE),1,1), Variables!$A:$C, 3, FALSE) + VLOOKUP(index(split(K38 ,"", "", FALSE),1,2), Variables!$A:$C, 3, FALSE),
2 , V"&amp;"LOOKUP(index(split(K38 ,"", "", FALSE),1,1), Variables!$A:$C, 3, FALSE) + VLOOKUP(index(split(K38 ,"", "", FALSE),1,2), Variables!$A:$C, 3, FALSE) + VLOOKUP(index(split(K38 ,"", "", FALSE),1,3), Variables!$A:$C, 3, FALSE)
)"),0.8333333333333333)</f>
        <v>0.8333333333</v>
      </c>
      <c r="Y38" s="342">
        <f t="shared" si="2"/>
        <v>5.458333333</v>
      </c>
      <c r="Z38" s="114"/>
      <c r="AA38" s="114"/>
      <c r="AB38" s="114"/>
      <c r="AC38" s="114"/>
      <c r="AD38" s="114"/>
      <c r="AE38" s="114" t="s">
        <v>2572</v>
      </c>
      <c r="AF38" s="114"/>
      <c r="AG38" s="114"/>
      <c r="AH38" s="114" t="s">
        <v>2572</v>
      </c>
      <c r="AI38" s="114"/>
      <c r="AJ38" s="114" t="s">
        <v>2573</v>
      </c>
      <c r="AK38" s="473">
        <v>8.0</v>
      </c>
      <c r="AL38" s="114" t="s">
        <v>2574</v>
      </c>
      <c r="AM38" s="473">
        <v>14.0</v>
      </c>
      <c r="AN38" s="114" t="s">
        <v>369</v>
      </c>
      <c r="AO38" s="473">
        <v>20.0</v>
      </c>
      <c r="AP38" s="130">
        <f>SUM(
VLOOKUP("Ravage",vote4TRAITS!A:C,3,FALSE)
)</f>
        <v>7.333333333</v>
      </c>
      <c r="AQ38" s="130">
        <f t="shared" si="3"/>
        <v>15.10833333</v>
      </c>
    </row>
    <row r="39" ht="14.25" customHeight="1">
      <c r="A39" s="137" t="s">
        <v>1461</v>
      </c>
      <c r="B39" s="114" t="s">
        <v>2570</v>
      </c>
      <c r="C39" s="114">
        <v>2.0</v>
      </c>
      <c r="D39" s="114">
        <v>2.0</v>
      </c>
      <c r="E39" s="114">
        <v>1.0</v>
      </c>
      <c r="F39" s="487">
        <v>4.0</v>
      </c>
      <c r="G39" s="488">
        <v>7.0</v>
      </c>
      <c r="H39" s="114" t="s">
        <v>1663</v>
      </c>
      <c r="I39" s="130">
        <f>IFERROR(__xludf.DUMMYFUNCTION("SWITCH(
LEN(H39) - LEN(SUBSTITUTE(H39,"","","""")),
0 , VLOOKUP(H39, Variables!$A:$B, 2, FALSE),
1 , VLOOKUP(index(split(H39 ,"", "", FALSE),1,1), Variables!$A:$B , 2, FALSE) + VLOOKUP(index(split(H39 ,"", "", FALSE),1,2), Variables!$A:$B , 2, FALSE),
2 ,"&amp;" VLOOKUP(index(split(H39 ,"", "", FALSE),1,1), Variables!$A:$B , 2, FALSE) + VLOOKUP(index(split(H39 ,"", "", FALSE),1,2), Variables!$A:$B , 2, FALSE) + VLOOKUP(index(split(H39 ,"", "", FALSE),1,3), Variables!$A:$B , 2, FALSE)
)"),1.3333333333333333)</f>
        <v>1.333333333</v>
      </c>
      <c r="J39" s="114" t="s">
        <v>1521</v>
      </c>
      <c r="K39" s="114" t="s">
        <v>1546</v>
      </c>
      <c r="L39" s="130">
        <f>IFERROR(__xludf.DUMMYFUNCTION("SWITCH(
LEN(K39) - LEN(SUBSTITUTE(K39,"","","""")),
0 , VLOOKUP(K39, Variables!$A:$B, 2, FALSE),
1 , VLOOKUP(index(split(K39 ,"", "", FALSE),1,1), Variables!$A:$B , 2, FALSE) + VLOOKUP(index(split(K39 ,"", "", FALSE),1,2), Variables!$A:$B , 2, FALSE),
2 ,"&amp;" VLOOKUP(index(split(K39 ,"", "", FALSE),1,1), Variables!$A:$B , 2, FALSE) + VLOOKUP(index(split(K39 ,"", "", FALSE),1,2), Variables!$A:$B , 2, FALSE) + VLOOKUP(index(split(K39 ,"", "", FALSE),1,3), Variables!$A:$B , 2, FALSE)
)
+
IF(J39=""Ranged"", 1 , 0"&amp;")"),3.5)</f>
        <v>3.5</v>
      </c>
      <c r="M39" s="114" t="s">
        <v>1164</v>
      </c>
      <c r="N39" s="130">
        <f>IFERROR(__xludf.DUMMYFUNCTION("IF(ISBLANK(M39), , 
SWITCH(
LEN(M39)- LEN(SUBSTITUTE(M39,"","","""")), 
0 , VLOOKUP(M39, vote4TRAITS!A:C , 3, FALSE),
1 , VLOOKUP(index(split(M39 ,"", "", FALSE),1,1), vote4TRAITS!A:C , 3, FALSE) + VLOOKUP(index(split(M39 ,"", "", FALSE),1,2), vote4TRAITS"&amp;"!A:C , 3, FALSE),
2 , VLOOKUP(index(split(M39 ,"", "", FALSE),1,1), vote4TRAITS!A:C , 3, FALSE) + VLOOKUP(index(split(M39 ,"", "", FALSE),1,2), vote4TRAITS!A:C , 3, FALSE) + VLOOKUP(index(split(M39 ,"", "", FALSE),1,3), vote4TRAITS!A:C , 3, FALSE)
)
)"),3.0)</f>
        <v>3</v>
      </c>
      <c r="O39" s="490"/>
      <c r="P39" s="165" t="str">
        <f>IFERROR(__xludf.DUMMYFUNCTION("IF(ISBLANK(O39), , 
SWITCH(
LEN(O39)- LEN(SUBSTITUTE(O39,"","","""")), 
0 , VLOOKUP(O39, vote4ACTIONS!A:C , 3, FALSE),
1 , VLOOKUP(index(split(O39 ,"", "", FALSE),1,1), vote4ACTIONS!A:C , 3, FALSE) + VLOOKUP(index(split(O39 ,"", "", FALSE),1,2), vote4ACTI"&amp;"ONS!A:C , 3, FALSE),
2 , VLOOKUP(index(split(O39 ,"", "", FALSE),1,1), vote4ACTIONS!A:C , 3, FALSE) + VLOOKUP(index(split(O39 ,"", "", FALSE),1,2), vote4ACTIONS!A:C , 3, FALSE) + VLOOKUP(index(split(O39 ,"", "", FALSE),1,3), vote4ACTIONS!A:C , 3, FALSE),
"&amp;"3 , VLOOKUP(index(split(O39 ,"", "", FALSE),1,1), vote4ACTIONS!A:C , 3, FALSE) + VLOOKUP(index(split(O39 ,"", "", FALSE),1,2), vote4ACTIONS!A:C , 3, FALSE) + VLOOKUP(index(split(O39 ,"", "", FALSE),1,3), vote4ACTIONS!A:C , 3, FALSE) + VLOOKUP(index(split("&amp;"O39 ,"", "", FALSE),1,4), vote4ACTIONS!A:C , 3, FALSE)
)
)"),"")</f>
        <v/>
      </c>
      <c r="Q39" s="340" t="s">
        <v>1562</v>
      </c>
      <c r="R39" s="342">
        <f>IF(ISBLANK(Q39),,IFERROR(
IF(IFERROR(SEARCH("SS:",Q39),0) &gt; 0, 
VLOOKUP(SUBSTITUTE(Q39,"SS: ",""),vote4SURGE!$A:$C , 3, FALSE) - 2,
VLOOKUP(SUBSTITUTE(Q39,"S: ",""),vote4SURGE!$A:$C , 3, FALSE)
)
,
IF(IFERROR(SEARCH("SS:",Q39),0) &gt; 0, 
VLOOKUP(A39,vote4SURGE!$A:$C , 3, FALSE) - 2,
VLOOKUP(A39,vote4SURGE!$A:$C , 3, FALSE)
)
))</f>
        <v>3.5</v>
      </c>
      <c r="S39" s="341"/>
      <c r="T39" s="342" t="str">
        <f>IF(ISBLANK(S39),,IFERROR(
IF(IFERROR(SEARCH("SS:",S39),0) &gt; 0, 
VLOOKUP(SUBSTITUTE(S39,"SS: ",""),vote4SURGE!$A:$C , 3, FALSE) - 2,
VLOOKUP(SUBSTITUTE(S39,"S: ",""),vote4SURGE!$A:$C , 3, FALSE)
)
,
IF(IFERROR(SEARCH("SS:",S39),0) &gt; 0, 
VLOOKUP(A39,vote4SURGE!$A:$C , 3, FALSE) - 2,
VLOOKUP(A39,vote4SURGE!$A:$C , 3, FALSE)
)
))</f>
        <v/>
      </c>
      <c r="U39" s="489" t="s">
        <v>1652</v>
      </c>
      <c r="V39" s="343">
        <f>IF(ISBLANK(U39),,IFERROR(
IF(IFERROR(SEARCH("SS:",U39),0) &gt; 0, 
VLOOKUP(SUBSTITUTE(U39,"SS: ",""),vote4SURGE!$A:$C , 3, FALSE) - 2,
VLOOKUP(SUBSTITUTE(U39,"S: ",""),vote4SURGE!$A:$C , 3, FALSE)
)
,
IF(IFERROR(SEARCH("SS:",U39),0) &gt; 0, 
VLOOKUP(A39,vote4SURGE!$A:$C , 3, FALSE) - 2,
VLOOKUP(A39,vote4SURGE!$A:$C , 3, FALSE)
)
))</f>
        <v>4</v>
      </c>
      <c r="W39" s="343">
        <f t="shared" si="1"/>
        <v>2</v>
      </c>
      <c r="X39" s="344">
        <f>IFERROR(__xludf.DUMMYFUNCTION("SWITCH(
LEN(K39) - LEN(SUBSTITUTE(K39,"","","""")),
0 , VLOOKUP(K39, Variables!$A:$C, 3, FALSE),
1 , VLOOKUP(index(split(K39 ,"", "", FALSE),1,1), Variables!$A:$C, 3, FALSE) + VLOOKUP(index(split(K39 ,"", "", FALSE),1,2), Variables!$A:$C, 3, FALSE),
2 , V"&amp;"LOOKUP(index(split(K39 ,"", "", FALSE),1,1), Variables!$A:$C, 3, FALSE) + VLOOKUP(index(split(K39 ,"", "", FALSE),1,2), Variables!$A:$C, 3, FALSE) + VLOOKUP(index(split(K39 ,"", "", FALSE),1,3), Variables!$A:$C, 3, FALSE)
)"),1.3333333333333333)</f>
        <v>1.333333333</v>
      </c>
      <c r="Y39" s="342">
        <f t="shared" si="2"/>
        <v>6.333333333</v>
      </c>
      <c r="Z39" s="114"/>
      <c r="AA39" s="114" t="s">
        <v>2572</v>
      </c>
      <c r="AB39" s="114"/>
      <c r="AC39" s="114"/>
      <c r="AD39" s="114"/>
      <c r="AE39" s="114"/>
      <c r="AF39" s="114"/>
      <c r="AG39" s="114"/>
      <c r="AH39" s="114"/>
      <c r="AI39" s="114" t="s">
        <v>2572</v>
      </c>
      <c r="AJ39" s="114" t="s">
        <v>2574</v>
      </c>
      <c r="AK39" s="473">
        <v>17.0</v>
      </c>
      <c r="AL39" s="114" t="s">
        <v>2574</v>
      </c>
      <c r="AM39" s="473">
        <v>22.0</v>
      </c>
      <c r="AN39" s="114" t="s">
        <v>2574</v>
      </c>
      <c r="AO39" s="473">
        <v>27.0</v>
      </c>
      <c r="AP39" s="130">
        <f>SUM(
VLOOKUP("Ravage",vote4TRAITS!A:C,3,FALSE)
)</f>
        <v>7.333333333</v>
      </c>
      <c r="AQ39" s="130">
        <f t="shared" si="3"/>
        <v>16.15333333</v>
      </c>
    </row>
    <row r="40" ht="14.25" customHeight="1">
      <c r="A40" s="137" t="s">
        <v>1461</v>
      </c>
      <c r="B40" s="114" t="s">
        <v>2576</v>
      </c>
      <c r="C40" s="114">
        <v>2.0</v>
      </c>
      <c r="D40" s="114">
        <v>2.0</v>
      </c>
      <c r="E40" s="114">
        <v>1.0</v>
      </c>
      <c r="F40" s="487">
        <v>4.0</v>
      </c>
      <c r="G40" s="488">
        <v>5.0</v>
      </c>
      <c r="H40" s="114" t="s">
        <v>1663</v>
      </c>
      <c r="I40" s="130">
        <f>IFERROR(__xludf.DUMMYFUNCTION("SWITCH(
LEN(H40) - LEN(SUBSTITUTE(H40,"","","""")),
0 , VLOOKUP(H40, Variables!$A:$B, 2, FALSE),
1 , VLOOKUP(index(split(H40 ,"", "", FALSE),1,1), Variables!$A:$B , 2, FALSE) + VLOOKUP(index(split(H40 ,"", "", FALSE),1,2), Variables!$A:$B , 2, FALSE),
2 ,"&amp;" VLOOKUP(index(split(H40 ,"", "", FALSE),1,1), Variables!$A:$B , 2, FALSE) + VLOOKUP(index(split(H40 ,"", "", FALSE),1,2), Variables!$A:$B , 2, FALSE) + VLOOKUP(index(split(H40 ,"", "", FALSE),1,3), Variables!$A:$B , 2, FALSE)
)"),1.3333333333333333)</f>
        <v>1.333333333</v>
      </c>
      <c r="J40" s="114" t="s">
        <v>1521</v>
      </c>
      <c r="K40" s="114" t="s">
        <v>1546</v>
      </c>
      <c r="L40" s="130">
        <f>IFERROR(__xludf.DUMMYFUNCTION("SWITCH(
LEN(K40) - LEN(SUBSTITUTE(K40,"","","""")),
0 , VLOOKUP(K40, Variables!$A:$B, 2, FALSE),
1 , VLOOKUP(index(split(K40 ,"", "", FALSE),1,1), Variables!$A:$B , 2, FALSE) + VLOOKUP(index(split(K40 ,"", "", FALSE),1,2), Variables!$A:$B , 2, FALSE),
2 ,"&amp;" VLOOKUP(index(split(K40 ,"", "", FALSE),1,1), Variables!$A:$B , 2, FALSE) + VLOOKUP(index(split(K40 ,"", "", FALSE),1,2), Variables!$A:$B , 2, FALSE) + VLOOKUP(index(split(K40 ,"", "", FALSE),1,3), Variables!$A:$B , 2, FALSE)
)
+
IF(J40=""Ranged"", 1 , 0"&amp;")"),3.5)</f>
        <v>3.5</v>
      </c>
      <c r="M40" s="114"/>
      <c r="N40" s="130" t="str">
        <f>IFERROR(__xludf.DUMMYFUNCTION("IF(ISBLANK(M40), , 
SWITCH(
LEN(M40)- LEN(SUBSTITUTE(M40,"","","""")), 
0 , VLOOKUP(M40, vote4TRAITS!A:C , 3, FALSE),
1 , VLOOKUP(index(split(M40 ,"", "", FALSE),1,1), vote4TRAITS!A:C , 3, FALSE) + VLOOKUP(index(split(M40 ,"", "", FALSE),1,2), vote4TRAITS"&amp;"!A:C , 3, FALSE),
2 , VLOOKUP(index(split(M40 ,"", "", FALSE),1,1), vote4TRAITS!A:C , 3, FALSE) + VLOOKUP(index(split(M40 ,"", "", FALSE),1,2), vote4TRAITS!A:C , 3, FALSE) + VLOOKUP(index(split(M40 ,"", "", FALSE),1,3), vote4TRAITS!A:C , 3, FALSE)
)
)"),"")</f>
        <v/>
      </c>
      <c r="O40" s="490"/>
      <c r="P40" s="165" t="str">
        <f>IFERROR(__xludf.DUMMYFUNCTION("IF(ISBLANK(O40), , 
SWITCH(
LEN(O40)- LEN(SUBSTITUTE(O40,"","","""")), 
0 , VLOOKUP(O40, vote4ACTIONS!A:C , 3, FALSE),
1 , VLOOKUP(index(split(O40 ,"", "", FALSE),1,1), vote4ACTIONS!A:C , 3, FALSE) + VLOOKUP(index(split(O40 ,"", "", FALSE),1,2), vote4ACTI"&amp;"ONS!A:C , 3, FALSE),
2 , VLOOKUP(index(split(O40 ,"", "", FALSE),1,1), vote4ACTIONS!A:C , 3, FALSE) + VLOOKUP(index(split(O40 ,"", "", FALSE),1,2), vote4ACTIONS!A:C , 3, FALSE) + VLOOKUP(index(split(O40 ,"", "", FALSE),1,3), vote4ACTIONS!A:C , 3, FALSE),
"&amp;"3 , VLOOKUP(index(split(O40 ,"", "", FALSE),1,1), vote4ACTIONS!A:C , 3, FALSE) + VLOOKUP(index(split(O40 ,"", "", FALSE),1,2), vote4ACTIONS!A:C , 3, FALSE) + VLOOKUP(index(split(O40 ,"", "", FALSE),1,3), vote4ACTIONS!A:C , 3, FALSE) + VLOOKUP(index(split("&amp;"O40 ,"", "", FALSE),1,4), vote4ACTIONS!A:C , 3, FALSE)
)
)"),"")</f>
        <v/>
      </c>
      <c r="Q40" s="340" t="s">
        <v>1534</v>
      </c>
      <c r="R40" s="342">
        <f>IF(ISBLANK(Q40),,IFERROR(
IF(IFERROR(SEARCH("SS:",Q40),0) &gt; 0, 
VLOOKUP(SUBSTITUTE(Q40,"SS: ",""),vote4SURGE!$A:$C , 3, FALSE) - 2,
VLOOKUP(SUBSTITUTE(Q40,"S: ",""),vote4SURGE!$A:$C , 3, FALSE)
)
,
IF(IFERROR(SEARCH("SS:",Q40),0) &gt; 0, 
VLOOKUP(A40,vote4SURGE!$A:$C , 3, FALSE) - 2,
VLOOKUP(A40,vote4SURGE!$A:$C , 3, FALSE)
)
))</f>
        <v>4.25</v>
      </c>
      <c r="S40" s="340" t="s">
        <v>1534</v>
      </c>
      <c r="T40" s="342">
        <f>IF(ISBLANK(S40),,IFERROR(
IF(IFERROR(SEARCH("SS:",S40),0) &gt; 0, 
VLOOKUP(SUBSTITUTE(S40,"SS: ",""),vote4SURGE!$A:$C , 3, FALSE) - 2,
VLOOKUP(SUBSTITUTE(S40,"S: ",""),vote4SURGE!$A:$C , 3, FALSE)
)
,
IF(IFERROR(SEARCH("SS:",S40),0) &gt; 0, 
VLOOKUP(A40,vote4SURGE!$A:$C , 3, FALSE) - 2,
VLOOKUP(A40,vote4SURGE!$A:$C , 3, FALSE)
)
))</f>
        <v>4.25</v>
      </c>
      <c r="U40" s="489" t="s">
        <v>1652</v>
      </c>
      <c r="V40" s="343">
        <f>IF(ISBLANK(U40),,IFERROR(
IF(IFERROR(SEARCH("SS:",U40),0) &gt; 0, 
VLOOKUP(SUBSTITUTE(U40,"SS: ",""),vote4SURGE!$A:$C , 3, FALSE) - 2,
VLOOKUP(SUBSTITUTE(U40,"S: ",""),vote4SURGE!$A:$C , 3, FALSE)
)
,
IF(IFERROR(SEARCH("SS:",U40),0) &gt; 0, 
VLOOKUP(A40,vote4SURGE!$A:$C , 3, FALSE) - 2,
VLOOKUP(A40,vote4SURGE!$A:$C , 3, FALSE)
)
))</f>
        <v>4</v>
      </c>
      <c r="W40" s="343">
        <f t="shared" si="1"/>
        <v>3</v>
      </c>
      <c r="X40" s="344">
        <f>IFERROR(__xludf.DUMMYFUNCTION("SWITCH(
LEN(K40) - LEN(SUBSTITUTE(K40,"","","""")),
0 , VLOOKUP(K40, Variables!$A:$C, 3, FALSE),
1 , VLOOKUP(index(split(K40 ,"", "", FALSE),1,1), Variables!$A:$C, 3, FALSE) + VLOOKUP(index(split(K40 ,"", "", FALSE),1,2), Variables!$A:$C, 3, FALSE),
2 , V"&amp;"LOOKUP(index(split(K40 ,"", "", FALSE),1,1), Variables!$A:$C, 3, FALSE) + VLOOKUP(index(split(K40 ,"", "", FALSE),1,2), Variables!$A:$C, 3, FALSE) + VLOOKUP(index(split(K40 ,"", "", FALSE),1,3), Variables!$A:$C, 3, FALSE)
)"),1.3333333333333333)</f>
        <v>1.333333333</v>
      </c>
      <c r="Y40" s="342">
        <f t="shared" si="2"/>
        <v>7.916666667</v>
      </c>
      <c r="Z40" s="114"/>
      <c r="AA40" s="114" t="s">
        <v>2572</v>
      </c>
      <c r="AB40" s="114"/>
      <c r="AC40" s="114"/>
      <c r="AD40" s="114"/>
      <c r="AE40" s="114"/>
      <c r="AF40" s="114"/>
      <c r="AG40" s="114"/>
      <c r="AH40" s="114"/>
      <c r="AI40" s="114" t="s">
        <v>2572</v>
      </c>
      <c r="AJ40" s="114" t="s">
        <v>369</v>
      </c>
      <c r="AK40" s="473">
        <v>17.0</v>
      </c>
      <c r="AL40" s="114" t="s">
        <v>368</v>
      </c>
      <c r="AM40" s="473">
        <v>22.0</v>
      </c>
      <c r="AN40" s="114" t="s">
        <v>2580</v>
      </c>
      <c r="AO40" s="473">
        <v>27.0</v>
      </c>
      <c r="AP40" s="130">
        <f>SUM(
VLOOKUP("Ravage",vote4TRAITS!A:C,3,FALSE)
)</f>
        <v>7.333333333</v>
      </c>
      <c r="AQ40" s="130">
        <f t="shared" si="3"/>
        <v>12.07</v>
      </c>
    </row>
    <row r="41" ht="14.25" customHeight="1">
      <c r="A41" s="137" t="s">
        <v>1461</v>
      </c>
      <c r="B41" s="114" t="s">
        <v>2570</v>
      </c>
      <c r="C41" s="114">
        <v>2.0</v>
      </c>
      <c r="D41" s="114">
        <v>1.0</v>
      </c>
      <c r="E41" s="114">
        <v>1.0</v>
      </c>
      <c r="F41" s="487">
        <v>4.0</v>
      </c>
      <c r="G41" s="488">
        <v>5.0</v>
      </c>
      <c r="H41" s="114" t="s">
        <v>1663</v>
      </c>
      <c r="I41" s="130">
        <f>IFERROR(__xludf.DUMMYFUNCTION("SWITCH(
LEN(H41) - LEN(SUBSTITUTE(H41,"","","""")),
0 , VLOOKUP(H41, Variables!$A:$B, 2, FALSE),
1 , VLOOKUP(index(split(H41 ,"", "", FALSE),1,1), Variables!$A:$B , 2, FALSE) + VLOOKUP(index(split(H41 ,"", "", FALSE),1,2), Variables!$A:$B , 2, FALSE),
2 ,"&amp;" VLOOKUP(index(split(H41 ,"", "", FALSE),1,1), Variables!$A:$B , 2, FALSE) + VLOOKUP(index(split(H41 ,"", "", FALSE),1,2), Variables!$A:$B , 2, FALSE) + VLOOKUP(index(split(H41 ,"", "", FALSE),1,3), Variables!$A:$B , 2, FALSE)
)"),1.3333333333333333)</f>
        <v>1.333333333</v>
      </c>
      <c r="J41" s="114" t="s">
        <v>1521</v>
      </c>
      <c r="K41" s="114" t="s">
        <v>1548</v>
      </c>
      <c r="L41" s="130">
        <f>IFERROR(__xludf.DUMMYFUNCTION("SWITCH(
LEN(K41) - LEN(SUBSTITUTE(K41,"","","""")),
0 , VLOOKUP(K41, Variables!$A:$B, 2, FALSE),
1 , VLOOKUP(index(split(K41 ,"", "", FALSE),1,1), Variables!$A:$B , 2, FALSE) + VLOOKUP(index(split(K41 ,"", "", FALSE),1,2), Variables!$A:$B , 2, FALSE),
2 ,"&amp;" VLOOKUP(index(split(K41 ,"", "", FALSE),1,1), Variables!$A:$B , 2, FALSE) + VLOOKUP(index(split(K41 ,"", "", FALSE),1,2), Variables!$A:$B , 2, FALSE) + VLOOKUP(index(split(K41 ,"", "", FALSE),1,3), Variables!$A:$B , 2, FALSE)
)
+
IF(J41=""Ranged"", 1 , 0"&amp;")"),2.3333333333333335)</f>
        <v>2.333333333</v>
      </c>
      <c r="M41" s="114" t="s">
        <v>1164</v>
      </c>
      <c r="N41" s="130">
        <f>IFERROR(__xludf.DUMMYFUNCTION("IF(ISBLANK(M41), , 
SWITCH(
LEN(M41)- LEN(SUBSTITUTE(M41,"","","""")), 
0 , VLOOKUP(M41, vote4TRAITS!A:C , 3, FALSE),
1 , VLOOKUP(index(split(M41 ,"", "", FALSE),1,1), vote4TRAITS!A:C , 3, FALSE) + VLOOKUP(index(split(M41 ,"", "", FALSE),1,2), vote4TRAITS"&amp;"!A:C , 3, FALSE),
2 , VLOOKUP(index(split(M41 ,"", "", FALSE),1,1), vote4TRAITS!A:C , 3, FALSE) + VLOOKUP(index(split(M41 ,"", "", FALSE),1,2), vote4TRAITS!A:C , 3, FALSE) + VLOOKUP(index(split(M41 ,"", "", FALSE),1,3), vote4TRAITS!A:C , 3, FALSE)
)
)"),3.0)</f>
        <v>3</v>
      </c>
      <c r="O41" s="490"/>
      <c r="P41" s="165" t="str">
        <f>IFERROR(__xludf.DUMMYFUNCTION("IF(ISBLANK(O41), , 
SWITCH(
LEN(O41)- LEN(SUBSTITUTE(O41,"","","""")), 
0 , VLOOKUP(O41, vote4ACTIONS!A:C , 3, FALSE),
1 , VLOOKUP(index(split(O41 ,"", "", FALSE),1,1), vote4ACTIONS!A:C , 3, FALSE) + VLOOKUP(index(split(O41 ,"", "", FALSE),1,2), vote4ACTI"&amp;"ONS!A:C , 3, FALSE),
2 , VLOOKUP(index(split(O41 ,"", "", FALSE),1,1), vote4ACTIONS!A:C , 3, FALSE) + VLOOKUP(index(split(O41 ,"", "", FALSE),1,2), vote4ACTIONS!A:C , 3, FALSE) + VLOOKUP(index(split(O41 ,"", "", FALSE),1,3), vote4ACTIONS!A:C , 3, FALSE),
"&amp;"3 , VLOOKUP(index(split(O41 ,"", "", FALSE),1,1), vote4ACTIONS!A:C , 3, FALSE) + VLOOKUP(index(split(O41 ,"", "", FALSE),1,2), vote4ACTIONS!A:C , 3, FALSE) + VLOOKUP(index(split(O41 ,"", "", FALSE),1,3), vote4ACTIONS!A:C , 3, FALSE) + VLOOKUP(index(split("&amp;"O41 ,"", "", FALSE),1,4), vote4ACTIONS!A:C , 3, FALSE)
)
)"),"")</f>
        <v/>
      </c>
      <c r="Q41" s="340" t="s">
        <v>1534</v>
      </c>
      <c r="R41" s="342">
        <f>IF(ISBLANK(Q41),,IFERROR(
IF(IFERROR(SEARCH("SS:",Q41),0) &gt; 0, 
VLOOKUP(SUBSTITUTE(Q41,"SS: ",""),vote4SURGE!$A:$C , 3, FALSE) - 2,
VLOOKUP(SUBSTITUTE(Q41,"S: ",""),vote4SURGE!$A:$C , 3, FALSE)
)
,
IF(IFERROR(SEARCH("SS:",Q41),0) &gt; 0, 
VLOOKUP(A41,vote4SURGE!$A:$C , 3, FALSE) - 2,
VLOOKUP(A41,vote4SURGE!$A:$C , 3, FALSE)
)
))</f>
        <v>4.25</v>
      </c>
      <c r="S41" s="341"/>
      <c r="T41" s="342" t="str">
        <f>IF(ISBLANK(S41),,IFERROR(
IF(IFERROR(SEARCH("SS:",S41),0) &gt; 0, 
VLOOKUP(SUBSTITUTE(S41,"SS: ",""),vote4SURGE!$A:$C , 3, FALSE) - 2,
VLOOKUP(SUBSTITUTE(S41,"S: ",""),vote4SURGE!$A:$C , 3, FALSE)
)
,
IF(IFERROR(SEARCH("SS:",S41),0) &gt; 0, 
VLOOKUP(A41,vote4SURGE!$A:$C , 3, FALSE) - 2,
VLOOKUP(A41,vote4SURGE!$A:$C , 3, FALSE)
)
))</f>
        <v/>
      </c>
      <c r="U41" s="489" t="s">
        <v>1652</v>
      </c>
      <c r="V41" s="343">
        <f>IF(ISBLANK(U41),,IFERROR(
IF(IFERROR(SEARCH("SS:",U41),0) &gt; 0, 
VLOOKUP(SUBSTITUTE(U41,"SS: ",""),vote4SURGE!$A:$C , 3, FALSE) - 2,
VLOOKUP(SUBSTITUTE(U41,"S: ",""),vote4SURGE!$A:$C , 3, FALSE)
)
,
IF(IFERROR(SEARCH("SS:",U41),0) &gt; 0, 
VLOOKUP(A41,vote4SURGE!$A:$C , 3, FALSE) - 2,
VLOOKUP(A41,vote4SURGE!$A:$C , 3, FALSE)
)
))</f>
        <v>4</v>
      </c>
      <c r="W41" s="343">
        <f t="shared" si="1"/>
        <v>2</v>
      </c>
      <c r="X41" s="344">
        <f>IFERROR(__xludf.DUMMYFUNCTION("SWITCH(
LEN(K41) - LEN(SUBSTITUTE(K41,"","","""")),
0 , VLOOKUP(K41, Variables!$A:$C, 3, FALSE),
1 , VLOOKUP(index(split(K41 ,"", "", FALSE),1,1), Variables!$A:$C, 3, FALSE) + VLOOKUP(index(split(K41 ,"", "", FALSE),1,2), Variables!$A:$C, 3, FALSE),
2 , V"&amp;"LOOKUP(index(split(K41 ,"", "", FALSE),1,1), Variables!$A:$C, 3, FALSE) + VLOOKUP(index(split(K41 ,"", "", FALSE),1,2), Variables!$A:$C, 3, FALSE) + VLOOKUP(index(split(K41 ,"", "", FALSE),1,3), Variables!$A:$C, 3, FALSE)
)"),0.8333333333333333)</f>
        <v>0.8333333333</v>
      </c>
      <c r="Y41" s="342">
        <f t="shared" si="2"/>
        <v>5.916666667</v>
      </c>
      <c r="Z41" s="114"/>
      <c r="AA41" s="114" t="s">
        <v>2572</v>
      </c>
      <c r="AB41" s="114"/>
      <c r="AC41" s="114"/>
      <c r="AD41" s="114"/>
      <c r="AE41" s="491" t="s">
        <v>2592</v>
      </c>
      <c r="AF41" s="114"/>
      <c r="AG41" s="114"/>
      <c r="AH41" s="114"/>
      <c r="AI41" s="114" t="s">
        <v>2572</v>
      </c>
      <c r="AJ41" s="114" t="s">
        <v>2574</v>
      </c>
      <c r="AK41" s="473">
        <v>11.0</v>
      </c>
      <c r="AL41" s="114" t="s">
        <v>2574</v>
      </c>
      <c r="AM41" s="473">
        <v>14.0</v>
      </c>
      <c r="AN41" s="114" t="s">
        <v>2574</v>
      </c>
      <c r="AO41" s="473">
        <v>17.0</v>
      </c>
      <c r="AP41" s="130">
        <f>SUM(
VLOOKUP("Ravage",vote4TRAITS!A:C,3,FALSE)
)</f>
        <v>7.333333333</v>
      </c>
      <c r="AQ41" s="130">
        <f t="shared" si="3"/>
        <v>11.90333333</v>
      </c>
    </row>
    <row r="42" ht="14.25" customHeight="1">
      <c r="A42" s="137" t="s">
        <v>1461</v>
      </c>
      <c r="B42" s="114" t="s">
        <v>2576</v>
      </c>
      <c r="C42" s="114">
        <v>2.0</v>
      </c>
      <c r="D42" s="114">
        <v>1.0</v>
      </c>
      <c r="E42" s="114">
        <v>1.0</v>
      </c>
      <c r="F42" s="487">
        <v>4.0</v>
      </c>
      <c r="G42" s="488">
        <v>3.0</v>
      </c>
      <c r="H42" s="114" t="s">
        <v>1663</v>
      </c>
      <c r="I42" s="130">
        <f>IFERROR(__xludf.DUMMYFUNCTION("SWITCH(
LEN(H42) - LEN(SUBSTITUTE(H42,"","","""")),
0 , VLOOKUP(H42, Variables!$A:$B, 2, FALSE),
1 , VLOOKUP(index(split(H42 ,"", "", FALSE),1,1), Variables!$A:$B , 2, FALSE) + VLOOKUP(index(split(H42 ,"", "", FALSE),1,2), Variables!$A:$B , 2, FALSE),
2 ,"&amp;" VLOOKUP(index(split(H42 ,"", "", FALSE),1,1), Variables!$A:$B , 2, FALSE) + VLOOKUP(index(split(H42 ,"", "", FALSE),1,2), Variables!$A:$B , 2, FALSE) + VLOOKUP(index(split(H42 ,"", "", FALSE),1,3), Variables!$A:$B , 2, FALSE)
)"),1.3333333333333333)</f>
        <v>1.333333333</v>
      </c>
      <c r="J42" s="114" t="s">
        <v>1521</v>
      </c>
      <c r="K42" s="114" t="s">
        <v>1548</v>
      </c>
      <c r="L42" s="130">
        <f>IFERROR(__xludf.DUMMYFUNCTION("SWITCH(
LEN(K42) - LEN(SUBSTITUTE(K42,"","","""")),
0 , VLOOKUP(K42, Variables!$A:$B, 2, FALSE),
1 , VLOOKUP(index(split(K42 ,"", "", FALSE),1,1), Variables!$A:$B , 2, FALSE) + VLOOKUP(index(split(K42 ,"", "", FALSE),1,2), Variables!$A:$B , 2, FALSE),
2 ,"&amp;" VLOOKUP(index(split(K42 ,"", "", FALSE),1,1), Variables!$A:$B , 2, FALSE) + VLOOKUP(index(split(K42 ,"", "", FALSE),1,2), Variables!$A:$B , 2, FALSE) + VLOOKUP(index(split(K42 ,"", "", FALSE),1,3), Variables!$A:$B , 2, FALSE)
)
+
IF(J42=""Ranged"", 1 , 0"&amp;")"),2.3333333333333335)</f>
        <v>2.333333333</v>
      </c>
      <c r="M42" s="114"/>
      <c r="N42" s="130" t="str">
        <f>IFERROR(__xludf.DUMMYFUNCTION("IF(ISBLANK(M42), , 
SWITCH(
LEN(M42)- LEN(SUBSTITUTE(M42,"","","""")), 
0 , VLOOKUP(M42, vote4TRAITS!A:C , 3, FALSE),
1 , VLOOKUP(index(split(M42 ,"", "", FALSE),1,1), vote4TRAITS!A:C , 3, FALSE) + VLOOKUP(index(split(M42 ,"", "", FALSE),1,2), vote4TRAITS"&amp;"!A:C , 3, FALSE),
2 , VLOOKUP(index(split(M42 ,"", "", FALSE),1,1), vote4TRAITS!A:C , 3, FALSE) + VLOOKUP(index(split(M42 ,"", "", FALSE),1,2), vote4TRAITS!A:C , 3, FALSE) + VLOOKUP(index(split(M42 ,"", "", FALSE),1,3), vote4TRAITS!A:C , 3, FALSE)
)
)"),"")</f>
        <v/>
      </c>
      <c r="O42" s="490"/>
      <c r="P42" s="165" t="str">
        <f>IFERROR(__xludf.DUMMYFUNCTION("IF(ISBLANK(O42), , 
SWITCH(
LEN(O42)- LEN(SUBSTITUTE(O42,"","","""")), 
0 , VLOOKUP(O42, vote4ACTIONS!A:C , 3, FALSE),
1 , VLOOKUP(index(split(O42 ,"", "", FALSE),1,1), vote4ACTIONS!A:C , 3, FALSE) + VLOOKUP(index(split(O42 ,"", "", FALSE),1,2), vote4ACTI"&amp;"ONS!A:C , 3, FALSE),
2 , VLOOKUP(index(split(O42 ,"", "", FALSE),1,1), vote4ACTIONS!A:C , 3, FALSE) + VLOOKUP(index(split(O42 ,"", "", FALSE),1,2), vote4ACTIONS!A:C , 3, FALSE) + VLOOKUP(index(split(O42 ,"", "", FALSE),1,3), vote4ACTIONS!A:C , 3, FALSE),
"&amp;"3 , VLOOKUP(index(split(O42 ,"", "", FALSE),1,1), vote4ACTIONS!A:C , 3, FALSE) + VLOOKUP(index(split(O42 ,"", "", FALSE),1,2), vote4ACTIONS!A:C , 3, FALSE) + VLOOKUP(index(split(O42 ,"", "", FALSE),1,3), vote4ACTIONS!A:C , 3, FALSE) + VLOOKUP(index(split("&amp;"O42 ,"", "", FALSE),1,4), vote4ACTIONS!A:C , 3, FALSE)
)
)"),"")</f>
        <v/>
      </c>
      <c r="Q42" s="340" t="s">
        <v>1562</v>
      </c>
      <c r="R42" s="342">
        <f>IF(ISBLANK(Q42),,IFERROR(
IF(IFERROR(SEARCH("SS:",Q42),0) &gt; 0, 
VLOOKUP(SUBSTITUTE(Q42,"SS: ",""),vote4SURGE!$A:$C , 3, FALSE) - 2,
VLOOKUP(SUBSTITUTE(Q42,"S: ",""),vote4SURGE!$A:$C , 3, FALSE)
)
,
IF(IFERROR(SEARCH("SS:",Q42),0) &gt; 0, 
VLOOKUP(A42,vote4SURGE!$A:$C , 3, FALSE) - 2,
VLOOKUP(A42,vote4SURGE!$A:$C , 3, FALSE)
)
))</f>
        <v>3.5</v>
      </c>
      <c r="S42" s="164"/>
      <c r="T42" s="342" t="str">
        <f>IF(ISBLANK(S42),,IFERROR(
IF(IFERROR(SEARCH("SS:",S42),0) &gt; 0, 
VLOOKUP(SUBSTITUTE(S42,"SS: ",""),vote4SURGE!$A:$C , 3, FALSE) - 2,
VLOOKUP(SUBSTITUTE(S42,"S: ",""),vote4SURGE!$A:$C , 3, FALSE)
)
,
IF(IFERROR(SEARCH("SS:",S42),0) &gt; 0, 
VLOOKUP(A42,vote4SURGE!$A:$C , 3, FALSE) - 2,
VLOOKUP(A42,vote4SURGE!$A:$C , 3, FALSE)
)
))</f>
        <v/>
      </c>
      <c r="U42" s="489" t="s">
        <v>1652</v>
      </c>
      <c r="V42" s="343">
        <f>IF(ISBLANK(U42),,IFERROR(
IF(IFERROR(SEARCH("SS:",U42),0) &gt; 0, 
VLOOKUP(SUBSTITUTE(U42,"SS: ",""),vote4SURGE!$A:$C , 3, FALSE) - 2,
VLOOKUP(SUBSTITUTE(U42,"S: ",""),vote4SURGE!$A:$C , 3, FALSE)
)
,
IF(IFERROR(SEARCH("SS:",U42),0) &gt; 0, 
VLOOKUP(A42,vote4SURGE!$A:$C , 3, FALSE) - 2,
VLOOKUP(A42,vote4SURGE!$A:$C , 3, FALSE)
)
))</f>
        <v>4</v>
      </c>
      <c r="W42" s="343">
        <f t="shared" si="1"/>
        <v>2</v>
      </c>
      <c r="X42" s="344">
        <f>IFERROR(__xludf.DUMMYFUNCTION("SWITCH(
LEN(K42) - LEN(SUBSTITUTE(K42,"","","""")),
0 , VLOOKUP(K42, Variables!$A:$C, 3, FALSE),
1 , VLOOKUP(index(split(K42 ,"", "", FALSE),1,1), Variables!$A:$C, 3, FALSE) + VLOOKUP(index(split(K42 ,"", "", FALSE),1,2), Variables!$A:$C, 3, FALSE),
2 , V"&amp;"LOOKUP(index(split(K42 ,"", "", FALSE),1,1), Variables!$A:$C, 3, FALSE) + VLOOKUP(index(split(K42 ,"", "", FALSE),1,2), Variables!$A:$C, 3, FALSE) + VLOOKUP(index(split(K42 ,"", "", FALSE),1,3), Variables!$A:$C, 3, FALSE)
)"),0.8333333333333333)</f>
        <v>0.8333333333</v>
      </c>
      <c r="Y42" s="342">
        <f t="shared" si="2"/>
        <v>5.458333333</v>
      </c>
      <c r="Z42" s="114"/>
      <c r="AA42" s="114" t="s">
        <v>2572</v>
      </c>
      <c r="AB42" s="114"/>
      <c r="AC42" s="114"/>
      <c r="AD42" s="114"/>
      <c r="AE42" s="491" t="s">
        <v>2592</v>
      </c>
      <c r="AF42" s="114"/>
      <c r="AG42" s="114"/>
      <c r="AH42" s="114"/>
      <c r="AI42" s="114" t="s">
        <v>2572</v>
      </c>
      <c r="AJ42" s="114" t="s">
        <v>369</v>
      </c>
      <c r="AK42" s="473">
        <v>11.0</v>
      </c>
      <c r="AL42" s="114" t="s">
        <v>368</v>
      </c>
      <c r="AM42" s="473">
        <v>14.0</v>
      </c>
      <c r="AN42" s="114" t="s">
        <v>2580</v>
      </c>
      <c r="AO42" s="473">
        <v>17.0</v>
      </c>
      <c r="AP42" s="130">
        <f>SUM(
VLOOKUP("Ravage",vote4TRAITS!A:C,3,FALSE)
)</f>
        <v>7.333333333</v>
      </c>
      <c r="AQ42" s="130">
        <f t="shared" si="3"/>
        <v>5.778333333</v>
      </c>
    </row>
    <row r="43" ht="14.25" customHeight="1">
      <c r="A43" s="137" t="s">
        <v>2593</v>
      </c>
      <c r="B43" s="114" t="s">
        <v>2570</v>
      </c>
      <c r="C43" s="114">
        <v>18.0</v>
      </c>
      <c r="D43" s="114">
        <v>2.0</v>
      </c>
      <c r="E43" s="114">
        <v>1.0</v>
      </c>
      <c r="F43" s="487">
        <v>4.0</v>
      </c>
      <c r="G43" s="488">
        <v>8.0</v>
      </c>
      <c r="H43" s="114" t="s">
        <v>2594</v>
      </c>
      <c r="I43" s="130">
        <f>IFERROR(__xludf.DUMMYFUNCTION("SWITCH(
LEN(H43) - LEN(SUBSTITUTE(H43,"","","""")),
0 , VLOOKUP(H43, Variables!$A:$B, 2, FALSE),
1 , VLOOKUP(index(split(H43 ,"", "", FALSE),1,1), Variables!$A:$B , 2, FALSE) + VLOOKUP(index(split(H43 ,"", "", FALSE),1,2), Variables!$A:$B , 2, FALSE),
2 ,"&amp;" VLOOKUP(index(split(H43 ,"", "", FALSE),1,1), Variables!$A:$B , 2, FALSE) + VLOOKUP(index(split(H43 ,"", "", FALSE),1,2), Variables!$A:$B , 2, FALSE) + VLOOKUP(index(split(H43 ,"", "", FALSE),1,3), Variables!$A:$B , 2, FALSE)
)"),2.833333333333333)</f>
        <v>2.833333333</v>
      </c>
      <c r="J43" s="114" t="s">
        <v>1521</v>
      </c>
      <c r="K43" s="114" t="s">
        <v>1537</v>
      </c>
      <c r="L43" s="130">
        <f>IFERROR(__xludf.DUMMYFUNCTION("SWITCH(
LEN(K43) - LEN(SUBSTITUTE(K43,"","","""")),
0 , VLOOKUP(K43, Variables!$A:$B, 2, FALSE),
1 , VLOOKUP(index(split(K43 ,"", "", FALSE),1,1), Variables!$A:$B , 2, FALSE) + VLOOKUP(index(split(K43 ,"", "", FALSE),1,2), Variables!$A:$B , 2, FALSE),
2 ,"&amp;" VLOOKUP(index(split(K43 ,"", "", FALSE),1,1), Variables!$A:$B , 2, FALSE) + VLOOKUP(index(split(K43 ,"", "", FALSE),1,2), Variables!$A:$B , 2, FALSE) + VLOOKUP(index(split(K43 ,"", "", FALSE),1,3), Variables!$A:$B , 2, FALSE)
)
+
IF(J43=""Ranged"", 1 , 0"&amp;")"),4.5)</f>
        <v>4.5</v>
      </c>
      <c r="M43" s="114" t="s">
        <v>1039</v>
      </c>
      <c r="N43" s="130">
        <f>IFERROR(__xludf.DUMMYFUNCTION("IF(ISBLANK(M43), , 
SWITCH(
LEN(M43)- LEN(SUBSTITUTE(M43,"","","""")), 
0 , VLOOKUP(M43, vote4TRAITS!A:C , 3, FALSE),
1 , VLOOKUP(index(split(M43 ,"", "", FALSE),1,1), vote4TRAITS!A:C , 3, FALSE) + VLOOKUP(index(split(M43 ,"", "", FALSE),1,2), vote4TRAITS"&amp;"!A:C , 3, FALSE),
2 , VLOOKUP(index(split(M43 ,"", "", FALSE),1,1), vote4TRAITS!A:C , 3, FALSE) + VLOOKUP(index(split(M43 ,"", "", FALSE),1,2), vote4TRAITS!A:C , 3, FALSE) + VLOOKUP(index(split(M43 ,"", "", FALSE),1,3), vote4TRAITS!A:C , 3, FALSE)
)
)"),6.333333333333333)</f>
        <v>6.333333333</v>
      </c>
      <c r="O43" s="114" t="s">
        <v>1395</v>
      </c>
      <c r="P43" s="165">
        <f>IFERROR(__xludf.DUMMYFUNCTION("IF(ISBLANK(O43), , 
SWITCH(
LEN(O43)- LEN(SUBSTITUTE(O43,"","","""")), 
0 , VLOOKUP(O43, vote4ACTIONS!A:C , 3, FALSE),
1 , VLOOKUP(index(split(O43 ,"", "", FALSE),1,1), vote4ACTIONS!A:C , 3, FALSE) + VLOOKUP(index(split(O43 ,"", "", FALSE),1,2), vote4ACTI"&amp;"ONS!A:C , 3, FALSE),
2 , VLOOKUP(index(split(O43 ,"", "", FALSE),1,1), vote4ACTIONS!A:C , 3, FALSE) + VLOOKUP(index(split(O43 ,"", "", FALSE),1,2), vote4ACTIONS!A:C , 3, FALSE) + VLOOKUP(index(split(O43 ,"", "", FALSE),1,3), vote4ACTIONS!A:C , 3, FALSE),
"&amp;"3 , VLOOKUP(index(split(O43 ,"", "", FALSE),1,1), vote4ACTIONS!A:C , 3, FALSE) + VLOOKUP(index(split(O43 ,"", "", FALSE),1,2), vote4ACTIONS!A:C , 3, FALSE) + VLOOKUP(index(split(O43 ,"", "", FALSE),1,3), vote4ACTIONS!A:C , 3, FALSE) + VLOOKUP(index(split("&amp;"O43 ,"", "", FALSE),1,4), vote4ACTIONS!A:C , 3, FALSE)
)
)"),2.5)</f>
        <v>2.5</v>
      </c>
      <c r="Q43" s="340" t="s">
        <v>1535</v>
      </c>
      <c r="R43" s="342">
        <f>IF(ISBLANK(Q43),,IFERROR(
IF(IFERROR(SEARCH("SS:",Q43),0) &gt; 0, 
VLOOKUP(SUBSTITUTE(Q43,"SS: ",""),vote4SURGE!$A:$C , 3, FALSE) - 2,
VLOOKUP(SUBSTITUTE(Q43,"S: ",""),vote4SURGE!$A:$C , 3, FALSE)
)
,
IF(IFERROR(SEARCH("SS:",Q43),0) &gt; 0, 
VLOOKUP(A43,vote4SURGE!$A:$C , 3, FALSE) - 2,
VLOOKUP(A43,vote4SURGE!$A:$C , 3, FALSE)
)
))</f>
        <v>4.25</v>
      </c>
      <c r="S43" s="489" t="s">
        <v>2595</v>
      </c>
      <c r="T43" s="342">
        <f>IF(ISBLANK(S43),,IFERROR(
IF(IFERROR(SEARCH("SS:",S43),0) &gt; 0, 
VLOOKUP(SUBSTITUTE(S43,"SS: ",""),vote4SURGE!$A:$C , 3, FALSE) - 2,
VLOOKUP(SUBSTITUTE(S43,"S: ",""),vote4SURGE!$A:$C , 3, FALSE)
)
,
IF(IFERROR(SEARCH("SS:",S43),0) &gt; 0, 
VLOOKUP(A43,vote4SURGE!$A:$C , 3, FALSE) - 2,
VLOOKUP(A43,vote4SURGE!$A:$C , 3, FALSE)
)
))</f>
        <v>3.5</v>
      </c>
      <c r="U43" s="341"/>
      <c r="V43" s="343" t="str">
        <f>IF(ISBLANK(U43),,IFERROR(
IF(IFERROR(SEARCH("SS:",U43),0) &gt; 0, 
VLOOKUP(SUBSTITUTE(U43,"SS: ",""),vote4SURGE!$A:$C , 3, FALSE) - 2,
VLOOKUP(SUBSTITUTE(U43,"S: ",""),vote4SURGE!$A:$C , 3, FALSE)
)
,
IF(IFERROR(SEARCH("SS:",U43),0) &gt; 0, 
VLOOKUP(A43,vote4SURGE!$A:$C , 3, FALSE) - 2,
VLOOKUP(A43,vote4SURGE!$A:$C , 3, FALSE)
)
))</f>
        <v/>
      </c>
      <c r="W43" s="343">
        <f t="shared" si="1"/>
        <v>2</v>
      </c>
      <c r="X43" s="344">
        <f>IFERROR(__xludf.DUMMYFUNCTION("SWITCH(
LEN(K43) - LEN(SUBSTITUTE(K43,"","","""")),
0 , VLOOKUP(K43, Variables!$A:$C, 3, FALSE),
1 , VLOOKUP(index(split(K43 ,"", "", FALSE),1,1), Variables!$A:$C, 3, FALSE) + VLOOKUP(index(split(K43 ,"", "", FALSE),1,2), Variables!$A:$C, 3, FALSE),
2 , V"&amp;"LOOKUP(index(split(K43 ,"", "", FALSE),1,1), Variables!$A:$C, 3, FALSE) + VLOOKUP(index(split(K43 ,"", "", FALSE),1,2), Variables!$A:$C, 3, FALSE) + VLOOKUP(index(split(K43 ,"", "", FALSE),1,3), Variables!$A:$C, 3, FALSE)
)"),1.0)</f>
        <v>1</v>
      </c>
      <c r="Y43" s="342">
        <f t="shared" si="2"/>
        <v>6</v>
      </c>
      <c r="Z43" s="114"/>
      <c r="AA43" s="114"/>
      <c r="AB43" s="114" t="s">
        <v>2572</v>
      </c>
      <c r="AC43" s="114"/>
      <c r="AD43" s="114" t="s">
        <v>2572</v>
      </c>
      <c r="AE43" s="114"/>
      <c r="AF43" s="114"/>
      <c r="AG43" s="114"/>
      <c r="AH43" s="114"/>
      <c r="AI43" s="114"/>
      <c r="AJ43" s="164" t="s">
        <v>2574</v>
      </c>
      <c r="AK43" s="473">
        <v>14.0</v>
      </c>
      <c r="AL43" s="164" t="s">
        <v>2574</v>
      </c>
      <c r="AM43" s="473">
        <v>20.0</v>
      </c>
      <c r="AN43" s="164" t="s">
        <v>2574</v>
      </c>
      <c r="AO43" s="473">
        <v>24.0</v>
      </c>
      <c r="AP43" s="130">
        <f>SUM(
VLOOKUP("Ravage",vote4TRAITS!A:C,3,FALSE)
)</f>
        <v>7.333333333</v>
      </c>
      <c r="AQ43" s="130">
        <f t="shared" si="3"/>
        <v>35.98666667</v>
      </c>
    </row>
    <row r="44" ht="14.25" customHeight="1">
      <c r="A44" s="137" t="s">
        <v>2593</v>
      </c>
      <c r="B44" s="114" t="s">
        <v>2570</v>
      </c>
      <c r="C44" s="114">
        <v>18.0</v>
      </c>
      <c r="D44" s="114">
        <v>1.0</v>
      </c>
      <c r="E44" s="114">
        <v>1.0</v>
      </c>
      <c r="F44" s="487">
        <v>4.0</v>
      </c>
      <c r="G44" s="488">
        <v>6.0</v>
      </c>
      <c r="H44" s="114" t="s">
        <v>2575</v>
      </c>
      <c r="I44" s="130">
        <f>IFERROR(__xludf.DUMMYFUNCTION("SWITCH(
LEN(H44) - LEN(SUBSTITUTE(H44,"","","""")),
0 , VLOOKUP(H44, Variables!$A:$B, 2, FALSE),
1 , VLOOKUP(index(split(H44 ,"", "", FALSE),1,1), Variables!$A:$B , 2, FALSE) + VLOOKUP(index(split(H44 ,"", "", FALSE),1,2), Variables!$A:$B , 2, FALSE),
2 ,"&amp;" VLOOKUP(index(split(H44 ,"", "", FALSE),1,1), Variables!$A:$B , 2, FALSE) + VLOOKUP(index(split(H44 ,"", "", FALSE),1,2), Variables!$A:$B , 2, FALSE) + VLOOKUP(index(split(H44 ,"", "", FALSE),1,3), Variables!$A:$B , 2, FALSE)
)"),2.0)</f>
        <v>2</v>
      </c>
      <c r="J44" s="114" t="s">
        <v>1521</v>
      </c>
      <c r="K44" s="114" t="s">
        <v>1525</v>
      </c>
      <c r="L44" s="130">
        <f>IFERROR(__xludf.DUMMYFUNCTION("SWITCH(
LEN(K44) - LEN(SUBSTITUTE(K44,"","","""")),
0 , VLOOKUP(K44, Variables!$A:$B, 2, FALSE),
1 , VLOOKUP(index(split(K44 ,"", "", FALSE),1,1), Variables!$A:$B , 2, FALSE) + VLOOKUP(index(split(K44 ,"", "", FALSE),1,2), Variables!$A:$B , 2, FALSE),
2 ,"&amp;" VLOOKUP(index(split(K44 ,"", "", FALSE),1,1), Variables!$A:$B , 2, FALSE) + VLOOKUP(index(split(K44 ,"", "", FALSE),1,2), Variables!$A:$B , 2, FALSE) + VLOOKUP(index(split(K44 ,"", "", FALSE),1,3), Variables!$A:$B , 2, FALSE)
)
+
IF(J44=""Ranged"", 1 , 0"&amp;")"),3.333333333333333)</f>
        <v>3.333333333</v>
      </c>
      <c r="M44" s="114" t="s">
        <v>1039</v>
      </c>
      <c r="N44" s="130">
        <f>IFERROR(__xludf.DUMMYFUNCTION("IF(ISBLANK(M44), , 
SWITCH(
LEN(M44)- LEN(SUBSTITUTE(M44,"","","""")), 
0 , VLOOKUP(M44, vote4TRAITS!A:C , 3, FALSE),
1 , VLOOKUP(index(split(M44 ,"", "", FALSE),1,1), vote4TRAITS!A:C , 3, FALSE) + VLOOKUP(index(split(M44 ,"", "", FALSE),1,2), vote4TRAITS"&amp;"!A:C , 3, FALSE),
2 , VLOOKUP(index(split(M44 ,"", "", FALSE),1,1), vote4TRAITS!A:C , 3, FALSE) + VLOOKUP(index(split(M44 ,"", "", FALSE),1,2), vote4TRAITS!A:C , 3, FALSE) + VLOOKUP(index(split(M44 ,"", "", FALSE),1,3), vote4TRAITS!A:C , 3, FALSE)
)
)"),6.333333333333333)</f>
        <v>6.333333333</v>
      </c>
      <c r="O44" s="114" t="s">
        <v>1395</v>
      </c>
      <c r="P44" s="165">
        <f>IFERROR(__xludf.DUMMYFUNCTION("IF(ISBLANK(O44), , 
SWITCH(
LEN(O44)- LEN(SUBSTITUTE(O44,"","","""")), 
0 , VLOOKUP(O44, vote4ACTIONS!A:C , 3, FALSE),
1 , VLOOKUP(index(split(O44 ,"", "", FALSE),1,1), vote4ACTIONS!A:C , 3, FALSE) + VLOOKUP(index(split(O44 ,"", "", FALSE),1,2), vote4ACTI"&amp;"ONS!A:C , 3, FALSE),
2 , VLOOKUP(index(split(O44 ,"", "", FALSE),1,1), vote4ACTIONS!A:C , 3, FALSE) + VLOOKUP(index(split(O44 ,"", "", FALSE),1,2), vote4ACTIONS!A:C , 3, FALSE) + VLOOKUP(index(split(O44 ,"", "", FALSE),1,3), vote4ACTIONS!A:C , 3, FALSE),
"&amp;"3 , VLOOKUP(index(split(O44 ,"", "", FALSE),1,1), vote4ACTIONS!A:C , 3, FALSE) + VLOOKUP(index(split(O44 ,"", "", FALSE),1,2), vote4ACTIONS!A:C , 3, FALSE) + VLOOKUP(index(split(O44 ,"", "", FALSE),1,3), vote4ACTIONS!A:C , 3, FALSE) + VLOOKUP(index(split("&amp;"O44 ,"", "", FALSE),1,4), vote4ACTIONS!A:C , 3, FALSE)
)
)"),2.5)</f>
        <v>2.5</v>
      </c>
      <c r="Q44" s="340" t="s">
        <v>1535</v>
      </c>
      <c r="R44" s="342">
        <f>IF(ISBLANK(Q44),,IFERROR(
IF(IFERROR(SEARCH("SS:",Q44),0) &gt; 0, 
VLOOKUP(SUBSTITUTE(Q44,"SS: ",""),vote4SURGE!$A:$C , 3, FALSE) - 2,
VLOOKUP(SUBSTITUTE(Q44,"S: ",""),vote4SURGE!$A:$C , 3, FALSE)
)
,
IF(IFERROR(SEARCH("SS:",Q44),0) &gt; 0, 
VLOOKUP(A44,vote4SURGE!$A:$C , 3, FALSE) - 2,
VLOOKUP(A44,vote4SURGE!$A:$C , 3, FALSE)
)
))</f>
        <v>4.25</v>
      </c>
      <c r="S44" s="489" t="s">
        <v>2595</v>
      </c>
      <c r="T44" s="342">
        <f>IF(ISBLANK(S44),,IFERROR(
IF(IFERROR(SEARCH("SS:",S44),0) &gt; 0, 
VLOOKUP(SUBSTITUTE(S44,"SS: ",""),vote4SURGE!$A:$C , 3, FALSE) - 2,
VLOOKUP(SUBSTITUTE(S44,"S: ",""),vote4SURGE!$A:$C , 3, FALSE)
)
,
IF(IFERROR(SEARCH("SS:",S44),0) &gt; 0, 
VLOOKUP(A44,vote4SURGE!$A:$C , 3, FALSE) - 2,
VLOOKUP(A44,vote4SURGE!$A:$C , 3, FALSE)
)
))</f>
        <v>3.5</v>
      </c>
      <c r="U44" s="341"/>
      <c r="V44" s="343" t="str">
        <f>IF(ISBLANK(U44),,IFERROR(
IF(IFERROR(SEARCH("SS:",U44),0) &gt; 0, 
VLOOKUP(SUBSTITUTE(U44,"SS: ",""),vote4SURGE!$A:$C , 3, FALSE) - 2,
VLOOKUP(SUBSTITUTE(U44,"S: ",""),vote4SURGE!$A:$C , 3, FALSE)
)
,
IF(IFERROR(SEARCH("SS:",U44),0) &gt; 0, 
VLOOKUP(A44,vote4SURGE!$A:$C , 3, FALSE) - 2,
VLOOKUP(A44,vote4SURGE!$A:$C , 3, FALSE)
)
))</f>
        <v/>
      </c>
      <c r="W44" s="343">
        <f t="shared" si="1"/>
        <v>2</v>
      </c>
      <c r="X44" s="344">
        <f>IFERROR(__xludf.DUMMYFUNCTION("SWITCH(
LEN(K44) - LEN(SUBSTITUTE(K44,"","","""")),
0 , VLOOKUP(K44, Variables!$A:$C, 3, FALSE),
1 , VLOOKUP(index(split(K44 ,"", "", FALSE),1,1), Variables!$A:$C, 3, FALSE) + VLOOKUP(index(split(K44 ,"", "", FALSE),1,2), Variables!$A:$C, 3, FALSE),
2 , V"&amp;"LOOKUP(index(split(K44 ,"", "", FALSE),1,1), Variables!$A:$C, 3, FALSE) + VLOOKUP(index(split(K44 ,"", "", FALSE),1,2), Variables!$A:$C, 3, FALSE) + VLOOKUP(index(split(K44 ,"", "", FALSE),1,3), Variables!$A:$C, 3, FALSE)
)"),0.5)</f>
        <v>0.5</v>
      </c>
      <c r="Y44" s="342">
        <f t="shared" si="2"/>
        <v>5.125</v>
      </c>
      <c r="Z44" s="114"/>
      <c r="AA44" s="114"/>
      <c r="AB44" s="114" t="s">
        <v>2572</v>
      </c>
      <c r="AC44" s="114"/>
      <c r="AD44" s="114" t="s">
        <v>2572</v>
      </c>
      <c r="AE44" s="114"/>
      <c r="AF44" s="114"/>
      <c r="AG44" s="114"/>
      <c r="AH44" s="114"/>
      <c r="AI44" s="114"/>
      <c r="AJ44" s="164" t="s">
        <v>2574</v>
      </c>
      <c r="AK44" s="473">
        <v>10.0</v>
      </c>
      <c r="AL44" s="164" t="s">
        <v>2574</v>
      </c>
      <c r="AM44" s="473">
        <v>14.0</v>
      </c>
      <c r="AN44" s="164" t="s">
        <v>2574</v>
      </c>
      <c r="AO44" s="473">
        <v>18.0</v>
      </c>
      <c r="AP44" s="130">
        <f>SUM(
VLOOKUP("Ravage",vote4TRAITS!A:C,3,FALSE)
)</f>
        <v>7.333333333</v>
      </c>
      <c r="AQ44" s="130">
        <f t="shared" si="3"/>
        <v>23.27833333</v>
      </c>
    </row>
    <row r="45" ht="14.25" customHeight="1">
      <c r="A45" s="137" t="s">
        <v>2593</v>
      </c>
      <c r="B45" s="114" t="s">
        <v>2576</v>
      </c>
      <c r="C45" s="114">
        <v>18.0</v>
      </c>
      <c r="D45" s="114">
        <v>2.0</v>
      </c>
      <c r="E45" s="114">
        <v>1.0</v>
      </c>
      <c r="F45" s="487">
        <v>4.0</v>
      </c>
      <c r="G45" s="488">
        <v>6.0</v>
      </c>
      <c r="H45" s="114" t="s">
        <v>2594</v>
      </c>
      <c r="I45" s="130">
        <f>IFERROR(__xludf.DUMMYFUNCTION("SWITCH(
LEN(H45) - LEN(SUBSTITUTE(H45,"","","""")),
0 , VLOOKUP(H45, Variables!$A:$B, 2, FALSE),
1 , VLOOKUP(index(split(H45 ,"", "", FALSE),1,1), Variables!$A:$B , 2, FALSE) + VLOOKUP(index(split(H45 ,"", "", FALSE),1,2), Variables!$A:$B , 2, FALSE),
2 ,"&amp;" VLOOKUP(index(split(H45 ,"", "", FALSE),1,1), Variables!$A:$B , 2, FALSE) + VLOOKUP(index(split(H45 ,"", "", FALSE),1,2), Variables!$A:$B , 2, FALSE) + VLOOKUP(index(split(H45 ,"", "", FALSE),1,3), Variables!$A:$B , 2, FALSE)
)"),2.833333333333333)</f>
        <v>2.833333333</v>
      </c>
      <c r="J45" s="114" t="s">
        <v>1521</v>
      </c>
      <c r="K45" s="114" t="s">
        <v>1525</v>
      </c>
      <c r="L45" s="130">
        <f>IFERROR(__xludf.DUMMYFUNCTION("SWITCH(
LEN(K45) - LEN(SUBSTITUTE(K45,"","","""")),
0 , VLOOKUP(K45, Variables!$A:$B, 2, FALSE),
1 , VLOOKUP(index(split(K45 ,"", "", FALSE),1,1), Variables!$A:$B , 2, FALSE) + VLOOKUP(index(split(K45 ,"", "", FALSE),1,2), Variables!$A:$B , 2, FALSE),
2 ,"&amp;" VLOOKUP(index(split(K45 ,"", "", FALSE),1,1), Variables!$A:$B , 2, FALSE) + VLOOKUP(index(split(K45 ,"", "", FALSE),1,2), Variables!$A:$B , 2, FALSE) + VLOOKUP(index(split(K45 ,"", "", FALSE),1,3), Variables!$A:$B , 2, FALSE)
)
+
IF(J45=""Ranged"", 1 , 0"&amp;")"),3.333333333333333)</f>
        <v>3.333333333</v>
      </c>
      <c r="M45" s="114"/>
      <c r="N45" s="130" t="str">
        <f>IFERROR(__xludf.DUMMYFUNCTION("IF(ISBLANK(M45), , 
SWITCH(
LEN(M45)- LEN(SUBSTITUTE(M45,"","","""")), 
0 , VLOOKUP(M45, vote4TRAITS!A:C , 3, FALSE),
1 , VLOOKUP(index(split(M45 ,"", "", FALSE),1,1), vote4TRAITS!A:C , 3, FALSE) + VLOOKUP(index(split(M45 ,"", "", FALSE),1,2), vote4TRAITS"&amp;"!A:C , 3, FALSE),
2 , VLOOKUP(index(split(M45 ,"", "", FALSE),1,1), vote4TRAITS!A:C , 3, FALSE) + VLOOKUP(index(split(M45 ,"", "", FALSE),1,2), vote4TRAITS!A:C , 3, FALSE) + VLOOKUP(index(split(M45 ,"", "", FALSE),1,3), vote4TRAITS!A:C , 3, FALSE)
)
)"),"")</f>
        <v/>
      </c>
      <c r="O45" s="114" t="s">
        <v>1395</v>
      </c>
      <c r="P45" s="165">
        <f>IFERROR(__xludf.DUMMYFUNCTION("IF(ISBLANK(O45), , 
SWITCH(
LEN(O45)- LEN(SUBSTITUTE(O45,"","","""")), 
0 , VLOOKUP(O45, vote4ACTIONS!A:C , 3, FALSE),
1 , VLOOKUP(index(split(O45 ,"", "", FALSE),1,1), vote4ACTIONS!A:C , 3, FALSE) + VLOOKUP(index(split(O45 ,"", "", FALSE),1,2), vote4ACTI"&amp;"ONS!A:C , 3, FALSE),
2 , VLOOKUP(index(split(O45 ,"", "", FALSE),1,1), vote4ACTIONS!A:C , 3, FALSE) + VLOOKUP(index(split(O45 ,"", "", FALSE),1,2), vote4ACTIONS!A:C , 3, FALSE) + VLOOKUP(index(split(O45 ,"", "", FALSE),1,3), vote4ACTIONS!A:C , 3, FALSE),
"&amp;"3 , VLOOKUP(index(split(O45 ,"", "", FALSE),1,1), vote4ACTIONS!A:C , 3, FALSE) + VLOOKUP(index(split(O45 ,"", "", FALSE),1,2), vote4ACTIONS!A:C , 3, FALSE) + VLOOKUP(index(split(O45 ,"", "", FALSE),1,3), vote4ACTIONS!A:C , 3, FALSE) + VLOOKUP(index(split("&amp;"O45 ,"", "", FALSE),1,4), vote4ACTIONS!A:C , 3, FALSE)
)
)"),2.5)</f>
        <v>2.5</v>
      </c>
      <c r="Q45" s="340" t="s">
        <v>1535</v>
      </c>
      <c r="R45" s="342">
        <f>IF(ISBLANK(Q45),,IFERROR(
IF(IFERROR(SEARCH("SS:",Q45),0) &gt; 0, 
VLOOKUP(SUBSTITUTE(Q45,"SS: ",""),vote4SURGE!$A:$C , 3, FALSE) - 2,
VLOOKUP(SUBSTITUTE(Q45,"S: ",""),vote4SURGE!$A:$C , 3, FALSE)
)
,
IF(IFERROR(SEARCH("SS:",Q45),0) &gt; 0, 
VLOOKUP(A45,vote4SURGE!$A:$C , 3, FALSE) - 2,
VLOOKUP(A45,vote4SURGE!$A:$C , 3, FALSE)
)
))</f>
        <v>4.25</v>
      </c>
      <c r="S45" s="489" t="s">
        <v>2595</v>
      </c>
      <c r="T45" s="342">
        <f>IF(ISBLANK(S45),,IFERROR(
IF(IFERROR(SEARCH("SS:",S45),0) &gt; 0, 
VLOOKUP(SUBSTITUTE(S45,"SS: ",""),vote4SURGE!$A:$C , 3, FALSE) - 2,
VLOOKUP(SUBSTITUTE(S45,"S: ",""),vote4SURGE!$A:$C , 3, FALSE)
)
,
IF(IFERROR(SEARCH("SS:",S45),0) &gt; 0, 
VLOOKUP(A45,vote4SURGE!$A:$C , 3, FALSE) - 2,
VLOOKUP(A45,vote4SURGE!$A:$C , 3, FALSE)
)
))</f>
        <v>3.5</v>
      </c>
      <c r="U45" s="341"/>
      <c r="V45" s="343" t="str">
        <f>IF(ISBLANK(U45),,IFERROR(
IF(IFERROR(SEARCH("SS:",U45),0) &gt; 0, 
VLOOKUP(SUBSTITUTE(U45,"SS: ",""),vote4SURGE!$A:$C , 3, FALSE) - 2,
VLOOKUP(SUBSTITUTE(U45,"S: ",""),vote4SURGE!$A:$C , 3, FALSE)
)
,
IF(IFERROR(SEARCH("SS:",U45),0) &gt; 0, 
VLOOKUP(A45,vote4SURGE!$A:$C , 3, FALSE) - 2,
VLOOKUP(A45,vote4SURGE!$A:$C , 3, FALSE)
)
))</f>
        <v/>
      </c>
      <c r="W45" s="343">
        <f t="shared" si="1"/>
        <v>2</v>
      </c>
      <c r="X45" s="344">
        <f>IFERROR(__xludf.DUMMYFUNCTION("SWITCH(
LEN(K45) - LEN(SUBSTITUTE(K45,"","","""")),
0 , VLOOKUP(K45, Variables!$A:$C, 3, FALSE),
1 , VLOOKUP(index(split(K45 ,"", "", FALSE),1,1), Variables!$A:$C, 3, FALSE) + VLOOKUP(index(split(K45 ,"", "", FALSE),1,2), Variables!$A:$C, 3, FALSE),
2 , V"&amp;"LOOKUP(index(split(K45 ,"", "", FALSE),1,1), Variables!$A:$C, 3, FALSE) + VLOOKUP(index(split(K45 ,"", "", FALSE),1,2), Variables!$A:$C, 3, FALSE) + VLOOKUP(index(split(K45 ,"", "", FALSE),1,3), Variables!$A:$C, 3, FALSE)
)"),0.5)</f>
        <v>0.5</v>
      </c>
      <c r="Y45" s="342">
        <f t="shared" si="2"/>
        <v>5.125</v>
      </c>
      <c r="Z45" s="114"/>
      <c r="AA45" s="114"/>
      <c r="AB45" s="114" t="s">
        <v>2572</v>
      </c>
      <c r="AC45" s="114"/>
      <c r="AD45" s="114" t="s">
        <v>2572</v>
      </c>
      <c r="AE45" s="114"/>
      <c r="AF45" s="114"/>
      <c r="AG45" s="114"/>
      <c r="AH45" s="114"/>
      <c r="AI45" s="114"/>
      <c r="AJ45" s="164" t="s">
        <v>2574</v>
      </c>
      <c r="AK45" s="473">
        <v>14.0</v>
      </c>
      <c r="AL45" s="164" t="s">
        <v>369</v>
      </c>
      <c r="AM45" s="473">
        <v>20.0</v>
      </c>
      <c r="AN45" s="164" t="s">
        <v>368</v>
      </c>
      <c r="AO45" s="473">
        <v>24.0</v>
      </c>
      <c r="AP45" s="130">
        <f>SUM(
VLOOKUP("Ravage",vote4TRAITS!A:C,3,FALSE)
)</f>
        <v>7.333333333</v>
      </c>
      <c r="AQ45" s="130">
        <f t="shared" si="3"/>
        <v>21.945</v>
      </c>
    </row>
    <row r="46" ht="14.25" customHeight="1">
      <c r="A46" s="137" t="s">
        <v>2593</v>
      </c>
      <c r="B46" s="114" t="s">
        <v>2576</v>
      </c>
      <c r="C46" s="114">
        <v>18.0</v>
      </c>
      <c r="D46" s="114">
        <v>1.0</v>
      </c>
      <c r="E46" s="114">
        <v>1.0</v>
      </c>
      <c r="F46" s="487">
        <v>4.0</v>
      </c>
      <c r="G46" s="488">
        <v>4.0</v>
      </c>
      <c r="H46" s="114" t="s">
        <v>2575</v>
      </c>
      <c r="I46" s="130">
        <f>IFERROR(__xludf.DUMMYFUNCTION("SWITCH(
LEN(H46) - LEN(SUBSTITUTE(H46,"","","""")),
0 , VLOOKUP(H46, Variables!$A:$B, 2, FALSE),
1 , VLOOKUP(index(split(H46 ,"", "", FALSE),1,1), Variables!$A:$B , 2, FALSE) + VLOOKUP(index(split(H46 ,"", "", FALSE),1,2), Variables!$A:$B , 2, FALSE),
2 ,"&amp;" VLOOKUP(index(split(H46 ,"", "", FALSE),1,1), Variables!$A:$B , 2, FALSE) + VLOOKUP(index(split(H46 ,"", "", FALSE),1,2), Variables!$A:$B , 2, FALSE) + VLOOKUP(index(split(H46 ,"", "", FALSE),1,3), Variables!$A:$B , 2, FALSE)
)"),2.0)</f>
        <v>2</v>
      </c>
      <c r="J46" s="114" t="s">
        <v>1521</v>
      </c>
      <c r="K46" s="114" t="s">
        <v>1525</v>
      </c>
      <c r="L46" s="130">
        <f>IFERROR(__xludf.DUMMYFUNCTION("SWITCH(
LEN(K46) - LEN(SUBSTITUTE(K46,"","","""")),
0 , VLOOKUP(K46, Variables!$A:$B, 2, FALSE),
1 , VLOOKUP(index(split(K46 ,"", "", FALSE),1,1), Variables!$A:$B , 2, FALSE) + VLOOKUP(index(split(K46 ,"", "", FALSE),1,2), Variables!$A:$B , 2, FALSE),
2 ,"&amp;" VLOOKUP(index(split(K46 ,"", "", FALSE),1,1), Variables!$A:$B , 2, FALSE) + VLOOKUP(index(split(K46 ,"", "", FALSE),1,2), Variables!$A:$B , 2, FALSE) + VLOOKUP(index(split(K46 ,"", "", FALSE),1,3), Variables!$A:$B , 2, FALSE)
)
+
IF(J46=""Ranged"", 1 , 0"&amp;")"),3.333333333333333)</f>
        <v>3.333333333</v>
      </c>
      <c r="M46" s="114"/>
      <c r="N46" s="130" t="str">
        <f>IFERROR(__xludf.DUMMYFUNCTION("IF(ISBLANK(M46), , 
SWITCH(
LEN(M46)- LEN(SUBSTITUTE(M46,"","","""")), 
0 , VLOOKUP(M46, vote4TRAITS!A:C , 3, FALSE),
1 , VLOOKUP(index(split(M46 ,"", "", FALSE),1,1), vote4TRAITS!A:C , 3, FALSE) + VLOOKUP(index(split(M46 ,"", "", FALSE),1,2), vote4TRAITS"&amp;"!A:C , 3, FALSE),
2 , VLOOKUP(index(split(M46 ,"", "", FALSE),1,1), vote4TRAITS!A:C , 3, FALSE) + VLOOKUP(index(split(M46 ,"", "", FALSE),1,2), vote4TRAITS!A:C , 3, FALSE) + VLOOKUP(index(split(M46 ,"", "", FALSE),1,3), vote4TRAITS!A:C , 3, FALSE)
)
)"),"")</f>
        <v/>
      </c>
      <c r="O46" s="114" t="s">
        <v>1395</v>
      </c>
      <c r="P46" s="165">
        <f>IFERROR(__xludf.DUMMYFUNCTION("IF(ISBLANK(O46), , 
SWITCH(
LEN(O46)- LEN(SUBSTITUTE(O46,"","","""")), 
0 , VLOOKUP(O46, vote4ACTIONS!A:C , 3, FALSE),
1 , VLOOKUP(index(split(O46 ,"", "", FALSE),1,1), vote4ACTIONS!A:C , 3, FALSE) + VLOOKUP(index(split(O46 ,"", "", FALSE),1,2), vote4ACTI"&amp;"ONS!A:C , 3, FALSE),
2 , VLOOKUP(index(split(O46 ,"", "", FALSE),1,1), vote4ACTIONS!A:C , 3, FALSE) + VLOOKUP(index(split(O46 ,"", "", FALSE),1,2), vote4ACTIONS!A:C , 3, FALSE) + VLOOKUP(index(split(O46 ,"", "", FALSE),1,3), vote4ACTIONS!A:C , 3, FALSE),
"&amp;"3 , VLOOKUP(index(split(O46 ,"", "", FALSE),1,1), vote4ACTIONS!A:C , 3, FALSE) + VLOOKUP(index(split(O46 ,"", "", FALSE),1,2), vote4ACTIONS!A:C , 3, FALSE) + VLOOKUP(index(split(O46 ,"", "", FALSE),1,3), vote4ACTIONS!A:C , 3, FALSE) + VLOOKUP(index(split("&amp;"O46 ,"", "", FALSE),1,4), vote4ACTIONS!A:C , 3, FALSE)
)
)"),2.5)</f>
        <v>2.5</v>
      </c>
      <c r="Q46" s="340" t="s">
        <v>1535</v>
      </c>
      <c r="R46" s="342">
        <f>IF(ISBLANK(Q46),,IFERROR(
IF(IFERROR(SEARCH("SS:",Q46),0) &gt; 0, 
VLOOKUP(SUBSTITUTE(Q46,"SS: ",""),vote4SURGE!$A:$C , 3, FALSE) - 2,
VLOOKUP(SUBSTITUTE(Q46,"S: ",""),vote4SURGE!$A:$C , 3, FALSE)
)
,
IF(IFERROR(SEARCH("SS:",Q46),0) &gt; 0, 
VLOOKUP(A46,vote4SURGE!$A:$C , 3, FALSE) - 2,
VLOOKUP(A46,vote4SURGE!$A:$C , 3, FALSE)
)
))</f>
        <v>4.25</v>
      </c>
      <c r="S46" s="489" t="s">
        <v>2595</v>
      </c>
      <c r="T46" s="342">
        <f>IF(ISBLANK(S46),,IFERROR(
IF(IFERROR(SEARCH("SS:",S46),0) &gt; 0, 
VLOOKUP(SUBSTITUTE(S46,"SS: ",""),vote4SURGE!$A:$C , 3, FALSE) - 2,
VLOOKUP(SUBSTITUTE(S46,"S: ",""),vote4SURGE!$A:$C , 3, FALSE)
)
,
IF(IFERROR(SEARCH("SS:",S46),0) &gt; 0, 
VLOOKUP(A46,vote4SURGE!$A:$C , 3, FALSE) - 2,
VLOOKUP(A46,vote4SURGE!$A:$C , 3, FALSE)
)
))</f>
        <v>3.5</v>
      </c>
      <c r="U46" s="164"/>
      <c r="V46" s="343" t="str">
        <f>IF(ISBLANK(U46),,IFERROR(
IF(IFERROR(SEARCH("SS:",U46),0) &gt; 0, 
VLOOKUP(SUBSTITUTE(U46,"SS: ",""),vote4SURGE!$A:$C , 3, FALSE) - 2,
VLOOKUP(SUBSTITUTE(U46,"S: ",""),vote4SURGE!$A:$C , 3, FALSE)
)
,
IF(IFERROR(SEARCH("SS:",U46),0) &gt; 0, 
VLOOKUP(A46,vote4SURGE!$A:$C , 3, FALSE) - 2,
VLOOKUP(A46,vote4SURGE!$A:$C , 3, FALSE)
)
))</f>
        <v/>
      </c>
      <c r="W46" s="343">
        <f t="shared" si="1"/>
        <v>2</v>
      </c>
      <c r="X46" s="344">
        <f>IFERROR(__xludf.DUMMYFUNCTION("SWITCH(
LEN(K46) - LEN(SUBSTITUTE(K46,"","","""")),
0 , VLOOKUP(K46, Variables!$A:$C, 3, FALSE),
1 , VLOOKUP(index(split(K46 ,"", "", FALSE),1,1), Variables!$A:$C, 3, FALSE) + VLOOKUP(index(split(K46 ,"", "", FALSE),1,2), Variables!$A:$C, 3, FALSE),
2 , V"&amp;"LOOKUP(index(split(K46 ,"", "", FALSE),1,1), Variables!$A:$C, 3, FALSE) + VLOOKUP(index(split(K46 ,"", "", FALSE),1,2), Variables!$A:$C, 3, FALSE) + VLOOKUP(index(split(K46 ,"", "", FALSE),1,3), Variables!$A:$C, 3, FALSE)
)"),0.5)</f>
        <v>0.5</v>
      </c>
      <c r="Y46" s="342">
        <f t="shared" si="2"/>
        <v>5.125</v>
      </c>
      <c r="Z46" s="114"/>
      <c r="AA46" s="114"/>
      <c r="AB46" s="114" t="s">
        <v>2572</v>
      </c>
      <c r="AC46" s="114"/>
      <c r="AD46" s="114" t="s">
        <v>2572</v>
      </c>
      <c r="AE46" s="114"/>
      <c r="AF46" s="114"/>
      <c r="AG46" s="114"/>
      <c r="AH46" s="114"/>
      <c r="AI46" s="114"/>
      <c r="AJ46" s="164" t="s">
        <v>2574</v>
      </c>
      <c r="AK46" s="473">
        <v>10.0</v>
      </c>
      <c r="AL46" s="164" t="s">
        <v>369</v>
      </c>
      <c r="AM46" s="473">
        <v>14.0</v>
      </c>
      <c r="AN46" s="164" t="s">
        <v>368</v>
      </c>
      <c r="AO46" s="473">
        <v>18.0</v>
      </c>
      <c r="AP46" s="130">
        <f>SUM(
VLOOKUP("Ravage",vote4TRAITS!A:C,3,FALSE)
)</f>
        <v>7.333333333</v>
      </c>
      <c r="AQ46" s="130">
        <f t="shared" si="3"/>
        <v>12.945</v>
      </c>
    </row>
    <row r="47" ht="14.25" customHeight="1">
      <c r="A47" s="137" t="s">
        <v>1457</v>
      </c>
      <c r="B47" s="114" t="s">
        <v>2570</v>
      </c>
      <c r="C47" s="114">
        <v>33.0</v>
      </c>
      <c r="D47" s="114">
        <v>2.0</v>
      </c>
      <c r="E47" s="114">
        <v>4.0</v>
      </c>
      <c r="F47" s="487">
        <v>3.0</v>
      </c>
      <c r="G47" s="488">
        <v>10.0</v>
      </c>
      <c r="H47" s="114" t="s">
        <v>1663</v>
      </c>
      <c r="I47" s="130">
        <f>IFERROR(__xludf.DUMMYFUNCTION("SWITCH(
LEN(H47) - LEN(SUBSTITUTE(H47,"","","""")),
0 , VLOOKUP(H47, Variables!$A:$B, 2, FALSE),
1 , VLOOKUP(index(split(H47 ,"", "", FALSE),1,1), Variables!$A:$B , 2, FALSE) + VLOOKUP(index(split(H47 ,"", "", FALSE),1,2), Variables!$A:$B , 2, FALSE),
2 ,"&amp;" VLOOKUP(index(split(H47 ,"", "", FALSE),1,1), Variables!$A:$B , 2, FALSE) + VLOOKUP(index(split(H47 ,"", "", FALSE),1,2), Variables!$A:$B , 2, FALSE) + VLOOKUP(index(split(H47 ,"", "", FALSE),1,3), Variables!$A:$B , 2, FALSE)
)"),1.3333333333333333)</f>
        <v>1.333333333</v>
      </c>
      <c r="J47" s="114" t="s">
        <v>1567</v>
      </c>
      <c r="K47" s="322" t="s">
        <v>1537</v>
      </c>
      <c r="L47" s="130">
        <f>IFERROR(__xludf.DUMMYFUNCTION("SWITCH(
LEN(K47) - LEN(SUBSTITUTE(K47,"","","""")),
0 , VLOOKUP(K47, Variables!$A:$B, 2, FALSE),
1 , VLOOKUP(index(split(K47 ,"", "", FALSE),1,1), Variables!$A:$B , 2, FALSE) + VLOOKUP(index(split(K47 ,"", "", FALSE),1,2), Variables!$A:$B , 2, FALSE),
2 ,"&amp;" VLOOKUP(index(split(K47 ,"", "", FALSE),1,1), Variables!$A:$B , 2, FALSE) + VLOOKUP(index(split(K47 ,"", "", FALSE),1,2), Variables!$A:$B , 2, FALSE) + VLOOKUP(index(split(K47 ,"", "", FALSE),1,3), Variables!$A:$B , 2, FALSE)
)
+
IF(J47=""Ranged"", 1 , 0"&amp;")"),5.5)</f>
        <v>5.5</v>
      </c>
      <c r="M47" s="114" t="s">
        <v>2596</v>
      </c>
      <c r="N47" s="130">
        <f>IFERROR(__xludf.DUMMYFUNCTION("IF(ISBLANK(M47), , 
SWITCH(
LEN(M47)- LEN(SUBSTITUTE(M47,"","","""")), 
0 , VLOOKUP(M47, vote4TRAITS!A:C , 3, FALSE),
1 , VLOOKUP(index(split(M47 ,"", "", FALSE),1,1), vote4TRAITS!A:C , 3, FALSE) + VLOOKUP(index(split(M47 ,"", "", FALSE),1,2), vote4TRAITS"&amp;"!A:C , 3, FALSE),
2 , VLOOKUP(index(split(M47 ,"", "", FALSE),1,1), vote4TRAITS!A:C , 3, FALSE) + VLOOKUP(index(split(M47 ,"", "", FALSE),1,2), vote4TRAITS!A:C , 3, FALSE) + VLOOKUP(index(split(M47 ,"", "", FALSE),1,3), vote4TRAITS!A:C , 3, FALSE)
)
)"),13.0)</f>
        <v>13</v>
      </c>
      <c r="O47" s="490"/>
      <c r="P47" s="165" t="str">
        <f>IFERROR(__xludf.DUMMYFUNCTION("IF(ISBLANK(O47), , 
SWITCH(
LEN(O47)- LEN(SUBSTITUTE(O47,"","","""")), 
0 , VLOOKUP(O47, vote4ACTIONS!A:C , 3, FALSE),
1 , VLOOKUP(index(split(O47 ,"", "", FALSE),1,1), vote4ACTIONS!A:C , 3, FALSE) + VLOOKUP(index(split(O47 ,"", "", FALSE),1,2), vote4ACTI"&amp;"ONS!A:C , 3, FALSE),
2 , VLOOKUP(index(split(O47 ,"", "", FALSE),1,1), vote4ACTIONS!A:C , 3, FALSE) + VLOOKUP(index(split(O47 ,"", "", FALSE),1,2), vote4ACTIONS!A:C , 3, FALSE) + VLOOKUP(index(split(O47 ,"", "", FALSE),1,3), vote4ACTIONS!A:C , 3, FALSE),
"&amp;"3 , VLOOKUP(index(split(O47 ,"", "", FALSE),1,1), vote4ACTIONS!A:C , 3, FALSE) + VLOOKUP(index(split(O47 ,"", "", FALSE),1,2), vote4ACTIONS!A:C , 3, FALSE) + VLOOKUP(index(split(O47 ,"", "", FALSE),1,3), vote4ACTIONS!A:C , 3, FALSE) + VLOOKUP(index(split("&amp;"O47 ,"", "", FALSE),1,4), vote4ACTIONS!A:C , 3, FALSE)
)
)"),"")</f>
        <v/>
      </c>
      <c r="Q47" s="340" t="s">
        <v>1562</v>
      </c>
      <c r="R47" s="342">
        <f>IF(ISBLANK(Q47),,IFERROR(
IF(IFERROR(SEARCH("SS:",Q47),0) &gt; 0, 
VLOOKUP(SUBSTITUTE(Q47,"SS: ",""),vote4SURGE!$A:$C , 3, FALSE) - 2,
VLOOKUP(SUBSTITUTE(Q47,"S: ",""),vote4SURGE!$A:$C , 3, FALSE)
)
,
IF(IFERROR(SEARCH("SS:",Q47),0) &gt; 0, 
VLOOKUP(A47,vote4SURGE!$A:$C , 3, FALSE) - 2,
VLOOKUP(A47,vote4SURGE!$A:$C , 3, FALSE)
)
))</f>
        <v>3.5</v>
      </c>
      <c r="S47" s="340"/>
      <c r="T47" s="342" t="str">
        <f>IF(ISBLANK(S47),,IFERROR(
IF(IFERROR(SEARCH("SS:",S47),0) &gt; 0, 
VLOOKUP(SUBSTITUTE(S47,"SS: ",""),vote4SURGE!$A:$C , 3, FALSE) - 2,
VLOOKUP(SUBSTITUTE(S47,"S: ",""),vote4SURGE!$A:$C , 3, FALSE)
)
,
IF(IFERROR(SEARCH("SS:",S47),0) &gt; 0, 
VLOOKUP(A47,vote4SURGE!$A:$C , 3, FALSE) - 2,
VLOOKUP(A47,vote4SURGE!$A:$C , 3, FALSE)
)
))</f>
        <v/>
      </c>
      <c r="U47" s="341"/>
      <c r="V47" s="343" t="str">
        <f>IF(ISBLANK(U47),,IFERROR(
IF(IFERROR(SEARCH("SS:",U47),0) &gt; 0, 
VLOOKUP(SUBSTITUTE(U47,"SS: ",""),vote4SURGE!$A:$C , 3, FALSE) - 2,
VLOOKUP(SUBSTITUTE(U47,"S: ",""),vote4SURGE!$A:$C , 3, FALSE)
)
,
IF(IFERROR(SEARCH("SS:",U47),0) &gt; 0, 
VLOOKUP(A47,vote4SURGE!$A:$C , 3, FALSE) - 2,
VLOOKUP(A47,vote4SURGE!$A:$C , 3, FALSE)
)
))</f>
        <v/>
      </c>
      <c r="W47" s="343">
        <f t="shared" si="1"/>
        <v>1</v>
      </c>
      <c r="X47" s="344">
        <f>IFERROR(__xludf.DUMMYFUNCTION("SWITCH(
LEN(K47) - LEN(SUBSTITUTE(K47,"","","""")),
0 , VLOOKUP(K47, Variables!$A:$C, 3, FALSE),
1 , VLOOKUP(index(split(K47 ,"", "", FALSE),1,1), Variables!$A:$C, 3, FALSE) + VLOOKUP(index(split(K47 ,"", "", FALSE),1,2), Variables!$A:$C, 3, FALSE),
2 , V"&amp;"LOOKUP(index(split(K47 ,"", "", FALSE),1,1), Variables!$A:$C, 3, FALSE) + VLOOKUP(index(split(K47 ,"", "", FALSE),1,2), Variables!$A:$C, 3, FALSE) + VLOOKUP(index(split(K47 ,"", "", FALSE),1,3), Variables!$A:$C, 3, FALSE)
)"),1.0)</f>
        <v>1</v>
      </c>
      <c r="Y47" s="342">
        <f t="shared" si="2"/>
        <v>3.5</v>
      </c>
      <c r="Z47" s="114"/>
      <c r="AA47" s="114"/>
      <c r="AB47" s="114"/>
      <c r="AC47" s="114"/>
      <c r="AD47" s="114" t="s">
        <v>2572</v>
      </c>
      <c r="AE47" s="114" t="s">
        <v>2572</v>
      </c>
      <c r="AF47" s="114"/>
      <c r="AG47" s="114"/>
      <c r="AH47" s="114"/>
      <c r="AI47" s="114"/>
      <c r="AJ47" s="114" t="s">
        <v>2574</v>
      </c>
      <c r="AK47" s="473">
        <v>10.0</v>
      </c>
      <c r="AL47" s="114" t="s">
        <v>2574</v>
      </c>
      <c r="AM47" s="473">
        <v>17.0</v>
      </c>
      <c r="AN47" s="114" t="s">
        <v>2574</v>
      </c>
      <c r="AO47" s="473">
        <v>24.0</v>
      </c>
      <c r="AP47" s="130">
        <f>SUM(
VLOOKUP("Ravage",vote4TRAITS!A:C,3,FALSE)
)</f>
        <v>7.333333333</v>
      </c>
      <c r="AQ47" s="130">
        <f t="shared" si="3"/>
        <v>29.32</v>
      </c>
    </row>
    <row r="48" ht="14.25" customHeight="1">
      <c r="A48" s="137" t="s">
        <v>1457</v>
      </c>
      <c r="B48" s="114" t="s">
        <v>2570</v>
      </c>
      <c r="C48" s="114">
        <v>33.0</v>
      </c>
      <c r="D48" s="114">
        <v>1.0</v>
      </c>
      <c r="E48" s="114">
        <v>4.0</v>
      </c>
      <c r="F48" s="487">
        <v>3.0</v>
      </c>
      <c r="G48" s="488">
        <v>6.0</v>
      </c>
      <c r="H48" s="114" t="s">
        <v>1663</v>
      </c>
      <c r="I48" s="130">
        <f>IFERROR(__xludf.DUMMYFUNCTION("SWITCH(
LEN(H48) - LEN(SUBSTITUTE(H48,"","","""")),
0 , VLOOKUP(H48, Variables!$A:$B, 2, FALSE),
1 , VLOOKUP(index(split(H48 ,"", "", FALSE),1,1), Variables!$A:$B , 2, FALSE) + VLOOKUP(index(split(H48 ,"", "", FALSE),1,2), Variables!$A:$B , 2, FALSE),
2 ,"&amp;" VLOOKUP(index(split(H48 ,"", "", FALSE),1,1), Variables!$A:$B , 2, FALSE) + VLOOKUP(index(split(H48 ,"", "", FALSE),1,2), Variables!$A:$B , 2, FALSE) + VLOOKUP(index(split(H48 ,"", "", FALSE),1,3), Variables!$A:$B , 2, FALSE)
)"),1.3333333333333333)</f>
        <v>1.333333333</v>
      </c>
      <c r="J48" s="114" t="s">
        <v>1567</v>
      </c>
      <c r="K48" s="114" t="s">
        <v>1525</v>
      </c>
      <c r="L48" s="130">
        <f>IFERROR(__xludf.DUMMYFUNCTION("SWITCH(
LEN(K48) - LEN(SUBSTITUTE(K48,"","","""")),
0 , VLOOKUP(K48, Variables!$A:$B, 2, FALSE),
1 , VLOOKUP(index(split(K48 ,"", "", FALSE),1,1), Variables!$A:$B , 2, FALSE) + VLOOKUP(index(split(K48 ,"", "", FALSE),1,2), Variables!$A:$B , 2, FALSE),
2 ,"&amp;" VLOOKUP(index(split(K48 ,"", "", FALSE),1,1), Variables!$A:$B , 2, FALSE) + VLOOKUP(index(split(K48 ,"", "", FALSE),1,2), Variables!$A:$B , 2, FALSE) + VLOOKUP(index(split(K48 ,"", "", FALSE),1,3), Variables!$A:$B , 2, FALSE)
)
+
IF(J48=""Ranged"", 1 , 0"&amp;")"),4.333333333333333)</f>
        <v>4.333333333</v>
      </c>
      <c r="M48" s="114" t="s">
        <v>2597</v>
      </c>
      <c r="N48" s="130">
        <f>IFERROR(__xludf.DUMMYFUNCTION("IF(ISBLANK(M48), , 
SWITCH(
LEN(M48)- LEN(SUBSTITUTE(M48,"","","""")), 
0 , VLOOKUP(M48, vote4TRAITS!A:C , 3, FALSE),
1 , VLOOKUP(index(split(M48 ,"", "", FALSE),1,1), vote4TRAITS!A:C , 3, FALSE) + VLOOKUP(index(split(M48 ,"", "", FALSE),1,2), vote4TRAITS"&amp;"!A:C , 3, FALSE),
2 , VLOOKUP(index(split(M48 ,"", "", FALSE),1,1), vote4TRAITS!A:C , 3, FALSE) + VLOOKUP(index(split(M48 ,"", "", FALSE),1,2), vote4TRAITS!A:C , 3, FALSE) + VLOOKUP(index(split(M48 ,"", "", FALSE),1,3), vote4TRAITS!A:C , 3, FALSE)
)
)"),12.0)</f>
        <v>12</v>
      </c>
      <c r="O48" s="490"/>
      <c r="P48" s="165" t="str">
        <f>IFERROR(__xludf.DUMMYFUNCTION("IF(ISBLANK(O48), , 
SWITCH(
LEN(O48)- LEN(SUBSTITUTE(O48,"","","""")), 
0 , VLOOKUP(O48, vote4ACTIONS!A:C , 3, FALSE),
1 , VLOOKUP(index(split(O48 ,"", "", FALSE),1,1), vote4ACTIONS!A:C , 3, FALSE) + VLOOKUP(index(split(O48 ,"", "", FALSE),1,2), vote4ACTI"&amp;"ONS!A:C , 3, FALSE),
2 , VLOOKUP(index(split(O48 ,"", "", FALSE),1,1), vote4ACTIONS!A:C , 3, FALSE) + VLOOKUP(index(split(O48 ,"", "", FALSE),1,2), vote4ACTIONS!A:C , 3, FALSE) + VLOOKUP(index(split(O48 ,"", "", FALSE),1,3), vote4ACTIONS!A:C , 3, FALSE),
"&amp;"3 , VLOOKUP(index(split(O48 ,"", "", FALSE),1,1), vote4ACTIONS!A:C , 3, FALSE) + VLOOKUP(index(split(O48 ,"", "", FALSE),1,2), vote4ACTIONS!A:C , 3, FALSE) + VLOOKUP(index(split(O48 ,"", "", FALSE),1,3), vote4ACTIONS!A:C , 3, FALSE) + VLOOKUP(index(split("&amp;"O48 ,"", "", FALSE),1,4), vote4ACTIONS!A:C , 3, FALSE)
)
)"),"")</f>
        <v/>
      </c>
      <c r="Q48" s="340" t="s">
        <v>1562</v>
      </c>
      <c r="R48" s="342">
        <f>IF(ISBLANK(Q48),,IFERROR(
IF(IFERROR(SEARCH("SS:",Q48),0) &gt; 0, 
VLOOKUP(SUBSTITUTE(Q48,"SS: ",""),vote4SURGE!$A:$C , 3, FALSE) - 2,
VLOOKUP(SUBSTITUTE(Q48,"S: ",""),vote4SURGE!$A:$C , 3, FALSE)
)
,
IF(IFERROR(SEARCH("SS:",Q48),0) &gt; 0, 
VLOOKUP(A48,vote4SURGE!$A:$C , 3, FALSE) - 2,
VLOOKUP(A48,vote4SURGE!$A:$C , 3, FALSE)
)
))</f>
        <v>3.5</v>
      </c>
      <c r="S48" s="489"/>
      <c r="T48" s="342" t="str">
        <f>IF(ISBLANK(S48),,IFERROR(
IF(IFERROR(SEARCH("SS:",S48),0) &gt; 0, 
VLOOKUP(SUBSTITUTE(S48,"SS: ",""),vote4SURGE!$A:$C , 3, FALSE) - 2,
VLOOKUP(SUBSTITUTE(S48,"S: ",""),vote4SURGE!$A:$C , 3, FALSE)
)
,
IF(IFERROR(SEARCH("SS:",S48),0) &gt; 0, 
VLOOKUP(A48,vote4SURGE!$A:$C , 3, FALSE) - 2,
VLOOKUP(A48,vote4SURGE!$A:$C , 3, FALSE)
)
))</f>
        <v/>
      </c>
      <c r="U48" s="341"/>
      <c r="V48" s="343" t="str">
        <f>IF(ISBLANK(U48),,IFERROR(
IF(IFERROR(SEARCH("SS:",U48),0) &gt; 0, 
VLOOKUP(SUBSTITUTE(U48,"SS: ",""),vote4SURGE!$A:$C , 3, FALSE) - 2,
VLOOKUP(SUBSTITUTE(U48,"S: ",""),vote4SURGE!$A:$C , 3, FALSE)
)
,
IF(IFERROR(SEARCH("SS:",U48),0) &gt; 0, 
VLOOKUP(A48,vote4SURGE!$A:$C , 3, FALSE) - 2,
VLOOKUP(A48,vote4SURGE!$A:$C , 3, FALSE)
)
))</f>
        <v/>
      </c>
      <c r="W48" s="343">
        <f t="shared" si="1"/>
        <v>1</v>
      </c>
      <c r="X48" s="344">
        <f>IFERROR(__xludf.DUMMYFUNCTION("SWITCH(
LEN(K48) - LEN(SUBSTITUTE(K48,"","","""")),
0 , VLOOKUP(K48, Variables!$A:$C, 3, FALSE),
1 , VLOOKUP(index(split(K48 ,"", "", FALSE),1,1), Variables!$A:$C, 3, FALSE) + VLOOKUP(index(split(K48 ,"", "", FALSE),1,2), Variables!$A:$C, 3, FALSE),
2 , V"&amp;"LOOKUP(index(split(K48 ,"", "", FALSE),1,1), Variables!$A:$C, 3, FALSE) + VLOOKUP(index(split(K48 ,"", "", FALSE),1,2), Variables!$A:$C, 3, FALSE) + VLOOKUP(index(split(K48 ,"", "", FALSE),1,3), Variables!$A:$C, 3, FALSE)
)"),0.5)</f>
        <v>0.5</v>
      </c>
      <c r="Y48" s="342">
        <f t="shared" si="2"/>
        <v>1.75</v>
      </c>
      <c r="Z48" s="114"/>
      <c r="AA48" s="114"/>
      <c r="AB48" s="114"/>
      <c r="AC48" s="114"/>
      <c r="AD48" s="114" t="s">
        <v>2572</v>
      </c>
      <c r="AE48" s="114" t="s">
        <v>2572</v>
      </c>
      <c r="AF48" s="114"/>
      <c r="AG48" s="114"/>
      <c r="AH48" s="114"/>
      <c r="AI48" s="114"/>
      <c r="AJ48" s="114" t="s">
        <v>2574</v>
      </c>
      <c r="AK48" s="473">
        <v>6.0</v>
      </c>
      <c r="AL48" s="114" t="s">
        <v>2574</v>
      </c>
      <c r="AM48" s="473">
        <v>11.0</v>
      </c>
      <c r="AN48" s="114" t="s">
        <v>2574</v>
      </c>
      <c r="AO48" s="473">
        <v>16.0</v>
      </c>
      <c r="AP48" s="130">
        <f>SUM(
VLOOKUP("Ravage",vote4TRAITS!A:C,3,FALSE)
)</f>
        <v>7.333333333</v>
      </c>
      <c r="AQ48" s="130">
        <f t="shared" si="3"/>
        <v>20.07</v>
      </c>
    </row>
    <row r="49" ht="14.25" customHeight="1">
      <c r="A49" s="137" t="s">
        <v>1457</v>
      </c>
      <c r="B49" s="114" t="s">
        <v>2576</v>
      </c>
      <c r="C49" s="114">
        <v>33.0</v>
      </c>
      <c r="D49" s="114">
        <v>2.0</v>
      </c>
      <c r="E49" s="114">
        <v>4.0</v>
      </c>
      <c r="F49" s="487">
        <v>3.0</v>
      </c>
      <c r="G49" s="488">
        <v>7.0</v>
      </c>
      <c r="H49" s="114" t="s">
        <v>1663</v>
      </c>
      <c r="I49" s="130">
        <f>IFERROR(__xludf.DUMMYFUNCTION("SWITCH(
LEN(H49) - LEN(SUBSTITUTE(H49,"","","""")),
0 , VLOOKUP(H49, Variables!$A:$B, 2, FALSE),
1 , VLOOKUP(index(split(H49 ,"", "", FALSE),1,1), Variables!$A:$B , 2, FALSE) + VLOOKUP(index(split(H49 ,"", "", FALSE),1,2), Variables!$A:$B , 2, FALSE),
2 ,"&amp;" VLOOKUP(index(split(H49 ,"", "", FALSE),1,1), Variables!$A:$B , 2, FALSE) + VLOOKUP(index(split(H49 ,"", "", FALSE),1,2), Variables!$A:$B , 2, FALSE) + VLOOKUP(index(split(H49 ,"", "", FALSE),1,3), Variables!$A:$B , 2, FALSE)
)"),1.3333333333333333)</f>
        <v>1.333333333</v>
      </c>
      <c r="J49" s="114" t="s">
        <v>1567</v>
      </c>
      <c r="K49" s="322" t="s">
        <v>1537</v>
      </c>
      <c r="L49" s="130">
        <f>IFERROR(__xludf.DUMMYFUNCTION("SWITCH(
LEN(K49) - LEN(SUBSTITUTE(K49,"","","""")),
0 , VLOOKUP(K49, Variables!$A:$B, 2, FALSE),
1 , VLOOKUP(index(split(K49 ,"", "", FALSE),1,1), Variables!$A:$B , 2, FALSE) + VLOOKUP(index(split(K49 ,"", "", FALSE),1,2), Variables!$A:$B , 2, FALSE),
2 ,"&amp;" VLOOKUP(index(split(K49 ,"", "", FALSE),1,1), Variables!$A:$B , 2, FALSE) + VLOOKUP(index(split(K49 ,"", "", FALSE),1,2), Variables!$A:$B , 2, FALSE) + VLOOKUP(index(split(K49 ,"", "", FALSE),1,3), Variables!$A:$B , 2, FALSE)
)
+
IF(J49=""Ranged"", 1 , 0"&amp;")"),5.5)</f>
        <v>5.5</v>
      </c>
      <c r="M49" s="114" t="s">
        <v>1060</v>
      </c>
      <c r="N49" s="130">
        <f>IFERROR(__xludf.DUMMYFUNCTION("IF(ISBLANK(M49), , 
SWITCH(
LEN(M49)- LEN(SUBSTITUTE(M49,"","","""")), 
0 , VLOOKUP(M49, vote4TRAITS!A:C , 3, FALSE),
1 , VLOOKUP(index(split(M49 ,"", "", FALSE),1,1), vote4TRAITS!A:C , 3, FALSE) + VLOOKUP(index(split(M49 ,"", "", FALSE),1,2), vote4TRAITS"&amp;"!A:C , 3, FALSE),
2 , VLOOKUP(index(split(M49 ,"", "", FALSE),1,1), vote4TRAITS!A:C , 3, FALSE) + VLOOKUP(index(split(M49 ,"", "", FALSE),1,2), vote4TRAITS!A:C , 3, FALSE) + VLOOKUP(index(split(M49 ,"", "", FALSE),1,3), vote4TRAITS!A:C , 3, FALSE)
)
)"),7.0)</f>
        <v>7</v>
      </c>
      <c r="O49" s="490"/>
      <c r="P49" s="165" t="str">
        <f>IFERROR(__xludf.DUMMYFUNCTION("IF(ISBLANK(O49), , 
SWITCH(
LEN(O49)- LEN(SUBSTITUTE(O49,"","","""")), 
0 , VLOOKUP(O49, vote4ACTIONS!A:C , 3, FALSE),
1 , VLOOKUP(index(split(O49 ,"", "", FALSE),1,1), vote4ACTIONS!A:C , 3, FALSE) + VLOOKUP(index(split(O49 ,"", "", FALSE),1,2), vote4ACTI"&amp;"ONS!A:C , 3, FALSE),
2 , VLOOKUP(index(split(O49 ,"", "", FALSE),1,1), vote4ACTIONS!A:C , 3, FALSE) + VLOOKUP(index(split(O49 ,"", "", FALSE),1,2), vote4ACTIONS!A:C , 3, FALSE) + VLOOKUP(index(split(O49 ,"", "", FALSE),1,3), vote4ACTIONS!A:C , 3, FALSE),
"&amp;"3 , VLOOKUP(index(split(O49 ,"", "", FALSE),1,1), vote4ACTIONS!A:C , 3, FALSE) + VLOOKUP(index(split(O49 ,"", "", FALSE),1,2), vote4ACTIONS!A:C , 3, FALSE) + VLOOKUP(index(split(O49 ,"", "", FALSE),1,3), vote4ACTIONS!A:C , 3, FALSE) + VLOOKUP(index(split("&amp;"O49 ,"", "", FALSE),1,4), vote4ACTIONS!A:C , 3, FALSE)
)
)"),"")</f>
        <v/>
      </c>
      <c r="Q49" s="340" t="s">
        <v>1562</v>
      </c>
      <c r="R49" s="342">
        <f>IF(ISBLANK(Q49),,IFERROR(
IF(IFERROR(SEARCH("SS:",Q49),0) &gt; 0, 
VLOOKUP(SUBSTITUTE(Q49,"SS: ",""),vote4SURGE!$A:$C , 3, FALSE) - 2,
VLOOKUP(SUBSTITUTE(Q49,"S: ",""),vote4SURGE!$A:$C , 3, FALSE)
)
,
IF(IFERROR(SEARCH("SS:",Q49),0) &gt; 0, 
VLOOKUP(A49,vote4SURGE!$A:$C , 3, FALSE) - 2,
VLOOKUP(A49,vote4SURGE!$A:$C , 3, FALSE)
)
))</f>
        <v>3.5</v>
      </c>
      <c r="S49" s="341"/>
      <c r="T49" s="342" t="str">
        <f>IF(ISBLANK(S49),,IFERROR(
IF(IFERROR(SEARCH("SS:",S49),0) &gt; 0, 
VLOOKUP(SUBSTITUTE(S49,"SS: ",""),vote4SURGE!$A:$C , 3, FALSE) - 2,
VLOOKUP(SUBSTITUTE(S49,"S: ",""),vote4SURGE!$A:$C , 3, FALSE)
)
,
IF(IFERROR(SEARCH("SS:",S49),0) &gt; 0, 
VLOOKUP(A49,vote4SURGE!$A:$C , 3, FALSE) - 2,
VLOOKUP(A49,vote4SURGE!$A:$C , 3, FALSE)
)
))</f>
        <v/>
      </c>
      <c r="U49" s="341"/>
      <c r="V49" s="343" t="str">
        <f>IF(ISBLANK(U49),,IFERROR(
IF(IFERROR(SEARCH("SS:",U49),0) &gt; 0, 
VLOOKUP(SUBSTITUTE(U49,"SS: ",""),vote4SURGE!$A:$C , 3, FALSE) - 2,
VLOOKUP(SUBSTITUTE(U49,"S: ",""),vote4SURGE!$A:$C , 3, FALSE)
)
,
IF(IFERROR(SEARCH("SS:",U49),0) &gt; 0, 
VLOOKUP(A49,vote4SURGE!$A:$C , 3, FALSE) - 2,
VLOOKUP(A49,vote4SURGE!$A:$C , 3, FALSE)
)
))</f>
        <v/>
      </c>
      <c r="W49" s="343">
        <f t="shared" si="1"/>
        <v>1</v>
      </c>
      <c r="X49" s="344">
        <f>IFERROR(__xludf.DUMMYFUNCTION("SWITCH(
LEN(K49) - LEN(SUBSTITUTE(K49,"","","""")),
0 , VLOOKUP(K49, Variables!$A:$C, 3, FALSE),
1 , VLOOKUP(index(split(K49 ,"", "", FALSE),1,1), Variables!$A:$C, 3, FALSE) + VLOOKUP(index(split(K49 ,"", "", FALSE),1,2), Variables!$A:$C, 3, FALSE),
2 , V"&amp;"LOOKUP(index(split(K49 ,"", "", FALSE),1,1), Variables!$A:$C, 3, FALSE) + VLOOKUP(index(split(K49 ,"", "", FALSE),1,2), Variables!$A:$C, 3, FALSE) + VLOOKUP(index(split(K49 ,"", "", FALSE),1,3), Variables!$A:$C, 3, FALSE)
)"),1.0)</f>
        <v>1</v>
      </c>
      <c r="Y49" s="342">
        <f t="shared" si="2"/>
        <v>3.5</v>
      </c>
      <c r="Z49" s="114"/>
      <c r="AA49" s="114"/>
      <c r="AB49" s="114"/>
      <c r="AC49" s="114"/>
      <c r="AD49" s="114" t="s">
        <v>2572</v>
      </c>
      <c r="AE49" s="114" t="s">
        <v>2572</v>
      </c>
      <c r="AF49" s="114"/>
      <c r="AG49" s="114"/>
      <c r="AH49" s="114"/>
      <c r="AI49" s="114"/>
      <c r="AJ49" s="114" t="s">
        <v>2573</v>
      </c>
      <c r="AK49" s="473">
        <v>10.0</v>
      </c>
      <c r="AL49" s="114" t="s">
        <v>2574</v>
      </c>
      <c r="AM49" s="473">
        <v>17.0</v>
      </c>
      <c r="AN49" s="114" t="s">
        <v>369</v>
      </c>
      <c r="AO49" s="473">
        <v>24.0</v>
      </c>
      <c r="AP49" s="130">
        <f>SUM(
VLOOKUP("Ravage",vote4TRAITS!A:C,3,FALSE)
)</f>
        <v>7.333333333</v>
      </c>
      <c r="AQ49" s="130">
        <f t="shared" si="3"/>
        <v>19.32</v>
      </c>
    </row>
    <row r="50" ht="14.25" customHeight="1">
      <c r="A50" s="137" t="s">
        <v>1457</v>
      </c>
      <c r="B50" s="114" t="s">
        <v>2576</v>
      </c>
      <c r="C50" s="114">
        <v>33.0</v>
      </c>
      <c r="D50" s="114">
        <v>1.0</v>
      </c>
      <c r="E50" s="114">
        <v>4.0</v>
      </c>
      <c r="F50" s="487">
        <v>3.0</v>
      </c>
      <c r="G50" s="488">
        <v>5.0</v>
      </c>
      <c r="H50" s="114" t="s">
        <v>1663</v>
      </c>
      <c r="I50" s="130">
        <f>IFERROR(__xludf.DUMMYFUNCTION("SWITCH(
LEN(H50) - LEN(SUBSTITUTE(H50,"","","""")),
0 , VLOOKUP(H50, Variables!$A:$B, 2, FALSE),
1 , VLOOKUP(index(split(H50 ,"", "", FALSE),1,1), Variables!$A:$B , 2, FALSE) + VLOOKUP(index(split(H50 ,"", "", FALSE),1,2), Variables!$A:$B , 2, FALSE),
2 ,"&amp;" VLOOKUP(index(split(H50 ,"", "", FALSE),1,1), Variables!$A:$B , 2, FALSE) + VLOOKUP(index(split(H50 ,"", "", FALSE),1,2), Variables!$A:$B , 2, FALSE) + VLOOKUP(index(split(H50 ,"", "", FALSE),1,3), Variables!$A:$B , 2, FALSE)
)"),1.3333333333333333)</f>
        <v>1.333333333</v>
      </c>
      <c r="J50" s="114" t="s">
        <v>1567</v>
      </c>
      <c r="K50" s="114" t="s">
        <v>1525</v>
      </c>
      <c r="L50" s="130">
        <f>IFERROR(__xludf.DUMMYFUNCTION("SWITCH(
LEN(K50) - LEN(SUBSTITUTE(K50,"","","""")),
0 , VLOOKUP(K50, Variables!$A:$B, 2, FALSE),
1 , VLOOKUP(index(split(K50 ,"", "", FALSE),1,1), Variables!$A:$B , 2, FALSE) + VLOOKUP(index(split(K50 ,"", "", FALSE),1,2), Variables!$A:$B , 2, FALSE),
2 ,"&amp;" VLOOKUP(index(split(K50 ,"", "", FALSE),1,1), Variables!$A:$B , 2, FALSE) + VLOOKUP(index(split(K50 ,"", "", FALSE),1,2), Variables!$A:$B , 2, FALSE) + VLOOKUP(index(split(K50 ,"", "", FALSE),1,3), Variables!$A:$B , 2, FALSE)
)
+
IF(J50=""Ranged"", 1 , 0"&amp;")"),4.333333333333333)</f>
        <v>4.333333333</v>
      </c>
      <c r="M50" s="114" t="s">
        <v>1060</v>
      </c>
      <c r="N50" s="130">
        <f>IFERROR(__xludf.DUMMYFUNCTION("IF(ISBLANK(M50), , 
SWITCH(
LEN(M50)- LEN(SUBSTITUTE(M50,"","","""")), 
0 , VLOOKUP(M50, vote4TRAITS!A:C , 3, FALSE),
1 , VLOOKUP(index(split(M50 ,"", "", FALSE),1,1), vote4TRAITS!A:C , 3, FALSE) + VLOOKUP(index(split(M50 ,"", "", FALSE),1,2), vote4TRAITS"&amp;"!A:C , 3, FALSE),
2 , VLOOKUP(index(split(M50 ,"", "", FALSE),1,1), vote4TRAITS!A:C , 3, FALSE) + VLOOKUP(index(split(M50 ,"", "", FALSE),1,2), vote4TRAITS!A:C , 3, FALSE) + VLOOKUP(index(split(M50 ,"", "", FALSE),1,3), vote4TRAITS!A:C , 3, FALSE)
)
)"),7.0)</f>
        <v>7</v>
      </c>
      <c r="O50" s="490"/>
      <c r="P50" s="165" t="str">
        <f>IFERROR(__xludf.DUMMYFUNCTION("IF(ISBLANK(O50), , 
SWITCH(
LEN(O50)- LEN(SUBSTITUTE(O50,"","","""")), 
0 , VLOOKUP(O50, vote4ACTIONS!A:C , 3, FALSE),
1 , VLOOKUP(index(split(O50 ,"", "", FALSE),1,1), vote4ACTIONS!A:C , 3, FALSE) + VLOOKUP(index(split(O50 ,"", "", FALSE),1,2), vote4ACTI"&amp;"ONS!A:C , 3, FALSE),
2 , VLOOKUP(index(split(O50 ,"", "", FALSE),1,1), vote4ACTIONS!A:C , 3, FALSE) + VLOOKUP(index(split(O50 ,"", "", FALSE),1,2), vote4ACTIONS!A:C , 3, FALSE) + VLOOKUP(index(split(O50 ,"", "", FALSE),1,3), vote4ACTIONS!A:C , 3, FALSE),
"&amp;"3 , VLOOKUP(index(split(O50 ,"", "", FALSE),1,1), vote4ACTIONS!A:C , 3, FALSE) + VLOOKUP(index(split(O50 ,"", "", FALSE),1,2), vote4ACTIONS!A:C , 3, FALSE) + VLOOKUP(index(split(O50 ,"", "", FALSE),1,3), vote4ACTIONS!A:C , 3, FALSE) + VLOOKUP(index(split("&amp;"O50 ,"", "", FALSE),1,4), vote4ACTIONS!A:C , 3, FALSE)
)
)"),"")</f>
        <v/>
      </c>
      <c r="Q50" s="340" t="s">
        <v>1562</v>
      </c>
      <c r="R50" s="342">
        <f>IF(ISBLANK(Q50),,IFERROR(
IF(IFERROR(SEARCH("SS:",Q50),0) &gt; 0, 
VLOOKUP(SUBSTITUTE(Q50,"SS: ",""),vote4SURGE!$A:$C , 3, FALSE) - 2,
VLOOKUP(SUBSTITUTE(Q50,"S: ",""),vote4SURGE!$A:$C , 3, FALSE)
)
,
IF(IFERROR(SEARCH("SS:",Q50),0) &gt; 0, 
VLOOKUP(A50,vote4SURGE!$A:$C , 3, FALSE) - 2,
VLOOKUP(A50,vote4SURGE!$A:$C , 3, FALSE)
)
))</f>
        <v>3.5</v>
      </c>
      <c r="S50" s="341"/>
      <c r="T50" s="342" t="str">
        <f>IF(ISBLANK(S50),,IFERROR(
IF(IFERROR(SEARCH("SS:",S50),0) &gt; 0, 
VLOOKUP(SUBSTITUTE(S50,"SS: ",""),vote4SURGE!$A:$C , 3, FALSE) - 2,
VLOOKUP(SUBSTITUTE(S50,"S: ",""),vote4SURGE!$A:$C , 3, FALSE)
)
,
IF(IFERROR(SEARCH("SS:",S50),0) &gt; 0, 
VLOOKUP(A50,vote4SURGE!$A:$C , 3, FALSE) - 2,
VLOOKUP(A50,vote4SURGE!$A:$C , 3, FALSE)
)
))</f>
        <v/>
      </c>
      <c r="U50" s="341"/>
      <c r="V50" s="343" t="str">
        <f>IF(ISBLANK(U50),,IFERROR(
IF(IFERROR(SEARCH("SS:",U50),0) &gt; 0, 
VLOOKUP(SUBSTITUTE(U50,"SS: ",""),vote4SURGE!$A:$C , 3, FALSE) - 2,
VLOOKUP(SUBSTITUTE(U50,"S: ",""),vote4SURGE!$A:$C , 3, FALSE)
)
,
IF(IFERROR(SEARCH("SS:",U50),0) &gt; 0, 
VLOOKUP(A50,vote4SURGE!$A:$C , 3, FALSE) - 2,
VLOOKUP(A50,vote4SURGE!$A:$C , 3, FALSE)
)
))</f>
        <v/>
      </c>
      <c r="W50" s="343">
        <f t="shared" si="1"/>
        <v>1</v>
      </c>
      <c r="X50" s="344">
        <f>IFERROR(__xludf.DUMMYFUNCTION("SWITCH(
LEN(K50) - LEN(SUBSTITUTE(K50,"","","""")),
0 , VLOOKUP(K50, Variables!$A:$C, 3, FALSE),
1 , VLOOKUP(index(split(K50 ,"", "", FALSE),1,1), Variables!$A:$C, 3, FALSE) + VLOOKUP(index(split(K50 ,"", "", FALSE),1,2), Variables!$A:$C, 3, FALSE),
2 , V"&amp;"LOOKUP(index(split(K50 ,"", "", FALSE),1,1), Variables!$A:$C, 3, FALSE) + VLOOKUP(index(split(K50 ,"", "", FALSE),1,2), Variables!$A:$C, 3, FALSE) + VLOOKUP(index(split(K50 ,"", "", FALSE),1,3), Variables!$A:$C, 3, FALSE)
)"),0.5)</f>
        <v>0.5</v>
      </c>
      <c r="Y50" s="342">
        <f t="shared" si="2"/>
        <v>1.75</v>
      </c>
      <c r="Z50" s="114"/>
      <c r="AA50" s="114"/>
      <c r="AB50" s="114"/>
      <c r="AC50" s="114"/>
      <c r="AD50" s="114" t="s">
        <v>2572</v>
      </c>
      <c r="AE50" s="114" t="s">
        <v>2572</v>
      </c>
      <c r="AF50" s="114"/>
      <c r="AG50" s="114"/>
      <c r="AH50" s="114"/>
      <c r="AI50" s="114"/>
      <c r="AJ50" s="114" t="s">
        <v>2573</v>
      </c>
      <c r="AK50" s="473">
        <v>6.0</v>
      </c>
      <c r="AL50" s="114" t="s">
        <v>2574</v>
      </c>
      <c r="AM50" s="473">
        <v>11.0</v>
      </c>
      <c r="AN50" s="114" t="s">
        <v>369</v>
      </c>
      <c r="AO50" s="473">
        <v>16.0</v>
      </c>
      <c r="AP50" s="130">
        <f>SUM(
VLOOKUP("Ravage",vote4TRAITS!A:C,3,FALSE)
)</f>
        <v>7.333333333</v>
      </c>
      <c r="AQ50" s="130">
        <f t="shared" si="3"/>
        <v>13.73666667</v>
      </c>
    </row>
    <row r="51" ht="14.25" customHeight="1">
      <c r="A51" s="137" t="s">
        <v>2598</v>
      </c>
      <c r="B51" s="114" t="s">
        <v>2570</v>
      </c>
      <c r="C51" s="114">
        <v>51.0</v>
      </c>
      <c r="D51" s="114">
        <v>2.0</v>
      </c>
      <c r="E51" s="114">
        <v>1.0</v>
      </c>
      <c r="F51" s="114">
        <v>5.0</v>
      </c>
      <c r="G51" s="322">
        <v>9.0</v>
      </c>
      <c r="H51" s="114" t="s">
        <v>2599</v>
      </c>
      <c r="I51" s="130">
        <f>IFERROR(__xludf.DUMMYFUNCTION("SWITCH(
LEN(H51) - LEN(SUBSTITUTE(H51,"","","""")),
0 , VLOOKUP(H51, Variables!$A:$B, 2, FALSE),
1 , VLOOKUP(index(split(H51 ,"", "", FALSE),1,1), Variables!$A:$B , 2, FALSE) + VLOOKUP(index(split(H51 ,"", "", FALSE),1,2), Variables!$A:$B , 2, FALSE),
2 ,"&amp;" VLOOKUP(index(split(H51 ,"", "", FALSE),1,1), Variables!$A:$B , 2, FALSE) + VLOOKUP(index(split(H51 ,"", "", FALSE),1,2), Variables!$A:$B , 2, FALSE) + VLOOKUP(index(split(H51 ,"", "", FALSE),1,3), Variables!$A:$B , 2, FALSE)
)"),3.5)</f>
        <v>3.5</v>
      </c>
      <c r="J51" s="114" t="s">
        <v>1567</v>
      </c>
      <c r="K51" s="114" t="s">
        <v>1548</v>
      </c>
      <c r="L51" s="130">
        <f>IFERROR(__xludf.DUMMYFUNCTION("SWITCH(
LEN(K51) - LEN(SUBSTITUTE(K51,"","","""")),
0 , VLOOKUP(K51, Variables!$A:$B, 2, FALSE),
1 , VLOOKUP(index(split(K51 ,"", "", FALSE),1,1), Variables!$A:$B , 2, FALSE) + VLOOKUP(index(split(K51 ,"", "", FALSE),1,2), Variables!$A:$B , 2, FALSE),
2 ,"&amp;" VLOOKUP(index(split(K51 ,"", "", FALSE),1,1), Variables!$A:$B , 2, FALSE) + VLOOKUP(index(split(K51 ,"", "", FALSE),1,2), Variables!$A:$B , 2, FALSE) + VLOOKUP(index(split(K51 ,"", "", FALSE),1,3), Variables!$A:$B , 2, FALSE)
)
+
IF(J51=""Ranged"", 1 , 0"&amp;")"),3.3333333333333335)</f>
        <v>3.333333333</v>
      </c>
      <c r="M51" s="114" t="s">
        <v>1051</v>
      </c>
      <c r="N51" s="130">
        <f>IFERROR(__xludf.DUMMYFUNCTION("IF(ISBLANK(M51), , 
SWITCH(
LEN(M51)- LEN(SUBSTITUTE(M51,"","","""")), 
0 , VLOOKUP(M51, vote4TRAITS!A:C , 3, FALSE),
1 , VLOOKUP(index(split(M51 ,"", "", FALSE),1,1), vote4TRAITS!A:C , 3, FALSE) + VLOOKUP(index(split(M51 ,"", "", FALSE),1,2), vote4TRAITS"&amp;"!A:C , 3, FALSE),
2 , VLOOKUP(index(split(M51 ,"", "", FALSE),1,1), vote4TRAITS!A:C , 3, FALSE) + VLOOKUP(index(split(M51 ,"", "", FALSE),1,2), vote4TRAITS!A:C , 3, FALSE) + VLOOKUP(index(split(M51 ,"", "", FALSE),1,3), vote4TRAITS!A:C , 3, FALSE)
)
)"),5.333333333333333)</f>
        <v>5.333333333</v>
      </c>
      <c r="O51" s="114" t="s">
        <v>1318</v>
      </c>
      <c r="P51" s="165">
        <f>IFERROR(__xludf.DUMMYFUNCTION("IF(ISBLANK(O51), , 
SWITCH(
LEN(O51)- LEN(SUBSTITUTE(O51,"","","""")), 
0 , VLOOKUP(O51, vote4ACTIONS!A:C , 3, FALSE),
1 , VLOOKUP(index(split(O51 ,"", "", FALSE),1,1), vote4ACTIONS!A:C , 3, FALSE) + VLOOKUP(index(split(O51 ,"", "", FALSE),1,2), vote4ACTI"&amp;"ONS!A:C , 3, FALSE),
2 , VLOOKUP(index(split(O51 ,"", "", FALSE),1,1), vote4ACTIONS!A:C , 3, FALSE) + VLOOKUP(index(split(O51 ,"", "", FALSE),1,2), vote4ACTIONS!A:C , 3, FALSE) + VLOOKUP(index(split(O51 ,"", "", FALSE),1,3), vote4ACTIONS!A:C , 3, FALSE),
"&amp;"3 , VLOOKUP(index(split(O51 ,"", "", FALSE),1,1), vote4ACTIONS!A:C , 3, FALSE) + VLOOKUP(index(split(O51 ,"", "", FALSE),1,2), vote4ACTIONS!A:C , 3, FALSE) + VLOOKUP(index(split(O51 ,"", "", FALSE),1,3), vote4ACTIONS!A:C , 3, FALSE) + VLOOKUP(index(split("&amp;"O51 ,"", "", FALSE),1,4), vote4ACTIONS!A:C , 3, FALSE)
)
)"),3.75)</f>
        <v>3.75</v>
      </c>
      <c r="Q51" s="340" t="s">
        <v>1534</v>
      </c>
      <c r="R51" s="342">
        <f>IF(ISBLANK(Q51),,IFERROR(
IF(IFERROR(SEARCH("SS:",Q51),0) &gt; 0, 
VLOOKUP(SUBSTITUTE(Q51,"SS: ",""),vote4SURGE!$A:$C , 3, FALSE) - 2,
VLOOKUP(SUBSTITUTE(Q51,"S: ",""),vote4SURGE!$A:$C , 3, FALSE)
)
,
IF(IFERROR(SEARCH("SS:",Q51),0) &gt; 0, 
VLOOKUP(A51,vote4SURGE!$A:$C , 3, FALSE) - 2,
VLOOKUP(A51,vote4SURGE!$A:$C , 3, FALSE)
)
))</f>
        <v>4.25</v>
      </c>
      <c r="S51" s="340"/>
      <c r="T51" s="342" t="str">
        <f>IF(ISBLANK(S51),,IFERROR(
IF(IFERROR(SEARCH("SS:",S51),0) &gt; 0, 
VLOOKUP(SUBSTITUTE(S51,"SS: ",""),vote4SURGE!$A:$C , 3, FALSE) - 2,
VLOOKUP(SUBSTITUTE(S51,"S: ",""),vote4SURGE!$A:$C , 3, FALSE)
)
,
IF(IFERROR(SEARCH("SS:",S51),0) &gt; 0, 
VLOOKUP(A51,vote4SURGE!$A:$C , 3, FALSE) - 2,
VLOOKUP(A51,vote4SURGE!$A:$C , 3, FALSE)
)
))</f>
        <v/>
      </c>
      <c r="U51" s="341"/>
      <c r="V51" s="343" t="str">
        <f>IF(ISBLANK(U51),,IFERROR(
IF(IFERROR(SEARCH("SS:",U51),0) &gt; 0, 
VLOOKUP(SUBSTITUTE(U51,"SS: ",""),vote4SURGE!$A:$C , 3, FALSE) - 2,
VLOOKUP(SUBSTITUTE(U51,"S: ",""),vote4SURGE!$A:$C , 3, FALSE)
)
,
IF(IFERROR(SEARCH("SS:",U51),0) &gt; 0, 
VLOOKUP(A51,vote4SURGE!$A:$C , 3, FALSE) - 2,
VLOOKUP(A51,vote4SURGE!$A:$C , 3, FALSE)
)
))</f>
        <v/>
      </c>
      <c r="W51" s="343">
        <f t="shared" si="1"/>
        <v>1</v>
      </c>
      <c r="X51" s="344">
        <f>IFERROR(__xludf.DUMMYFUNCTION("SWITCH(
LEN(K51) - LEN(SUBSTITUTE(K51,"","","""")),
0 , VLOOKUP(K51, Variables!$A:$C, 3, FALSE),
1 , VLOOKUP(index(split(K51 ,"", "", FALSE),1,1), Variables!$A:$C, 3, FALSE) + VLOOKUP(index(split(K51 ,"", "", FALSE),1,2), Variables!$A:$C, 3, FALSE),
2 , V"&amp;"LOOKUP(index(split(K51 ,"", "", FALSE),1,1), Variables!$A:$C, 3, FALSE) + VLOOKUP(index(split(K51 ,"", "", FALSE),1,2), Variables!$A:$C, 3, FALSE) + VLOOKUP(index(split(K51 ,"", "", FALSE),1,3), Variables!$A:$C, 3, FALSE)
)"),0.8333333333333333)</f>
        <v>0.8333333333</v>
      </c>
      <c r="Y51" s="342">
        <f t="shared" si="2"/>
        <v>3.541666667</v>
      </c>
      <c r="Z51" s="114"/>
      <c r="AA51" s="114"/>
      <c r="AB51" s="114" t="s">
        <v>2572</v>
      </c>
      <c r="AC51" s="114"/>
      <c r="AD51" s="114"/>
      <c r="AE51" s="114" t="s">
        <v>2572</v>
      </c>
      <c r="AF51" s="114"/>
      <c r="AG51" s="114"/>
      <c r="AH51" s="114"/>
      <c r="AI51" s="114"/>
      <c r="AJ51" s="114" t="s">
        <v>2574</v>
      </c>
      <c r="AK51" s="473">
        <v>9.0</v>
      </c>
      <c r="AL51" s="164" t="s">
        <v>2574</v>
      </c>
      <c r="AM51" s="473">
        <v>16.0</v>
      </c>
      <c r="AN51" s="164" t="s">
        <v>2574</v>
      </c>
      <c r="AO51" s="473">
        <v>23.0</v>
      </c>
      <c r="AP51" s="130">
        <f>SUM(
VLOOKUP("Ravage",vote4TRAITS!A:C,3,FALSE)
)</f>
        <v>7.333333333</v>
      </c>
      <c r="AQ51" s="130">
        <f t="shared" si="3"/>
        <v>41.775</v>
      </c>
    </row>
    <row r="52" ht="14.25" customHeight="1">
      <c r="A52" s="137" t="s">
        <v>2598</v>
      </c>
      <c r="B52" s="114" t="s">
        <v>2570</v>
      </c>
      <c r="C52" s="114">
        <v>51.0</v>
      </c>
      <c r="D52" s="114">
        <v>1.0</v>
      </c>
      <c r="E52" s="114">
        <v>1.0</v>
      </c>
      <c r="F52" s="487">
        <v>4.0</v>
      </c>
      <c r="G52" s="488">
        <v>7.0</v>
      </c>
      <c r="H52" s="114" t="s">
        <v>1671</v>
      </c>
      <c r="I52" s="130">
        <f>IFERROR(__xludf.DUMMYFUNCTION("SWITCH(
LEN(H52) - LEN(SUBSTITUTE(H52,"","","""")),
0 , VLOOKUP(H52, Variables!$A:$B, 2, FALSE),
1 , VLOOKUP(index(split(H52 ,"", "", FALSE),1,1), Variables!$A:$B , 2, FALSE) + VLOOKUP(index(split(H52 ,"", "", FALSE),1,2), Variables!$A:$B , 2, FALSE),
2 ,"&amp;" VLOOKUP(index(split(H52 ,"", "", FALSE),1,1), Variables!$A:$B , 2, FALSE) + VLOOKUP(index(split(H52 ,"", "", FALSE),1,2), Variables!$A:$B , 2, FALSE) + VLOOKUP(index(split(H52 ,"", "", FALSE),1,3), Variables!$A:$B , 2, FALSE)
)"),2.1666666666666665)</f>
        <v>2.166666667</v>
      </c>
      <c r="J52" s="114" t="s">
        <v>1567</v>
      </c>
      <c r="K52" s="114" t="s">
        <v>1548</v>
      </c>
      <c r="L52" s="130">
        <f>IFERROR(__xludf.DUMMYFUNCTION("SWITCH(
LEN(K52) - LEN(SUBSTITUTE(K52,"","","""")),
0 , VLOOKUP(K52, Variables!$A:$B, 2, FALSE),
1 , VLOOKUP(index(split(K52 ,"", "", FALSE),1,1), Variables!$A:$B , 2, FALSE) + VLOOKUP(index(split(K52 ,"", "", FALSE),1,2), Variables!$A:$B , 2, FALSE),
2 ,"&amp;" VLOOKUP(index(split(K52 ,"", "", FALSE),1,1), Variables!$A:$B , 2, FALSE) + VLOOKUP(index(split(K52 ,"", "", FALSE),1,2), Variables!$A:$B , 2, FALSE) + VLOOKUP(index(split(K52 ,"", "", FALSE),1,3), Variables!$A:$B , 2, FALSE)
)
+
IF(J52=""Ranged"", 1 , 0"&amp;")"),3.3333333333333335)</f>
        <v>3.333333333</v>
      </c>
      <c r="M52" s="114" t="s">
        <v>1049</v>
      </c>
      <c r="N52" s="130">
        <f>IFERROR(__xludf.DUMMYFUNCTION("IF(ISBLANK(M52), , 
SWITCH(
LEN(M52)- LEN(SUBSTITUTE(M52,"","","""")), 
0 , VLOOKUP(M52, vote4TRAITS!A:C , 3, FALSE),
1 , VLOOKUP(index(split(M52 ,"", "", FALSE),1,1), vote4TRAITS!A:C , 3, FALSE) + VLOOKUP(index(split(M52 ,"", "", FALSE),1,2), vote4TRAITS"&amp;"!A:C , 3, FALSE),
2 , VLOOKUP(index(split(M52 ,"", "", FALSE),1,1), vote4TRAITS!A:C , 3, FALSE) + VLOOKUP(index(split(M52 ,"", "", FALSE),1,2), vote4TRAITS!A:C , 3, FALSE) + VLOOKUP(index(split(M52 ,"", "", FALSE),1,3), vote4TRAITS!A:C , 3, FALSE)
)
)"),5.333333333333333)</f>
        <v>5.333333333</v>
      </c>
      <c r="O52" s="114" t="s">
        <v>1318</v>
      </c>
      <c r="P52" s="165">
        <f>IFERROR(__xludf.DUMMYFUNCTION("IF(ISBLANK(O52), , 
SWITCH(
LEN(O52)- LEN(SUBSTITUTE(O52,"","","""")), 
0 , VLOOKUP(O52, vote4ACTIONS!A:C , 3, FALSE),
1 , VLOOKUP(index(split(O52 ,"", "", FALSE),1,1), vote4ACTIONS!A:C , 3, FALSE) + VLOOKUP(index(split(O52 ,"", "", FALSE),1,2), vote4ACTI"&amp;"ONS!A:C , 3, FALSE),
2 , VLOOKUP(index(split(O52 ,"", "", FALSE),1,1), vote4ACTIONS!A:C , 3, FALSE) + VLOOKUP(index(split(O52 ,"", "", FALSE),1,2), vote4ACTIONS!A:C , 3, FALSE) + VLOOKUP(index(split(O52 ,"", "", FALSE),1,3), vote4ACTIONS!A:C , 3, FALSE),
"&amp;"3 , VLOOKUP(index(split(O52 ,"", "", FALSE),1,1), vote4ACTIONS!A:C , 3, FALSE) + VLOOKUP(index(split(O52 ,"", "", FALSE),1,2), vote4ACTIONS!A:C , 3, FALSE) + VLOOKUP(index(split(O52 ,"", "", FALSE),1,3), vote4ACTIONS!A:C , 3, FALSE) + VLOOKUP(index(split("&amp;"O52 ,"", "", FALSE),1,4), vote4ACTIONS!A:C , 3, FALSE)
)
)"),3.75)</f>
        <v>3.75</v>
      </c>
      <c r="Q52" s="340" t="s">
        <v>1562</v>
      </c>
      <c r="R52" s="342">
        <f>IF(ISBLANK(Q52),,IFERROR(
IF(IFERROR(SEARCH("SS:",Q52),0) &gt; 0, 
VLOOKUP(SUBSTITUTE(Q52,"SS: ",""),vote4SURGE!$A:$C , 3, FALSE) - 2,
VLOOKUP(SUBSTITUTE(Q52,"S: ",""),vote4SURGE!$A:$C , 3, FALSE)
)
,
IF(IFERROR(SEARCH("SS:",Q52),0) &gt; 0, 
VLOOKUP(A52,vote4SURGE!$A:$C , 3, FALSE) - 2,
VLOOKUP(A52,vote4SURGE!$A:$C , 3, FALSE)
)
))</f>
        <v>3.5</v>
      </c>
      <c r="S52" s="341"/>
      <c r="T52" s="342" t="str">
        <f>IF(ISBLANK(S52),,IFERROR(
IF(IFERROR(SEARCH("SS:",S52),0) &gt; 0, 
VLOOKUP(SUBSTITUTE(S52,"SS: ",""),vote4SURGE!$A:$C , 3, FALSE) - 2,
VLOOKUP(SUBSTITUTE(S52,"S: ",""),vote4SURGE!$A:$C , 3, FALSE)
)
,
IF(IFERROR(SEARCH("SS:",S52),0) &gt; 0, 
VLOOKUP(A52,vote4SURGE!$A:$C , 3, FALSE) - 2,
VLOOKUP(A52,vote4SURGE!$A:$C , 3, FALSE)
)
))</f>
        <v/>
      </c>
      <c r="U52" s="341"/>
      <c r="V52" s="343" t="str">
        <f>IF(ISBLANK(U52),,IFERROR(
IF(IFERROR(SEARCH("SS:",U52),0) &gt; 0, 
VLOOKUP(SUBSTITUTE(U52,"SS: ",""),vote4SURGE!$A:$C , 3, FALSE) - 2,
VLOOKUP(SUBSTITUTE(U52,"S: ",""),vote4SURGE!$A:$C , 3, FALSE)
)
,
IF(IFERROR(SEARCH("SS:",U52),0) &gt; 0, 
VLOOKUP(A52,vote4SURGE!$A:$C , 3, FALSE) - 2,
VLOOKUP(A52,vote4SURGE!$A:$C , 3, FALSE)
)
))</f>
        <v/>
      </c>
      <c r="W52" s="343">
        <f t="shared" si="1"/>
        <v>1</v>
      </c>
      <c r="X52" s="344">
        <f>IFERROR(__xludf.DUMMYFUNCTION("SWITCH(
LEN(K52) - LEN(SUBSTITUTE(K52,"","","""")),
0 , VLOOKUP(K52, Variables!$A:$C, 3, FALSE),
1 , VLOOKUP(index(split(K52 ,"", "", FALSE),1,1), Variables!$A:$C, 3, FALSE) + VLOOKUP(index(split(K52 ,"", "", FALSE),1,2), Variables!$A:$C, 3, FALSE),
2 , V"&amp;"LOOKUP(index(split(K52 ,"", "", FALSE),1,1), Variables!$A:$C, 3, FALSE) + VLOOKUP(index(split(K52 ,"", "", FALSE),1,2), Variables!$A:$C, 3, FALSE) + VLOOKUP(index(split(K52 ,"", "", FALSE),1,3), Variables!$A:$C, 3, FALSE)
)"),0.8333333333333333)</f>
        <v>0.8333333333</v>
      </c>
      <c r="Y52" s="342">
        <f t="shared" si="2"/>
        <v>2.916666667</v>
      </c>
      <c r="Z52" s="114"/>
      <c r="AA52" s="114"/>
      <c r="AB52" s="114" t="s">
        <v>2572</v>
      </c>
      <c r="AC52" s="114"/>
      <c r="AD52" s="114"/>
      <c r="AE52" s="114" t="s">
        <v>2572</v>
      </c>
      <c r="AF52" s="114"/>
      <c r="AG52" s="114"/>
      <c r="AH52" s="114"/>
      <c r="AI52" s="114"/>
      <c r="AJ52" s="114" t="s">
        <v>2574</v>
      </c>
      <c r="AK52" s="473">
        <v>7.0</v>
      </c>
      <c r="AL52" s="164" t="s">
        <v>2574</v>
      </c>
      <c r="AM52" s="473">
        <v>12.0</v>
      </c>
      <c r="AN52" s="164" t="s">
        <v>2574</v>
      </c>
      <c r="AO52" s="473">
        <v>17.0</v>
      </c>
      <c r="AP52" s="130">
        <f>SUM(
VLOOKUP("Ravage",vote4TRAITS!A:C,3,FALSE)
)</f>
        <v>7.333333333</v>
      </c>
      <c r="AQ52" s="130">
        <f t="shared" si="3"/>
        <v>24.48666667</v>
      </c>
    </row>
    <row r="53" ht="14.25" customHeight="1">
      <c r="A53" s="137" t="s">
        <v>2598</v>
      </c>
      <c r="B53" s="114" t="s">
        <v>2576</v>
      </c>
      <c r="C53" s="114">
        <v>51.0</v>
      </c>
      <c r="D53" s="114">
        <v>2.0</v>
      </c>
      <c r="E53" s="114">
        <v>1.0</v>
      </c>
      <c r="F53" s="487">
        <v>5.0</v>
      </c>
      <c r="G53" s="488">
        <v>7.0</v>
      </c>
      <c r="H53" s="114" t="s">
        <v>1671</v>
      </c>
      <c r="I53" s="130">
        <f>IFERROR(__xludf.DUMMYFUNCTION("SWITCH(
LEN(H53) - LEN(SUBSTITUTE(H53,"","","""")),
0 , VLOOKUP(H53, Variables!$A:$B, 2, FALSE),
1 , VLOOKUP(index(split(H53 ,"", "", FALSE),1,1), Variables!$A:$B , 2, FALSE) + VLOOKUP(index(split(H53 ,"", "", FALSE),1,2), Variables!$A:$B , 2, FALSE),
2 ,"&amp;" VLOOKUP(index(split(H53 ,"", "", FALSE),1,1), Variables!$A:$B , 2, FALSE) + VLOOKUP(index(split(H53 ,"", "", FALSE),1,2), Variables!$A:$B , 2, FALSE) + VLOOKUP(index(split(H53 ,"", "", FALSE),1,3), Variables!$A:$B , 2, FALSE)
)"),2.1666666666666665)</f>
        <v>2.166666667</v>
      </c>
      <c r="J53" s="114" t="s">
        <v>1567</v>
      </c>
      <c r="K53" s="114" t="s">
        <v>1548</v>
      </c>
      <c r="L53" s="130">
        <f>IFERROR(__xludf.DUMMYFUNCTION("SWITCH(
LEN(K53) - LEN(SUBSTITUTE(K53,"","","""")),
0 , VLOOKUP(K53, Variables!$A:$B, 2, FALSE),
1 , VLOOKUP(index(split(K53 ,"", "", FALSE),1,1), Variables!$A:$B , 2, FALSE) + VLOOKUP(index(split(K53 ,"", "", FALSE),1,2), Variables!$A:$B , 2, FALSE),
2 ,"&amp;" VLOOKUP(index(split(K53 ,"", "", FALSE),1,1), Variables!$A:$B , 2, FALSE) + VLOOKUP(index(split(K53 ,"", "", FALSE),1,2), Variables!$A:$B , 2, FALSE) + VLOOKUP(index(split(K53 ,"", "", FALSE),1,3), Variables!$A:$B , 2, FALSE)
)
+
IF(J53=""Ranged"", 1 , 0"&amp;")"),3.3333333333333335)</f>
        <v>3.333333333</v>
      </c>
      <c r="M53" s="114" t="s">
        <v>1049</v>
      </c>
      <c r="N53" s="130">
        <f>IFERROR(__xludf.DUMMYFUNCTION("IF(ISBLANK(M53), , 
SWITCH(
LEN(M53)- LEN(SUBSTITUTE(M53,"","","""")), 
0 , VLOOKUP(M53, vote4TRAITS!A:C , 3, FALSE),
1 , VLOOKUP(index(split(M53 ,"", "", FALSE),1,1), vote4TRAITS!A:C , 3, FALSE) + VLOOKUP(index(split(M53 ,"", "", FALSE),1,2), vote4TRAITS"&amp;"!A:C , 3, FALSE),
2 , VLOOKUP(index(split(M53 ,"", "", FALSE),1,1), vote4TRAITS!A:C , 3, FALSE) + VLOOKUP(index(split(M53 ,"", "", FALSE),1,2), vote4TRAITS!A:C , 3, FALSE) + VLOOKUP(index(split(M53 ,"", "", FALSE),1,3), vote4TRAITS!A:C , 3, FALSE)
)
)"),5.333333333333333)</f>
        <v>5.333333333</v>
      </c>
      <c r="O53" s="490"/>
      <c r="P53" s="165" t="str">
        <f>IFERROR(__xludf.DUMMYFUNCTION("IF(ISBLANK(O53), , 
SWITCH(
LEN(O53)- LEN(SUBSTITUTE(O53,"","","""")), 
0 , VLOOKUP(O53, vote4ACTIONS!A:C , 3, FALSE),
1 , VLOOKUP(index(split(O53 ,"", "", FALSE),1,1), vote4ACTIONS!A:C , 3, FALSE) + VLOOKUP(index(split(O53 ,"", "", FALSE),1,2), vote4ACTI"&amp;"ONS!A:C , 3, FALSE),
2 , VLOOKUP(index(split(O53 ,"", "", FALSE),1,1), vote4ACTIONS!A:C , 3, FALSE) + VLOOKUP(index(split(O53 ,"", "", FALSE),1,2), vote4ACTIONS!A:C , 3, FALSE) + VLOOKUP(index(split(O53 ,"", "", FALSE),1,3), vote4ACTIONS!A:C , 3, FALSE),
"&amp;"3 , VLOOKUP(index(split(O53 ,"", "", FALSE),1,1), vote4ACTIONS!A:C , 3, FALSE) + VLOOKUP(index(split(O53 ,"", "", FALSE),1,2), vote4ACTIONS!A:C , 3, FALSE) + VLOOKUP(index(split(O53 ,"", "", FALSE),1,3), vote4ACTIONS!A:C , 3, FALSE) + VLOOKUP(index(split("&amp;"O53 ,"", "", FALSE),1,4), vote4ACTIONS!A:C , 3, FALSE)
)
)"),"")</f>
        <v/>
      </c>
      <c r="Q53" s="340" t="s">
        <v>1534</v>
      </c>
      <c r="R53" s="342">
        <f>IF(ISBLANK(Q53),,IFERROR(
IF(IFERROR(SEARCH("SS:",Q53),0) &gt; 0, 
VLOOKUP(SUBSTITUTE(Q53,"SS: ",""),vote4SURGE!$A:$C , 3, FALSE) - 2,
VLOOKUP(SUBSTITUTE(Q53,"S: ",""),vote4SURGE!$A:$C , 3, FALSE)
)
,
IF(IFERROR(SEARCH("SS:",Q53),0) &gt; 0, 
VLOOKUP(A53,vote4SURGE!$A:$C , 3, FALSE) - 2,
VLOOKUP(A53,vote4SURGE!$A:$C , 3, FALSE)
)
))</f>
        <v>4.25</v>
      </c>
      <c r="S53" s="341"/>
      <c r="T53" s="342" t="str">
        <f>IF(ISBLANK(S53),,IFERROR(
IF(IFERROR(SEARCH("SS:",S53),0) &gt; 0, 
VLOOKUP(SUBSTITUTE(S53,"SS: ",""),vote4SURGE!$A:$C , 3, FALSE) - 2,
VLOOKUP(SUBSTITUTE(S53,"S: ",""),vote4SURGE!$A:$C , 3, FALSE)
)
,
IF(IFERROR(SEARCH("SS:",S53),0) &gt; 0, 
VLOOKUP(A53,vote4SURGE!$A:$C , 3, FALSE) - 2,
VLOOKUP(A53,vote4SURGE!$A:$C , 3, FALSE)
)
))</f>
        <v/>
      </c>
      <c r="U53" s="341"/>
      <c r="V53" s="343" t="str">
        <f>IF(ISBLANK(U53),,IFERROR(
IF(IFERROR(SEARCH("SS:",U53),0) &gt; 0, 
VLOOKUP(SUBSTITUTE(U53,"SS: ",""),vote4SURGE!$A:$C , 3, FALSE) - 2,
VLOOKUP(SUBSTITUTE(U53,"S: ",""),vote4SURGE!$A:$C , 3, FALSE)
)
,
IF(IFERROR(SEARCH("SS:",U53),0) &gt; 0, 
VLOOKUP(A53,vote4SURGE!$A:$C , 3, FALSE) - 2,
VLOOKUP(A53,vote4SURGE!$A:$C , 3, FALSE)
)
))</f>
        <v/>
      </c>
      <c r="W53" s="343">
        <f t="shared" si="1"/>
        <v>1</v>
      </c>
      <c r="X53" s="344">
        <f>IFERROR(__xludf.DUMMYFUNCTION("SWITCH(
LEN(K53) - LEN(SUBSTITUTE(K53,"","","""")),
0 , VLOOKUP(K53, Variables!$A:$C, 3, FALSE),
1 , VLOOKUP(index(split(K53 ,"", "", FALSE),1,1), Variables!$A:$C, 3, FALSE) + VLOOKUP(index(split(K53 ,"", "", FALSE),1,2), Variables!$A:$C, 3, FALSE),
2 , V"&amp;"LOOKUP(index(split(K53 ,"", "", FALSE),1,1), Variables!$A:$C, 3, FALSE) + VLOOKUP(index(split(K53 ,"", "", FALSE),1,2), Variables!$A:$C, 3, FALSE) + VLOOKUP(index(split(K53 ,"", "", FALSE),1,3), Variables!$A:$C, 3, FALSE)
)"),0.8333333333333333)</f>
        <v>0.8333333333</v>
      </c>
      <c r="Y53" s="342">
        <f t="shared" si="2"/>
        <v>3.541666667</v>
      </c>
      <c r="Z53" s="114"/>
      <c r="AA53" s="114"/>
      <c r="AB53" s="114" t="s">
        <v>2572</v>
      </c>
      <c r="AC53" s="114"/>
      <c r="AD53" s="114"/>
      <c r="AE53" s="114" t="s">
        <v>2572</v>
      </c>
      <c r="AF53" s="114"/>
      <c r="AG53" s="114"/>
      <c r="AH53" s="114"/>
      <c r="AI53" s="114"/>
      <c r="AJ53" s="114" t="s">
        <v>2573</v>
      </c>
      <c r="AK53" s="473">
        <v>9.0</v>
      </c>
      <c r="AL53" s="164" t="s">
        <v>2574</v>
      </c>
      <c r="AM53" s="473">
        <v>16.0</v>
      </c>
      <c r="AN53" s="164" t="s">
        <v>369</v>
      </c>
      <c r="AO53" s="473">
        <v>23.0</v>
      </c>
      <c r="AP53" s="130">
        <f>SUM(
VLOOKUP("Ravage",vote4TRAITS!A:C,3,FALSE)
)</f>
        <v>7.333333333</v>
      </c>
      <c r="AQ53" s="130">
        <f t="shared" si="3"/>
        <v>21.69166667</v>
      </c>
    </row>
    <row r="54" ht="14.25" customHeight="1">
      <c r="A54" s="137" t="s">
        <v>2598</v>
      </c>
      <c r="B54" s="114" t="s">
        <v>2576</v>
      </c>
      <c r="C54" s="114">
        <v>51.0</v>
      </c>
      <c r="D54" s="114">
        <v>1.0</v>
      </c>
      <c r="E54" s="114">
        <v>1.0</v>
      </c>
      <c r="F54" s="487">
        <v>4.0</v>
      </c>
      <c r="G54" s="488">
        <v>5.0</v>
      </c>
      <c r="H54" s="114" t="s">
        <v>1663</v>
      </c>
      <c r="I54" s="130">
        <f>IFERROR(__xludf.DUMMYFUNCTION("SWITCH(
LEN(H54) - LEN(SUBSTITUTE(H54,"","","""")),
0 , VLOOKUP(H54, Variables!$A:$B, 2, FALSE),
1 , VLOOKUP(index(split(H54 ,"", "", FALSE),1,1), Variables!$A:$B , 2, FALSE) + VLOOKUP(index(split(H54 ,"", "", FALSE),1,2), Variables!$A:$B , 2, FALSE),
2 ,"&amp;" VLOOKUP(index(split(H54 ,"", "", FALSE),1,1), Variables!$A:$B , 2, FALSE) + VLOOKUP(index(split(H54 ,"", "", FALSE),1,2), Variables!$A:$B , 2, FALSE) + VLOOKUP(index(split(H54 ,"", "", FALSE),1,3), Variables!$A:$B , 2, FALSE)
)"),1.3333333333333333)</f>
        <v>1.333333333</v>
      </c>
      <c r="J54" s="114" t="s">
        <v>1567</v>
      </c>
      <c r="K54" s="114" t="s">
        <v>1548</v>
      </c>
      <c r="L54" s="130">
        <f>IFERROR(__xludf.DUMMYFUNCTION("SWITCH(
LEN(K54) - LEN(SUBSTITUTE(K54,"","","""")),
0 , VLOOKUP(K54, Variables!$A:$B, 2, FALSE),
1 , VLOOKUP(index(split(K54 ,"", "", FALSE),1,1), Variables!$A:$B , 2, FALSE) + VLOOKUP(index(split(K54 ,"", "", FALSE),1,2), Variables!$A:$B , 2, FALSE),
2 ,"&amp;" VLOOKUP(index(split(K54 ,"", "", FALSE),1,1), Variables!$A:$B , 2, FALSE) + VLOOKUP(index(split(K54 ,"", "", FALSE),1,2), Variables!$A:$B , 2, FALSE) + VLOOKUP(index(split(K54 ,"", "", FALSE),1,3), Variables!$A:$B , 2, FALSE)
)
+
IF(J54=""Ranged"", 1 , 0"&amp;")"),3.3333333333333335)</f>
        <v>3.333333333</v>
      </c>
      <c r="M54" s="114" t="s">
        <v>1049</v>
      </c>
      <c r="N54" s="130">
        <f>IFERROR(__xludf.DUMMYFUNCTION("IF(ISBLANK(M54), , 
SWITCH(
LEN(M54)- LEN(SUBSTITUTE(M54,"","","""")), 
0 , VLOOKUP(M54, vote4TRAITS!A:C , 3, FALSE),
1 , VLOOKUP(index(split(M54 ,"", "", FALSE),1,1), vote4TRAITS!A:C , 3, FALSE) + VLOOKUP(index(split(M54 ,"", "", FALSE),1,2), vote4TRAITS"&amp;"!A:C , 3, FALSE),
2 , VLOOKUP(index(split(M54 ,"", "", FALSE),1,1), vote4TRAITS!A:C , 3, FALSE) + VLOOKUP(index(split(M54 ,"", "", FALSE),1,2), vote4TRAITS!A:C , 3, FALSE) + VLOOKUP(index(split(M54 ,"", "", FALSE),1,3), vote4TRAITS!A:C , 3, FALSE)
)
)"),5.333333333333333)</f>
        <v>5.333333333</v>
      </c>
      <c r="O54" s="490"/>
      <c r="P54" s="165" t="str">
        <f>IFERROR(__xludf.DUMMYFUNCTION("IF(ISBLANK(O54), , 
SWITCH(
LEN(O54)- LEN(SUBSTITUTE(O54,"","","""")), 
0 , VLOOKUP(O54, vote4ACTIONS!A:C , 3, FALSE),
1 , VLOOKUP(index(split(O54 ,"", "", FALSE),1,1), vote4ACTIONS!A:C , 3, FALSE) + VLOOKUP(index(split(O54 ,"", "", FALSE),1,2), vote4ACTI"&amp;"ONS!A:C , 3, FALSE),
2 , VLOOKUP(index(split(O54 ,"", "", FALSE),1,1), vote4ACTIONS!A:C , 3, FALSE) + VLOOKUP(index(split(O54 ,"", "", FALSE),1,2), vote4ACTIONS!A:C , 3, FALSE) + VLOOKUP(index(split(O54 ,"", "", FALSE),1,3), vote4ACTIONS!A:C , 3, FALSE),
"&amp;"3 , VLOOKUP(index(split(O54 ,"", "", FALSE),1,1), vote4ACTIONS!A:C , 3, FALSE) + VLOOKUP(index(split(O54 ,"", "", FALSE),1,2), vote4ACTIONS!A:C , 3, FALSE) + VLOOKUP(index(split(O54 ,"", "", FALSE),1,3), vote4ACTIONS!A:C , 3, FALSE) + VLOOKUP(index(split("&amp;"O54 ,"", "", FALSE),1,4), vote4ACTIONS!A:C , 3, FALSE)
)
)"),"")</f>
        <v/>
      </c>
      <c r="Q54" s="340" t="s">
        <v>1562</v>
      </c>
      <c r="R54" s="342">
        <f>IF(ISBLANK(Q54),,IFERROR(
IF(IFERROR(SEARCH("SS:",Q54),0) &gt; 0, 
VLOOKUP(SUBSTITUTE(Q54,"SS: ",""),vote4SURGE!$A:$C , 3, FALSE) - 2,
VLOOKUP(SUBSTITUTE(Q54,"S: ",""),vote4SURGE!$A:$C , 3, FALSE)
)
,
IF(IFERROR(SEARCH("SS:",Q54),0) &gt; 0, 
VLOOKUP(A54,vote4SURGE!$A:$C , 3, FALSE) - 2,
VLOOKUP(A54,vote4SURGE!$A:$C , 3, FALSE)
)
))</f>
        <v>3.5</v>
      </c>
      <c r="S54" s="341"/>
      <c r="T54" s="342" t="str">
        <f>IF(ISBLANK(S54),,IFERROR(
IF(IFERROR(SEARCH("SS:",S54),0) &gt; 0, 
VLOOKUP(SUBSTITUTE(S54,"SS: ",""),vote4SURGE!$A:$C , 3, FALSE) - 2,
VLOOKUP(SUBSTITUTE(S54,"S: ",""),vote4SURGE!$A:$C , 3, FALSE)
)
,
IF(IFERROR(SEARCH("SS:",S54),0) &gt; 0, 
VLOOKUP(A54,vote4SURGE!$A:$C , 3, FALSE) - 2,
VLOOKUP(A54,vote4SURGE!$A:$C , 3, FALSE)
)
))</f>
        <v/>
      </c>
      <c r="U54" s="341"/>
      <c r="V54" s="343" t="str">
        <f>IF(ISBLANK(U54),,IFERROR(
IF(IFERROR(SEARCH("SS:",U54),0) &gt; 0, 
VLOOKUP(SUBSTITUTE(U54,"SS: ",""),vote4SURGE!$A:$C , 3, FALSE) - 2,
VLOOKUP(SUBSTITUTE(U54,"S: ",""),vote4SURGE!$A:$C , 3, FALSE)
)
,
IF(IFERROR(SEARCH("SS:",U54),0) &gt; 0, 
VLOOKUP(A54,vote4SURGE!$A:$C , 3, FALSE) - 2,
VLOOKUP(A54,vote4SURGE!$A:$C , 3, FALSE)
)
))</f>
        <v/>
      </c>
      <c r="W54" s="343">
        <f t="shared" si="1"/>
        <v>1</v>
      </c>
      <c r="X54" s="344">
        <f>IFERROR(__xludf.DUMMYFUNCTION("SWITCH(
LEN(K54) - LEN(SUBSTITUTE(K54,"","","""")),
0 , VLOOKUP(K54, Variables!$A:$C, 3, FALSE),
1 , VLOOKUP(index(split(K54 ,"", "", FALSE),1,1), Variables!$A:$C, 3, FALSE) + VLOOKUP(index(split(K54 ,"", "", FALSE),1,2), Variables!$A:$C, 3, FALSE),
2 , V"&amp;"LOOKUP(index(split(K54 ,"", "", FALSE),1,1), Variables!$A:$C, 3, FALSE) + VLOOKUP(index(split(K54 ,"", "", FALSE),1,2), Variables!$A:$C, 3, FALSE) + VLOOKUP(index(split(K54 ,"", "", FALSE),1,3), Variables!$A:$C, 3, FALSE)
)"),0.8333333333333333)</f>
        <v>0.8333333333</v>
      </c>
      <c r="Y54" s="342">
        <f t="shared" si="2"/>
        <v>2.916666667</v>
      </c>
      <c r="Z54" s="114"/>
      <c r="AA54" s="114"/>
      <c r="AB54" s="114" t="s">
        <v>2572</v>
      </c>
      <c r="AC54" s="114"/>
      <c r="AD54" s="114"/>
      <c r="AE54" s="114" t="s">
        <v>2572</v>
      </c>
      <c r="AF54" s="114"/>
      <c r="AG54" s="114"/>
      <c r="AH54" s="114"/>
      <c r="AI54" s="114"/>
      <c r="AJ54" s="114" t="s">
        <v>2573</v>
      </c>
      <c r="AK54" s="473">
        <v>7.0</v>
      </c>
      <c r="AL54" s="164" t="s">
        <v>2574</v>
      </c>
      <c r="AM54" s="473">
        <v>12.0</v>
      </c>
      <c r="AN54" s="164" t="s">
        <v>369</v>
      </c>
      <c r="AO54" s="473">
        <v>17.0</v>
      </c>
      <c r="AP54" s="130">
        <f>SUM(
VLOOKUP("Ravage",vote4TRAITS!A:C,3,FALSE)
)</f>
        <v>7.333333333</v>
      </c>
      <c r="AQ54" s="130">
        <f t="shared" si="3"/>
        <v>12.23666667</v>
      </c>
    </row>
    <row r="55" ht="14.25" customHeight="1">
      <c r="A55" s="137" t="s">
        <v>1434</v>
      </c>
      <c r="B55" s="114" t="s">
        <v>2570</v>
      </c>
      <c r="C55" s="114">
        <v>39.0</v>
      </c>
      <c r="D55" s="114">
        <v>2.0</v>
      </c>
      <c r="E55" s="114">
        <v>6.0</v>
      </c>
      <c r="F55" s="487">
        <v>3.0</v>
      </c>
      <c r="G55" s="488">
        <v>10.0</v>
      </c>
      <c r="H55" s="114" t="s">
        <v>2599</v>
      </c>
      <c r="I55" s="130">
        <f>IFERROR(__xludf.DUMMYFUNCTION("SWITCH(
LEN(H55) - LEN(SUBSTITUTE(H55,"","","""")),
0 , VLOOKUP(H55, Variables!$A:$B, 2, FALSE),
1 , VLOOKUP(index(split(H55 ,"", "", FALSE),1,1), Variables!$A:$B , 2, FALSE) + VLOOKUP(index(split(H55 ,"", "", FALSE),1,2), Variables!$A:$B , 2, FALSE),
2 ,"&amp;" VLOOKUP(index(split(H55 ,"", "", FALSE),1,1), Variables!$A:$B , 2, FALSE) + VLOOKUP(index(split(H55 ,"", "", FALSE),1,2), Variables!$A:$B , 2, FALSE) + VLOOKUP(index(split(H55 ,"", "", FALSE),1,3), Variables!$A:$B , 2, FALSE)
)"),3.5)</f>
        <v>3.5</v>
      </c>
      <c r="J55" s="114" t="s">
        <v>1567</v>
      </c>
      <c r="K55" s="114" t="s">
        <v>1537</v>
      </c>
      <c r="L55" s="130">
        <f>IFERROR(__xludf.DUMMYFUNCTION("SWITCH(
LEN(K55) - LEN(SUBSTITUTE(K55,"","","""")),
0 , VLOOKUP(K55, Variables!$A:$B, 2, FALSE),
1 , VLOOKUP(index(split(K55 ,"", "", FALSE),1,1), Variables!$A:$B , 2, FALSE) + VLOOKUP(index(split(K55 ,"", "", FALSE),1,2), Variables!$A:$B , 2, FALSE),
2 ,"&amp;" VLOOKUP(index(split(K55 ,"", "", FALSE),1,1), Variables!$A:$B , 2, FALSE) + VLOOKUP(index(split(K55 ,"", "", FALSE),1,2), Variables!$A:$B , 2, FALSE) + VLOOKUP(index(split(K55 ,"", "", FALSE),1,3), Variables!$A:$B , 2, FALSE)
)
+
IF(J55=""Ranged"", 1 , 0"&amp;")"),5.5)</f>
        <v>5.5</v>
      </c>
      <c r="M55" s="114" t="s">
        <v>1045</v>
      </c>
      <c r="N55" s="130">
        <f>IFERROR(__xludf.DUMMYFUNCTION("IF(ISBLANK(M55), , 
SWITCH(
LEN(M55)- LEN(SUBSTITUTE(M55,"","","""")), 
0 , VLOOKUP(M55, vote4TRAITS!A:C , 3, FALSE),
1 , VLOOKUP(index(split(M55 ,"", "", FALSE),1,1), vote4TRAITS!A:C , 3, FALSE) + VLOOKUP(index(split(M55 ,"", "", FALSE),1,2), vote4TRAITS"&amp;"!A:C , 3, FALSE),
2 , VLOOKUP(index(split(M55 ,"", "", FALSE),1,1), vote4TRAITS!A:C , 3, FALSE) + VLOOKUP(index(split(M55 ,"", "", FALSE),1,2), vote4TRAITS!A:C , 3, FALSE) + VLOOKUP(index(split(M55 ,"", "", FALSE),1,3), vote4TRAITS!A:C , 3, FALSE)
)
)"),5.0)</f>
        <v>5</v>
      </c>
      <c r="O55" s="114" t="s">
        <v>1302</v>
      </c>
      <c r="P55" s="165">
        <f>IFERROR(__xludf.DUMMYFUNCTION("IF(ISBLANK(O55), , 
SWITCH(
LEN(O55)- LEN(SUBSTITUTE(O55,"","","""")), 
0 , VLOOKUP(O55, vote4ACTIONS!A:C , 3, FALSE),
1 , VLOOKUP(index(split(O55 ,"", "", FALSE),1,1), vote4ACTIONS!A:C , 3, FALSE) + VLOOKUP(index(split(O55 ,"", "", FALSE),1,2), vote4ACTI"&amp;"ONS!A:C , 3, FALSE),
2 , VLOOKUP(index(split(O55 ,"", "", FALSE),1,1), vote4ACTIONS!A:C , 3, FALSE) + VLOOKUP(index(split(O55 ,"", "", FALSE),1,2), vote4ACTIONS!A:C , 3, FALSE) + VLOOKUP(index(split(O55 ,"", "", FALSE),1,3), vote4ACTIONS!A:C , 3, FALSE),
"&amp;"3 , VLOOKUP(index(split(O55 ,"", "", FALSE),1,1), vote4ACTIONS!A:C , 3, FALSE) + VLOOKUP(index(split(O55 ,"", "", FALSE),1,2), vote4ACTIONS!A:C , 3, FALSE) + VLOOKUP(index(split(O55 ,"", "", FALSE),1,3), vote4ACTIONS!A:C , 3, FALSE) + VLOOKUP(index(split("&amp;"O55 ,"", "", FALSE),1,4), vote4ACTIONS!A:C , 3, FALSE)
)
)"),1.5)</f>
        <v>1.5</v>
      </c>
      <c r="Q55" s="340" t="s">
        <v>1534</v>
      </c>
      <c r="R55" s="342">
        <f>IF(ISBLANK(Q55),,IFERROR(
IF(IFERROR(SEARCH("SS:",Q55),0) &gt; 0, 
VLOOKUP(SUBSTITUTE(Q55,"SS: ",""),vote4SURGE!$A:$C , 3, FALSE) - 2,
VLOOKUP(SUBSTITUTE(Q55,"S: ",""),vote4SURGE!$A:$C , 3, FALSE)
)
,
IF(IFERROR(SEARCH("SS:",Q55),0) &gt; 0, 
VLOOKUP(A55,vote4SURGE!$A:$C , 3, FALSE) - 2,
VLOOKUP(A55,vote4SURGE!$A:$C , 3, FALSE)
)
))</f>
        <v>4.25</v>
      </c>
      <c r="S55" s="489" t="s">
        <v>1595</v>
      </c>
      <c r="T55" s="342">
        <f>IF(ISBLANK(S55),,IFERROR(
IF(IFERROR(SEARCH("SS:",S55),0) &gt; 0, 
VLOOKUP(SUBSTITUTE(S55,"SS: ",""),vote4SURGE!$A:$C , 3, FALSE) - 2,
VLOOKUP(SUBSTITUTE(S55,"S: ",""),vote4SURGE!$A:$C , 3, FALSE)
)
,
IF(IFERROR(SEARCH("SS:",S55),0) &gt; 0, 
VLOOKUP(A55,vote4SURGE!$A:$C , 3, FALSE) - 2,
VLOOKUP(A55,vote4SURGE!$A:$C , 3, FALSE)
)
))</f>
        <v>6.5</v>
      </c>
      <c r="U55" s="341"/>
      <c r="V55" s="343" t="str">
        <f>IF(ISBLANK(U55),,IFERROR(
IF(IFERROR(SEARCH("SS:",U55),0) &gt; 0, 
VLOOKUP(SUBSTITUTE(U55,"SS: ",""),vote4SURGE!$A:$C , 3, FALSE) - 2,
VLOOKUP(SUBSTITUTE(U55,"S: ",""),vote4SURGE!$A:$C , 3, FALSE)
)
,
IF(IFERROR(SEARCH("SS:",U55),0) &gt; 0, 
VLOOKUP(A55,vote4SURGE!$A:$C , 3, FALSE) - 2,
VLOOKUP(A55,vote4SURGE!$A:$C , 3, FALSE)
)
))</f>
        <v/>
      </c>
      <c r="W55" s="343">
        <f t="shared" si="1"/>
        <v>2</v>
      </c>
      <c r="X55" s="344">
        <f>IFERROR(__xludf.DUMMYFUNCTION("SWITCH(
LEN(K55) - LEN(SUBSTITUTE(K55,"","","""")),
0 , VLOOKUP(K55, Variables!$A:$C, 3, FALSE),
1 , VLOOKUP(index(split(K55 ,"", "", FALSE),1,1), Variables!$A:$C, 3, FALSE) + VLOOKUP(index(split(K55 ,"", "", FALSE),1,2), Variables!$A:$C, 3, FALSE),
2 , V"&amp;"LOOKUP(index(split(K55 ,"", "", FALSE),1,1), Variables!$A:$C, 3, FALSE) + VLOOKUP(index(split(K55 ,"", "", FALSE),1,2), Variables!$A:$C, 3, FALSE) + VLOOKUP(index(split(K55 ,"", "", FALSE),1,3), Variables!$A:$C, 3, FALSE)
)"),1.0)</f>
        <v>1</v>
      </c>
      <c r="Y55" s="342">
        <f t="shared" si="2"/>
        <v>8.625</v>
      </c>
      <c r="Z55" s="114"/>
      <c r="AA55" s="114"/>
      <c r="AB55" s="114"/>
      <c r="AC55" s="114"/>
      <c r="AD55" s="114" t="s">
        <v>2572</v>
      </c>
      <c r="AE55" s="114" t="s">
        <v>2572</v>
      </c>
      <c r="AF55" s="114"/>
      <c r="AG55" s="114"/>
      <c r="AH55" s="114"/>
      <c r="AI55" s="114"/>
      <c r="AJ55" s="114" t="s">
        <v>2573</v>
      </c>
      <c r="AK55" s="473">
        <v>7.0</v>
      </c>
      <c r="AL55" s="114" t="s">
        <v>2574</v>
      </c>
      <c r="AM55" s="473">
        <v>10.0</v>
      </c>
      <c r="AN55" s="114" t="s">
        <v>2574</v>
      </c>
      <c r="AO55" s="473">
        <v>17.0</v>
      </c>
      <c r="AP55" s="130">
        <f>SUM(
VLOOKUP("Ravage",vote4TRAITS!A:C,3,FALSE)
)</f>
        <v>7.333333333</v>
      </c>
      <c r="AQ55" s="130">
        <f t="shared" si="3"/>
        <v>49.94166667</v>
      </c>
    </row>
    <row r="56" ht="14.25" customHeight="1">
      <c r="A56" s="137" t="s">
        <v>1434</v>
      </c>
      <c r="B56" s="114" t="s">
        <v>2576</v>
      </c>
      <c r="C56" s="114">
        <v>39.0</v>
      </c>
      <c r="D56" s="114">
        <v>2.0</v>
      </c>
      <c r="E56" s="114">
        <v>6.0</v>
      </c>
      <c r="F56" s="487">
        <v>3.0</v>
      </c>
      <c r="G56" s="488">
        <v>7.0</v>
      </c>
      <c r="H56" s="114" t="s">
        <v>2599</v>
      </c>
      <c r="I56" s="130">
        <f>IFERROR(__xludf.DUMMYFUNCTION("SWITCH(
LEN(H56) - LEN(SUBSTITUTE(H56,"","","""")),
0 , VLOOKUP(H56, Variables!$A:$B, 2, FALSE),
1 , VLOOKUP(index(split(H56 ,"", "", FALSE),1,1), Variables!$A:$B , 2, FALSE) + VLOOKUP(index(split(H56 ,"", "", FALSE),1,2), Variables!$A:$B , 2, FALSE),
2 ,"&amp;" VLOOKUP(index(split(H56 ,"", "", FALSE),1,1), Variables!$A:$B , 2, FALSE) + VLOOKUP(index(split(H56 ,"", "", FALSE),1,2), Variables!$A:$B , 2, FALSE) + VLOOKUP(index(split(H56 ,"", "", FALSE),1,3), Variables!$A:$B , 2, FALSE)
)"),3.5)</f>
        <v>3.5</v>
      </c>
      <c r="J56" s="114" t="s">
        <v>1567</v>
      </c>
      <c r="K56" s="114" t="s">
        <v>1537</v>
      </c>
      <c r="L56" s="130">
        <f>IFERROR(__xludf.DUMMYFUNCTION("SWITCH(
LEN(K56) - LEN(SUBSTITUTE(K56,"","","""")),
0 , VLOOKUP(K56, Variables!$A:$B, 2, FALSE),
1 , VLOOKUP(index(split(K56 ,"", "", FALSE),1,1), Variables!$A:$B , 2, FALSE) + VLOOKUP(index(split(K56 ,"", "", FALSE),1,2), Variables!$A:$B , 2, FALSE),
2 ,"&amp;" VLOOKUP(index(split(K56 ,"", "", FALSE),1,1), Variables!$A:$B , 2, FALSE) + VLOOKUP(index(split(K56 ,"", "", FALSE),1,2), Variables!$A:$B , 2, FALSE) + VLOOKUP(index(split(K56 ,"", "", FALSE),1,3), Variables!$A:$B , 2, FALSE)
)
+
IF(J56=""Ranged"", 1 , 0"&amp;")"),5.5)</f>
        <v>5.5</v>
      </c>
      <c r="M56" s="114" t="s">
        <v>1045</v>
      </c>
      <c r="N56" s="130">
        <f>IFERROR(__xludf.DUMMYFUNCTION("IF(ISBLANK(M56), , 
SWITCH(
LEN(M56)- LEN(SUBSTITUTE(M56,"","","""")), 
0 , VLOOKUP(M56, vote4TRAITS!A:C , 3, FALSE),
1 , VLOOKUP(index(split(M56 ,"", "", FALSE),1,1), vote4TRAITS!A:C , 3, FALSE) + VLOOKUP(index(split(M56 ,"", "", FALSE),1,2), vote4TRAITS"&amp;"!A:C , 3, FALSE),
2 , VLOOKUP(index(split(M56 ,"", "", FALSE),1,1), vote4TRAITS!A:C , 3, FALSE) + VLOOKUP(index(split(M56 ,"", "", FALSE),1,2), vote4TRAITS!A:C , 3, FALSE) + VLOOKUP(index(split(M56 ,"", "", FALSE),1,3), vote4TRAITS!A:C , 3, FALSE)
)
)"),5.0)</f>
        <v>5</v>
      </c>
      <c r="O56" s="490"/>
      <c r="P56" s="165" t="str">
        <f>IFERROR(__xludf.DUMMYFUNCTION("IF(ISBLANK(O56), , 
SWITCH(
LEN(O56)- LEN(SUBSTITUTE(O56,"","","""")), 
0 , VLOOKUP(O56, vote4ACTIONS!A:C , 3, FALSE),
1 , VLOOKUP(index(split(O56 ,"", "", FALSE),1,1), vote4ACTIONS!A:C , 3, FALSE) + VLOOKUP(index(split(O56 ,"", "", FALSE),1,2), vote4ACTI"&amp;"ONS!A:C , 3, FALSE),
2 , VLOOKUP(index(split(O56 ,"", "", FALSE),1,1), vote4ACTIONS!A:C , 3, FALSE) + VLOOKUP(index(split(O56 ,"", "", FALSE),1,2), vote4ACTIONS!A:C , 3, FALSE) + VLOOKUP(index(split(O56 ,"", "", FALSE),1,3), vote4ACTIONS!A:C , 3, FALSE),
"&amp;"3 , VLOOKUP(index(split(O56 ,"", "", FALSE),1,1), vote4ACTIONS!A:C , 3, FALSE) + VLOOKUP(index(split(O56 ,"", "", FALSE),1,2), vote4ACTIONS!A:C , 3, FALSE) + VLOOKUP(index(split(O56 ,"", "", FALSE),1,3), vote4ACTIONS!A:C , 3, FALSE) + VLOOKUP(index(split("&amp;"O56 ,"", "", FALSE),1,4), vote4ACTIONS!A:C , 3, FALSE)
)
)"),"")</f>
        <v/>
      </c>
      <c r="Q56" s="340" t="s">
        <v>1534</v>
      </c>
      <c r="R56" s="342">
        <f>IF(ISBLANK(Q56),,IFERROR(
IF(IFERROR(SEARCH("SS:",Q56),0) &gt; 0, 
VLOOKUP(SUBSTITUTE(Q56,"SS: ",""),vote4SURGE!$A:$C , 3, FALSE) - 2,
VLOOKUP(SUBSTITUTE(Q56,"S: ",""),vote4SURGE!$A:$C , 3, FALSE)
)
,
IF(IFERROR(SEARCH("SS:",Q56),0) &gt; 0, 
VLOOKUP(A56,vote4SURGE!$A:$C , 3, FALSE) - 2,
VLOOKUP(A56,vote4SURGE!$A:$C , 3, FALSE)
)
))</f>
        <v>4.25</v>
      </c>
      <c r="S56" s="489" t="s">
        <v>1595</v>
      </c>
      <c r="T56" s="342">
        <f>IF(ISBLANK(S56),,IFERROR(
IF(IFERROR(SEARCH("SS:",S56),0) &gt; 0, 
VLOOKUP(SUBSTITUTE(S56,"SS: ",""),vote4SURGE!$A:$C , 3, FALSE) - 2,
VLOOKUP(SUBSTITUTE(S56,"S: ",""),vote4SURGE!$A:$C , 3, FALSE)
)
,
IF(IFERROR(SEARCH("SS:",S56),0) &gt; 0, 
VLOOKUP(A56,vote4SURGE!$A:$C , 3, FALSE) - 2,
VLOOKUP(A56,vote4SURGE!$A:$C , 3, FALSE)
)
))</f>
        <v>6.5</v>
      </c>
      <c r="U56" s="341"/>
      <c r="V56" s="343" t="str">
        <f>IF(ISBLANK(U56),,IFERROR(
IF(IFERROR(SEARCH("SS:",U56),0) &gt; 0, 
VLOOKUP(SUBSTITUTE(U56,"SS: ",""),vote4SURGE!$A:$C , 3, FALSE) - 2,
VLOOKUP(SUBSTITUTE(U56,"S: ",""),vote4SURGE!$A:$C , 3, FALSE)
)
,
IF(IFERROR(SEARCH("SS:",U56),0) &gt; 0, 
VLOOKUP(A56,vote4SURGE!$A:$C , 3, FALSE) - 2,
VLOOKUP(A56,vote4SURGE!$A:$C , 3, FALSE)
)
))</f>
        <v/>
      </c>
      <c r="W56" s="343">
        <f t="shared" si="1"/>
        <v>2</v>
      </c>
      <c r="X56" s="344">
        <f>IFERROR(__xludf.DUMMYFUNCTION("SWITCH(
LEN(K56) - LEN(SUBSTITUTE(K56,"","","""")),
0 , VLOOKUP(K56, Variables!$A:$C, 3, FALSE),
1 , VLOOKUP(index(split(K56 ,"", "", FALSE),1,1), Variables!$A:$C, 3, FALSE) + VLOOKUP(index(split(K56 ,"", "", FALSE),1,2), Variables!$A:$C, 3, FALSE),
2 , V"&amp;"LOOKUP(index(split(K56 ,"", "", FALSE),1,1), Variables!$A:$C, 3, FALSE) + VLOOKUP(index(split(K56 ,"", "", FALSE),1,2), Variables!$A:$C, 3, FALSE) + VLOOKUP(index(split(K56 ,"", "", FALSE),1,3), Variables!$A:$C, 3, FALSE)
)"),1.0)</f>
        <v>1</v>
      </c>
      <c r="Y56" s="342">
        <f t="shared" si="2"/>
        <v>8.625</v>
      </c>
      <c r="Z56" s="114"/>
      <c r="AA56" s="114"/>
      <c r="AB56" s="114"/>
      <c r="AC56" s="114"/>
      <c r="AD56" s="114" t="s">
        <v>2572</v>
      </c>
      <c r="AE56" s="114" t="s">
        <v>2572</v>
      </c>
      <c r="AF56" s="114"/>
      <c r="AG56" s="114"/>
      <c r="AH56" s="114"/>
      <c r="AI56" s="114"/>
      <c r="AJ56" s="114" t="s">
        <v>2574</v>
      </c>
      <c r="AK56" s="473">
        <v>7.0</v>
      </c>
      <c r="AL56" s="114" t="s">
        <v>2573</v>
      </c>
      <c r="AM56" s="473">
        <v>10.0</v>
      </c>
      <c r="AN56" s="114" t="s">
        <v>2574</v>
      </c>
      <c r="AO56" s="473">
        <v>17.0</v>
      </c>
      <c r="AP56" s="130">
        <f>SUM(
VLOOKUP("Ravage",vote4TRAITS!A:C,3,FALSE)
)</f>
        <v>7.333333333</v>
      </c>
      <c r="AQ56" s="130">
        <f t="shared" si="3"/>
        <v>37.94166667</v>
      </c>
    </row>
    <row r="57" ht="14.25" customHeight="1">
      <c r="A57" s="137" t="s">
        <v>1434</v>
      </c>
      <c r="B57" s="114" t="s">
        <v>2570</v>
      </c>
      <c r="C57" s="114">
        <v>39.0</v>
      </c>
      <c r="D57" s="114">
        <v>1.0</v>
      </c>
      <c r="E57" s="114">
        <v>6.0</v>
      </c>
      <c r="F57" s="487">
        <v>3.0</v>
      </c>
      <c r="G57" s="488">
        <v>7.0</v>
      </c>
      <c r="H57" s="114" t="s">
        <v>2590</v>
      </c>
      <c r="I57" s="130">
        <f>IFERROR(__xludf.DUMMYFUNCTION("SWITCH(
LEN(H57) - LEN(SUBSTITUTE(H57,"","","""")),
0 , VLOOKUP(H57, Variables!$A:$B, 2, FALSE),
1 , VLOOKUP(index(split(H57 ,"", "", FALSE),1,1), Variables!$A:$B , 2, FALSE) + VLOOKUP(index(split(H57 ,"", "", FALSE),1,2), Variables!$A:$B , 2, FALSE),
2 ,"&amp;" VLOOKUP(index(split(H57 ,"", "", FALSE),1,1), Variables!$A:$B , 2, FALSE) + VLOOKUP(index(split(H57 ,"", "", FALSE),1,2), Variables!$A:$B , 2, FALSE) + VLOOKUP(index(split(H57 ,"", "", FALSE),1,3), Variables!$A:$B , 2, FALSE)
)"),2.6666666666666665)</f>
        <v>2.666666667</v>
      </c>
      <c r="J57" s="114" t="s">
        <v>1567</v>
      </c>
      <c r="K57" s="114" t="s">
        <v>1548</v>
      </c>
      <c r="L57" s="130">
        <f>IFERROR(__xludf.DUMMYFUNCTION("SWITCH(
LEN(K57) - LEN(SUBSTITUTE(K57,"","","""")),
0 , VLOOKUP(K57, Variables!$A:$B, 2, FALSE),
1 , VLOOKUP(index(split(K57 ,"", "", FALSE),1,1), Variables!$A:$B , 2, FALSE) + VLOOKUP(index(split(K57 ,"", "", FALSE),1,2), Variables!$A:$B , 2, FALSE),
2 ,"&amp;" VLOOKUP(index(split(K57 ,"", "", FALSE),1,1), Variables!$A:$B , 2, FALSE) + VLOOKUP(index(split(K57 ,"", "", FALSE),1,2), Variables!$A:$B , 2, FALSE) + VLOOKUP(index(split(K57 ,"", "", FALSE),1,3), Variables!$A:$B , 2, FALSE)
)
+
IF(J57=""Ranged"", 1 , 0"&amp;")"),3.3333333333333335)</f>
        <v>3.333333333</v>
      </c>
      <c r="M57" s="114"/>
      <c r="N57" s="130" t="str">
        <f>IFERROR(__xludf.DUMMYFUNCTION("IF(ISBLANK(M57), , 
SWITCH(
LEN(M57)- LEN(SUBSTITUTE(M57,"","","""")), 
0 , VLOOKUP(M57, vote4TRAITS!A:C , 3, FALSE),
1 , VLOOKUP(index(split(M57 ,"", "", FALSE),1,1), vote4TRAITS!A:C , 3, FALSE) + VLOOKUP(index(split(M57 ,"", "", FALSE),1,2), vote4TRAITS"&amp;"!A:C , 3, FALSE),
2 , VLOOKUP(index(split(M57 ,"", "", FALSE),1,1), vote4TRAITS!A:C , 3, FALSE) + VLOOKUP(index(split(M57 ,"", "", FALSE),1,2), vote4TRAITS!A:C , 3, FALSE) + VLOOKUP(index(split(M57 ,"", "", FALSE),1,3), vote4TRAITS!A:C , 3, FALSE)
)
)"),"")</f>
        <v/>
      </c>
      <c r="O57" s="114" t="s">
        <v>1302</v>
      </c>
      <c r="P57" s="165">
        <f>IFERROR(__xludf.DUMMYFUNCTION("IF(ISBLANK(O57), , 
SWITCH(
LEN(O57)- LEN(SUBSTITUTE(O57,"","","""")), 
0 , VLOOKUP(O57, vote4ACTIONS!A:C , 3, FALSE),
1 , VLOOKUP(index(split(O57 ,"", "", FALSE),1,1), vote4ACTIONS!A:C , 3, FALSE) + VLOOKUP(index(split(O57 ,"", "", FALSE),1,2), vote4ACTI"&amp;"ONS!A:C , 3, FALSE),
2 , VLOOKUP(index(split(O57 ,"", "", FALSE),1,1), vote4ACTIONS!A:C , 3, FALSE) + VLOOKUP(index(split(O57 ,"", "", FALSE),1,2), vote4ACTIONS!A:C , 3, FALSE) + VLOOKUP(index(split(O57 ,"", "", FALSE),1,3), vote4ACTIONS!A:C , 3, FALSE),
"&amp;"3 , VLOOKUP(index(split(O57 ,"", "", FALSE),1,1), vote4ACTIONS!A:C , 3, FALSE) + VLOOKUP(index(split(O57 ,"", "", FALSE),1,2), vote4ACTIONS!A:C , 3, FALSE) + VLOOKUP(index(split(O57 ,"", "", FALSE),1,3), vote4ACTIONS!A:C , 3, FALSE) + VLOOKUP(index(split("&amp;"O57 ,"", "", FALSE),1,4), vote4ACTIONS!A:C , 3, FALSE)
)
)"),1.5)</f>
        <v>1.5</v>
      </c>
      <c r="Q57" s="340" t="s">
        <v>1534</v>
      </c>
      <c r="R57" s="342">
        <f>IF(ISBLANK(Q57),,IFERROR(
IF(IFERROR(SEARCH("SS:",Q57),0) &gt; 0, 
VLOOKUP(SUBSTITUTE(Q57,"SS: ",""),vote4SURGE!$A:$C , 3, FALSE) - 2,
VLOOKUP(SUBSTITUTE(Q57,"S: ",""),vote4SURGE!$A:$C , 3, FALSE)
)
,
IF(IFERROR(SEARCH("SS:",Q57),0) &gt; 0, 
VLOOKUP(A57,vote4SURGE!$A:$C , 3, FALSE) - 2,
VLOOKUP(A57,vote4SURGE!$A:$C , 3, FALSE)
)
))</f>
        <v>4.25</v>
      </c>
      <c r="S57" s="489" t="s">
        <v>1595</v>
      </c>
      <c r="T57" s="342">
        <f>IF(ISBLANK(S57),,IFERROR(
IF(IFERROR(SEARCH("SS:",S57),0) &gt; 0, 
VLOOKUP(SUBSTITUTE(S57,"SS: ",""),vote4SURGE!$A:$C , 3, FALSE) - 2,
VLOOKUP(SUBSTITUTE(S57,"S: ",""),vote4SURGE!$A:$C , 3, FALSE)
)
,
IF(IFERROR(SEARCH("SS:",S57),0) &gt; 0, 
VLOOKUP(A57,vote4SURGE!$A:$C , 3, FALSE) - 2,
VLOOKUP(A57,vote4SURGE!$A:$C , 3, FALSE)
)
))</f>
        <v>6.5</v>
      </c>
      <c r="U57" s="341"/>
      <c r="V57" s="343" t="str">
        <f>IF(ISBLANK(U57),,IFERROR(
IF(IFERROR(SEARCH("SS:",U57),0) &gt; 0, 
VLOOKUP(SUBSTITUTE(U57,"SS: ",""),vote4SURGE!$A:$C , 3, FALSE) - 2,
VLOOKUP(SUBSTITUTE(U57,"S: ",""),vote4SURGE!$A:$C , 3, FALSE)
)
,
IF(IFERROR(SEARCH("SS:",U57),0) &gt; 0, 
VLOOKUP(A57,vote4SURGE!$A:$C , 3, FALSE) - 2,
VLOOKUP(A57,vote4SURGE!$A:$C , 3, FALSE)
)
))</f>
        <v/>
      </c>
      <c r="W57" s="343">
        <f t="shared" si="1"/>
        <v>2</v>
      </c>
      <c r="X57" s="344">
        <f>IFERROR(__xludf.DUMMYFUNCTION("SWITCH(
LEN(K57) - LEN(SUBSTITUTE(K57,"","","""")),
0 , VLOOKUP(K57, Variables!$A:$C, 3, FALSE),
1 , VLOOKUP(index(split(K57 ,"", "", FALSE),1,1), Variables!$A:$C, 3, FALSE) + VLOOKUP(index(split(K57 ,"", "", FALSE),1,2), Variables!$A:$C, 3, FALSE),
2 , V"&amp;"LOOKUP(index(split(K57 ,"", "", FALSE),1,1), Variables!$A:$C, 3, FALSE) + VLOOKUP(index(split(K57 ,"", "", FALSE),1,2), Variables!$A:$C, 3, FALSE) + VLOOKUP(index(split(K57 ,"", "", FALSE),1,3), Variables!$A:$C, 3, FALSE)
)"),0.8333333333333333)</f>
        <v>0.8333333333</v>
      </c>
      <c r="Y57" s="342">
        <f t="shared" si="2"/>
        <v>8.270833333</v>
      </c>
      <c r="Z57" s="114"/>
      <c r="AA57" s="114"/>
      <c r="AB57" s="114"/>
      <c r="AC57" s="114"/>
      <c r="AD57" s="114" t="s">
        <v>2572</v>
      </c>
      <c r="AE57" s="114" t="s">
        <v>2572</v>
      </c>
      <c r="AF57" s="114"/>
      <c r="AG57" s="114"/>
      <c r="AH57" s="114"/>
      <c r="AI57" s="114"/>
      <c r="AJ57" s="114" t="s">
        <v>2573</v>
      </c>
      <c r="AK57" s="473">
        <v>5.0</v>
      </c>
      <c r="AL57" s="114" t="s">
        <v>2574</v>
      </c>
      <c r="AM57" s="473">
        <v>7.0</v>
      </c>
      <c r="AN57" s="114" t="s">
        <v>2574</v>
      </c>
      <c r="AO57" s="473">
        <v>12.0</v>
      </c>
      <c r="AP57" s="130">
        <f>SUM(
VLOOKUP("Ravage",vote4TRAITS!A:C,3,FALSE)
)</f>
        <v>7.333333333</v>
      </c>
      <c r="AQ57" s="130">
        <f t="shared" si="3"/>
        <v>26.0875</v>
      </c>
    </row>
    <row r="58" ht="14.25" customHeight="1">
      <c r="A58" s="137" t="s">
        <v>1434</v>
      </c>
      <c r="B58" s="114" t="s">
        <v>2576</v>
      </c>
      <c r="C58" s="114">
        <v>39.0</v>
      </c>
      <c r="D58" s="114">
        <v>1.0</v>
      </c>
      <c r="E58" s="114">
        <v>6.0</v>
      </c>
      <c r="F58" s="487">
        <v>3.0</v>
      </c>
      <c r="G58" s="488">
        <v>5.0</v>
      </c>
      <c r="H58" s="114" t="s">
        <v>2590</v>
      </c>
      <c r="I58" s="130">
        <f>IFERROR(__xludf.DUMMYFUNCTION("SWITCH(
LEN(H58) - LEN(SUBSTITUTE(H58,"","","""")),
0 , VLOOKUP(H58, Variables!$A:$B, 2, FALSE),
1 , VLOOKUP(index(split(H58 ,"", "", FALSE),1,1), Variables!$A:$B , 2, FALSE) + VLOOKUP(index(split(H58 ,"", "", FALSE),1,2), Variables!$A:$B , 2, FALSE),
2 ,"&amp;" VLOOKUP(index(split(H58 ,"", "", FALSE),1,1), Variables!$A:$B , 2, FALSE) + VLOOKUP(index(split(H58 ,"", "", FALSE),1,2), Variables!$A:$B , 2, FALSE) + VLOOKUP(index(split(H58 ,"", "", FALSE),1,3), Variables!$A:$B , 2, FALSE)
)"),2.6666666666666665)</f>
        <v>2.666666667</v>
      </c>
      <c r="J58" s="114" t="s">
        <v>1567</v>
      </c>
      <c r="K58" s="114" t="s">
        <v>1548</v>
      </c>
      <c r="L58" s="130">
        <f>IFERROR(__xludf.DUMMYFUNCTION("SWITCH(
LEN(K58) - LEN(SUBSTITUTE(K58,"","","""")),
0 , VLOOKUP(K58, Variables!$A:$B, 2, FALSE),
1 , VLOOKUP(index(split(K58 ,"", "", FALSE),1,1), Variables!$A:$B , 2, FALSE) + VLOOKUP(index(split(K58 ,"", "", FALSE),1,2), Variables!$A:$B , 2, FALSE),
2 ,"&amp;" VLOOKUP(index(split(K58 ,"", "", FALSE),1,1), Variables!$A:$B , 2, FALSE) + VLOOKUP(index(split(K58 ,"", "", FALSE),1,2), Variables!$A:$B , 2, FALSE) + VLOOKUP(index(split(K58 ,"", "", FALSE),1,3), Variables!$A:$B , 2, FALSE)
)
+
IF(J58=""Ranged"", 1 , 0"&amp;")"),3.3333333333333335)</f>
        <v>3.333333333</v>
      </c>
      <c r="M58" s="114"/>
      <c r="N58" s="130" t="str">
        <f>IFERROR(__xludf.DUMMYFUNCTION("IF(ISBLANK(M58), , 
SWITCH(
LEN(M58)- LEN(SUBSTITUTE(M58,"","","""")), 
0 , VLOOKUP(M58, vote4TRAITS!A:C , 3, FALSE),
1 , VLOOKUP(index(split(M58 ,"", "", FALSE),1,1), vote4TRAITS!A:C , 3, FALSE) + VLOOKUP(index(split(M58 ,"", "", FALSE),1,2), vote4TRAITS"&amp;"!A:C , 3, FALSE),
2 , VLOOKUP(index(split(M58 ,"", "", FALSE),1,1), vote4TRAITS!A:C , 3, FALSE) + VLOOKUP(index(split(M58 ,"", "", FALSE),1,2), vote4TRAITS!A:C , 3, FALSE) + VLOOKUP(index(split(M58 ,"", "", FALSE),1,3), vote4TRAITS!A:C , 3, FALSE)
)
)"),"")</f>
        <v/>
      </c>
      <c r="O58" s="114"/>
      <c r="P58" s="165" t="str">
        <f>IFERROR(__xludf.DUMMYFUNCTION("IF(ISBLANK(O58), , 
SWITCH(
LEN(O58)- LEN(SUBSTITUTE(O58,"","","""")), 
0 , VLOOKUP(O58, vote4ACTIONS!A:C , 3, FALSE),
1 , VLOOKUP(index(split(O58 ,"", "", FALSE),1,1), vote4ACTIONS!A:C , 3, FALSE) + VLOOKUP(index(split(O58 ,"", "", FALSE),1,2), vote4ACTI"&amp;"ONS!A:C , 3, FALSE),
2 , VLOOKUP(index(split(O58 ,"", "", FALSE),1,1), vote4ACTIONS!A:C , 3, FALSE) + VLOOKUP(index(split(O58 ,"", "", FALSE),1,2), vote4ACTIONS!A:C , 3, FALSE) + VLOOKUP(index(split(O58 ,"", "", FALSE),1,3), vote4ACTIONS!A:C , 3, FALSE),
"&amp;"3 , VLOOKUP(index(split(O58 ,"", "", FALSE),1,1), vote4ACTIONS!A:C , 3, FALSE) + VLOOKUP(index(split(O58 ,"", "", FALSE),1,2), vote4ACTIONS!A:C , 3, FALSE) + VLOOKUP(index(split(O58 ,"", "", FALSE),1,3), vote4ACTIONS!A:C , 3, FALSE) + VLOOKUP(index(split("&amp;"O58 ,"", "", FALSE),1,4), vote4ACTIONS!A:C , 3, FALSE)
)
)"),"")</f>
        <v/>
      </c>
      <c r="Q58" s="340" t="s">
        <v>1534</v>
      </c>
      <c r="R58" s="342">
        <f>IF(ISBLANK(Q58),,IFERROR(
IF(IFERROR(SEARCH("SS:",Q58),0) &gt; 0, 
VLOOKUP(SUBSTITUTE(Q58,"SS: ",""),vote4SURGE!$A:$C , 3, FALSE) - 2,
VLOOKUP(SUBSTITUTE(Q58,"S: ",""),vote4SURGE!$A:$C , 3, FALSE)
)
,
IF(IFERROR(SEARCH("SS:",Q58),0) &gt; 0, 
VLOOKUP(A58,vote4SURGE!$A:$C , 3, FALSE) - 2,
VLOOKUP(A58,vote4SURGE!$A:$C , 3, FALSE)
)
))</f>
        <v>4.25</v>
      </c>
      <c r="S58" s="489" t="s">
        <v>1595</v>
      </c>
      <c r="T58" s="342">
        <f>IF(ISBLANK(S58),,IFERROR(
IF(IFERROR(SEARCH("SS:",S58),0) &gt; 0, 
VLOOKUP(SUBSTITUTE(S58,"SS: ",""),vote4SURGE!$A:$C , 3, FALSE) - 2,
VLOOKUP(SUBSTITUTE(S58,"S: ",""),vote4SURGE!$A:$C , 3, FALSE)
)
,
IF(IFERROR(SEARCH("SS:",S58),0) &gt; 0, 
VLOOKUP(A58,vote4SURGE!$A:$C , 3, FALSE) - 2,
VLOOKUP(A58,vote4SURGE!$A:$C , 3, FALSE)
)
))</f>
        <v>6.5</v>
      </c>
      <c r="U58" s="341"/>
      <c r="V58" s="343" t="str">
        <f>IF(ISBLANK(U58),,IFERROR(
IF(IFERROR(SEARCH("SS:",U58),0) &gt; 0, 
VLOOKUP(SUBSTITUTE(U58,"SS: ",""),vote4SURGE!$A:$C , 3, FALSE) - 2,
VLOOKUP(SUBSTITUTE(U58,"S: ",""),vote4SURGE!$A:$C , 3, FALSE)
)
,
IF(IFERROR(SEARCH("SS:",U58),0) &gt; 0, 
VLOOKUP(A58,vote4SURGE!$A:$C , 3, FALSE) - 2,
VLOOKUP(A58,vote4SURGE!$A:$C , 3, FALSE)
)
))</f>
        <v/>
      </c>
      <c r="W58" s="343">
        <f t="shared" si="1"/>
        <v>2</v>
      </c>
      <c r="X58" s="344">
        <f>IFERROR(__xludf.DUMMYFUNCTION("SWITCH(
LEN(K58) - LEN(SUBSTITUTE(K58,"","","""")),
0 , VLOOKUP(K58, Variables!$A:$C, 3, FALSE),
1 , VLOOKUP(index(split(K58 ,"", "", FALSE),1,1), Variables!$A:$C, 3, FALSE) + VLOOKUP(index(split(K58 ,"", "", FALSE),1,2), Variables!$A:$C, 3, FALSE),
2 , V"&amp;"LOOKUP(index(split(K58 ,"", "", FALSE),1,1), Variables!$A:$C, 3, FALSE) + VLOOKUP(index(split(K58 ,"", "", FALSE),1,2), Variables!$A:$C, 3, FALSE) + VLOOKUP(index(split(K58 ,"", "", FALSE),1,3), Variables!$A:$C, 3, FALSE)
)"),0.8333333333333333)</f>
        <v>0.8333333333</v>
      </c>
      <c r="Y58" s="342">
        <f t="shared" si="2"/>
        <v>8.270833333</v>
      </c>
      <c r="Z58" s="114"/>
      <c r="AA58" s="114"/>
      <c r="AB58" s="114"/>
      <c r="AC58" s="114"/>
      <c r="AD58" s="114" t="s">
        <v>2572</v>
      </c>
      <c r="AE58" s="114" t="s">
        <v>2572</v>
      </c>
      <c r="AF58" s="114"/>
      <c r="AG58" s="114"/>
      <c r="AH58" s="114"/>
      <c r="AI58" s="114"/>
      <c r="AJ58" s="114" t="s">
        <v>2574</v>
      </c>
      <c r="AK58" s="473">
        <v>5.0</v>
      </c>
      <c r="AL58" s="114" t="s">
        <v>2573</v>
      </c>
      <c r="AM58" s="473">
        <v>7.0</v>
      </c>
      <c r="AN58" s="114" t="s">
        <v>2574</v>
      </c>
      <c r="AO58" s="473">
        <v>12.0</v>
      </c>
      <c r="AP58" s="130">
        <f>SUM(
VLOOKUP("Ravage",vote4TRAITS!A:C,3,FALSE)
)</f>
        <v>7.333333333</v>
      </c>
      <c r="AQ58" s="130">
        <f t="shared" si="3"/>
        <v>19.25416667</v>
      </c>
    </row>
    <row r="59" ht="14.25" customHeight="1">
      <c r="A59" s="137" t="s">
        <v>1436</v>
      </c>
      <c r="B59" s="114" t="s">
        <v>2570</v>
      </c>
      <c r="C59" s="114">
        <v>48.0</v>
      </c>
      <c r="D59" s="114">
        <v>2.0</v>
      </c>
      <c r="E59" s="114">
        <v>1.0</v>
      </c>
      <c r="F59" s="487">
        <v>4.0</v>
      </c>
      <c r="G59" s="488">
        <v>10.0</v>
      </c>
      <c r="H59" s="114" t="s">
        <v>2599</v>
      </c>
      <c r="I59" s="130">
        <f>IFERROR(__xludf.DUMMYFUNCTION("SWITCH(
LEN(H59) - LEN(SUBSTITUTE(H59,"","","""")),
0 , VLOOKUP(H59, Variables!$A:$B, 2, FALSE),
1 , VLOOKUP(index(split(H59 ,"", "", FALSE),1,1), Variables!$A:$B , 2, FALSE) + VLOOKUP(index(split(H59 ,"", "", FALSE),1,2), Variables!$A:$B , 2, FALSE),
2 ,"&amp;" VLOOKUP(index(split(H59 ,"", "", FALSE),1,1), Variables!$A:$B , 2, FALSE) + VLOOKUP(index(split(H59 ,"", "", FALSE),1,2), Variables!$A:$B , 2, FALSE) + VLOOKUP(index(split(H59 ,"", "", FALSE),1,3), Variables!$A:$B , 2, FALSE)
)"),3.5)</f>
        <v>3.5</v>
      </c>
      <c r="J59" s="114" t="s">
        <v>1521</v>
      </c>
      <c r="K59" s="114" t="s">
        <v>1525</v>
      </c>
      <c r="L59" s="130">
        <f>IFERROR(__xludf.DUMMYFUNCTION("SWITCH(
LEN(K59) - LEN(SUBSTITUTE(K59,"","","""")),
0 , VLOOKUP(K59, Variables!$A:$B, 2, FALSE),
1 , VLOOKUP(index(split(K59 ,"", "", FALSE),1,1), Variables!$A:$B , 2, FALSE) + VLOOKUP(index(split(K59 ,"", "", FALSE),1,2), Variables!$A:$B , 2, FALSE),
2 ,"&amp;" VLOOKUP(index(split(K59 ,"", "", FALSE),1,1), Variables!$A:$B , 2, FALSE) + VLOOKUP(index(split(K59 ,"", "", FALSE),1,2), Variables!$A:$B , 2, FALSE) + VLOOKUP(index(split(K59 ,"", "", FALSE),1,3), Variables!$A:$B , 2, FALSE)
)
+
IF(J59=""Ranged"", 1 , 0"&amp;")"),3.333333333333333)</f>
        <v>3.333333333</v>
      </c>
      <c r="M59" s="114" t="s">
        <v>2600</v>
      </c>
      <c r="N59" s="130">
        <f>IFERROR(__xludf.DUMMYFUNCTION("IF(ISBLANK(M59), , 
SWITCH(
LEN(M59)- LEN(SUBSTITUTE(M59,"","","""")), 
0 , VLOOKUP(M59, vote4TRAITS!A:C , 3, FALSE),
1 , VLOOKUP(index(split(M59 ,"", "", FALSE),1,1), vote4TRAITS!A:C , 3, FALSE) + VLOOKUP(index(split(M59 ,"", "", FALSE),1,2), vote4TRAITS"&amp;"!A:C , 3, FALSE),
2 , VLOOKUP(index(split(M59 ,"", "", FALSE),1,1), vote4TRAITS!A:C , 3, FALSE) + VLOOKUP(index(split(M59 ,"", "", FALSE),1,2), vote4TRAITS!A:C , 3, FALSE) + VLOOKUP(index(split(M59 ,"", "", FALSE),1,3), vote4TRAITS!A:C , 3, FALSE)
)
)"),13.0)</f>
        <v>13</v>
      </c>
      <c r="O59" s="490"/>
      <c r="P59" s="165" t="str">
        <f>IFERROR(__xludf.DUMMYFUNCTION("IF(ISBLANK(O59), , 
SWITCH(
LEN(O59)- LEN(SUBSTITUTE(O59,"","","""")), 
0 , VLOOKUP(O59, vote4ACTIONS!A:C , 3, FALSE),
1 , VLOOKUP(index(split(O59 ,"", "", FALSE),1,1), vote4ACTIONS!A:C , 3, FALSE) + VLOOKUP(index(split(O59 ,"", "", FALSE),1,2), vote4ACTI"&amp;"ONS!A:C , 3, FALSE),
2 , VLOOKUP(index(split(O59 ,"", "", FALSE),1,1), vote4ACTIONS!A:C , 3, FALSE) + VLOOKUP(index(split(O59 ,"", "", FALSE),1,2), vote4ACTIONS!A:C , 3, FALSE) + VLOOKUP(index(split(O59 ,"", "", FALSE),1,3), vote4ACTIONS!A:C , 3, FALSE),
"&amp;"3 , VLOOKUP(index(split(O59 ,"", "", FALSE),1,1), vote4ACTIONS!A:C , 3, FALSE) + VLOOKUP(index(split(O59 ,"", "", FALSE),1,2), vote4ACTIONS!A:C , 3, FALSE) + VLOOKUP(index(split(O59 ,"", "", FALSE),1,3), vote4ACTIONS!A:C , 3, FALSE) + VLOOKUP(index(split("&amp;"O59 ,"", "", FALSE),1,4), vote4ACTIONS!A:C , 3, FALSE)
)
)"),"")</f>
        <v/>
      </c>
      <c r="Q59" s="169" t="s">
        <v>1614</v>
      </c>
      <c r="R59" s="342">
        <f>IF(ISBLANK(Q59),,IFERROR(
IF(IFERROR(SEARCH("SS:",Q59),0) &gt; 0, 
VLOOKUP(SUBSTITUTE(Q59,"SS: ",""),vote4SURGE!$A:$C , 3, FALSE) - 2,
VLOOKUP(SUBSTITUTE(Q59,"S: ",""),vote4SURGE!$A:$C , 3, FALSE)
)
,
IF(IFERROR(SEARCH("SS:",Q59),0) &gt; 0, 
VLOOKUP(A59,vote4SURGE!$A:$C , 3, FALSE) - 2,
VLOOKUP(A59,vote4SURGE!$A:$C , 3, FALSE)
)
))</f>
        <v>6</v>
      </c>
      <c r="S59" s="489"/>
      <c r="T59" s="342" t="str">
        <f>IF(ISBLANK(S59),,IFERROR(
IF(IFERROR(SEARCH("SS:",S59),0) &gt; 0, 
VLOOKUP(SUBSTITUTE(S59,"SS: ",""),vote4SURGE!$A:$C , 3, FALSE) - 2,
VLOOKUP(SUBSTITUTE(S59,"S: ",""),vote4SURGE!$A:$C , 3, FALSE)
)
,
IF(IFERROR(SEARCH("SS:",S59),0) &gt; 0, 
VLOOKUP(A59,vote4SURGE!$A:$C , 3, FALSE) - 2,
VLOOKUP(A59,vote4SURGE!$A:$C , 3, FALSE)
)
))</f>
        <v/>
      </c>
      <c r="U59" s="341"/>
      <c r="V59" s="343" t="str">
        <f>IF(ISBLANK(U59),,IFERROR(
IF(IFERROR(SEARCH("SS:",U59),0) &gt; 0, 
VLOOKUP(SUBSTITUTE(U59,"SS: ",""),vote4SURGE!$A:$C , 3, FALSE) - 2,
VLOOKUP(SUBSTITUTE(U59,"S: ",""),vote4SURGE!$A:$C , 3, FALSE)
)
,
IF(IFERROR(SEARCH("SS:",U59),0) &gt; 0, 
VLOOKUP(A59,vote4SURGE!$A:$C , 3, FALSE) - 2,
VLOOKUP(A59,vote4SURGE!$A:$C , 3, FALSE)
)
))</f>
        <v/>
      </c>
      <c r="W59" s="343">
        <f t="shared" si="1"/>
        <v>1</v>
      </c>
      <c r="X59" s="344">
        <f>IFERROR(__xludf.DUMMYFUNCTION("SWITCH(
LEN(K59) - LEN(SUBSTITUTE(K59,"","","""")),
0 , VLOOKUP(K59, Variables!$A:$C, 3, FALSE),
1 , VLOOKUP(index(split(K59 ,"", "", FALSE),1,1), Variables!$A:$C, 3, FALSE) + VLOOKUP(index(split(K59 ,"", "", FALSE),1,2), Variables!$A:$C, 3, FALSE),
2 , V"&amp;"LOOKUP(index(split(K59 ,"", "", FALSE),1,1), Variables!$A:$C, 3, FALSE) + VLOOKUP(index(split(K59 ,"", "", FALSE),1,2), Variables!$A:$C, 3, FALSE) + VLOOKUP(index(split(K59 ,"", "", FALSE),1,3), Variables!$A:$C, 3, FALSE)
)"),0.5)</f>
        <v>0.5</v>
      </c>
      <c r="Y59" s="342">
        <f t="shared" si="2"/>
        <v>3</v>
      </c>
      <c r="Z59" s="114"/>
      <c r="AA59" s="114"/>
      <c r="AB59" s="114" t="s">
        <v>2572</v>
      </c>
      <c r="AC59" s="114"/>
      <c r="AD59" s="114" t="s">
        <v>2572</v>
      </c>
      <c r="AE59" s="114"/>
      <c r="AF59" s="114"/>
      <c r="AG59" s="114"/>
      <c r="AH59" s="114"/>
      <c r="AI59" s="114"/>
      <c r="AJ59" s="114" t="s">
        <v>2573</v>
      </c>
      <c r="AK59" s="473">
        <v>10.0</v>
      </c>
      <c r="AL59" s="114" t="s">
        <v>2574</v>
      </c>
      <c r="AM59" s="473">
        <v>10.0</v>
      </c>
      <c r="AN59" s="164" t="s">
        <v>2574</v>
      </c>
      <c r="AO59" s="473">
        <v>20.0</v>
      </c>
      <c r="AP59" s="130">
        <f>SUM(
VLOOKUP("Ravage",vote4TRAITS!A:C,3,FALSE)
)</f>
        <v>7.333333333</v>
      </c>
      <c r="AQ59" s="130">
        <f t="shared" si="3"/>
        <v>48.32</v>
      </c>
    </row>
    <row r="60" ht="14.25" customHeight="1">
      <c r="A60" s="137" t="s">
        <v>1436</v>
      </c>
      <c r="B60" s="114" t="s">
        <v>2576</v>
      </c>
      <c r="C60" s="114">
        <v>48.0</v>
      </c>
      <c r="D60" s="114">
        <v>2.0</v>
      </c>
      <c r="E60" s="114">
        <v>1.0</v>
      </c>
      <c r="F60" s="487">
        <v>4.0</v>
      </c>
      <c r="G60" s="488">
        <v>10.0</v>
      </c>
      <c r="H60" s="114" t="s">
        <v>2575</v>
      </c>
      <c r="I60" s="130">
        <f>IFERROR(__xludf.DUMMYFUNCTION("SWITCH(
LEN(H60) - LEN(SUBSTITUTE(H60,"","","""")),
0 , VLOOKUP(H60, Variables!$A:$B, 2, FALSE),
1 , VLOOKUP(index(split(H60 ,"", "", FALSE),1,1), Variables!$A:$B , 2, FALSE) + VLOOKUP(index(split(H60 ,"", "", FALSE),1,2), Variables!$A:$B , 2, FALSE),
2 ,"&amp;" VLOOKUP(index(split(H60 ,"", "", FALSE),1,1), Variables!$A:$B , 2, FALSE) + VLOOKUP(index(split(H60 ,"", "", FALSE),1,2), Variables!$A:$B , 2, FALSE) + VLOOKUP(index(split(H60 ,"", "", FALSE),1,3), Variables!$A:$B , 2, FALSE)
)"),2.0)</f>
        <v>2</v>
      </c>
      <c r="J60" s="114" t="s">
        <v>1521</v>
      </c>
      <c r="K60" s="114" t="s">
        <v>1525</v>
      </c>
      <c r="L60" s="130">
        <f>IFERROR(__xludf.DUMMYFUNCTION("SWITCH(
LEN(K60) - LEN(SUBSTITUTE(K60,"","","""")),
0 , VLOOKUP(K60, Variables!$A:$B, 2, FALSE),
1 , VLOOKUP(index(split(K60 ,"", "", FALSE),1,1), Variables!$A:$B , 2, FALSE) + VLOOKUP(index(split(K60 ,"", "", FALSE),1,2), Variables!$A:$B , 2, FALSE),
2 ,"&amp;" VLOOKUP(index(split(K60 ,"", "", FALSE),1,1), Variables!$A:$B , 2, FALSE) + VLOOKUP(index(split(K60 ,"", "", FALSE),1,2), Variables!$A:$B , 2, FALSE) + VLOOKUP(index(split(K60 ,"", "", FALSE),1,3), Variables!$A:$B , 2, FALSE)
)
+
IF(J60=""Ranged"", 1 , 0"&amp;")"),3.333333333333333)</f>
        <v>3.333333333</v>
      </c>
      <c r="M60" s="114" t="s">
        <v>2600</v>
      </c>
      <c r="N60" s="130">
        <f>IFERROR(__xludf.DUMMYFUNCTION("IF(ISBLANK(M60), , 
SWITCH(
LEN(M60)- LEN(SUBSTITUTE(M60,"","","""")), 
0 , VLOOKUP(M60, vote4TRAITS!A:C , 3, FALSE),
1 , VLOOKUP(index(split(M60 ,"", "", FALSE),1,1), vote4TRAITS!A:C , 3, FALSE) + VLOOKUP(index(split(M60 ,"", "", FALSE),1,2), vote4TRAITS"&amp;"!A:C , 3, FALSE),
2 , VLOOKUP(index(split(M60 ,"", "", FALSE),1,1), vote4TRAITS!A:C , 3, FALSE) + VLOOKUP(index(split(M60 ,"", "", FALSE),1,2), vote4TRAITS!A:C , 3, FALSE) + VLOOKUP(index(split(M60 ,"", "", FALSE),1,3), vote4TRAITS!A:C , 3, FALSE)
)
)"),13.0)</f>
        <v>13</v>
      </c>
      <c r="O60" s="490"/>
      <c r="P60" s="165" t="str">
        <f>IFERROR(__xludf.DUMMYFUNCTION("IF(ISBLANK(O60), , 
SWITCH(
LEN(O60)- LEN(SUBSTITUTE(O60,"","","""")), 
0 , VLOOKUP(O60, vote4ACTIONS!A:C , 3, FALSE),
1 , VLOOKUP(index(split(O60 ,"", "", FALSE),1,1), vote4ACTIONS!A:C , 3, FALSE) + VLOOKUP(index(split(O60 ,"", "", FALSE),1,2), vote4ACTI"&amp;"ONS!A:C , 3, FALSE),
2 , VLOOKUP(index(split(O60 ,"", "", FALSE),1,1), vote4ACTIONS!A:C , 3, FALSE) + VLOOKUP(index(split(O60 ,"", "", FALSE),1,2), vote4ACTIONS!A:C , 3, FALSE) + VLOOKUP(index(split(O60 ,"", "", FALSE),1,3), vote4ACTIONS!A:C , 3, FALSE),
"&amp;"3 , VLOOKUP(index(split(O60 ,"", "", FALSE),1,1), vote4ACTIONS!A:C , 3, FALSE) + VLOOKUP(index(split(O60 ,"", "", FALSE),1,2), vote4ACTIONS!A:C , 3, FALSE) + VLOOKUP(index(split(O60 ,"", "", FALSE),1,3), vote4ACTIONS!A:C , 3, FALSE) + VLOOKUP(index(split("&amp;"O60 ,"", "", FALSE),1,4), vote4ACTIONS!A:C , 3, FALSE)
)
)"),"")</f>
        <v/>
      </c>
      <c r="Q60" s="169" t="s">
        <v>1524</v>
      </c>
      <c r="R60" s="342">
        <f>IF(ISBLANK(Q60),,IFERROR(
IF(IFERROR(SEARCH("SS:",Q60),0) &gt; 0, 
VLOOKUP(SUBSTITUTE(Q60,"SS: ",""),vote4SURGE!$A:$C , 3, FALSE) - 2,
VLOOKUP(SUBSTITUTE(Q60,"S: ",""),vote4SURGE!$A:$C , 3, FALSE)
)
,
IF(IFERROR(SEARCH("SS:",Q60),0) &gt; 0, 
VLOOKUP(A60,vote4SURGE!$A:$C , 3, FALSE) - 2,
VLOOKUP(A60,vote4SURGE!$A:$C , 3, FALSE)
)
))</f>
        <v>4.5</v>
      </c>
      <c r="S60" s="489"/>
      <c r="T60" s="342" t="str">
        <f>IF(ISBLANK(S60),,IFERROR(
IF(IFERROR(SEARCH("SS:",S60),0) &gt; 0, 
VLOOKUP(SUBSTITUTE(S60,"SS: ",""),vote4SURGE!$A:$C , 3, FALSE) - 2,
VLOOKUP(SUBSTITUTE(S60,"S: ",""),vote4SURGE!$A:$C , 3, FALSE)
)
,
IF(IFERROR(SEARCH("SS:",S60),0) &gt; 0, 
VLOOKUP(A60,vote4SURGE!$A:$C , 3, FALSE) - 2,
VLOOKUP(A60,vote4SURGE!$A:$C , 3, FALSE)
)
))</f>
        <v/>
      </c>
      <c r="U60" s="341"/>
      <c r="V60" s="343" t="str">
        <f>IF(ISBLANK(U60),,IFERROR(
IF(IFERROR(SEARCH("SS:",U60),0) &gt; 0, 
VLOOKUP(SUBSTITUTE(U60,"SS: ",""),vote4SURGE!$A:$C , 3, FALSE) - 2,
VLOOKUP(SUBSTITUTE(U60,"S: ",""),vote4SURGE!$A:$C , 3, FALSE)
)
,
IF(IFERROR(SEARCH("SS:",U60),0) &gt; 0, 
VLOOKUP(A60,vote4SURGE!$A:$C , 3, FALSE) - 2,
VLOOKUP(A60,vote4SURGE!$A:$C , 3, FALSE)
)
))</f>
        <v/>
      </c>
      <c r="W60" s="343">
        <f t="shared" si="1"/>
        <v>1</v>
      </c>
      <c r="X60" s="344">
        <f>IFERROR(__xludf.DUMMYFUNCTION("SWITCH(
LEN(K60) - LEN(SUBSTITUTE(K60,"","","""")),
0 , VLOOKUP(K60, Variables!$A:$C, 3, FALSE),
1 , VLOOKUP(index(split(K60 ,"", "", FALSE),1,1), Variables!$A:$C, 3, FALSE) + VLOOKUP(index(split(K60 ,"", "", FALSE),1,2), Variables!$A:$C, 3, FALSE),
2 , V"&amp;"LOOKUP(index(split(K60 ,"", "", FALSE),1,1), Variables!$A:$C, 3, FALSE) + VLOOKUP(index(split(K60 ,"", "", FALSE),1,2), Variables!$A:$C, 3, FALSE) + VLOOKUP(index(split(K60 ,"", "", FALSE),1,3), Variables!$A:$C, 3, FALSE)
)"),0.5)</f>
        <v>0.5</v>
      </c>
      <c r="Y60" s="342">
        <f t="shared" si="2"/>
        <v>2.25</v>
      </c>
      <c r="Z60" s="114"/>
      <c r="AA60" s="114"/>
      <c r="AB60" s="114" t="s">
        <v>2572</v>
      </c>
      <c r="AC60" s="114"/>
      <c r="AD60" s="114" t="s">
        <v>2572</v>
      </c>
      <c r="AE60" s="114"/>
      <c r="AF60" s="114"/>
      <c r="AG60" s="114"/>
      <c r="AH60" s="114"/>
      <c r="AI60" s="114"/>
      <c r="AJ60" s="114" t="s">
        <v>2574</v>
      </c>
      <c r="AK60" s="473">
        <v>10.0</v>
      </c>
      <c r="AL60" s="114" t="s">
        <v>2573</v>
      </c>
      <c r="AM60" s="473">
        <v>10.0</v>
      </c>
      <c r="AN60" s="164" t="s">
        <v>2574</v>
      </c>
      <c r="AO60" s="473">
        <v>20.0</v>
      </c>
      <c r="AP60" s="130">
        <f>SUM(
VLOOKUP("Ravage",vote4TRAITS!A:C,3,FALSE)
)</f>
        <v>7.333333333</v>
      </c>
      <c r="AQ60" s="130">
        <f t="shared" si="3"/>
        <v>32.57</v>
      </c>
    </row>
    <row r="61" ht="14.25" customHeight="1">
      <c r="A61" s="137" t="s">
        <v>1436</v>
      </c>
      <c r="B61" s="114" t="s">
        <v>2570</v>
      </c>
      <c r="C61" s="114">
        <v>48.0</v>
      </c>
      <c r="D61" s="114">
        <v>1.0</v>
      </c>
      <c r="E61" s="114">
        <v>1.0</v>
      </c>
      <c r="F61" s="487">
        <v>4.0</v>
      </c>
      <c r="G61" s="488">
        <v>8.0</v>
      </c>
      <c r="H61" s="114" t="s">
        <v>1671</v>
      </c>
      <c r="I61" s="130">
        <f>IFERROR(__xludf.DUMMYFUNCTION("SWITCH(
LEN(H61) - LEN(SUBSTITUTE(H61,"","","""")),
0 , VLOOKUP(H61, Variables!$A:$B, 2, FALSE),
1 , VLOOKUP(index(split(H61 ,"", "", FALSE),1,1), Variables!$A:$B , 2, FALSE) + VLOOKUP(index(split(H61 ,"", "", FALSE),1,2), Variables!$A:$B , 2, FALSE),
2 ,"&amp;" VLOOKUP(index(split(H61 ,"", "", FALSE),1,1), Variables!$A:$B , 2, FALSE) + VLOOKUP(index(split(H61 ,"", "", FALSE),1,2), Variables!$A:$B , 2, FALSE) + VLOOKUP(index(split(H61 ,"", "", FALSE),1,3), Variables!$A:$B , 2, FALSE)
)"),2.1666666666666665)</f>
        <v>2.166666667</v>
      </c>
      <c r="J61" s="114" t="s">
        <v>1521</v>
      </c>
      <c r="K61" s="114" t="s">
        <v>2601</v>
      </c>
      <c r="L61" s="130">
        <f>IFERROR(__xludf.DUMMYFUNCTION("SWITCH(
LEN(K61) - LEN(SUBSTITUTE(K61,"","","""")),
0 , VLOOKUP(K61, Variables!$A:$B, 2, FALSE),
1 , VLOOKUP(index(split(K61 ,"", "", FALSE),1,1), Variables!$A:$B , 2, FALSE) + VLOOKUP(index(split(K61 ,"", "", FALSE),1,2), Variables!$A:$B , 2, FALSE),
2 ,"&amp;" VLOOKUP(index(split(K61 ,"", "", FALSE),1,1), Variables!$A:$B , 2, FALSE) + VLOOKUP(index(split(K61 ,"", "", FALSE),1,2), Variables!$A:$B , 2, FALSE) + VLOOKUP(index(split(K61 ,"", "", FALSE),1,3), Variables!$A:$B , 2, FALSE)
)
+
IF(J61=""Ranged"", 1 , 0"&amp;")"),1.1666666666666667)</f>
        <v>1.166666667</v>
      </c>
      <c r="M61" s="114" t="s">
        <v>2600</v>
      </c>
      <c r="N61" s="130">
        <f>IFERROR(__xludf.DUMMYFUNCTION("IF(ISBLANK(M61), , 
SWITCH(
LEN(M61)- LEN(SUBSTITUTE(M61,"","","""")), 
0 , VLOOKUP(M61, vote4TRAITS!A:C , 3, FALSE),
1 , VLOOKUP(index(split(M61 ,"", "", FALSE),1,1), vote4TRAITS!A:C , 3, FALSE) + VLOOKUP(index(split(M61 ,"", "", FALSE),1,2), vote4TRAITS"&amp;"!A:C , 3, FALSE),
2 , VLOOKUP(index(split(M61 ,"", "", FALSE),1,1), vote4TRAITS!A:C , 3, FALSE) + VLOOKUP(index(split(M61 ,"", "", FALSE),1,2), vote4TRAITS!A:C , 3, FALSE) + VLOOKUP(index(split(M61 ,"", "", FALSE),1,3), vote4TRAITS!A:C , 3, FALSE)
)
)"),13.0)</f>
        <v>13</v>
      </c>
      <c r="O61" s="490"/>
      <c r="P61" s="165" t="str">
        <f>IFERROR(__xludf.DUMMYFUNCTION("IF(ISBLANK(O61), , 
SWITCH(
LEN(O61)- LEN(SUBSTITUTE(O61,"","","""")), 
0 , VLOOKUP(O61, vote4ACTIONS!A:C , 3, FALSE),
1 , VLOOKUP(index(split(O61 ,"", "", FALSE),1,1), vote4ACTIONS!A:C , 3, FALSE) + VLOOKUP(index(split(O61 ,"", "", FALSE),1,2), vote4ACTI"&amp;"ONS!A:C , 3, FALSE),
2 , VLOOKUP(index(split(O61 ,"", "", FALSE),1,1), vote4ACTIONS!A:C , 3, FALSE) + VLOOKUP(index(split(O61 ,"", "", FALSE),1,2), vote4ACTIONS!A:C , 3, FALSE) + VLOOKUP(index(split(O61 ,"", "", FALSE),1,3), vote4ACTIONS!A:C , 3, FALSE),
"&amp;"3 , VLOOKUP(index(split(O61 ,"", "", FALSE),1,1), vote4ACTIONS!A:C , 3, FALSE) + VLOOKUP(index(split(O61 ,"", "", FALSE),1,2), vote4ACTIONS!A:C , 3, FALSE) + VLOOKUP(index(split(O61 ,"", "", FALSE),1,3), vote4ACTIONS!A:C , 3, FALSE) + VLOOKUP(index(split("&amp;"O61 ,"", "", FALSE),1,4), vote4ACTIONS!A:C , 3, FALSE)
)
)"),"")</f>
        <v/>
      </c>
      <c r="Q61" s="169" t="s">
        <v>1524</v>
      </c>
      <c r="R61" s="342">
        <f>IF(ISBLANK(Q61),,IFERROR(
IF(IFERROR(SEARCH("SS:",Q61),0) &gt; 0, 
VLOOKUP(SUBSTITUTE(Q61,"SS: ",""),vote4SURGE!$A:$C , 3, FALSE) - 2,
VLOOKUP(SUBSTITUTE(Q61,"S: ",""),vote4SURGE!$A:$C , 3, FALSE)
)
,
IF(IFERROR(SEARCH("SS:",Q61),0) &gt; 0, 
VLOOKUP(A61,vote4SURGE!$A:$C , 3, FALSE) - 2,
VLOOKUP(A61,vote4SURGE!$A:$C , 3, FALSE)
)
))</f>
        <v>4.5</v>
      </c>
      <c r="S61" s="489"/>
      <c r="T61" s="342" t="str">
        <f>IF(ISBLANK(S61),,IFERROR(
IF(IFERROR(SEARCH("SS:",S61),0) &gt; 0, 
VLOOKUP(SUBSTITUTE(S61,"SS: ",""),vote4SURGE!$A:$C , 3, FALSE) - 2,
VLOOKUP(SUBSTITUTE(S61,"S: ",""),vote4SURGE!$A:$C , 3, FALSE)
)
,
IF(IFERROR(SEARCH("SS:",S61),0) &gt; 0, 
VLOOKUP(A61,vote4SURGE!$A:$C , 3, FALSE) - 2,
VLOOKUP(A61,vote4SURGE!$A:$C , 3, FALSE)
)
))</f>
        <v/>
      </c>
      <c r="U61" s="341"/>
      <c r="V61" s="343" t="str">
        <f>IF(ISBLANK(U61),,IFERROR(
IF(IFERROR(SEARCH("SS:",U61),0) &gt; 0, 
VLOOKUP(SUBSTITUTE(U61,"SS: ",""),vote4SURGE!$A:$C , 3, FALSE) - 2,
VLOOKUP(SUBSTITUTE(U61,"S: ",""),vote4SURGE!$A:$C , 3, FALSE)
)
,
IF(IFERROR(SEARCH("SS:",U61),0) &gt; 0, 
VLOOKUP(A61,vote4SURGE!$A:$C , 3, FALSE) - 2,
VLOOKUP(A61,vote4SURGE!$A:$C , 3, FALSE)
)
))</f>
        <v/>
      </c>
      <c r="W61" s="343">
        <f t="shared" si="1"/>
        <v>1</v>
      </c>
      <c r="X61" s="344">
        <f>IFERROR(__xludf.DUMMYFUNCTION("SWITCH(
LEN(K61) - LEN(SUBSTITUTE(K61,"","","""")),
0 , VLOOKUP(K61, Variables!$A:$C, 3, FALSE),
1 , VLOOKUP(index(split(K61 ,"", "", FALSE),1,1), Variables!$A:$C, 3, FALSE) + VLOOKUP(index(split(K61 ,"", "", FALSE),1,2), Variables!$A:$C, 3, FALSE),
2 , V"&amp;"LOOKUP(index(split(K61 ,"", "", FALSE),1,1), Variables!$A:$C, 3, FALSE) + VLOOKUP(index(split(K61 ,"", "", FALSE),1,2), Variables!$A:$C, 3, FALSE) + VLOOKUP(index(split(K61 ,"", "", FALSE),1,3), Variables!$A:$C, 3, FALSE)
)"),0.3333333333333333)</f>
        <v>0.3333333333</v>
      </c>
      <c r="Y61" s="342">
        <f t="shared" si="2"/>
        <v>1.5</v>
      </c>
      <c r="Z61" s="114"/>
      <c r="AA61" s="114"/>
      <c r="AB61" s="114" t="s">
        <v>2572</v>
      </c>
      <c r="AC61" s="114"/>
      <c r="AD61" s="114" t="s">
        <v>2572</v>
      </c>
      <c r="AE61" s="114"/>
      <c r="AF61" s="114"/>
      <c r="AG61" s="114"/>
      <c r="AH61" s="114"/>
      <c r="AI61" s="114"/>
      <c r="AJ61" s="114" t="s">
        <v>2573</v>
      </c>
      <c r="AK61" s="473">
        <v>8.0</v>
      </c>
      <c r="AL61" s="114" t="s">
        <v>2574</v>
      </c>
      <c r="AM61" s="473">
        <v>8.0</v>
      </c>
      <c r="AN61" s="164" t="s">
        <v>2574</v>
      </c>
      <c r="AO61" s="473">
        <v>16.0</v>
      </c>
      <c r="AP61" s="130">
        <f>SUM(
VLOOKUP("Ravage",vote4TRAITS!A:C,3,FALSE)
)</f>
        <v>7.333333333</v>
      </c>
      <c r="AQ61" s="130">
        <f t="shared" si="3"/>
        <v>26.98666667</v>
      </c>
    </row>
    <row r="62" ht="14.25" customHeight="1">
      <c r="A62" s="137" t="s">
        <v>1436</v>
      </c>
      <c r="B62" s="114" t="s">
        <v>2576</v>
      </c>
      <c r="C62" s="114">
        <v>48.0</v>
      </c>
      <c r="D62" s="114">
        <v>1.0</v>
      </c>
      <c r="E62" s="114">
        <v>1.0</v>
      </c>
      <c r="F62" s="487">
        <v>4.0</v>
      </c>
      <c r="G62" s="488">
        <v>8.0</v>
      </c>
      <c r="H62" s="114" t="s">
        <v>1621</v>
      </c>
      <c r="I62" s="130">
        <f>IFERROR(__xludf.DUMMYFUNCTION("SWITCH(
LEN(H62) - LEN(SUBSTITUTE(H62,"","","""")),
0 , VLOOKUP(H62, Variables!$A:$B, 2, FALSE),
1 , VLOOKUP(index(split(H62 ,"", "", FALSE),1,1), Variables!$A:$B , 2, FALSE) + VLOOKUP(index(split(H62 ,"", "", FALSE),1,2), Variables!$A:$B , 2, FALSE),
2 ,"&amp;" VLOOKUP(index(split(H62 ,"", "", FALSE),1,1), Variables!$A:$B , 2, FALSE) + VLOOKUP(index(split(H62 ,"", "", FALSE),1,2), Variables!$A:$B , 2, FALSE) + VLOOKUP(index(split(H62 ,"", "", FALSE),1,3), Variables!$A:$B , 2, FALSE)
)"),0.6666666666666666)</f>
        <v>0.6666666667</v>
      </c>
      <c r="J62" s="114" t="s">
        <v>1521</v>
      </c>
      <c r="K62" s="114" t="s">
        <v>2601</v>
      </c>
      <c r="L62" s="130">
        <f>IFERROR(__xludf.DUMMYFUNCTION("SWITCH(
LEN(K62) - LEN(SUBSTITUTE(K62,"","","""")),
0 , VLOOKUP(K62, Variables!$A:$B, 2, FALSE),
1 , VLOOKUP(index(split(K62 ,"", "", FALSE),1,1), Variables!$A:$B , 2, FALSE) + VLOOKUP(index(split(K62 ,"", "", FALSE),1,2), Variables!$A:$B , 2, FALSE),
2 ,"&amp;" VLOOKUP(index(split(K62 ,"", "", FALSE),1,1), Variables!$A:$B , 2, FALSE) + VLOOKUP(index(split(K62 ,"", "", FALSE),1,2), Variables!$A:$B , 2, FALSE) + VLOOKUP(index(split(K62 ,"", "", FALSE),1,3), Variables!$A:$B , 2, FALSE)
)
+
IF(J62=""Ranged"", 1 , 0"&amp;")"),1.1666666666666667)</f>
        <v>1.166666667</v>
      </c>
      <c r="M62" s="114" t="s">
        <v>2600</v>
      </c>
      <c r="N62" s="130">
        <f>IFERROR(__xludf.DUMMYFUNCTION("IF(ISBLANK(M62), , 
SWITCH(
LEN(M62)- LEN(SUBSTITUTE(M62,"","","""")), 
0 , VLOOKUP(M62, vote4TRAITS!A:C , 3, FALSE),
1 , VLOOKUP(index(split(M62 ,"", "", FALSE),1,1), vote4TRAITS!A:C , 3, FALSE) + VLOOKUP(index(split(M62 ,"", "", FALSE),1,2), vote4TRAITS"&amp;"!A:C , 3, FALSE),
2 , VLOOKUP(index(split(M62 ,"", "", FALSE),1,1), vote4TRAITS!A:C , 3, FALSE) + VLOOKUP(index(split(M62 ,"", "", FALSE),1,2), vote4TRAITS!A:C , 3, FALSE) + VLOOKUP(index(split(M62 ,"", "", FALSE),1,3), vote4TRAITS!A:C , 3, FALSE)
)
)"),13.0)</f>
        <v>13</v>
      </c>
      <c r="O62" s="490"/>
      <c r="P62" s="165" t="str">
        <f>IFERROR(__xludf.DUMMYFUNCTION("IF(ISBLANK(O62), , 
SWITCH(
LEN(O62)- LEN(SUBSTITUTE(O62,"","","""")), 
0 , VLOOKUP(O62, vote4ACTIONS!A:C , 3, FALSE),
1 , VLOOKUP(index(split(O62 ,"", "", FALSE),1,1), vote4ACTIONS!A:C , 3, FALSE) + VLOOKUP(index(split(O62 ,"", "", FALSE),1,2), vote4ACTI"&amp;"ONS!A:C , 3, FALSE),
2 , VLOOKUP(index(split(O62 ,"", "", FALSE),1,1), vote4ACTIONS!A:C , 3, FALSE) + VLOOKUP(index(split(O62 ,"", "", FALSE),1,2), vote4ACTIONS!A:C , 3, FALSE) + VLOOKUP(index(split(O62 ,"", "", FALSE),1,3), vote4ACTIONS!A:C , 3, FALSE),
"&amp;"3 , VLOOKUP(index(split(O62 ,"", "", FALSE),1,1), vote4ACTIONS!A:C , 3, FALSE) + VLOOKUP(index(split(O62 ,"", "", FALSE),1,2), vote4ACTIONS!A:C , 3, FALSE) + VLOOKUP(index(split(O62 ,"", "", FALSE),1,3), vote4ACTIONS!A:C , 3, FALSE) + VLOOKUP(index(split("&amp;"O62 ,"", "", FALSE),1,4), vote4ACTIONS!A:C , 3, FALSE)
)
)"),"")</f>
        <v/>
      </c>
      <c r="Q62" s="169" t="s">
        <v>1564</v>
      </c>
      <c r="R62" s="342">
        <f>IF(ISBLANK(Q62),,IFERROR(
IF(IFERROR(SEARCH("SS:",Q62),0) &gt; 0, 
VLOOKUP(SUBSTITUTE(Q62,"SS: ",""),vote4SURGE!$A:$C , 3, FALSE) - 2,
VLOOKUP(SUBSTITUTE(Q62,"S: ",""),vote4SURGE!$A:$C , 3, FALSE)
)
,
IF(IFERROR(SEARCH("SS:",Q62),0) &gt; 0, 
VLOOKUP(A62,vote4SURGE!$A:$C , 3, FALSE) - 2,
VLOOKUP(A62,vote4SURGE!$A:$C , 3, FALSE)
)
))</f>
        <v>3.5</v>
      </c>
      <c r="S62" s="341"/>
      <c r="T62" s="342" t="str">
        <f>IF(ISBLANK(S62),,IFERROR(
IF(IFERROR(SEARCH("SS:",S62),0) &gt; 0, 
VLOOKUP(SUBSTITUTE(S62,"SS: ",""),vote4SURGE!$A:$C , 3, FALSE) - 2,
VLOOKUP(SUBSTITUTE(S62,"S: ",""),vote4SURGE!$A:$C , 3, FALSE)
)
,
IF(IFERROR(SEARCH("SS:",S62),0) &gt; 0, 
VLOOKUP(A62,vote4SURGE!$A:$C , 3, FALSE) - 2,
VLOOKUP(A62,vote4SURGE!$A:$C , 3, FALSE)
)
))</f>
        <v/>
      </c>
      <c r="U62" s="341"/>
      <c r="V62" s="343" t="str">
        <f>IF(ISBLANK(U62),,IFERROR(
IF(IFERROR(SEARCH("SS:",U62),0) &gt; 0, 
VLOOKUP(SUBSTITUTE(U62,"SS: ",""),vote4SURGE!$A:$C , 3, FALSE) - 2,
VLOOKUP(SUBSTITUTE(U62,"S: ",""),vote4SURGE!$A:$C , 3, FALSE)
)
,
IF(IFERROR(SEARCH("SS:",U62),0) &gt; 0, 
VLOOKUP(A62,vote4SURGE!$A:$C , 3, FALSE) - 2,
VLOOKUP(A62,vote4SURGE!$A:$C , 3, FALSE)
)
))</f>
        <v/>
      </c>
      <c r="W62" s="343">
        <f t="shared" si="1"/>
        <v>1</v>
      </c>
      <c r="X62" s="344">
        <f>IFERROR(__xludf.DUMMYFUNCTION("SWITCH(
LEN(K62) - LEN(SUBSTITUTE(K62,"","","""")),
0 , VLOOKUP(K62, Variables!$A:$C, 3, FALSE),
1 , VLOOKUP(index(split(K62 ,"", "", FALSE),1,1), Variables!$A:$C, 3, FALSE) + VLOOKUP(index(split(K62 ,"", "", FALSE),1,2), Variables!$A:$C, 3, FALSE),
2 , V"&amp;"LOOKUP(index(split(K62 ,"", "", FALSE),1,1), Variables!$A:$C, 3, FALSE) + VLOOKUP(index(split(K62 ,"", "", FALSE),1,2), Variables!$A:$C, 3, FALSE) + VLOOKUP(index(split(K62 ,"", "", FALSE),1,3), Variables!$A:$C, 3, FALSE)
)"),0.3333333333333333)</f>
        <v>0.3333333333</v>
      </c>
      <c r="Y62" s="342">
        <f t="shared" si="2"/>
        <v>1.166666667</v>
      </c>
      <c r="Z62" s="114"/>
      <c r="AA62" s="114"/>
      <c r="AB62" s="114" t="s">
        <v>2572</v>
      </c>
      <c r="AC62" s="114"/>
      <c r="AD62" s="114" t="s">
        <v>2572</v>
      </c>
      <c r="AE62" s="114"/>
      <c r="AF62" s="114"/>
      <c r="AG62" s="114"/>
      <c r="AH62" s="114"/>
      <c r="AI62" s="114"/>
      <c r="AJ62" s="114" t="s">
        <v>2574</v>
      </c>
      <c r="AK62" s="473">
        <v>8.0</v>
      </c>
      <c r="AL62" s="114" t="s">
        <v>2573</v>
      </c>
      <c r="AM62" s="473">
        <v>8.0</v>
      </c>
      <c r="AN62" s="164" t="s">
        <v>2574</v>
      </c>
      <c r="AO62" s="473">
        <v>16.0</v>
      </c>
      <c r="AP62" s="130">
        <f>SUM(
VLOOKUP("Ravage",vote4TRAITS!A:C,3,FALSE)
)</f>
        <v>7.333333333</v>
      </c>
      <c r="AQ62" s="130">
        <f t="shared" si="3"/>
        <v>14.65333333</v>
      </c>
    </row>
    <row r="63" ht="14.25" customHeight="1">
      <c r="A63" s="137" t="s">
        <v>1473</v>
      </c>
      <c r="B63" s="114" t="s">
        <v>2570</v>
      </c>
      <c r="C63" s="114">
        <v>40.0</v>
      </c>
      <c r="D63" s="114">
        <v>2.0</v>
      </c>
      <c r="E63" s="114">
        <v>1.0</v>
      </c>
      <c r="F63" s="487">
        <v>4.0</v>
      </c>
      <c r="G63" s="488">
        <v>9.0</v>
      </c>
      <c r="H63" s="114" t="s">
        <v>1621</v>
      </c>
      <c r="I63" s="130">
        <f>IFERROR(__xludf.DUMMYFUNCTION("SWITCH(
LEN(H63) - LEN(SUBSTITUTE(H63,"","","""")),
0 , VLOOKUP(H63, Variables!$A:$B, 2, FALSE),
1 , VLOOKUP(index(split(H63 ,"", "", FALSE),1,1), Variables!$A:$B , 2, FALSE) + VLOOKUP(index(split(H63 ,"", "", FALSE),1,2), Variables!$A:$B , 2, FALSE),
2 ,"&amp;" VLOOKUP(index(split(H63 ,"", "", FALSE),1,1), Variables!$A:$B , 2, FALSE) + VLOOKUP(index(split(H63 ,"", "", FALSE),1,2), Variables!$A:$B , 2, FALSE) + VLOOKUP(index(split(H63 ,"", "", FALSE),1,3), Variables!$A:$B , 2, FALSE)
)"),0.6666666666666666)</f>
        <v>0.6666666667</v>
      </c>
      <c r="J63" s="114" t="s">
        <v>1567</v>
      </c>
      <c r="K63" s="114" t="s">
        <v>1546</v>
      </c>
      <c r="L63" s="130">
        <f>IFERROR(__xludf.DUMMYFUNCTION("SWITCH(
LEN(K63) - LEN(SUBSTITUTE(K63,"","","""")),
0 , VLOOKUP(K63, Variables!$A:$B, 2, FALSE),
1 , VLOOKUP(index(split(K63 ,"", "", FALSE),1,1), Variables!$A:$B , 2, FALSE) + VLOOKUP(index(split(K63 ,"", "", FALSE),1,2), Variables!$A:$B , 2, FALSE),
2 ,"&amp;" VLOOKUP(index(split(K63 ,"", "", FALSE),1,1), Variables!$A:$B , 2, FALSE) + VLOOKUP(index(split(K63 ,"", "", FALSE),1,2), Variables!$A:$B , 2, FALSE) + VLOOKUP(index(split(K63 ,"", "", FALSE),1,3), Variables!$A:$B , 2, FALSE)
)
+
IF(J63=""Ranged"", 1 , 0"&amp;")"),4.5)</f>
        <v>4.5</v>
      </c>
      <c r="M63" s="114" t="s">
        <v>1045</v>
      </c>
      <c r="N63" s="130">
        <f>IFERROR(__xludf.DUMMYFUNCTION("IF(ISBLANK(M63), , 
SWITCH(
LEN(M63)- LEN(SUBSTITUTE(M63,"","","""")), 
0 , VLOOKUP(M63, vote4TRAITS!A:C , 3, FALSE),
1 , VLOOKUP(index(split(M63 ,"", "", FALSE),1,1), vote4TRAITS!A:C , 3, FALSE) + VLOOKUP(index(split(M63 ,"", "", FALSE),1,2), vote4TRAITS"&amp;"!A:C , 3, FALSE),
2 , VLOOKUP(index(split(M63 ,"", "", FALSE),1,1), vote4TRAITS!A:C , 3, FALSE) + VLOOKUP(index(split(M63 ,"", "", FALSE),1,2), vote4TRAITS!A:C , 3, FALSE) + VLOOKUP(index(split(M63 ,"", "", FALSE),1,3), vote4TRAITS!A:C , 3, FALSE)
)
)"),5.0)</f>
        <v>5</v>
      </c>
      <c r="O63" s="114" t="s">
        <v>2602</v>
      </c>
      <c r="P63" s="165">
        <f>IFERROR(__xludf.DUMMYFUNCTION("IF(ISBLANK(O63), , 
SWITCH(
LEN(O63)- LEN(SUBSTITUTE(O63,"","","""")), 
0 , VLOOKUP(O63, vote4ACTIONS!A:C , 3, FALSE),
1 , VLOOKUP(index(split(O63 ,"", "", FALSE),1,1), vote4ACTIONS!A:C , 3, FALSE) + VLOOKUP(index(split(O63 ,"", "", FALSE),1,2), vote4ACTI"&amp;"ONS!A:C , 3, FALSE),
2 , VLOOKUP(index(split(O63 ,"", "", FALSE),1,1), vote4ACTIONS!A:C , 3, FALSE) + VLOOKUP(index(split(O63 ,"", "", FALSE),1,2), vote4ACTIONS!A:C , 3, FALSE) + VLOOKUP(index(split(O63 ,"", "", FALSE),1,3), vote4ACTIONS!A:C , 3, FALSE),
"&amp;"3 , VLOOKUP(index(split(O63 ,"", "", FALSE),1,1), vote4ACTIONS!A:C , 3, FALSE) + VLOOKUP(index(split(O63 ,"", "", FALSE),1,2), vote4ACTIONS!A:C , 3, FALSE) + VLOOKUP(index(split(O63 ,"", "", FALSE),1,3), vote4ACTIONS!A:C , 3, FALSE) + VLOOKUP(index(split("&amp;"O63 ,"", "", FALSE),1,4), vote4ACTIONS!A:C , 3, FALSE)
)
)"),3.75)</f>
        <v>3.75</v>
      </c>
      <c r="Q63" s="340" t="s">
        <v>1534</v>
      </c>
      <c r="R63" s="342">
        <f>IF(ISBLANK(Q63),,IFERROR(
IF(IFERROR(SEARCH("SS:",Q63),0) &gt; 0, 
VLOOKUP(SUBSTITUTE(Q63,"SS: ",""),vote4SURGE!$A:$C , 3, FALSE) - 2,
VLOOKUP(SUBSTITUTE(Q63,"S: ",""),vote4SURGE!$A:$C , 3, FALSE)
)
,
IF(IFERROR(SEARCH("SS:",Q63),0) &gt; 0, 
VLOOKUP(A63,vote4SURGE!$A:$C , 3, FALSE) - 2,
VLOOKUP(A63,vote4SURGE!$A:$C , 3, FALSE)
)
))</f>
        <v>4.25</v>
      </c>
      <c r="S63" s="489"/>
      <c r="T63" s="342" t="str">
        <f>IF(ISBLANK(S63),,IFERROR(
IF(IFERROR(SEARCH("SS:",S63),0) &gt; 0, 
VLOOKUP(SUBSTITUTE(S63,"SS: ",""),vote4SURGE!$A:$C , 3, FALSE) - 2,
VLOOKUP(SUBSTITUTE(S63,"S: ",""),vote4SURGE!$A:$C , 3, FALSE)
)
,
IF(IFERROR(SEARCH("SS:",S63),0) &gt; 0, 
VLOOKUP(A63,vote4SURGE!$A:$C , 3, FALSE) - 2,
VLOOKUP(A63,vote4SURGE!$A:$C , 3, FALSE)
)
))</f>
        <v/>
      </c>
      <c r="U63" s="340"/>
      <c r="V63" s="343" t="str">
        <f>IF(ISBLANK(U63),,IFERROR(
IF(IFERROR(SEARCH("SS:",U63),0) &gt; 0, 
VLOOKUP(SUBSTITUTE(U63,"SS: ",""),vote4SURGE!$A:$C , 3, FALSE) - 2,
VLOOKUP(SUBSTITUTE(U63,"S: ",""),vote4SURGE!$A:$C , 3, FALSE)
)
,
IF(IFERROR(SEARCH("SS:",U63),0) &gt; 0, 
VLOOKUP(A63,vote4SURGE!$A:$C , 3, FALSE) - 2,
VLOOKUP(A63,vote4SURGE!$A:$C , 3, FALSE)
)
))</f>
        <v/>
      </c>
      <c r="W63" s="343">
        <f t="shared" si="1"/>
        <v>1</v>
      </c>
      <c r="X63" s="344">
        <f>IFERROR(__xludf.DUMMYFUNCTION("SWITCH(
LEN(K63) - LEN(SUBSTITUTE(K63,"","","""")),
0 , VLOOKUP(K63, Variables!$A:$C, 3, FALSE),
1 , VLOOKUP(index(split(K63 ,"", "", FALSE),1,1), Variables!$A:$C, 3, FALSE) + VLOOKUP(index(split(K63 ,"", "", FALSE),1,2), Variables!$A:$C, 3, FALSE),
2 , V"&amp;"LOOKUP(index(split(K63 ,"", "", FALSE),1,1), Variables!$A:$C, 3, FALSE) + VLOOKUP(index(split(K63 ,"", "", FALSE),1,2), Variables!$A:$C, 3, FALSE) + VLOOKUP(index(split(K63 ,"", "", FALSE),1,3), Variables!$A:$C, 3, FALSE)
)"),1.3333333333333333)</f>
        <v>1.333333333</v>
      </c>
      <c r="Y63" s="342">
        <f t="shared" si="2"/>
        <v>5.666666667</v>
      </c>
      <c r="Z63" s="114"/>
      <c r="AA63" s="114"/>
      <c r="AB63" s="114" t="s">
        <v>2572</v>
      </c>
      <c r="AC63" s="114"/>
      <c r="AD63" s="114" t="s">
        <v>2572</v>
      </c>
      <c r="AE63" s="114"/>
      <c r="AF63" s="114"/>
      <c r="AG63" s="114"/>
      <c r="AH63" s="114"/>
      <c r="AI63" s="114"/>
      <c r="AJ63" s="114" t="s">
        <v>2574</v>
      </c>
      <c r="AK63" s="473">
        <v>16.0</v>
      </c>
      <c r="AL63" s="114" t="s">
        <v>2574</v>
      </c>
      <c r="AM63" s="473">
        <v>23.0</v>
      </c>
      <c r="AN63" s="114" t="s">
        <v>2574</v>
      </c>
      <c r="AO63" s="473">
        <v>30.0</v>
      </c>
      <c r="AP63" s="130">
        <f>SUM(
VLOOKUP("Ravage",vote4TRAITS!A:C,3,FALSE)
)</f>
        <v>7.333333333</v>
      </c>
      <c r="AQ63" s="130">
        <f t="shared" si="3"/>
        <v>18.90333333</v>
      </c>
    </row>
    <row r="64" ht="14.25" customHeight="1">
      <c r="A64" s="137" t="s">
        <v>1473</v>
      </c>
      <c r="B64" s="114" t="s">
        <v>2576</v>
      </c>
      <c r="C64" s="114">
        <v>40.0</v>
      </c>
      <c r="D64" s="114">
        <v>2.0</v>
      </c>
      <c r="E64" s="114">
        <v>1.0</v>
      </c>
      <c r="F64" s="487">
        <v>4.0</v>
      </c>
      <c r="G64" s="488">
        <v>7.0</v>
      </c>
      <c r="H64" s="114" t="s">
        <v>1621</v>
      </c>
      <c r="I64" s="130">
        <f>IFERROR(__xludf.DUMMYFUNCTION("SWITCH(
LEN(H64) - LEN(SUBSTITUTE(H64,"","","""")),
0 , VLOOKUP(H64, Variables!$A:$B, 2, FALSE),
1 , VLOOKUP(index(split(H64 ,"", "", FALSE),1,1), Variables!$A:$B , 2, FALSE) + VLOOKUP(index(split(H64 ,"", "", FALSE),1,2), Variables!$A:$B , 2, FALSE),
2 ,"&amp;" VLOOKUP(index(split(H64 ,"", "", FALSE),1,1), Variables!$A:$B , 2, FALSE) + VLOOKUP(index(split(H64 ,"", "", FALSE),1,2), Variables!$A:$B , 2, FALSE) + VLOOKUP(index(split(H64 ,"", "", FALSE),1,3), Variables!$A:$B , 2, FALSE)
)"),0.6666666666666666)</f>
        <v>0.6666666667</v>
      </c>
      <c r="J64" s="114" t="s">
        <v>1567</v>
      </c>
      <c r="K64" s="114" t="s">
        <v>1548</v>
      </c>
      <c r="L64" s="130">
        <f>IFERROR(__xludf.DUMMYFUNCTION("SWITCH(
LEN(K64) - LEN(SUBSTITUTE(K64,"","","""")),
0 , VLOOKUP(K64, Variables!$A:$B, 2, FALSE),
1 , VLOOKUP(index(split(K64 ,"", "", FALSE),1,1), Variables!$A:$B , 2, FALSE) + VLOOKUP(index(split(K64 ,"", "", FALSE),1,2), Variables!$A:$B , 2, FALSE),
2 ,"&amp;" VLOOKUP(index(split(K64 ,"", "", FALSE),1,1), Variables!$A:$B , 2, FALSE) + VLOOKUP(index(split(K64 ,"", "", FALSE),1,2), Variables!$A:$B , 2, FALSE) + VLOOKUP(index(split(K64 ,"", "", FALSE),1,3), Variables!$A:$B , 2, FALSE)
)
+
IF(J64=""Ranged"", 1 , 0"&amp;")"),3.3333333333333335)</f>
        <v>3.333333333</v>
      </c>
      <c r="M64" s="114"/>
      <c r="N64" s="130" t="str">
        <f>IFERROR(__xludf.DUMMYFUNCTION("IF(ISBLANK(M64), , 
SWITCH(
LEN(M64)- LEN(SUBSTITUTE(M64,"","","""")), 
0 , VLOOKUP(M64, vote4TRAITS!A:C , 3, FALSE),
1 , VLOOKUP(index(split(M64 ,"", "", FALSE),1,1), vote4TRAITS!A:C , 3, FALSE) + VLOOKUP(index(split(M64 ,"", "", FALSE),1,2), vote4TRAITS"&amp;"!A:C , 3, FALSE),
2 , VLOOKUP(index(split(M64 ,"", "", FALSE),1,1), vote4TRAITS!A:C , 3, FALSE) + VLOOKUP(index(split(M64 ,"", "", FALSE),1,2), vote4TRAITS!A:C , 3, FALSE) + VLOOKUP(index(split(M64 ,"", "", FALSE),1,3), vote4TRAITS!A:C , 3, FALSE)
)
)"),"")</f>
        <v/>
      </c>
      <c r="O64" s="114" t="s">
        <v>1314</v>
      </c>
      <c r="P64" s="165">
        <f>IFERROR(__xludf.DUMMYFUNCTION("IF(ISBLANK(O64), , 
SWITCH(
LEN(O64)- LEN(SUBSTITUTE(O64,"","","""")), 
0 , VLOOKUP(O64, vote4ACTIONS!A:C , 3, FALSE),
1 , VLOOKUP(index(split(O64 ,"", "", FALSE),1,1), vote4ACTIONS!A:C , 3, FALSE) + VLOOKUP(index(split(O64 ,"", "", FALSE),1,2), vote4ACTI"&amp;"ONS!A:C , 3, FALSE),
2 , VLOOKUP(index(split(O64 ,"", "", FALSE),1,1), vote4ACTIONS!A:C , 3, FALSE) + VLOOKUP(index(split(O64 ,"", "", FALSE),1,2), vote4ACTIONS!A:C , 3, FALSE) + VLOOKUP(index(split(O64 ,"", "", FALSE),1,3), vote4ACTIONS!A:C , 3, FALSE),
"&amp;"3 , VLOOKUP(index(split(O64 ,"", "", FALSE),1,1), vote4ACTIONS!A:C , 3, FALSE) + VLOOKUP(index(split(O64 ,"", "", FALSE),1,2), vote4ACTIONS!A:C , 3, FALSE) + VLOOKUP(index(split(O64 ,"", "", FALSE),1,3), vote4ACTIONS!A:C , 3, FALSE) + VLOOKUP(index(split("&amp;"O64 ,"", "", FALSE),1,4), vote4ACTIONS!A:C , 3, FALSE)
)
)"),2.5)</f>
        <v>2.5</v>
      </c>
      <c r="Q64" s="340" t="s">
        <v>1534</v>
      </c>
      <c r="R64" s="342">
        <f>IF(ISBLANK(Q64),,IFERROR(
IF(IFERROR(SEARCH("SS:",Q64),0) &gt; 0, 
VLOOKUP(SUBSTITUTE(Q64,"SS: ",""),vote4SURGE!$A:$C , 3, FALSE) - 2,
VLOOKUP(SUBSTITUTE(Q64,"S: ",""),vote4SURGE!$A:$C , 3, FALSE)
)
,
IF(IFERROR(SEARCH("SS:",Q64),0) &gt; 0, 
VLOOKUP(A64,vote4SURGE!$A:$C , 3, FALSE) - 2,
VLOOKUP(A64,vote4SURGE!$A:$C , 3, FALSE)
)
))</f>
        <v>4.25</v>
      </c>
      <c r="S64" s="164"/>
      <c r="T64" s="342" t="str">
        <f>IF(ISBLANK(S64),,IFERROR(
IF(IFERROR(SEARCH("SS:",S64),0) &gt; 0, 
VLOOKUP(SUBSTITUTE(S64,"SS: ",""),vote4SURGE!$A:$C , 3, FALSE) - 2,
VLOOKUP(SUBSTITUTE(S64,"S: ",""),vote4SURGE!$A:$C , 3, FALSE)
)
,
IF(IFERROR(SEARCH("SS:",S64),0) &gt; 0, 
VLOOKUP(A64,vote4SURGE!$A:$C , 3, FALSE) - 2,
VLOOKUP(A64,vote4SURGE!$A:$C , 3, FALSE)
)
))</f>
        <v/>
      </c>
      <c r="U64" s="164"/>
      <c r="V64" s="343" t="str">
        <f>IF(ISBLANK(U64),,IFERROR(
IF(IFERROR(SEARCH("SS:",U64),0) &gt; 0, 
VLOOKUP(SUBSTITUTE(U64,"SS: ",""),vote4SURGE!$A:$C , 3, FALSE) - 2,
VLOOKUP(SUBSTITUTE(U64,"S: ",""),vote4SURGE!$A:$C , 3, FALSE)
)
,
IF(IFERROR(SEARCH("SS:",U64),0) &gt; 0, 
VLOOKUP(A64,vote4SURGE!$A:$C , 3, FALSE) - 2,
VLOOKUP(A64,vote4SURGE!$A:$C , 3, FALSE)
)
))</f>
        <v/>
      </c>
      <c r="W64" s="343">
        <f t="shared" si="1"/>
        <v>1</v>
      </c>
      <c r="X64" s="344">
        <f>IFERROR(__xludf.DUMMYFUNCTION("SWITCH(
LEN(K64) - LEN(SUBSTITUTE(K64,"","","""")),
0 , VLOOKUP(K64, Variables!$A:$C, 3, FALSE),
1 , VLOOKUP(index(split(K64 ,"", "", FALSE),1,1), Variables!$A:$C, 3, FALSE) + VLOOKUP(index(split(K64 ,"", "", FALSE),1,2), Variables!$A:$C, 3, FALSE),
2 , V"&amp;"LOOKUP(index(split(K64 ,"", "", FALSE),1,1), Variables!$A:$C, 3, FALSE) + VLOOKUP(index(split(K64 ,"", "", FALSE),1,2), Variables!$A:$C, 3, FALSE) + VLOOKUP(index(split(K64 ,"", "", FALSE),1,3), Variables!$A:$C, 3, FALSE)
)"),0.8333333333333333)</f>
        <v>0.8333333333</v>
      </c>
      <c r="Y64" s="342">
        <f t="shared" si="2"/>
        <v>3.541666667</v>
      </c>
      <c r="Z64" s="114"/>
      <c r="AA64" s="114"/>
      <c r="AB64" s="114" t="s">
        <v>2572</v>
      </c>
      <c r="AC64" s="114"/>
      <c r="AD64" s="114" t="s">
        <v>2572</v>
      </c>
      <c r="AE64" s="114"/>
      <c r="AF64" s="114"/>
      <c r="AG64" s="114"/>
      <c r="AH64" s="114"/>
      <c r="AI64" s="114"/>
      <c r="AJ64" s="114" t="s">
        <v>2574</v>
      </c>
      <c r="AK64" s="473">
        <v>16.0</v>
      </c>
      <c r="AL64" s="114" t="s">
        <v>369</v>
      </c>
      <c r="AM64" s="473">
        <v>23.0</v>
      </c>
      <c r="AN64" s="114" t="s">
        <v>368</v>
      </c>
      <c r="AO64" s="473">
        <v>30.0</v>
      </c>
      <c r="AP64" s="130">
        <f>SUM(
VLOOKUP("Ravage",vote4TRAITS!A:C,3,FALSE)
)</f>
        <v>7.333333333</v>
      </c>
      <c r="AQ64" s="130">
        <f t="shared" si="3"/>
        <v>8.028333333</v>
      </c>
    </row>
    <row r="65" ht="14.25" customHeight="1">
      <c r="A65" s="137" t="s">
        <v>1473</v>
      </c>
      <c r="B65" s="114" t="s">
        <v>2570</v>
      </c>
      <c r="C65" s="114">
        <v>40.0</v>
      </c>
      <c r="D65" s="114">
        <v>1.0</v>
      </c>
      <c r="E65" s="114">
        <v>1.0</v>
      </c>
      <c r="F65" s="487">
        <v>4.0</v>
      </c>
      <c r="G65" s="488">
        <v>6.0</v>
      </c>
      <c r="H65" s="114" t="s">
        <v>1621</v>
      </c>
      <c r="I65" s="130">
        <f>IFERROR(__xludf.DUMMYFUNCTION("SWITCH(
LEN(H65) - LEN(SUBSTITUTE(H65,"","","""")),
0 , VLOOKUP(H65, Variables!$A:$B, 2, FALSE),
1 , VLOOKUP(index(split(H65 ,"", "", FALSE),1,1), Variables!$A:$B , 2, FALSE) + VLOOKUP(index(split(H65 ,"", "", FALSE),1,2), Variables!$A:$B , 2, FALSE),
2 ,"&amp;" VLOOKUP(index(split(H65 ,"", "", FALSE),1,1), Variables!$A:$B , 2, FALSE) + VLOOKUP(index(split(H65 ,"", "", FALSE),1,2), Variables!$A:$B , 2, FALSE) + VLOOKUP(index(split(H65 ,"", "", FALSE),1,3), Variables!$A:$B , 2, FALSE)
)"),0.6666666666666666)</f>
        <v>0.6666666667</v>
      </c>
      <c r="J65" s="114" t="s">
        <v>1567</v>
      </c>
      <c r="K65" s="114" t="s">
        <v>1548</v>
      </c>
      <c r="L65" s="130">
        <f>IFERROR(__xludf.DUMMYFUNCTION("SWITCH(
LEN(K65) - LEN(SUBSTITUTE(K65,"","","""")),
0 , VLOOKUP(K65, Variables!$A:$B, 2, FALSE),
1 , VLOOKUP(index(split(K65 ,"", "", FALSE),1,1), Variables!$A:$B , 2, FALSE) + VLOOKUP(index(split(K65 ,"", "", FALSE),1,2), Variables!$A:$B , 2, FALSE),
2 ,"&amp;" VLOOKUP(index(split(K65 ,"", "", FALSE),1,1), Variables!$A:$B , 2, FALSE) + VLOOKUP(index(split(K65 ,"", "", FALSE),1,2), Variables!$A:$B , 2, FALSE) + VLOOKUP(index(split(K65 ,"", "", FALSE),1,3), Variables!$A:$B , 2, FALSE)
)
+
IF(J65=""Ranged"", 1 , 0"&amp;")"),3.3333333333333335)</f>
        <v>3.333333333</v>
      </c>
      <c r="M65" s="114"/>
      <c r="N65" s="130" t="str">
        <f>IFERROR(__xludf.DUMMYFUNCTION("IF(ISBLANK(M65), , 
SWITCH(
LEN(M65)- LEN(SUBSTITUTE(M65,"","","""")), 
0 , VLOOKUP(M65, vote4TRAITS!A:C , 3, FALSE),
1 , VLOOKUP(index(split(M65 ,"", "", FALSE),1,1), vote4TRAITS!A:C , 3, FALSE) + VLOOKUP(index(split(M65 ,"", "", FALSE),1,2), vote4TRAITS"&amp;"!A:C , 3, FALSE),
2 , VLOOKUP(index(split(M65 ,"", "", FALSE),1,1), vote4TRAITS!A:C , 3, FALSE) + VLOOKUP(index(split(M65 ,"", "", FALSE),1,2), vote4TRAITS!A:C , 3, FALSE) + VLOOKUP(index(split(M65 ,"", "", FALSE),1,3), vote4TRAITS!A:C , 3, FALSE)
)
)"),"")</f>
        <v/>
      </c>
      <c r="O65" s="114" t="s">
        <v>2602</v>
      </c>
      <c r="P65" s="165">
        <f>IFERROR(__xludf.DUMMYFUNCTION("IF(ISBLANK(O65), , 
SWITCH(
LEN(O65)- LEN(SUBSTITUTE(O65,"","","""")), 
0 , VLOOKUP(O65, vote4ACTIONS!A:C , 3, FALSE),
1 , VLOOKUP(index(split(O65 ,"", "", FALSE),1,1), vote4ACTIONS!A:C , 3, FALSE) + VLOOKUP(index(split(O65 ,"", "", FALSE),1,2), vote4ACTI"&amp;"ONS!A:C , 3, FALSE),
2 , VLOOKUP(index(split(O65 ,"", "", FALSE),1,1), vote4ACTIONS!A:C , 3, FALSE) + VLOOKUP(index(split(O65 ,"", "", FALSE),1,2), vote4ACTIONS!A:C , 3, FALSE) + VLOOKUP(index(split(O65 ,"", "", FALSE),1,3), vote4ACTIONS!A:C , 3, FALSE),
"&amp;"3 , VLOOKUP(index(split(O65 ,"", "", FALSE),1,1), vote4ACTIONS!A:C , 3, FALSE) + VLOOKUP(index(split(O65 ,"", "", FALSE),1,2), vote4ACTIONS!A:C , 3, FALSE) + VLOOKUP(index(split(O65 ,"", "", FALSE),1,3), vote4ACTIONS!A:C , 3, FALSE) + VLOOKUP(index(split("&amp;"O65 ,"", "", FALSE),1,4), vote4ACTIONS!A:C , 3, FALSE)
)
)"),3.75)</f>
        <v>3.75</v>
      </c>
      <c r="Q65" s="340" t="s">
        <v>1562</v>
      </c>
      <c r="R65" s="342">
        <f>IF(ISBLANK(Q65),,IFERROR(
IF(IFERROR(SEARCH("SS:",Q65),0) &gt; 0, 
VLOOKUP(SUBSTITUTE(Q65,"SS: ",""),vote4SURGE!$A:$C , 3, FALSE) - 2,
VLOOKUP(SUBSTITUTE(Q65,"S: ",""),vote4SURGE!$A:$C , 3, FALSE)
)
,
IF(IFERROR(SEARCH("SS:",Q65),0) &gt; 0, 
VLOOKUP(A65,vote4SURGE!$A:$C , 3, FALSE) - 2,
VLOOKUP(A65,vote4SURGE!$A:$C , 3, FALSE)
)
))</f>
        <v>3.5</v>
      </c>
      <c r="S65" s="164"/>
      <c r="T65" s="342" t="str">
        <f>IF(ISBLANK(S65),,IFERROR(
IF(IFERROR(SEARCH("SS:",S65),0) &gt; 0, 
VLOOKUP(SUBSTITUTE(S65,"SS: ",""),vote4SURGE!$A:$C , 3, FALSE) - 2,
VLOOKUP(SUBSTITUTE(S65,"S: ",""),vote4SURGE!$A:$C , 3, FALSE)
)
,
IF(IFERROR(SEARCH("SS:",S65),0) &gt; 0, 
VLOOKUP(A65,vote4SURGE!$A:$C , 3, FALSE) - 2,
VLOOKUP(A65,vote4SURGE!$A:$C , 3, FALSE)
)
))</f>
        <v/>
      </c>
      <c r="U65" s="164"/>
      <c r="V65" s="343" t="str">
        <f>IF(ISBLANK(U65),,IFERROR(
IF(IFERROR(SEARCH("SS:",U65),0) &gt; 0, 
VLOOKUP(SUBSTITUTE(U65,"SS: ",""),vote4SURGE!$A:$C , 3, FALSE) - 2,
VLOOKUP(SUBSTITUTE(U65,"S: ",""),vote4SURGE!$A:$C , 3, FALSE)
)
,
IF(IFERROR(SEARCH("SS:",U65),0) &gt; 0, 
VLOOKUP(A65,vote4SURGE!$A:$C , 3, FALSE) - 2,
VLOOKUP(A65,vote4SURGE!$A:$C , 3, FALSE)
)
))</f>
        <v/>
      </c>
      <c r="W65" s="343">
        <f t="shared" si="1"/>
        <v>1</v>
      </c>
      <c r="X65" s="344">
        <f>IFERROR(__xludf.DUMMYFUNCTION("SWITCH(
LEN(K65) - LEN(SUBSTITUTE(K65,"","","""")),
0 , VLOOKUP(K65, Variables!$A:$C, 3, FALSE),
1 , VLOOKUP(index(split(K65 ,"", "", FALSE),1,1), Variables!$A:$C, 3, FALSE) + VLOOKUP(index(split(K65 ,"", "", FALSE),1,2), Variables!$A:$C, 3, FALSE),
2 , V"&amp;"LOOKUP(index(split(K65 ,"", "", FALSE),1,1), Variables!$A:$C, 3, FALSE) + VLOOKUP(index(split(K65 ,"", "", FALSE),1,2), Variables!$A:$C, 3, FALSE) + VLOOKUP(index(split(K65 ,"", "", FALSE),1,3), Variables!$A:$C, 3, FALSE)
)"),0.8333333333333333)</f>
        <v>0.8333333333</v>
      </c>
      <c r="Y65" s="342">
        <f t="shared" si="2"/>
        <v>2.916666667</v>
      </c>
      <c r="Z65" s="114"/>
      <c r="AA65" s="114"/>
      <c r="AB65" s="114" t="s">
        <v>2572</v>
      </c>
      <c r="AC65" s="114"/>
      <c r="AD65" s="114" t="s">
        <v>2572</v>
      </c>
      <c r="AE65" s="114"/>
      <c r="AF65" s="114"/>
      <c r="AG65" s="114"/>
      <c r="AH65" s="114"/>
      <c r="AI65" s="114"/>
      <c r="AJ65" s="114" t="s">
        <v>2574</v>
      </c>
      <c r="AK65" s="473">
        <v>10.0</v>
      </c>
      <c r="AL65" s="114" t="s">
        <v>2574</v>
      </c>
      <c r="AM65" s="473">
        <v>14.0</v>
      </c>
      <c r="AN65" s="114" t="s">
        <v>2574</v>
      </c>
      <c r="AO65" s="473">
        <v>18.0</v>
      </c>
      <c r="AP65" s="130">
        <f>SUM(
VLOOKUP("Ravage",vote4TRAITS!A:C,3,FALSE)
)</f>
        <v>7.333333333</v>
      </c>
      <c r="AQ65" s="130">
        <f t="shared" si="3"/>
        <v>7.986666667</v>
      </c>
    </row>
    <row r="66" ht="14.25" customHeight="1">
      <c r="A66" s="137" t="s">
        <v>1473</v>
      </c>
      <c r="B66" s="114" t="s">
        <v>2576</v>
      </c>
      <c r="C66" s="114">
        <v>40.0</v>
      </c>
      <c r="D66" s="114">
        <v>1.0</v>
      </c>
      <c r="E66" s="114">
        <v>1.0</v>
      </c>
      <c r="F66" s="487">
        <v>4.0</v>
      </c>
      <c r="G66" s="488">
        <v>4.0</v>
      </c>
      <c r="H66" s="114" t="s">
        <v>1621</v>
      </c>
      <c r="I66" s="130">
        <f>IFERROR(__xludf.DUMMYFUNCTION("SWITCH(
LEN(H66) - LEN(SUBSTITUTE(H66,"","","""")),
0 , VLOOKUP(H66, Variables!$A:$B, 2, FALSE),
1 , VLOOKUP(index(split(H66 ,"", "", FALSE),1,1), Variables!$A:$B , 2, FALSE) + VLOOKUP(index(split(H66 ,"", "", FALSE),1,2), Variables!$A:$B , 2, FALSE),
2 ,"&amp;" VLOOKUP(index(split(H66 ,"", "", FALSE),1,1), Variables!$A:$B , 2, FALSE) + VLOOKUP(index(split(H66 ,"", "", FALSE),1,2), Variables!$A:$B , 2, FALSE) + VLOOKUP(index(split(H66 ,"", "", FALSE),1,3), Variables!$A:$B , 2, FALSE)
)"),0.6666666666666666)</f>
        <v>0.6666666667</v>
      </c>
      <c r="J66" s="114" t="s">
        <v>1567</v>
      </c>
      <c r="K66" s="114" t="s">
        <v>1548</v>
      </c>
      <c r="L66" s="130">
        <f>IFERROR(__xludf.DUMMYFUNCTION("SWITCH(
LEN(K66) - LEN(SUBSTITUTE(K66,"","","""")),
0 , VLOOKUP(K66, Variables!$A:$B, 2, FALSE),
1 , VLOOKUP(index(split(K66 ,"", "", FALSE),1,1), Variables!$A:$B , 2, FALSE) + VLOOKUP(index(split(K66 ,"", "", FALSE),1,2), Variables!$A:$B , 2, FALSE),
2 ,"&amp;" VLOOKUP(index(split(K66 ,"", "", FALSE),1,1), Variables!$A:$B , 2, FALSE) + VLOOKUP(index(split(K66 ,"", "", FALSE),1,2), Variables!$A:$B , 2, FALSE) + VLOOKUP(index(split(K66 ,"", "", FALSE),1,3), Variables!$A:$B , 2, FALSE)
)
+
IF(J66=""Ranged"", 1 , 0"&amp;")"),3.3333333333333335)</f>
        <v>3.333333333</v>
      </c>
      <c r="M66" s="114"/>
      <c r="N66" s="130" t="str">
        <f>IFERROR(__xludf.DUMMYFUNCTION("IF(ISBLANK(M66), , 
SWITCH(
LEN(M66)- LEN(SUBSTITUTE(M66,"","","""")), 
0 , VLOOKUP(M66, vote4TRAITS!A:C , 3, FALSE),
1 , VLOOKUP(index(split(M66 ,"", "", FALSE),1,1), vote4TRAITS!A:C , 3, FALSE) + VLOOKUP(index(split(M66 ,"", "", FALSE),1,2), vote4TRAITS"&amp;"!A:C , 3, FALSE),
2 , VLOOKUP(index(split(M66 ,"", "", FALSE),1,1), vote4TRAITS!A:C , 3, FALSE) + VLOOKUP(index(split(M66 ,"", "", FALSE),1,2), vote4TRAITS!A:C , 3, FALSE) + VLOOKUP(index(split(M66 ,"", "", FALSE),1,3), vote4TRAITS!A:C , 3, FALSE)
)
)"),"")</f>
        <v/>
      </c>
      <c r="O66" s="114" t="s">
        <v>1314</v>
      </c>
      <c r="P66" s="165">
        <f>IFERROR(__xludf.DUMMYFUNCTION("IF(ISBLANK(O66), , 
SWITCH(
LEN(O66)- LEN(SUBSTITUTE(O66,"","","""")), 
0 , VLOOKUP(O66, vote4ACTIONS!A:C , 3, FALSE),
1 , VLOOKUP(index(split(O66 ,"", "", FALSE),1,1), vote4ACTIONS!A:C , 3, FALSE) + VLOOKUP(index(split(O66 ,"", "", FALSE),1,2), vote4ACTI"&amp;"ONS!A:C , 3, FALSE),
2 , VLOOKUP(index(split(O66 ,"", "", FALSE),1,1), vote4ACTIONS!A:C , 3, FALSE) + VLOOKUP(index(split(O66 ,"", "", FALSE),1,2), vote4ACTIONS!A:C , 3, FALSE) + VLOOKUP(index(split(O66 ,"", "", FALSE),1,3), vote4ACTIONS!A:C , 3, FALSE),
"&amp;"3 , VLOOKUP(index(split(O66 ,"", "", FALSE),1,1), vote4ACTIONS!A:C , 3, FALSE) + VLOOKUP(index(split(O66 ,"", "", FALSE),1,2), vote4ACTIONS!A:C , 3, FALSE) + VLOOKUP(index(split(O66 ,"", "", FALSE),1,3), vote4ACTIONS!A:C , 3, FALSE) + VLOOKUP(index(split("&amp;"O66 ,"", "", FALSE),1,4), vote4ACTIONS!A:C , 3, FALSE)
)
)"),2.5)</f>
        <v>2.5</v>
      </c>
      <c r="Q66" s="340" t="s">
        <v>1562</v>
      </c>
      <c r="R66" s="342">
        <f>IF(ISBLANK(Q66),,IFERROR(
IF(IFERROR(SEARCH("SS:",Q66),0) &gt; 0, 
VLOOKUP(SUBSTITUTE(Q66,"SS: ",""),vote4SURGE!$A:$C , 3, FALSE) - 2,
VLOOKUP(SUBSTITUTE(Q66,"S: ",""),vote4SURGE!$A:$C , 3, FALSE)
)
,
IF(IFERROR(SEARCH("SS:",Q66),0) &gt; 0, 
VLOOKUP(A66,vote4SURGE!$A:$C , 3, FALSE) - 2,
VLOOKUP(A66,vote4SURGE!$A:$C , 3, FALSE)
)
))</f>
        <v>3.5</v>
      </c>
      <c r="S66" s="164"/>
      <c r="T66" s="342" t="str">
        <f>IF(ISBLANK(S66),,IFERROR(
IF(IFERROR(SEARCH("SS:",S66),0) &gt; 0, 
VLOOKUP(SUBSTITUTE(S66,"SS: ",""),vote4SURGE!$A:$C , 3, FALSE) - 2,
VLOOKUP(SUBSTITUTE(S66,"S: ",""),vote4SURGE!$A:$C , 3, FALSE)
)
,
IF(IFERROR(SEARCH("SS:",S66),0) &gt; 0, 
VLOOKUP(A66,vote4SURGE!$A:$C , 3, FALSE) - 2,
VLOOKUP(A66,vote4SURGE!$A:$C , 3, FALSE)
)
))</f>
        <v/>
      </c>
      <c r="U66" s="164"/>
      <c r="V66" s="343" t="str">
        <f>IF(ISBLANK(U66),,IFERROR(
IF(IFERROR(SEARCH("SS:",U66),0) &gt; 0, 
VLOOKUP(SUBSTITUTE(U66,"SS: ",""),vote4SURGE!$A:$C , 3, FALSE) - 2,
VLOOKUP(SUBSTITUTE(U66,"S: ",""),vote4SURGE!$A:$C , 3, FALSE)
)
,
IF(IFERROR(SEARCH("SS:",U66),0) &gt; 0, 
VLOOKUP(A66,vote4SURGE!$A:$C , 3, FALSE) - 2,
VLOOKUP(A66,vote4SURGE!$A:$C , 3, FALSE)
)
))</f>
        <v/>
      </c>
      <c r="W66" s="343">
        <f t="shared" si="1"/>
        <v>1</v>
      </c>
      <c r="X66" s="344">
        <f>IFERROR(__xludf.DUMMYFUNCTION("SWITCH(
LEN(K66) - LEN(SUBSTITUTE(K66,"","","""")),
0 , VLOOKUP(K66, Variables!$A:$C, 3, FALSE),
1 , VLOOKUP(index(split(K66 ,"", "", FALSE),1,1), Variables!$A:$C, 3, FALSE) + VLOOKUP(index(split(K66 ,"", "", FALSE),1,2), Variables!$A:$C, 3, FALSE),
2 , V"&amp;"LOOKUP(index(split(K66 ,"", "", FALSE),1,1), Variables!$A:$C, 3, FALSE) + VLOOKUP(index(split(K66 ,"", "", FALSE),1,2), Variables!$A:$C, 3, FALSE) + VLOOKUP(index(split(K66 ,"", "", FALSE),1,3), Variables!$A:$C, 3, FALSE)
)"),0.8333333333333333)</f>
        <v>0.8333333333</v>
      </c>
      <c r="Y66" s="342">
        <f t="shared" si="2"/>
        <v>2.916666667</v>
      </c>
      <c r="Z66" s="114"/>
      <c r="AA66" s="114"/>
      <c r="AB66" s="114" t="s">
        <v>2572</v>
      </c>
      <c r="AC66" s="114"/>
      <c r="AD66" s="114" t="s">
        <v>2572</v>
      </c>
      <c r="AE66" s="114"/>
      <c r="AF66" s="114"/>
      <c r="AG66" s="114"/>
      <c r="AH66" s="114"/>
      <c r="AI66" s="114"/>
      <c r="AJ66" s="114" t="s">
        <v>2574</v>
      </c>
      <c r="AK66" s="473">
        <v>10.0</v>
      </c>
      <c r="AL66" s="114" t="s">
        <v>369</v>
      </c>
      <c r="AM66" s="473">
        <v>14.0</v>
      </c>
      <c r="AN66" s="114" t="s">
        <v>368</v>
      </c>
      <c r="AO66" s="473">
        <v>18.0</v>
      </c>
      <c r="AP66" s="130">
        <f>SUM(
VLOOKUP("Ravage",vote4TRAITS!A:C,3,FALSE)
)</f>
        <v>7.333333333</v>
      </c>
      <c r="AQ66" s="130">
        <f t="shared" si="3"/>
        <v>5.403333333</v>
      </c>
    </row>
    <row r="67" ht="14.25" customHeight="1">
      <c r="A67" s="137" t="s">
        <v>1467</v>
      </c>
      <c r="B67" s="114" t="s">
        <v>2570</v>
      </c>
      <c r="C67" s="114">
        <v>45.0</v>
      </c>
      <c r="D67" s="114">
        <v>2.0</v>
      </c>
      <c r="E67" s="114">
        <v>1.0</v>
      </c>
      <c r="F67" s="487">
        <v>5.0</v>
      </c>
      <c r="G67" s="488">
        <v>10.0</v>
      </c>
      <c r="H67" s="114" t="s">
        <v>1663</v>
      </c>
      <c r="I67" s="130">
        <f>IFERROR(__xludf.DUMMYFUNCTION("SWITCH(
LEN(H67) - LEN(SUBSTITUTE(H67,"","","""")),
0 , VLOOKUP(H67, Variables!$A:$B, 2, FALSE),
1 , VLOOKUP(index(split(H67 ,"", "", FALSE),1,1), Variables!$A:$B , 2, FALSE) + VLOOKUP(index(split(H67 ,"", "", FALSE),1,2), Variables!$A:$B , 2, FALSE),
2 ,"&amp;" VLOOKUP(index(split(H67 ,"", "", FALSE),1,1), Variables!$A:$B , 2, FALSE) + VLOOKUP(index(split(H67 ,"", "", FALSE),1,2), Variables!$A:$B , 2, FALSE) + VLOOKUP(index(split(H67 ,"", "", FALSE),1,3), Variables!$A:$B , 2, FALSE)
)"),1.3333333333333333)</f>
        <v>1.333333333</v>
      </c>
      <c r="J67" s="114" t="s">
        <v>1521</v>
      </c>
      <c r="K67" s="114" t="s">
        <v>1548</v>
      </c>
      <c r="L67" s="130">
        <f>IFERROR(__xludf.DUMMYFUNCTION("SWITCH(
LEN(K67) - LEN(SUBSTITUTE(K67,"","","""")),
0 , VLOOKUP(K67, Variables!$A:$B, 2, FALSE),
1 , VLOOKUP(index(split(K67 ,"", "", FALSE),1,1), Variables!$A:$B , 2, FALSE) + VLOOKUP(index(split(K67 ,"", "", FALSE),1,2), Variables!$A:$B , 2, FALSE),
2 ,"&amp;" VLOOKUP(index(split(K67 ,"", "", FALSE),1,1), Variables!$A:$B , 2, FALSE) + VLOOKUP(index(split(K67 ,"", "", FALSE),1,2), Variables!$A:$B , 2, FALSE) + VLOOKUP(index(split(K67 ,"", "", FALSE),1,3), Variables!$A:$B , 2, FALSE)
)
+
IF(J67=""Ranged"", 1 , 0"&amp;")"),2.3333333333333335)</f>
        <v>2.333333333</v>
      </c>
      <c r="M67" s="114" t="s">
        <v>2603</v>
      </c>
      <c r="N67" s="130">
        <f>IFERROR(__xludf.DUMMYFUNCTION("IF(ISBLANK(M67), , 
SWITCH(
LEN(M67)- LEN(SUBSTITUTE(M67,"","","""")), 
0 , VLOOKUP(M67, vote4TRAITS!A:C , 3, FALSE),
1 , VLOOKUP(index(split(M67 ,"", "", FALSE),1,1), vote4TRAITS!A:C , 3, FALSE) + VLOOKUP(index(split(M67 ,"", "", FALSE),1,2), vote4TRAITS"&amp;"!A:C , 3, FALSE),
2 , VLOOKUP(index(split(M67 ,"", "", FALSE),1,1), vote4TRAITS!A:C , 3, FALSE) + VLOOKUP(index(split(M67 ,"", "", FALSE),1,2), vote4TRAITS!A:C , 3, FALSE) + VLOOKUP(index(split(M67 ,"", "", FALSE),1,3), vote4TRAITS!A:C , 3, FALSE)
)
)"),18.916666666666664)</f>
        <v>18.91666667</v>
      </c>
      <c r="O67" s="490"/>
      <c r="P67" s="165" t="str">
        <f>IFERROR(__xludf.DUMMYFUNCTION("IF(ISBLANK(O67), , 
SWITCH(
LEN(O67)- LEN(SUBSTITUTE(O67,"","","""")), 
0 , VLOOKUP(O67, vote4ACTIONS!A:C , 3, FALSE),
1 , VLOOKUP(index(split(O67 ,"", "", FALSE),1,1), vote4ACTIONS!A:C , 3, FALSE) + VLOOKUP(index(split(O67 ,"", "", FALSE),1,2), vote4ACTI"&amp;"ONS!A:C , 3, FALSE),
2 , VLOOKUP(index(split(O67 ,"", "", FALSE),1,1), vote4ACTIONS!A:C , 3, FALSE) + VLOOKUP(index(split(O67 ,"", "", FALSE),1,2), vote4ACTIONS!A:C , 3, FALSE) + VLOOKUP(index(split(O67 ,"", "", FALSE),1,3), vote4ACTIONS!A:C , 3, FALSE),
"&amp;"3 , VLOOKUP(index(split(O67 ,"", "", FALSE),1,1), vote4ACTIONS!A:C , 3, FALSE) + VLOOKUP(index(split(O67 ,"", "", FALSE),1,2), vote4ACTIONS!A:C , 3, FALSE) + VLOOKUP(index(split(O67 ,"", "", FALSE),1,3), vote4ACTIONS!A:C , 3, FALSE) + VLOOKUP(index(split("&amp;"O67 ,"", "", FALSE),1,4), vote4ACTIONS!A:C , 3, FALSE)
)
)"),"")</f>
        <v/>
      </c>
      <c r="Q67" s="340" t="s">
        <v>1534</v>
      </c>
      <c r="R67" s="342">
        <f>IF(ISBLANK(Q67),,IFERROR(
IF(IFERROR(SEARCH("SS:",Q67),0) &gt; 0, 
VLOOKUP(SUBSTITUTE(Q67,"SS: ",""),vote4SURGE!$A:$C , 3, FALSE) - 2,
VLOOKUP(SUBSTITUTE(Q67,"S: ",""),vote4SURGE!$A:$C , 3, FALSE)
)
,
IF(IFERROR(SEARCH("SS:",Q67),0) &gt; 0, 
VLOOKUP(A67,vote4SURGE!$A:$C , 3, FALSE) - 2,
VLOOKUP(A67,vote4SURGE!$A:$C , 3, FALSE)
)
))</f>
        <v>4.25</v>
      </c>
      <c r="S67" s="489"/>
      <c r="T67" s="342" t="str">
        <f>IF(ISBLANK(S67),,IFERROR(
IF(IFERROR(SEARCH("SS:",S67),0) &gt; 0, 
VLOOKUP(SUBSTITUTE(S67,"SS: ",""),vote4SURGE!$A:$C , 3, FALSE) - 2,
VLOOKUP(SUBSTITUTE(S67,"S: ",""),vote4SURGE!$A:$C , 3, FALSE)
)
,
IF(IFERROR(SEARCH("SS:",S67),0) &gt; 0, 
VLOOKUP(A67,vote4SURGE!$A:$C , 3, FALSE) - 2,
VLOOKUP(A67,vote4SURGE!$A:$C , 3, FALSE)
)
))</f>
        <v/>
      </c>
      <c r="U67" s="341"/>
      <c r="V67" s="343" t="str">
        <f>IF(ISBLANK(U67),,IFERROR(
IF(IFERROR(SEARCH("SS:",U67),0) &gt; 0, 
VLOOKUP(SUBSTITUTE(U67,"SS: ",""),vote4SURGE!$A:$C , 3, FALSE) - 2,
VLOOKUP(SUBSTITUTE(U67,"S: ",""),vote4SURGE!$A:$C , 3, FALSE)
)
,
IF(IFERROR(SEARCH("SS:",U67),0) &gt; 0, 
VLOOKUP(A67,vote4SURGE!$A:$C , 3, FALSE) - 2,
VLOOKUP(A67,vote4SURGE!$A:$C , 3, FALSE)
)
))</f>
        <v/>
      </c>
      <c r="W67" s="343">
        <f t="shared" si="1"/>
        <v>1</v>
      </c>
      <c r="X67" s="344">
        <f>IFERROR(__xludf.DUMMYFUNCTION("SWITCH(
LEN(K67) - LEN(SUBSTITUTE(K67,"","","""")),
0 , VLOOKUP(K67, Variables!$A:$C, 3, FALSE),
1 , VLOOKUP(index(split(K67 ,"", "", FALSE),1,1), Variables!$A:$C, 3, FALSE) + VLOOKUP(index(split(K67 ,"", "", FALSE),1,2), Variables!$A:$C, 3, FALSE),
2 , V"&amp;"LOOKUP(index(split(K67 ,"", "", FALSE),1,1), Variables!$A:$C, 3, FALSE) + VLOOKUP(index(split(K67 ,"", "", FALSE),1,2), Variables!$A:$C, 3, FALSE) + VLOOKUP(index(split(K67 ,"", "", FALSE),1,3), Variables!$A:$C, 3, FALSE)
)"),0.8333333333333333)</f>
        <v>0.8333333333</v>
      </c>
      <c r="Y67" s="342">
        <f t="shared" si="2"/>
        <v>3.541666667</v>
      </c>
      <c r="Z67" s="114"/>
      <c r="AA67" s="114" t="s">
        <v>2572</v>
      </c>
      <c r="AB67" s="114"/>
      <c r="AC67" s="114"/>
      <c r="AD67" s="114"/>
      <c r="AE67" s="114" t="s">
        <v>2572</v>
      </c>
      <c r="AF67" s="114"/>
      <c r="AG67" s="114"/>
      <c r="AH67" s="114"/>
      <c r="AI67" s="114"/>
      <c r="AJ67" s="114" t="s">
        <v>2573</v>
      </c>
      <c r="AK67" s="473">
        <v>8.0</v>
      </c>
      <c r="AL67" s="114" t="s">
        <v>2574</v>
      </c>
      <c r="AM67" s="473">
        <v>10.0</v>
      </c>
      <c r="AN67" s="114" t="s">
        <v>2574</v>
      </c>
      <c r="AO67" s="473">
        <v>18.0</v>
      </c>
      <c r="AP67" s="130">
        <f>SUM(
VLOOKUP("Ravage",vote4TRAITS!A:C,3,FALSE)
)</f>
        <v>7.333333333</v>
      </c>
      <c r="AQ67" s="130">
        <f t="shared" si="3"/>
        <v>32.44166667</v>
      </c>
    </row>
    <row r="68" ht="14.25" customHeight="1">
      <c r="A68" s="137" t="s">
        <v>1467</v>
      </c>
      <c r="B68" s="114" t="s">
        <v>2570</v>
      </c>
      <c r="C68" s="114">
        <v>45.0</v>
      </c>
      <c r="D68" s="114">
        <v>1.0</v>
      </c>
      <c r="E68" s="114">
        <v>1.0</v>
      </c>
      <c r="F68" s="487">
        <v>5.0</v>
      </c>
      <c r="G68" s="488">
        <v>9.0</v>
      </c>
      <c r="H68" s="114" t="s">
        <v>1621</v>
      </c>
      <c r="I68" s="130">
        <f>IFERROR(__xludf.DUMMYFUNCTION("SWITCH(
LEN(H68) - LEN(SUBSTITUTE(H68,"","","""")),
0 , VLOOKUP(H68, Variables!$A:$B, 2, FALSE),
1 , VLOOKUP(index(split(H68 ,"", "", FALSE),1,1), Variables!$A:$B , 2, FALSE) + VLOOKUP(index(split(H68 ,"", "", FALSE),1,2), Variables!$A:$B , 2, FALSE),
2 ,"&amp;" VLOOKUP(index(split(H68 ,"", "", FALSE),1,1), Variables!$A:$B , 2, FALSE) + VLOOKUP(index(split(H68 ,"", "", FALSE),1,2), Variables!$A:$B , 2, FALSE) + VLOOKUP(index(split(H68 ,"", "", FALSE),1,3), Variables!$A:$B , 2, FALSE)
)"),0.6666666666666666)</f>
        <v>0.6666666667</v>
      </c>
      <c r="J68" s="114" t="s">
        <v>1521</v>
      </c>
      <c r="K68" s="114" t="s">
        <v>1548</v>
      </c>
      <c r="L68" s="130">
        <f>IFERROR(__xludf.DUMMYFUNCTION("SWITCH(
LEN(K68) - LEN(SUBSTITUTE(K68,"","","""")),
0 , VLOOKUP(K68, Variables!$A:$B, 2, FALSE),
1 , VLOOKUP(index(split(K68 ,"", "", FALSE),1,1), Variables!$A:$B , 2, FALSE) + VLOOKUP(index(split(K68 ,"", "", FALSE),1,2), Variables!$A:$B , 2, FALSE),
2 ,"&amp;" VLOOKUP(index(split(K68 ,"", "", FALSE),1,1), Variables!$A:$B , 2, FALSE) + VLOOKUP(index(split(K68 ,"", "", FALSE),1,2), Variables!$A:$B , 2, FALSE) + VLOOKUP(index(split(K68 ,"", "", FALSE),1,3), Variables!$A:$B , 2, FALSE)
)
+
IF(J68=""Ranged"", 1 , 0"&amp;")"),2.3333333333333335)</f>
        <v>2.333333333</v>
      </c>
      <c r="M68" s="114" t="s">
        <v>2604</v>
      </c>
      <c r="N68" s="130">
        <f>IFERROR(__xludf.DUMMYFUNCTION("IF(ISBLANK(M68), , 
SWITCH(
LEN(M68)- LEN(SUBSTITUTE(M68,"","","""")), 
0 , VLOOKUP(M68, vote4TRAITS!A:C , 3, FALSE),
1 , VLOOKUP(index(split(M68 ,"", "", FALSE),1,1), vote4TRAITS!A:C , 3, FALSE) + VLOOKUP(index(split(M68 ,"", "", FALSE),1,2), vote4TRAITS"&amp;"!A:C , 3, FALSE),
2 , VLOOKUP(index(split(M68 ,"", "", FALSE),1,1), vote4TRAITS!A:C , 3, FALSE) + VLOOKUP(index(split(M68 ,"", "", FALSE),1,2), vote4TRAITS!A:C , 3, FALSE) + VLOOKUP(index(split(M68 ,"", "", FALSE),1,3), vote4TRAITS!A:C , 3, FALSE)
)
)"),18.416666666666664)</f>
        <v>18.41666667</v>
      </c>
      <c r="O68" s="490"/>
      <c r="P68" s="165" t="str">
        <f>IFERROR(__xludf.DUMMYFUNCTION("IF(ISBLANK(O68), , 
SWITCH(
LEN(O68)- LEN(SUBSTITUTE(O68,"","","""")), 
0 , VLOOKUP(O68, vote4ACTIONS!A:C , 3, FALSE),
1 , VLOOKUP(index(split(O68 ,"", "", FALSE),1,1), vote4ACTIONS!A:C , 3, FALSE) + VLOOKUP(index(split(O68 ,"", "", FALSE),1,2), vote4ACTI"&amp;"ONS!A:C , 3, FALSE),
2 , VLOOKUP(index(split(O68 ,"", "", FALSE),1,1), vote4ACTIONS!A:C , 3, FALSE) + VLOOKUP(index(split(O68 ,"", "", FALSE),1,2), vote4ACTIONS!A:C , 3, FALSE) + VLOOKUP(index(split(O68 ,"", "", FALSE),1,3), vote4ACTIONS!A:C , 3, FALSE),
"&amp;"3 , VLOOKUP(index(split(O68 ,"", "", FALSE),1,1), vote4ACTIONS!A:C , 3, FALSE) + VLOOKUP(index(split(O68 ,"", "", FALSE),1,2), vote4ACTIONS!A:C , 3, FALSE) + VLOOKUP(index(split(O68 ,"", "", FALSE),1,3), vote4ACTIONS!A:C , 3, FALSE) + VLOOKUP(index(split("&amp;"O68 ,"", "", FALSE),1,4), vote4ACTIONS!A:C , 3, FALSE)
)
)"),"")</f>
        <v/>
      </c>
      <c r="Q68" s="340" t="s">
        <v>1562</v>
      </c>
      <c r="R68" s="342">
        <f>IF(ISBLANK(Q68),,IFERROR(
IF(IFERROR(SEARCH("SS:",Q68),0) &gt; 0, 
VLOOKUP(SUBSTITUTE(Q68,"SS: ",""),vote4SURGE!$A:$C , 3, FALSE) - 2,
VLOOKUP(SUBSTITUTE(Q68,"S: ",""),vote4SURGE!$A:$C , 3, FALSE)
)
,
IF(IFERROR(SEARCH("SS:",Q68),0) &gt; 0, 
VLOOKUP(A68,vote4SURGE!$A:$C , 3, FALSE) - 2,
VLOOKUP(A68,vote4SURGE!$A:$C , 3, FALSE)
)
))</f>
        <v>3.5</v>
      </c>
      <c r="S68" s="489"/>
      <c r="T68" s="342" t="str">
        <f>IF(ISBLANK(S68),,IFERROR(
IF(IFERROR(SEARCH("SS:",S68),0) &gt; 0, 
VLOOKUP(SUBSTITUTE(S68,"SS: ",""),vote4SURGE!$A:$C , 3, FALSE) - 2,
VLOOKUP(SUBSTITUTE(S68,"S: ",""),vote4SURGE!$A:$C , 3, FALSE)
)
,
IF(IFERROR(SEARCH("SS:",S68),0) &gt; 0, 
VLOOKUP(A68,vote4SURGE!$A:$C , 3, FALSE) - 2,
VLOOKUP(A68,vote4SURGE!$A:$C , 3, FALSE)
)
))</f>
        <v/>
      </c>
      <c r="U68" s="341"/>
      <c r="V68" s="343" t="str">
        <f>IF(ISBLANK(U68),,IFERROR(
IF(IFERROR(SEARCH("SS:",U68),0) &gt; 0, 
VLOOKUP(SUBSTITUTE(U68,"SS: ",""),vote4SURGE!$A:$C , 3, FALSE) - 2,
VLOOKUP(SUBSTITUTE(U68,"S: ",""),vote4SURGE!$A:$C , 3, FALSE)
)
,
IF(IFERROR(SEARCH("SS:",U68),0) &gt; 0, 
VLOOKUP(A68,vote4SURGE!$A:$C , 3, FALSE) - 2,
VLOOKUP(A68,vote4SURGE!$A:$C , 3, FALSE)
)
))</f>
        <v/>
      </c>
      <c r="W68" s="343">
        <f t="shared" si="1"/>
        <v>1</v>
      </c>
      <c r="X68" s="344">
        <f>IFERROR(__xludf.DUMMYFUNCTION("SWITCH(
LEN(K68) - LEN(SUBSTITUTE(K68,"","","""")),
0 , VLOOKUP(K68, Variables!$A:$C, 3, FALSE),
1 , VLOOKUP(index(split(K68 ,"", "", FALSE),1,1), Variables!$A:$C, 3, FALSE) + VLOOKUP(index(split(K68 ,"", "", FALSE),1,2), Variables!$A:$C, 3, FALSE),
2 , V"&amp;"LOOKUP(index(split(K68 ,"", "", FALSE),1,1), Variables!$A:$C, 3, FALSE) + VLOOKUP(index(split(K68 ,"", "", FALSE),1,2), Variables!$A:$C, 3, FALSE) + VLOOKUP(index(split(K68 ,"", "", FALSE),1,3), Variables!$A:$C, 3, FALSE)
)"),0.8333333333333333)</f>
        <v>0.8333333333</v>
      </c>
      <c r="Y68" s="342">
        <f t="shared" si="2"/>
        <v>2.916666667</v>
      </c>
      <c r="Z68" s="114"/>
      <c r="AA68" s="114" t="s">
        <v>2572</v>
      </c>
      <c r="AB68" s="114"/>
      <c r="AC68" s="114"/>
      <c r="AD68" s="114"/>
      <c r="AE68" s="114" t="s">
        <v>2572</v>
      </c>
      <c r="AF68" s="114"/>
      <c r="AG68" s="114"/>
      <c r="AH68" s="114"/>
      <c r="AI68" s="114"/>
      <c r="AJ68" s="114" t="s">
        <v>2573</v>
      </c>
      <c r="AK68" s="473">
        <v>7.0</v>
      </c>
      <c r="AL68" s="114" t="s">
        <v>2574</v>
      </c>
      <c r="AM68" s="473">
        <v>9.0</v>
      </c>
      <c r="AN68" s="114" t="s">
        <v>2574</v>
      </c>
      <c r="AO68" s="473">
        <v>16.0</v>
      </c>
      <c r="AP68" s="130">
        <f>SUM(
VLOOKUP("Ravage",vote4TRAITS!A:C,3,FALSE)
)</f>
        <v>7.333333333</v>
      </c>
      <c r="AQ68" s="130">
        <f t="shared" si="3"/>
        <v>23.98333333</v>
      </c>
    </row>
    <row r="69" ht="14.25" customHeight="1">
      <c r="A69" s="137" t="s">
        <v>1467</v>
      </c>
      <c r="B69" s="114" t="s">
        <v>2576</v>
      </c>
      <c r="C69" s="114">
        <v>45.0</v>
      </c>
      <c r="D69" s="114">
        <v>2.0</v>
      </c>
      <c r="E69" s="114">
        <v>1.0</v>
      </c>
      <c r="F69" s="487">
        <v>5.0</v>
      </c>
      <c r="G69" s="488">
        <v>8.0</v>
      </c>
      <c r="H69" s="114" t="s">
        <v>1663</v>
      </c>
      <c r="I69" s="130">
        <f>IFERROR(__xludf.DUMMYFUNCTION("SWITCH(
LEN(H69) - LEN(SUBSTITUTE(H69,"","","""")),
0 , VLOOKUP(H69, Variables!$A:$B, 2, FALSE),
1 , VLOOKUP(index(split(H69 ,"", "", FALSE),1,1), Variables!$A:$B , 2, FALSE) + VLOOKUP(index(split(H69 ,"", "", FALSE),1,2), Variables!$A:$B , 2, FALSE),
2 ,"&amp;" VLOOKUP(index(split(H69 ,"", "", FALSE),1,1), Variables!$A:$B , 2, FALSE) + VLOOKUP(index(split(H69 ,"", "", FALSE),1,2), Variables!$A:$B , 2, FALSE) + VLOOKUP(index(split(H69 ,"", "", FALSE),1,3), Variables!$A:$B , 2, FALSE)
)"),1.3333333333333333)</f>
        <v>1.333333333</v>
      </c>
      <c r="J69" s="114" t="s">
        <v>1521</v>
      </c>
      <c r="K69" s="114" t="s">
        <v>1548</v>
      </c>
      <c r="L69" s="130">
        <f>IFERROR(__xludf.DUMMYFUNCTION("SWITCH(
LEN(K69) - LEN(SUBSTITUTE(K69,"","","""")),
0 , VLOOKUP(K69, Variables!$A:$B, 2, FALSE),
1 , VLOOKUP(index(split(K69 ,"", "", FALSE),1,1), Variables!$A:$B , 2, FALSE) + VLOOKUP(index(split(K69 ,"", "", FALSE),1,2), Variables!$A:$B , 2, FALSE),
2 ,"&amp;" VLOOKUP(index(split(K69 ,"", "", FALSE),1,1), Variables!$A:$B , 2, FALSE) + VLOOKUP(index(split(K69 ,"", "", FALSE),1,2), Variables!$A:$B , 2, FALSE) + VLOOKUP(index(split(K69 ,"", "", FALSE),1,3), Variables!$A:$B , 2, FALSE)
)
+
IF(J69=""Ranged"", 1 , 0"&amp;")"),2.3333333333333335)</f>
        <v>2.333333333</v>
      </c>
      <c r="M69" s="114" t="s">
        <v>2605</v>
      </c>
      <c r="N69" s="130">
        <f>IFERROR(__xludf.DUMMYFUNCTION("IF(ISBLANK(M69), , 
SWITCH(
LEN(M69)- LEN(SUBSTITUTE(M69,"","","""")), 
0 , VLOOKUP(M69, vote4TRAITS!A:C , 3, FALSE),
1 , VLOOKUP(index(split(M69 ,"", "", FALSE),1,1), vote4TRAITS!A:C , 3, FALSE) + VLOOKUP(index(split(M69 ,"", "", FALSE),1,2), vote4TRAITS"&amp;"!A:C , 3, FALSE),
2 , VLOOKUP(index(split(M69 ,"", "", FALSE),1,1), vote4TRAITS!A:C , 3, FALSE) + VLOOKUP(index(split(M69 ,"", "", FALSE),1,2), vote4TRAITS!A:C , 3, FALSE) + VLOOKUP(index(split(M69 ,"", "", FALSE),1,3), vote4TRAITS!A:C , 3, FALSE)
)
)"),10.583333333333332)</f>
        <v>10.58333333</v>
      </c>
      <c r="O69" s="490"/>
      <c r="P69" s="165" t="str">
        <f>IFERROR(__xludf.DUMMYFUNCTION("IF(ISBLANK(O69), , 
SWITCH(
LEN(O69)- LEN(SUBSTITUTE(O69,"","","""")), 
0 , VLOOKUP(O69, vote4ACTIONS!A:C , 3, FALSE),
1 , VLOOKUP(index(split(O69 ,"", "", FALSE),1,1), vote4ACTIONS!A:C , 3, FALSE) + VLOOKUP(index(split(O69 ,"", "", FALSE),1,2), vote4ACTI"&amp;"ONS!A:C , 3, FALSE),
2 , VLOOKUP(index(split(O69 ,"", "", FALSE),1,1), vote4ACTIONS!A:C , 3, FALSE) + VLOOKUP(index(split(O69 ,"", "", FALSE),1,2), vote4ACTIONS!A:C , 3, FALSE) + VLOOKUP(index(split(O69 ,"", "", FALSE),1,3), vote4ACTIONS!A:C , 3, FALSE),
"&amp;"3 , VLOOKUP(index(split(O69 ,"", "", FALSE),1,1), vote4ACTIONS!A:C , 3, FALSE) + VLOOKUP(index(split(O69 ,"", "", FALSE),1,2), vote4ACTIONS!A:C , 3, FALSE) + VLOOKUP(index(split(O69 ,"", "", FALSE),1,3), vote4ACTIONS!A:C , 3, FALSE) + VLOOKUP(index(split("&amp;"O69 ,"", "", FALSE),1,4), vote4ACTIONS!A:C , 3, FALSE)
)
)"),"")</f>
        <v/>
      </c>
      <c r="Q69" s="340" t="s">
        <v>1534</v>
      </c>
      <c r="R69" s="342">
        <f>IF(ISBLANK(Q69),,IFERROR(
IF(IFERROR(SEARCH("SS:",Q69),0) &gt; 0, 
VLOOKUP(SUBSTITUTE(Q69,"SS: ",""),vote4SURGE!$A:$C , 3, FALSE) - 2,
VLOOKUP(SUBSTITUTE(Q69,"S: ",""),vote4SURGE!$A:$C , 3, FALSE)
)
,
IF(IFERROR(SEARCH("SS:",Q69),0) &gt; 0, 
VLOOKUP(A69,vote4SURGE!$A:$C , 3, FALSE) - 2,
VLOOKUP(A69,vote4SURGE!$A:$C , 3, FALSE)
)
))</f>
        <v>4.25</v>
      </c>
      <c r="S69" s="489"/>
      <c r="T69" s="342" t="str">
        <f>IF(ISBLANK(S69),,IFERROR(
IF(IFERROR(SEARCH("SS:",S69),0) &gt; 0, 
VLOOKUP(SUBSTITUTE(S69,"SS: ",""),vote4SURGE!$A:$C , 3, FALSE) - 2,
VLOOKUP(SUBSTITUTE(S69,"S: ",""),vote4SURGE!$A:$C , 3, FALSE)
)
,
IF(IFERROR(SEARCH("SS:",S69),0) &gt; 0, 
VLOOKUP(A69,vote4SURGE!$A:$C , 3, FALSE) - 2,
VLOOKUP(A69,vote4SURGE!$A:$C , 3, FALSE)
)
))</f>
        <v/>
      </c>
      <c r="U69" s="341"/>
      <c r="V69" s="343" t="str">
        <f>IF(ISBLANK(U69),,IFERROR(
IF(IFERROR(SEARCH("SS:",U69),0) &gt; 0, 
VLOOKUP(SUBSTITUTE(U69,"SS: ",""),vote4SURGE!$A:$C , 3, FALSE) - 2,
VLOOKUP(SUBSTITUTE(U69,"S: ",""),vote4SURGE!$A:$C , 3, FALSE)
)
,
IF(IFERROR(SEARCH("SS:",U69),0) &gt; 0, 
VLOOKUP(A69,vote4SURGE!$A:$C , 3, FALSE) - 2,
VLOOKUP(A69,vote4SURGE!$A:$C , 3, FALSE)
)
))</f>
        <v/>
      </c>
      <c r="W69" s="343">
        <f t="shared" si="1"/>
        <v>1</v>
      </c>
      <c r="X69" s="344">
        <f>IFERROR(__xludf.DUMMYFUNCTION("SWITCH(
LEN(K69) - LEN(SUBSTITUTE(K69,"","","""")),
0 , VLOOKUP(K69, Variables!$A:$C, 3, FALSE),
1 , VLOOKUP(index(split(K69 ,"", "", FALSE),1,1), Variables!$A:$C, 3, FALSE) + VLOOKUP(index(split(K69 ,"", "", FALSE),1,2), Variables!$A:$C, 3, FALSE),
2 , V"&amp;"LOOKUP(index(split(K69 ,"", "", FALSE),1,1), Variables!$A:$C, 3, FALSE) + VLOOKUP(index(split(K69 ,"", "", FALSE),1,2), Variables!$A:$C, 3, FALSE) + VLOOKUP(index(split(K69 ,"", "", FALSE),1,3), Variables!$A:$C, 3, FALSE)
)"),0.8333333333333333)</f>
        <v>0.8333333333</v>
      </c>
      <c r="Y69" s="342">
        <f t="shared" si="2"/>
        <v>3.541666667</v>
      </c>
      <c r="Z69" s="114"/>
      <c r="AA69" s="114" t="s">
        <v>2572</v>
      </c>
      <c r="AB69" s="114"/>
      <c r="AC69" s="114"/>
      <c r="AD69" s="114"/>
      <c r="AE69" s="114" t="s">
        <v>2572</v>
      </c>
      <c r="AF69" s="114"/>
      <c r="AG69" s="114"/>
      <c r="AH69" s="114"/>
      <c r="AI69" s="114"/>
      <c r="AJ69" s="114" t="s">
        <v>2574</v>
      </c>
      <c r="AK69" s="473">
        <v>8.0</v>
      </c>
      <c r="AL69" s="114" t="s">
        <v>2573</v>
      </c>
      <c r="AM69" s="473">
        <v>10.0</v>
      </c>
      <c r="AN69" s="114" t="s">
        <v>2574</v>
      </c>
      <c r="AO69" s="473">
        <v>18.0</v>
      </c>
      <c r="AP69" s="130">
        <f>SUM(
VLOOKUP("Ravage",vote4TRAITS!A:C,3,FALSE)
)</f>
        <v>7.333333333</v>
      </c>
      <c r="AQ69" s="130">
        <f t="shared" si="3"/>
        <v>21.44166667</v>
      </c>
    </row>
    <row r="70" ht="14.25" customHeight="1">
      <c r="A70" s="137" t="s">
        <v>1467</v>
      </c>
      <c r="B70" s="114" t="s">
        <v>2576</v>
      </c>
      <c r="C70" s="114">
        <v>45.0</v>
      </c>
      <c r="D70" s="114">
        <v>1.0</v>
      </c>
      <c r="E70" s="114">
        <v>1.0</v>
      </c>
      <c r="F70" s="487">
        <v>5.0</v>
      </c>
      <c r="G70" s="488">
        <v>7.0</v>
      </c>
      <c r="H70" s="114" t="s">
        <v>1621</v>
      </c>
      <c r="I70" s="130">
        <f>IFERROR(__xludf.DUMMYFUNCTION("SWITCH(
LEN(H70) - LEN(SUBSTITUTE(H70,"","","""")),
0 , VLOOKUP(H70, Variables!$A:$B, 2, FALSE),
1 , VLOOKUP(index(split(H70 ,"", "", FALSE),1,1), Variables!$A:$B , 2, FALSE) + VLOOKUP(index(split(H70 ,"", "", FALSE),1,2), Variables!$A:$B , 2, FALSE),
2 ,"&amp;" VLOOKUP(index(split(H70 ,"", "", FALSE),1,1), Variables!$A:$B , 2, FALSE) + VLOOKUP(index(split(H70 ,"", "", FALSE),1,2), Variables!$A:$B , 2, FALSE) + VLOOKUP(index(split(H70 ,"", "", FALSE),1,3), Variables!$A:$B , 2, FALSE)
)"),0.6666666666666666)</f>
        <v>0.6666666667</v>
      </c>
      <c r="J70" s="114" t="s">
        <v>1521</v>
      </c>
      <c r="K70" s="114" t="s">
        <v>1548</v>
      </c>
      <c r="L70" s="130">
        <f>IFERROR(__xludf.DUMMYFUNCTION("SWITCH(
LEN(K70) - LEN(SUBSTITUTE(K70,"","","""")),
0 , VLOOKUP(K70, Variables!$A:$B, 2, FALSE),
1 , VLOOKUP(index(split(K70 ,"", "", FALSE),1,1), Variables!$A:$B , 2, FALSE) + VLOOKUP(index(split(K70 ,"", "", FALSE),1,2), Variables!$A:$B , 2, FALSE),
2 ,"&amp;" VLOOKUP(index(split(K70 ,"", "", FALSE),1,1), Variables!$A:$B , 2, FALSE) + VLOOKUP(index(split(K70 ,"", "", FALSE),1,2), Variables!$A:$B , 2, FALSE) + VLOOKUP(index(split(K70 ,"", "", FALSE),1,3), Variables!$A:$B , 2, FALSE)
)
+
IF(J70=""Ranged"", 1 , 0"&amp;")"),2.3333333333333335)</f>
        <v>2.333333333</v>
      </c>
      <c r="M70" s="114" t="s">
        <v>2605</v>
      </c>
      <c r="N70" s="130">
        <f>IFERROR(__xludf.DUMMYFUNCTION("IF(ISBLANK(M70), , 
SWITCH(
LEN(M70)- LEN(SUBSTITUTE(M70,"","","""")), 
0 , VLOOKUP(M70, vote4TRAITS!A:C , 3, FALSE),
1 , VLOOKUP(index(split(M70 ,"", "", FALSE),1,1), vote4TRAITS!A:C , 3, FALSE) + VLOOKUP(index(split(M70 ,"", "", FALSE),1,2), vote4TRAITS"&amp;"!A:C , 3, FALSE),
2 , VLOOKUP(index(split(M70 ,"", "", FALSE),1,1), vote4TRAITS!A:C , 3, FALSE) + VLOOKUP(index(split(M70 ,"", "", FALSE),1,2), vote4TRAITS!A:C , 3, FALSE) + VLOOKUP(index(split(M70 ,"", "", FALSE),1,3), vote4TRAITS!A:C , 3, FALSE)
)
)"),10.583333333333332)</f>
        <v>10.58333333</v>
      </c>
      <c r="O70" s="490"/>
      <c r="P70" s="165" t="str">
        <f>IFERROR(__xludf.DUMMYFUNCTION("IF(ISBLANK(O70), , 
SWITCH(
LEN(O70)- LEN(SUBSTITUTE(O70,"","","""")), 
0 , VLOOKUP(O70, vote4ACTIONS!A:C , 3, FALSE),
1 , VLOOKUP(index(split(O70 ,"", "", FALSE),1,1), vote4ACTIONS!A:C , 3, FALSE) + VLOOKUP(index(split(O70 ,"", "", FALSE),1,2), vote4ACTI"&amp;"ONS!A:C , 3, FALSE),
2 , VLOOKUP(index(split(O70 ,"", "", FALSE),1,1), vote4ACTIONS!A:C , 3, FALSE) + VLOOKUP(index(split(O70 ,"", "", FALSE),1,2), vote4ACTIONS!A:C , 3, FALSE) + VLOOKUP(index(split(O70 ,"", "", FALSE),1,3), vote4ACTIONS!A:C , 3, FALSE),
"&amp;"3 , VLOOKUP(index(split(O70 ,"", "", FALSE),1,1), vote4ACTIONS!A:C , 3, FALSE) + VLOOKUP(index(split(O70 ,"", "", FALSE),1,2), vote4ACTIONS!A:C , 3, FALSE) + VLOOKUP(index(split(O70 ,"", "", FALSE),1,3), vote4ACTIONS!A:C , 3, FALSE) + VLOOKUP(index(split("&amp;"O70 ,"", "", FALSE),1,4), vote4ACTIONS!A:C , 3, FALSE)
)
)"),"")</f>
        <v/>
      </c>
      <c r="Q70" s="340" t="s">
        <v>1562</v>
      </c>
      <c r="R70" s="342">
        <f>IF(ISBLANK(Q70),,IFERROR(
IF(IFERROR(SEARCH("SS:",Q70),0) &gt; 0, 
VLOOKUP(SUBSTITUTE(Q70,"SS: ",""),vote4SURGE!$A:$C , 3, FALSE) - 2,
VLOOKUP(SUBSTITUTE(Q70,"S: ",""),vote4SURGE!$A:$C , 3, FALSE)
)
,
IF(IFERROR(SEARCH("SS:",Q70),0) &gt; 0, 
VLOOKUP(A70,vote4SURGE!$A:$C , 3, FALSE) - 2,
VLOOKUP(A70,vote4SURGE!$A:$C , 3, FALSE)
)
))</f>
        <v>3.5</v>
      </c>
      <c r="S70" s="489"/>
      <c r="T70" s="342" t="str">
        <f>IF(ISBLANK(S70),,IFERROR(
IF(IFERROR(SEARCH("SS:",S70),0) &gt; 0, 
VLOOKUP(SUBSTITUTE(S70,"SS: ",""),vote4SURGE!$A:$C , 3, FALSE) - 2,
VLOOKUP(SUBSTITUTE(S70,"S: ",""),vote4SURGE!$A:$C , 3, FALSE)
)
,
IF(IFERROR(SEARCH("SS:",S70),0) &gt; 0, 
VLOOKUP(A70,vote4SURGE!$A:$C , 3, FALSE) - 2,
VLOOKUP(A70,vote4SURGE!$A:$C , 3, FALSE)
)
))</f>
        <v/>
      </c>
      <c r="U70" s="341"/>
      <c r="V70" s="343" t="str">
        <f>IF(ISBLANK(U70),,IFERROR(
IF(IFERROR(SEARCH("SS:",U70),0) &gt; 0, 
VLOOKUP(SUBSTITUTE(U70,"SS: ",""),vote4SURGE!$A:$C , 3, FALSE) - 2,
VLOOKUP(SUBSTITUTE(U70,"S: ",""),vote4SURGE!$A:$C , 3, FALSE)
)
,
IF(IFERROR(SEARCH("SS:",U70),0) &gt; 0, 
VLOOKUP(A70,vote4SURGE!$A:$C , 3, FALSE) - 2,
VLOOKUP(A70,vote4SURGE!$A:$C , 3, FALSE)
)
))</f>
        <v/>
      </c>
      <c r="W70" s="343">
        <f t="shared" si="1"/>
        <v>1</v>
      </c>
      <c r="X70" s="344">
        <f>IFERROR(__xludf.DUMMYFUNCTION("SWITCH(
LEN(K70) - LEN(SUBSTITUTE(K70,"","","""")),
0 , VLOOKUP(K70, Variables!$A:$C, 3, FALSE),
1 , VLOOKUP(index(split(K70 ,"", "", FALSE),1,1), Variables!$A:$C, 3, FALSE) + VLOOKUP(index(split(K70 ,"", "", FALSE),1,2), Variables!$A:$C, 3, FALSE),
2 , V"&amp;"LOOKUP(index(split(K70 ,"", "", FALSE),1,1), Variables!$A:$C, 3, FALSE) + VLOOKUP(index(split(K70 ,"", "", FALSE),1,2), Variables!$A:$C, 3, FALSE) + VLOOKUP(index(split(K70 ,"", "", FALSE),1,3), Variables!$A:$C, 3, FALSE)
)"),0.8333333333333333)</f>
        <v>0.8333333333</v>
      </c>
      <c r="Y70" s="342">
        <f t="shared" si="2"/>
        <v>2.916666667</v>
      </c>
      <c r="Z70" s="114"/>
      <c r="AA70" s="114" t="s">
        <v>2572</v>
      </c>
      <c r="AB70" s="114"/>
      <c r="AC70" s="114"/>
      <c r="AD70" s="114"/>
      <c r="AE70" s="114" t="s">
        <v>2572</v>
      </c>
      <c r="AF70" s="114"/>
      <c r="AG70" s="114"/>
      <c r="AH70" s="114"/>
      <c r="AI70" s="114"/>
      <c r="AJ70" s="114" t="s">
        <v>2574</v>
      </c>
      <c r="AK70" s="473">
        <v>7.0</v>
      </c>
      <c r="AL70" s="114" t="s">
        <v>2573</v>
      </c>
      <c r="AM70" s="473">
        <v>9.0</v>
      </c>
      <c r="AN70" s="114" t="s">
        <v>2574</v>
      </c>
      <c r="AO70" s="473">
        <v>16.0</v>
      </c>
      <c r="AP70" s="130">
        <f>SUM(
VLOOKUP("Ravage",vote4TRAITS!A:C,3,FALSE)
)</f>
        <v>7.333333333</v>
      </c>
      <c r="AQ70" s="130">
        <f t="shared" si="3"/>
        <v>14.81666667</v>
      </c>
    </row>
    <row r="71" ht="14.25" customHeight="1">
      <c r="A71" s="137" t="s">
        <v>1448</v>
      </c>
      <c r="B71" s="114" t="s">
        <v>2570</v>
      </c>
      <c r="C71" s="114">
        <v>52.0</v>
      </c>
      <c r="D71" s="114">
        <v>2.0</v>
      </c>
      <c r="E71" s="114">
        <v>4.0</v>
      </c>
      <c r="F71" s="487">
        <v>3.0</v>
      </c>
      <c r="G71" s="488">
        <v>12.0</v>
      </c>
      <c r="H71" s="114" t="s">
        <v>2590</v>
      </c>
      <c r="I71" s="130">
        <f>IFERROR(__xludf.DUMMYFUNCTION("SWITCH(
LEN(H71) - LEN(SUBSTITUTE(H71,"","","""")),
0 , VLOOKUP(H71, Variables!$A:$B, 2, FALSE),
1 , VLOOKUP(index(split(H71 ,"", "", FALSE),1,1), Variables!$A:$B , 2, FALSE) + VLOOKUP(index(split(H71 ,"", "", FALSE),1,2), Variables!$A:$B , 2, FALSE),
2 ,"&amp;" VLOOKUP(index(split(H71 ,"", "", FALSE),1,1), Variables!$A:$B , 2, FALSE) + VLOOKUP(index(split(H71 ,"", "", FALSE),1,2), Variables!$A:$B , 2, FALSE) + VLOOKUP(index(split(H71 ,"", "", FALSE),1,3), Variables!$A:$B , 2, FALSE)
)"),2.6666666666666665)</f>
        <v>2.666666667</v>
      </c>
      <c r="J71" s="114" t="s">
        <v>1567</v>
      </c>
      <c r="K71" s="114" t="s">
        <v>1537</v>
      </c>
      <c r="L71" s="130">
        <f>IFERROR(__xludf.DUMMYFUNCTION("SWITCH(
LEN(K71) - LEN(SUBSTITUTE(K71,"","","""")),
0 , VLOOKUP(K71, Variables!$A:$B, 2, FALSE),
1 , VLOOKUP(index(split(K71 ,"", "", FALSE),1,1), Variables!$A:$B , 2, FALSE) + VLOOKUP(index(split(K71 ,"", "", FALSE),1,2), Variables!$A:$B , 2, FALSE),
2 ,"&amp;" VLOOKUP(index(split(K71 ,"", "", FALSE),1,1), Variables!$A:$B , 2, FALSE) + VLOOKUP(index(split(K71 ,"", "", FALSE),1,2), Variables!$A:$B , 2, FALSE) + VLOOKUP(index(split(K71 ,"", "", FALSE),1,3), Variables!$A:$B , 2, FALSE)
)
+
IF(J71=""Ranged"", 1 , 0"&amp;")"),5.5)</f>
        <v>5.5</v>
      </c>
      <c r="M71" s="114" t="s">
        <v>2606</v>
      </c>
      <c r="N71" s="130">
        <f>IFERROR(__xludf.DUMMYFUNCTION("IF(ISBLANK(M71), , 
SWITCH(
LEN(M71)- LEN(SUBSTITUTE(M71,"","","""")), 
0 , VLOOKUP(M71, vote4TRAITS!A:C , 3, FALSE),
1 , VLOOKUP(index(split(M71 ,"", "", FALSE),1,1), vote4TRAITS!A:C , 3, FALSE) + VLOOKUP(index(split(M71 ,"", "", FALSE),1,2), vote4TRAITS"&amp;"!A:C , 3, FALSE),
2 , VLOOKUP(index(split(M71 ,"", "", FALSE),1,1), vote4TRAITS!A:C , 3, FALSE) + VLOOKUP(index(split(M71 ,"", "", FALSE),1,2), vote4TRAITS!A:C , 3, FALSE) + VLOOKUP(index(split(M71 ,"", "", FALSE),1,3), vote4TRAITS!A:C , 3, FALSE)
)
)"),7.75)</f>
        <v>7.75</v>
      </c>
      <c r="O71" s="490"/>
      <c r="P71" s="165" t="str">
        <f>IFERROR(__xludf.DUMMYFUNCTION("IF(ISBLANK(O71), , 
SWITCH(
LEN(O71)- LEN(SUBSTITUTE(O71,"","","""")), 
0 , VLOOKUP(O71, vote4ACTIONS!A:C , 3, FALSE),
1 , VLOOKUP(index(split(O71 ,"", "", FALSE),1,1), vote4ACTIONS!A:C , 3, FALSE) + VLOOKUP(index(split(O71 ,"", "", FALSE),1,2), vote4ACTI"&amp;"ONS!A:C , 3, FALSE),
2 , VLOOKUP(index(split(O71 ,"", "", FALSE),1,1), vote4ACTIONS!A:C , 3, FALSE) + VLOOKUP(index(split(O71 ,"", "", FALSE),1,2), vote4ACTIONS!A:C , 3, FALSE) + VLOOKUP(index(split(O71 ,"", "", FALSE),1,3), vote4ACTIONS!A:C , 3, FALSE),
"&amp;"3 , VLOOKUP(index(split(O71 ,"", "", FALSE),1,1), vote4ACTIONS!A:C , 3, FALSE) + VLOOKUP(index(split(O71 ,"", "", FALSE),1,2), vote4ACTIONS!A:C , 3, FALSE) + VLOOKUP(index(split(O71 ,"", "", FALSE),1,3), vote4ACTIONS!A:C , 3, FALSE) + VLOOKUP(index(split("&amp;"O71 ,"", "", FALSE),1,4), vote4ACTIONS!A:C , 3, FALSE)
)
)"),"")</f>
        <v/>
      </c>
      <c r="Q71" s="489" t="s">
        <v>2595</v>
      </c>
      <c r="R71" s="342">
        <f>IF(ISBLANK(Q71),,IFERROR(
IF(IFERROR(SEARCH("SS:",Q71),0) &gt; 0, 
VLOOKUP(SUBSTITUTE(Q71,"SS: ",""),vote4SURGE!$A:$C , 3, FALSE) - 2,
VLOOKUP(SUBSTITUTE(Q71,"S: ",""),vote4SURGE!$A:$C , 3, FALSE)
)
,
IF(IFERROR(SEARCH("SS:",Q71),0) &gt; 0, 
VLOOKUP(A71,vote4SURGE!$A:$C , 3, FALSE) - 2,
VLOOKUP(A71,vote4SURGE!$A:$C , 3, FALSE)
)
))</f>
        <v>3.5</v>
      </c>
      <c r="S71" s="340"/>
      <c r="T71" s="342" t="str">
        <f>IF(ISBLANK(S71),,IFERROR(
IF(IFERROR(SEARCH("SS:",S71),0) &gt; 0, 
VLOOKUP(SUBSTITUTE(S71,"SS: ",""),vote4SURGE!$A:$C , 3, FALSE) - 2,
VLOOKUP(SUBSTITUTE(S71,"S: ",""),vote4SURGE!$A:$C , 3, FALSE)
)
,
IF(IFERROR(SEARCH("SS:",S71),0) &gt; 0, 
VLOOKUP(A71,vote4SURGE!$A:$C , 3, FALSE) - 2,
VLOOKUP(A71,vote4SURGE!$A:$C , 3, FALSE)
)
))</f>
        <v/>
      </c>
      <c r="U71" s="341"/>
      <c r="V71" s="343" t="str">
        <f>IF(ISBLANK(U71),,IFERROR(
IF(IFERROR(SEARCH("SS:",U71),0) &gt; 0, 
VLOOKUP(SUBSTITUTE(U71,"SS: ",""),vote4SURGE!$A:$C , 3, FALSE) - 2,
VLOOKUP(SUBSTITUTE(U71,"S: ",""),vote4SURGE!$A:$C , 3, FALSE)
)
,
IF(IFERROR(SEARCH("SS:",U71),0) &gt; 0, 
VLOOKUP(A71,vote4SURGE!$A:$C , 3, FALSE) - 2,
VLOOKUP(A71,vote4SURGE!$A:$C , 3, FALSE)
)
))</f>
        <v/>
      </c>
      <c r="W71" s="343">
        <f t="shared" si="1"/>
        <v>1</v>
      </c>
      <c r="X71" s="344">
        <f>IFERROR(__xludf.DUMMYFUNCTION("SWITCH(
LEN(K71) - LEN(SUBSTITUTE(K71,"","","""")),
0 , VLOOKUP(K71, Variables!$A:$C, 3, FALSE),
1 , VLOOKUP(index(split(K71 ,"", "", FALSE),1,1), Variables!$A:$C, 3, FALSE) + VLOOKUP(index(split(K71 ,"", "", FALSE),1,2), Variables!$A:$C, 3, FALSE),
2 , V"&amp;"LOOKUP(index(split(K71 ,"", "", FALSE),1,1), Variables!$A:$C, 3, FALSE) + VLOOKUP(index(split(K71 ,"", "", FALSE),1,2), Variables!$A:$C, 3, FALSE) + VLOOKUP(index(split(K71 ,"", "", FALSE),1,3), Variables!$A:$C, 3, FALSE)
)"),1.0)</f>
        <v>1</v>
      </c>
      <c r="Y71" s="342">
        <f t="shared" si="2"/>
        <v>3.5</v>
      </c>
      <c r="Z71" s="114"/>
      <c r="AA71" s="114"/>
      <c r="AB71" s="114"/>
      <c r="AC71" s="114"/>
      <c r="AD71" s="114" t="s">
        <v>2572</v>
      </c>
      <c r="AE71" s="114"/>
      <c r="AF71" s="114" t="s">
        <v>2572</v>
      </c>
      <c r="AG71" s="114"/>
      <c r="AH71" s="114"/>
      <c r="AI71" s="114"/>
      <c r="AJ71" s="114" t="s">
        <v>2573</v>
      </c>
      <c r="AK71" s="473">
        <v>8.0</v>
      </c>
      <c r="AL71" s="114" t="s">
        <v>2574</v>
      </c>
      <c r="AM71" s="473">
        <v>12.0</v>
      </c>
      <c r="AN71" s="114" t="s">
        <v>2574</v>
      </c>
      <c r="AO71" s="473">
        <v>20.0</v>
      </c>
      <c r="AP71" s="130">
        <f>SUM(
VLOOKUP("Ravage",vote4TRAITS!A:C,3,FALSE)
)</f>
        <v>7.333333333</v>
      </c>
      <c r="AQ71" s="130">
        <f t="shared" si="3"/>
        <v>42.73666667</v>
      </c>
    </row>
    <row r="72" ht="14.25" customHeight="1">
      <c r="A72" s="137" t="s">
        <v>1448</v>
      </c>
      <c r="B72" s="114" t="s">
        <v>2570</v>
      </c>
      <c r="C72" s="114">
        <v>52.0</v>
      </c>
      <c r="D72" s="114">
        <v>1.0</v>
      </c>
      <c r="E72" s="114">
        <v>4.0</v>
      </c>
      <c r="F72" s="487">
        <v>3.0</v>
      </c>
      <c r="G72" s="488">
        <v>9.0</v>
      </c>
      <c r="H72" s="114" t="s">
        <v>2590</v>
      </c>
      <c r="I72" s="130">
        <f>IFERROR(__xludf.DUMMYFUNCTION("SWITCH(
LEN(H72) - LEN(SUBSTITUTE(H72,"","","""")),
0 , VLOOKUP(H72, Variables!$A:$B, 2, FALSE),
1 , VLOOKUP(index(split(H72 ,"", "", FALSE),1,1), Variables!$A:$B , 2, FALSE) + VLOOKUP(index(split(H72 ,"", "", FALSE),1,2), Variables!$A:$B , 2, FALSE),
2 ,"&amp;" VLOOKUP(index(split(H72 ,"", "", FALSE),1,1), Variables!$A:$B , 2, FALSE) + VLOOKUP(index(split(H72 ,"", "", FALSE),1,2), Variables!$A:$B , 2, FALSE) + VLOOKUP(index(split(H72 ,"", "", FALSE),1,3), Variables!$A:$B , 2, FALSE)
)"),2.6666666666666665)</f>
        <v>2.666666667</v>
      </c>
      <c r="J72" s="114" t="s">
        <v>1567</v>
      </c>
      <c r="K72" s="114" t="s">
        <v>1548</v>
      </c>
      <c r="L72" s="130">
        <f>IFERROR(__xludf.DUMMYFUNCTION("SWITCH(
LEN(K72) - LEN(SUBSTITUTE(K72,"","","""")),
0 , VLOOKUP(K72, Variables!$A:$B, 2, FALSE),
1 , VLOOKUP(index(split(K72 ,"", "", FALSE),1,1), Variables!$A:$B , 2, FALSE) + VLOOKUP(index(split(K72 ,"", "", FALSE),1,2), Variables!$A:$B , 2, FALSE),
2 ,"&amp;" VLOOKUP(index(split(K72 ,"", "", FALSE),1,1), Variables!$A:$B , 2, FALSE) + VLOOKUP(index(split(K72 ,"", "", FALSE),1,2), Variables!$A:$B , 2, FALSE) + VLOOKUP(index(split(K72 ,"", "", FALSE),1,3), Variables!$A:$B , 2, FALSE)
)
+
IF(J72=""Ranged"", 1 , 0"&amp;")"),3.3333333333333335)</f>
        <v>3.333333333</v>
      </c>
      <c r="M72" s="114" t="s">
        <v>2606</v>
      </c>
      <c r="N72" s="130">
        <f>IFERROR(__xludf.DUMMYFUNCTION("IF(ISBLANK(M72), , 
SWITCH(
LEN(M72)- LEN(SUBSTITUTE(M72,"","","""")), 
0 , VLOOKUP(M72, vote4TRAITS!A:C , 3, FALSE),
1 , VLOOKUP(index(split(M72 ,"", "", FALSE),1,1), vote4TRAITS!A:C , 3, FALSE) + VLOOKUP(index(split(M72 ,"", "", FALSE),1,2), vote4TRAITS"&amp;"!A:C , 3, FALSE),
2 , VLOOKUP(index(split(M72 ,"", "", FALSE),1,1), vote4TRAITS!A:C , 3, FALSE) + VLOOKUP(index(split(M72 ,"", "", FALSE),1,2), vote4TRAITS!A:C , 3, FALSE) + VLOOKUP(index(split(M72 ,"", "", FALSE),1,3), vote4TRAITS!A:C , 3, FALSE)
)
)"),7.75)</f>
        <v>7.75</v>
      </c>
      <c r="O72" s="490"/>
      <c r="P72" s="165" t="str">
        <f>IFERROR(__xludf.DUMMYFUNCTION("IF(ISBLANK(O72), , 
SWITCH(
LEN(O72)- LEN(SUBSTITUTE(O72,"","","""")), 
0 , VLOOKUP(O72, vote4ACTIONS!A:C , 3, FALSE),
1 , VLOOKUP(index(split(O72 ,"", "", FALSE),1,1), vote4ACTIONS!A:C , 3, FALSE) + VLOOKUP(index(split(O72 ,"", "", FALSE),1,2), vote4ACTI"&amp;"ONS!A:C , 3, FALSE),
2 , VLOOKUP(index(split(O72 ,"", "", FALSE),1,1), vote4ACTIONS!A:C , 3, FALSE) + VLOOKUP(index(split(O72 ,"", "", FALSE),1,2), vote4ACTIONS!A:C , 3, FALSE) + VLOOKUP(index(split(O72 ,"", "", FALSE),1,3), vote4ACTIONS!A:C , 3, FALSE),
"&amp;"3 , VLOOKUP(index(split(O72 ,"", "", FALSE),1,1), vote4ACTIONS!A:C , 3, FALSE) + VLOOKUP(index(split(O72 ,"", "", FALSE),1,2), vote4ACTIONS!A:C , 3, FALSE) + VLOOKUP(index(split(O72 ,"", "", FALSE),1,3), vote4ACTIONS!A:C , 3, FALSE) + VLOOKUP(index(split("&amp;"O72 ,"", "", FALSE),1,4), vote4ACTIONS!A:C , 3, FALSE)
)
)"),"")</f>
        <v/>
      </c>
      <c r="Q72" s="489" t="s">
        <v>2595</v>
      </c>
      <c r="R72" s="342">
        <f>IF(ISBLANK(Q72),,IFERROR(
IF(IFERROR(SEARCH("SS:",Q72),0) &gt; 0, 
VLOOKUP(SUBSTITUTE(Q72,"SS: ",""),vote4SURGE!$A:$C , 3, FALSE) - 2,
VLOOKUP(SUBSTITUTE(Q72,"S: ",""),vote4SURGE!$A:$C , 3, FALSE)
)
,
IF(IFERROR(SEARCH("SS:",Q72),0) &gt; 0, 
VLOOKUP(A72,vote4SURGE!$A:$C , 3, FALSE) - 2,
VLOOKUP(A72,vote4SURGE!$A:$C , 3, FALSE)
)
))</f>
        <v>3.5</v>
      </c>
      <c r="S72" s="341"/>
      <c r="T72" s="342" t="str">
        <f>IF(ISBLANK(S72),,IFERROR(
IF(IFERROR(SEARCH("SS:",S72),0) &gt; 0, 
VLOOKUP(SUBSTITUTE(S72,"SS: ",""),vote4SURGE!$A:$C , 3, FALSE) - 2,
VLOOKUP(SUBSTITUTE(S72,"S: ",""),vote4SURGE!$A:$C , 3, FALSE)
)
,
IF(IFERROR(SEARCH("SS:",S72),0) &gt; 0, 
VLOOKUP(A72,vote4SURGE!$A:$C , 3, FALSE) - 2,
VLOOKUP(A72,vote4SURGE!$A:$C , 3, FALSE)
)
))</f>
        <v/>
      </c>
      <c r="U72" s="341"/>
      <c r="V72" s="343" t="str">
        <f>IF(ISBLANK(U72),,IFERROR(
IF(IFERROR(SEARCH("SS:",U72),0) &gt; 0, 
VLOOKUP(SUBSTITUTE(U72,"SS: ",""),vote4SURGE!$A:$C , 3, FALSE) - 2,
VLOOKUP(SUBSTITUTE(U72,"S: ",""),vote4SURGE!$A:$C , 3, FALSE)
)
,
IF(IFERROR(SEARCH("SS:",U72),0) &gt; 0, 
VLOOKUP(A72,vote4SURGE!$A:$C , 3, FALSE) - 2,
VLOOKUP(A72,vote4SURGE!$A:$C , 3, FALSE)
)
))</f>
        <v/>
      </c>
      <c r="W72" s="343">
        <f t="shared" si="1"/>
        <v>1</v>
      </c>
      <c r="X72" s="344">
        <f>IFERROR(__xludf.DUMMYFUNCTION("SWITCH(
LEN(K72) - LEN(SUBSTITUTE(K72,"","","""")),
0 , VLOOKUP(K72, Variables!$A:$C, 3, FALSE),
1 , VLOOKUP(index(split(K72 ,"", "", FALSE),1,1), Variables!$A:$C, 3, FALSE) + VLOOKUP(index(split(K72 ,"", "", FALSE),1,2), Variables!$A:$C, 3, FALSE),
2 , V"&amp;"LOOKUP(index(split(K72 ,"", "", FALSE),1,1), Variables!$A:$C, 3, FALSE) + VLOOKUP(index(split(K72 ,"", "", FALSE),1,2), Variables!$A:$C, 3, FALSE) + VLOOKUP(index(split(K72 ,"", "", FALSE),1,3), Variables!$A:$C, 3, FALSE)
)"),0.8333333333333333)</f>
        <v>0.8333333333</v>
      </c>
      <c r="Y72" s="342">
        <f t="shared" si="2"/>
        <v>2.916666667</v>
      </c>
      <c r="Z72" s="114"/>
      <c r="AA72" s="114"/>
      <c r="AB72" s="114"/>
      <c r="AC72" s="114"/>
      <c r="AD72" s="114" t="s">
        <v>2572</v>
      </c>
      <c r="AE72" s="491" t="s">
        <v>2592</v>
      </c>
      <c r="AF72" s="114" t="s">
        <v>2572</v>
      </c>
      <c r="AG72" s="114"/>
      <c r="AH72" s="114"/>
      <c r="AI72" s="114"/>
      <c r="AJ72" s="114" t="s">
        <v>2573</v>
      </c>
      <c r="AK72" s="473">
        <v>6.0</v>
      </c>
      <c r="AL72" s="114" t="s">
        <v>2574</v>
      </c>
      <c r="AM72" s="473">
        <v>9.0</v>
      </c>
      <c r="AN72" s="114" t="s">
        <v>2574</v>
      </c>
      <c r="AO72" s="473">
        <v>15.0</v>
      </c>
      <c r="AP72" s="130">
        <f>SUM(
VLOOKUP("Ravage",vote4TRAITS!A:C,3,FALSE)
)</f>
        <v>7.333333333</v>
      </c>
      <c r="AQ72" s="130">
        <f t="shared" si="3"/>
        <v>31.98666667</v>
      </c>
    </row>
    <row r="73" ht="14.25" customHeight="1">
      <c r="A73" s="137" t="s">
        <v>1448</v>
      </c>
      <c r="B73" s="114" t="s">
        <v>2576</v>
      </c>
      <c r="C73" s="114">
        <v>52.0</v>
      </c>
      <c r="D73" s="114">
        <v>2.0</v>
      </c>
      <c r="E73" s="114">
        <v>4.0</v>
      </c>
      <c r="F73" s="487">
        <v>3.0</v>
      </c>
      <c r="G73" s="488">
        <v>8.0</v>
      </c>
      <c r="H73" s="114" t="s">
        <v>2590</v>
      </c>
      <c r="I73" s="130">
        <f>IFERROR(__xludf.DUMMYFUNCTION("SWITCH(
LEN(H73) - LEN(SUBSTITUTE(H73,"","","""")),
0 , VLOOKUP(H73, Variables!$A:$B, 2, FALSE),
1 , VLOOKUP(index(split(H73 ,"", "", FALSE),1,1), Variables!$A:$B , 2, FALSE) + VLOOKUP(index(split(H73 ,"", "", FALSE),1,2), Variables!$A:$B , 2, FALSE),
2 ,"&amp;" VLOOKUP(index(split(H73 ,"", "", FALSE),1,1), Variables!$A:$B , 2, FALSE) + VLOOKUP(index(split(H73 ,"", "", FALSE),1,2), Variables!$A:$B , 2, FALSE) + VLOOKUP(index(split(H73 ,"", "", FALSE),1,3), Variables!$A:$B , 2, FALSE)
)"),2.6666666666666665)</f>
        <v>2.666666667</v>
      </c>
      <c r="J73" s="114" t="s">
        <v>1567</v>
      </c>
      <c r="K73" s="114" t="s">
        <v>1546</v>
      </c>
      <c r="L73" s="130">
        <f>IFERROR(__xludf.DUMMYFUNCTION("SWITCH(
LEN(K73) - LEN(SUBSTITUTE(K73,"","","""")),
0 , VLOOKUP(K73, Variables!$A:$B, 2, FALSE),
1 , VLOOKUP(index(split(K73 ,"", "", FALSE),1,1), Variables!$A:$B , 2, FALSE) + VLOOKUP(index(split(K73 ,"", "", FALSE),1,2), Variables!$A:$B , 2, FALSE),
2 ,"&amp;" VLOOKUP(index(split(K73 ,"", "", FALSE),1,1), Variables!$A:$B , 2, FALSE) + VLOOKUP(index(split(K73 ,"", "", FALSE),1,2), Variables!$A:$B , 2, FALSE) + VLOOKUP(index(split(K73 ,"", "", FALSE),1,3), Variables!$A:$B , 2, FALSE)
)
+
IF(J73=""Ranged"", 1 , 0"&amp;")"),4.5)</f>
        <v>4.5</v>
      </c>
      <c r="M73" s="114" t="s">
        <v>1136</v>
      </c>
      <c r="N73" s="130">
        <f>IFERROR(__xludf.DUMMYFUNCTION("IF(ISBLANK(M73), , 
SWITCH(
LEN(M73)- LEN(SUBSTITUTE(M73,"","","""")), 
0 , VLOOKUP(M73, vote4TRAITS!A:C , 3, FALSE),
1 , VLOOKUP(index(split(M73 ,"", "", FALSE),1,1), vote4TRAITS!A:C , 3, FALSE) + VLOOKUP(index(split(M73 ,"", "", FALSE),1,2), vote4TRAITS"&amp;"!A:C , 3, FALSE),
2 , VLOOKUP(index(split(M73 ,"", "", FALSE),1,1), vote4TRAITS!A:C , 3, FALSE) + VLOOKUP(index(split(M73 ,"", "", FALSE),1,2), vote4TRAITS!A:C , 3, FALSE) + VLOOKUP(index(split(M73 ,"", "", FALSE),1,3), vote4TRAITS!A:C , 3, FALSE)
)
)"),5.0)</f>
        <v>5</v>
      </c>
      <c r="O73" s="490"/>
      <c r="P73" s="165" t="str">
        <f>IFERROR(__xludf.DUMMYFUNCTION("IF(ISBLANK(O73), , 
SWITCH(
LEN(O73)- LEN(SUBSTITUTE(O73,"","","""")), 
0 , VLOOKUP(O73, vote4ACTIONS!A:C , 3, FALSE),
1 , VLOOKUP(index(split(O73 ,"", "", FALSE),1,1), vote4ACTIONS!A:C , 3, FALSE) + VLOOKUP(index(split(O73 ,"", "", FALSE),1,2), vote4ACTI"&amp;"ONS!A:C , 3, FALSE),
2 , VLOOKUP(index(split(O73 ,"", "", FALSE),1,1), vote4ACTIONS!A:C , 3, FALSE) + VLOOKUP(index(split(O73 ,"", "", FALSE),1,2), vote4ACTIONS!A:C , 3, FALSE) + VLOOKUP(index(split(O73 ,"", "", FALSE),1,3), vote4ACTIONS!A:C , 3, FALSE),
"&amp;"3 , VLOOKUP(index(split(O73 ,"", "", FALSE),1,1), vote4ACTIONS!A:C , 3, FALSE) + VLOOKUP(index(split(O73 ,"", "", FALSE),1,2), vote4ACTIONS!A:C , 3, FALSE) + VLOOKUP(index(split(O73 ,"", "", FALSE),1,3), vote4ACTIONS!A:C , 3, FALSE) + VLOOKUP(index(split("&amp;"O73 ,"", "", FALSE),1,4), vote4ACTIONS!A:C , 3, FALSE)
)
)"),"")</f>
        <v/>
      </c>
      <c r="Q73" s="489" t="s">
        <v>2595</v>
      </c>
      <c r="R73" s="342">
        <f>IF(ISBLANK(Q73),,IFERROR(
IF(IFERROR(SEARCH("SS:",Q73),0) &gt; 0, 
VLOOKUP(SUBSTITUTE(Q73,"SS: ",""),vote4SURGE!$A:$C , 3, FALSE) - 2,
VLOOKUP(SUBSTITUTE(Q73,"S: ",""),vote4SURGE!$A:$C , 3, FALSE)
)
,
IF(IFERROR(SEARCH("SS:",Q73),0) &gt; 0, 
VLOOKUP(A73,vote4SURGE!$A:$C , 3, FALSE) - 2,
VLOOKUP(A73,vote4SURGE!$A:$C , 3, FALSE)
)
))</f>
        <v>3.5</v>
      </c>
      <c r="S73" s="341"/>
      <c r="T73" s="342" t="str">
        <f>IF(ISBLANK(S73),,IFERROR(
IF(IFERROR(SEARCH("SS:",S73),0) &gt; 0, 
VLOOKUP(SUBSTITUTE(S73,"SS: ",""),vote4SURGE!$A:$C , 3, FALSE) - 2,
VLOOKUP(SUBSTITUTE(S73,"S: ",""),vote4SURGE!$A:$C , 3, FALSE)
)
,
IF(IFERROR(SEARCH("SS:",S73),0) &gt; 0, 
VLOOKUP(A73,vote4SURGE!$A:$C , 3, FALSE) - 2,
VLOOKUP(A73,vote4SURGE!$A:$C , 3, FALSE)
)
))</f>
        <v/>
      </c>
      <c r="U73" s="341"/>
      <c r="V73" s="343" t="str">
        <f>IF(ISBLANK(U73),,IFERROR(
IF(IFERROR(SEARCH("SS:",U73),0) &gt; 0, 
VLOOKUP(SUBSTITUTE(U73,"SS: ",""),vote4SURGE!$A:$C , 3, FALSE) - 2,
VLOOKUP(SUBSTITUTE(U73,"S: ",""),vote4SURGE!$A:$C , 3, FALSE)
)
,
IF(IFERROR(SEARCH("SS:",U73),0) &gt; 0, 
VLOOKUP(A73,vote4SURGE!$A:$C , 3, FALSE) - 2,
VLOOKUP(A73,vote4SURGE!$A:$C , 3, FALSE)
)
))</f>
        <v/>
      </c>
      <c r="W73" s="343">
        <f t="shared" si="1"/>
        <v>1</v>
      </c>
      <c r="X73" s="344">
        <f>IFERROR(__xludf.DUMMYFUNCTION("SWITCH(
LEN(K73) - LEN(SUBSTITUTE(K73,"","","""")),
0 , VLOOKUP(K73, Variables!$A:$C, 3, FALSE),
1 , VLOOKUP(index(split(K73 ,"", "", FALSE),1,1), Variables!$A:$C, 3, FALSE) + VLOOKUP(index(split(K73 ,"", "", FALSE),1,2), Variables!$A:$C, 3, FALSE),
2 , V"&amp;"LOOKUP(index(split(K73 ,"", "", FALSE),1,1), Variables!$A:$C, 3, FALSE) + VLOOKUP(index(split(K73 ,"", "", FALSE),1,2), Variables!$A:$C, 3, FALSE) + VLOOKUP(index(split(K73 ,"", "", FALSE),1,3), Variables!$A:$C, 3, FALSE)
)"),1.3333333333333333)</f>
        <v>1.333333333</v>
      </c>
      <c r="Y73" s="342">
        <f t="shared" si="2"/>
        <v>4.666666667</v>
      </c>
      <c r="Z73" s="114"/>
      <c r="AA73" s="114"/>
      <c r="AB73" s="114"/>
      <c r="AC73" s="114"/>
      <c r="AD73" s="114" t="s">
        <v>2572</v>
      </c>
      <c r="AE73" s="114"/>
      <c r="AF73" s="114" t="s">
        <v>2572</v>
      </c>
      <c r="AG73" s="114"/>
      <c r="AH73" s="114"/>
      <c r="AI73" s="114"/>
      <c r="AJ73" s="114" t="s">
        <v>2574</v>
      </c>
      <c r="AK73" s="473">
        <v>8.0</v>
      </c>
      <c r="AL73" s="114" t="s">
        <v>2573</v>
      </c>
      <c r="AM73" s="473">
        <v>12.0</v>
      </c>
      <c r="AN73" s="114" t="s">
        <v>2574</v>
      </c>
      <c r="AO73" s="473">
        <v>20.0</v>
      </c>
      <c r="AP73" s="130">
        <f>SUM(
VLOOKUP("Ravage",vote4TRAITS!A:C,3,FALSE)
)</f>
        <v>7.333333333</v>
      </c>
      <c r="AQ73" s="130">
        <f t="shared" si="3"/>
        <v>29.48666667</v>
      </c>
    </row>
    <row r="74" ht="14.25" customHeight="1">
      <c r="A74" s="137" t="s">
        <v>1448</v>
      </c>
      <c r="B74" s="114" t="s">
        <v>2576</v>
      </c>
      <c r="C74" s="114">
        <v>52.0</v>
      </c>
      <c r="D74" s="114">
        <v>1.0</v>
      </c>
      <c r="E74" s="114">
        <v>4.0</v>
      </c>
      <c r="F74" s="487">
        <v>3.0</v>
      </c>
      <c r="G74" s="488">
        <v>6.0</v>
      </c>
      <c r="H74" s="114" t="s">
        <v>2590</v>
      </c>
      <c r="I74" s="130">
        <f>IFERROR(__xludf.DUMMYFUNCTION("SWITCH(
LEN(H74) - LEN(SUBSTITUTE(H74,"","","""")),
0 , VLOOKUP(H74, Variables!$A:$B, 2, FALSE),
1 , VLOOKUP(index(split(H74 ,"", "", FALSE),1,1), Variables!$A:$B , 2, FALSE) + VLOOKUP(index(split(H74 ,"", "", FALSE),1,2), Variables!$A:$B , 2, FALSE),
2 ,"&amp;" VLOOKUP(index(split(H74 ,"", "", FALSE),1,1), Variables!$A:$B , 2, FALSE) + VLOOKUP(index(split(H74 ,"", "", FALSE),1,2), Variables!$A:$B , 2, FALSE) + VLOOKUP(index(split(H74 ,"", "", FALSE),1,3), Variables!$A:$B , 2, FALSE)
)"),2.6666666666666665)</f>
        <v>2.666666667</v>
      </c>
      <c r="J74" s="114" t="s">
        <v>1567</v>
      </c>
      <c r="K74" s="114" t="s">
        <v>1548</v>
      </c>
      <c r="L74" s="130">
        <f>IFERROR(__xludf.DUMMYFUNCTION("SWITCH(
LEN(K74) - LEN(SUBSTITUTE(K74,"","","""")),
0 , VLOOKUP(K74, Variables!$A:$B, 2, FALSE),
1 , VLOOKUP(index(split(K74 ,"", "", FALSE),1,1), Variables!$A:$B , 2, FALSE) + VLOOKUP(index(split(K74 ,"", "", FALSE),1,2), Variables!$A:$B , 2, FALSE),
2 ,"&amp;" VLOOKUP(index(split(K74 ,"", "", FALSE),1,1), Variables!$A:$B , 2, FALSE) + VLOOKUP(index(split(K74 ,"", "", FALSE),1,2), Variables!$A:$B , 2, FALSE) + VLOOKUP(index(split(K74 ,"", "", FALSE),1,3), Variables!$A:$B , 2, FALSE)
)
+
IF(J74=""Ranged"", 1 , 0"&amp;")"),3.3333333333333335)</f>
        <v>3.333333333</v>
      </c>
      <c r="M74" s="114" t="s">
        <v>1136</v>
      </c>
      <c r="N74" s="130">
        <f>IFERROR(__xludf.DUMMYFUNCTION("IF(ISBLANK(M74), , 
SWITCH(
LEN(M74)- LEN(SUBSTITUTE(M74,"","","""")), 
0 , VLOOKUP(M74, vote4TRAITS!A:C , 3, FALSE),
1 , VLOOKUP(index(split(M74 ,"", "", FALSE),1,1), vote4TRAITS!A:C , 3, FALSE) + VLOOKUP(index(split(M74 ,"", "", FALSE),1,2), vote4TRAITS"&amp;"!A:C , 3, FALSE),
2 , VLOOKUP(index(split(M74 ,"", "", FALSE),1,1), vote4TRAITS!A:C , 3, FALSE) + VLOOKUP(index(split(M74 ,"", "", FALSE),1,2), vote4TRAITS!A:C , 3, FALSE) + VLOOKUP(index(split(M74 ,"", "", FALSE),1,3), vote4TRAITS!A:C , 3, FALSE)
)
)"),5.0)</f>
        <v>5</v>
      </c>
      <c r="O74" s="490"/>
      <c r="P74" s="165" t="str">
        <f>IFERROR(__xludf.DUMMYFUNCTION("IF(ISBLANK(O74), , 
SWITCH(
LEN(O74)- LEN(SUBSTITUTE(O74,"","","""")), 
0 , VLOOKUP(O74, vote4ACTIONS!A:C , 3, FALSE),
1 , VLOOKUP(index(split(O74 ,"", "", FALSE),1,1), vote4ACTIONS!A:C , 3, FALSE) + VLOOKUP(index(split(O74 ,"", "", FALSE),1,2), vote4ACTI"&amp;"ONS!A:C , 3, FALSE),
2 , VLOOKUP(index(split(O74 ,"", "", FALSE),1,1), vote4ACTIONS!A:C , 3, FALSE) + VLOOKUP(index(split(O74 ,"", "", FALSE),1,2), vote4ACTIONS!A:C , 3, FALSE) + VLOOKUP(index(split(O74 ,"", "", FALSE),1,3), vote4ACTIONS!A:C , 3, FALSE),
"&amp;"3 , VLOOKUP(index(split(O74 ,"", "", FALSE),1,1), vote4ACTIONS!A:C , 3, FALSE) + VLOOKUP(index(split(O74 ,"", "", FALSE),1,2), vote4ACTIONS!A:C , 3, FALSE) + VLOOKUP(index(split(O74 ,"", "", FALSE),1,3), vote4ACTIONS!A:C , 3, FALSE) + VLOOKUP(index(split("&amp;"O74 ,"", "", FALSE),1,4), vote4ACTIONS!A:C , 3, FALSE)
)
)"),"")</f>
        <v/>
      </c>
      <c r="Q74" s="489" t="s">
        <v>2595</v>
      </c>
      <c r="R74" s="342">
        <f>IF(ISBLANK(Q74),,IFERROR(
IF(IFERROR(SEARCH("SS:",Q74),0) &gt; 0, 
VLOOKUP(SUBSTITUTE(Q74,"SS: ",""),vote4SURGE!$A:$C , 3, FALSE) - 2,
VLOOKUP(SUBSTITUTE(Q74,"S: ",""),vote4SURGE!$A:$C , 3, FALSE)
)
,
IF(IFERROR(SEARCH("SS:",Q74),0) &gt; 0, 
VLOOKUP(A74,vote4SURGE!$A:$C , 3, FALSE) - 2,
VLOOKUP(A74,vote4SURGE!$A:$C , 3, FALSE)
)
))</f>
        <v>3.5</v>
      </c>
      <c r="S74" s="341"/>
      <c r="T74" s="342" t="str">
        <f>IF(ISBLANK(S74),,IFERROR(
IF(IFERROR(SEARCH("SS:",S74),0) &gt; 0, 
VLOOKUP(SUBSTITUTE(S74,"SS: ",""),vote4SURGE!$A:$C , 3, FALSE) - 2,
VLOOKUP(SUBSTITUTE(S74,"S: ",""),vote4SURGE!$A:$C , 3, FALSE)
)
,
IF(IFERROR(SEARCH("SS:",S74),0) &gt; 0, 
VLOOKUP(A74,vote4SURGE!$A:$C , 3, FALSE) - 2,
VLOOKUP(A74,vote4SURGE!$A:$C , 3, FALSE)
)
))</f>
        <v/>
      </c>
      <c r="U74" s="341"/>
      <c r="V74" s="343" t="str">
        <f>IF(ISBLANK(U74),,IFERROR(
IF(IFERROR(SEARCH("SS:",U74),0) &gt; 0, 
VLOOKUP(SUBSTITUTE(U74,"SS: ",""),vote4SURGE!$A:$C , 3, FALSE) - 2,
VLOOKUP(SUBSTITUTE(U74,"S: ",""),vote4SURGE!$A:$C , 3, FALSE)
)
,
IF(IFERROR(SEARCH("SS:",U74),0) &gt; 0, 
VLOOKUP(A74,vote4SURGE!$A:$C , 3, FALSE) - 2,
VLOOKUP(A74,vote4SURGE!$A:$C , 3, FALSE)
)
))</f>
        <v/>
      </c>
      <c r="W74" s="343">
        <f t="shared" si="1"/>
        <v>1</v>
      </c>
      <c r="X74" s="344">
        <f>IFERROR(__xludf.DUMMYFUNCTION("SWITCH(
LEN(K74) - LEN(SUBSTITUTE(K74,"","","""")),
0 , VLOOKUP(K74, Variables!$A:$C, 3, FALSE),
1 , VLOOKUP(index(split(K74 ,"", "", FALSE),1,1), Variables!$A:$C, 3, FALSE) + VLOOKUP(index(split(K74 ,"", "", FALSE),1,2), Variables!$A:$C, 3, FALSE),
2 , V"&amp;"LOOKUP(index(split(K74 ,"", "", FALSE),1,1), Variables!$A:$C, 3, FALSE) + VLOOKUP(index(split(K74 ,"", "", FALSE),1,2), Variables!$A:$C, 3, FALSE) + VLOOKUP(index(split(K74 ,"", "", FALSE),1,3), Variables!$A:$C, 3, FALSE)
)"),0.8333333333333333)</f>
        <v>0.8333333333</v>
      </c>
      <c r="Y74" s="342">
        <f t="shared" si="2"/>
        <v>2.916666667</v>
      </c>
      <c r="Z74" s="114"/>
      <c r="AA74" s="114"/>
      <c r="AB74" s="114"/>
      <c r="AC74" s="114"/>
      <c r="AD74" s="114" t="s">
        <v>2572</v>
      </c>
      <c r="AE74" s="114"/>
      <c r="AF74" s="114" t="s">
        <v>2572</v>
      </c>
      <c r="AG74" s="114"/>
      <c r="AH74" s="114"/>
      <c r="AI74" s="114"/>
      <c r="AJ74" s="114" t="s">
        <v>2574</v>
      </c>
      <c r="AK74" s="473">
        <v>6.0</v>
      </c>
      <c r="AL74" s="114" t="s">
        <v>2573</v>
      </c>
      <c r="AM74" s="473">
        <v>9.0</v>
      </c>
      <c r="AN74" s="114" t="s">
        <v>2574</v>
      </c>
      <c r="AO74" s="473">
        <v>15.0</v>
      </c>
      <c r="AP74" s="130">
        <f>SUM(
VLOOKUP("Ravage",vote4TRAITS!A:C,3,FALSE)
)</f>
        <v>7.333333333</v>
      </c>
      <c r="AQ74" s="130">
        <f t="shared" si="3"/>
        <v>21.23666667</v>
      </c>
    </row>
    <row r="75" ht="14.25" customHeight="1">
      <c r="A75" s="137" t="s">
        <v>2607</v>
      </c>
      <c r="B75" s="114" t="s">
        <v>2570</v>
      </c>
      <c r="C75" s="114">
        <v>3.0</v>
      </c>
      <c r="D75" s="114">
        <v>2.0</v>
      </c>
      <c r="E75" s="114">
        <v>4.0</v>
      </c>
      <c r="F75" s="487">
        <v>4.0</v>
      </c>
      <c r="G75" s="488">
        <v>10.0</v>
      </c>
      <c r="H75" s="114" t="s">
        <v>2594</v>
      </c>
      <c r="I75" s="130">
        <f>IFERROR(__xludf.DUMMYFUNCTION("SWITCH(
LEN(H75) - LEN(SUBSTITUTE(H75,"","","""")),
0 , VLOOKUP(H75, Variables!$A:$B, 2, FALSE),
1 , VLOOKUP(index(split(H75 ,"", "", FALSE),1,1), Variables!$A:$B , 2, FALSE) + VLOOKUP(index(split(H75 ,"", "", FALSE),1,2), Variables!$A:$B , 2, FALSE),
2 ,"&amp;" VLOOKUP(index(split(H75 ,"", "", FALSE),1,1), Variables!$A:$B , 2, FALSE) + VLOOKUP(index(split(H75 ,"", "", FALSE),1,2), Variables!$A:$B , 2, FALSE) + VLOOKUP(index(split(H75 ,"", "", FALSE),1,3), Variables!$A:$B , 2, FALSE)
)"),2.833333333333333)</f>
        <v>2.833333333</v>
      </c>
      <c r="J75" s="114" t="s">
        <v>1567</v>
      </c>
      <c r="K75" s="114" t="s">
        <v>1537</v>
      </c>
      <c r="L75" s="130">
        <f>IFERROR(__xludf.DUMMYFUNCTION("SWITCH(
LEN(K75) - LEN(SUBSTITUTE(K75,"","","""")),
0 , VLOOKUP(K75, Variables!$A:$B, 2, FALSE),
1 , VLOOKUP(index(split(K75 ,"", "", FALSE),1,1), Variables!$A:$B , 2, FALSE) + VLOOKUP(index(split(K75 ,"", "", FALSE),1,2), Variables!$A:$B , 2, FALSE),
2 ,"&amp;" VLOOKUP(index(split(K75 ,"", "", FALSE),1,1), Variables!$A:$B , 2, FALSE) + VLOOKUP(index(split(K75 ,"", "", FALSE),1,2), Variables!$A:$B , 2, FALSE) + VLOOKUP(index(split(K75 ,"", "", FALSE),1,3), Variables!$A:$B , 2, FALSE)
)
+
IF(J75=""Ranged"", 1 , 0"&amp;")"),5.5)</f>
        <v>5.5</v>
      </c>
      <c r="M75" s="114"/>
      <c r="N75" s="130" t="str">
        <f>IFERROR(__xludf.DUMMYFUNCTION("IF(ISBLANK(M75), , 
SWITCH(
LEN(M75)- LEN(SUBSTITUTE(M75,"","","""")), 
0 , VLOOKUP(M75, vote4TRAITS!A:C , 3, FALSE),
1 , VLOOKUP(index(split(M75 ,"", "", FALSE),1,1), vote4TRAITS!A:C , 3, FALSE) + VLOOKUP(index(split(M75 ,"", "", FALSE),1,2), vote4TRAITS"&amp;"!A:C , 3, FALSE),
2 , VLOOKUP(index(split(M75 ,"", "", FALSE),1,1), vote4TRAITS!A:C , 3, FALSE) + VLOOKUP(index(split(M75 ,"", "", FALSE),1,2), vote4TRAITS!A:C , 3, FALSE) + VLOOKUP(index(split(M75 ,"", "", FALSE),1,3), vote4TRAITS!A:C , 3, FALSE)
)
)"),"")</f>
        <v/>
      </c>
      <c r="O75" s="114" t="s">
        <v>2608</v>
      </c>
      <c r="P75" s="165">
        <f>IFERROR(__xludf.DUMMYFUNCTION("IF(ISBLANK(O75), , 
SWITCH(
LEN(O75)- LEN(SUBSTITUTE(O75,"","","""")), 
0 , VLOOKUP(O75, vote4ACTIONS!A:C , 3, FALSE),
1 , VLOOKUP(index(split(O75 ,"", "", FALSE),1,1), vote4ACTIONS!A:C , 3, FALSE) + VLOOKUP(index(split(O75 ,"", "", FALSE),1,2), vote4ACTI"&amp;"ONS!A:C , 3, FALSE),
2 , VLOOKUP(index(split(O75 ,"", "", FALSE),1,1), vote4ACTIONS!A:C , 3, FALSE) + VLOOKUP(index(split(O75 ,"", "", FALSE),1,2), vote4ACTIONS!A:C , 3, FALSE) + VLOOKUP(index(split(O75 ,"", "", FALSE),1,3), vote4ACTIONS!A:C , 3, FALSE),
"&amp;"3 , VLOOKUP(index(split(O75 ,"", "", FALSE),1,1), vote4ACTIONS!A:C , 3, FALSE) + VLOOKUP(index(split(O75 ,"", "", FALSE),1,2), vote4ACTIONS!A:C , 3, FALSE) + VLOOKUP(index(split(O75 ,"", "", FALSE),1,3), vote4ACTIONS!A:C , 3, FALSE) + VLOOKUP(index(split("&amp;"O75 ,"", "", FALSE),1,4), vote4ACTIONS!A:C , 3, FALSE)
)
)"),12.25)</f>
        <v>12.25</v>
      </c>
      <c r="Q75" s="340"/>
      <c r="R75" s="342" t="str">
        <f>IF(ISBLANK(Q75),,IFERROR(
IF(IFERROR(SEARCH("SS:",Q75),0) &gt; 0, 
VLOOKUP(SUBSTITUTE(Q75,"SS: ",""),vote4SURGE!$A:$C , 3, FALSE) - 2,
VLOOKUP(SUBSTITUTE(Q75,"S: ",""),vote4SURGE!$A:$C , 3, FALSE)
)
,
IF(IFERROR(SEARCH("SS:",Q75),0) &gt; 0, 
VLOOKUP(A75,vote4SURGE!$A:$C , 3, FALSE) - 2,
VLOOKUP(A75,vote4SURGE!$A:$C , 3, FALSE)
)
))</f>
        <v/>
      </c>
      <c r="S75" s="341"/>
      <c r="T75" s="342" t="str">
        <f>IF(ISBLANK(S75),,IFERROR(
IF(IFERROR(SEARCH("SS:",S75),0) &gt; 0, 
VLOOKUP(SUBSTITUTE(S75,"SS: ",""),vote4SURGE!$A:$C , 3, FALSE) - 2,
VLOOKUP(SUBSTITUTE(S75,"S: ",""),vote4SURGE!$A:$C , 3, FALSE)
)
,
IF(IFERROR(SEARCH("SS:",S75),0) &gt; 0, 
VLOOKUP(A75,vote4SURGE!$A:$C , 3, FALSE) - 2,
VLOOKUP(A75,vote4SURGE!$A:$C , 3, FALSE)
)
))</f>
        <v/>
      </c>
      <c r="U75" s="341"/>
      <c r="V75" s="343" t="str">
        <f>IF(ISBLANK(U75),,IFERROR(
IF(IFERROR(SEARCH("SS:",U75),0) &gt; 0, 
VLOOKUP(SUBSTITUTE(U75,"SS: ",""),vote4SURGE!$A:$C , 3, FALSE) - 2,
VLOOKUP(SUBSTITUTE(U75,"S: ",""),vote4SURGE!$A:$C , 3, FALSE)
)
,
IF(IFERROR(SEARCH("SS:",U75),0) &gt; 0, 
VLOOKUP(A75,vote4SURGE!$A:$C , 3, FALSE) - 2,
VLOOKUP(A75,vote4SURGE!$A:$C , 3, FALSE)
)
))</f>
        <v/>
      </c>
      <c r="W75" s="343">
        <f t="shared" si="1"/>
        <v>0</v>
      </c>
      <c r="X75" s="344">
        <f>IFERROR(__xludf.DUMMYFUNCTION("SWITCH(
LEN(K75) - LEN(SUBSTITUTE(K75,"","","""")),
0 , VLOOKUP(K75, Variables!$A:$C, 3, FALSE),
1 , VLOOKUP(index(split(K75 ,"", "", FALSE),1,1), Variables!$A:$C, 3, FALSE) + VLOOKUP(index(split(K75 ,"", "", FALSE),1,2), Variables!$A:$C, 3, FALSE),
2 , V"&amp;"LOOKUP(index(split(K75 ,"", "", FALSE),1,1), Variables!$A:$C, 3, FALSE) + VLOOKUP(index(split(K75 ,"", "", FALSE),1,2), Variables!$A:$C, 3, FALSE) + VLOOKUP(index(split(K75 ,"", "", FALSE),1,3), Variables!$A:$C, 3, FALSE)
)"),1.0)</f>
        <v>1</v>
      </c>
      <c r="Y75" s="342">
        <f t="shared" si="2"/>
        <v>0</v>
      </c>
      <c r="Z75" s="114"/>
      <c r="AA75" s="114"/>
      <c r="AB75" s="114"/>
      <c r="AC75" s="114" t="s">
        <v>2572</v>
      </c>
      <c r="AD75" s="114"/>
      <c r="AE75" s="114"/>
      <c r="AF75" s="114" t="s">
        <v>2572</v>
      </c>
      <c r="AG75" s="114"/>
      <c r="AH75" s="114"/>
      <c r="AI75" s="114"/>
      <c r="AJ75" s="114" t="s">
        <v>2573</v>
      </c>
      <c r="AK75" s="473">
        <v>8.0</v>
      </c>
      <c r="AL75" s="114" t="s">
        <v>2574</v>
      </c>
      <c r="AM75" s="473">
        <v>10.0</v>
      </c>
      <c r="AN75" s="114" t="s">
        <v>2574</v>
      </c>
      <c r="AO75" s="473">
        <v>18.0</v>
      </c>
      <c r="AP75" s="130">
        <f>SUM(
VLOOKUP("Ravage",vote4TRAITS!A:C,3,FALSE)
)</f>
        <v>7.333333333</v>
      </c>
      <c r="AQ75" s="130">
        <f t="shared" si="3"/>
        <v>40.4</v>
      </c>
    </row>
    <row r="76" ht="14.25" customHeight="1">
      <c r="A76" s="137" t="s">
        <v>2607</v>
      </c>
      <c r="B76" s="114" t="s">
        <v>2576</v>
      </c>
      <c r="C76" s="114">
        <v>3.0</v>
      </c>
      <c r="D76" s="114">
        <v>2.0</v>
      </c>
      <c r="E76" s="114">
        <v>4.0</v>
      </c>
      <c r="F76" s="487">
        <v>4.0</v>
      </c>
      <c r="G76" s="488">
        <v>8.0</v>
      </c>
      <c r="H76" s="114" t="s">
        <v>2594</v>
      </c>
      <c r="I76" s="130">
        <f>IFERROR(__xludf.DUMMYFUNCTION("SWITCH(
LEN(H76) - LEN(SUBSTITUTE(H76,"","","""")),
0 , VLOOKUP(H76, Variables!$A:$B, 2, FALSE),
1 , VLOOKUP(index(split(H76 ,"", "", FALSE),1,1), Variables!$A:$B , 2, FALSE) + VLOOKUP(index(split(H76 ,"", "", FALSE),1,2), Variables!$A:$B , 2, FALSE),
2 ,"&amp;" VLOOKUP(index(split(H76 ,"", "", FALSE),1,1), Variables!$A:$B , 2, FALSE) + VLOOKUP(index(split(H76 ,"", "", FALSE),1,2), Variables!$A:$B , 2, FALSE) + VLOOKUP(index(split(H76 ,"", "", FALSE),1,3), Variables!$A:$B , 2, FALSE)
)"),2.833333333333333)</f>
        <v>2.833333333</v>
      </c>
      <c r="J76" s="114" t="s">
        <v>1567</v>
      </c>
      <c r="K76" s="114" t="s">
        <v>1537</v>
      </c>
      <c r="L76" s="130">
        <f>IFERROR(__xludf.DUMMYFUNCTION("SWITCH(
LEN(K76) - LEN(SUBSTITUTE(K76,"","","""")),
0 , VLOOKUP(K76, Variables!$A:$B, 2, FALSE),
1 , VLOOKUP(index(split(K76 ,"", "", FALSE),1,1), Variables!$A:$B , 2, FALSE) + VLOOKUP(index(split(K76 ,"", "", FALSE),1,2), Variables!$A:$B , 2, FALSE),
2 ,"&amp;" VLOOKUP(index(split(K76 ,"", "", FALSE),1,1), Variables!$A:$B , 2, FALSE) + VLOOKUP(index(split(K76 ,"", "", FALSE),1,2), Variables!$A:$B , 2, FALSE) + VLOOKUP(index(split(K76 ,"", "", FALSE),1,3), Variables!$A:$B , 2, FALSE)
)
+
IF(J76=""Ranged"", 1 , 0"&amp;")"),5.5)</f>
        <v>5.5</v>
      </c>
      <c r="M76" s="114"/>
      <c r="N76" s="130" t="str">
        <f>IFERROR(__xludf.DUMMYFUNCTION("IF(ISBLANK(M76), , 
SWITCH(
LEN(M76)- LEN(SUBSTITUTE(M76,"","","""")), 
0 , VLOOKUP(M76, vote4TRAITS!A:C , 3, FALSE),
1 , VLOOKUP(index(split(M76 ,"", "", FALSE),1,1), vote4TRAITS!A:C , 3, FALSE) + VLOOKUP(index(split(M76 ,"", "", FALSE),1,2), vote4TRAITS"&amp;"!A:C , 3, FALSE),
2 , VLOOKUP(index(split(M76 ,"", "", FALSE),1,1), vote4TRAITS!A:C , 3, FALSE) + VLOOKUP(index(split(M76 ,"", "", FALSE),1,2), vote4TRAITS!A:C , 3, FALSE) + VLOOKUP(index(split(M76 ,"", "", FALSE),1,3), vote4TRAITS!A:C , 3, FALSE)
)
)"),"")</f>
        <v/>
      </c>
      <c r="O76" s="114" t="s">
        <v>2608</v>
      </c>
      <c r="P76" s="165">
        <f>IFERROR(__xludf.DUMMYFUNCTION("IF(ISBLANK(O76), , 
SWITCH(
LEN(O76)- LEN(SUBSTITUTE(O76,"","","""")), 
0 , VLOOKUP(O76, vote4ACTIONS!A:C , 3, FALSE),
1 , VLOOKUP(index(split(O76 ,"", "", FALSE),1,1), vote4ACTIONS!A:C , 3, FALSE) + VLOOKUP(index(split(O76 ,"", "", FALSE),1,2), vote4ACTI"&amp;"ONS!A:C , 3, FALSE),
2 , VLOOKUP(index(split(O76 ,"", "", FALSE),1,1), vote4ACTIONS!A:C , 3, FALSE) + VLOOKUP(index(split(O76 ,"", "", FALSE),1,2), vote4ACTIONS!A:C , 3, FALSE) + VLOOKUP(index(split(O76 ,"", "", FALSE),1,3), vote4ACTIONS!A:C , 3, FALSE),
"&amp;"3 , VLOOKUP(index(split(O76 ,"", "", FALSE),1,1), vote4ACTIONS!A:C , 3, FALSE) + VLOOKUP(index(split(O76 ,"", "", FALSE),1,2), vote4ACTIONS!A:C , 3, FALSE) + VLOOKUP(index(split(O76 ,"", "", FALSE),1,3), vote4ACTIONS!A:C , 3, FALSE) + VLOOKUP(index(split("&amp;"O76 ,"", "", FALSE),1,4), vote4ACTIONS!A:C , 3, FALSE)
)
)"),12.25)</f>
        <v>12.25</v>
      </c>
      <c r="Q76" s="340"/>
      <c r="R76" s="342" t="str">
        <f>IF(ISBLANK(Q76),,IFERROR(
IF(IFERROR(SEARCH("SS:",Q76),0) &gt; 0, 
VLOOKUP(SUBSTITUTE(Q76,"SS: ",""),vote4SURGE!$A:$C , 3, FALSE) - 2,
VLOOKUP(SUBSTITUTE(Q76,"S: ",""),vote4SURGE!$A:$C , 3, FALSE)
)
,
IF(IFERROR(SEARCH("SS:",Q76),0) &gt; 0, 
VLOOKUP(A76,vote4SURGE!$A:$C , 3, FALSE) - 2,
VLOOKUP(A76,vote4SURGE!$A:$C , 3, FALSE)
)
))</f>
        <v/>
      </c>
      <c r="S76" s="341"/>
      <c r="T76" s="342" t="str">
        <f>IF(ISBLANK(S76),,IFERROR(
IF(IFERROR(SEARCH("SS:",S76),0) &gt; 0, 
VLOOKUP(SUBSTITUTE(S76,"SS: ",""),vote4SURGE!$A:$C , 3, FALSE) - 2,
VLOOKUP(SUBSTITUTE(S76,"S: ",""),vote4SURGE!$A:$C , 3, FALSE)
)
,
IF(IFERROR(SEARCH("SS:",S76),0) &gt; 0, 
VLOOKUP(A76,vote4SURGE!$A:$C , 3, FALSE) - 2,
VLOOKUP(A76,vote4SURGE!$A:$C , 3, FALSE)
)
))</f>
        <v/>
      </c>
      <c r="U76" s="341"/>
      <c r="V76" s="343" t="str">
        <f>IF(ISBLANK(U76),,IFERROR(
IF(IFERROR(SEARCH("SS:",U76),0) &gt; 0, 
VLOOKUP(SUBSTITUTE(U76,"SS: ",""),vote4SURGE!$A:$C , 3, FALSE) - 2,
VLOOKUP(SUBSTITUTE(U76,"S: ",""),vote4SURGE!$A:$C , 3, FALSE)
)
,
IF(IFERROR(SEARCH("SS:",U76),0) &gt; 0, 
VLOOKUP(A76,vote4SURGE!$A:$C , 3, FALSE) - 2,
VLOOKUP(A76,vote4SURGE!$A:$C , 3, FALSE)
)
))</f>
        <v/>
      </c>
      <c r="W76" s="343">
        <f t="shared" si="1"/>
        <v>0</v>
      </c>
      <c r="X76" s="344">
        <f>IFERROR(__xludf.DUMMYFUNCTION("SWITCH(
LEN(K76) - LEN(SUBSTITUTE(K76,"","","""")),
0 , VLOOKUP(K76, Variables!$A:$C, 3, FALSE),
1 , VLOOKUP(index(split(K76 ,"", "", FALSE),1,1), Variables!$A:$C, 3, FALSE) + VLOOKUP(index(split(K76 ,"", "", FALSE),1,2), Variables!$A:$C, 3, FALSE),
2 , V"&amp;"LOOKUP(index(split(K76 ,"", "", FALSE),1,1), Variables!$A:$C, 3, FALSE) + VLOOKUP(index(split(K76 ,"", "", FALSE),1,2), Variables!$A:$C, 3, FALSE) + VLOOKUP(index(split(K76 ,"", "", FALSE),1,3), Variables!$A:$C, 3, FALSE)
)"),1.0)</f>
        <v>1</v>
      </c>
      <c r="Y76" s="342">
        <f t="shared" si="2"/>
        <v>0</v>
      </c>
      <c r="Z76" s="114"/>
      <c r="AA76" s="114"/>
      <c r="AB76" s="114"/>
      <c r="AC76" s="114" t="s">
        <v>2572</v>
      </c>
      <c r="AD76" s="114"/>
      <c r="AE76" s="114"/>
      <c r="AF76" s="114" t="s">
        <v>2572</v>
      </c>
      <c r="AG76" s="114"/>
      <c r="AH76" s="114"/>
      <c r="AI76" s="114"/>
      <c r="AJ76" s="114" t="s">
        <v>2574</v>
      </c>
      <c r="AK76" s="473">
        <v>8.0</v>
      </c>
      <c r="AL76" s="114" t="s">
        <v>2573</v>
      </c>
      <c r="AM76" s="473">
        <v>10.0</v>
      </c>
      <c r="AN76" s="114" t="s">
        <v>2574</v>
      </c>
      <c r="AO76" s="473">
        <v>18.0</v>
      </c>
      <c r="AP76" s="130">
        <f>SUM(
VLOOKUP("Ravage",vote4TRAITS!A:C,3,FALSE)
)</f>
        <v>7.333333333</v>
      </c>
      <c r="AQ76" s="130">
        <f t="shared" si="3"/>
        <v>34.73333333</v>
      </c>
    </row>
    <row r="77" ht="14.25" customHeight="1">
      <c r="A77" s="137" t="s">
        <v>2607</v>
      </c>
      <c r="B77" s="114" t="s">
        <v>2570</v>
      </c>
      <c r="C77" s="114">
        <v>3.0</v>
      </c>
      <c r="D77" s="114">
        <v>1.0</v>
      </c>
      <c r="E77" s="114">
        <v>4.0</v>
      </c>
      <c r="F77" s="487">
        <v>4.0</v>
      </c>
      <c r="G77" s="488">
        <v>6.0</v>
      </c>
      <c r="H77" s="114" t="s">
        <v>1671</v>
      </c>
      <c r="I77" s="130">
        <f>IFERROR(__xludf.DUMMYFUNCTION("SWITCH(
LEN(H77) - LEN(SUBSTITUTE(H77,"","","""")),
0 , VLOOKUP(H77, Variables!$A:$B, 2, FALSE),
1 , VLOOKUP(index(split(H77 ,"", "", FALSE),1,1), Variables!$A:$B , 2, FALSE) + VLOOKUP(index(split(H77 ,"", "", FALSE),1,2), Variables!$A:$B , 2, FALSE),
2 ,"&amp;" VLOOKUP(index(split(H77 ,"", "", FALSE),1,1), Variables!$A:$B , 2, FALSE) + VLOOKUP(index(split(H77 ,"", "", FALSE),1,2), Variables!$A:$B , 2, FALSE) + VLOOKUP(index(split(H77 ,"", "", FALSE),1,3), Variables!$A:$B , 2, FALSE)
)"),2.1666666666666665)</f>
        <v>2.166666667</v>
      </c>
      <c r="J77" s="114" t="s">
        <v>1567</v>
      </c>
      <c r="K77" s="114" t="s">
        <v>1525</v>
      </c>
      <c r="L77" s="130">
        <f>IFERROR(__xludf.DUMMYFUNCTION("SWITCH(
LEN(K77) - LEN(SUBSTITUTE(K77,"","","""")),
0 , VLOOKUP(K77, Variables!$A:$B, 2, FALSE),
1 , VLOOKUP(index(split(K77 ,"", "", FALSE),1,1), Variables!$A:$B , 2, FALSE) + VLOOKUP(index(split(K77 ,"", "", FALSE),1,2), Variables!$A:$B , 2, FALSE),
2 ,"&amp;" VLOOKUP(index(split(K77 ,"", "", FALSE),1,1), Variables!$A:$B , 2, FALSE) + VLOOKUP(index(split(K77 ,"", "", FALSE),1,2), Variables!$A:$B , 2, FALSE) + VLOOKUP(index(split(K77 ,"", "", FALSE),1,3), Variables!$A:$B , 2, FALSE)
)
+
IF(J77=""Ranged"", 1 , 0"&amp;")"),4.333333333333333)</f>
        <v>4.333333333</v>
      </c>
      <c r="M77" s="114"/>
      <c r="N77" s="130" t="str">
        <f>IFERROR(__xludf.DUMMYFUNCTION("IF(ISBLANK(M77), , 
SWITCH(
LEN(M77)- LEN(SUBSTITUTE(M77,"","","""")), 
0 , VLOOKUP(M77, vote4TRAITS!A:C , 3, FALSE),
1 , VLOOKUP(index(split(M77 ,"", "", FALSE),1,1), vote4TRAITS!A:C , 3, FALSE) + VLOOKUP(index(split(M77 ,"", "", FALSE),1,2), vote4TRAITS"&amp;"!A:C , 3, FALSE),
2 , VLOOKUP(index(split(M77 ,"", "", FALSE),1,1), vote4TRAITS!A:C , 3, FALSE) + VLOOKUP(index(split(M77 ,"", "", FALSE),1,2), vote4TRAITS!A:C , 3, FALSE) + VLOOKUP(index(split(M77 ,"", "", FALSE),1,3), vote4TRAITS!A:C , 3, FALSE)
)
)"),"")</f>
        <v/>
      </c>
      <c r="O77" s="114" t="s">
        <v>2608</v>
      </c>
      <c r="P77" s="165">
        <f>IFERROR(__xludf.DUMMYFUNCTION("IF(ISBLANK(O77), , 
SWITCH(
LEN(O77)- LEN(SUBSTITUTE(O77,"","","""")), 
0 , VLOOKUP(O77, vote4ACTIONS!A:C , 3, FALSE),
1 , VLOOKUP(index(split(O77 ,"", "", FALSE),1,1), vote4ACTIONS!A:C , 3, FALSE) + VLOOKUP(index(split(O77 ,"", "", FALSE),1,2), vote4ACTI"&amp;"ONS!A:C , 3, FALSE),
2 , VLOOKUP(index(split(O77 ,"", "", FALSE),1,1), vote4ACTIONS!A:C , 3, FALSE) + VLOOKUP(index(split(O77 ,"", "", FALSE),1,2), vote4ACTIONS!A:C , 3, FALSE) + VLOOKUP(index(split(O77 ,"", "", FALSE),1,3), vote4ACTIONS!A:C , 3, FALSE),
"&amp;"3 , VLOOKUP(index(split(O77 ,"", "", FALSE),1,1), vote4ACTIONS!A:C , 3, FALSE) + VLOOKUP(index(split(O77 ,"", "", FALSE),1,2), vote4ACTIONS!A:C , 3, FALSE) + VLOOKUP(index(split(O77 ,"", "", FALSE),1,3), vote4ACTIONS!A:C , 3, FALSE) + VLOOKUP(index(split("&amp;"O77 ,"", "", FALSE),1,4), vote4ACTIONS!A:C , 3, FALSE)
)
)"),12.25)</f>
        <v>12.25</v>
      </c>
      <c r="Q77" s="340"/>
      <c r="R77" s="342" t="str">
        <f>IF(ISBLANK(Q77),,IFERROR(
IF(IFERROR(SEARCH("SS:",Q77),0) &gt; 0, 
VLOOKUP(SUBSTITUTE(Q77,"SS: ",""),vote4SURGE!$A:$C , 3, FALSE) - 2,
VLOOKUP(SUBSTITUTE(Q77,"S: ",""),vote4SURGE!$A:$C , 3, FALSE)
)
,
IF(IFERROR(SEARCH("SS:",Q77),0) &gt; 0, 
VLOOKUP(A77,vote4SURGE!$A:$C , 3, FALSE) - 2,
VLOOKUP(A77,vote4SURGE!$A:$C , 3, FALSE)
)
))</f>
        <v/>
      </c>
      <c r="S77" s="341"/>
      <c r="T77" s="342" t="str">
        <f>IF(ISBLANK(S77),,IFERROR(
IF(IFERROR(SEARCH("SS:",S77),0) &gt; 0, 
VLOOKUP(SUBSTITUTE(S77,"SS: ",""),vote4SURGE!$A:$C , 3, FALSE) - 2,
VLOOKUP(SUBSTITUTE(S77,"S: ",""),vote4SURGE!$A:$C , 3, FALSE)
)
,
IF(IFERROR(SEARCH("SS:",S77),0) &gt; 0, 
VLOOKUP(A77,vote4SURGE!$A:$C , 3, FALSE) - 2,
VLOOKUP(A77,vote4SURGE!$A:$C , 3, FALSE)
)
))</f>
        <v/>
      </c>
      <c r="U77" s="341"/>
      <c r="V77" s="343" t="str">
        <f>IF(ISBLANK(U77),,IFERROR(
IF(IFERROR(SEARCH("SS:",U77),0) &gt; 0, 
VLOOKUP(SUBSTITUTE(U77,"SS: ",""),vote4SURGE!$A:$C , 3, FALSE) - 2,
VLOOKUP(SUBSTITUTE(U77,"S: ",""),vote4SURGE!$A:$C , 3, FALSE)
)
,
IF(IFERROR(SEARCH("SS:",U77),0) &gt; 0, 
VLOOKUP(A77,vote4SURGE!$A:$C , 3, FALSE) - 2,
VLOOKUP(A77,vote4SURGE!$A:$C , 3, FALSE)
)
))</f>
        <v/>
      </c>
      <c r="W77" s="343">
        <f t="shared" si="1"/>
        <v>0</v>
      </c>
      <c r="X77" s="344">
        <f>IFERROR(__xludf.DUMMYFUNCTION("SWITCH(
LEN(K77) - LEN(SUBSTITUTE(K77,"","","""")),
0 , VLOOKUP(K77, Variables!$A:$C, 3, FALSE),
1 , VLOOKUP(index(split(K77 ,"", "", FALSE),1,1), Variables!$A:$C, 3, FALSE) + VLOOKUP(index(split(K77 ,"", "", FALSE),1,2), Variables!$A:$C, 3, FALSE),
2 , V"&amp;"LOOKUP(index(split(K77 ,"", "", FALSE),1,1), Variables!$A:$C, 3, FALSE) + VLOOKUP(index(split(K77 ,"", "", FALSE),1,2), Variables!$A:$C, 3, FALSE) + VLOOKUP(index(split(K77 ,"", "", FALSE),1,3), Variables!$A:$C, 3, FALSE)
)"),0.5)</f>
        <v>0.5</v>
      </c>
      <c r="Y77" s="342">
        <f t="shared" si="2"/>
        <v>0</v>
      </c>
      <c r="Z77" s="114"/>
      <c r="AA77" s="114"/>
      <c r="AB77" s="114"/>
      <c r="AC77" s="114" t="s">
        <v>2572</v>
      </c>
      <c r="AD77" s="114"/>
      <c r="AE77" s="114"/>
      <c r="AF77" s="114" t="s">
        <v>2572</v>
      </c>
      <c r="AG77" s="114"/>
      <c r="AH77" s="114"/>
      <c r="AI77" s="114"/>
      <c r="AJ77" s="114" t="s">
        <v>2573</v>
      </c>
      <c r="AK77" s="473">
        <v>4.0</v>
      </c>
      <c r="AL77" s="114" t="s">
        <v>2574</v>
      </c>
      <c r="AM77" s="473">
        <v>6.0</v>
      </c>
      <c r="AN77" s="114" t="s">
        <v>2574</v>
      </c>
      <c r="AO77" s="473">
        <v>10.0</v>
      </c>
      <c r="AP77" s="130">
        <f>SUM(
VLOOKUP("Ravage",vote4TRAITS!A:C,3,FALSE)
)</f>
        <v>7.333333333</v>
      </c>
      <c r="AQ77" s="130">
        <f t="shared" si="3"/>
        <v>23.9</v>
      </c>
    </row>
    <row r="78" ht="14.25" customHeight="1">
      <c r="A78" s="137" t="s">
        <v>2607</v>
      </c>
      <c r="B78" s="114" t="s">
        <v>2576</v>
      </c>
      <c r="C78" s="114">
        <v>3.0</v>
      </c>
      <c r="D78" s="114">
        <v>1.0</v>
      </c>
      <c r="E78" s="114">
        <v>4.0</v>
      </c>
      <c r="F78" s="487">
        <v>4.0</v>
      </c>
      <c r="G78" s="488">
        <v>4.0</v>
      </c>
      <c r="H78" s="114" t="s">
        <v>1671</v>
      </c>
      <c r="I78" s="130">
        <f>IFERROR(__xludf.DUMMYFUNCTION("SWITCH(
LEN(H78) - LEN(SUBSTITUTE(H78,"","","""")),
0 , VLOOKUP(H78, Variables!$A:$B, 2, FALSE),
1 , VLOOKUP(index(split(H78 ,"", "", FALSE),1,1), Variables!$A:$B , 2, FALSE) + VLOOKUP(index(split(H78 ,"", "", FALSE),1,2), Variables!$A:$B , 2, FALSE),
2 ,"&amp;" VLOOKUP(index(split(H78 ,"", "", FALSE),1,1), Variables!$A:$B , 2, FALSE) + VLOOKUP(index(split(H78 ,"", "", FALSE),1,2), Variables!$A:$B , 2, FALSE) + VLOOKUP(index(split(H78 ,"", "", FALSE),1,3), Variables!$A:$B , 2, FALSE)
)"),2.1666666666666665)</f>
        <v>2.166666667</v>
      </c>
      <c r="J78" s="114" t="s">
        <v>1567</v>
      </c>
      <c r="K78" s="114" t="s">
        <v>1525</v>
      </c>
      <c r="L78" s="130">
        <f>IFERROR(__xludf.DUMMYFUNCTION("SWITCH(
LEN(K78) - LEN(SUBSTITUTE(K78,"","","""")),
0 , VLOOKUP(K78, Variables!$A:$B, 2, FALSE),
1 , VLOOKUP(index(split(K78 ,"", "", FALSE),1,1), Variables!$A:$B , 2, FALSE) + VLOOKUP(index(split(K78 ,"", "", FALSE),1,2), Variables!$A:$B , 2, FALSE),
2 ,"&amp;" VLOOKUP(index(split(K78 ,"", "", FALSE),1,1), Variables!$A:$B , 2, FALSE) + VLOOKUP(index(split(K78 ,"", "", FALSE),1,2), Variables!$A:$B , 2, FALSE) + VLOOKUP(index(split(K78 ,"", "", FALSE),1,3), Variables!$A:$B , 2, FALSE)
)
+
IF(J78=""Ranged"", 1 , 0"&amp;")"),4.333333333333333)</f>
        <v>4.333333333</v>
      </c>
      <c r="M78" s="114"/>
      <c r="N78" s="130" t="str">
        <f>IFERROR(__xludf.DUMMYFUNCTION("IF(ISBLANK(M78), , 
SWITCH(
LEN(M78)- LEN(SUBSTITUTE(M78,"","","""")), 
0 , VLOOKUP(M78, vote4TRAITS!A:C , 3, FALSE),
1 , VLOOKUP(index(split(M78 ,"", "", FALSE),1,1), vote4TRAITS!A:C , 3, FALSE) + VLOOKUP(index(split(M78 ,"", "", FALSE),1,2), vote4TRAITS"&amp;"!A:C , 3, FALSE),
2 , VLOOKUP(index(split(M78 ,"", "", FALSE),1,1), vote4TRAITS!A:C , 3, FALSE) + VLOOKUP(index(split(M78 ,"", "", FALSE),1,2), vote4TRAITS!A:C , 3, FALSE) + VLOOKUP(index(split(M78 ,"", "", FALSE),1,3), vote4TRAITS!A:C , 3, FALSE)
)
)"),"")</f>
        <v/>
      </c>
      <c r="O78" s="114" t="s">
        <v>2608</v>
      </c>
      <c r="P78" s="165">
        <f>IFERROR(__xludf.DUMMYFUNCTION("IF(ISBLANK(O78), , 
SWITCH(
LEN(O78)- LEN(SUBSTITUTE(O78,"","","""")), 
0 , VLOOKUP(O78, vote4ACTIONS!A:C , 3, FALSE),
1 , VLOOKUP(index(split(O78 ,"", "", FALSE),1,1), vote4ACTIONS!A:C , 3, FALSE) + VLOOKUP(index(split(O78 ,"", "", FALSE),1,2), vote4ACTI"&amp;"ONS!A:C , 3, FALSE),
2 , VLOOKUP(index(split(O78 ,"", "", FALSE),1,1), vote4ACTIONS!A:C , 3, FALSE) + VLOOKUP(index(split(O78 ,"", "", FALSE),1,2), vote4ACTIONS!A:C , 3, FALSE) + VLOOKUP(index(split(O78 ,"", "", FALSE),1,3), vote4ACTIONS!A:C , 3, FALSE),
"&amp;"3 , VLOOKUP(index(split(O78 ,"", "", FALSE),1,1), vote4ACTIONS!A:C , 3, FALSE) + VLOOKUP(index(split(O78 ,"", "", FALSE),1,2), vote4ACTIONS!A:C , 3, FALSE) + VLOOKUP(index(split(O78 ,"", "", FALSE),1,3), vote4ACTIONS!A:C , 3, FALSE) + VLOOKUP(index(split("&amp;"O78 ,"", "", FALSE),1,4), vote4ACTIONS!A:C , 3, FALSE)
)
)"),12.25)</f>
        <v>12.25</v>
      </c>
      <c r="Q78" s="322"/>
      <c r="R78" s="342" t="str">
        <f>IF(ISBLANK(Q78),,IFERROR(
IF(IFERROR(SEARCH("SS:",Q78),0) &gt; 0, 
VLOOKUP(SUBSTITUTE(Q78,"SS: ",""),vote4SURGE!$A:$C , 3, FALSE) - 2,
VLOOKUP(SUBSTITUTE(Q78,"S: ",""),vote4SURGE!$A:$C , 3, FALSE)
)
,
IF(IFERROR(SEARCH("SS:",Q78),0) &gt; 0, 
VLOOKUP(A78,vote4SURGE!$A:$C , 3, FALSE) - 2,
VLOOKUP(A78,vote4SURGE!$A:$C , 3, FALSE)
)
))</f>
        <v/>
      </c>
      <c r="S78" s="341"/>
      <c r="T78" s="342" t="str">
        <f>IF(ISBLANK(S78),,IFERROR(
IF(IFERROR(SEARCH("SS:",S78),0) &gt; 0, 
VLOOKUP(SUBSTITUTE(S78,"SS: ",""),vote4SURGE!$A:$C , 3, FALSE) - 2,
VLOOKUP(SUBSTITUTE(S78,"S: ",""),vote4SURGE!$A:$C , 3, FALSE)
)
,
IF(IFERROR(SEARCH("SS:",S78),0) &gt; 0, 
VLOOKUP(A78,vote4SURGE!$A:$C , 3, FALSE) - 2,
VLOOKUP(A78,vote4SURGE!$A:$C , 3, FALSE)
)
))</f>
        <v/>
      </c>
      <c r="U78" s="341"/>
      <c r="V78" s="343" t="str">
        <f>IF(ISBLANK(U78),,IFERROR(
IF(IFERROR(SEARCH("SS:",U78),0) &gt; 0, 
VLOOKUP(SUBSTITUTE(U78,"SS: ",""),vote4SURGE!$A:$C , 3, FALSE) - 2,
VLOOKUP(SUBSTITUTE(U78,"S: ",""),vote4SURGE!$A:$C , 3, FALSE)
)
,
IF(IFERROR(SEARCH("SS:",U78),0) &gt; 0, 
VLOOKUP(A78,vote4SURGE!$A:$C , 3, FALSE) - 2,
VLOOKUP(A78,vote4SURGE!$A:$C , 3, FALSE)
)
))</f>
        <v/>
      </c>
      <c r="W78" s="343">
        <f t="shared" si="1"/>
        <v>0</v>
      </c>
      <c r="X78" s="344">
        <f>IFERROR(__xludf.DUMMYFUNCTION("SWITCH(
LEN(K78) - LEN(SUBSTITUTE(K78,"","","""")),
0 , VLOOKUP(K78, Variables!$A:$C, 3, FALSE),
1 , VLOOKUP(index(split(K78 ,"", "", FALSE),1,1), Variables!$A:$C, 3, FALSE) + VLOOKUP(index(split(K78 ,"", "", FALSE),1,2), Variables!$A:$C, 3, FALSE),
2 , V"&amp;"LOOKUP(index(split(K78 ,"", "", FALSE),1,1), Variables!$A:$C, 3, FALSE) + VLOOKUP(index(split(K78 ,"", "", FALSE),1,2), Variables!$A:$C, 3, FALSE) + VLOOKUP(index(split(K78 ,"", "", FALSE),1,3), Variables!$A:$C, 3, FALSE)
)"),0.5)</f>
        <v>0.5</v>
      </c>
      <c r="Y78" s="342">
        <f t="shared" si="2"/>
        <v>0</v>
      </c>
      <c r="Z78" s="114"/>
      <c r="AA78" s="114"/>
      <c r="AB78" s="114"/>
      <c r="AC78" s="114" t="s">
        <v>2572</v>
      </c>
      <c r="AD78" s="114"/>
      <c r="AE78" s="114"/>
      <c r="AF78" s="114" t="s">
        <v>2572</v>
      </c>
      <c r="AG78" s="114"/>
      <c r="AH78" s="114"/>
      <c r="AI78" s="114"/>
      <c r="AJ78" s="114" t="s">
        <v>2574</v>
      </c>
      <c r="AK78" s="473">
        <v>4.0</v>
      </c>
      <c r="AL78" s="114" t="s">
        <v>2573</v>
      </c>
      <c r="AM78" s="473">
        <v>6.0</v>
      </c>
      <c r="AN78" s="114" t="s">
        <v>2574</v>
      </c>
      <c r="AO78" s="473">
        <v>10.0</v>
      </c>
      <c r="AP78" s="130">
        <f>SUM(
VLOOKUP("Ravage",vote4TRAITS!A:C,3,FALSE)
)</f>
        <v>7.333333333</v>
      </c>
      <c r="AQ78" s="130">
        <f t="shared" si="3"/>
        <v>19.56666667</v>
      </c>
    </row>
    <row r="79" ht="14.25" customHeight="1">
      <c r="A79" s="137" t="s">
        <v>1444</v>
      </c>
      <c r="B79" s="114" t="s">
        <v>2570</v>
      </c>
      <c r="C79" s="114">
        <v>4.0</v>
      </c>
      <c r="D79" s="114">
        <v>2.0</v>
      </c>
      <c r="E79" s="114">
        <v>4.0</v>
      </c>
      <c r="F79" s="487">
        <v>3.0</v>
      </c>
      <c r="G79" s="488">
        <v>9.0</v>
      </c>
      <c r="H79" s="114" t="s">
        <v>2599</v>
      </c>
      <c r="I79" s="130">
        <f>IFERROR(__xludf.DUMMYFUNCTION("SWITCH(
LEN(H79) - LEN(SUBSTITUTE(H79,"","","""")),
0 , VLOOKUP(H79, Variables!$A:$B, 2, FALSE),
1 , VLOOKUP(index(split(H79 ,"", "", FALSE),1,1), Variables!$A:$B , 2, FALSE) + VLOOKUP(index(split(H79 ,"", "", FALSE),1,2), Variables!$A:$B , 2, FALSE),
2 ,"&amp;" VLOOKUP(index(split(H79 ,"", "", FALSE),1,1), Variables!$A:$B , 2, FALSE) + VLOOKUP(index(split(H79 ,"", "", FALSE),1,2), Variables!$A:$B , 2, FALSE) + VLOOKUP(index(split(H79 ,"", "", FALSE),1,3), Variables!$A:$B , 2, FALSE)
)"),3.5)</f>
        <v>3.5</v>
      </c>
      <c r="J79" s="114" t="s">
        <v>1521</v>
      </c>
      <c r="K79" s="114" t="s">
        <v>1528</v>
      </c>
      <c r="L79" s="130">
        <f>IFERROR(__xludf.DUMMYFUNCTION("SWITCH(
LEN(K79) - LEN(SUBSTITUTE(K79,"","","""")),
0 , VLOOKUP(K79, Variables!$A:$B, 2, FALSE),
1 , VLOOKUP(index(split(K79 ,"", "", FALSE),1,1), Variables!$A:$B , 2, FALSE) + VLOOKUP(index(split(K79 ,"", "", FALSE),1,2), Variables!$A:$B , 2, FALSE),
2 ,"&amp;" VLOOKUP(index(split(K79 ,"", "", FALSE),1,1), Variables!$A:$B , 2, FALSE) + VLOOKUP(index(split(K79 ,"", "", FALSE),1,2), Variables!$A:$B , 2, FALSE) + VLOOKUP(index(split(K79 ,"", "", FALSE),1,3), Variables!$A:$B , 2, FALSE)
)
+
IF(J79=""Ranged"", 1 , 0"&amp;")"),5.5)</f>
        <v>5.5</v>
      </c>
      <c r="M79" s="114" t="s">
        <v>1099</v>
      </c>
      <c r="N79" s="130">
        <f>IFERROR(__xludf.DUMMYFUNCTION("IF(ISBLANK(M79), , 
SWITCH(
LEN(M79)- LEN(SUBSTITUTE(M79,"","","""")), 
0 , VLOOKUP(M79, vote4TRAITS!A:C , 3, FALSE),
1 , VLOOKUP(index(split(M79 ,"", "", FALSE),1,1), vote4TRAITS!A:C , 3, FALSE) + VLOOKUP(index(split(M79 ,"", "", FALSE),1,2), vote4TRAITS"&amp;"!A:C , 3, FALSE),
2 , VLOOKUP(index(split(M79 ,"", "", FALSE),1,1), vote4TRAITS!A:C , 3, FALSE) + VLOOKUP(index(split(M79 ,"", "", FALSE),1,2), vote4TRAITS!A:C , 3, FALSE) + VLOOKUP(index(split(M79 ,"", "", FALSE),1,3), vote4TRAITS!A:C , 3, FALSE)
)
)"),6.5)</f>
        <v>6.5</v>
      </c>
      <c r="O79" s="114" t="s">
        <v>1389</v>
      </c>
      <c r="P79" s="165">
        <f>IFERROR(__xludf.DUMMYFUNCTION("IF(ISBLANK(O79), , 
SWITCH(
LEN(O79)- LEN(SUBSTITUTE(O79,"","","""")), 
0 , VLOOKUP(O79, vote4ACTIONS!A:C , 3, FALSE),
1 , VLOOKUP(index(split(O79 ,"", "", FALSE),1,1), vote4ACTIONS!A:C , 3, FALSE) + VLOOKUP(index(split(O79 ,"", "", FALSE),1,2), vote4ACTI"&amp;"ONS!A:C , 3, FALSE),
2 , VLOOKUP(index(split(O79 ,"", "", FALSE),1,1), vote4ACTIONS!A:C , 3, FALSE) + VLOOKUP(index(split(O79 ,"", "", FALSE),1,2), vote4ACTIONS!A:C , 3, FALSE) + VLOOKUP(index(split(O79 ,"", "", FALSE),1,3), vote4ACTIONS!A:C , 3, FALSE),
"&amp;"3 , VLOOKUP(index(split(O79 ,"", "", FALSE),1,1), vote4ACTIONS!A:C , 3, FALSE) + VLOOKUP(index(split(O79 ,"", "", FALSE),1,2), vote4ACTIONS!A:C , 3, FALSE) + VLOOKUP(index(split(O79 ,"", "", FALSE),1,3), vote4ACTIONS!A:C , 3, FALSE) + VLOOKUP(index(split("&amp;"O79 ,"", "", FALSE),1,4), vote4ACTIONS!A:C , 3, FALSE)
)
)"),2.0)</f>
        <v>2</v>
      </c>
      <c r="Q79" s="340" t="s">
        <v>1534</v>
      </c>
      <c r="R79" s="342">
        <f>IF(ISBLANK(Q79),,IFERROR(
IF(IFERROR(SEARCH("SS:",Q79),0) &gt; 0, 
VLOOKUP(SUBSTITUTE(Q79,"SS: ",""),vote4SURGE!$A:$C , 3, FALSE) - 2,
VLOOKUP(SUBSTITUTE(Q79,"S: ",""),vote4SURGE!$A:$C , 3, FALSE)
)
,
IF(IFERROR(SEARCH("SS:",Q79),0) &gt; 0, 
VLOOKUP(A79,vote4SURGE!$A:$C , 3, FALSE) - 2,
VLOOKUP(A79,vote4SURGE!$A:$C , 3, FALSE)
)
))</f>
        <v>4.25</v>
      </c>
      <c r="S79" s="341"/>
      <c r="T79" s="342" t="str">
        <f>IF(ISBLANK(S79),,IFERROR(
IF(IFERROR(SEARCH("SS:",S79),0) &gt; 0, 
VLOOKUP(SUBSTITUTE(S79,"SS: ",""),vote4SURGE!$A:$C , 3, FALSE) - 2,
VLOOKUP(SUBSTITUTE(S79,"S: ",""),vote4SURGE!$A:$C , 3, FALSE)
)
,
IF(IFERROR(SEARCH("SS:",S79),0) &gt; 0, 
VLOOKUP(A79,vote4SURGE!$A:$C , 3, FALSE) - 2,
VLOOKUP(A79,vote4SURGE!$A:$C , 3, FALSE)
)
))</f>
        <v/>
      </c>
      <c r="U79" s="341"/>
      <c r="V79" s="343" t="str">
        <f>IF(ISBLANK(U79),,IFERROR(
IF(IFERROR(SEARCH("SS:",U79),0) &gt; 0, 
VLOOKUP(SUBSTITUTE(U79,"SS: ",""),vote4SURGE!$A:$C , 3, FALSE) - 2,
VLOOKUP(SUBSTITUTE(U79,"S: ",""),vote4SURGE!$A:$C , 3, FALSE)
)
,
IF(IFERROR(SEARCH("SS:",U79),0) &gt; 0, 
VLOOKUP(A79,vote4SURGE!$A:$C , 3, FALSE) - 2,
VLOOKUP(A79,vote4SURGE!$A:$C , 3, FALSE)
)
))</f>
        <v/>
      </c>
      <c r="W79" s="343">
        <f t="shared" si="1"/>
        <v>1</v>
      </c>
      <c r="X79" s="344">
        <f>IFERROR(__xludf.DUMMYFUNCTION("SWITCH(
LEN(K79) - LEN(SUBSTITUTE(K79,"","","""")),
0 , VLOOKUP(K79, Variables!$A:$C, 3, FALSE),
1 , VLOOKUP(index(split(K79 ,"", "", FALSE),1,1), Variables!$A:$C, 3, FALSE) + VLOOKUP(index(split(K79 ,"", "", FALSE),1,2), Variables!$A:$C, 3, FALSE),
2 , V"&amp;"LOOKUP(index(split(K79 ,"", "", FALSE),1,1), Variables!$A:$C, 3, FALSE) + VLOOKUP(index(split(K79 ,"", "", FALSE),1,2), Variables!$A:$C, 3, FALSE) + VLOOKUP(index(split(K79 ,"", "", FALSE),1,3), Variables!$A:$C, 3, FALSE)
)"),0.6666666666666666)</f>
        <v>0.6666666667</v>
      </c>
      <c r="Y79" s="342">
        <f t="shared" si="2"/>
        <v>2.833333333</v>
      </c>
      <c r="Z79" s="114"/>
      <c r="AA79" s="114" t="s">
        <v>2572</v>
      </c>
      <c r="AB79" s="114"/>
      <c r="AC79" s="114"/>
      <c r="AD79" s="114"/>
      <c r="AE79" s="114"/>
      <c r="AF79" s="114"/>
      <c r="AG79" s="114" t="s">
        <v>2572</v>
      </c>
      <c r="AH79" s="114"/>
      <c r="AI79" s="114"/>
      <c r="AJ79" s="114" t="s">
        <v>2573</v>
      </c>
      <c r="AK79" s="473">
        <v>7.0</v>
      </c>
      <c r="AL79" s="114" t="s">
        <v>2574</v>
      </c>
      <c r="AM79" s="473">
        <v>9.0</v>
      </c>
      <c r="AN79" s="114" t="s">
        <v>2574</v>
      </c>
      <c r="AO79" s="473">
        <v>16.0</v>
      </c>
      <c r="AP79" s="130">
        <f>SUM(
VLOOKUP("Ravage",vote4TRAITS!A:C,3,FALSE)
)</f>
        <v>7.333333333</v>
      </c>
      <c r="AQ79" s="130">
        <f t="shared" si="3"/>
        <v>42.32</v>
      </c>
    </row>
    <row r="80" ht="14.25" customHeight="1">
      <c r="A80" s="137" t="s">
        <v>1444</v>
      </c>
      <c r="B80" s="114" t="s">
        <v>2570</v>
      </c>
      <c r="C80" s="114">
        <v>4.0</v>
      </c>
      <c r="D80" s="114">
        <v>1.0</v>
      </c>
      <c r="E80" s="114">
        <v>4.0</v>
      </c>
      <c r="F80" s="487">
        <v>3.0</v>
      </c>
      <c r="G80" s="488">
        <v>8.0</v>
      </c>
      <c r="H80" s="114" t="s">
        <v>2590</v>
      </c>
      <c r="I80" s="130">
        <f>IFERROR(__xludf.DUMMYFUNCTION("SWITCH(
LEN(H80) - LEN(SUBSTITUTE(H80,"","","""")),
0 , VLOOKUP(H80, Variables!$A:$B, 2, FALSE),
1 , VLOOKUP(index(split(H80 ,"", "", FALSE),1,1), Variables!$A:$B , 2, FALSE) + VLOOKUP(index(split(H80 ,"", "", FALSE),1,2), Variables!$A:$B , 2, FALSE),
2 ,"&amp;" VLOOKUP(index(split(H80 ,"", "", FALSE),1,1), Variables!$A:$B , 2, FALSE) + VLOOKUP(index(split(H80 ,"", "", FALSE),1,2), Variables!$A:$B , 2, FALSE) + VLOOKUP(index(split(H80 ,"", "", FALSE),1,3), Variables!$A:$B , 2, FALSE)
)"),2.6666666666666665)</f>
        <v>2.666666667</v>
      </c>
      <c r="J80" s="114" t="s">
        <v>1521</v>
      </c>
      <c r="K80" s="114" t="s">
        <v>1525</v>
      </c>
      <c r="L80" s="130">
        <f>IFERROR(__xludf.DUMMYFUNCTION("SWITCH(
LEN(K80) - LEN(SUBSTITUTE(K80,"","","""")),
0 , VLOOKUP(K80, Variables!$A:$B, 2, FALSE),
1 , VLOOKUP(index(split(K80 ,"", "", FALSE),1,1), Variables!$A:$B , 2, FALSE) + VLOOKUP(index(split(K80 ,"", "", FALSE),1,2), Variables!$A:$B , 2, FALSE),
2 ,"&amp;" VLOOKUP(index(split(K80 ,"", "", FALSE),1,1), Variables!$A:$B , 2, FALSE) + VLOOKUP(index(split(K80 ,"", "", FALSE),1,2), Variables!$A:$B , 2, FALSE) + VLOOKUP(index(split(K80 ,"", "", FALSE),1,3), Variables!$A:$B , 2, FALSE)
)
+
IF(J80=""Ranged"", 1 , 0"&amp;")"),3.333333333333333)</f>
        <v>3.333333333</v>
      </c>
      <c r="M80" s="114" t="s">
        <v>1099</v>
      </c>
      <c r="N80" s="130">
        <f>IFERROR(__xludf.DUMMYFUNCTION("IF(ISBLANK(M80), , 
SWITCH(
LEN(M80)- LEN(SUBSTITUTE(M80,"","","""")), 
0 , VLOOKUP(M80, vote4TRAITS!A:C , 3, FALSE),
1 , VLOOKUP(index(split(M80 ,"", "", FALSE),1,1), vote4TRAITS!A:C , 3, FALSE) + VLOOKUP(index(split(M80 ,"", "", FALSE),1,2), vote4TRAITS"&amp;"!A:C , 3, FALSE),
2 , VLOOKUP(index(split(M80 ,"", "", FALSE),1,1), vote4TRAITS!A:C , 3, FALSE) + VLOOKUP(index(split(M80 ,"", "", FALSE),1,2), vote4TRAITS!A:C , 3, FALSE) + VLOOKUP(index(split(M80 ,"", "", FALSE),1,3), vote4TRAITS!A:C , 3, FALSE)
)
)"),6.5)</f>
        <v>6.5</v>
      </c>
      <c r="O80" s="114" t="s">
        <v>1389</v>
      </c>
      <c r="P80" s="165">
        <f>IFERROR(__xludf.DUMMYFUNCTION("IF(ISBLANK(O80), , 
SWITCH(
LEN(O80)- LEN(SUBSTITUTE(O80,"","","""")), 
0 , VLOOKUP(O80, vote4ACTIONS!A:C , 3, FALSE),
1 , VLOOKUP(index(split(O80 ,"", "", FALSE),1,1), vote4ACTIONS!A:C , 3, FALSE) + VLOOKUP(index(split(O80 ,"", "", FALSE),1,2), vote4ACTI"&amp;"ONS!A:C , 3, FALSE),
2 , VLOOKUP(index(split(O80 ,"", "", FALSE),1,1), vote4ACTIONS!A:C , 3, FALSE) + VLOOKUP(index(split(O80 ,"", "", FALSE),1,2), vote4ACTIONS!A:C , 3, FALSE) + VLOOKUP(index(split(O80 ,"", "", FALSE),1,3), vote4ACTIONS!A:C , 3, FALSE),
"&amp;"3 , VLOOKUP(index(split(O80 ,"", "", FALSE),1,1), vote4ACTIONS!A:C , 3, FALSE) + VLOOKUP(index(split(O80 ,"", "", FALSE),1,2), vote4ACTIONS!A:C , 3, FALSE) + VLOOKUP(index(split(O80 ,"", "", FALSE),1,3), vote4ACTIONS!A:C , 3, FALSE) + VLOOKUP(index(split("&amp;"O80 ,"", "", FALSE),1,4), vote4ACTIONS!A:C , 3, FALSE)
)
)"),2.0)</f>
        <v>2</v>
      </c>
      <c r="Q80" s="340" t="s">
        <v>1539</v>
      </c>
      <c r="R80" s="342">
        <f>IF(ISBLANK(Q80),,IFERROR(
IF(IFERROR(SEARCH("SS:",Q80),0) &gt; 0, 
VLOOKUP(SUBSTITUTE(Q80,"SS: ",""),vote4SURGE!$A:$C , 3, FALSE) - 2,
VLOOKUP(SUBSTITUTE(Q80,"S: ",""),vote4SURGE!$A:$C , 3, FALSE)
)
,
IF(IFERROR(SEARCH("SS:",Q80),0) &gt; 0, 
VLOOKUP(A80,vote4SURGE!$A:$C , 3, FALSE) - 2,
VLOOKUP(A80,vote4SURGE!$A:$C , 3, FALSE)
)
))</f>
        <v>5</v>
      </c>
      <c r="S80" s="341"/>
      <c r="T80" s="342" t="str">
        <f>IF(ISBLANK(S80),,IFERROR(
IF(IFERROR(SEARCH("SS:",S80),0) &gt; 0, 
VLOOKUP(SUBSTITUTE(S80,"SS: ",""),vote4SURGE!$A:$C , 3, FALSE) - 2,
VLOOKUP(SUBSTITUTE(S80,"S: ",""),vote4SURGE!$A:$C , 3, FALSE)
)
,
IF(IFERROR(SEARCH("SS:",S80),0) &gt; 0, 
VLOOKUP(A80,vote4SURGE!$A:$C , 3, FALSE) - 2,
VLOOKUP(A80,vote4SURGE!$A:$C , 3, FALSE)
)
))</f>
        <v/>
      </c>
      <c r="U80" s="341"/>
      <c r="V80" s="343" t="str">
        <f>IF(ISBLANK(U80),,IFERROR(
IF(IFERROR(SEARCH("SS:",U80),0) &gt; 0, 
VLOOKUP(SUBSTITUTE(U80,"SS: ",""),vote4SURGE!$A:$C , 3, FALSE) - 2,
VLOOKUP(SUBSTITUTE(U80,"S: ",""),vote4SURGE!$A:$C , 3, FALSE)
)
,
IF(IFERROR(SEARCH("SS:",U80),0) &gt; 0, 
VLOOKUP(A80,vote4SURGE!$A:$C , 3, FALSE) - 2,
VLOOKUP(A80,vote4SURGE!$A:$C , 3, FALSE)
)
))</f>
        <v/>
      </c>
      <c r="W80" s="343">
        <f t="shared" si="1"/>
        <v>1</v>
      </c>
      <c r="X80" s="344">
        <f>IFERROR(__xludf.DUMMYFUNCTION("SWITCH(
LEN(K80) - LEN(SUBSTITUTE(K80,"","","""")),
0 , VLOOKUP(K80, Variables!$A:$C, 3, FALSE),
1 , VLOOKUP(index(split(K80 ,"", "", FALSE),1,1), Variables!$A:$C, 3, FALSE) + VLOOKUP(index(split(K80 ,"", "", FALSE),1,2), Variables!$A:$C, 3, FALSE),
2 , V"&amp;"LOOKUP(index(split(K80 ,"", "", FALSE),1,1), Variables!$A:$C, 3, FALSE) + VLOOKUP(index(split(K80 ,"", "", FALSE),1,2), Variables!$A:$C, 3, FALSE) + VLOOKUP(index(split(K80 ,"", "", FALSE),1,3), Variables!$A:$C, 3, FALSE)
)"),0.5)</f>
        <v>0.5</v>
      </c>
      <c r="Y80" s="342">
        <f t="shared" si="2"/>
        <v>2.5</v>
      </c>
      <c r="Z80" s="114"/>
      <c r="AA80" s="114" t="s">
        <v>2572</v>
      </c>
      <c r="AB80" s="114"/>
      <c r="AC80" s="114"/>
      <c r="AD80" s="114"/>
      <c r="AE80" s="114"/>
      <c r="AF80" s="114"/>
      <c r="AG80" s="114" t="s">
        <v>2572</v>
      </c>
      <c r="AH80" s="114"/>
      <c r="AI80" s="114"/>
      <c r="AJ80" s="114" t="s">
        <v>2573</v>
      </c>
      <c r="AK80" s="473">
        <v>5.0</v>
      </c>
      <c r="AL80" s="114" t="s">
        <v>2574</v>
      </c>
      <c r="AM80" s="473">
        <v>8.0</v>
      </c>
      <c r="AN80" s="114" t="s">
        <v>2574</v>
      </c>
      <c r="AO80" s="473">
        <v>13.0</v>
      </c>
      <c r="AP80" s="130">
        <f>SUM(
VLOOKUP("Ravage",vote4TRAITS!A:C,3,FALSE)
)</f>
        <v>7.333333333</v>
      </c>
      <c r="AQ80" s="130">
        <f t="shared" si="3"/>
        <v>29.65333333</v>
      </c>
    </row>
    <row r="81" ht="14.25" customHeight="1">
      <c r="A81" s="137" t="s">
        <v>1444</v>
      </c>
      <c r="B81" s="114" t="s">
        <v>2576</v>
      </c>
      <c r="C81" s="114">
        <v>4.0</v>
      </c>
      <c r="D81" s="114">
        <v>2.0</v>
      </c>
      <c r="E81" s="114">
        <v>4.0</v>
      </c>
      <c r="F81" s="487">
        <v>3.0</v>
      </c>
      <c r="G81" s="488">
        <v>7.0</v>
      </c>
      <c r="H81" s="114" t="s">
        <v>2599</v>
      </c>
      <c r="I81" s="130">
        <f>IFERROR(__xludf.DUMMYFUNCTION("SWITCH(
LEN(H81) - LEN(SUBSTITUTE(H81,"","","""")),
0 , VLOOKUP(H81, Variables!$A:$B, 2, FALSE),
1 , VLOOKUP(index(split(H81 ,"", "", FALSE),1,1), Variables!$A:$B , 2, FALSE) + VLOOKUP(index(split(H81 ,"", "", FALSE),1,2), Variables!$A:$B , 2, FALSE),
2 ,"&amp;" VLOOKUP(index(split(H81 ,"", "", FALSE),1,1), Variables!$A:$B , 2, FALSE) + VLOOKUP(index(split(H81 ,"", "", FALSE),1,2), Variables!$A:$B , 2, FALSE) + VLOOKUP(index(split(H81 ,"", "", FALSE),1,3), Variables!$A:$B , 2, FALSE)
)"),3.5)</f>
        <v>3.5</v>
      </c>
      <c r="J81" s="114" t="s">
        <v>1521</v>
      </c>
      <c r="K81" s="114" t="s">
        <v>1528</v>
      </c>
      <c r="L81" s="130">
        <f>IFERROR(__xludf.DUMMYFUNCTION("SWITCH(
LEN(K81) - LEN(SUBSTITUTE(K81,"","","""")),
0 , VLOOKUP(K81, Variables!$A:$B, 2, FALSE),
1 , VLOOKUP(index(split(K81 ,"", "", FALSE),1,1), Variables!$A:$B , 2, FALSE) + VLOOKUP(index(split(K81 ,"", "", FALSE),1,2), Variables!$A:$B , 2, FALSE),
2 ,"&amp;" VLOOKUP(index(split(K81 ,"", "", FALSE),1,1), Variables!$A:$B , 2, FALSE) + VLOOKUP(index(split(K81 ,"", "", FALSE),1,2), Variables!$A:$B , 2, FALSE) + VLOOKUP(index(split(K81 ,"", "", FALSE),1,3), Variables!$A:$B , 2, FALSE)
)
+
IF(J81=""Ranged"", 1 , 0"&amp;")"),5.5)</f>
        <v>5.5</v>
      </c>
      <c r="M81" s="114" t="s">
        <v>1099</v>
      </c>
      <c r="N81" s="130">
        <f>IFERROR(__xludf.DUMMYFUNCTION("IF(ISBLANK(M81), , 
SWITCH(
LEN(M81)- LEN(SUBSTITUTE(M81,"","","""")), 
0 , VLOOKUP(M81, vote4TRAITS!A:C , 3, FALSE),
1 , VLOOKUP(index(split(M81 ,"", "", FALSE),1,1), vote4TRAITS!A:C , 3, FALSE) + VLOOKUP(index(split(M81 ,"", "", FALSE),1,2), vote4TRAITS"&amp;"!A:C , 3, FALSE),
2 , VLOOKUP(index(split(M81 ,"", "", FALSE),1,1), vote4TRAITS!A:C , 3, FALSE) + VLOOKUP(index(split(M81 ,"", "", FALSE),1,2), vote4TRAITS!A:C , 3, FALSE) + VLOOKUP(index(split(M81 ,"", "", FALSE),1,3), vote4TRAITS!A:C , 3, FALSE)
)
)"),6.5)</f>
        <v>6.5</v>
      </c>
      <c r="O81" s="490"/>
      <c r="P81" s="165" t="str">
        <f>IFERROR(__xludf.DUMMYFUNCTION("IF(ISBLANK(O81), , 
SWITCH(
LEN(O81)- LEN(SUBSTITUTE(O81,"","","""")), 
0 , VLOOKUP(O81, vote4ACTIONS!A:C , 3, FALSE),
1 , VLOOKUP(index(split(O81 ,"", "", FALSE),1,1), vote4ACTIONS!A:C , 3, FALSE) + VLOOKUP(index(split(O81 ,"", "", FALSE),1,2), vote4ACTI"&amp;"ONS!A:C , 3, FALSE),
2 , VLOOKUP(index(split(O81 ,"", "", FALSE),1,1), vote4ACTIONS!A:C , 3, FALSE) + VLOOKUP(index(split(O81 ,"", "", FALSE),1,2), vote4ACTIONS!A:C , 3, FALSE) + VLOOKUP(index(split(O81 ,"", "", FALSE),1,3), vote4ACTIONS!A:C , 3, FALSE),
"&amp;"3 , VLOOKUP(index(split(O81 ,"", "", FALSE),1,1), vote4ACTIONS!A:C , 3, FALSE) + VLOOKUP(index(split(O81 ,"", "", FALSE),1,2), vote4ACTIONS!A:C , 3, FALSE) + VLOOKUP(index(split(O81 ,"", "", FALSE),1,3), vote4ACTIONS!A:C , 3, FALSE) + VLOOKUP(index(split("&amp;"O81 ,"", "", FALSE),1,4), vote4ACTIONS!A:C , 3, FALSE)
)
)"),"")</f>
        <v/>
      </c>
      <c r="Q81" s="340" t="s">
        <v>1562</v>
      </c>
      <c r="R81" s="342">
        <f>IF(ISBLANK(Q81),,IFERROR(
IF(IFERROR(SEARCH("SS:",Q81),0) &gt; 0, 
VLOOKUP(SUBSTITUTE(Q81,"SS: ",""),vote4SURGE!$A:$C , 3, FALSE) - 2,
VLOOKUP(SUBSTITUTE(Q81,"S: ",""),vote4SURGE!$A:$C , 3, FALSE)
)
,
IF(IFERROR(SEARCH("SS:",Q81),0) &gt; 0, 
VLOOKUP(A81,vote4SURGE!$A:$C , 3, FALSE) - 2,
VLOOKUP(A81,vote4SURGE!$A:$C , 3, FALSE)
)
))</f>
        <v>3.5</v>
      </c>
      <c r="S81" s="489"/>
      <c r="T81" s="342" t="str">
        <f>IF(ISBLANK(S81),,IFERROR(
IF(IFERROR(SEARCH("SS:",S81),0) &gt; 0, 
VLOOKUP(SUBSTITUTE(S81,"SS: ",""),vote4SURGE!$A:$C , 3, FALSE) - 2,
VLOOKUP(SUBSTITUTE(S81,"S: ",""),vote4SURGE!$A:$C , 3, FALSE)
)
,
IF(IFERROR(SEARCH("SS:",S81),0) &gt; 0, 
VLOOKUP(A81,vote4SURGE!$A:$C , 3, FALSE) - 2,
VLOOKUP(A81,vote4SURGE!$A:$C , 3, FALSE)
)
))</f>
        <v/>
      </c>
      <c r="U81" s="341"/>
      <c r="V81" s="343" t="str">
        <f>IF(ISBLANK(U81),,IFERROR(
IF(IFERROR(SEARCH("SS:",U81),0) &gt; 0, 
VLOOKUP(SUBSTITUTE(U81,"SS: ",""),vote4SURGE!$A:$C , 3, FALSE) - 2,
VLOOKUP(SUBSTITUTE(U81,"S: ",""),vote4SURGE!$A:$C , 3, FALSE)
)
,
IF(IFERROR(SEARCH("SS:",U81),0) &gt; 0, 
VLOOKUP(A81,vote4SURGE!$A:$C , 3, FALSE) - 2,
VLOOKUP(A81,vote4SURGE!$A:$C , 3, FALSE)
)
))</f>
        <v/>
      </c>
      <c r="W81" s="343">
        <f t="shared" si="1"/>
        <v>1</v>
      </c>
      <c r="X81" s="344">
        <f>IFERROR(__xludf.DUMMYFUNCTION("SWITCH(
LEN(K81) - LEN(SUBSTITUTE(K81,"","","""")),
0 , VLOOKUP(K81, Variables!$A:$C, 3, FALSE),
1 , VLOOKUP(index(split(K81 ,"", "", FALSE),1,1), Variables!$A:$C, 3, FALSE) + VLOOKUP(index(split(K81 ,"", "", FALSE),1,2), Variables!$A:$C, 3, FALSE),
2 , V"&amp;"LOOKUP(index(split(K81 ,"", "", FALSE),1,1), Variables!$A:$C, 3, FALSE) + VLOOKUP(index(split(K81 ,"", "", FALSE),1,2), Variables!$A:$C, 3, FALSE) + VLOOKUP(index(split(K81 ,"", "", FALSE),1,3), Variables!$A:$C, 3, FALSE)
)"),0.6666666666666666)</f>
        <v>0.6666666667</v>
      </c>
      <c r="Y81" s="342">
        <f t="shared" si="2"/>
        <v>2.333333333</v>
      </c>
      <c r="Z81" s="114"/>
      <c r="AA81" s="114" t="s">
        <v>2572</v>
      </c>
      <c r="AB81" s="114"/>
      <c r="AC81" s="114"/>
      <c r="AD81" s="114"/>
      <c r="AE81" s="114"/>
      <c r="AF81" s="114"/>
      <c r="AG81" s="114" t="s">
        <v>2572</v>
      </c>
      <c r="AH81" s="114"/>
      <c r="AI81" s="114"/>
      <c r="AJ81" s="114" t="s">
        <v>2574</v>
      </c>
      <c r="AK81" s="473">
        <v>7.0</v>
      </c>
      <c r="AL81" s="114" t="s">
        <v>2573</v>
      </c>
      <c r="AM81" s="473">
        <v>9.0</v>
      </c>
      <c r="AN81" s="114" t="s">
        <v>2574</v>
      </c>
      <c r="AO81" s="473">
        <v>16.0</v>
      </c>
      <c r="AP81" s="130">
        <f>SUM(
VLOOKUP("Ravage",vote4TRAITS!A:C,3,FALSE)
)</f>
        <v>7.333333333</v>
      </c>
      <c r="AQ81" s="130">
        <f t="shared" si="3"/>
        <v>32.82</v>
      </c>
    </row>
    <row r="82" ht="14.25" customHeight="1">
      <c r="A82" s="137" t="s">
        <v>1444</v>
      </c>
      <c r="B82" s="114" t="s">
        <v>2576</v>
      </c>
      <c r="C82" s="114">
        <v>4.0</v>
      </c>
      <c r="D82" s="114">
        <v>1.0</v>
      </c>
      <c r="E82" s="114">
        <v>4.0</v>
      </c>
      <c r="F82" s="487">
        <v>3.0</v>
      </c>
      <c r="G82" s="488">
        <v>5.0</v>
      </c>
      <c r="H82" s="114" t="s">
        <v>2590</v>
      </c>
      <c r="I82" s="130">
        <f>IFERROR(__xludf.DUMMYFUNCTION("SWITCH(
LEN(H82) - LEN(SUBSTITUTE(H82,"","","""")),
0 , VLOOKUP(H82, Variables!$A:$B, 2, FALSE),
1 , VLOOKUP(index(split(H82 ,"", "", FALSE),1,1), Variables!$A:$B , 2, FALSE) + VLOOKUP(index(split(H82 ,"", "", FALSE),1,2), Variables!$A:$B , 2, FALSE),
2 ,"&amp;" VLOOKUP(index(split(H82 ,"", "", FALSE),1,1), Variables!$A:$B , 2, FALSE) + VLOOKUP(index(split(H82 ,"", "", FALSE),1,2), Variables!$A:$B , 2, FALSE) + VLOOKUP(index(split(H82 ,"", "", FALSE),1,3), Variables!$A:$B , 2, FALSE)
)"),2.6666666666666665)</f>
        <v>2.666666667</v>
      </c>
      <c r="J82" s="114" t="s">
        <v>1521</v>
      </c>
      <c r="K82" s="114" t="s">
        <v>1525</v>
      </c>
      <c r="L82" s="130">
        <f>IFERROR(__xludf.DUMMYFUNCTION("SWITCH(
LEN(K82) - LEN(SUBSTITUTE(K82,"","","""")),
0 , VLOOKUP(K82, Variables!$A:$B, 2, FALSE),
1 , VLOOKUP(index(split(K82 ,"", "", FALSE),1,1), Variables!$A:$B , 2, FALSE) + VLOOKUP(index(split(K82 ,"", "", FALSE),1,2), Variables!$A:$B , 2, FALSE),
2 ,"&amp;" VLOOKUP(index(split(K82 ,"", "", FALSE),1,1), Variables!$A:$B , 2, FALSE) + VLOOKUP(index(split(K82 ,"", "", FALSE),1,2), Variables!$A:$B , 2, FALSE) + VLOOKUP(index(split(K82 ,"", "", FALSE),1,3), Variables!$A:$B , 2, FALSE)
)
+
IF(J82=""Ranged"", 1 , 0"&amp;")"),3.333333333333333)</f>
        <v>3.333333333</v>
      </c>
      <c r="M82" s="114" t="s">
        <v>1099</v>
      </c>
      <c r="N82" s="130">
        <f>IFERROR(__xludf.DUMMYFUNCTION("IF(ISBLANK(M82), , 
SWITCH(
LEN(M82)- LEN(SUBSTITUTE(M82,"","","""")), 
0 , VLOOKUP(M82, vote4TRAITS!A:C , 3, FALSE),
1 , VLOOKUP(index(split(M82 ,"", "", FALSE),1,1), vote4TRAITS!A:C , 3, FALSE) + VLOOKUP(index(split(M82 ,"", "", FALSE),1,2), vote4TRAITS"&amp;"!A:C , 3, FALSE),
2 , VLOOKUP(index(split(M82 ,"", "", FALSE),1,1), vote4TRAITS!A:C , 3, FALSE) + VLOOKUP(index(split(M82 ,"", "", FALSE),1,2), vote4TRAITS!A:C , 3, FALSE) + VLOOKUP(index(split(M82 ,"", "", FALSE),1,3), vote4TRAITS!A:C , 3, FALSE)
)
)"),6.5)</f>
        <v>6.5</v>
      </c>
      <c r="O82" s="490"/>
      <c r="P82" s="165" t="str">
        <f>IFERROR(__xludf.DUMMYFUNCTION("IF(ISBLANK(O82), , 
SWITCH(
LEN(O82)- LEN(SUBSTITUTE(O82,"","","""")), 
0 , VLOOKUP(O82, vote4ACTIONS!A:C , 3, FALSE),
1 , VLOOKUP(index(split(O82 ,"", "", FALSE),1,1), vote4ACTIONS!A:C , 3, FALSE) + VLOOKUP(index(split(O82 ,"", "", FALSE),1,2), vote4ACTI"&amp;"ONS!A:C , 3, FALSE),
2 , VLOOKUP(index(split(O82 ,"", "", FALSE),1,1), vote4ACTIONS!A:C , 3, FALSE) + VLOOKUP(index(split(O82 ,"", "", FALSE),1,2), vote4ACTIONS!A:C , 3, FALSE) + VLOOKUP(index(split(O82 ,"", "", FALSE),1,3), vote4ACTIONS!A:C , 3, FALSE),
"&amp;"3 , VLOOKUP(index(split(O82 ,"", "", FALSE),1,1), vote4ACTIONS!A:C , 3, FALSE) + VLOOKUP(index(split(O82 ,"", "", FALSE),1,2), vote4ACTIONS!A:C , 3, FALSE) + VLOOKUP(index(split(O82 ,"", "", FALSE),1,3), vote4ACTIONS!A:C , 3, FALSE) + VLOOKUP(index(split("&amp;"O82 ,"", "", FALSE),1,4), vote4ACTIONS!A:C , 3, FALSE)
)
)"),"")</f>
        <v/>
      </c>
      <c r="Q82" s="340" t="s">
        <v>1534</v>
      </c>
      <c r="R82" s="342">
        <f>IF(ISBLANK(Q82),,IFERROR(
IF(IFERROR(SEARCH("SS:",Q82),0) &gt; 0, 
VLOOKUP(SUBSTITUTE(Q82,"SS: ",""),vote4SURGE!$A:$C , 3, FALSE) - 2,
VLOOKUP(SUBSTITUTE(Q82,"S: ",""),vote4SURGE!$A:$C , 3, FALSE)
)
,
IF(IFERROR(SEARCH("SS:",Q82),0) &gt; 0, 
VLOOKUP(A82,vote4SURGE!$A:$C , 3, FALSE) - 2,
VLOOKUP(A82,vote4SURGE!$A:$C , 3, FALSE)
)
))</f>
        <v>4.25</v>
      </c>
      <c r="S82" s="341"/>
      <c r="T82" s="342" t="str">
        <f>IF(ISBLANK(S82),,IFERROR(
IF(IFERROR(SEARCH("SS:",S82),0) &gt; 0, 
VLOOKUP(SUBSTITUTE(S82,"SS: ",""),vote4SURGE!$A:$C , 3, FALSE) - 2,
VLOOKUP(SUBSTITUTE(S82,"S: ",""),vote4SURGE!$A:$C , 3, FALSE)
)
,
IF(IFERROR(SEARCH("SS:",S82),0) &gt; 0, 
VLOOKUP(A82,vote4SURGE!$A:$C , 3, FALSE) - 2,
VLOOKUP(A82,vote4SURGE!$A:$C , 3, FALSE)
)
))</f>
        <v/>
      </c>
      <c r="U82" s="341"/>
      <c r="V82" s="343" t="str">
        <f>IF(ISBLANK(U82),,IFERROR(
IF(IFERROR(SEARCH("SS:",U82),0) &gt; 0, 
VLOOKUP(SUBSTITUTE(U82,"SS: ",""),vote4SURGE!$A:$C , 3, FALSE) - 2,
VLOOKUP(SUBSTITUTE(U82,"S: ",""),vote4SURGE!$A:$C , 3, FALSE)
)
,
IF(IFERROR(SEARCH("SS:",U82),0) &gt; 0, 
VLOOKUP(A82,vote4SURGE!$A:$C , 3, FALSE) - 2,
VLOOKUP(A82,vote4SURGE!$A:$C , 3, FALSE)
)
))</f>
        <v/>
      </c>
      <c r="W82" s="343">
        <f t="shared" si="1"/>
        <v>1</v>
      </c>
      <c r="X82" s="344">
        <f>IFERROR(__xludf.DUMMYFUNCTION("SWITCH(
LEN(K82) - LEN(SUBSTITUTE(K82,"","","""")),
0 , VLOOKUP(K82, Variables!$A:$C, 3, FALSE),
1 , VLOOKUP(index(split(K82 ,"", "", FALSE),1,1), Variables!$A:$C, 3, FALSE) + VLOOKUP(index(split(K82 ,"", "", FALSE),1,2), Variables!$A:$C, 3, FALSE),
2 , V"&amp;"LOOKUP(index(split(K82 ,"", "", FALSE),1,1), Variables!$A:$C, 3, FALSE) + VLOOKUP(index(split(K82 ,"", "", FALSE),1,2), Variables!$A:$C, 3, FALSE) + VLOOKUP(index(split(K82 ,"", "", FALSE),1,3), Variables!$A:$C, 3, FALSE)
)"),0.5)</f>
        <v>0.5</v>
      </c>
      <c r="Y82" s="342">
        <f t="shared" si="2"/>
        <v>2.125</v>
      </c>
      <c r="Z82" s="114"/>
      <c r="AA82" s="114" t="s">
        <v>2572</v>
      </c>
      <c r="AB82" s="114"/>
      <c r="AC82" s="114"/>
      <c r="AD82" s="114"/>
      <c r="AE82" s="114"/>
      <c r="AF82" s="114"/>
      <c r="AG82" s="114" t="s">
        <v>2572</v>
      </c>
      <c r="AH82" s="114"/>
      <c r="AI82" s="114"/>
      <c r="AJ82" s="114" t="s">
        <v>2574</v>
      </c>
      <c r="AK82" s="473">
        <v>5.0</v>
      </c>
      <c r="AL82" s="114" t="s">
        <v>2573</v>
      </c>
      <c r="AM82" s="473">
        <v>8.0</v>
      </c>
      <c r="AN82" s="114" t="s">
        <v>2574</v>
      </c>
      <c r="AO82" s="473">
        <v>13.0</v>
      </c>
      <c r="AP82" s="130">
        <f>SUM(
VLOOKUP("Ravage",vote4TRAITS!A:C,3,FALSE)
)</f>
        <v>7.333333333</v>
      </c>
      <c r="AQ82" s="130">
        <f t="shared" si="3"/>
        <v>19.27833333</v>
      </c>
    </row>
    <row r="83" ht="14.25" customHeight="1">
      <c r="A83" s="137" t="s">
        <v>1453</v>
      </c>
      <c r="B83" s="114" t="s">
        <v>2570</v>
      </c>
      <c r="C83" s="114">
        <v>55.0</v>
      </c>
      <c r="D83" s="114">
        <v>2.0</v>
      </c>
      <c r="E83" s="114">
        <v>1.0</v>
      </c>
      <c r="F83" s="487">
        <v>4.0</v>
      </c>
      <c r="G83" s="488">
        <v>8.0</v>
      </c>
      <c r="H83" s="114" t="s">
        <v>2575</v>
      </c>
      <c r="I83" s="130">
        <f>IFERROR(__xludf.DUMMYFUNCTION("SWITCH(
LEN(H83) - LEN(SUBSTITUTE(H83,"","","""")),
0 , VLOOKUP(H83, Variables!$A:$B, 2, FALSE),
1 , VLOOKUP(index(split(H83 ,"", "", FALSE),1,1), Variables!$A:$B , 2, FALSE) + VLOOKUP(index(split(H83 ,"", "", FALSE),1,2), Variables!$A:$B , 2, FALSE),
2 ,"&amp;" VLOOKUP(index(split(H83 ,"", "", FALSE),1,1), Variables!$A:$B , 2, FALSE) + VLOOKUP(index(split(H83 ,"", "", FALSE),1,2), Variables!$A:$B , 2, FALSE) + VLOOKUP(index(split(H83 ,"", "", FALSE),1,3), Variables!$A:$B , 2, FALSE)
)"),2.0)</f>
        <v>2</v>
      </c>
      <c r="J83" s="114" t="s">
        <v>1521</v>
      </c>
      <c r="K83" s="114" t="s">
        <v>1537</v>
      </c>
      <c r="L83" s="130">
        <f>IFERROR(__xludf.DUMMYFUNCTION("SWITCH(
LEN(K83) - LEN(SUBSTITUTE(K83,"","","""")),
0 , VLOOKUP(K83, Variables!$A:$B, 2, FALSE),
1 , VLOOKUP(index(split(K83 ,"", "", FALSE),1,1), Variables!$A:$B , 2, FALSE) + VLOOKUP(index(split(K83 ,"", "", FALSE),1,2), Variables!$A:$B , 2, FALSE),
2 ,"&amp;" VLOOKUP(index(split(K83 ,"", "", FALSE),1,1), Variables!$A:$B , 2, FALSE) + VLOOKUP(index(split(K83 ,"", "", FALSE),1,2), Variables!$A:$B , 2, FALSE) + VLOOKUP(index(split(K83 ,"", "", FALSE),1,3), Variables!$A:$B , 2, FALSE)
)
+
IF(J83=""Ranged"", 1 , 0"&amp;")"),4.5)</f>
        <v>4.5</v>
      </c>
      <c r="M83" s="114"/>
      <c r="N83" s="130" t="str">
        <f>IFERROR(__xludf.DUMMYFUNCTION("IF(ISBLANK(M83), , 
SWITCH(
LEN(M83)- LEN(SUBSTITUTE(M83,"","","""")), 
0 , VLOOKUP(M83, vote4TRAITS!A:C , 3, FALSE),
1 , VLOOKUP(index(split(M83 ,"", "", FALSE),1,1), vote4TRAITS!A:C , 3, FALSE) + VLOOKUP(index(split(M83 ,"", "", FALSE),1,2), vote4TRAITS"&amp;"!A:C , 3, FALSE),
2 , VLOOKUP(index(split(M83 ,"", "", FALSE),1,1), vote4TRAITS!A:C , 3, FALSE) + VLOOKUP(index(split(M83 ,"", "", FALSE),1,2), vote4TRAITS!A:C , 3, FALSE) + VLOOKUP(index(split(M83 ,"", "", FALSE),1,3), vote4TRAITS!A:C , 3, FALSE)
)
)"),"")</f>
        <v/>
      </c>
      <c r="O83" s="114" t="s">
        <v>1327</v>
      </c>
      <c r="P83" s="165">
        <f>IFERROR(__xludf.DUMMYFUNCTION("IF(ISBLANK(O83), , 
SWITCH(
LEN(O83)- LEN(SUBSTITUTE(O83,"","","""")), 
0 , VLOOKUP(O83, vote4ACTIONS!A:C , 3, FALSE),
1 , VLOOKUP(index(split(O83 ,"", "", FALSE),1,1), vote4ACTIONS!A:C , 3, FALSE) + VLOOKUP(index(split(O83 ,"", "", FALSE),1,2), vote4ACTI"&amp;"ONS!A:C , 3, FALSE),
2 , VLOOKUP(index(split(O83 ,"", "", FALSE),1,1), vote4ACTIONS!A:C , 3, FALSE) + VLOOKUP(index(split(O83 ,"", "", FALSE),1,2), vote4ACTIONS!A:C , 3, FALSE) + VLOOKUP(index(split(O83 ,"", "", FALSE),1,3), vote4ACTIONS!A:C , 3, FALSE),
"&amp;"3 , VLOOKUP(index(split(O83 ,"", "", FALSE),1,1), vote4ACTIONS!A:C , 3, FALSE) + VLOOKUP(index(split(O83 ,"", "", FALSE),1,2), vote4ACTIONS!A:C , 3, FALSE) + VLOOKUP(index(split(O83 ,"", "", FALSE),1,3), vote4ACTIONS!A:C , 3, FALSE) + VLOOKUP(index(split("&amp;"O83 ,"", "", FALSE),1,4), vote4ACTIONS!A:C , 3, FALSE)
)
)"),1.75)</f>
        <v>1.75</v>
      </c>
      <c r="Q83" s="169" t="s">
        <v>1540</v>
      </c>
      <c r="R83" s="342">
        <f>IF(ISBLANK(Q83),,IFERROR(
IF(IFERROR(SEARCH("SS:",Q83),0) &gt; 0, 
VLOOKUP(SUBSTITUTE(Q83,"SS: ",""),vote4SURGE!$A:$C , 3, FALSE) - 2,
VLOOKUP(SUBSTITUTE(Q83,"S: ",""),vote4SURGE!$A:$C , 3, FALSE)
)
,
IF(IFERROR(SEARCH("SS:",Q83),0) &gt; 0, 
VLOOKUP(A83,vote4SURGE!$A:$C , 3, FALSE) - 2,
VLOOKUP(A83,vote4SURGE!$A:$C , 3, FALSE)
)
))</f>
        <v>5.25</v>
      </c>
      <c r="S83" s="489" t="s">
        <v>1553</v>
      </c>
      <c r="T83" s="342">
        <f>IF(ISBLANK(S83),,IFERROR(
IF(IFERROR(SEARCH("SS:",S83),0) &gt; 0, 
VLOOKUP(SUBSTITUTE(S83,"SS: ",""),vote4SURGE!$A:$C , 3, FALSE) - 2,
VLOOKUP(SUBSTITUTE(S83,"S: ",""),vote4SURGE!$A:$C , 3, FALSE)
)
,
IF(IFERROR(SEARCH("SS:",S83),0) &gt; 0, 
VLOOKUP(A83,vote4SURGE!$A:$C , 3, FALSE) - 2,
VLOOKUP(A83,vote4SURGE!$A:$C , 3, FALSE)
)
))</f>
        <v>4</v>
      </c>
      <c r="U83" s="341"/>
      <c r="V83" s="343" t="str">
        <f>IF(ISBLANK(U83),,IFERROR(
IF(IFERROR(SEARCH("SS:",U83),0) &gt; 0, 
VLOOKUP(SUBSTITUTE(U83,"SS: ",""),vote4SURGE!$A:$C , 3, FALSE) - 2,
VLOOKUP(SUBSTITUTE(U83,"S: ",""),vote4SURGE!$A:$C , 3, FALSE)
)
,
IF(IFERROR(SEARCH("SS:",U83),0) &gt; 0, 
VLOOKUP(A83,vote4SURGE!$A:$C , 3, FALSE) - 2,
VLOOKUP(A83,vote4SURGE!$A:$C , 3, FALSE)
)
))</f>
        <v/>
      </c>
      <c r="W83" s="343">
        <f t="shared" si="1"/>
        <v>2</v>
      </c>
      <c r="X83" s="344">
        <f>IFERROR(__xludf.DUMMYFUNCTION("SWITCH(
LEN(K83) - LEN(SUBSTITUTE(K83,"","","""")),
0 , VLOOKUP(K83, Variables!$A:$C, 3, FALSE),
1 , VLOOKUP(index(split(K83 ,"", "", FALSE),1,1), Variables!$A:$C, 3, FALSE) + VLOOKUP(index(split(K83 ,"", "", FALSE),1,2), Variables!$A:$C, 3, FALSE),
2 , V"&amp;"LOOKUP(index(split(K83 ,"", "", FALSE),1,1), Variables!$A:$C, 3, FALSE) + VLOOKUP(index(split(K83 ,"", "", FALSE),1,2), Variables!$A:$C, 3, FALSE) + VLOOKUP(index(split(K83 ,"", "", FALSE),1,3), Variables!$A:$C, 3, FALSE)
)"),1.0)</f>
        <v>1</v>
      </c>
      <c r="Y83" s="342">
        <f t="shared" si="2"/>
        <v>7.25</v>
      </c>
      <c r="Z83" s="114"/>
      <c r="AA83" s="114" t="s">
        <v>2572</v>
      </c>
      <c r="AB83" s="114"/>
      <c r="AC83" s="114"/>
      <c r="AD83" s="114"/>
      <c r="AE83" s="114"/>
      <c r="AF83" s="114"/>
      <c r="AG83" s="114"/>
      <c r="AH83" s="114" t="s">
        <v>2572</v>
      </c>
      <c r="AI83" s="114"/>
      <c r="AJ83" s="114" t="s">
        <v>2574</v>
      </c>
      <c r="AK83" s="473">
        <v>13.0</v>
      </c>
      <c r="AL83" s="114" t="s">
        <v>2574</v>
      </c>
      <c r="AM83" s="473">
        <v>18.0</v>
      </c>
      <c r="AN83" s="114" t="s">
        <v>2574</v>
      </c>
      <c r="AO83" s="473">
        <v>23.0</v>
      </c>
      <c r="AP83" s="130">
        <f>SUM(
VLOOKUP("Ravage",vote4TRAITS!A:C,3,FALSE)
)</f>
        <v>7.333333333</v>
      </c>
      <c r="AQ83" s="130">
        <f t="shared" si="3"/>
        <v>23.48666667</v>
      </c>
    </row>
    <row r="84" ht="14.25" customHeight="1">
      <c r="A84" s="137" t="s">
        <v>1453</v>
      </c>
      <c r="B84" s="114" t="s">
        <v>2576</v>
      </c>
      <c r="C84" s="114">
        <v>55.0</v>
      </c>
      <c r="D84" s="114">
        <v>2.0</v>
      </c>
      <c r="E84" s="114">
        <v>1.0</v>
      </c>
      <c r="F84" s="487">
        <v>4.0</v>
      </c>
      <c r="G84" s="488">
        <v>5.0</v>
      </c>
      <c r="H84" s="114" t="s">
        <v>2575</v>
      </c>
      <c r="I84" s="130">
        <f>IFERROR(__xludf.DUMMYFUNCTION("SWITCH(
LEN(H84) - LEN(SUBSTITUTE(H84,"","","""")),
0 , VLOOKUP(H84, Variables!$A:$B, 2, FALSE),
1 , VLOOKUP(index(split(H84 ,"", "", FALSE),1,1), Variables!$A:$B , 2, FALSE) + VLOOKUP(index(split(H84 ,"", "", FALSE),1,2), Variables!$A:$B , 2, FALSE),
2 ,"&amp;" VLOOKUP(index(split(H84 ,"", "", FALSE),1,1), Variables!$A:$B , 2, FALSE) + VLOOKUP(index(split(H84 ,"", "", FALSE),1,2), Variables!$A:$B , 2, FALSE) + VLOOKUP(index(split(H84 ,"", "", FALSE),1,3), Variables!$A:$B , 2, FALSE)
)"),2.0)</f>
        <v>2</v>
      </c>
      <c r="J84" s="114" t="s">
        <v>1521</v>
      </c>
      <c r="K84" s="114" t="s">
        <v>1537</v>
      </c>
      <c r="L84" s="130">
        <f>IFERROR(__xludf.DUMMYFUNCTION("SWITCH(
LEN(K84) - LEN(SUBSTITUTE(K84,"","","""")),
0 , VLOOKUP(K84, Variables!$A:$B, 2, FALSE),
1 , VLOOKUP(index(split(K84 ,"", "", FALSE),1,1), Variables!$A:$B , 2, FALSE) + VLOOKUP(index(split(K84 ,"", "", FALSE),1,2), Variables!$A:$B , 2, FALSE),
2 ,"&amp;" VLOOKUP(index(split(K84 ,"", "", FALSE),1,1), Variables!$A:$B , 2, FALSE) + VLOOKUP(index(split(K84 ,"", "", FALSE),1,2), Variables!$A:$B , 2, FALSE) + VLOOKUP(index(split(K84 ,"", "", FALSE),1,3), Variables!$A:$B , 2, FALSE)
)
+
IF(J84=""Ranged"", 1 , 0"&amp;")"),4.5)</f>
        <v>4.5</v>
      </c>
      <c r="M84" s="114"/>
      <c r="N84" s="130" t="str">
        <f>IFERROR(__xludf.DUMMYFUNCTION("IF(ISBLANK(M84), , 
SWITCH(
LEN(M84)- LEN(SUBSTITUTE(M84,"","","""")), 
0 , VLOOKUP(M84, vote4TRAITS!A:C , 3, FALSE),
1 , VLOOKUP(index(split(M84 ,"", "", FALSE),1,1), vote4TRAITS!A:C , 3, FALSE) + VLOOKUP(index(split(M84 ,"", "", FALSE),1,2), vote4TRAITS"&amp;"!A:C , 3, FALSE),
2 , VLOOKUP(index(split(M84 ,"", "", FALSE),1,1), vote4TRAITS!A:C , 3, FALSE) + VLOOKUP(index(split(M84 ,"", "", FALSE),1,2), vote4TRAITS!A:C , 3, FALSE) + VLOOKUP(index(split(M84 ,"", "", FALSE),1,3), vote4TRAITS!A:C , 3, FALSE)
)
)"),"")</f>
        <v/>
      </c>
      <c r="O84" s="490"/>
      <c r="P84" s="165" t="str">
        <f>IFERROR(__xludf.DUMMYFUNCTION("IF(ISBLANK(O84), , 
SWITCH(
LEN(O84)- LEN(SUBSTITUTE(O84,"","","""")), 
0 , VLOOKUP(O84, vote4ACTIONS!A:C , 3, FALSE),
1 , VLOOKUP(index(split(O84 ,"", "", FALSE),1,1), vote4ACTIONS!A:C , 3, FALSE) + VLOOKUP(index(split(O84 ,"", "", FALSE),1,2), vote4ACTI"&amp;"ONS!A:C , 3, FALSE),
2 , VLOOKUP(index(split(O84 ,"", "", FALSE),1,1), vote4ACTIONS!A:C , 3, FALSE) + VLOOKUP(index(split(O84 ,"", "", FALSE),1,2), vote4ACTIONS!A:C , 3, FALSE) + VLOOKUP(index(split(O84 ,"", "", FALSE),1,3), vote4ACTIONS!A:C , 3, FALSE),
"&amp;"3 , VLOOKUP(index(split(O84 ,"", "", FALSE),1,1), vote4ACTIONS!A:C , 3, FALSE) + VLOOKUP(index(split(O84 ,"", "", FALSE),1,2), vote4ACTIONS!A:C , 3, FALSE) + VLOOKUP(index(split(O84 ,"", "", FALSE),1,3), vote4ACTIONS!A:C , 3, FALSE) + VLOOKUP(index(split("&amp;"O84 ,"", "", FALSE),1,4), vote4ACTIONS!A:C , 3, FALSE)
)
)"),"")</f>
        <v/>
      </c>
      <c r="Q84" s="169" t="s">
        <v>1540</v>
      </c>
      <c r="R84" s="342">
        <f>IF(ISBLANK(Q84),,IFERROR(
IF(IFERROR(SEARCH("SS:",Q84),0) &gt; 0, 
VLOOKUP(SUBSTITUTE(Q84,"SS: ",""),vote4SURGE!$A:$C , 3, FALSE) - 2,
VLOOKUP(SUBSTITUTE(Q84,"S: ",""),vote4SURGE!$A:$C , 3, FALSE)
)
,
IF(IFERROR(SEARCH("SS:",Q84),0) &gt; 0, 
VLOOKUP(A84,vote4SURGE!$A:$C , 3, FALSE) - 2,
VLOOKUP(A84,vote4SURGE!$A:$C , 3, FALSE)
)
))</f>
        <v>5.25</v>
      </c>
      <c r="S84" s="489" t="s">
        <v>1553</v>
      </c>
      <c r="T84" s="342">
        <f>IF(ISBLANK(S84),,IFERROR(
IF(IFERROR(SEARCH("SS:",S84),0) &gt; 0, 
VLOOKUP(SUBSTITUTE(S84,"SS: ",""),vote4SURGE!$A:$C , 3, FALSE) - 2,
VLOOKUP(SUBSTITUTE(S84,"S: ",""),vote4SURGE!$A:$C , 3, FALSE)
)
,
IF(IFERROR(SEARCH("SS:",S84),0) &gt; 0, 
VLOOKUP(A84,vote4SURGE!$A:$C , 3, FALSE) - 2,
VLOOKUP(A84,vote4SURGE!$A:$C , 3, FALSE)
)
))</f>
        <v>4</v>
      </c>
      <c r="U84" s="341"/>
      <c r="V84" s="343" t="str">
        <f>IF(ISBLANK(U84),,IFERROR(
IF(IFERROR(SEARCH("SS:",U84),0) &gt; 0, 
VLOOKUP(SUBSTITUTE(U84,"SS: ",""),vote4SURGE!$A:$C , 3, FALSE) - 2,
VLOOKUP(SUBSTITUTE(U84,"S: ",""),vote4SURGE!$A:$C , 3, FALSE)
)
,
IF(IFERROR(SEARCH("SS:",U84),0) &gt; 0, 
VLOOKUP(A84,vote4SURGE!$A:$C , 3, FALSE) - 2,
VLOOKUP(A84,vote4SURGE!$A:$C , 3, FALSE)
)
))</f>
        <v/>
      </c>
      <c r="W84" s="343">
        <f t="shared" si="1"/>
        <v>2</v>
      </c>
      <c r="X84" s="344">
        <f>IFERROR(__xludf.DUMMYFUNCTION("SWITCH(
LEN(K84) - LEN(SUBSTITUTE(K84,"","","""")),
0 , VLOOKUP(K84, Variables!$A:$C, 3, FALSE),
1 , VLOOKUP(index(split(K84 ,"", "", FALSE),1,1), Variables!$A:$C, 3, FALSE) + VLOOKUP(index(split(K84 ,"", "", FALSE),1,2), Variables!$A:$C, 3, FALSE),
2 , V"&amp;"LOOKUP(index(split(K84 ,"", "", FALSE),1,1), Variables!$A:$C, 3, FALSE) + VLOOKUP(index(split(K84 ,"", "", FALSE),1,2), Variables!$A:$C, 3, FALSE) + VLOOKUP(index(split(K84 ,"", "", FALSE),1,3), Variables!$A:$C, 3, FALSE)
)"),1.0)</f>
        <v>1</v>
      </c>
      <c r="Y84" s="342">
        <f t="shared" si="2"/>
        <v>7.25</v>
      </c>
      <c r="Z84" s="114"/>
      <c r="AA84" s="114" t="s">
        <v>2572</v>
      </c>
      <c r="AB84" s="114"/>
      <c r="AC84" s="114"/>
      <c r="AD84" s="114"/>
      <c r="AE84" s="114"/>
      <c r="AF84" s="114"/>
      <c r="AG84" s="114"/>
      <c r="AH84" s="114" t="s">
        <v>2572</v>
      </c>
      <c r="AI84" s="114"/>
      <c r="AJ84" s="114" t="s">
        <v>2574</v>
      </c>
      <c r="AK84" s="473">
        <v>13.0</v>
      </c>
      <c r="AL84" s="114" t="s">
        <v>369</v>
      </c>
      <c r="AM84" s="473">
        <v>18.0</v>
      </c>
      <c r="AN84" s="114" t="s">
        <v>368</v>
      </c>
      <c r="AO84" s="473">
        <v>23.0</v>
      </c>
      <c r="AP84" s="130">
        <f>SUM(
VLOOKUP("Ravage",vote4TRAITS!A:C,3,FALSE)
)</f>
        <v>7.333333333</v>
      </c>
      <c r="AQ84" s="130">
        <f t="shared" si="3"/>
        <v>15.73666667</v>
      </c>
    </row>
    <row r="85" ht="14.25" customHeight="1">
      <c r="A85" s="137" t="s">
        <v>1453</v>
      </c>
      <c r="B85" s="114" t="s">
        <v>2570</v>
      </c>
      <c r="C85" s="114">
        <v>55.0</v>
      </c>
      <c r="D85" s="114">
        <v>1.0</v>
      </c>
      <c r="E85" s="114">
        <v>1.0</v>
      </c>
      <c r="F85" s="487">
        <v>4.0</v>
      </c>
      <c r="G85" s="488">
        <v>5.0</v>
      </c>
      <c r="H85" s="114" t="s">
        <v>1663</v>
      </c>
      <c r="I85" s="130">
        <f>IFERROR(__xludf.DUMMYFUNCTION("SWITCH(
LEN(H85) - LEN(SUBSTITUTE(H85,"","","""")),
0 , VLOOKUP(H85, Variables!$A:$B, 2, FALSE),
1 , VLOOKUP(index(split(H85 ,"", "", FALSE),1,1), Variables!$A:$B , 2, FALSE) + VLOOKUP(index(split(H85 ,"", "", FALSE),1,2), Variables!$A:$B , 2, FALSE),
2 ,"&amp;" VLOOKUP(index(split(H85 ,"", "", FALSE),1,1), Variables!$A:$B , 2, FALSE) + VLOOKUP(index(split(H85 ,"", "", FALSE),1,2), Variables!$A:$B , 2, FALSE) + VLOOKUP(index(split(H85 ,"", "", FALSE),1,3), Variables!$A:$B , 2, FALSE)
)"),1.3333333333333333)</f>
        <v>1.333333333</v>
      </c>
      <c r="J85" s="114" t="s">
        <v>1521</v>
      </c>
      <c r="K85" s="114" t="s">
        <v>1525</v>
      </c>
      <c r="L85" s="130">
        <f>IFERROR(__xludf.DUMMYFUNCTION("SWITCH(
LEN(K85) - LEN(SUBSTITUTE(K85,"","","""")),
0 , VLOOKUP(K85, Variables!$A:$B, 2, FALSE),
1 , VLOOKUP(index(split(K85 ,"", "", FALSE),1,1), Variables!$A:$B , 2, FALSE) + VLOOKUP(index(split(K85 ,"", "", FALSE),1,2), Variables!$A:$B , 2, FALSE),
2 ,"&amp;" VLOOKUP(index(split(K85 ,"", "", FALSE),1,1), Variables!$A:$B , 2, FALSE) + VLOOKUP(index(split(K85 ,"", "", FALSE),1,2), Variables!$A:$B , 2, FALSE) + VLOOKUP(index(split(K85 ,"", "", FALSE),1,3), Variables!$A:$B , 2, FALSE)
)
+
IF(J85=""Ranged"", 1 , 0"&amp;")"),3.333333333333333)</f>
        <v>3.333333333</v>
      </c>
      <c r="M85" s="114"/>
      <c r="N85" s="130" t="str">
        <f>IFERROR(__xludf.DUMMYFUNCTION("IF(ISBLANK(M85), , 
SWITCH(
LEN(M85)- LEN(SUBSTITUTE(M85,"","","""")), 
0 , VLOOKUP(M85, vote4TRAITS!A:C , 3, FALSE),
1 , VLOOKUP(index(split(M85 ,"", "", FALSE),1,1), vote4TRAITS!A:C , 3, FALSE) + VLOOKUP(index(split(M85 ,"", "", FALSE),1,2), vote4TRAITS"&amp;"!A:C , 3, FALSE),
2 , VLOOKUP(index(split(M85 ,"", "", FALSE),1,1), vote4TRAITS!A:C , 3, FALSE) + VLOOKUP(index(split(M85 ,"", "", FALSE),1,2), vote4TRAITS!A:C , 3, FALSE) + VLOOKUP(index(split(M85 ,"", "", FALSE),1,3), vote4TRAITS!A:C , 3, FALSE)
)
)"),"")</f>
        <v/>
      </c>
      <c r="O85" s="114" t="s">
        <v>1327</v>
      </c>
      <c r="P85" s="165">
        <f>IFERROR(__xludf.DUMMYFUNCTION("IF(ISBLANK(O85), , 
SWITCH(
LEN(O85)- LEN(SUBSTITUTE(O85,"","","""")), 
0 , VLOOKUP(O85, vote4ACTIONS!A:C , 3, FALSE),
1 , VLOOKUP(index(split(O85 ,"", "", FALSE),1,1), vote4ACTIONS!A:C , 3, FALSE) + VLOOKUP(index(split(O85 ,"", "", FALSE),1,2), vote4ACTI"&amp;"ONS!A:C , 3, FALSE),
2 , VLOOKUP(index(split(O85 ,"", "", FALSE),1,1), vote4ACTIONS!A:C , 3, FALSE) + VLOOKUP(index(split(O85 ,"", "", FALSE),1,2), vote4ACTIONS!A:C , 3, FALSE) + VLOOKUP(index(split(O85 ,"", "", FALSE),1,3), vote4ACTIONS!A:C , 3, FALSE),
"&amp;"3 , VLOOKUP(index(split(O85 ,"", "", FALSE),1,1), vote4ACTIONS!A:C , 3, FALSE) + VLOOKUP(index(split(O85 ,"", "", FALSE),1,2), vote4ACTIONS!A:C , 3, FALSE) + VLOOKUP(index(split(O85 ,"", "", FALSE),1,3), vote4ACTIONS!A:C , 3, FALSE) + VLOOKUP(index(split("&amp;"O85 ,"", "", FALSE),1,4), vote4ACTIONS!A:C , 3, FALSE)
)
)"),1.75)</f>
        <v>1.75</v>
      </c>
      <c r="Q85" s="169" t="s">
        <v>1524</v>
      </c>
      <c r="R85" s="342">
        <f>IF(ISBLANK(Q85),,IFERROR(
IF(IFERROR(SEARCH("SS:",Q85),0) &gt; 0, 
VLOOKUP(SUBSTITUTE(Q85,"SS: ",""),vote4SURGE!$A:$C , 3, FALSE) - 2,
VLOOKUP(SUBSTITUTE(Q85,"S: ",""),vote4SURGE!$A:$C , 3, FALSE)
)
,
IF(IFERROR(SEARCH("SS:",Q85),0) &gt; 0, 
VLOOKUP(A85,vote4SURGE!$A:$C , 3, FALSE) - 2,
VLOOKUP(A85,vote4SURGE!$A:$C , 3, FALSE)
)
))</f>
        <v>4.5</v>
      </c>
      <c r="S85" s="489" t="s">
        <v>1553</v>
      </c>
      <c r="T85" s="342">
        <f>IF(ISBLANK(S85),,IFERROR(
IF(IFERROR(SEARCH("SS:",S85),0) &gt; 0, 
VLOOKUP(SUBSTITUTE(S85,"SS: ",""),vote4SURGE!$A:$C , 3, FALSE) - 2,
VLOOKUP(SUBSTITUTE(S85,"S: ",""),vote4SURGE!$A:$C , 3, FALSE)
)
,
IF(IFERROR(SEARCH("SS:",S85),0) &gt; 0, 
VLOOKUP(A85,vote4SURGE!$A:$C , 3, FALSE) - 2,
VLOOKUP(A85,vote4SURGE!$A:$C , 3, FALSE)
)
))</f>
        <v>4</v>
      </c>
      <c r="U85" s="164"/>
      <c r="V85" s="343" t="str">
        <f>IF(ISBLANK(U85),,IFERROR(
IF(IFERROR(SEARCH("SS:",U85),0) &gt; 0, 
VLOOKUP(SUBSTITUTE(U85,"SS: ",""),vote4SURGE!$A:$C , 3, FALSE) - 2,
VLOOKUP(SUBSTITUTE(U85,"S: ",""),vote4SURGE!$A:$C , 3, FALSE)
)
,
IF(IFERROR(SEARCH("SS:",U85),0) &gt; 0, 
VLOOKUP(A85,vote4SURGE!$A:$C , 3, FALSE) - 2,
VLOOKUP(A85,vote4SURGE!$A:$C , 3, FALSE)
)
))</f>
        <v/>
      </c>
      <c r="W85" s="343">
        <f t="shared" si="1"/>
        <v>2</v>
      </c>
      <c r="X85" s="344">
        <f>IFERROR(__xludf.DUMMYFUNCTION("SWITCH(
LEN(K85) - LEN(SUBSTITUTE(K85,"","","""")),
0 , VLOOKUP(K85, Variables!$A:$C, 3, FALSE),
1 , VLOOKUP(index(split(K85 ,"", "", FALSE),1,1), Variables!$A:$C, 3, FALSE) + VLOOKUP(index(split(K85 ,"", "", FALSE),1,2), Variables!$A:$C, 3, FALSE),
2 , V"&amp;"LOOKUP(index(split(K85 ,"", "", FALSE),1,1), Variables!$A:$C, 3, FALSE) + VLOOKUP(index(split(K85 ,"", "", FALSE),1,2), Variables!$A:$C, 3, FALSE) + VLOOKUP(index(split(K85 ,"", "", FALSE),1,3), Variables!$A:$C, 3, FALSE)
)"),0.5)</f>
        <v>0.5</v>
      </c>
      <c r="Y85" s="342">
        <f t="shared" si="2"/>
        <v>5.5</v>
      </c>
      <c r="Z85" s="114"/>
      <c r="AA85" s="114" t="s">
        <v>2572</v>
      </c>
      <c r="AB85" s="114"/>
      <c r="AC85" s="114"/>
      <c r="AD85" s="114"/>
      <c r="AE85" s="114"/>
      <c r="AF85" s="114"/>
      <c r="AG85" s="114"/>
      <c r="AH85" s="114" t="s">
        <v>2572</v>
      </c>
      <c r="AI85" s="114"/>
      <c r="AJ85" s="114" t="s">
        <v>2574</v>
      </c>
      <c r="AK85" s="473">
        <v>9.0</v>
      </c>
      <c r="AL85" s="114" t="s">
        <v>2574</v>
      </c>
      <c r="AM85" s="473">
        <v>13.0</v>
      </c>
      <c r="AN85" s="114" t="s">
        <v>2574</v>
      </c>
      <c r="AO85" s="473">
        <v>17.0</v>
      </c>
      <c r="AP85" s="130">
        <f>SUM(
VLOOKUP("Ravage",vote4TRAITS!A:C,3,FALSE)
)</f>
        <v>7.333333333</v>
      </c>
      <c r="AQ85" s="130">
        <f t="shared" si="3"/>
        <v>11.23666667</v>
      </c>
    </row>
    <row r="86" ht="14.25" customHeight="1">
      <c r="A86" s="137" t="s">
        <v>1453</v>
      </c>
      <c r="B86" s="114" t="s">
        <v>2576</v>
      </c>
      <c r="C86" s="114">
        <v>55.0</v>
      </c>
      <c r="D86" s="114">
        <v>1.0</v>
      </c>
      <c r="E86" s="114">
        <v>1.0</v>
      </c>
      <c r="F86" s="487">
        <v>4.0</v>
      </c>
      <c r="G86" s="488">
        <v>4.0</v>
      </c>
      <c r="H86" s="114" t="s">
        <v>1663</v>
      </c>
      <c r="I86" s="130">
        <f>IFERROR(__xludf.DUMMYFUNCTION("SWITCH(
LEN(H86) - LEN(SUBSTITUTE(H86,"","","""")),
0 , VLOOKUP(H86, Variables!$A:$B, 2, FALSE),
1 , VLOOKUP(index(split(H86 ,"", "", FALSE),1,1), Variables!$A:$B , 2, FALSE) + VLOOKUP(index(split(H86 ,"", "", FALSE),1,2), Variables!$A:$B , 2, FALSE),
2 ,"&amp;" VLOOKUP(index(split(H86 ,"", "", FALSE),1,1), Variables!$A:$B , 2, FALSE) + VLOOKUP(index(split(H86 ,"", "", FALSE),1,2), Variables!$A:$B , 2, FALSE) + VLOOKUP(index(split(H86 ,"", "", FALSE),1,3), Variables!$A:$B , 2, FALSE)
)"),1.3333333333333333)</f>
        <v>1.333333333</v>
      </c>
      <c r="J86" s="114" t="s">
        <v>1521</v>
      </c>
      <c r="K86" s="114" t="s">
        <v>1525</v>
      </c>
      <c r="L86" s="130">
        <f>IFERROR(__xludf.DUMMYFUNCTION("SWITCH(
LEN(K86) - LEN(SUBSTITUTE(K86,"","","""")),
0 , VLOOKUP(K86, Variables!$A:$B, 2, FALSE),
1 , VLOOKUP(index(split(K86 ,"", "", FALSE),1,1), Variables!$A:$B , 2, FALSE) + VLOOKUP(index(split(K86 ,"", "", FALSE),1,2), Variables!$A:$B , 2, FALSE),
2 ,"&amp;" VLOOKUP(index(split(K86 ,"", "", FALSE),1,1), Variables!$A:$B , 2, FALSE) + VLOOKUP(index(split(K86 ,"", "", FALSE),1,2), Variables!$A:$B , 2, FALSE) + VLOOKUP(index(split(K86 ,"", "", FALSE),1,3), Variables!$A:$B , 2, FALSE)
)
+
IF(J86=""Ranged"", 1 , 0"&amp;")"),3.333333333333333)</f>
        <v>3.333333333</v>
      </c>
      <c r="M86" s="114"/>
      <c r="N86" s="130" t="str">
        <f>IFERROR(__xludf.DUMMYFUNCTION("IF(ISBLANK(M86), , 
SWITCH(
LEN(M86)- LEN(SUBSTITUTE(M86,"","","""")), 
0 , VLOOKUP(M86, vote4TRAITS!A:C , 3, FALSE),
1 , VLOOKUP(index(split(M86 ,"", "", FALSE),1,1), vote4TRAITS!A:C , 3, FALSE) + VLOOKUP(index(split(M86 ,"", "", FALSE),1,2), vote4TRAITS"&amp;"!A:C , 3, FALSE),
2 , VLOOKUP(index(split(M86 ,"", "", FALSE),1,1), vote4TRAITS!A:C , 3, FALSE) + VLOOKUP(index(split(M86 ,"", "", FALSE),1,2), vote4TRAITS!A:C , 3, FALSE) + VLOOKUP(index(split(M86 ,"", "", FALSE),1,3), vote4TRAITS!A:C , 3, FALSE)
)
)"),"")</f>
        <v/>
      </c>
      <c r="O86" s="490"/>
      <c r="P86" s="165" t="str">
        <f>IFERROR(__xludf.DUMMYFUNCTION("IF(ISBLANK(O86), , 
SWITCH(
LEN(O86)- LEN(SUBSTITUTE(O86,"","","""")), 
0 , VLOOKUP(O86, vote4ACTIONS!A:C , 3, FALSE),
1 , VLOOKUP(index(split(O86 ,"", "", FALSE),1,1), vote4ACTIONS!A:C , 3, FALSE) + VLOOKUP(index(split(O86 ,"", "", FALSE),1,2), vote4ACTI"&amp;"ONS!A:C , 3, FALSE),
2 , VLOOKUP(index(split(O86 ,"", "", FALSE),1,1), vote4ACTIONS!A:C , 3, FALSE) + VLOOKUP(index(split(O86 ,"", "", FALSE),1,2), vote4ACTIONS!A:C , 3, FALSE) + VLOOKUP(index(split(O86 ,"", "", FALSE),1,3), vote4ACTIONS!A:C , 3, FALSE),
"&amp;"3 , VLOOKUP(index(split(O86 ,"", "", FALSE),1,1), vote4ACTIONS!A:C , 3, FALSE) + VLOOKUP(index(split(O86 ,"", "", FALSE),1,2), vote4ACTIONS!A:C , 3, FALSE) + VLOOKUP(index(split(O86 ,"", "", FALSE),1,3), vote4ACTIONS!A:C , 3, FALSE) + VLOOKUP(index(split("&amp;"O86 ,"", "", FALSE),1,4), vote4ACTIONS!A:C , 3, FALSE)
)
)"),"")</f>
        <v/>
      </c>
      <c r="Q86" s="169" t="s">
        <v>1524</v>
      </c>
      <c r="R86" s="342">
        <f>IF(ISBLANK(Q86),,IFERROR(
IF(IFERROR(SEARCH("SS:",Q86),0) &gt; 0, 
VLOOKUP(SUBSTITUTE(Q86,"SS: ",""),vote4SURGE!$A:$C , 3, FALSE) - 2,
VLOOKUP(SUBSTITUTE(Q86,"S: ",""),vote4SURGE!$A:$C , 3, FALSE)
)
,
IF(IFERROR(SEARCH("SS:",Q86),0) &gt; 0, 
VLOOKUP(A86,vote4SURGE!$A:$C , 3, FALSE) - 2,
VLOOKUP(A86,vote4SURGE!$A:$C , 3, FALSE)
)
))</f>
        <v>4.5</v>
      </c>
      <c r="S86" s="489" t="s">
        <v>1553</v>
      </c>
      <c r="T86" s="342">
        <f>IF(ISBLANK(S86),,IFERROR(
IF(IFERROR(SEARCH("SS:",S86),0) &gt; 0, 
VLOOKUP(SUBSTITUTE(S86,"SS: ",""),vote4SURGE!$A:$C , 3, FALSE) - 2,
VLOOKUP(SUBSTITUTE(S86,"S: ",""),vote4SURGE!$A:$C , 3, FALSE)
)
,
IF(IFERROR(SEARCH("SS:",S86),0) &gt; 0, 
VLOOKUP(A86,vote4SURGE!$A:$C , 3, FALSE) - 2,
VLOOKUP(A86,vote4SURGE!$A:$C , 3, FALSE)
)
))</f>
        <v>4</v>
      </c>
      <c r="U86" s="164"/>
      <c r="V86" s="343" t="str">
        <f>IF(ISBLANK(U86),,IFERROR(
IF(IFERROR(SEARCH("SS:",U86),0) &gt; 0, 
VLOOKUP(SUBSTITUTE(U86,"SS: ",""),vote4SURGE!$A:$C , 3, FALSE) - 2,
VLOOKUP(SUBSTITUTE(U86,"S: ",""),vote4SURGE!$A:$C , 3, FALSE)
)
,
IF(IFERROR(SEARCH("SS:",U86),0) &gt; 0, 
VLOOKUP(A86,vote4SURGE!$A:$C , 3, FALSE) - 2,
VLOOKUP(A86,vote4SURGE!$A:$C , 3, FALSE)
)
))</f>
        <v/>
      </c>
      <c r="W86" s="343">
        <f t="shared" si="1"/>
        <v>2</v>
      </c>
      <c r="X86" s="344">
        <f>IFERROR(__xludf.DUMMYFUNCTION("SWITCH(
LEN(K86) - LEN(SUBSTITUTE(K86,"","","""")),
0 , VLOOKUP(K86, Variables!$A:$C, 3, FALSE),
1 , VLOOKUP(index(split(K86 ,"", "", FALSE),1,1), Variables!$A:$C, 3, FALSE) + VLOOKUP(index(split(K86 ,"", "", FALSE),1,2), Variables!$A:$C, 3, FALSE),
2 , V"&amp;"LOOKUP(index(split(K86 ,"", "", FALSE),1,1), Variables!$A:$C, 3, FALSE) + VLOOKUP(index(split(K86 ,"", "", FALSE),1,2), Variables!$A:$C, 3, FALSE) + VLOOKUP(index(split(K86 ,"", "", FALSE),1,3), Variables!$A:$C, 3, FALSE)
)"),0.5)</f>
        <v>0.5</v>
      </c>
      <c r="Y86" s="342">
        <f t="shared" si="2"/>
        <v>5.5</v>
      </c>
      <c r="Z86" s="114"/>
      <c r="AA86" s="114" t="s">
        <v>2572</v>
      </c>
      <c r="AB86" s="114"/>
      <c r="AC86" s="114"/>
      <c r="AD86" s="114"/>
      <c r="AE86" s="114"/>
      <c r="AF86" s="114"/>
      <c r="AG86" s="114"/>
      <c r="AH86" s="114" t="s">
        <v>2572</v>
      </c>
      <c r="AI86" s="114"/>
      <c r="AJ86" s="114" t="s">
        <v>2574</v>
      </c>
      <c r="AK86" s="473">
        <v>9.0</v>
      </c>
      <c r="AL86" s="114" t="s">
        <v>369</v>
      </c>
      <c r="AM86" s="473">
        <v>13.0</v>
      </c>
      <c r="AN86" s="114" t="s">
        <v>368</v>
      </c>
      <c r="AO86" s="473">
        <v>17.0</v>
      </c>
      <c r="AP86" s="130">
        <f>SUM(
VLOOKUP("Ravage",vote4TRAITS!A:C,3,FALSE)
)</f>
        <v>7.333333333</v>
      </c>
      <c r="AQ86" s="130">
        <f t="shared" si="3"/>
        <v>8.153333333</v>
      </c>
    </row>
    <row r="87" ht="14.25" customHeight="1">
      <c r="A87" s="137" t="s">
        <v>1460</v>
      </c>
      <c r="B87" s="114" t="s">
        <v>2570</v>
      </c>
      <c r="C87" s="114">
        <v>10.0</v>
      </c>
      <c r="D87" s="114">
        <v>2.0</v>
      </c>
      <c r="E87" s="114">
        <v>1.0</v>
      </c>
      <c r="F87" s="487">
        <v>5.0</v>
      </c>
      <c r="G87" s="488">
        <v>6.0</v>
      </c>
      <c r="H87" s="114" t="s">
        <v>1663</v>
      </c>
      <c r="I87" s="130">
        <f>IFERROR(__xludf.DUMMYFUNCTION("SWITCH(
LEN(H87) - LEN(SUBSTITUTE(H87,"","","""")),
0 , VLOOKUP(H87, Variables!$A:$B, 2, FALSE),
1 , VLOOKUP(index(split(H87 ,"", "", FALSE),1,1), Variables!$A:$B , 2, FALSE) + VLOOKUP(index(split(H87 ,"", "", FALSE),1,2), Variables!$A:$B , 2, FALSE),
2 ,"&amp;" VLOOKUP(index(split(H87 ,"", "", FALSE),1,1), Variables!$A:$B , 2, FALSE) + VLOOKUP(index(split(H87 ,"", "", FALSE),1,2), Variables!$A:$B , 2, FALSE) + VLOOKUP(index(split(H87 ,"", "", FALSE),1,3), Variables!$A:$B , 2, FALSE)
)"),1.3333333333333333)</f>
        <v>1.333333333</v>
      </c>
      <c r="J87" s="114" t="s">
        <v>1567</v>
      </c>
      <c r="K87" s="114" t="s">
        <v>1546</v>
      </c>
      <c r="L87" s="130">
        <f>IFERROR(__xludf.DUMMYFUNCTION("SWITCH(
LEN(K87) - LEN(SUBSTITUTE(K87,"","","""")),
0 , VLOOKUP(K87, Variables!$A:$B, 2, FALSE),
1 , VLOOKUP(index(split(K87 ,"", "", FALSE),1,1), Variables!$A:$B , 2, FALSE) + VLOOKUP(index(split(K87 ,"", "", FALSE),1,2), Variables!$A:$B , 2, FALSE),
2 ,"&amp;" VLOOKUP(index(split(K87 ,"", "", FALSE),1,1), Variables!$A:$B , 2, FALSE) + VLOOKUP(index(split(K87 ,"", "", FALSE),1,2), Variables!$A:$B , 2, FALSE) + VLOOKUP(index(split(K87 ,"", "", FALSE),1,3), Variables!$A:$B , 2, FALSE)
)
+
IF(J87=""Ranged"", 1 , 0"&amp;")"),4.5)</f>
        <v>4.5</v>
      </c>
      <c r="M87" s="114" t="s">
        <v>2609</v>
      </c>
      <c r="N87" s="130">
        <f>IFERROR(__xludf.DUMMYFUNCTION("IF(ISBLANK(M87), , 
SWITCH(
LEN(M87)- LEN(SUBSTITUTE(M87,"","","""")), 
0 , VLOOKUP(M87, vote4TRAITS!A:C , 3, FALSE),
1 , VLOOKUP(index(split(M87 ,"", "", FALSE),1,1), vote4TRAITS!A:C , 3, FALSE) + VLOOKUP(index(split(M87 ,"", "", FALSE),1,2), vote4TRAITS"&amp;"!A:C , 3, FALSE),
2 , VLOOKUP(index(split(M87 ,"", "", FALSE),1,1), vote4TRAITS!A:C , 3, FALSE) + VLOOKUP(index(split(M87 ,"", "", FALSE),1,2), vote4TRAITS!A:C , 3, FALSE) + VLOOKUP(index(split(M87 ,"", "", FALSE),1,3), vote4TRAITS!A:C , 3, FALSE)
)
)"),3.75)</f>
        <v>3.75</v>
      </c>
      <c r="O87" s="490"/>
      <c r="P87" s="165" t="str">
        <f>IFERROR(__xludf.DUMMYFUNCTION("IF(ISBLANK(O87), , 
SWITCH(
LEN(O87)- LEN(SUBSTITUTE(O87,"","","""")), 
0 , VLOOKUP(O87, vote4ACTIONS!A:C , 3, FALSE),
1 , VLOOKUP(index(split(O87 ,"", "", FALSE),1,1), vote4ACTIONS!A:C , 3, FALSE) + VLOOKUP(index(split(O87 ,"", "", FALSE),1,2), vote4ACTI"&amp;"ONS!A:C , 3, FALSE),
2 , VLOOKUP(index(split(O87 ,"", "", FALSE),1,1), vote4ACTIONS!A:C , 3, FALSE) + VLOOKUP(index(split(O87 ,"", "", FALSE),1,2), vote4ACTIONS!A:C , 3, FALSE) + VLOOKUP(index(split(O87 ,"", "", FALSE),1,3), vote4ACTIONS!A:C , 3, FALSE),
"&amp;"3 , VLOOKUP(index(split(O87 ,"", "", FALSE),1,1), vote4ACTIONS!A:C , 3, FALSE) + VLOOKUP(index(split(O87 ,"", "", FALSE),1,2), vote4ACTIONS!A:C , 3, FALSE) + VLOOKUP(index(split(O87 ,"", "", FALSE),1,3), vote4ACTIONS!A:C , 3, FALSE) + VLOOKUP(index(split("&amp;"O87 ,"", "", FALSE),1,4), vote4ACTIONS!A:C , 3, FALSE)
)
)"),"")</f>
        <v/>
      </c>
      <c r="Q87" s="340" t="s">
        <v>1562</v>
      </c>
      <c r="R87" s="342">
        <f>IF(ISBLANK(Q87),,IFERROR(
IF(IFERROR(SEARCH("SS:",Q87),0) &gt; 0, 
VLOOKUP(SUBSTITUTE(Q87,"SS: ",""),vote4SURGE!$A:$C , 3, FALSE) - 2,
VLOOKUP(SUBSTITUTE(Q87,"S: ",""),vote4SURGE!$A:$C , 3, FALSE)
)
,
IF(IFERROR(SEARCH("SS:",Q87),0) &gt; 0, 
VLOOKUP(A87,vote4SURGE!$A:$C , 3, FALSE) - 2,
VLOOKUP(A87,vote4SURGE!$A:$C , 3, FALSE)
)
))</f>
        <v>3.5</v>
      </c>
      <c r="S87" s="489" t="s">
        <v>1603</v>
      </c>
      <c r="T87" s="342">
        <f>IF(ISBLANK(S87),,IFERROR(
IF(IFERROR(SEARCH("SS:",S87),0) &gt; 0, 
VLOOKUP(SUBSTITUTE(S87,"SS: ",""),vote4SURGE!$A:$C , 3, FALSE) - 2,
VLOOKUP(SUBSTITUTE(S87,"S: ",""),vote4SURGE!$A:$C , 3, FALSE)
)
,
IF(IFERROR(SEARCH("SS:",S87),0) &gt; 0, 
VLOOKUP(A87,vote4SURGE!$A:$C , 3, FALSE) - 2,
VLOOKUP(A87,vote4SURGE!$A:$C , 3, FALSE)
)
))</f>
        <v>4.5</v>
      </c>
      <c r="U87" s="341"/>
      <c r="V87" s="343" t="str">
        <f>IF(ISBLANK(U87),,IFERROR(
IF(IFERROR(SEARCH("SS:",U87),0) &gt; 0, 
VLOOKUP(SUBSTITUTE(U87,"SS: ",""),vote4SURGE!$A:$C , 3, FALSE) - 2,
VLOOKUP(SUBSTITUTE(U87,"S: ",""),vote4SURGE!$A:$C , 3, FALSE)
)
,
IF(IFERROR(SEARCH("SS:",U87),0) &gt; 0, 
VLOOKUP(A87,vote4SURGE!$A:$C , 3, FALSE) - 2,
VLOOKUP(A87,vote4SURGE!$A:$C , 3, FALSE)
)
))</f>
        <v/>
      </c>
      <c r="W87" s="343">
        <f t="shared" si="1"/>
        <v>2</v>
      </c>
      <c r="X87" s="344">
        <f>IFERROR(__xludf.DUMMYFUNCTION("SWITCH(
LEN(K87) - LEN(SUBSTITUTE(K87,"","","""")),
0 , VLOOKUP(K87, Variables!$A:$C, 3, FALSE),
1 , VLOOKUP(index(split(K87 ,"", "", FALSE),1,1), Variables!$A:$C, 3, FALSE) + VLOOKUP(index(split(K87 ,"", "", FALSE),1,2), Variables!$A:$C, 3, FALSE),
2 , V"&amp;"LOOKUP(index(split(K87 ,"", "", FALSE),1,1), Variables!$A:$C, 3, FALSE) + VLOOKUP(index(split(K87 ,"", "", FALSE),1,2), Variables!$A:$C, 3, FALSE) + VLOOKUP(index(split(K87 ,"", "", FALSE),1,3), Variables!$A:$C, 3, FALSE)
)"),1.3333333333333333)</f>
        <v>1.333333333</v>
      </c>
      <c r="Y87" s="342">
        <f t="shared" si="2"/>
        <v>6.833333333</v>
      </c>
      <c r="Z87" s="114"/>
      <c r="AA87" s="114"/>
      <c r="AB87" s="114"/>
      <c r="AC87" s="114"/>
      <c r="AD87" s="114" t="s">
        <v>2572</v>
      </c>
      <c r="AE87" s="114"/>
      <c r="AF87" s="114" t="s">
        <v>2572</v>
      </c>
      <c r="AG87" s="114"/>
      <c r="AH87" s="114"/>
      <c r="AI87" s="114"/>
      <c r="AJ87" s="114" t="s">
        <v>2574</v>
      </c>
      <c r="AK87" s="473">
        <v>14.0</v>
      </c>
      <c r="AL87" s="114" t="s">
        <v>2574</v>
      </c>
      <c r="AM87" s="473">
        <v>18.0</v>
      </c>
      <c r="AN87" s="114" t="s">
        <v>369</v>
      </c>
      <c r="AO87" s="473">
        <v>24.0</v>
      </c>
      <c r="AP87" s="130">
        <f>SUM(
VLOOKUP("Ravage",vote4TRAITS!A:C,3,FALSE)
)</f>
        <v>7.333333333</v>
      </c>
      <c r="AQ87" s="130">
        <f t="shared" si="3"/>
        <v>17.4</v>
      </c>
    </row>
    <row r="88" ht="14.25" customHeight="1">
      <c r="A88" s="137" t="s">
        <v>1460</v>
      </c>
      <c r="B88" s="114" t="s">
        <v>2570</v>
      </c>
      <c r="C88" s="114">
        <v>10.0</v>
      </c>
      <c r="D88" s="114">
        <v>1.0</v>
      </c>
      <c r="E88" s="114">
        <v>1.0</v>
      </c>
      <c r="F88" s="487">
        <v>5.0</v>
      </c>
      <c r="G88" s="488">
        <v>4.0</v>
      </c>
      <c r="H88" s="114" t="s">
        <v>1663</v>
      </c>
      <c r="I88" s="130">
        <f>IFERROR(__xludf.DUMMYFUNCTION("SWITCH(
LEN(H88) - LEN(SUBSTITUTE(H88,"","","""")),
0 , VLOOKUP(H88, Variables!$A:$B, 2, FALSE),
1 , VLOOKUP(index(split(H88 ,"", "", FALSE),1,1), Variables!$A:$B , 2, FALSE) + VLOOKUP(index(split(H88 ,"", "", FALSE),1,2), Variables!$A:$B , 2, FALSE),
2 ,"&amp;" VLOOKUP(index(split(H88 ,"", "", FALSE),1,1), Variables!$A:$B , 2, FALSE) + VLOOKUP(index(split(H88 ,"", "", FALSE),1,2), Variables!$A:$B , 2, FALSE) + VLOOKUP(index(split(H88 ,"", "", FALSE),1,3), Variables!$A:$B , 2, FALSE)
)"),1.3333333333333333)</f>
        <v>1.333333333</v>
      </c>
      <c r="J88" s="114" t="s">
        <v>1567</v>
      </c>
      <c r="K88" s="114" t="s">
        <v>1548</v>
      </c>
      <c r="L88" s="130">
        <f>IFERROR(__xludf.DUMMYFUNCTION("SWITCH(
LEN(K88) - LEN(SUBSTITUTE(K88,"","","""")),
0 , VLOOKUP(K88, Variables!$A:$B, 2, FALSE),
1 , VLOOKUP(index(split(K88 ,"", "", FALSE),1,1), Variables!$A:$B , 2, FALSE) + VLOOKUP(index(split(K88 ,"", "", FALSE),1,2), Variables!$A:$B , 2, FALSE),
2 ,"&amp;" VLOOKUP(index(split(K88 ,"", "", FALSE),1,1), Variables!$A:$B , 2, FALSE) + VLOOKUP(index(split(K88 ,"", "", FALSE),1,2), Variables!$A:$B , 2, FALSE) + VLOOKUP(index(split(K88 ,"", "", FALSE),1,3), Variables!$A:$B , 2, FALSE)
)
+
IF(J88=""Ranged"", 1 , 0"&amp;")"),3.3333333333333335)</f>
        <v>3.333333333</v>
      </c>
      <c r="M88" s="114" t="s">
        <v>2609</v>
      </c>
      <c r="N88" s="130">
        <f>IFERROR(__xludf.DUMMYFUNCTION("IF(ISBLANK(M88), , 
SWITCH(
LEN(M88)- LEN(SUBSTITUTE(M88,"","","""")), 
0 , VLOOKUP(M88, vote4TRAITS!A:C , 3, FALSE),
1 , VLOOKUP(index(split(M88 ,"", "", FALSE),1,1), vote4TRAITS!A:C , 3, FALSE) + VLOOKUP(index(split(M88 ,"", "", FALSE),1,2), vote4TRAITS"&amp;"!A:C , 3, FALSE),
2 , VLOOKUP(index(split(M88 ,"", "", FALSE),1,1), vote4TRAITS!A:C , 3, FALSE) + VLOOKUP(index(split(M88 ,"", "", FALSE),1,2), vote4TRAITS!A:C , 3, FALSE) + VLOOKUP(index(split(M88 ,"", "", FALSE),1,3), vote4TRAITS!A:C , 3, FALSE)
)
)"),3.75)</f>
        <v>3.75</v>
      </c>
      <c r="O88" s="490"/>
      <c r="P88" s="165" t="str">
        <f>IFERROR(__xludf.DUMMYFUNCTION("IF(ISBLANK(O88), , 
SWITCH(
LEN(O88)- LEN(SUBSTITUTE(O88,"","","""")), 
0 , VLOOKUP(O88, vote4ACTIONS!A:C , 3, FALSE),
1 , VLOOKUP(index(split(O88 ,"", "", FALSE),1,1), vote4ACTIONS!A:C , 3, FALSE) + VLOOKUP(index(split(O88 ,"", "", FALSE),1,2), vote4ACTI"&amp;"ONS!A:C , 3, FALSE),
2 , VLOOKUP(index(split(O88 ,"", "", FALSE),1,1), vote4ACTIONS!A:C , 3, FALSE) + VLOOKUP(index(split(O88 ,"", "", FALSE),1,2), vote4ACTIONS!A:C , 3, FALSE) + VLOOKUP(index(split(O88 ,"", "", FALSE),1,3), vote4ACTIONS!A:C , 3, FALSE),
"&amp;"3 , VLOOKUP(index(split(O88 ,"", "", FALSE),1,1), vote4ACTIONS!A:C , 3, FALSE) + VLOOKUP(index(split(O88 ,"", "", FALSE),1,2), vote4ACTIONS!A:C , 3, FALSE) + VLOOKUP(index(split(O88 ,"", "", FALSE),1,3), vote4ACTIONS!A:C , 3, FALSE) + VLOOKUP(index(split("&amp;"O88 ,"", "", FALSE),1,4), vote4ACTIONS!A:C , 3, FALSE)
)
)"),"")</f>
        <v/>
      </c>
      <c r="Q88" s="340" t="s">
        <v>1562</v>
      </c>
      <c r="R88" s="342">
        <f>IF(ISBLANK(Q88),,IFERROR(
IF(IFERROR(SEARCH("SS:",Q88),0) &gt; 0, 
VLOOKUP(SUBSTITUTE(Q88,"SS: ",""),vote4SURGE!$A:$C , 3, FALSE) - 2,
VLOOKUP(SUBSTITUTE(Q88,"S: ",""),vote4SURGE!$A:$C , 3, FALSE)
)
,
IF(IFERROR(SEARCH("SS:",Q88),0) &gt; 0, 
VLOOKUP(A88,vote4SURGE!$A:$C , 3, FALSE) - 2,
VLOOKUP(A88,vote4SURGE!$A:$C , 3, FALSE)
)
))</f>
        <v>3.5</v>
      </c>
      <c r="S88" s="489" t="s">
        <v>1603</v>
      </c>
      <c r="T88" s="342">
        <f>IF(ISBLANK(S88),,IFERROR(
IF(IFERROR(SEARCH("SS:",S88),0) &gt; 0, 
VLOOKUP(SUBSTITUTE(S88,"SS: ",""),vote4SURGE!$A:$C , 3, FALSE) - 2,
VLOOKUP(SUBSTITUTE(S88,"S: ",""),vote4SURGE!$A:$C , 3, FALSE)
)
,
IF(IFERROR(SEARCH("SS:",S88),0) &gt; 0, 
VLOOKUP(A88,vote4SURGE!$A:$C , 3, FALSE) - 2,
VLOOKUP(A88,vote4SURGE!$A:$C , 3, FALSE)
)
))</f>
        <v>4.5</v>
      </c>
      <c r="U88" s="164"/>
      <c r="V88" s="343" t="str">
        <f>IF(ISBLANK(U88),,IFERROR(
IF(IFERROR(SEARCH("SS:",U88),0) &gt; 0, 
VLOOKUP(SUBSTITUTE(U88,"SS: ",""),vote4SURGE!$A:$C , 3, FALSE) - 2,
VLOOKUP(SUBSTITUTE(U88,"S: ",""),vote4SURGE!$A:$C , 3, FALSE)
)
,
IF(IFERROR(SEARCH("SS:",U88),0) &gt; 0, 
VLOOKUP(A88,vote4SURGE!$A:$C , 3, FALSE) - 2,
VLOOKUP(A88,vote4SURGE!$A:$C , 3, FALSE)
)
))</f>
        <v/>
      </c>
      <c r="W88" s="343">
        <f t="shared" si="1"/>
        <v>2</v>
      </c>
      <c r="X88" s="344">
        <f>IFERROR(__xludf.DUMMYFUNCTION("SWITCH(
LEN(K88) - LEN(SUBSTITUTE(K88,"","","""")),
0 , VLOOKUP(K88, Variables!$A:$C, 3, FALSE),
1 , VLOOKUP(index(split(K88 ,"", "", FALSE),1,1), Variables!$A:$C, 3, FALSE) + VLOOKUP(index(split(K88 ,"", "", FALSE),1,2), Variables!$A:$C, 3, FALSE),
2 , V"&amp;"LOOKUP(index(split(K88 ,"", "", FALSE),1,1), Variables!$A:$C, 3, FALSE) + VLOOKUP(index(split(K88 ,"", "", FALSE),1,2), Variables!$A:$C, 3, FALSE) + VLOOKUP(index(split(K88 ,"", "", FALSE),1,3), Variables!$A:$C, 3, FALSE)
)"),0.8333333333333333)</f>
        <v>0.8333333333</v>
      </c>
      <c r="Y88" s="342">
        <f t="shared" si="2"/>
        <v>5.958333333</v>
      </c>
      <c r="Z88" s="114"/>
      <c r="AA88" s="114"/>
      <c r="AB88" s="114"/>
      <c r="AC88" s="114"/>
      <c r="AD88" s="114" t="s">
        <v>2572</v>
      </c>
      <c r="AE88" s="114"/>
      <c r="AF88" s="114" t="s">
        <v>2572</v>
      </c>
      <c r="AG88" s="114"/>
      <c r="AH88" s="114"/>
      <c r="AI88" s="114"/>
      <c r="AJ88" s="114" t="s">
        <v>2574</v>
      </c>
      <c r="AK88" s="473">
        <v>8.0</v>
      </c>
      <c r="AL88" s="114" t="s">
        <v>2574</v>
      </c>
      <c r="AM88" s="473">
        <v>10.0</v>
      </c>
      <c r="AN88" s="114" t="s">
        <v>369</v>
      </c>
      <c r="AO88" s="473">
        <v>14.0</v>
      </c>
      <c r="AP88" s="130">
        <f>SUM(
VLOOKUP("Ravage",vote4TRAITS!A:C,3,FALSE)
)</f>
        <v>7.333333333</v>
      </c>
      <c r="AQ88" s="130">
        <f t="shared" si="3"/>
        <v>12.69166667</v>
      </c>
    </row>
    <row r="89" ht="14.25" customHeight="1">
      <c r="A89" s="137" t="s">
        <v>1460</v>
      </c>
      <c r="B89" s="114" t="s">
        <v>2576</v>
      </c>
      <c r="C89" s="114">
        <v>10.0</v>
      </c>
      <c r="D89" s="114">
        <v>2.0</v>
      </c>
      <c r="E89" s="114">
        <v>1.0</v>
      </c>
      <c r="F89" s="487">
        <v>5.0</v>
      </c>
      <c r="G89" s="488">
        <v>4.0</v>
      </c>
      <c r="H89" s="114" t="s">
        <v>1663</v>
      </c>
      <c r="I89" s="130">
        <f>IFERROR(__xludf.DUMMYFUNCTION("SWITCH(
LEN(H89) - LEN(SUBSTITUTE(H89,"","","""")),
0 , VLOOKUP(H89, Variables!$A:$B, 2, FALSE),
1 , VLOOKUP(index(split(H89 ,"", "", FALSE),1,1), Variables!$A:$B , 2, FALSE) + VLOOKUP(index(split(H89 ,"", "", FALSE),1,2), Variables!$A:$B , 2, FALSE),
2 ,"&amp;" VLOOKUP(index(split(H89 ,"", "", FALSE),1,1), Variables!$A:$B , 2, FALSE) + VLOOKUP(index(split(H89 ,"", "", FALSE),1,2), Variables!$A:$B , 2, FALSE) + VLOOKUP(index(split(H89 ,"", "", FALSE),1,3), Variables!$A:$B , 2, FALSE)
)"),1.3333333333333333)</f>
        <v>1.333333333</v>
      </c>
      <c r="J89" s="114" t="s">
        <v>1567</v>
      </c>
      <c r="K89" s="114" t="s">
        <v>1548</v>
      </c>
      <c r="L89" s="130">
        <f>IFERROR(__xludf.DUMMYFUNCTION("SWITCH(
LEN(K89) - LEN(SUBSTITUTE(K89,"","","""")),
0 , VLOOKUP(K89, Variables!$A:$B, 2, FALSE),
1 , VLOOKUP(index(split(K89 ,"", "", FALSE),1,1), Variables!$A:$B , 2, FALSE) + VLOOKUP(index(split(K89 ,"", "", FALSE),1,2), Variables!$A:$B , 2, FALSE),
2 ,"&amp;" VLOOKUP(index(split(K89 ,"", "", FALSE),1,1), Variables!$A:$B , 2, FALSE) + VLOOKUP(index(split(K89 ,"", "", FALSE),1,2), Variables!$A:$B , 2, FALSE) + VLOOKUP(index(split(K89 ,"", "", FALSE),1,3), Variables!$A:$B , 2, FALSE)
)
+
IF(J89=""Ranged"", 1 , 0"&amp;")"),3.3333333333333335)</f>
        <v>3.333333333</v>
      </c>
      <c r="M89" s="114" t="s">
        <v>1023</v>
      </c>
      <c r="N89" s="130">
        <f>IFERROR(__xludf.DUMMYFUNCTION("IF(ISBLANK(M89), , 
SWITCH(
LEN(M89)- LEN(SUBSTITUTE(M89,"","","""")), 
0 , VLOOKUP(M89, vote4TRAITS!A:C , 3, FALSE),
1 , VLOOKUP(index(split(M89 ,"", "", FALSE),1,1), vote4TRAITS!A:C , 3, FALSE) + VLOOKUP(index(split(M89 ,"", "", FALSE),1,2), vote4TRAITS"&amp;"!A:C , 3, FALSE),
2 , VLOOKUP(index(split(M89 ,"", "", FALSE),1,1), vote4TRAITS!A:C , 3, FALSE) + VLOOKUP(index(split(M89 ,"", "", FALSE),1,2), vote4TRAITS!A:C , 3, FALSE) + VLOOKUP(index(split(M89 ,"", "", FALSE),1,3), vote4TRAITS!A:C , 3, FALSE)
)
)"),2.0)</f>
        <v>2</v>
      </c>
      <c r="O89" s="490"/>
      <c r="P89" s="165" t="str">
        <f>IFERROR(__xludf.DUMMYFUNCTION("IF(ISBLANK(O89), , 
SWITCH(
LEN(O89)- LEN(SUBSTITUTE(O89,"","","""")), 
0 , VLOOKUP(O89, vote4ACTIONS!A:C , 3, FALSE),
1 , VLOOKUP(index(split(O89 ,"", "", FALSE),1,1), vote4ACTIONS!A:C , 3, FALSE) + VLOOKUP(index(split(O89 ,"", "", FALSE),1,2), vote4ACTI"&amp;"ONS!A:C , 3, FALSE),
2 , VLOOKUP(index(split(O89 ,"", "", FALSE),1,1), vote4ACTIONS!A:C , 3, FALSE) + VLOOKUP(index(split(O89 ,"", "", FALSE),1,2), vote4ACTIONS!A:C , 3, FALSE) + VLOOKUP(index(split(O89 ,"", "", FALSE),1,3), vote4ACTIONS!A:C , 3, FALSE),
"&amp;"3 , VLOOKUP(index(split(O89 ,"", "", FALSE),1,1), vote4ACTIONS!A:C , 3, FALSE) + VLOOKUP(index(split(O89 ,"", "", FALSE),1,2), vote4ACTIONS!A:C , 3, FALSE) + VLOOKUP(index(split(O89 ,"", "", FALSE),1,3), vote4ACTIONS!A:C , 3, FALSE) + VLOOKUP(index(split("&amp;"O89 ,"", "", FALSE),1,4), vote4ACTIONS!A:C , 3, FALSE)
)
)"),"")</f>
        <v/>
      </c>
      <c r="Q89" s="169" t="s">
        <v>1579</v>
      </c>
      <c r="R89" s="342">
        <f>IF(ISBLANK(Q89),,IFERROR(
IF(IFERROR(SEARCH("SS:",Q89),0) &gt; 0, 
VLOOKUP(SUBSTITUTE(Q89,"SS: ",""),vote4SURGE!$A:$C , 3, FALSE) - 2,
VLOOKUP(SUBSTITUTE(Q89,"S: ",""),vote4SURGE!$A:$C , 3, FALSE)
)
,
IF(IFERROR(SEARCH("SS:",Q89),0) &gt; 0, 
VLOOKUP(A89,vote4SURGE!$A:$C , 3, FALSE) - 2,
VLOOKUP(A89,vote4SURGE!$A:$C , 3, FALSE)
)
))</f>
        <v>2.5</v>
      </c>
      <c r="S89" s="489" t="s">
        <v>1603</v>
      </c>
      <c r="T89" s="342">
        <f>IF(ISBLANK(S89),,IFERROR(
IF(IFERROR(SEARCH("SS:",S89),0) &gt; 0, 
VLOOKUP(SUBSTITUTE(S89,"SS: ",""),vote4SURGE!$A:$C , 3, FALSE) - 2,
VLOOKUP(SUBSTITUTE(S89,"S: ",""),vote4SURGE!$A:$C , 3, FALSE)
)
,
IF(IFERROR(SEARCH("SS:",S89),0) &gt; 0, 
VLOOKUP(A89,vote4SURGE!$A:$C , 3, FALSE) - 2,
VLOOKUP(A89,vote4SURGE!$A:$C , 3, FALSE)
)
))</f>
        <v>4.5</v>
      </c>
      <c r="U89" s="164"/>
      <c r="V89" s="343" t="str">
        <f>IF(ISBLANK(U89),,IFERROR(
IF(IFERROR(SEARCH("SS:",U89),0) &gt; 0, 
VLOOKUP(SUBSTITUTE(U89,"SS: ",""),vote4SURGE!$A:$C , 3, FALSE) - 2,
VLOOKUP(SUBSTITUTE(U89,"S: ",""),vote4SURGE!$A:$C , 3, FALSE)
)
,
IF(IFERROR(SEARCH("SS:",U89),0) &gt; 0, 
VLOOKUP(A89,vote4SURGE!$A:$C , 3, FALSE) - 2,
VLOOKUP(A89,vote4SURGE!$A:$C , 3, FALSE)
)
))</f>
        <v/>
      </c>
      <c r="W89" s="343">
        <f t="shared" si="1"/>
        <v>2</v>
      </c>
      <c r="X89" s="344">
        <f>IFERROR(__xludf.DUMMYFUNCTION("SWITCH(
LEN(K89) - LEN(SUBSTITUTE(K89,"","","""")),
0 , VLOOKUP(K89, Variables!$A:$C, 3, FALSE),
1 , VLOOKUP(index(split(K89 ,"", "", FALSE),1,1), Variables!$A:$C, 3, FALSE) + VLOOKUP(index(split(K89 ,"", "", FALSE),1,2), Variables!$A:$C, 3, FALSE),
2 , V"&amp;"LOOKUP(index(split(K89 ,"", "", FALSE),1,1), Variables!$A:$C, 3, FALSE) + VLOOKUP(index(split(K89 ,"", "", FALSE),1,2), Variables!$A:$C, 3, FALSE) + VLOOKUP(index(split(K89 ,"", "", FALSE),1,3), Variables!$A:$C, 3, FALSE)
)"),0.8333333333333333)</f>
        <v>0.8333333333</v>
      </c>
      <c r="Y89" s="342">
        <f t="shared" si="2"/>
        <v>5.541666667</v>
      </c>
      <c r="Z89" s="114"/>
      <c r="AA89" s="114"/>
      <c r="AB89" s="114"/>
      <c r="AC89" s="114"/>
      <c r="AD89" s="114" t="s">
        <v>2572</v>
      </c>
      <c r="AE89" s="114"/>
      <c r="AF89" s="114" t="s">
        <v>2572</v>
      </c>
      <c r="AG89" s="114"/>
      <c r="AH89" s="114"/>
      <c r="AI89" s="114"/>
      <c r="AJ89" s="114" t="s">
        <v>369</v>
      </c>
      <c r="AK89" s="473">
        <v>14.0</v>
      </c>
      <c r="AL89" s="114" t="s">
        <v>368</v>
      </c>
      <c r="AM89" s="473">
        <v>18.0</v>
      </c>
      <c r="AN89" s="114" t="s">
        <v>368</v>
      </c>
      <c r="AO89" s="473">
        <v>24.0</v>
      </c>
      <c r="AP89" s="130">
        <f>SUM(
VLOOKUP("Ravage",vote4TRAITS!A:C,3,FALSE)
)</f>
        <v>7.333333333</v>
      </c>
      <c r="AQ89" s="130">
        <f t="shared" si="3"/>
        <v>10.525</v>
      </c>
    </row>
    <row r="90" ht="14.25" customHeight="1">
      <c r="A90" s="137" t="s">
        <v>1460</v>
      </c>
      <c r="B90" s="114" t="s">
        <v>2576</v>
      </c>
      <c r="C90" s="114">
        <v>10.0</v>
      </c>
      <c r="D90" s="114">
        <v>1.0</v>
      </c>
      <c r="E90" s="114">
        <v>1.0</v>
      </c>
      <c r="F90" s="487">
        <v>5.0</v>
      </c>
      <c r="G90" s="488">
        <v>2.0</v>
      </c>
      <c r="H90" s="114" t="s">
        <v>1663</v>
      </c>
      <c r="I90" s="130">
        <f>IFERROR(__xludf.DUMMYFUNCTION("SWITCH(
LEN(H90) - LEN(SUBSTITUTE(H90,"","","""")),
0 , VLOOKUP(H90, Variables!$A:$B, 2, FALSE),
1 , VLOOKUP(index(split(H90 ,"", "", FALSE),1,1), Variables!$A:$B , 2, FALSE) + VLOOKUP(index(split(H90 ,"", "", FALSE),1,2), Variables!$A:$B , 2, FALSE),
2 ,"&amp;" VLOOKUP(index(split(H90 ,"", "", FALSE),1,1), Variables!$A:$B , 2, FALSE) + VLOOKUP(index(split(H90 ,"", "", FALSE),1,2), Variables!$A:$B , 2, FALSE) + VLOOKUP(index(split(H90 ,"", "", FALSE),1,3), Variables!$A:$B , 2, FALSE)
)"),1.3333333333333333)</f>
        <v>1.333333333</v>
      </c>
      <c r="J90" s="114" t="s">
        <v>1567</v>
      </c>
      <c r="K90" s="114" t="s">
        <v>1548</v>
      </c>
      <c r="L90" s="130">
        <f>IFERROR(__xludf.DUMMYFUNCTION("SWITCH(
LEN(K90) - LEN(SUBSTITUTE(K90,"","","""")),
0 , VLOOKUP(K90, Variables!$A:$B, 2, FALSE),
1 , VLOOKUP(index(split(K90 ,"", "", FALSE),1,1), Variables!$A:$B , 2, FALSE) + VLOOKUP(index(split(K90 ,"", "", FALSE),1,2), Variables!$A:$B , 2, FALSE),
2 ,"&amp;" VLOOKUP(index(split(K90 ,"", "", FALSE),1,1), Variables!$A:$B , 2, FALSE) + VLOOKUP(index(split(K90 ,"", "", FALSE),1,2), Variables!$A:$B , 2, FALSE) + VLOOKUP(index(split(K90 ,"", "", FALSE),1,3), Variables!$A:$B , 2, FALSE)
)
+
IF(J90=""Ranged"", 1 , 0"&amp;")"),3.3333333333333335)</f>
        <v>3.333333333</v>
      </c>
      <c r="M90" s="114" t="s">
        <v>1023</v>
      </c>
      <c r="N90" s="130">
        <f>IFERROR(__xludf.DUMMYFUNCTION("IF(ISBLANK(M90), , 
SWITCH(
LEN(M90)- LEN(SUBSTITUTE(M90,"","","""")), 
0 , VLOOKUP(M90, vote4TRAITS!A:C , 3, FALSE),
1 , VLOOKUP(index(split(M90 ,"", "", FALSE),1,1), vote4TRAITS!A:C , 3, FALSE) + VLOOKUP(index(split(M90 ,"", "", FALSE),1,2), vote4TRAITS"&amp;"!A:C , 3, FALSE),
2 , VLOOKUP(index(split(M90 ,"", "", FALSE),1,1), vote4TRAITS!A:C , 3, FALSE) + VLOOKUP(index(split(M90 ,"", "", FALSE),1,2), vote4TRAITS!A:C , 3, FALSE) + VLOOKUP(index(split(M90 ,"", "", FALSE),1,3), vote4TRAITS!A:C , 3, FALSE)
)
)"),2.0)</f>
        <v>2</v>
      </c>
      <c r="O90" s="490"/>
      <c r="P90" s="165" t="str">
        <f>IFERROR(__xludf.DUMMYFUNCTION("IF(ISBLANK(O90), , 
SWITCH(
LEN(O90)- LEN(SUBSTITUTE(O90,"","","""")), 
0 , VLOOKUP(O90, vote4ACTIONS!A:C , 3, FALSE),
1 , VLOOKUP(index(split(O90 ,"", "", FALSE),1,1), vote4ACTIONS!A:C , 3, FALSE) + VLOOKUP(index(split(O90 ,"", "", FALSE),1,2), vote4ACTI"&amp;"ONS!A:C , 3, FALSE),
2 , VLOOKUP(index(split(O90 ,"", "", FALSE),1,1), vote4ACTIONS!A:C , 3, FALSE) + VLOOKUP(index(split(O90 ,"", "", FALSE),1,2), vote4ACTIONS!A:C , 3, FALSE) + VLOOKUP(index(split(O90 ,"", "", FALSE),1,3), vote4ACTIONS!A:C , 3, FALSE),
"&amp;"3 , VLOOKUP(index(split(O90 ,"", "", FALSE),1,1), vote4ACTIONS!A:C , 3, FALSE) + VLOOKUP(index(split(O90 ,"", "", FALSE),1,2), vote4ACTIONS!A:C , 3, FALSE) + VLOOKUP(index(split(O90 ,"", "", FALSE),1,3), vote4ACTIONS!A:C , 3, FALSE) + VLOOKUP(index(split("&amp;"O90 ,"", "", FALSE),1,4), vote4ACTIONS!A:C , 3, FALSE)
)
)"),"")</f>
        <v/>
      </c>
      <c r="Q90" s="169" t="s">
        <v>1579</v>
      </c>
      <c r="R90" s="342">
        <f>IF(ISBLANK(Q90),,IFERROR(
IF(IFERROR(SEARCH("SS:",Q90),0) &gt; 0, 
VLOOKUP(SUBSTITUTE(Q90,"SS: ",""),vote4SURGE!$A:$C , 3, FALSE) - 2,
VLOOKUP(SUBSTITUTE(Q90,"S: ",""),vote4SURGE!$A:$C , 3, FALSE)
)
,
IF(IFERROR(SEARCH("SS:",Q90),0) &gt; 0, 
VLOOKUP(A90,vote4SURGE!$A:$C , 3, FALSE) - 2,
VLOOKUP(A90,vote4SURGE!$A:$C , 3, FALSE)
)
))</f>
        <v>2.5</v>
      </c>
      <c r="S90" s="489" t="s">
        <v>1603</v>
      </c>
      <c r="T90" s="342">
        <f>IF(ISBLANK(S90),,IFERROR(
IF(IFERROR(SEARCH("SS:",S90),0) &gt; 0, 
VLOOKUP(SUBSTITUTE(S90,"SS: ",""),vote4SURGE!$A:$C , 3, FALSE) - 2,
VLOOKUP(SUBSTITUTE(S90,"S: ",""),vote4SURGE!$A:$C , 3, FALSE)
)
,
IF(IFERROR(SEARCH("SS:",S90),0) &gt; 0, 
VLOOKUP(A90,vote4SURGE!$A:$C , 3, FALSE) - 2,
VLOOKUP(A90,vote4SURGE!$A:$C , 3, FALSE)
)
))</f>
        <v>4.5</v>
      </c>
      <c r="U90" s="164"/>
      <c r="V90" s="343" t="str">
        <f>IF(ISBLANK(U90),,IFERROR(
IF(IFERROR(SEARCH("SS:",U90),0) &gt; 0, 
VLOOKUP(SUBSTITUTE(U90,"SS: ",""),vote4SURGE!$A:$C , 3, FALSE) - 2,
VLOOKUP(SUBSTITUTE(U90,"S: ",""),vote4SURGE!$A:$C , 3, FALSE)
)
,
IF(IFERROR(SEARCH("SS:",U90),0) &gt; 0, 
VLOOKUP(A90,vote4SURGE!$A:$C , 3, FALSE) - 2,
VLOOKUP(A90,vote4SURGE!$A:$C , 3, FALSE)
)
))</f>
        <v/>
      </c>
      <c r="W90" s="343">
        <f t="shared" si="1"/>
        <v>2</v>
      </c>
      <c r="X90" s="344">
        <f>IFERROR(__xludf.DUMMYFUNCTION("SWITCH(
LEN(K90) - LEN(SUBSTITUTE(K90,"","","""")),
0 , VLOOKUP(K90, Variables!$A:$C, 3, FALSE),
1 , VLOOKUP(index(split(K90 ,"", "", FALSE),1,1), Variables!$A:$C, 3, FALSE) + VLOOKUP(index(split(K90 ,"", "", FALSE),1,2), Variables!$A:$C, 3, FALSE),
2 , V"&amp;"LOOKUP(index(split(K90 ,"", "", FALSE),1,1), Variables!$A:$C, 3, FALSE) + VLOOKUP(index(split(K90 ,"", "", FALSE),1,2), Variables!$A:$C, 3, FALSE) + VLOOKUP(index(split(K90 ,"", "", FALSE),1,3), Variables!$A:$C, 3, FALSE)
)"),0.8333333333333333)</f>
        <v>0.8333333333</v>
      </c>
      <c r="Y90" s="342">
        <f t="shared" si="2"/>
        <v>5.541666667</v>
      </c>
      <c r="Z90" s="114"/>
      <c r="AA90" s="114"/>
      <c r="AB90" s="114"/>
      <c r="AC90" s="114"/>
      <c r="AD90" s="114" t="s">
        <v>2572</v>
      </c>
      <c r="AE90" s="114"/>
      <c r="AF90" s="114" t="s">
        <v>2572</v>
      </c>
      <c r="AG90" s="114"/>
      <c r="AH90" s="114"/>
      <c r="AI90" s="114"/>
      <c r="AJ90" s="114" t="s">
        <v>369</v>
      </c>
      <c r="AK90" s="473">
        <v>8.0</v>
      </c>
      <c r="AL90" s="114" t="s">
        <v>368</v>
      </c>
      <c r="AM90" s="473">
        <v>10.0</v>
      </c>
      <c r="AN90" s="114" t="s">
        <v>368</v>
      </c>
      <c r="AO90" s="473">
        <v>14.0</v>
      </c>
      <c r="AP90" s="130">
        <f>SUM(
VLOOKUP("Ravage",vote4TRAITS!A:C,3,FALSE)
)</f>
        <v>7.333333333</v>
      </c>
      <c r="AQ90" s="130">
        <f t="shared" si="3"/>
        <v>7.858333333</v>
      </c>
    </row>
    <row r="91" ht="14.25" customHeight="1">
      <c r="A91" s="137" t="s">
        <v>1463</v>
      </c>
      <c r="B91" s="114" t="s">
        <v>2570</v>
      </c>
      <c r="C91" s="114">
        <v>5.0</v>
      </c>
      <c r="D91" s="114">
        <v>2.0</v>
      </c>
      <c r="E91" s="114">
        <v>1.0</v>
      </c>
      <c r="F91" s="487">
        <v>4.0</v>
      </c>
      <c r="G91" s="488">
        <v>7.0</v>
      </c>
      <c r="H91" s="114" t="s">
        <v>2575</v>
      </c>
      <c r="I91" s="130">
        <f>IFERROR(__xludf.DUMMYFUNCTION("SWITCH(
LEN(H91) - LEN(SUBSTITUTE(H91,"","","""")),
0 , VLOOKUP(H91, Variables!$A:$B, 2, FALSE),
1 , VLOOKUP(index(split(H91 ,"", "", FALSE),1,1), Variables!$A:$B , 2, FALSE) + VLOOKUP(index(split(H91 ,"", "", FALSE),1,2), Variables!$A:$B , 2, FALSE),
2 ,"&amp;" VLOOKUP(index(split(H91 ,"", "", FALSE),1,1), Variables!$A:$B , 2, FALSE) + VLOOKUP(index(split(H91 ,"", "", FALSE),1,2), Variables!$A:$B , 2, FALSE) + VLOOKUP(index(split(H91 ,"", "", FALSE),1,3), Variables!$A:$B , 2, FALSE)
)"),2.0)</f>
        <v>2</v>
      </c>
      <c r="J91" s="114" t="s">
        <v>1567</v>
      </c>
      <c r="K91" s="114" t="s">
        <v>1546</v>
      </c>
      <c r="L91" s="130">
        <f>IFERROR(__xludf.DUMMYFUNCTION("SWITCH(
LEN(K91) - LEN(SUBSTITUTE(K91,"","","""")),
0 , VLOOKUP(K91, Variables!$A:$B, 2, FALSE),
1 , VLOOKUP(index(split(K91 ,"", "", FALSE),1,1), Variables!$A:$B , 2, FALSE) + VLOOKUP(index(split(K91 ,"", "", FALSE),1,2), Variables!$A:$B , 2, FALSE),
2 ,"&amp;" VLOOKUP(index(split(K91 ,"", "", FALSE),1,1), Variables!$A:$B , 2, FALSE) + VLOOKUP(index(split(K91 ,"", "", FALSE),1,2), Variables!$A:$B , 2, FALSE) + VLOOKUP(index(split(K91 ,"", "", FALSE),1,3), Variables!$A:$B , 2, FALSE)
)
+
IF(J91=""Ranged"", 1 , 0"&amp;")"),4.5)</f>
        <v>4.5</v>
      </c>
      <c r="M91" s="114"/>
      <c r="N91" s="130" t="str">
        <f>IFERROR(__xludf.DUMMYFUNCTION("IF(ISBLANK(M91), , 
SWITCH(
LEN(M91)- LEN(SUBSTITUTE(M91,"","","""")), 
0 , VLOOKUP(M91, vote4TRAITS!A:C , 3, FALSE),
1 , VLOOKUP(index(split(M91 ,"", "", FALSE),1,1), vote4TRAITS!A:C , 3, FALSE) + VLOOKUP(index(split(M91 ,"", "", FALSE),1,2), vote4TRAITS"&amp;"!A:C , 3, FALSE),
2 , VLOOKUP(index(split(M91 ,"", "", FALSE),1,1), vote4TRAITS!A:C , 3, FALSE) + VLOOKUP(index(split(M91 ,"", "", FALSE),1,2), vote4TRAITS!A:C , 3, FALSE) + VLOOKUP(index(split(M91 ,"", "", FALSE),1,3), vote4TRAITS!A:C , 3, FALSE)
)
)"),"")</f>
        <v/>
      </c>
      <c r="O91" s="114" t="s">
        <v>1340</v>
      </c>
      <c r="P91" s="165">
        <f>IFERROR(__xludf.DUMMYFUNCTION("IF(ISBLANK(O91), , 
SWITCH(
LEN(O91)- LEN(SUBSTITUTE(O91,"","","""")), 
0 , VLOOKUP(O91, vote4ACTIONS!A:C , 3, FALSE),
1 , VLOOKUP(index(split(O91 ,"", "", FALSE),1,1), vote4ACTIONS!A:C , 3, FALSE) + VLOOKUP(index(split(O91 ,"", "", FALSE),1,2), vote4ACTI"&amp;"ONS!A:C , 3, FALSE),
2 , VLOOKUP(index(split(O91 ,"", "", FALSE),1,1), vote4ACTIONS!A:C , 3, FALSE) + VLOOKUP(index(split(O91 ,"", "", FALSE),1,2), vote4ACTIONS!A:C , 3, FALSE) + VLOOKUP(index(split(O91 ,"", "", FALSE),1,3), vote4ACTIONS!A:C , 3, FALSE),
"&amp;"3 , VLOOKUP(index(split(O91 ,"", "", FALSE),1,1), vote4ACTIONS!A:C , 3, FALSE) + VLOOKUP(index(split(O91 ,"", "", FALSE),1,2), vote4ACTIONS!A:C , 3, FALSE) + VLOOKUP(index(split(O91 ,"", "", FALSE),1,3), vote4ACTIONS!A:C , 3, FALSE) + VLOOKUP(index(split("&amp;"O91 ,"", "", FALSE),1,4), vote4ACTIONS!A:C , 3, FALSE)
)
)"),1.25)</f>
        <v>1.25</v>
      </c>
      <c r="Q91" s="340" t="s">
        <v>1539</v>
      </c>
      <c r="R91" s="342">
        <f>IF(ISBLANK(Q91),,IFERROR(
IF(IFERROR(SEARCH("SS:",Q91),0) &gt; 0, 
VLOOKUP(SUBSTITUTE(Q91,"SS: ",""),vote4SURGE!$A:$C , 3, FALSE) - 2,
VLOOKUP(SUBSTITUTE(Q91,"S: ",""),vote4SURGE!$A:$C , 3, FALSE)
)
,
IF(IFERROR(SEARCH("SS:",Q91),0) &gt; 0, 
VLOOKUP(A91,vote4SURGE!$A:$C , 3, FALSE) - 2,
VLOOKUP(A91,vote4SURGE!$A:$C , 3, FALSE)
)
))</f>
        <v>5</v>
      </c>
      <c r="S91" s="489" t="s">
        <v>2610</v>
      </c>
      <c r="T91" s="342">
        <f>IF(ISBLANK(S91),,IFERROR(
IF(IFERROR(SEARCH("SS:",S91),0) &gt; 0, 
VLOOKUP(SUBSTITUTE(S91,"SS: ",""),vote4SURGE!$A:$C , 3, FALSE) - 2,
VLOOKUP(SUBSTITUTE(S91,"S: ",""),vote4SURGE!$A:$C , 3, FALSE)
)
,
IF(IFERROR(SEARCH("SS:",S91),0) &gt; 0, 
VLOOKUP(A91,vote4SURGE!$A:$C , 3, FALSE) - 2,
VLOOKUP(A91,vote4SURGE!$A:$C , 3, FALSE)
)
))</f>
        <v>4.75</v>
      </c>
      <c r="U91" s="341"/>
      <c r="V91" s="343" t="str">
        <f>IF(ISBLANK(U91),,IFERROR(
IF(IFERROR(SEARCH("SS:",U91),0) &gt; 0, 
VLOOKUP(SUBSTITUTE(U91,"SS: ",""),vote4SURGE!$A:$C , 3, FALSE) - 2,
VLOOKUP(SUBSTITUTE(U91,"S: ",""),vote4SURGE!$A:$C , 3, FALSE)
)
,
IF(IFERROR(SEARCH("SS:",U91),0) &gt; 0, 
VLOOKUP(A91,vote4SURGE!$A:$C , 3, FALSE) - 2,
VLOOKUP(A91,vote4SURGE!$A:$C , 3, FALSE)
)
))</f>
        <v/>
      </c>
      <c r="W91" s="343">
        <f t="shared" si="1"/>
        <v>2</v>
      </c>
      <c r="X91" s="344">
        <f>IFERROR(__xludf.DUMMYFUNCTION("SWITCH(
LEN(K91) - LEN(SUBSTITUTE(K91,"","","""")),
0 , VLOOKUP(K91, Variables!$A:$C, 3, FALSE),
1 , VLOOKUP(index(split(K91 ,"", "", FALSE),1,1), Variables!$A:$C, 3, FALSE) + VLOOKUP(index(split(K91 ,"", "", FALSE),1,2), Variables!$A:$C, 3, FALSE),
2 , V"&amp;"LOOKUP(index(split(K91 ,"", "", FALSE),1,1), Variables!$A:$C, 3, FALSE) + VLOOKUP(index(split(K91 ,"", "", FALSE),1,2), Variables!$A:$C, 3, FALSE) + VLOOKUP(index(split(K91 ,"", "", FALSE),1,3), Variables!$A:$C, 3, FALSE)
)"),1.3333333333333333)</f>
        <v>1.333333333</v>
      </c>
      <c r="Y91" s="342">
        <f t="shared" si="2"/>
        <v>8.166666667</v>
      </c>
      <c r="Z91" s="114"/>
      <c r="AA91" s="114"/>
      <c r="AB91" s="114" t="s">
        <v>2572</v>
      </c>
      <c r="AC91" s="114"/>
      <c r="AD91" s="114" t="s">
        <v>2572</v>
      </c>
      <c r="AE91" s="114"/>
      <c r="AF91" s="114"/>
      <c r="AG91" s="114"/>
      <c r="AH91" s="114"/>
      <c r="AI91" s="114"/>
      <c r="AJ91" s="114" t="s">
        <v>2574</v>
      </c>
      <c r="AK91" s="473">
        <v>12.0</v>
      </c>
      <c r="AL91" s="114" t="s">
        <v>2574</v>
      </c>
      <c r="AM91" s="473">
        <v>17.0</v>
      </c>
      <c r="AN91" s="114" t="s">
        <v>2574</v>
      </c>
      <c r="AO91" s="473">
        <v>22.0</v>
      </c>
      <c r="AP91" s="130">
        <f>SUM(
VLOOKUP("Ravage",vote4TRAITS!A:C,3,FALSE)
)</f>
        <v>7.333333333</v>
      </c>
      <c r="AQ91" s="130">
        <f t="shared" si="3"/>
        <v>21.90333333</v>
      </c>
    </row>
    <row r="92" ht="14.25" customHeight="1">
      <c r="A92" s="137" t="s">
        <v>1463</v>
      </c>
      <c r="B92" s="114" t="s">
        <v>2570</v>
      </c>
      <c r="C92" s="114">
        <v>5.0</v>
      </c>
      <c r="D92" s="114">
        <v>1.0</v>
      </c>
      <c r="E92" s="114">
        <v>1.0</v>
      </c>
      <c r="F92" s="487">
        <v>4.0</v>
      </c>
      <c r="G92" s="488">
        <v>5.0</v>
      </c>
      <c r="H92" s="114" t="s">
        <v>1663</v>
      </c>
      <c r="I92" s="130">
        <f>IFERROR(__xludf.DUMMYFUNCTION("SWITCH(
LEN(H92) - LEN(SUBSTITUTE(H92,"","","""")),
0 , VLOOKUP(H92, Variables!$A:$B, 2, FALSE),
1 , VLOOKUP(index(split(H92 ,"", "", FALSE),1,1), Variables!$A:$B , 2, FALSE) + VLOOKUP(index(split(H92 ,"", "", FALSE),1,2), Variables!$A:$B , 2, FALSE),
2 ,"&amp;" VLOOKUP(index(split(H92 ,"", "", FALSE),1,1), Variables!$A:$B , 2, FALSE) + VLOOKUP(index(split(H92 ,"", "", FALSE),1,2), Variables!$A:$B , 2, FALSE) + VLOOKUP(index(split(H92 ,"", "", FALSE),1,3), Variables!$A:$B , 2, FALSE)
)"),1.3333333333333333)</f>
        <v>1.333333333</v>
      </c>
      <c r="J92" s="114" t="s">
        <v>1567</v>
      </c>
      <c r="K92" s="114" t="s">
        <v>1548</v>
      </c>
      <c r="L92" s="130">
        <f>IFERROR(__xludf.DUMMYFUNCTION("SWITCH(
LEN(K92) - LEN(SUBSTITUTE(K92,"","","""")),
0 , VLOOKUP(K92, Variables!$A:$B, 2, FALSE),
1 , VLOOKUP(index(split(K92 ,"", "", FALSE),1,1), Variables!$A:$B , 2, FALSE) + VLOOKUP(index(split(K92 ,"", "", FALSE),1,2), Variables!$A:$B , 2, FALSE),
2 ,"&amp;" VLOOKUP(index(split(K92 ,"", "", FALSE),1,1), Variables!$A:$B , 2, FALSE) + VLOOKUP(index(split(K92 ,"", "", FALSE),1,2), Variables!$A:$B , 2, FALSE) + VLOOKUP(index(split(K92 ,"", "", FALSE),1,3), Variables!$A:$B , 2, FALSE)
)
+
IF(J92=""Ranged"", 1 , 0"&amp;")"),3.3333333333333335)</f>
        <v>3.333333333</v>
      </c>
      <c r="M92" s="114"/>
      <c r="N92" s="130" t="str">
        <f>IFERROR(__xludf.DUMMYFUNCTION("IF(ISBLANK(M92), , 
SWITCH(
LEN(M92)- LEN(SUBSTITUTE(M92,"","","""")), 
0 , VLOOKUP(M92, vote4TRAITS!A:C , 3, FALSE),
1 , VLOOKUP(index(split(M92 ,"", "", FALSE),1,1), vote4TRAITS!A:C , 3, FALSE) + VLOOKUP(index(split(M92 ,"", "", FALSE),1,2), vote4TRAITS"&amp;"!A:C , 3, FALSE),
2 , VLOOKUP(index(split(M92 ,"", "", FALSE),1,1), vote4TRAITS!A:C , 3, FALSE) + VLOOKUP(index(split(M92 ,"", "", FALSE),1,2), vote4TRAITS!A:C , 3, FALSE) + VLOOKUP(index(split(M92 ,"", "", FALSE),1,3), vote4TRAITS!A:C , 3, FALSE)
)
)"),"")</f>
        <v/>
      </c>
      <c r="O92" s="114" t="s">
        <v>1340</v>
      </c>
      <c r="P92" s="165">
        <f>IFERROR(__xludf.DUMMYFUNCTION("IF(ISBLANK(O92), , 
SWITCH(
LEN(O92)- LEN(SUBSTITUTE(O92,"","","""")), 
0 , VLOOKUP(O92, vote4ACTIONS!A:C , 3, FALSE),
1 , VLOOKUP(index(split(O92 ,"", "", FALSE),1,1), vote4ACTIONS!A:C , 3, FALSE) + VLOOKUP(index(split(O92 ,"", "", FALSE),1,2), vote4ACTI"&amp;"ONS!A:C , 3, FALSE),
2 , VLOOKUP(index(split(O92 ,"", "", FALSE),1,1), vote4ACTIONS!A:C , 3, FALSE) + VLOOKUP(index(split(O92 ,"", "", FALSE),1,2), vote4ACTIONS!A:C , 3, FALSE) + VLOOKUP(index(split(O92 ,"", "", FALSE),1,3), vote4ACTIONS!A:C , 3, FALSE),
"&amp;"3 , VLOOKUP(index(split(O92 ,"", "", FALSE),1,1), vote4ACTIONS!A:C , 3, FALSE) + VLOOKUP(index(split(O92 ,"", "", FALSE),1,2), vote4ACTIONS!A:C , 3, FALSE) + VLOOKUP(index(split(O92 ,"", "", FALSE),1,3), vote4ACTIONS!A:C , 3, FALSE) + VLOOKUP(index(split("&amp;"O92 ,"", "", FALSE),1,4), vote4ACTIONS!A:C , 3, FALSE)
)
)"),1.25)</f>
        <v>1.25</v>
      </c>
      <c r="Q92" s="340" t="s">
        <v>1534</v>
      </c>
      <c r="R92" s="342">
        <f>IF(ISBLANK(Q92),,IFERROR(
IF(IFERROR(SEARCH("SS:",Q92),0) &gt; 0, 
VLOOKUP(SUBSTITUTE(Q92,"SS: ",""),vote4SURGE!$A:$C , 3, FALSE) - 2,
VLOOKUP(SUBSTITUTE(Q92,"S: ",""),vote4SURGE!$A:$C , 3, FALSE)
)
,
IF(IFERROR(SEARCH("SS:",Q92),0) &gt; 0, 
VLOOKUP(A92,vote4SURGE!$A:$C , 3, FALSE) - 2,
VLOOKUP(A92,vote4SURGE!$A:$C , 3, FALSE)
)
))</f>
        <v>4.25</v>
      </c>
      <c r="S92" s="489" t="s">
        <v>2610</v>
      </c>
      <c r="T92" s="342">
        <f>IF(ISBLANK(S92),,IFERROR(
IF(IFERROR(SEARCH("SS:",S92),0) &gt; 0, 
VLOOKUP(SUBSTITUTE(S92,"SS: ",""),vote4SURGE!$A:$C , 3, FALSE) - 2,
VLOOKUP(SUBSTITUTE(S92,"S: ",""),vote4SURGE!$A:$C , 3, FALSE)
)
,
IF(IFERROR(SEARCH("SS:",S92),0) &gt; 0, 
VLOOKUP(A92,vote4SURGE!$A:$C , 3, FALSE) - 2,
VLOOKUP(A92,vote4SURGE!$A:$C , 3, FALSE)
)
))</f>
        <v>4.75</v>
      </c>
      <c r="U92" s="341"/>
      <c r="V92" s="343" t="str">
        <f>IF(ISBLANK(U92),,IFERROR(
IF(IFERROR(SEARCH("SS:",U92),0) &gt; 0, 
VLOOKUP(SUBSTITUTE(U92,"SS: ",""),vote4SURGE!$A:$C , 3, FALSE) - 2,
VLOOKUP(SUBSTITUTE(U92,"S: ",""),vote4SURGE!$A:$C , 3, FALSE)
)
,
IF(IFERROR(SEARCH("SS:",U92),0) &gt; 0, 
VLOOKUP(A92,vote4SURGE!$A:$C , 3, FALSE) - 2,
VLOOKUP(A92,vote4SURGE!$A:$C , 3, FALSE)
)
))</f>
        <v/>
      </c>
      <c r="W92" s="343">
        <f t="shared" si="1"/>
        <v>2</v>
      </c>
      <c r="X92" s="344">
        <f>IFERROR(__xludf.DUMMYFUNCTION("SWITCH(
LEN(K92) - LEN(SUBSTITUTE(K92,"","","""")),
0 , VLOOKUP(K92, Variables!$A:$C, 3, FALSE),
1 , VLOOKUP(index(split(K92 ,"", "", FALSE),1,1), Variables!$A:$C, 3, FALSE) + VLOOKUP(index(split(K92 ,"", "", FALSE),1,2), Variables!$A:$C, 3, FALSE),
2 , V"&amp;"LOOKUP(index(split(K92 ,"", "", FALSE),1,1), Variables!$A:$C, 3, FALSE) + VLOOKUP(index(split(K92 ,"", "", FALSE),1,2), Variables!$A:$C, 3, FALSE) + VLOOKUP(index(split(K92 ,"", "", FALSE),1,3), Variables!$A:$C, 3, FALSE)
)"),0.8333333333333333)</f>
        <v>0.8333333333</v>
      </c>
      <c r="Y92" s="342">
        <f t="shared" si="2"/>
        <v>6.520833333</v>
      </c>
      <c r="Z92" s="114"/>
      <c r="AA92" s="114"/>
      <c r="AB92" s="114" t="s">
        <v>2572</v>
      </c>
      <c r="AC92" s="114"/>
      <c r="AD92" s="114" t="s">
        <v>2572</v>
      </c>
      <c r="AE92" s="114"/>
      <c r="AF92" s="114"/>
      <c r="AG92" s="114"/>
      <c r="AH92" s="114"/>
      <c r="AI92" s="114"/>
      <c r="AJ92" s="114" t="s">
        <v>2574</v>
      </c>
      <c r="AK92" s="473">
        <v>9.0</v>
      </c>
      <c r="AL92" s="114" t="s">
        <v>2574</v>
      </c>
      <c r="AM92" s="473">
        <v>13.0</v>
      </c>
      <c r="AN92" s="114" t="s">
        <v>2574</v>
      </c>
      <c r="AO92" s="473">
        <v>17.0</v>
      </c>
      <c r="AP92" s="130">
        <f>SUM(
VLOOKUP("Ravage",vote4TRAITS!A:C,3,FALSE)
)</f>
        <v>7.333333333</v>
      </c>
      <c r="AQ92" s="130">
        <f t="shared" si="3"/>
        <v>11.7575</v>
      </c>
    </row>
    <row r="93" ht="14.25" customHeight="1">
      <c r="A93" s="137" t="s">
        <v>1463</v>
      </c>
      <c r="B93" s="114" t="s">
        <v>2576</v>
      </c>
      <c r="C93" s="114">
        <v>5.0</v>
      </c>
      <c r="D93" s="114">
        <v>2.0</v>
      </c>
      <c r="E93" s="114">
        <v>1.0</v>
      </c>
      <c r="F93" s="487">
        <v>4.0</v>
      </c>
      <c r="G93" s="488">
        <v>5.0</v>
      </c>
      <c r="H93" s="114" t="s">
        <v>2575</v>
      </c>
      <c r="I93" s="130">
        <f>IFERROR(__xludf.DUMMYFUNCTION("SWITCH(
LEN(H93) - LEN(SUBSTITUTE(H93,"","","""")),
0 , VLOOKUP(H93, Variables!$A:$B, 2, FALSE),
1 , VLOOKUP(index(split(H93 ,"", "", FALSE),1,1), Variables!$A:$B , 2, FALSE) + VLOOKUP(index(split(H93 ,"", "", FALSE),1,2), Variables!$A:$B , 2, FALSE),
2 ,"&amp;" VLOOKUP(index(split(H93 ,"", "", FALSE),1,1), Variables!$A:$B , 2, FALSE) + VLOOKUP(index(split(H93 ,"", "", FALSE),1,2), Variables!$A:$B , 2, FALSE) + VLOOKUP(index(split(H93 ,"", "", FALSE),1,3), Variables!$A:$B , 2, FALSE)
)"),2.0)</f>
        <v>2</v>
      </c>
      <c r="J93" s="114" t="s">
        <v>1567</v>
      </c>
      <c r="K93" s="114" t="s">
        <v>1548</v>
      </c>
      <c r="L93" s="130">
        <f>IFERROR(__xludf.DUMMYFUNCTION("SWITCH(
LEN(K93) - LEN(SUBSTITUTE(K93,"","","""")),
0 , VLOOKUP(K93, Variables!$A:$B, 2, FALSE),
1 , VLOOKUP(index(split(K93 ,"", "", FALSE),1,1), Variables!$A:$B , 2, FALSE) + VLOOKUP(index(split(K93 ,"", "", FALSE),1,2), Variables!$A:$B , 2, FALSE),
2 ,"&amp;" VLOOKUP(index(split(K93 ,"", "", FALSE),1,1), Variables!$A:$B , 2, FALSE) + VLOOKUP(index(split(K93 ,"", "", FALSE),1,2), Variables!$A:$B , 2, FALSE) + VLOOKUP(index(split(K93 ,"", "", FALSE),1,3), Variables!$A:$B , 2, FALSE)
)
+
IF(J93=""Ranged"", 1 , 0"&amp;")"),3.3333333333333335)</f>
        <v>3.333333333</v>
      </c>
      <c r="M93" s="114"/>
      <c r="N93" s="130" t="str">
        <f>IFERROR(__xludf.DUMMYFUNCTION("IF(ISBLANK(M93), , 
SWITCH(
LEN(M93)- LEN(SUBSTITUTE(M93,"","","""")), 
0 , VLOOKUP(M93, vote4TRAITS!A:C , 3, FALSE),
1 , VLOOKUP(index(split(M93 ,"", "", FALSE),1,1), vote4TRAITS!A:C , 3, FALSE) + VLOOKUP(index(split(M93 ,"", "", FALSE),1,2), vote4TRAITS"&amp;"!A:C , 3, FALSE),
2 , VLOOKUP(index(split(M93 ,"", "", FALSE),1,1), vote4TRAITS!A:C , 3, FALSE) + VLOOKUP(index(split(M93 ,"", "", FALSE),1,2), vote4TRAITS!A:C , 3, FALSE) + VLOOKUP(index(split(M93 ,"", "", FALSE),1,3), vote4TRAITS!A:C , 3, FALSE)
)
)"),"")</f>
        <v/>
      </c>
      <c r="O93" s="490"/>
      <c r="P93" s="165" t="str">
        <f>IFERROR(__xludf.DUMMYFUNCTION("IF(ISBLANK(O93), , 
SWITCH(
LEN(O93)- LEN(SUBSTITUTE(O93,"","","""")), 
0 , VLOOKUP(O93, vote4ACTIONS!A:C , 3, FALSE),
1 , VLOOKUP(index(split(O93 ,"", "", FALSE),1,1), vote4ACTIONS!A:C , 3, FALSE) + VLOOKUP(index(split(O93 ,"", "", FALSE),1,2), vote4ACTI"&amp;"ONS!A:C , 3, FALSE),
2 , VLOOKUP(index(split(O93 ,"", "", FALSE),1,1), vote4ACTIONS!A:C , 3, FALSE) + VLOOKUP(index(split(O93 ,"", "", FALSE),1,2), vote4ACTIONS!A:C , 3, FALSE) + VLOOKUP(index(split(O93 ,"", "", FALSE),1,3), vote4ACTIONS!A:C , 3, FALSE),
"&amp;"3 , VLOOKUP(index(split(O93 ,"", "", FALSE),1,1), vote4ACTIONS!A:C , 3, FALSE) + VLOOKUP(index(split(O93 ,"", "", FALSE),1,2), vote4ACTIONS!A:C , 3, FALSE) + VLOOKUP(index(split(O93 ,"", "", FALSE),1,3), vote4ACTIONS!A:C , 3, FALSE) + VLOOKUP(index(split("&amp;"O93 ,"", "", FALSE),1,4), vote4ACTIONS!A:C , 3, FALSE)
)
)"),"")</f>
        <v/>
      </c>
      <c r="Q93" s="340" t="s">
        <v>1534</v>
      </c>
      <c r="R93" s="342">
        <f>IF(ISBLANK(Q93),,IFERROR(
IF(IFERROR(SEARCH("SS:",Q93),0) &gt; 0, 
VLOOKUP(SUBSTITUTE(Q93,"SS: ",""),vote4SURGE!$A:$C , 3, FALSE) - 2,
VLOOKUP(SUBSTITUTE(Q93,"S: ",""),vote4SURGE!$A:$C , 3, FALSE)
)
,
IF(IFERROR(SEARCH("SS:",Q93),0) &gt; 0, 
VLOOKUP(A93,vote4SURGE!$A:$C , 3, FALSE) - 2,
VLOOKUP(A93,vote4SURGE!$A:$C , 3, FALSE)
)
))</f>
        <v>4.25</v>
      </c>
      <c r="S93" s="489" t="s">
        <v>2610</v>
      </c>
      <c r="T93" s="342">
        <f>IF(ISBLANK(S93),,IFERROR(
IF(IFERROR(SEARCH("SS:",S93),0) &gt; 0, 
VLOOKUP(SUBSTITUTE(S93,"SS: ",""),vote4SURGE!$A:$C , 3, FALSE) - 2,
VLOOKUP(SUBSTITUTE(S93,"S: ",""),vote4SURGE!$A:$C , 3, FALSE)
)
,
IF(IFERROR(SEARCH("SS:",S93),0) &gt; 0, 
VLOOKUP(A93,vote4SURGE!$A:$C , 3, FALSE) - 2,
VLOOKUP(A93,vote4SURGE!$A:$C , 3, FALSE)
)
))</f>
        <v>4.75</v>
      </c>
      <c r="U93" s="341"/>
      <c r="V93" s="343" t="str">
        <f>IF(ISBLANK(U93),,IFERROR(
IF(IFERROR(SEARCH("SS:",U93),0) &gt; 0, 
VLOOKUP(SUBSTITUTE(U93,"SS: ",""),vote4SURGE!$A:$C , 3, FALSE) - 2,
VLOOKUP(SUBSTITUTE(U93,"S: ",""),vote4SURGE!$A:$C , 3, FALSE)
)
,
IF(IFERROR(SEARCH("SS:",U93),0) &gt; 0, 
VLOOKUP(A93,vote4SURGE!$A:$C , 3, FALSE) - 2,
VLOOKUP(A93,vote4SURGE!$A:$C , 3, FALSE)
)
))</f>
        <v/>
      </c>
      <c r="W93" s="343">
        <f t="shared" si="1"/>
        <v>2</v>
      </c>
      <c r="X93" s="344">
        <f>IFERROR(__xludf.DUMMYFUNCTION("SWITCH(
LEN(K93) - LEN(SUBSTITUTE(K93,"","","""")),
0 , VLOOKUP(K93, Variables!$A:$C, 3, FALSE),
1 , VLOOKUP(index(split(K93 ,"", "", FALSE),1,1), Variables!$A:$C, 3, FALSE) + VLOOKUP(index(split(K93 ,"", "", FALSE),1,2), Variables!$A:$C, 3, FALSE),
2 , V"&amp;"LOOKUP(index(split(K93 ,"", "", FALSE),1,1), Variables!$A:$C, 3, FALSE) + VLOOKUP(index(split(K93 ,"", "", FALSE),1,2), Variables!$A:$C, 3, FALSE) + VLOOKUP(index(split(K93 ,"", "", FALSE),1,3), Variables!$A:$C, 3, FALSE)
)"),0.8333333333333333)</f>
        <v>0.8333333333</v>
      </c>
      <c r="Y93" s="342">
        <f t="shared" si="2"/>
        <v>6.520833333</v>
      </c>
      <c r="Z93" s="114"/>
      <c r="AA93" s="114"/>
      <c r="AB93" s="114" t="s">
        <v>2572</v>
      </c>
      <c r="AC93" s="114"/>
      <c r="AD93" s="114" t="s">
        <v>2572</v>
      </c>
      <c r="AE93" s="114"/>
      <c r="AF93" s="114"/>
      <c r="AG93" s="114"/>
      <c r="AH93" s="114"/>
      <c r="AI93" s="114"/>
      <c r="AJ93" s="114" t="s">
        <v>2574</v>
      </c>
      <c r="AK93" s="473">
        <v>12.0</v>
      </c>
      <c r="AL93" s="114" t="s">
        <v>369</v>
      </c>
      <c r="AM93" s="473">
        <v>17.0</v>
      </c>
      <c r="AN93" s="114" t="s">
        <v>368</v>
      </c>
      <c r="AO93" s="473">
        <v>22.0</v>
      </c>
      <c r="AP93" s="130">
        <f>SUM(
VLOOKUP("Ravage",vote4TRAITS!A:C,3,FALSE)
)</f>
        <v>7.333333333</v>
      </c>
      <c r="AQ93" s="130">
        <f t="shared" si="3"/>
        <v>13.84083333</v>
      </c>
    </row>
    <row r="94" ht="14.25" customHeight="1">
      <c r="A94" s="137" t="s">
        <v>1463</v>
      </c>
      <c r="B94" s="114" t="s">
        <v>2576</v>
      </c>
      <c r="C94" s="114">
        <v>5.0</v>
      </c>
      <c r="D94" s="114">
        <v>1.0</v>
      </c>
      <c r="E94" s="114">
        <v>1.0</v>
      </c>
      <c r="F94" s="487">
        <v>4.0</v>
      </c>
      <c r="G94" s="488">
        <v>4.0</v>
      </c>
      <c r="H94" s="114" t="s">
        <v>1663</v>
      </c>
      <c r="I94" s="130">
        <f>IFERROR(__xludf.DUMMYFUNCTION("SWITCH(
LEN(H94) - LEN(SUBSTITUTE(H94,"","","""")),
0 , VLOOKUP(H94, Variables!$A:$B, 2, FALSE),
1 , VLOOKUP(index(split(H94 ,"", "", FALSE),1,1), Variables!$A:$B , 2, FALSE) + VLOOKUP(index(split(H94 ,"", "", FALSE),1,2), Variables!$A:$B , 2, FALSE),
2 ,"&amp;" VLOOKUP(index(split(H94 ,"", "", FALSE),1,1), Variables!$A:$B , 2, FALSE) + VLOOKUP(index(split(H94 ,"", "", FALSE),1,2), Variables!$A:$B , 2, FALSE) + VLOOKUP(index(split(H94 ,"", "", FALSE),1,3), Variables!$A:$B , 2, FALSE)
)"),1.3333333333333333)</f>
        <v>1.333333333</v>
      </c>
      <c r="J94" s="114" t="s">
        <v>1567</v>
      </c>
      <c r="K94" s="114" t="s">
        <v>1548</v>
      </c>
      <c r="L94" s="130">
        <f>IFERROR(__xludf.DUMMYFUNCTION("SWITCH(
LEN(K94) - LEN(SUBSTITUTE(K94,"","","""")),
0 , VLOOKUP(K94, Variables!$A:$B, 2, FALSE),
1 , VLOOKUP(index(split(K94 ,"", "", FALSE),1,1), Variables!$A:$B , 2, FALSE) + VLOOKUP(index(split(K94 ,"", "", FALSE),1,2), Variables!$A:$B , 2, FALSE),
2 ,"&amp;" VLOOKUP(index(split(K94 ,"", "", FALSE),1,1), Variables!$A:$B , 2, FALSE) + VLOOKUP(index(split(K94 ,"", "", FALSE),1,2), Variables!$A:$B , 2, FALSE) + VLOOKUP(index(split(K94 ,"", "", FALSE),1,3), Variables!$A:$B , 2, FALSE)
)
+
IF(J94=""Ranged"", 1 , 0"&amp;")"),3.3333333333333335)</f>
        <v>3.333333333</v>
      </c>
      <c r="M94" s="114"/>
      <c r="N94" s="130" t="str">
        <f>IFERROR(__xludf.DUMMYFUNCTION("IF(ISBLANK(M94), , 
SWITCH(
LEN(M94)- LEN(SUBSTITUTE(M94,"","","""")), 
0 , VLOOKUP(M94, vote4TRAITS!A:C , 3, FALSE),
1 , VLOOKUP(index(split(M94 ,"", "", FALSE),1,1), vote4TRAITS!A:C , 3, FALSE) + VLOOKUP(index(split(M94 ,"", "", FALSE),1,2), vote4TRAITS"&amp;"!A:C , 3, FALSE),
2 , VLOOKUP(index(split(M94 ,"", "", FALSE),1,1), vote4TRAITS!A:C , 3, FALSE) + VLOOKUP(index(split(M94 ,"", "", FALSE),1,2), vote4TRAITS!A:C , 3, FALSE) + VLOOKUP(index(split(M94 ,"", "", FALSE),1,3), vote4TRAITS!A:C , 3, FALSE)
)
)"),"")</f>
        <v/>
      </c>
      <c r="O94" s="490"/>
      <c r="P94" s="165" t="str">
        <f>IFERROR(__xludf.DUMMYFUNCTION("IF(ISBLANK(O94), , 
SWITCH(
LEN(O94)- LEN(SUBSTITUTE(O94,"","","""")), 
0 , VLOOKUP(O94, vote4ACTIONS!A:C , 3, FALSE),
1 , VLOOKUP(index(split(O94 ,"", "", FALSE),1,1), vote4ACTIONS!A:C , 3, FALSE) + VLOOKUP(index(split(O94 ,"", "", FALSE),1,2), vote4ACTI"&amp;"ONS!A:C , 3, FALSE),
2 , VLOOKUP(index(split(O94 ,"", "", FALSE),1,1), vote4ACTIONS!A:C , 3, FALSE) + VLOOKUP(index(split(O94 ,"", "", FALSE),1,2), vote4ACTIONS!A:C , 3, FALSE) + VLOOKUP(index(split(O94 ,"", "", FALSE),1,3), vote4ACTIONS!A:C , 3, FALSE),
"&amp;"3 , VLOOKUP(index(split(O94 ,"", "", FALSE),1,1), vote4ACTIONS!A:C , 3, FALSE) + VLOOKUP(index(split(O94 ,"", "", FALSE),1,2), vote4ACTIONS!A:C , 3, FALSE) + VLOOKUP(index(split(O94 ,"", "", FALSE),1,3), vote4ACTIONS!A:C , 3, FALSE) + VLOOKUP(index(split("&amp;"O94 ,"", "", FALSE),1,4), vote4ACTIONS!A:C , 3, FALSE)
)
)"),"")</f>
        <v/>
      </c>
      <c r="Q94" s="340" t="s">
        <v>1562</v>
      </c>
      <c r="R94" s="342">
        <f>IF(ISBLANK(Q94),,IFERROR(
IF(IFERROR(SEARCH("SS:",Q94),0) &gt; 0, 
VLOOKUP(SUBSTITUTE(Q94,"SS: ",""),vote4SURGE!$A:$C , 3, FALSE) - 2,
VLOOKUP(SUBSTITUTE(Q94,"S: ",""),vote4SURGE!$A:$C , 3, FALSE)
)
,
IF(IFERROR(SEARCH("SS:",Q94),0) &gt; 0, 
VLOOKUP(A94,vote4SURGE!$A:$C , 3, FALSE) - 2,
VLOOKUP(A94,vote4SURGE!$A:$C , 3, FALSE)
)
))</f>
        <v>3.5</v>
      </c>
      <c r="S94" s="489" t="s">
        <v>2610</v>
      </c>
      <c r="T94" s="342">
        <f>IF(ISBLANK(S94),,IFERROR(
IF(IFERROR(SEARCH("SS:",S94),0) &gt; 0, 
VLOOKUP(SUBSTITUTE(S94,"SS: ",""),vote4SURGE!$A:$C , 3, FALSE) - 2,
VLOOKUP(SUBSTITUTE(S94,"S: ",""),vote4SURGE!$A:$C , 3, FALSE)
)
,
IF(IFERROR(SEARCH("SS:",S94),0) &gt; 0, 
VLOOKUP(A94,vote4SURGE!$A:$C , 3, FALSE) - 2,
VLOOKUP(A94,vote4SURGE!$A:$C , 3, FALSE)
)
))</f>
        <v>4.75</v>
      </c>
      <c r="U94" s="164"/>
      <c r="V94" s="343" t="str">
        <f>IF(ISBLANK(U94),,IFERROR(
IF(IFERROR(SEARCH("SS:",U94),0) &gt; 0, 
VLOOKUP(SUBSTITUTE(U94,"SS: ",""),vote4SURGE!$A:$C , 3, FALSE) - 2,
VLOOKUP(SUBSTITUTE(U94,"S: ",""),vote4SURGE!$A:$C , 3, FALSE)
)
,
IF(IFERROR(SEARCH("SS:",U94),0) &gt; 0, 
VLOOKUP(A94,vote4SURGE!$A:$C , 3, FALSE) - 2,
VLOOKUP(A94,vote4SURGE!$A:$C , 3, FALSE)
)
))</f>
        <v/>
      </c>
      <c r="W94" s="343">
        <f t="shared" si="1"/>
        <v>2</v>
      </c>
      <c r="X94" s="344">
        <f>IFERROR(__xludf.DUMMYFUNCTION("SWITCH(
LEN(K94) - LEN(SUBSTITUTE(K94,"","","""")),
0 , VLOOKUP(K94, Variables!$A:$C, 3, FALSE),
1 , VLOOKUP(index(split(K94 ,"", "", FALSE),1,1), Variables!$A:$C, 3, FALSE) + VLOOKUP(index(split(K94 ,"", "", FALSE),1,2), Variables!$A:$C, 3, FALSE),
2 , V"&amp;"LOOKUP(index(split(K94 ,"", "", FALSE),1,1), Variables!$A:$C, 3, FALSE) + VLOOKUP(index(split(K94 ,"", "", FALSE),1,2), Variables!$A:$C, 3, FALSE) + VLOOKUP(index(split(K94 ,"", "", FALSE),1,3), Variables!$A:$C, 3, FALSE)
)"),0.8333333333333333)</f>
        <v>0.8333333333</v>
      </c>
      <c r="Y94" s="342">
        <f t="shared" si="2"/>
        <v>6.208333333</v>
      </c>
      <c r="Z94" s="114"/>
      <c r="AA94" s="114"/>
      <c r="AB94" s="114" t="s">
        <v>2572</v>
      </c>
      <c r="AC94" s="114"/>
      <c r="AD94" s="114" t="s">
        <v>2572</v>
      </c>
      <c r="AE94" s="114"/>
      <c r="AF94" s="114"/>
      <c r="AG94" s="114"/>
      <c r="AH94" s="114"/>
      <c r="AI94" s="114"/>
      <c r="AJ94" s="114" t="s">
        <v>2574</v>
      </c>
      <c r="AK94" s="473">
        <v>9.0</v>
      </c>
      <c r="AL94" s="114" t="s">
        <v>369</v>
      </c>
      <c r="AM94" s="473">
        <v>13.0</v>
      </c>
      <c r="AN94" s="114" t="s">
        <v>368</v>
      </c>
      <c r="AO94" s="473">
        <v>17.0</v>
      </c>
      <c r="AP94" s="130">
        <f>SUM(
VLOOKUP("Ravage",vote4TRAITS!A:C,3,FALSE)
)</f>
        <v>7.333333333</v>
      </c>
      <c r="AQ94" s="130">
        <f t="shared" si="3"/>
        <v>8.861666667</v>
      </c>
    </row>
    <row r="95" ht="14.25" customHeight="1">
      <c r="A95" s="137" t="s">
        <v>2611</v>
      </c>
      <c r="B95" s="114" t="s">
        <v>2570</v>
      </c>
      <c r="C95" s="114">
        <v>34.0</v>
      </c>
      <c r="D95" s="114">
        <v>2.0</v>
      </c>
      <c r="E95" s="114">
        <v>4.0</v>
      </c>
      <c r="F95" s="487">
        <v>3.0</v>
      </c>
      <c r="G95" s="488">
        <v>15.0</v>
      </c>
      <c r="H95" s="114" t="s">
        <v>1671</v>
      </c>
      <c r="I95" s="130">
        <f>IFERROR(__xludf.DUMMYFUNCTION("SWITCH(
LEN(H95) - LEN(SUBSTITUTE(H95,"","","""")),
0 , VLOOKUP(H95, Variables!$A:$B, 2, FALSE),
1 , VLOOKUP(index(split(H95 ,"", "", FALSE),1,1), Variables!$A:$B , 2, FALSE) + VLOOKUP(index(split(H95 ,"", "", FALSE),1,2), Variables!$A:$B , 2, FALSE),
2 ,"&amp;" VLOOKUP(index(split(H95 ,"", "", FALSE),1,1), Variables!$A:$B , 2, FALSE) + VLOOKUP(index(split(H95 ,"", "", FALSE),1,2), Variables!$A:$B , 2, FALSE) + VLOOKUP(index(split(H95 ,"", "", FALSE),1,3), Variables!$A:$B , 2, FALSE)
)"),2.1666666666666665)</f>
        <v>2.166666667</v>
      </c>
      <c r="J95" s="114" t="s">
        <v>1521</v>
      </c>
      <c r="K95" s="114" t="s">
        <v>1528</v>
      </c>
      <c r="L95" s="130">
        <f>IFERROR(__xludf.DUMMYFUNCTION("SWITCH(
LEN(K95) - LEN(SUBSTITUTE(K95,"","","""")),
0 , VLOOKUP(K95, Variables!$A:$B, 2, FALSE),
1 , VLOOKUP(index(split(K95 ,"", "", FALSE),1,1), Variables!$A:$B , 2, FALSE) + VLOOKUP(index(split(K95 ,"", "", FALSE),1,2), Variables!$A:$B , 2, FALSE),
2 ,"&amp;" VLOOKUP(index(split(K95 ,"", "", FALSE),1,1), Variables!$A:$B , 2, FALSE) + VLOOKUP(index(split(K95 ,"", "", FALSE),1,2), Variables!$A:$B , 2, FALSE) + VLOOKUP(index(split(K95 ,"", "", FALSE),1,3), Variables!$A:$B , 2, FALSE)
)
+
IF(J95=""Ranged"", 1 , 0"&amp;")"),5.5)</f>
        <v>5.5</v>
      </c>
      <c r="M95" s="114" t="s">
        <v>1099</v>
      </c>
      <c r="N95" s="130">
        <f>IFERROR(__xludf.DUMMYFUNCTION("IF(ISBLANK(M95), , 
SWITCH(
LEN(M95)- LEN(SUBSTITUTE(M95,"","","""")), 
0 , VLOOKUP(M95, vote4TRAITS!A:C , 3, FALSE),
1 , VLOOKUP(index(split(M95 ,"", "", FALSE),1,1), vote4TRAITS!A:C , 3, FALSE) + VLOOKUP(index(split(M95 ,"", "", FALSE),1,2), vote4TRAITS"&amp;"!A:C , 3, FALSE),
2 , VLOOKUP(index(split(M95 ,"", "", FALSE),1,1), vote4TRAITS!A:C , 3, FALSE) + VLOOKUP(index(split(M95 ,"", "", FALSE),1,2), vote4TRAITS!A:C , 3, FALSE) + VLOOKUP(index(split(M95 ,"", "", FALSE),1,3), vote4TRAITS!A:C , 3, FALSE)
)
)"),6.5)</f>
        <v>6.5</v>
      </c>
      <c r="O95" s="114" t="s">
        <v>1385</v>
      </c>
      <c r="P95" s="165">
        <f>IFERROR(__xludf.DUMMYFUNCTION("IF(ISBLANK(O95), , 
SWITCH(
LEN(O95)- LEN(SUBSTITUTE(O95,"","","""")), 
0 , VLOOKUP(O95, vote4ACTIONS!A:C , 3, FALSE),
1 , VLOOKUP(index(split(O95 ,"", "", FALSE),1,1), vote4ACTIONS!A:C , 3, FALSE) + VLOOKUP(index(split(O95 ,"", "", FALSE),1,2), vote4ACTI"&amp;"ONS!A:C , 3, FALSE),
2 , VLOOKUP(index(split(O95 ,"", "", FALSE),1,1), vote4ACTIONS!A:C , 3, FALSE) + VLOOKUP(index(split(O95 ,"", "", FALSE),1,2), vote4ACTIONS!A:C , 3, FALSE) + VLOOKUP(index(split(O95 ,"", "", FALSE),1,3), vote4ACTIONS!A:C , 3, FALSE),
"&amp;"3 , VLOOKUP(index(split(O95 ,"", "", FALSE),1,1), vote4ACTIONS!A:C , 3, FALSE) + VLOOKUP(index(split(O95 ,"", "", FALSE),1,2), vote4ACTIONS!A:C , 3, FALSE) + VLOOKUP(index(split(O95 ,"", "", FALSE),1,3), vote4ACTIONS!A:C , 3, FALSE) + VLOOKUP(index(split("&amp;"O95 ,"", "", FALSE),1,4), vote4ACTIONS!A:C , 3, FALSE)
)
)"),5.0)</f>
        <v>5</v>
      </c>
      <c r="Q95" s="340" t="s">
        <v>1560</v>
      </c>
      <c r="R95" s="342">
        <f>IF(ISBLANK(Q95),,IFERROR(
IF(IFERROR(SEARCH("SS:",Q95),0) &gt; 0, 
VLOOKUP(SUBSTITUTE(Q95,"SS: ",""),vote4SURGE!$A:$C , 3, FALSE) - 2,
VLOOKUP(SUBSTITUTE(Q95,"S: ",""),vote4SURGE!$A:$C , 3, FALSE)
)
,
IF(IFERROR(SEARCH("SS:",Q95),0) &gt; 0, 
VLOOKUP(A95,vote4SURGE!$A:$C , 3, FALSE) - 2,
VLOOKUP(A95,vote4SURGE!$A:$C , 3, FALSE)
)
))</f>
        <v>4.25</v>
      </c>
      <c r="S95" s="341"/>
      <c r="T95" s="342" t="str">
        <f>IF(ISBLANK(S95),,IFERROR(
IF(IFERROR(SEARCH("SS:",S95),0) &gt; 0, 
VLOOKUP(SUBSTITUTE(S95,"SS: ",""),vote4SURGE!$A:$C , 3, FALSE) - 2,
VLOOKUP(SUBSTITUTE(S95,"S: ",""),vote4SURGE!$A:$C , 3, FALSE)
)
,
IF(IFERROR(SEARCH("SS:",S95),0) &gt; 0, 
VLOOKUP(A95,vote4SURGE!$A:$C , 3, FALSE) - 2,
VLOOKUP(A95,vote4SURGE!$A:$C , 3, FALSE)
)
))</f>
        <v/>
      </c>
      <c r="U95" s="341"/>
      <c r="V95" s="343" t="str">
        <f>IF(ISBLANK(U95),,IFERROR(
IF(IFERROR(SEARCH("SS:",U95),0) &gt; 0, 
VLOOKUP(SUBSTITUTE(U95,"SS: ",""),vote4SURGE!$A:$C , 3, FALSE) - 2,
VLOOKUP(SUBSTITUTE(U95,"S: ",""),vote4SURGE!$A:$C , 3, FALSE)
)
,
IF(IFERROR(SEARCH("SS:",U95),0) &gt; 0, 
VLOOKUP(A95,vote4SURGE!$A:$C , 3, FALSE) - 2,
VLOOKUP(A95,vote4SURGE!$A:$C , 3, FALSE)
)
))</f>
        <v/>
      </c>
      <c r="W95" s="343">
        <f t="shared" si="1"/>
        <v>1</v>
      </c>
      <c r="X95" s="344">
        <f>IFERROR(__xludf.DUMMYFUNCTION("SWITCH(
LEN(K95) - LEN(SUBSTITUTE(K95,"","","""")),
0 , VLOOKUP(K95, Variables!$A:$C, 3, FALSE),
1 , VLOOKUP(index(split(K95 ,"", "", FALSE),1,1), Variables!$A:$C, 3, FALSE) + VLOOKUP(index(split(K95 ,"", "", FALSE),1,2), Variables!$A:$C, 3, FALSE),
2 , V"&amp;"LOOKUP(index(split(K95 ,"", "", FALSE),1,1), Variables!$A:$C, 3, FALSE) + VLOOKUP(index(split(K95 ,"", "", FALSE),1,2), Variables!$A:$C, 3, FALSE) + VLOOKUP(index(split(K95 ,"", "", FALSE),1,3), Variables!$A:$C, 3, FALSE)
)"),0.6666666666666666)</f>
        <v>0.6666666667</v>
      </c>
      <c r="Y95" s="342">
        <f t="shared" si="2"/>
        <v>2.833333333</v>
      </c>
      <c r="Z95" s="114"/>
      <c r="AA95" s="114"/>
      <c r="AB95" s="114"/>
      <c r="AC95" s="114"/>
      <c r="AD95" s="114"/>
      <c r="AE95" s="114"/>
      <c r="AF95" s="114"/>
      <c r="AG95" s="114" t="s">
        <v>2572</v>
      </c>
      <c r="AH95" s="114"/>
      <c r="AI95" s="114" t="s">
        <v>2572</v>
      </c>
      <c r="AJ95" s="114" t="s">
        <v>2573</v>
      </c>
      <c r="AK95" s="473">
        <v>12.0</v>
      </c>
      <c r="AL95" s="114" t="s">
        <v>2574</v>
      </c>
      <c r="AM95" s="473">
        <v>15.0</v>
      </c>
      <c r="AN95" s="114" t="s">
        <v>2574</v>
      </c>
      <c r="AO95" s="473">
        <v>27.0</v>
      </c>
      <c r="AP95" s="130">
        <f>SUM(
VLOOKUP("Ravage",vote4TRAITS!A:C,3,FALSE)
)</f>
        <v>7.333333333</v>
      </c>
      <c r="AQ95" s="130">
        <f t="shared" si="3"/>
        <v>46.32</v>
      </c>
    </row>
    <row r="96" ht="14.25" customHeight="1">
      <c r="A96" s="137" t="s">
        <v>2611</v>
      </c>
      <c r="B96" s="114" t="s">
        <v>2570</v>
      </c>
      <c r="C96" s="114">
        <v>34.0</v>
      </c>
      <c r="D96" s="114">
        <v>1.0</v>
      </c>
      <c r="E96" s="114">
        <v>4.0</v>
      </c>
      <c r="F96" s="487">
        <v>3.0</v>
      </c>
      <c r="G96" s="488">
        <v>12.0</v>
      </c>
      <c r="H96" s="114" t="s">
        <v>1671</v>
      </c>
      <c r="I96" s="130">
        <f>IFERROR(__xludf.DUMMYFUNCTION("SWITCH(
LEN(H96) - LEN(SUBSTITUTE(H96,"","","""")),
0 , VLOOKUP(H96, Variables!$A:$B, 2, FALSE),
1 , VLOOKUP(index(split(H96 ,"", "", FALSE),1,1), Variables!$A:$B , 2, FALSE) + VLOOKUP(index(split(H96 ,"", "", FALSE),1,2), Variables!$A:$B , 2, FALSE),
2 ,"&amp;" VLOOKUP(index(split(H96 ,"", "", FALSE),1,1), Variables!$A:$B , 2, FALSE) + VLOOKUP(index(split(H96 ,"", "", FALSE),1,2), Variables!$A:$B , 2, FALSE) + VLOOKUP(index(split(H96 ,"", "", FALSE),1,3), Variables!$A:$B , 2, FALSE)
)"),2.1666666666666665)</f>
        <v>2.166666667</v>
      </c>
      <c r="J96" s="114" t="s">
        <v>1521</v>
      </c>
      <c r="K96" s="114" t="s">
        <v>1525</v>
      </c>
      <c r="L96" s="130">
        <f>IFERROR(__xludf.DUMMYFUNCTION("SWITCH(
LEN(K96) - LEN(SUBSTITUTE(K96,"","","""")),
0 , VLOOKUP(K96, Variables!$A:$B, 2, FALSE),
1 , VLOOKUP(index(split(K96 ,"", "", FALSE),1,1), Variables!$A:$B , 2, FALSE) + VLOOKUP(index(split(K96 ,"", "", FALSE),1,2), Variables!$A:$B , 2, FALSE),
2 ,"&amp;" VLOOKUP(index(split(K96 ,"", "", FALSE),1,1), Variables!$A:$B , 2, FALSE) + VLOOKUP(index(split(K96 ,"", "", FALSE),1,2), Variables!$A:$B , 2, FALSE) + VLOOKUP(index(split(K96 ,"", "", FALSE),1,3), Variables!$A:$B , 2, FALSE)
)
+
IF(J96=""Ranged"", 1 , 0"&amp;")"),3.333333333333333)</f>
        <v>3.333333333</v>
      </c>
      <c r="M96" s="114" t="s">
        <v>1099</v>
      </c>
      <c r="N96" s="130">
        <f>IFERROR(__xludf.DUMMYFUNCTION("IF(ISBLANK(M96), , 
SWITCH(
LEN(M96)- LEN(SUBSTITUTE(M96,"","","""")), 
0 , VLOOKUP(M96, vote4TRAITS!A:C , 3, FALSE),
1 , VLOOKUP(index(split(M96 ,"", "", FALSE),1,1), vote4TRAITS!A:C , 3, FALSE) + VLOOKUP(index(split(M96 ,"", "", FALSE),1,2), vote4TRAITS"&amp;"!A:C , 3, FALSE),
2 , VLOOKUP(index(split(M96 ,"", "", FALSE),1,1), vote4TRAITS!A:C , 3, FALSE) + VLOOKUP(index(split(M96 ,"", "", FALSE),1,2), vote4TRAITS!A:C , 3, FALSE) + VLOOKUP(index(split(M96 ,"", "", FALSE),1,3), vote4TRAITS!A:C , 3, FALSE)
)
)"),6.5)</f>
        <v>6.5</v>
      </c>
      <c r="O96" s="114" t="s">
        <v>1385</v>
      </c>
      <c r="P96" s="165">
        <f>IFERROR(__xludf.DUMMYFUNCTION("IF(ISBLANK(O96), , 
SWITCH(
LEN(O96)- LEN(SUBSTITUTE(O96,"","","""")), 
0 , VLOOKUP(O96, vote4ACTIONS!A:C , 3, FALSE),
1 , VLOOKUP(index(split(O96 ,"", "", FALSE),1,1), vote4ACTIONS!A:C , 3, FALSE) + VLOOKUP(index(split(O96 ,"", "", FALSE),1,2), vote4ACTI"&amp;"ONS!A:C , 3, FALSE),
2 , VLOOKUP(index(split(O96 ,"", "", FALSE),1,1), vote4ACTIONS!A:C , 3, FALSE) + VLOOKUP(index(split(O96 ,"", "", FALSE),1,2), vote4ACTIONS!A:C , 3, FALSE) + VLOOKUP(index(split(O96 ,"", "", FALSE),1,3), vote4ACTIONS!A:C , 3, FALSE),
"&amp;"3 , VLOOKUP(index(split(O96 ,"", "", FALSE),1,1), vote4ACTIONS!A:C , 3, FALSE) + VLOOKUP(index(split(O96 ,"", "", FALSE),1,2), vote4ACTIONS!A:C , 3, FALSE) + VLOOKUP(index(split(O96 ,"", "", FALSE),1,3), vote4ACTIONS!A:C , 3, FALSE) + VLOOKUP(index(split("&amp;"O96 ,"", "", FALSE),1,4), vote4ACTIONS!A:C , 3, FALSE)
)
)"),5.0)</f>
        <v>5</v>
      </c>
      <c r="Q96" s="340" t="s">
        <v>1560</v>
      </c>
      <c r="R96" s="342">
        <f>IF(ISBLANK(Q96),,IFERROR(
IF(IFERROR(SEARCH("SS:",Q96),0) &gt; 0, 
VLOOKUP(SUBSTITUTE(Q96,"SS: ",""),vote4SURGE!$A:$C , 3, FALSE) - 2,
VLOOKUP(SUBSTITUTE(Q96,"S: ",""),vote4SURGE!$A:$C , 3, FALSE)
)
,
IF(IFERROR(SEARCH("SS:",Q96),0) &gt; 0, 
VLOOKUP(A96,vote4SURGE!$A:$C , 3, FALSE) - 2,
VLOOKUP(A96,vote4SURGE!$A:$C , 3, FALSE)
)
))</f>
        <v>4.25</v>
      </c>
      <c r="S96" s="489"/>
      <c r="T96" s="342" t="str">
        <f>IF(ISBLANK(S96),,IFERROR(
IF(IFERROR(SEARCH("SS:",S96),0) &gt; 0, 
VLOOKUP(SUBSTITUTE(S96,"SS: ",""),vote4SURGE!$A:$C , 3, FALSE) - 2,
VLOOKUP(SUBSTITUTE(S96,"S: ",""),vote4SURGE!$A:$C , 3, FALSE)
)
,
IF(IFERROR(SEARCH("SS:",S96),0) &gt; 0, 
VLOOKUP(A96,vote4SURGE!$A:$C , 3, FALSE) - 2,
VLOOKUP(A96,vote4SURGE!$A:$C , 3, FALSE)
)
))</f>
        <v/>
      </c>
      <c r="U96" s="489"/>
      <c r="V96" s="343" t="str">
        <f>IF(ISBLANK(U96),,IFERROR(
IF(IFERROR(SEARCH("SS:",U96),0) &gt; 0, 
VLOOKUP(SUBSTITUTE(U96,"SS: ",""),vote4SURGE!$A:$C , 3, FALSE) - 2,
VLOOKUP(SUBSTITUTE(U96,"S: ",""),vote4SURGE!$A:$C , 3, FALSE)
)
,
IF(IFERROR(SEARCH("SS:",U96),0) &gt; 0, 
VLOOKUP(A96,vote4SURGE!$A:$C , 3, FALSE) - 2,
VLOOKUP(A96,vote4SURGE!$A:$C , 3, FALSE)
)
))</f>
        <v/>
      </c>
      <c r="W96" s="343">
        <f t="shared" si="1"/>
        <v>1</v>
      </c>
      <c r="X96" s="344">
        <f>IFERROR(__xludf.DUMMYFUNCTION("SWITCH(
LEN(K96) - LEN(SUBSTITUTE(K96,"","","""")),
0 , VLOOKUP(K96, Variables!$A:$C, 3, FALSE),
1 , VLOOKUP(index(split(K96 ,"", "", FALSE),1,1), Variables!$A:$C, 3, FALSE) + VLOOKUP(index(split(K96 ,"", "", FALSE),1,2), Variables!$A:$C, 3, FALSE),
2 , V"&amp;"LOOKUP(index(split(K96 ,"", "", FALSE),1,1), Variables!$A:$C, 3, FALSE) + VLOOKUP(index(split(K96 ,"", "", FALSE),1,2), Variables!$A:$C, 3, FALSE) + VLOOKUP(index(split(K96 ,"", "", FALSE),1,3), Variables!$A:$C, 3, FALSE)
)"),0.5)</f>
        <v>0.5</v>
      </c>
      <c r="Y96" s="342">
        <f t="shared" si="2"/>
        <v>2.125</v>
      </c>
      <c r="Z96" s="114"/>
      <c r="AA96" s="114"/>
      <c r="AB96" s="114"/>
      <c r="AC96" s="114"/>
      <c r="AD96" s="114"/>
      <c r="AE96" s="114"/>
      <c r="AF96" s="114"/>
      <c r="AG96" s="114" t="s">
        <v>2572</v>
      </c>
      <c r="AH96" s="114"/>
      <c r="AI96" s="114" t="s">
        <v>2572</v>
      </c>
      <c r="AJ96" s="114" t="s">
        <v>2573</v>
      </c>
      <c r="AK96" s="473">
        <v>10.0</v>
      </c>
      <c r="AL96" s="114" t="s">
        <v>2574</v>
      </c>
      <c r="AM96" s="473">
        <v>12.0</v>
      </c>
      <c r="AN96" s="114" t="s">
        <v>2574</v>
      </c>
      <c r="AO96" s="473">
        <v>22.0</v>
      </c>
      <c r="AP96" s="130">
        <f>SUM(
VLOOKUP("Ravage",vote4TRAITS!A:C,3,FALSE)
)</f>
        <v>7.333333333</v>
      </c>
      <c r="AQ96" s="130">
        <f t="shared" si="3"/>
        <v>36.945</v>
      </c>
    </row>
    <row r="97" ht="14.25" customHeight="1">
      <c r="A97" s="137" t="s">
        <v>2611</v>
      </c>
      <c r="B97" s="114" t="s">
        <v>2576</v>
      </c>
      <c r="C97" s="114">
        <v>34.0</v>
      </c>
      <c r="D97" s="114">
        <v>2.0</v>
      </c>
      <c r="E97" s="114">
        <v>4.0</v>
      </c>
      <c r="F97" s="487">
        <v>3.0</v>
      </c>
      <c r="G97" s="488">
        <v>12.0</v>
      </c>
      <c r="H97" s="114" t="s">
        <v>1671</v>
      </c>
      <c r="I97" s="130">
        <f>IFERROR(__xludf.DUMMYFUNCTION("SWITCH(
LEN(H97) - LEN(SUBSTITUTE(H97,"","","""")),
0 , VLOOKUP(H97, Variables!$A:$B, 2, FALSE),
1 , VLOOKUP(index(split(H97 ,"", "", FALSE),1,1), Variables!$A:$B , 2, FALSE) + VLOOKUP(index(split(H97 ,"", "", FALSE),1,2), Variables!$A:$B , 2, FALSE),
2 ,"&amp;" VLOOKUP(index(split(H97 ,"", "", FALSE),1,1), Variables!$A:$B , 2, FALSE) + VLOOKUP(index(split(H97 ,"", "", FALSE),1,2), Variables!$A:$B , 2, FALSE) + VLOOKUP(index(split(H97 ,"", "", FALSE),1,3), Variables!$A:$B , 2, FALSE)
)"),2.1666666666666665)</f>
        <v>2.166666667</v>
      </c>
      <c r="J97" s="114" t="s">
        <v>1521</v>
      </c>
      <c r="K97" s="114" t="s">
        <v>1537</v>
      </c>
      <c r="L97" s="130">
        <f>IFERROR(__xludf.DUMMYFUNCTION("SWITCH(
LEN(K97) - LEN(SUBSTITUTE(K97,"","","""")),
0 , VLOOKUP(K97, Variables!$A:$B, 2, FALSE),
1 , VLOOKUP(index(split(K97 ,"", "", FALSE),1,1), Variables!$A:$B , 2, FALSE) + VLOOKUP(index(split(K97 ,"", "", FALSE),1,2), Variables!$A:$B , 2, FALSE),
2 ,"&amp;" VLOOKUP(index(split(K97 ,"", "", FALSE),1,1), Variables!$A:$B , 2, FALSE) + VLOOKUP(index(split(K97 ,"", "", FALSE),1,2), Variables!$A:$B , 2, FALSE) + VLOOKUP(index(split(K97 ,"", "", FALSE),1,3), Variables!$A:$B , 2, FALSE)
)
+
IF(J97=""Ranged"", 1 , 0"&amp;")"),4.5)</f>
        <v>4.5</v>
      </c>
      <c r="M97" s="114" t="s">
        <v>1099</v>
      </c>
      <c r="N97" s="130">
        <f>IFERROR(__xludf.DUMMYFUNCTION("IF(ISBLANK(M97), , 
SWITCH(
LEN(M97)- LEN(SUBSTITUTE(M97,"","","""")), 
0 , VLOOKUP(M97, vote4TRAITS!A:C , 3, FALSE),
1 , VLOOKUP(index(split(M97 ,"", "", FALSE),1,1), vote4TRAITS!A:C , 3, FALSE) + VLOOKUP(index(split(M97 ,"", "", FALSE),1,2), vote4TRAITS"&amp;"!A:C , 3, FALSE),
2 , VLOOKUP(index(split(M97 ,"", "", FALSE),1,1), vote4TRAITS!A:C , 3, FALSE) + VLOOKUP(index(split(M97 ,"", "", FALSE),1,2), vote4TRAITS!A:C , 3, FALSE) + VLOOKUP(index(split(M97 ,"", "", FALSE),1,3), vote4TRAITS!A:C , 3, FALSE)
)
)"),6.5)</f>
        <v>6.5</v>
      </c>
      <c r="O97" s="490"/>
      <c r="P97" s="165" t="str">
        <f>IFERROR(__xludf.DUMMYFUNCTION("IF(ISBLANK(O97), , 
SWITCH(
LEN(O97)- LEN(SUBSTITUTE(O97,"","","""")), 
0 , VLOOKUP(O97, vote4ACTIONS!A:C , 3, FALSE),
1 , VLOOKUP(index(split(O97 ,"", "", FALSE),1,1), vote4ACTIONS!A:C , 3, FALSE) + VLOOKUP(index(split(O97 ,"", "", FALSE),1,2), vote4ACTI"&amp;"ONS!A:C , 3, FALSE),
2 , VLOOKUP(index(split(O97 ,"", "", FALSE),1,1), vote4ACTIONS!A:C , 3, FALSE) + VLOOKUP(index(split(O97 ,"", "", FALSE),1,2), vote4ACTIONS!A:C , 3, FALSE) + VLOOKUP(index(split(O97 ,"", "", FALSE),1,3), vote4ACTIONS!A:C , 3, FALSE),
"&amp;"3 , VLOOKUP(index(split(O97 ,"", "", FALSE),1,1), vote4ACTIONS!A:C , 3, FALSE) + VLOOKUP(index(split(O97 ,"", "", FALSE),1,2), vote4ACTIONS!A:C , 3, FALSE) + VLOOKUP(index(split(O97 ,"", "", FALSE),1,3), vote4ACTIONS!A:C , 3, FALSE) + VLOOKUP(index(split("&amp;"O97 ,"", "", FALSE),1,4), vote4ACTIONS!A:C , 3, FALSE)
)
)"),"")</f>
        <v/>
      </c>
      <c r="Q97" s="340" t="s">
        <v>1560</v>
      </c>
      <c r="R97" s="342">
        <f>IF(ISBLANK(Q97),,IFERROR(
IF(IFERROR(SEARCH("SS:",Q97),0) &gt; 0, 
VLOOKUP(SUBSTITUTE(Q97,"SS: ",""),vote4SURGE!$A:$C , 3, FALSE) - 2,
VLOOKUP(SUBSTITUTE(Q97,"S: ",""),vote4SURGE!$A:$C , 3, FALSE)
)
,
IF(IFERROR(SEARCH("SS:",Q97),0) &gt; 0, 
VLOOKUP(A97,vote4SURGE!$A:$C , 3, FALSE) - 2,
VLOOKUP(A97,vote4SURGE!$A:$C , 3, FALSE)
)
))</f>
        <v>4.25</v>
      </c>
      <c r="S97" s="489"/>
      <c r="T97" s="342" t="str">
        <f>IF(ISBLANK(S97),,IFERROR(
IF(IFERROR(SEARCH("SS:",S97),0) &gt; 0, 
VLOOKUP(SUBSTITUTE(S97,"SS: ",""),vote4SURGE!$A:$C , 3, FALSE) - 2,
VLOOKUP(SUBSTITUTE(S97,"S: ",""),vote4SURGE!$A:$C , 3, FALSE)
)
,
IF(IFERROR(SEARCH("SS:",S97),0) &gt; 0, 
VLOOKUP(A97,vote4SURGE!$A:$C , 3, FALSE) - 2,
VLOOKUP(A97,vote4SURGE!$A:$C , 3, FALSE)
)
))</f>
        <v/>
      </c>
      <c r="U97" s="489"/>
      <c r="V97" s="343" t="str">
        <f>IF(ISBLANK(U97),,IFERROR(
IF(IFERROR(SEARCH("SS:",U97),0) &gt; 0, 
VLOOKUP(SUBSTITUTE(U97,"SS: ",""),vote4SURGE!$A:$C , 3, FALSE) - 2,
VLOOKUP(SUBSTITUTE(U97,"S: ",""),vote4SURGE!$A:$C , 3, FALSE)
)
,
IF(IFERROR(SEARCH("SS:",U97),0) &gt; 0, 
VLOOKUP(A97,vote4SURGE!$A:$C , 3, FALSE) - 2,
VLOOKUP(A97,vote4SURGE!$A:$C , 3, FALSE)
)
))</f>
        <v/>
      </c>
      <c r="W97" s="343">
        <f t="shared" si="1"/>
        <v>1</v>
      </c>
      <c r="X97" s="344">
        <f>IFERROR(__xludf.DUMMYFUNCTION("SWITCH(
LEN(K97) - LEN(SUBSTITUTE(K97,"","","""")),
0 , VLOOKUP(K97, Variables!$A:$C, 3, FALSE),
1 , VLOOKUP(index(split(K97 ,"", "", FALSE),1,1), Variables!$A:$C, 3, FALSE) + VLOOKUP(index(split(K97 ,"", "", FALSE),1,2), Variables!$A:$C, 3, FALSE),
2 , V"&amp;"LOOKUP(index(split(K97 ,"", "", FALSE),1,1), Variables!$A:$C, 3, FALSE) + VLOOKUP(index(split(K97 ,"", "", FALSE),1,2), Variables!$A:$C, 3, FALSE) + VLOOKUP(index(split(K97 ,"", "", FALSE),1,3), Variables!$A:$C, 3, FALSE)
)"),1.0)</f>
        <v>1</v>
      </c>
      <c r="Y97" s="342">
        <f t="shared" si="2"/>
        <v>4.25</v>
      </c>
      <c r="Z97" s="114"/>
      <c r="AA97" s="114"/>
      <c r="AB97" s="114"/>
      <c r="AC97" s="114"/>
      <c r="AD97" s="114"/>
      <c r="AE97" s="114"/>
      <c r="AF97" s="114"/>
      <c r="AG97" s="114" t="s">
        <v>2572</v>
      </c>
      <c r="AH97" s="114"/>
      <c r="AI97" s="114" t="s">
        <v>2572</v>
      </c>
      <c r="AJ97" s="114" t="s">
        <v>2574</v>
      </c>
      <c r="AK97" s="473">
        <v>12.0</v>
      </c>
      <c r="AL97" s="114" t="s">
        <v>2573</v>
      </c>
      <c r="AM97" s="473">
        <v>15.0</v>
      </c>
      <c r="AN97" s="114" t="s">
        <v>2574</v>
      </c>
      <c r="AO97" s="473">
        <v>27.0</v>
      </c>
      <c r="AP97" s="130">
        <f>SUM(
VLOOKUP("Ravage",vote4TRAITS!A:C,3,FALSE)
)</f>
        <v>7.333333333</v>
      </c>
      <c r="AQ97" s="130">
        <f t="shared" si="3"/>
        <v>35.23666667</v>
      </c>
    </row>
    <row r="98" ht="14.25" customHeight="1">
      <c r="A98" s="137" t="s">
        <v>2611</v>
      </c>
      <c r="B98" s="114" t="s">
        <v>2576</v>
      </c>
      <c r="C98" s="114">
        <v>34.0</v>
      </c>
      <c r="D98" s="114">
        <v>1.0</v>
      </c>
      <c r="E98" s="114">
        <v>4.0</v>
      </c>
      <c r="F98" s="487">
        <v>3.0</v>
      </c>
      <c r="G98" s="488">
        <v>10.0</v>
      </c>
      <c r="H98" s="114" t="s">
        <v>1671</v>
      </c>
      <c r="I98" s="130">
        <f>IFERROR(__xludf.DUMMYFUNCTION("SWITCH(
LEN(H98) - LEN(SUBSTITUTE(H98,"","","""")),
0 , VLOOKUP(H98, Variables!$A:$B, 2, FALSE),
1 , VLOOKUP(index(split(H98 ,"", "", FALSE),1,1), Variables!$A:$B , 2, FALSE) + VLOOKUP(index(split(H98 ,"", "", FALSE),1,2), Variables!$A:$B , 2, FALSE),
2 ,"&amp;" VLOOKUP(index(split(H98 ,"", "", FALSE),1,1), Variables!$A:$B , 2, FALSE) + VLOOKUP(index(split(H98 ,"", "", FALSE),1,2), Variables!$A:$B , 2, FALSE) + VLOOKUP(index(split(H98 ,"", "", FALSE),1,3), Variables!$A:$B , 2, FALSE)
)"),2.1666666666666665)</f>
        <v>2.166666667</v>
      </c>
      <c r="J98" s="114" t="s">
        <v>1521</v>
      </c>
      <c r="K98" s="114" t="s">
        <v>1525</v>
      </c>
      <c r="L98" s="130">
        <f>IFERROR(__xludf.DUMMYFUNCTION("SWITCH(
LEN(K98) - LEN(SUBSTITUTE(K98,"","","""")),
0 , VLOOKUP(K98, Variables!$A:$B, 2, FALSE),
1 , VLOOKUP(index(split(K98 ,"", "", FALSE),1,1), Variables!$A:$B , 2, FALSE) + VLOOKUP(index(split(K98 ,"", "", FALSE),1,2), Variables!$A:$B , 2, FALSE),
2 ,"&amp;" VLOOKUP(index(split(K98 ,"", "", FALSE),1,1), Variables!$A:$B , 2, FALSE) + VLOOKUP(index(split(K98 ,"", "", FALSE),1,2), Variables!$A:$B , 2, FALSE) + VLOOKUP(index(split(K98 ,"", "", FALSE),1,3), Variables!$A:$B , 2, FALSE)
)
+
IF(J98=""Ranged"", 1 , 0"&amp;")"),3.333333333333333)</f>
        <v>3.333333333</v>
      </c>
      <c r="M98" s="114" t="s">
        <v>1099</v>
      </c>
      <c r="N98" s="130">
        <f>IFERROR(__xludf.DUMMYFUNCTION("IF(ISBLANK(M98), , 
SWITCH(
LEN(M98)- LEN(SUBSTITUTE(M98,"","","""")), 
0 , VLOOKUP(M98, vote4TRAITS!A:C , 3, FALSE),
1 , VLOOKUP(index(split(M98 ,"", "", FALSE),1,1), vote4TRAITS!A:C , 3, FALSE) + VLOOKUP(index(split(M98 ,"", "", FALSE),1,2), vote4TRAITS"&amp;"!A:C , 3, FALSE),
2 , VLOOKUP(index(split(M98 ,"", "", FALSE),1,1), vote4TRAITS!A:C , 3, FALSE) + VLOOKUP(index(split(M98 ,"", "", FALSE),1,2), vote4TRAITS!A:C , 3, FALSE) + VLOOKUP(index(split(M98 ,"", "", FALSE),1,3), vote4TRAITS!A:C , 3, FALSE)
)
)"),6.5)</f>
        <v>6.5</v>
      </c>
      <c r="O98" s="490"/>
      <c r="P98" s="165" t="str">
        <f>IFERROR(__xludf.DUMMYFUNCTION("IF(ISBLANK(O98), , 
SWITCH(
LEN(O98)- LEN(SUBSTITUTE(O98,"","","""")), 
0 , VLOOKUP(O98, vote4ACTIONS!A:C , 3, FALSE),
1 , VLOOKUP(index(split(O98 ,"", "", FALSE),1,1), vote4ACTIONS!A:C , 3, FALSE) + VLOOKUP(index(split(O98 ,"", "", FALSE),1,2), vote4ACTI"&amp;"ONS!A:C , 3, FALSE),
2 , VLOOKUP(index(split(O98 ,"", "", FALSE),1,1), vote4ACTIONS!A:C , 3, FALSE) + VLOOKUP(index(split(O98 ,"", "", FALSE),1,2), vote4ACTIONS!A:C , 3, FALSE) + VLOOKUP(index(split(O98 ,"", "", FALSE),1,3), vote4ACTIONS!A:C , 3, FALSE),
"&amp;"3 , VLOOKUP(index(split(O98 ,"", "", FALSE),1,1), vote4ACTIONS!A:C , 3, FALSE) + VLOOKUP(index(split(O98 ,"", "", FALSE),1,2), vote4ACTIONS!A:C , 3, FALSE) + VLOOKUP(index(split(O98 ,"", "", FALSE),1,3), vote4ACTIONS!A:C , 3, FALSE) + VLOOKUP(index(split("&amp;"O98 ,"", "", FALSE),1,4), vote4ACTIONS!A:C , 3, FALSE)
)
)"),"")</f>
        <v/>
      </c>
      <c r="Q98" s="340" t="s">
        <v>1560</v>
      </c>
      <c r="R98" s="342">
        <f>IF(ISBLANK(Q98),,IFERROR(
IF(IFERROR(SEARCH("SS:",Q98),0) &gt; 0, 
VLOOKUP(SUBSTITUTE(Q98,"SS: ",""),vote4SURGE!$A:$C , 3, FALSE) - 2,
VLOOKUP(SUBSTITUTE(Q98,"S: ",""),vote4SURGE!$A:$C , 3, FALSE)
)
,
IF(IFERROR(SEARCH("SS:",Q98),0) &gt; 0, 
VLOOKUP(A98,vote4SURGE!$A:$C , 3, FALSE) - 2,
VLOOKUP(A98,vote4SURGE!$A:$C , 3, FALSE)
)
))</f>
        <v>4.25</v>
      </c>
      <c r="S98" s="341"/>
      <c r="T98" s="342" t="str">
        <f>IF(ISBLANK(S98),,IFERROR(
IF(IFERROR(SEARCH("SS:",S98),0) &gt; 0, 
VLOOKUP(SUBSTITUTE(S98,"SS: ",""),vote4SURGE!$A:$C , 3, FALSE) - 2,
VLOOKUP(SUBSTITUTE(S98,"S: ",""),vote4SURGE!$A:$C , 3, FALSE)
)
,
IF(IFERROR(SEARCH("SS:",S98),0) &gt; 0, 
VLOOKUP(A98,vote4SURGE!$A:$C , 3, FALSE) - 2,
VLOOKUP(A98,vote4SURGE!$A:$C , 3, FALSE)
)
))</f>
        <v/>
      </c>
      <c r="U98" s="341"/>
      <c r="V98" s="343" t="str">
        <f>IF(ISBLANK(U98),,IFERROR(
IF(IFERROR(SEARCH("SS:",U98),0) &gt; 0, 
VLOOKUP(SUBSTITUTE(U98,"SS: ",""),vote4SURGE!$A:$C , 3, FALSE) - 2,
VLOOKUP(SUBSTITUTE(U98,"S: ",""),vote4SURGE!$A:$C , 3, FALSE)
)
,
IF(IFERROR(SEARCH("SS:",U98),0) &gt; 0, 
VLOOKUP(A98,vote4SURGE!$A:$C , 3, FALSE) - 2,
VLOOKUP(A98,vote4SURGE!$A:$C , 3, FALSE)
)
))</f>
        <v/>
      </c>
      <c r="W98" s="343">
        <f t="shared" si="1"/>
        <v>1</v>
      </c>
      <c r="X98" s="344">
        <f>IFERROR(__xludf.DUMMYFUNCTION("SWITCH(
LEN(K98) - LEN(SUBSTITUTE(K98,"","","""")),
0 , VLOOKUP(K98, Variables!$A:$C, 3, FALSE),
1 , VLOOKUP(index(split(K98 ,"", "", FALSE),1,1), Variables!$A:$C, 3, FALSE) + VLOOKUP(index(split(K98 ,"", "", FALSE),1,2), Variables!$A:$C, 3, FALSE),
2 , V"&amp;"LOOKUP(index(split(K98 ,"", "", FALSE),1,1), Variables!$A:$C, 3, FALSE) + VLOOKUP(index(split(K98 ,"", "", FALSE),1,2), Variables!$A:$C, 3, FALSE) + VLOOKUP(index(split(K98 ,"", "", FALSE),1,3), Variables!$A:$C, 3, FALSE)
)"),0.5)</f>
        <v>0.5</v>
      </c>
      <c r="Y98" s="342">
        <f t="shared" si="2"/>
        <v>2.125</v>
      </c>
      <c r="Z98" s="114"/>
      <c r="AA98" s="114"/>
      <c r="AB98" s="114"/>
      <c r="AC98" s="114"/>
      <c r="AD98" s="114"/>
      <c r="AE98" s="114"/>
      <c r="AF98" s="114"/>
      <c r="AG98" s="114" t="s">
        <v>2572</v>
      </c>
      <c r="AH98" s="114"/>
      <c r="AI98" s="114" t="s">
        <v>2572</v>
      </c>
      <c r="AJ98" s="114" t="s">
        <v>2574</v>
      </c>
      <c r="AK98" s="473">
        <v>10.0</v>
      </c>
      <c r="AL98" s="114" t="s">
        <v>2573</v>
      </c>
      <c r="AM98" s="473">
        <v>12.0</v>
      </c>
      <c r="AN98" s="114" t="s">
        <v>2574</v>
      </c>
      <c r="AO98" s="473">
        <v>22.0</v>
      </c>
      <c r="AP98" s="130">
        <f>SUM(
VLOOKUP("Ravage",vote4TRAITS!A:C,3,FALSE)
)</f>
        <v>7.333333333</v>
      </c>
      <c r="AQ98" s="130">
        <f t="shared" si="3"/>
        <v>27.61166667</v>
      </c>
    </row>
    <row r="99" ht="14.25" customHeight="1">
      <c r="A99" s="137" t="s">
        <v>1462</v>
      </c>
      <c r="B99" s="114" t="s">
        <v>2570</v>
      </c>
      <c r="C99" s="114">
        <v>6.0</v>
      </c>
      <c r="D99" s="114">
        <v>2.0</v>
      </c>
      <c r="E99" s="114">
        <v>1.0</v>
      </c>
      <c r="F99" s="487">
        <v>5.0</v>
      </c>
      <c r="G99" s="488">
        <v>6.0</v>
      </c>
      <c r="H99" s="114" t="s">
        <v>1663</v>
      </c>
      <c r="I99" s="130">
        <f>IFERROR(__xludf.DUMMYFUNCTION("SWITCH(
LEN(H99) - LEN(SUBSTITUTE(H99,"","","""")),
0 , VLOOKUP(H99, Variables!$A:$B, 2, FALSE),
1 , VLOOKUP(index(split(H99 ,"", "", FALSE),1,1), Variables!$A:$B , 2, FALSE) + VLOOKUP(index(split(H99 ,"", "", FALSE),1,2), Variables!$A:$B , 2, FALSE),
2 ,"&amp;" VLOOKUP(index(split(H99 ,"", "", FALSE),1,1), Variables!$A:$B , 2, FALSE) + VLOOKUP(index(split(H99 ,"", "", FALSE),1,2), Variables!$A:$B , 2, FALSE) + VLOOKUP(index(split(H99 ,"", "", FALSE),1,3), Variables!$A:$B , 2, FALSE)
)"),1.3333333333333333)</f>
        <v>1.333333333</v>
      </c>
      <c r="J99" s="114" t="s">
        <v>1567</v>
      </c>
      <c r="K99" s="114" t="s">
        <v>1546</v>
      </c>
      <c r="L99" s="130">
        <f>IFERROR(__xludf.DUMMYFUNCTION("SWITCH(
LEN(K99) - LEN(SUBSTITUTE(K99,"","","""")),
0 , VLOOKUP(K99, Variables!$A:$B, 2, FALSE),
1 , VLOOKUP(index(split(K99 ,"", "", FALSE),1,1), Variables!$A:$B , 2, FALSE) + VLOOKUP(index(split(K99 ,"", "", FALSE),1,2), Variables!$A:$B , 2, FALSE),
2 ,"&amp;" VLOOKUP(index(split(K99 ,"", "", FALSE),1,1), Variables!$A:$B , 2, FALSE) + VLOOKUP(index(split(K99 ,"", "", FALSE),1,2), Variables!$A:$B , 2, FALSE) + VLOOKUP(index(split(K99 ,"", "", FALSE),1,3), Variables!$A:$B , 2, FALSE)
)
+
IF(J99=""Ranged"", 1 , 0"&amp;")"),4.5)</f>
        <v>4.5</v>
      </c>
      <c r="M99" s="114" t="s">
        <v>1116</v>
      </c>
      <c r="N99" s="130">
        <f>IFERROR(__xludf.DUMMYFUNCTION("IF(ISBLANK(M99), , 
SWITCH(
LEN(M99)- LEN(SUBSTITUTE(M99,"","","""")), 
0 , VLOOKUP(M99, vote4TRAITS!A:C , 3, FALSE),
1 , VLOOKUP(index(split(M99 ,"", "", FALSE),1,1), vote4TRAITS!A:C , 3, FALSE) + VLOOKUP(index(split(M99 ,"", "", FALSE),1,2), vote4TRAITS"&amp;"!A:C , 3, FALSE),
2 , VLOOKUP(index(split(M99 ,"", "", FALSE),1,1), vote4TRAITS!A:C , 3, FALSE) + VLOOKUP(index(split(M99 ,"", "", FALSE),1,2), vote4TRAITS!A:C , 3, FALSE) + VLOOKUP(index(split(M99 ,"", "", FALSE),1,3), vote4TRAITS!A:C , 3, FALSE)
)
)"),4.333333333333333)</f>
        <v>4.333333333</v>
      </c>
      <c r="O99" s="490"/>
      <c r="P99" s="165" t="str">
        <f>IFERROR(__xludf.DUMMYFUNCTION("IF(ISBLANK(O99), , 
SWITCH(
LEN(O99)- LEN(SUBSTITUTE(O99,"","","""")), 
0 , VLOOKUP(O99, vote4ACTIONS!A:C , 3, FALSE),
1 , VLOOKUP(index(split(O99 ,"", "", FALSE),1,1), vote4ACTIONS!A:C , 3, FALSE) + VLOOKUP(index(split(O99 ,"", "", FALSE),1,2), vote4ACTI"&amp;"ONS!A:C , 3, FALSE),
2 , VLOOKUP(index(split(O99 ,"", "", FALSE),1,1), vote4ACTIONS!A:C , 3, FALSE) + VLOOKUP(index(split(O99 ,"", "", FALSE),1,2), vote4ACTIONS!A:C , 3, FALSE) + VLOOKUP(index(split(O99 ,"", "", FALSE),1,3), vote4ACTIONS!A:C , 3, FALSE),
"&amp;"3 , VLOOKUP(index(split(O99 ,"", "", FALSE),1,1), vote4ACTIONS!A:C , 3, FALSE) + VLOOKUP(index(split(O99 ,"", "", FALSE),1,2), vote4ACTIONS!A:C , 3, FALSE) + VLOOKUP(index(split(O99 ,"", "", FALSE),1,3), vote4ACTIONS!A:C , 3, FALSE) + VLOOKUP(index(split("&amp;"O99 ,"", "", FALSE),1,4), vote4ACTIONS!A:C , 3, FALSE)
)
)"),"")</f>
        <v/>
      </c>
      <c r="Q99" s="340" t="s">
        <v>1534</v>
      </c>
      <c r="R99" s="342">
        <f>IF(ISBLANK(Q99),,IFERROR(
IF(IFERROR(SEARCH("SS:",Q99),0) &gt; 0, 
VLOOKUP(SUBSTITUTE(Q99,"SS: ",""),vote4SURGE!$A:$C , 3, FALSE) - 2,
VLOOKUP(SUBSTITUTE(Q99,"S: ",""),vote4SURGE!$A:$C , 3, FALSE)
)
,
IF(IFERROR(SEARCH("SS:",Q99),0) &gt; 0, 
VLOOKUP(A99,vote4SURGE!$A:$C , 3, FALSE) - 2,
VLOOKUP(A99,vote4SURGE!$A:$C , 3, FALSE)
)
))</f>
        <v>4.25</v>
      </c>
      <c r="S99" s="169" t="s">
        <v>1633</v>
      </c>
      <c r="T99" s="342">
        <f>IF(ISBLANK(S99),,IFERROR(
IF(IFERROR(SEARCH("SS:",S99),0) &gt; 0, 
VLOOKUP(SUBSTITUTE(S99,"SS: ",""),vote4SURGE!$A:$C , 3, FALSE) - 2,
VLOOKUP(SUBSTITUTE(S99,"S: ",""),vote4SURGE!$A:$C , 3, FALSE)
)
,
IF(IFERROR(SEARCH("SS:",S99),0) &gt; 0, 
VLOOKUP(A99,vote4SURGE!$A:$C , 3, FALSE) - 2,
VLOOKUP(A99,vote4SURGE!$A:$C , 3, FALSE)
)
))</f>
        <v>4</v>
      </c>
      <c r="U99" s="341"/>
      <c r="V99" s="343" t="str">
        <f>IF(ISBLANK(U99),,IFERROR(
IF(IFERROR(SEARCH("SS:",U99),0) &gt; 0, 
VLOOKUP(SUBSTITUTE(U99,"SS: ",""),vote4SURGE!$A:$C , 3, FALSE) - 2,
VLOOKUP(SUBSTITUTE(U99,"S: ",""),vote4SURGE!$A:$C , 3, FALSE)
)
,
IF(IFERROR(SEARCH("SS:",U99),0) &gt; 0, 
VLOOKUP(A99,vote4SURGE!$A:$C , 3, FALSE) - 2,
VLOOKUP(A99,vote4SURGE!$A:$C , 3, FALSE)
)
))</f>
        <v/>
      </c>
      <c r="W99" s="343">
        <f t="shared" si="1"/>
        <v>2</v>
      </c>
      <c r="X99" s="344">
        <f>IFERROR(__xludf.DUMMYFUNCTION("SWITCH(
LEN(K99) - LEN(SUBSTITUTE(K99,"","","""")),
0 , VLOOKUP(K99, Variables!$A:$C, 3, FALSE),
1 , VLOOKUP(index(split(K99 ,"", "", FALSE),1,1), Variables!$A:$C, 3, FALSE) + VLOOKUP(index(split(K99 ,"", "", FALSE),1,2), Variables!$A:$C, 3, FALSE),
2 , V"&amp;"LOOKUP(index(split(K99 ,"", "", FALSE),1,1), Variables!$A:$C, 3, FALSE) + VLOOKUP(index(split(K99 ,"", "", FALSE),1,2), Variables!$A:$C, 3, FALSE) + VLOOKUP(index(split(K99 ,"", "", FALSE),1,3), Variables!$A:$C, 3, FALSE)
)"),1.3333333333333333)</f>
        <v>1.333333333</v>
      </c>
      <c r="Y99" s="342">
        <f t="shared" si="2"/>
        <v>6.916666667</v>
      </c>
      <c r="Z99" s="114" t="s">
        <v>2572</v>
      </c>
      <c r="AA99" s="114" t="s">
        <v>2572</v>
      </c>
      <c r="AB99" s="114"/>
      <c r="AC99" s="114"/>
      <c r="AD99" s="114"/>
      <c r="AE99" s="114"/>
      <c r="AF99" s="114"/>
      <c r="AG99" s="114"/>
      <c r="AH99" s="114"/>
      <c r="AI99" s="114"/>
      <c r="AJ99" s="114" t="s">
        <v>2574</v>
      </c>
      <c r="AK99" s="473">
        <v>14.0</v>
      </c>
      <c r="AL99" s="114" t="s">
        <v>2574</v>
      </c>
      <c r="AM99" s="473">
        <v>18.0</v>
      </c>
      <c r="AN99" s="114" t="s">
        <v>2574</v>
      </c>
      <c r="AO99" s="473">
        <v>22.0</v>
      </c>
      <c r="AP99" s="130">
        <f>SUM(
VLOOKUP("Ravage",vote4TRAITS!A:C,3,FALSE)
)</f>
        <v>7.333333333</v>
      </c>
      <c r="AQ99" s="130">
        <f t="shared" si="3"/>
        <v>18.06666667</v>
      </c>
    </row>
    <row r="100" ht="14.25" customHeight="1">
      <c r="A100" s="137" t="s">
        <v>1462</v>
      </c>
      <c r="B100" s="114" t="s">
        <v>2570</v>
      </c>
      <c r="C100" s="114">
        <v>6.0</v>
      </c>
      <c r="D100" s="114">
        <v>1.0</v>
      </c>
      <c r="E100" s="114">
        <v>1.0</v>
      </c>
      <c r="F100" s="487">
        <v>5.0</v>
      </c>
      <c r="G100" s="488">
        <v>4.0</v>
      </c>
      <c r="H100" s="114" t="s">
        <v>1663</v>
      </c>
      <c r="I100" s="130">
        <f>IFERROR(__xludf.DUMMYFUNCTION("SWITCH(
LEN(H100) - LEN(SUBSTITUTE(H100,"","","""")),
0 , VLOOKUP(H100, Variables!$A:$B, 2, FALSE),
1 , VLOOKUP(index(split(H100 ,"", "", FALSE),1,1), Variables!$A:$B , 2, FALSE) + VLOOKUP(index(split(H100 ,"", "", FALSE),1,2), Variables!$A:$B , 2, FALSE)"&amp;",
2 , VLOOKUP(index(split(H100 ,"", "", FALSE),1,1), Variables!$A:$B , 2, FALSE) + VLOOKUP(index(split(H100 ,"", "", FALSE),1,2), Variables!$A:$B , 2, FALSE) + VLOOKUP(index(split(H100 ,"", "", FALSE),1,3), Variables!$A:$B , 2, FALSE)
)"),1.3333333333333333)</f>
        <v>1.333333333</v>
      </c>
      <c r="J100" s="114" t="s">
        <v>1567</v>
      </c>
      <c r="K100" s="114" t="s">
        <v>1548</v>
      </c>
      <c r="L100" s="130">
        <f>IFERROR(__xludf.DUMMYFUNCTION("SWITCH(
LEN(K100) - LEN(SUBSTITUTE(K100,"","","""")),
0 , VLOOKUP(K100, Variables!$A:$B, 2, FALSE),
1 , VLOOKUP(index(split(K100 ,"", "", FALSE),1,1), Variables!$A:$B , 2, FALSE) + VLOOKUP(index(split(K100 ,"", "", FALSE),1,2), Variables!$A:$B , 2, FALSE)"&amp;",
2 , VLOOKUP(index(split(K100 ,"", "", FALSE),1,1), Variables!$A:$B , 2, FALSE) + VLOOKUP(index(split(K100 ,"", "", FALSE),1,2), Variables!$A:$B , 2, FALSE) + VLOOKUP(index(split(K100 ,"", "", FALSE),1,3), Variables!$A:$B , 2, FALSE)
)
+
IF(J100=""Ranged"&amp;""", 1 , 0)"),3.3333333333333335)</f>
        <v>3.333333333</v>
      </c>
      <c r="M100" s="114" t="s">
        <v>1116</v>
      </c>
      <c r="N100" s="130">
        <f>IFERROR(__xludf.DUMMYFUNCTION("IF(ISBLANK(M100), , 
SWITCH(
LEN(M100)- LEN(SUBSTITUTE(M100,"","","""")), 
0 , VLOOKUP(M100, vote4TRAITS!A:C , 3, FALSE),
1 , VLOOKUP(index(split(M100 ,"", "", FALSE),1,1), vote4TRAITS!A:C , 3, FALSE) + VLOOKUP(index(split(M100 ,"", "", FALSE),1,2), vote4"&amp;"TRAITS!A:C , 3, FALSE),
2 , VLOOKUP(index(split(M100 ,"", "", FALSE),1,1), vote4TRAITS!A:C , 3, FALSE) + VLOOKUP(index(split(M100 ,"", "", FALSE),1,2), vote4TRAITS!A:C , 3, FALSE) + VLOOKUP(index(split(M100 ,"", "", FALSE),1,3), vote4TRAITS!A:C , 3, FALSE"&amp;")
)
)"),4.333333333333333)</f>
        <v>4.333333333</v>
      </c>
      <c r="O100" s="490"/>
      <c r="P100" s="165" t="str">
        <f>IFERROR(__xludf.DUMMYFUNCTION("IF(ISBLANK(O100), , 
SWITCH(
LEN(O100)- LEN(SUBSTITUTE(O100,"","","""")), 
0 , VLOOKUP(O100, vote4ACTIONS!A:C , 3, FALSE),
1 , VLOOKUP(index(split(O100 ,"", "", FALSE),1,1), vote4ACTIONS!A:C , 3, FALSE) + VLOOKUP(index(split(O100 ,"", "", FALSE),1,2), vot"&amp;"e4ACTIONS!A:C , 3, FALSE),
2 , VLOOKUP(index(split(O100 ,"", "", FALSE),1,1), vote4ACTIONS!A:C , 3, FALSE) + VLOOKUP(index(split(O100 ,"", "", FALSE),1,2), vote4ACTIONS!A:C , 3, FALSE) + VLOOKUP(index(split(O100 ,"", "", FALSE),1,3), vote4ACTIONS!A:C , 3,"&amp;" FALSE),
3 , VLOOKUP(index(split(O100 ,"", "", FALSE),1,1), vote4ACTIONS!A:C , 3, FALSE) + VLOOKUP(index(split(O100 ,"", "", FALSE),1,2), vote4ACTIONS!A:C , 3, FALSE) + VLOOKUP(index(split(O100 ,"", "", FALSE),1,3), vote4ACTIONS!A:C , 3, FALSE) + VLOOKUP("&amp;"index(split(O100 ,"", "", FALSE),1,4), vote4ACTIONS!A:C , 3, FALSE)
)
)"),"")</f>
        <v/>
      </c>
      <c r="Q100" s="340" t="s">
        <v>1534</v>
      </c>
      <c r="R100" s="342">
        <f>IF(ISBLANK(Q100),,IFERROR(
IF(IFERROR(SEARCH("SS:",Q100),0) &gt; 0, 
VLOOKUP(SUBSTITUTE(Q100,"SS: ",""),vote4SURGE!$A:$C , 3, FALSE) - 2,
VLOOKUP(SUBSTITUTE(Q100,"S: ",""),vote4SURGE!$A:$C , 3, FALSE)
)
,
IF(IFERROR(SEARCH("SS:",Q100),0) &gt; 0, 
VLOOKUP(A100,vote4SURGE!$A:$C , 3, FALSE) - 2,
VLOOKUP(A100,vote4SURGE!$A:$C , 3, FALSE)
)
))</f>
        <v>4.25</v>
      </c>
      <c r="S100" s="169" t="s">
        <v>1555</v>
      </c>
      <c r="T100" s="342">
        <f>IF(ISBLANK(S100),,IFERROR(
IF(IFERROR(SEARCH("SS:",S100),0) &gt; 0, 
VLOOKUP(SUBSTITUTE(S100,"SS: ",""),vote4SURGE!$A:$C , 3, FALSE) - 2,
VLOOKUP(SUBSTITUTE(S100,"S: ",""),vote4SURGE!$A:$C , 3, FALSE)
)
,
IF(IFERROR(SEARCH("SS:",S100),0) &gt; 0, 
VLOOKUP(A100,vote4SURGE!$A:$C , 3, FALSE) - 2,
VLOOKUP(A100,vote4SURGE!$A:$C , 3, FALSE)
)
))</f>
        <v>3.25</v>
      </c>
      <c r="U100" s="341"/>
      <c r="V100" s="343" t="str">
        <f>IF(ISBLANK(U100),,IFERROR(
IF(IFERROR(SEARCH("SS:",U100),0) &gt; 0, 
VLOOKUP(SUBSTITUTE(U100,"SS: ",""),vote4SURGE!$A:$C , 3, FALSE) - 2,
VLOOKUP(SUBSTITUTE(U100,"S: ",""),vote4SURGE!$A:$C , 3, FALSE)
)
,
IF(IFERROR(SEARCH("SS:",U100),0) &gt; 0, 
VLOOKUP(A100,vote4SURGE!$A:$C , 3, FALSE) - 2,
VLOOKUP(A100,vote4SURGE!$A:$C , 3, FALSE)
)
))</f>
        <v/>
      </c>
      <c r="W100" s="343">
        <f t="shared" si="1"/>
        <v>2</v>
      </c>
      <c r="X100" s="344">
        <f>IFERROR(__xludf.DUMMYFUNCTION("SWITCH(
LEN(K100) - LEN(SUBSTITUTE(K100,"","","""")),
0 , VLOOKUP(K100, Variables!$A:$C, 3, FALSE),
1 , VLOOKUP(index(split(K100 ,"", "", FALSE),1,1), Variables!$A:$C, 3, FALSE) + VLOOKUP(index(split(K100 ,"", "", FALSE),1,2), Variables!$A:$C, 3, FALSE),
"&amp;"2 , VLOOKUP(index(split(K100 ,"", "", FALSE),1,1), Variables!$A:$C, 3, FALSE) + VLOOKUP(index(split(K100 ,"", "", FALSE),1,2), Variables!$A:$C, 3, FALSE) + VLOOKUP(index(split(K100 ,"", "", FALSE),1,3), Variables!$A:$C, 3, FALSE)
)"),0.8333333333333333)</f>
        <v>0.8333333333</v>
      </c>
      <c r="Y100" s="342">
        <f t="shared" si="2"/>
        <v>5.604166667</v>
      </c>
      <c r="Z100" s="114" t="s">
        <v>2572</v>
      </c>
      <c r="AA100" s="114" t="s">
        <v>2572</v>
      </c>
      <c r="AB100" s="114"/>
      <c r="AC100" s="114"/>
      <c r="AD100" s="114"/>
      <c r="AE100" s="491" t="s">
        <v>2592</v>
      </c>
      <c r="AF100" s="114"/>
      <c r="AG100" s="114"/>
      <c r="AH100" s="114"/>
      <c r="AI100" s="114"/>
      <c r="AJ100" s="114" t="s">
        <v>2574</v>
      </c>
      <c r="AK100" s="473">
        <v>8.0</v>
      </c>
      <c r="AL100" s="114" t="s">
        <v>2574</v>
      </c>
      <c r="AM100" s="473">
        <v>10.0</v>
      </c>
      <c r="AN100" s="114" t="s">
        <v>2574</v>
      </c>
      <c r="AO100" s="473">
        <v>12.0</v>
      </c>
      <c r="AP100" s="130">
        <f>SUM(
VLOOKUP("Ravage",vote4TRAITS!A:C,3,FALSE)
)</f>
        <v>7.333333333</v>
      </c>
      <c r="AQ100" s="130">
        <f t="shared" si="3"/>
        <v>12.92083333</v>
      </c>
    </row>
    <row r="101" ht="14.25" customHeight="1">
      <c r="A101" s="137" t="s">
        <v>1462</v>
      </c>
      <c r="B101" s="114" t="s">
        <v>2576</v>
      </c>
      <c r="C101" s="114">
        <v>6.0</v>
      </c>
      <c r="D101" s="114">
        <v>2.0</v>
      </c>
      <c r="E101" s="114">
        <v>1.0</v>
      </c>
      <c r="F101" s="487">
        <v>5.0</v>
      </c>
      <c r="G101" s="488">
        <v>4.0</v>
      </c>
      <c r="H101" s="114" t="s">
        <v>1663</v>
      </c>
      <c r="I101" s="130">
        <f>IFERROR(__xludf.DUMMYFUNCTION("SWITCH(
LEN(H101) - LEN(SUBSTITUTE(H101,"","","""")),
0 , VLOOKUP(H101, Variables!$A:$B, 2, FALSE),
1 , VLOOKUP(index(split(H101 ,"", "", FALSE),1,1), Variables!$A:$B , 2, FALSE) + VLOOKUP(index(split(H101 ,"", "", FALSE),1,2), Variables!$A:$B , 2, FALSE)"&amp;",
2 , VLOOKUP(index(split(H101 ,"", "", FALSE),1,1), Variables!$A:$B , 2, FALSE) + VLOOKUP(index(split(H101 ,"", "", FALSE),1,2), Variables!$A:$B , 2, FALSE) + VLOOKUP(index(split(H101 ,"", "", FALSE),1,3), Variables!$A:$B , 2, FALSE)
)"),1.3333333333333333)</f>
        <v>1.333333333</v>
      </c>
      <c r="J101" s="114" t="s">
        <v>1567</v>
      </c>
      <c r="K101" s="114" t="s">
        <v>1548</v>
      </c>
      <c r="L101" s="130">
        <f>IFERROR(__xludf.DUMMYFUNCTION("SWITCH(
LEN(K101) - LEN(SUBSTITUTE(K101,"","","""")),
0 , VLOOKUP(K101, Variables!$A:$B, 2, FALSE),
1 , VLOOKUP(index(split(K101 ,"", "", FALSE),1,1), Variables!$A:$B , 2, FALSE) + VLOOKUP(index(split(K101 ,"", "", FALSE),1,2), Variables!$A:$B , 2, FALSE)"&amp;",
2 , VLOOKUP(index(split(K101 ,"", "", FALSE),1,1), Variables!$A:$B , 2, FALSE) + VLOOKUP(index(split(K101 ,"", "", FALSE),1,2), Variables!$A:$B , 2, FALSE) + VLOOKUP(index(split(K101 ,"", "", FALSE),1,3), Variables!$A:$B , 2, FALSE)
)
+
IF(J101=""Ranged"&amp;""", 1 , 0)"),3.3333333333333335)</f>
        <v>3.333333333</v>
      </c>
      <c r="M101" s="114" t="s">
        <v>2612</v>
      </c>
      <c r="N101" s="130">
        <f>IFERROR(__xludf.DUMMYFUNCTION("IF(ISBLANK(M101), , 
SWITCH(
LEN(M101)- LEN(SUBSTITUTE(M101,"","","""")), 
0 , VLOOKUP(M101, vote4TRAITS!A:C , 3, FALSE),
1 , VLOOKUP(index(split(M101 ,"", "", FALSE),1,1), vote4TRAITS!A:C , 3, FALSE) + VLOOKUP(index(split(M101 ,"", "", FALSE),1,2), vote4"&amp;"TRAITS!A:C , 3, FALSE),
2 , VLOOKUP(index(split(M101 ,"", "", FALSE),1,1), vote4TRAITS!A:C , 3, FALSE) + VLOOKUP(index(split(M101 ,"", "", FALSE),1,2), vote4TRAITS!A:C , 3, FALSE) + VLOOKUP(index(split(M101 ,"", "", FALSE),1,3), vote4TRAITS!A:C , 3, FALSE"&amp;")
)
)"),2.833333333333333)</f>
        <v>2.833333333</v>
      </c>
      <c r="O101" s="490"/>
      <c r="P101" s="165" t="str">
        <f>IFERROR(__xludf.DUMMYFUNCTION("IF(ISBLANK(O101), , 
SWITCH(
LEN(O101)- LEN(SUBSTITUTE(O101,"","","""")), 
0 , VLOOKUP(O101, vote4ACTIONS!A:C , 3, FALSE),
1 , VLOOKUP(index(split(O101 ,"", "", FALSE),1,1), vote4ACTIONS!A:C , 3, FALSE) + VLOOKUP(index(split(O101 ,"", "", FALSE),1,2), vot"&amp;"e4ACTIONS!A:C , 3, FALSE),
2 , VLOOKUP(index(split(O101 ,"", "", FALSE),1,1), vote4ACTIONS!A:C , 3, FALSE) + VLOOKUP(index(split(O101 ,"", "", FALSE),1,2), vote4ACTIONS!A:C , 3, FALSE) + VLOOKUP(index(split(O101 ,"", "", FALSE),1,3), vote4ACTIONS!A:C , 3,"&amp;" FALSE),
3 , VLOOKUP(index(split(O101 ,"", "", FALSE),1,1), vote4ACTIONS!A:C , 3, FALSE) + VLOOKUP(index(split(O101 ,"", "", FALSE),1,2), vote4ACTIONS!A:C , 3, FALSE) + VLOOKUP(index(split(O101 ,"", "", FALSE),1,3), vote4ACTIONS!A:C , 3, FALSE) + VLOOKUP("&amp;"index(split(O101 ,"", "", FALSE),1,4), vote4ACTIONS!A:C , 3, FALSE)
)
)"),"")</f>
        <v/>
      </c>
      <c r="Q101" s="340" t="s">
        <v>1534</v>
      </c>
      <c r="R101" s="342">
        <f>IF(ISBLANK(Q101),,IFERROR(
IF(IFERROR(SEARCH("SS:",Q101),0) &gt; 0, 
VLOOKUP(SUBSTITUTE(Q101,"SS: ",""),vote4SURGE!$A:$C , 3, FALSE) - 2,
VLOOKUP(SUBSTITUTE(Q101,"S: ",""),vote4SURGE!$A:$C , 3, FALSE)
)
,
IF(IFERROR(SEARCH("SS:",Q101),0) &gt; 0, 
VLOOKUP(A101,vote4SURGE!$A:$C , 3, FALSE) - 2,
VLOOKUP(A101,vote4SURGE!$A:$C , 3, FALSE)
)
))</f>
        <v>4.25</v>
      </c>
      <c r="S101" s="169" t="s">
        <v>1555</v>
      </c>
      <c r="T101" s="342">
        <f>IF(ISBLANK(S101),,IFERROR(
IF(IFERROR(SEARCH("SS:",S101),0) &gt; 0, 
VLOOKUP(SUBSTITUTE(S101,"SS: ",""),vote4SURGE!$A:$C , 3, FALSE) - 2,
VLOOKUP(SUBSTITUTE(S101,"S: ",""),vote4SURGE!$A:$C , 3, FALSE)
)
,
IF(IFERROR(SEARCH("SS:",S101),0) &gt; 0, 
VLOOKUP(A101,vote4SURGE!$A:$C , 3, FALSE) - 2,
VLOOKUP(A101,vote4SURGE!$A:$C , 3, FALSE)
)
))</f>
        <v>3.25</v>
      </c>
      <c r="U101" s="341"/>
      <c r="V101" s="343" t="str">
        <f>IF(ISBLANK(U101),,IFERROR(
IF(IFERROR(SEARCH("SS:",U101),0) &gt; 0, 
VLOOKUP(SUBSTITUTE(U101,"SS: ",""),vote4SURGE!$A:$C , 3, FALSE) - 2,
VLOOKUP(SUBSTITUTE(U101,"S: ",""),vote4SURGE!$A:$C , 3, FALSE)
)
,
IF(IFERROR(SEARCH("SS:",U101),0) &gt; 0, 
VLOOKUP(A101,vote4SURGE!$A:$C , 3, FALSE) - 2,
VLOOKUP(A101,vote4SURGE!$A:$C , 3, FALSE)
)
))</f>
        <v/>
      </c>
      <c r="W101" s="343">
        <f t="shared" si="1"/>
        <v>2</v>
      </c>
      <c r="X101" s="344">
        <f>IFERROR(__xludf.DUMMYFUNCTION("SWITCH(
LEN(K101) - LEN(SUBSTITUTE(K101,"","","""")),
0 , VLOOKUP(K101, Variables!$A:$C, 3, FALSE),
1 , VLOOKUP(index(split(K101 ,"", "", FALSE),1,1), Variables!$A:$C, 3, FALSE) + VLOOKUP(index(split(K101 ,"", "", FALSE),1,2), Variables!$A:$C, 3, FALSE),
"&amp;"2 , VLOOKUP(index(split(K101 ,"", "", FALSE),1,1), Variables!$A:$C, 3, FALSE) + VLOOKUP(index(split(K101 ,"", "", FALSE),1,2), Variables!$A:$C, 3, FALSE) + VLOOKUP(index(split(K101 ,"", "", FALSE),1,3), Variables!$A:$C, 3, FALSE)
)"),0.8333333333333333)</f>
        <v>0.8333333333</v>
      </c>
      <c r="Y101" s="342">
        <f t="shared" si="2"/>
        <v>5.604166667</v>
      </c>
      <c r="Z101" s="114" t="s">
        <v>2572</v>
      </c>
      <c r="AA101" s="114" t="s">
        <v>2572</v>
      </c>
      <c r="AB101" s="114"/>
      <c r="AC101" s="114"/>
      <c r="AD101" s="114"/>
      <c r="AE101" s="114"/>
      <c r="AF101" s="114"/>
      <c r="AG101" s="114"/>
      <c r="AH101" s="114"/>
      <c r="AI101" s="114"/>
      <c r="AJ101" s="114" t="s">
        <v>369</v>
      </c>
      <c r="AK101" s="473">
        <v>14.0</v>
      </c>
      <c r="AL101" s="114" t="s">
        <v>368</v>
      </c>
      <c r="AM101" s="473">
        <v>18.0</v>
      </c>
      <c r="AN101" s="114" t="s">
        <v>2580</v>
      </c>
      <c r="AO101" s="473">
        <v>22.0</v>
      </c>
      <c r="AP101" s="130">
        <f>SUM(
VLOOKUP("Ravage",vote4TRAITS!A:C,3,FALSE)
)</f>
        <v>7.333333333</v>
      </c>
      <c r="AQ101" s="130">
        <f t="shared" si="3"/>
        <v>11.42083333</v>
      </c>
    </row>
    <row r="102" ht="14.25" customHeight="1">
      <c r="A102" s="137" t="s">
        <v>1462</v>
      </c>
      <c r="B102" s="114" t="s">
        <v>2576</v>
      </c>
      <c r="C102" s="114">
        <v>6.0</v>
      </c>
      <c r="D102" s="114">
        <v>1.0</v>
      </c>
      <c r="E102" s="114">
        <v>1.0</v>
      </c>
      <c r="F102" s="487">
        <v>5.0</v>
      </c>
      <c r="G102" s="488">
        <v>2.0</v>
      </c>
      <c r="H102" s="114" t="s">
        <v>1663</v>
      </c>
      <c r="I102" s="130">
        <f>IFERROR(__xludf.DUMMYFUNCTION("SWITCH(
LEN(H102) - LEN(SUBSTITUTE(H102,"","","""")),
0 , VLOOKUP(H102, Variables!$A:$B, 2, FALSE),
1 , VLOOKUP(index(split(H102 ,"", "", FALSE),1,1), Variables!$A:$B , 2, FALSE) + VLOOKUP(index(split(H102 ,"", "", FALSE),1,2), Variables!$A:$B , 2, FALSE)"&amp;",
2 , VLOOKUP(index(split(H102 ,"", "", FALSE),1,1), Variables!$A:$B , 2, FALSE) + VLOOKUP(index(split(H102 ,"", "", FALSE),1,2), Variables!$A:$B , 2, FALSE) + VLOOKUP(index(split(H102 ,"", "", FALSE),1,3), Variables!$A:$B , 2, FALSE)
)"),1.3333333333333333)</f>
        <v>1.333333333</v>
      </c>
      <c r="J102" s="114" t="s">
        <v>1567</v>
      </c>
      <c r="K102" s="114" t="s">
        <v>1548</v>
      </c>
      <c r="L102" s="130">
        <f>IFERROR(__xludf.DUMMYFUNCTION("SWITCH(
LEN(K102) - LEN(SUBSTITUTE(K102,"","","""")),
0 , VLOOKUP(K102, Variables!$A:$B, 2, FALSE),
1 , VLOOKUP(index(split(K102 ,"", "", FALSE),1,1), Variables!$A:$B , 2, FALSE) + VLOOKUP(index(split(K102 ,"", "", FALSE),1,2), Variables!$A:$B , 2, FALSE)"&amp;",
2 , VLOOKUP(index(split(K102 ,"", "", FALSE),1,1), Variables!$A:$B , 2, FALSE) + VLOOKUP(index(split(K102 ,"", "", FALSE),1,2), Variables!$A:$B , 2, FALSE) + VLOOKUP(index(split(K102 ,"", "", FALSE),1,3), Variables!$A:$B , 2, FALSE)
)
+
IF(J102=""Ranged"&amp;""", 1 , 0)"),3.3333333333333335)</f>
        <v>3.333333333</v>
      </c>
      <c r="M102" s="114" t="s">
        <v>2612</v>
      </c>
      <c r="N102" s="130">
        <f>IFERROR(__xludf.DUMMYFUNCTION("IF(ISBLANK(M102), , 
SWITCH(
LEN(M102)- LEN(SUBSTITUTE(M102,"","","""")), 
0 , VLOOKUP(M102, vote4TRAITS!A:C , 3, FALSE),
1 , VLOOKUP(index(split(M102 ,"", "", FALSE),1,1), vote4TRAITS!A:C , 3, FALSE) + VLOOKUP(index(split(M102 ,"", "", FALSE),1,2), vote4"&amp;"TRAITS!A:C , 3, FALSE),
2 , VLOOKUP(index(split(M102 ,"", "", FALSE),1,1), vote4TRAITS!A:C , 3, FALSE) + VLOOKUP(index(split(M102 ,"", "", FALSE),1,2), vote4TRAITS!A:C , 3, FALSE) + VLOOKUP(index(split(M102 ,"", "", FALSE),1,3), vote4TRAITS!A:C , 3, FALSE"&amp;")
)
)"),2.833333333333333)</f>
        <v>2.833333333</v>
      </c>
      <c r="O102" s="490"/>
      <c r="P102" s="165" t="str">
        <f>IFERROR(__xludf.DUMMYFUNCTION("IF(ISBLANK(O102), , 
SWITCH(
LEN(O102)- LEN(SUBSTITUTE(O102,"","","""")), 
0 , VLOOKUP(O102, vote4ACTIONS!A:C , 3, FALSE),
1 , VLOOKUP(index(split(O102 ,"", "", FALSE),1,1), vote4ACTIONS!A:C , 3, FALSE) + VLOOKUP(index(split(O102 ,"", "", FALSE),1,2), vot"&amp;"e4ACTIONS!A:C , 3, FALSE),
2 , VLOOKUP(index(split(O102 ,"", "", FALSE),1,1), vote4ACTIONS!A:C , 3, FALSE) + VLOOKUP(index(split(O102 ,"", "", FALSE),1,2), vote4ACTIONS!A:C , 3, FALSE) + VLOOKUP(index(split(O102 ,"", "", FALSE),1,3), vote4ACTIONS!A:C , 3,"&amp;" FALSE),
3 , VLOOKUP(index(split(O102 ,"", "", FALSE),1,1), vote4ACTIONS!A:C , 3, FALSE) + VLOOKUP(index(split(O102 ,"", "", FALSE),1,2), vote4ACTIONS!A:C , 3, FALSE) + VLOOKUP(index(split(O102 ,"", "", FALSE),1,3), vote4ACTIONS!A:C , 3, FALSE) + VLOOKUP("&amp;"index(split(O102 ,"", "", FALSE),1,4), vote4ACTIONS!A:C , 3, FALSE)
)
)"),"")</f>
        <v/>
      </c>
      <c r="Q102" s="340" t="s">
        <v>1562</v>
      </c>
      <c r="R102" s="342">
        <f>IF(ISBLANK(Q102),,IFERROR(
IF(IFERROR(SEARCH("SS:",Q102),0) &gt; 0, 
VLOOKUP(SUBSTITUTE(Q102,"SS: ",""),vote4SURGE!$A:$C , 3, FALSE) - 2,
VLOOKUP(SUBSTITUTE(Q102,"S: ",""),vote4SURGE!$A:$C , 3, FALSE)
)
,
IF(IFERROR(SEARCH("SS:",Q102),0) &gt; 0, 
VLOOKUP(A102,vote4SURGE!$A:$C , 3, FALSE) - 2,
VLOOKUP(A102,vote4SURGE!$A:$C , 3, FALSE)
)
))</f>
        <v>3.5</v>
      </c>
      <c r="S102" s="169" t="s">
        <v>1579</v>
      </c>
      <c r="T102" s="342">
        <f>IF(ISBLANK(S102),,IFERROR(
IF(IFERROR(SEARCH("SS:",S102),0) &gt; 0, 
VLOOKUP(SUBSTITUTE(S102,"SS: ",""),vote4SURGE!$A:$C , 3, FALSE) - 2,
VLOOKUP(SUBSTITUTE(S102,"S: ",""),vote4SURGE!$A:$C , 3, FALSE)
)
,
IF(IFERROR(SEARCH("SS:",S102),0) &gt; 0, 
VLOOKUP(A102,vote4SURGE!$A:$C , 3, FALSE) - 2,
VLOOKUP(A102,vote4SURGE!$A:$C , 3, FALSE)
)
))</f>
        <v>2.5</v>
      </c>
      <c r="U102" s="164"/>
      <c r="V102" s="343" t="str">
        <f>IF(ISBLANK(U102),,IFERROR(
IF(IFERROR(SEARCH("SS:",U102),0) &gt; 0, 
VLOOKUP(SUBSTITUTE(U102,"SS: ",""),vote4SURGE!$A:$C , 3, FALSE) - 2,
VLOOKUP(SUBSTITUTE(U102,"S: ",""),vote4SURGE!$A:$C , 3, FALSE)
)
,
IF(IFERROR(SEARCH("SS:",U102),0) &gt; 0, 
VLOOKUP(A102,vote4SURGE!$A:$C , 3, FALSE) - 2,
VLOOKUP(A102,vote4SURGE!$A:$C , 3, FALSE)
)
))</f>
        <v/>
      </c>
      <c r="W102" s="343">
        <f t="shared" si="1"/>
        <v>2</v>
      </c>
      <c r="X102" s="344">
        <f>IFERROR(__xludf.DUMMYFUNCTION("SWITCH(
LEN(K102) - LEN(SUBSTITUTE(K102,"","","""")),
0 , VLOOKUP(K102, Variables!$A:$C, 3, FALSE),
1 , VLOOKUP(index(split(K102 ,"", "", FALSE),1,1), Variables!$A:$C, 3, FALSE) + VLOOKUP(index(split(K102 ,"", "", FALSE),1,2), Variables!$A:$C, 3, FALSE),
"&amp;"2 , VLOOKUP(index(split(K102 ,"", "", FALSE),1,1), Variables!$A:$C, 3, FALSE) + VLOOKUP(index(split(K102 ,"", "", FALSE),1,2), Variables!$A:$C, 3, FALSE) + VLOOKUP(index(split(K102 ,"", "", FALSE),1,3), Variables!$A:$C, 3, FALSE)
)"),0.8333333333333333)</f>
        <v>0.8333333333</v>
      </c>
      <c r="Y102" s="342">
        <f t="shared" si="2"/>
        <v>4.541666667</v>
      </c>
      <c r="Z102" s="114" t="s">
        <v>2572</v>
      </c>
      <c r="AA102" s="114" t="s">
        <v>2572</v>
      </c>
      <c r="AB102" s="114"/>
      <c r="AC102" s="114"/>
      <c r="AD102" s="114"/>
      <c r="AE102" s="491" t="s">
        <v>2592</v>
      </c>
      <c r="AF102" s="114"/>
      <c r="AG102" s="114"/>
      <c r="AH102" s="114"/>
      <c r="AI102" s="114"/>
      <c r="AJ102" s="114" t="s">
        <v>369</v>
      </c>
      <c r="AK102" s="473">
        <v>8.0</v>
      </c>
      <c r="AL102" s="114" t="s">
        <v>368</v>
      </c>
      <c r="AM102" s="473">
        <v>10.0</v>
      </c>
      <c r="AN102" s="114" t="s">
        <v>2580</v>
      </c>
      <c r="AO102" s="473">
        <v>12.0</v>
      </c>
      <c r="AP102" s="130">
        <f>SUM(
VLOOKUP("Ravage",vote4TRAITS!A:C,3,FALSE)
)</f>
        <v>7.333333333</v>
      </c>
      <c r="AQ102" s="130">
        <f t="shared" si="3"/>
        <v>7.691666667</v>
      </c>
    </row>
    <row r="103" ht="14.25" customHeight="1">
      <c r="A103" s="137" t="s">
        <v>1468</v>
      </c>
      <c r="B103" s="114" t="s">
        <v>2570</v>
      </c>
      <c r="C103" s="114">
        <v>14.0</v>
      </c>
      <c r="D103" s="114">
        <v>2.0</v>
      </c>
      <c r="E103" s="114">
        <v>1.0</v>
      </c>
      <c r="F103" s="487">
        <v>4.0</v>
      </c>
      <c r="G103" s="488">
        <v>8.0</v>
      </c>
      <c r="H103" s="114" t="s">
        <v>1663</v>
      </c>
      <c r="I103" s="130">
        <f>IFERROR(__xludf.DUMMYFUNCTION("SWITCH(
LEN(H103) - LEN(SUBSTITUTE(H103,"","","""")),
0 , VLOOKUP(H103, Variables!$A:$B, 2, FALSE),
1 , VLOOKUP(index(split(H103 ,"", "", FALSE),1,1), Variables!$A:$B , 2, FALSE) + VLOOKUP(index(split(H103 ,"", "", FALSE),1,2), Variables!$A:$B , 2, FALSE)"&amp;",
2 , VLOOKUP(index(split(H103 ,"", "", FALSE),1,1), Variables!$A:$B , 2, FALSE) + VLOOKUP(index(split(H103 ,"", "", FALSE),1,2), Variables!$A:$B , 2, FALSE) + VLOOKUP(index(split(H103 ,"", "", FALSE),1,3), Variables!$A:$B , 2, FALSE)
)"),1.3333333333333333)</f>
        <v>1.333333333</v>
      </c>
      <c r="J103" s="114" t="s">
        <v>1567</v>
      </c>
      <c r="K103" s="114" t="s">
        <v>1548</v>
      </c>
      <c r="L103" s="130">
        <f>IFERROR(__xludf.DUMMYFUNCTION("SWITCH(
LEN(K103) - LEN(SUBSTITUTE(K103,"","","""")),
0 , VLOOKUP(K103, Variables!$A:$B, 2, FALSE),
1 , VLOOKUP(index(split(K103 ,"", "", FALSE),1,1), Variables!$A:$B , 2, FALSE) + VLOOKUP(index(split(K103 ,"", "", FALSE),1,2), Variables!$A:$B , 2, FALSE)"&amp;",
2 , VLOOKUP(index(split(K103 ,"", "", FALSE),1,1), Variables!$A:$B , 2, FALSE) + VLOOKUP(index(split(K103 ,"", "", FALSE),1,2), Variables!$A:$B , 2, FALSE) + VLOOKUP(index(split(K103 ,"", "", FALSE),1,3), Variables!$A:$B , 2, FALSE)
)
+
IF(J103=""Ranged"&amp;""", 1 , 0)"),3.3333333333333335)</f>
        <v>3.333333333</v>
      </c>
      <c r="M103" s="114"/>
      <c r="N103" s="130" t="str">
        <f>IFERROR(__xludf.DUMMYFUNCTION("IF(ISBLANK(M103), , 
SWITCH(
LEN(M103)- LEN(SUBSTITUTE(M103,"","","""")), 
0 , VLOOKUP(M103, vote4TRAITS!A:C , 3, FALSE),
1 , VLOOKUP(index(split(M103 ,"", "", FALSE),1,1), vote4TRAITS!A:C , 3, FALSE) + VLOOKUP(index(split(M103 ,"", "", FALSE),1,2), vote4"&amp;"TRAITS!A:C , 3, FALSE),
2 , VLOOKUP(index(split(M103 ,"", "", FALSE),1,1), vote4TRAITS!A:C , 3, FALSE) + VLOOKUP(index(split(M103 ,"", "", FALSE),1,2), vote4TRAITS!A:C , 3, FALSE) + VLOOKUP(index(split(M103 ,"", "", FALSE),1,3), vote4TRAITS!A:C , 3, FALSE"&amp;")
)
)"),"")</f>
        <v/>
      </c>
      <c r="O103" s="114" t="s">
        <v>1296</v>
      </c>
      <c r="P103" s="165">
        <f>IFERROR(__xludf.DUMMYFUNCTION("IF(ISBLANK(O103), , 
SWITCH(
LEN(O103)- LEN(SUBSTITUTE(O103,"","","""")), 
0 , VLOOKUP(O103, vote4ACTIONS!A:C , 3, FALSE),
1 , VLOOKUP(index(split(O103 ,"", "", FALSE),1,1), vote4ACTIONS!A:C , 3, FALSE) + VLOOKUP(index(split(O103 ,"", "", FALSE),1,2), vot"&amp;"e4ACTIONS!A:C , 3, FALSE),
2 , VLOOKUP(index(split(O103 ,"", "", FALSE),1,1), vote4ACTIONS!A:C , 3, FALSE) + VLOOKUP(index(split(O103 ,"", "", FALSE),1,2), vote4ACTIONS!A:C , 3, FALSE) + VLOOKUP(index(split(O103 ,"", "", FALSE),1,3), vote4ACTIONS!A:C , 3,"&amp;" FALSE),
3 , VLOOKUP(index(split(O103 ,"", "", FALSE),1,1), vote4ACTIONS!A:C , 3, FALSE) + VLOOKUP(index(split(O103 ,"", "", FALSE),1,2), vote4ACTIONS!A:C , 3, FALSE) + VLOOKUP(index(split(O103 ,"", "", FALSE),1,3), vote4ACTIONS!A:C , 3, FALSE) + VLOOKUP("&amp;"index(split(O103 ,"", "", FALSE),1,4), vote4ACTIONS!A:C , 3, FALSE)
)
)"),1.2)</f>
        <v>1.2</v>
      </c>
      <c r="Q103" s="340" t="s">
        <v>1534</v>
      </c>
      <c r="R103" s="342">
        <f>IF(ISBLANK(Q103),,IFERROR(
IF(IFERROR(SEARCH("SS:",Q103),0) &gt; 0, 
VLOOKUP(SUBSTITUTE(Q103,"SS: ",""),vote4SURGE!$A:$C , 3, FALSE) - 2,
VLOOKUP(SUBSTITUTE(Q103,"S: ",""),vote4SURGE!$A:$C , 3, FALSE)
)
,
IF(IFERROR(SEARCH("SS:",Q103),0) &gt; 0, 
VLOOKUP(A103,vote4SURGE!$A:$C , 3, FALSE) - 2,
VLOOKUP(A103,vote4SURGE!$A:$C , 3, FALSE)
)
))</f>
        <v>4.25</v>
      </c>
      <c r="S103" s="169" t="s">
        <v>1555</v>
      </c>
      <c r="T103" s="342">
        <f>IF(ISBLANK(S103),,IFERROR(
IF(IFERROR(SEARCH("SS:",S103),0) &gt; 0, 
VLOOKUP(SUBSTITUTE(S103,"SS: ",""),vote4SURGE!$A:$C , 3, FALSE) - 2,
VLOOKUP(SUBSTITUTE(S103,"S: ",""),vote4SURGE!$A:$C , 3, FALSE)
)
,
IF(IFERROR(SEARCH("SS:",S103),0) &gt; 0, 
VLOOKUP(A103,vote4SURGE!$A:$C , 3, FALSE) - 2,
VLOOKUP(A103,vote4SURGE!$A:$C , 3, FALSE)
)
))</f>
        <v>3.25</v>
      </c>
      <c r="U103" s="489" t="s">
        <v>1611</v>
      </c>
      <c r="V103" s="343">
        <f>IF(ISBLANK(U103),,IFERROR(
IF(IFERROR(SEARCH("SS:",U103),0) &gt; 0, 
VLOOKUP(SUBSTITUTE(U103,"SS: ",""),vote4SURGE!$A:$C , 3, FALSE) - 2,
VLOOKUP(SUBSTITUTE(U103,"S: ",""),vote4SURGE!$A:$C , 3, FALSE)
)
,
IF(IFERROR(SEARCH("SS:",U103),0) &gt; 0, 
VLOOKUP(A103,vote4SURGE!$A:$C , 3, FALSE) - 2,
VLOOKUP(A103,vote4SURGE!$A:$C , 3, FALSE)
)
))</f>
        <v>4.25</v>
      </c>
      <c r="W103" s="343">
        <f t="shared" si="1"/>
        <v>3</v>
      </c>
      <c r="X103" s="344">
        <f>IFERROR(__xludf.DUMMYFUNCTION("SWITCH(
LEN(K103) - LEN(SUBSTITUTE(K103,"","","""")),
0 , VLOOKUP(K103, Variables!$A:$C, 3, FALSE),
1 , VLOOKUP(index(split(K103 ,"", "", FALSE),1,1), Variables!$A:$C, 3, FALSE) + VLOOKUP(index(split(K103 ,"", "", FALSE),1,2), Variables!$A:$C, 3, FALSE),
"&amp;"2 , VLOOKUP(index(split(K103 ,"", "", FALSE),1,1), Variables!$A:$C, 3, FALSE) + VLOOKUP(index(split(K103 ,"", "", FALSE),1,2), Variables!$A:$C, 3, FALSE) + VLOOKUP(index(split(K103 ,"", "", FALSE),1,3), Variables!$A:$C, 3, FALSE)
)"),0.8333333333333333)</f>
        <v>0.8333333333</v>
      </c>
      <c r="Y103" s="342">
        <f t="shared" si="2"/>
        <v>6.333333333</v>
      </c>
      <c r="Z103" s="114" t="s">
        <v>2572</v>
      </c>
      <c r="AA103" s="114"/>
      <c r="AB103" s="114"/>
      <c r="AC103" s="114"/>
      <c r="AD103" s="114" t="s">
        <v>2572</v>
      </c>
      <c r="AE103" s="114"/>
      <c r="AF103" s="114"/>
      <c r="AG103" s="114"/>
      <c r="AH103" s="114"/>
      <c r="AI103" s="114"/>
      <c r="AJ103" s="114" t="s">
        <v>2574</v>
      </c>
      <c r="AK103" s="473">
        <v>14.0</v>
      </c>
      <c r="AL103" s="114" t="s">
        <v>2574</v>
      </c>
      <c r="AM103" s="473">
        <v>20.0</v>
      </c>
      <c r="AN103" s="114" t="s">
        <v>2574</v>
      </c>
      <c r="AO103" s="473">
        <v>26.0</v>
      </c>
      <c r="AP103" s="130">
        <f>SUM(
VLOOKUP("Ravage",vote4TRAITS!A:C,3,FALSE)
)</f>
        <v>7.333333333</v>
      </c>
      <c r="AQ103" s="130">
        <f t="shared" si="3"/>
        <v>15.52</v>
      </c>
    </row>
    <row r="104" ht="14.25" customHeight="1">
      <c r="A104" s="137" t="s">
        <v>1468</v>
      </c>
      <c r="B104" s="114" t="s">
        <v>2576</v>
      </c>
      <c r="C104" s="114">
        <v>14.0</v>
      </c>
      <c r="D104" s="114">
        <v>2.0</v>
      </c>
      <c r="E104" s="114">
        <v>1.0</v>
      </c>
      <c r="F104" s="487">
        <v>4.0</v>
      </c>
      <c r="G104" s="488">
        <v>6.0</v>
      </c>
      <c r="H104" s="114" t="s">
        <v>1663</v>
      </c>
      <c r="I104" s="130">
        <f>IFERROR(__xludf.DUMMYFUNCTION("SWITCH(
LEN(H104) - LEN(SUBSTITUTE(H104,"","","""")),
0 , VLOOKUP(H104, Variables!$A:$B, 2, FALSE),
1 , VLOOKUP(index(split(H104 ,"", "", FALSE),1,1), Variables!$A:$B , 2, FALSE) + VLOOKUP(index(split(H104 ,"", "", FALSE),1,2), Variables!$A:$B , 2, FALSE)"&amp;",
2 , VLOOKUP(index(split(H104 ,"", "", FALSE),1,1), Variables!$A:$B , 2, FALSE) + VLOOKUP(index(split(H104 ,"", "", FALSE),1,2), Variables!$A:$B , 2, FALSE) + VLOOKUP(index(split(H104 ,"", "", FALSE),1,3), Variables!$A:$B , 2, FALSE)
)"),1.3333333333333333)</f>
        <v>1.333333333</v>
      </c>
      <c r="J104" s="114" t="s">
        <v>1567</v>
      </c>
      <c r="K104" s="114" t="s">
        <v>1548</v>
      </c>
      <c r="L104" s="130">
        <f>IFERROR(__xludf.DUMMYFUNCTION("SWITCH(
LEN(K104) - LEN(SUBSTITUTE(K104,"","","""")),
0 , VLOOKUP(K104, Variables!$A:$B, 2, FALSE),
1 , VLOOKUP(index(split(K104 ,"", "", FALSE),1,1), Variables!$A:$B , 2, FALSE) + VLOOKUP(index(split(K104 ,"", "", FALSE),1,2), Variables!$A:$B , 2, FALSE)"&amp;",
2 , VLOOKUP(index(split(K104 ,"", "", FALSE),1,1), Variables!$A:$B , 2, FALSE) + VLOOKUP(index(split(K104 ,"", "", FALSE),1,2), Variables!$A:$B , 2, FALSE) + VLOOKUP(index(split(K104 ,"", "", FALSE),1,3), Variables!$A:$B , 2, FALSE)
)
+
IF(J104=""Ranged"&amp;""", 1 , 0)"),3.3333333333333335)</f>
        <v>3.333333333</v>
      </c>
      <c r="M104" s="114"/>
      <c r="N104" s="130" t="str">
        <f>IFERROR(__xludf.DUMMYFUNCTION("IF(ISBLANK(M104), , 
SWITCH(
LEN(M104)- LEN(SUBSTITUTE(M104,"","","""")), 
0 , VLOOKUP(M104, vote4TRAITS!A:C , 3, FALSE),
1 , VLOOKUP(index(split(M104 ,"", "", FALSE),1,1), vote4TRAITS!A:C , 3, FALSE) + VLOOKUP(index(split(M104 ,"", "", FALSE),1,2), vote4"&amp;"TRAITS!A:C , 3, FALSE),
2 , VLOOKUP(index(split(M104 ,"", "", FALSE),1,1), vote4TRAITS!A:C , 3, FALSE) + VLOOKUP(index(split(M104 ,"", "", FALSE),1,2), vote4TRAITS!A:C , 3, FALSE) + VLOOKUP(index(split(M104 ,"", "", FALSE),1,3), vote4TRAITS!A:C , 3, FALSE"&amp;")
)
)"),"")</f>
        <v/>
      </c>
      <c r="O104" s="490"/>
      <c r="P104" s="165" t="str">
        <f>IFERROR(__xludf.DUMMYFUNCTION("IF(ISBLANK(O104), , 
SWITCH(
LEN(O104)- LEN(SUBSTITUTE(O104,"","","""")), 
0 , VLOOKUP(O104, vote4ACTIONS!A:C , 3, FALSE),
1 , VLOOKUP(index(split(O104 ,"", "", FALSE),1,1), vote4ACTIONS!A:C , 3, FALSE) + VLOOKUP(index(split(O104 ,"", "", FALSE),1,2), vot"&amp;"e4ACTIONS!A:C , 3, FALSE),
2 , VLOOKUP(index(split(O104 ,"", "", FALSE),1,1), vote4ACTIONS!A:C , 3, FALSE) + VLOOKUP(index(split(O104 ,"", "", FALSE),1,2), vote4ACTIONS!A:C , 3, FALSE) + VLOOKUP(index(split(O104 ,"", "", FALSE),1,3), vote4ACTIONS!A:C , 3,"&amp;" FALSE),
3 , VLOOKUP(index(split(O104 ,"", "", FALSE),1,1), vote4ACTIONS!A:C , 3, FALSE) + VLOOKUP(index(split(O104 ,"", "", FALSE),1,2), vote4ACTIONS!A:C , 3, FALSE) + VLOOKUP(index(split(O104 ,"", "", FALSE),1,3), vote4ACTIONS!A:C , 3, FALSE) + VLOOKUP("&amp;"index(split(O104 ,"", "", FALSE),1,4), vote4ACTIONS!A:C , 3, FALSE)
)
)"),"")</f>
        <v/>
      </c>
      <c r="Q104" s="340" t="s">
        <v>1562</v>
      </c>
      <c r="R104" s="342">
        <f>IF(ISBLANK(Q104),,IFERROR(
IF(IFERROR(SEARCH("SS:",Q104),0) &gt; 0, 
VLOOKUP(SUBSTITUTE(Q104,"SS: ",""),vote4SURGE!$A:$C , 3, FALSE) - 2,
VLOOKUP(SUBSTITUTE(Q104,"S: ",""),vote4SURGE!$A:$C , 3, FALSE)
)
,
IF(IFERROR(SEARCH("SS:",Q104),0) &gt; 0, 
VLOOKUP(A104,vote4SURGE!$A:$C , 3, FALSE) - 2,
VLOOKUP(A104,vote4SURGE!$A:$C , 3, FALSE)
)
))</f>
        <v>3.5</v>
      </c>
      <c r="S104" s="169" t="s">
        <v>1555</v>
      </c>
      <c r="T104" s="342">
        <f>IF(ISBLANK(S104),,IFERROR(
IF(IFERROR(SEARCH("SS:",S104),0) &gt; 0, 
VLOOKUP(SUBSTITUTE(S104,"SS: ",""),vote4SURGE!$A:$C , 3, FALSE) - 2,
VLOOKUP(SUBSTITUTE(S104,"S: ",""),vote4SURGE!$A:$C , 3, FALSE)
)
,
IF(IFERROR(SEARCH("SS:",S104),0) &gt; 0, 
VLOOKUP(A104,vote4SURGE!$A:$C , 3, FALSE) - 2,
VLOOKUP(A104,vote4SURGE!$A:$C , 3, FALSE)
)
))</f>
        <v>3.25</v>
      </c>
      <c r="U104" s="489" t="s">
        <v>1611</v>
      </c>
      <c r="V104" s="343">
        <f>IF(ISBLANK(U104),,IFERROR(
IF(IFERROR(SEARCH("SS:",U104),0) &gt; 0, 
VLOOKUP(SUBSTITUTE(U104,"SS: ",""),vote4SURGE!$A:$C , 3, FALSE) - 2,
VLOOKUP(SUBSTITUTE(U104,"S: ",""),vote4SURGE!$A:$C , 3, FALSE)
)
,
IF(IFERROR(SEARCH("SS:",U104),0) &gt; 0, 
VLOOKUP(A104,vote4SURGE!$A:$C , 3, FALSE) - 2,
VLOOKUP(A104,vote4SURGE!$A:$C , 3, FALSE)
)
))</f>
        <v>4.25</v>
      </c>
      <c r="W104" s="343">
        <f t="shared" si="1"/>
        <v>3</v>
      </c>
      <c r="X104" s="344">
        <f>IFERROR(__xludf.DUMMYFUNCTION("SWITCH(
LEN(K104) - LEN(SUBSTITUTE(K104,"","","""")),
0 , VLOOKUP(K104, Variables!$A:$C, 3, FALSE),
1 , VLOOKUP(index(split(K104 ,"", "", FALSE),1,1), Variables!$A:$C, 3, FALSE) + VLOOKUP(index(split(K104 ,"", "", FALSE),1,2), Variables!$A:$C, 3, FALSE),
"&amp;"2 , VLOOKUP(index(split(K104 ,"", "", FALSE),1,1), Variables!$A:$C, 3, FALSE) + VLOOKUP(index(split(K104 ,"", "", FALSE),1,2), Variables!$A:$C, 3, FALSE) + VLOOKUP(index(split(K104 ,"", "", FALSE),1,3), Variables!$A:$C, 3, FALSE)
)"),0.8333333333333333)</f>
        <v>0.8333333333</v>
      </c>
      <c r="Y104" s="342">
        <f t="shared" si="2"/>
        <v>6.125</v>
      </c>
      <c r="Z104" s="114" t="s">
        <v>2572</v>
      </c>
      <c r="AA104" s="114"/>
      <c r="AB104" s="114"/>
      <c r="AC104" s="114"/>
      <c r="AD104" s="114" t="s">
        <v>2572</v>
      </c>
      <c r="AE104" s="114"/>
      <c r="AF104" s="114"/>
      <c r="AG104" s="114"/>
      <c r="AH104" s="114"/>
      <c r="AI104" s="114"/>
      <c r="AJ104" s="114" t="s">
        <v>2574</v>
      </c>
      <c r="AK104" s="473">
        <v>14.0</v>
      </c>
      <c r="AL104" s="114" t="s">
        <v>369</v>
      </c>
      <c r="AM104" s="473">
        <v>20.0</v>
      </c>
      <c r="AN104" s="114" t="s">
        <v>368</v>
      </c>
      <c r="AO104" s="473">
        <v>26.0</v>
      </c>
      <c r="AP104" s="130">
        <f>SUM(
VLOOKUP("Ravage",vote4TRAITS!A:C,3,FALSE)
)</f>
        <v>7.333333333</v>
      </c>
      <c r="AQ104" s="130">
        <f t="shared" si="3"/>
        <v>11.445</v>
      </c>
    </row>
    <row r="105" ht="14.25" customHeight="1">
      <c r="A105" s="137" t="s">
        <v>1468</v>
      </c>
      <c r="B105" s="114" t="s">
        <v>2570</v>
      </c>
      <c r="C105" s="114">
        <v>14.0</v>
      </c>
      <c r="D105" s="114">
        <v>1.0</v>
      </c>
      <c r="E105" s="114">
        <v>1.0</v>
      </c>
      <c r="F105" s="487">
        <v>4.0</v>
      </c>
      <c r="G105" s="488">
        <v>5.0</v>
      </c>
      <c r="H105" s="114" t="s">
        <v>1663</v>
      </c>
      <c r="I105" s="130">
        <f>IFERROR(__xludf.DUMMYFUNCTION("SWITCH(
LEN(H105) - LEN(SUBSTITUTE(H105,"","","""")),
0 , VLOOKUP(H105, Variables!$A:$B, 2, FALSE),
1 , VLOOKUP(index(split(H105 ,"", "", FALSE),1,1), Variables!$A:$B , 2, FALSE) + VLOOKUP(index(split(H105 ,"", "", FALSE),1,2), Variables!$A:$B , 2, FALSE)"&amp;",
2 , VLOOKUP(index(split(H105 ,"", "", FALSE),1,1), Variables!$A:$B , 2, FALSE) + VLOOKUP(index(split(H105 ,"", "", FALSE),1,2), Variables!$A:$B , 2, FALSE) + VLOOKUP(index(split(H105 ,"", "", FALSE),1,3), Variables!$A:$B , 2, FALSE)
)"),1.3333333333333333)</f>
        <v>1.333333333</v>
      </c>
      <c r="J105" s="114" t="s">
        <v>1567</v>
      </c>
      <c r="K105" s="114" t="s">
        <v>1548</v>
      </c>
      <c r="L105" s="130">
        <f>IFERROR(__xludf.DUMMYFUNCTION("SWITCH(
LEN(K105) - LEN(SUBSTITUTE(K105,"","","""")),
0 , VLOOKUP(K105, Variables!$A:$B, 2, FALSE),
1 , VLOOKUP(index(split(K105 ,"", "", FALSE),1,1), Variables!$A:$B , 2, FALSE) + VLOOKUP(index(split(K105 ,"", "", FALSE),1,2), Variables!$A:$B , 2, FALSE)"&amp;",
2 , VLOOKUP(index(split(K105 ,"", "", FALSE),1,1), Variables!$A:$B , 2, FALSE) + VLOOKUP(index(split(K105 ,"", "", FALSE),1,2), Variables!$A:$B , 2, FALSE) + VLOOKUP(index(split(K105 ,"", "", FALSE),1,3), Variables!$A:$B , 2, FALSE)
)
+
IF(J105=""Ranged"&amp;""", 1 , 0)"),3.3333333333333335)</f>
        <v>3.333333333</v>
      </c>
      <c r="M105" s="114"/>
      <c r="N105" s="130" t="str">
        <f>IFERROR(__xludf.DUMMYFUNCTION("IF(ISBLANK(M105), , 
SWITCH(
LEN(M105)- LEN(SUBSTITUTE(M105,"","","""")), 
0 , VLOOKUP(M105, vote4TRAITS!A:C , 3, FALSE),
1 , VLOOKUP(index(split(M105 ,"", "", FALSE),1,1), vote4TRAITS!A:C , 3, FALSE) + VLOOKUP(index(split(M105 ,"", "", FALSE),1,2), vote4"&amp;"TRAITS!A:C , 3, FALSE),
2 , VLOOKUP(index(split(M105 ,"", "", FALSE),1,1), vote4TRAITS!A:C , 3, FALSE) + VLOOKUP(index(split(M105 ,"", "", FALSE),1,2), vote4TRAITS!A:C , 3, FALSE) + VLOOKUP(index(split(M105 ,"", "", FALSE),1,3), vote4TRAITS!A:C , 3, FALSE"&amp;")
)
)"),"")</f>
        <v/>
      </c>
      <c r="O105" s="114" t="s">
        <v>1296</v>
      </c>
      <c r="P105" s="165">
        <f>IFERROR(__xludf.DUMMYFUNCTION("IF(ISBLANK(O105), , 
SWITCH(
LEN(O105)- LEN(SUBSTITUTE(O105,"","","""")), 
0 , VLOOKUP(O105, vote4ACTIONS!A:C , 3, FALSE),
1 , VLOOKUP(index(split(O105 ,"", "", FALSE),1,1), vote4ACTIONS!A:C , 3, FALSE) + VLOOKUP(index(split(O105 ,"", "", FALSE),1,2), vot"&amp;"e4ACTIONS!A:C , 3, FALSE),
2 , VLOOKUP(index(split(O105 ,"", "", FALSE),1,1), vote4ACTIONS!A:C , 3, FALSE) + VLOOKUP(index(split(O105 ,"", "", FALSE),1,2), vote4ACTIONS!A:C , 3, FALSE) + VLOOKUP(index(split(O105 ,"", "", FALSE),1,3), vote4ACTIONS!A:C , 3,"&amp;" FALSE),
3 , VLOOKUP(index(split(O105 ,"", "", FALSE),1,1), vote4ACTIONS!A:C , 3, FALSE) + VLOOKUP(index(split(O105 ,"", "", FALSE),1,2), vote4ACTIONS!A:C , 3, FALSE) + VLOOKUP(index(split(O105 ,"", "", FALSE),1,3), vote4ACTIONS!A:C , 3, FALSE) + VLOOKUP("&amp;"index(split(O105 ,"", "", FALSE),1,4), vote4ACTIONS!A:C , 3, FALSE)
)
)"),1.2)</f>
        <v>1.2</v>
      </c>
      <c r="Q105" s="169" t="s">
        <v>1555</v>
      </c>
      <c r="R105" s="342">
        <f>IF(ISBLANK(Q105),,IFERROR(
IF(IFERROR(SEARCH("SS:",Q105),0) &gt; 0, 
VLOOKUP(SUBSTITUTE(Q105,"SS: ",""),vote4SURGE!$A:$C , 3, FALSE) - 2,
VLOOKUP(SUBSTITUTE(Q105,"S: ",""),vote4SURGE!$A:$C , 3, FALSE)
)
,
IF(IFERROR(SEARCH("SS:",Q105),0) &gt; 0, 
VLOOKUP(A105,vote4SURGE!$A:$C , 3, FALSE) - 2,
VLOOKUP(A105,vote4SURGE!$A:$C , 3, FALSE)
)
))</f>
        <v>3.25</v>
      </c>
      <c r="S105" s="489" t="s">
        <v>1611</v>
      </c>
      <c r="T105" s="342">
        <f>IF(ISBLANK(S105),,IFERROR(
IF(IFERROR(SEARCH("SS:",S105),0) &gt; 0, 
VLOOKUP(SUBSTITUTE(S105,"SS: ",""),vote4SURGE!$A:$C , 3, FALSE) - 2,
VLOOKUP(SUBSTITUTE(S105,"S: ",""),vote4SURGE!$A:$C , 3, FALSE)
)
,
IF(IFERROR(SEARCH("SS:",S105),0) &gt; 0, 
VLOOKUP(A105,vote4SURGE!$A:$C , 3, FALSE) - 2,
VLOOKUP(A105,vote4SURGE!$A:$C , 3, FALSE)
)
))</f>
        <v>4.25</v>
      </c>
      <c r="U105" s="164"/>
      <c r="V105" s="343" t="str">
        <f>IF(ISBLANK(U105),,IFERROR(
IF(IFERROR(SEARCH("SS:",U105),0) &gt; 0, 
VLOOKUP(SUBSTITUTE(U105,"SS: ",""),vote4SURGE!$A:$C , 3, FALSE) - 2,
VLOOKUP(SUBSTITUTE(U105,"S: ",""),vote4SURGE!$A:$C , 3, FALSE)
)
,
IF(IFERROR(SEARCH("SS:",U105),0) &gt; 0, 
VLOOKUP(A105,vote4SURGE!$A:$C , 3, FALSE) - 2,
VLOOKUP(A105,vote4SURGE!$A:$C , 3, FALSE)
)
))</f>
        <v/>
      </c>
      <c r="W105" s="343">
        <f t="shared" si="1"/>
        <v>2</v>
      </c>
      <c r="X105" s="344">
        <f>IFERROR(__xludf.DUMMYFUNCTION("SWITCH(
LEN(K105) - LEN(SUBSTITUTE(K105,"","","""")),
0 , VLOOKUP(K105, Variables!$A:$C, 3, FALSE),
1 , VLOOKUP(index(split(K105 ,"", "", FALSE),1,1), Variables!$A:$C, 3, FALSE) + VLOOKUP(index(split(K105 ,"", "", FALSE),1,2), Variables!$A:$C, 3, FALSE),
"&amp;"2 , VLOOKUP(index(split(K105 ,"", "", FALSE),1,1), Variables!$A:$C, 3, FALSE) + VLOOKUP(index(split(K105 ,"", "", FALSE),1,2), Variables!$A:$C, 3, FALSE) + VLOOKUP(index(split(K105 ,"", "", FALSE),1,3), Variables!$A:$C, 3, FALSE)
)"),0.8333333333333333)</f>
        <v>0.8333333333</v>
      </c>
      <c r="Y105" s="342">
        <f t="shared" si="2"/>
        <v>5.604166667</v>
      </c>
      <c r="Z105" s="114" t="s">
        <v>2572</v>
      </c>
      <c r="AA105" s="114"/>
      <c r="AB105" s="114"/>
      <c r="AC105" s="114"/>
      <c r="AD105" s="114" t="s">
        <v>2572</v>
      </c>
      <c r="AE105" s="114"/>
      <c r="AF105" s="114"/>
      <c r="AG105" s="114"/>
      <c r="AH105" s="114"/>
      <c r="AI105" s="114"/>
      <c r="AJ105" s="114" t="s">
        <v>2574</v>
      </c>
      <c r="AK105" s="473">
        <v>8.0</v>
      </c>
      <c r="AL105" s="114" t="s">
        <v>2574</v>
      </c>
      <c r="AM105" s="473">
        <v>11.0</v>
      </c>
      <c r="AN105" s="114" t="s">
        <v>2574</v>
      </c>
      <c r="AO105" s="473">
        <v>14.0</v>
      </c>
      <c r="AP105" s="130">
        <f>SUM(
VLOOKUP("Ravage",vote4TRAITS!A:C,3,FALSE)
)</f>
        <v>7.333333333</v>
      </c>
      <c r="AQ105" s="130">
        <f t="shared" si="3"/>
        <v>10.79083333</v>
      </c>
    </row>
    <row r="106" ht="14.25" customHeight="1">
      <c r="A106" s="137" t="s">
        <v>1468</v>
      </c>
      <c r="B106" s="114" t="s">
        <v>2576</v>
      </c>
      <c r="C106" s="114">
        <v>14.0</v>
      </c>
      <c r="D106" s="114">
        <v>1.0</v>
      </c>
      <c r="E106" s="114">
        <v>1.0</v>
      </c>
      <c r="F106" s="487">
        <v>4.0</v>
      </c>
      <c r="G106" s="488">
        <v>3.0</v>
      </c>
      <c r="H106" s="114" t="s">
        <v>1663</v>
      </c>
      <c r="I106" s="130">
        <f>IFERROR(__xludf.DUMMYFUNCTION("SWITCH(
LEN(H106) - LEN(SUBSTITUTE(H106,"","","""")),
0 , VLOOKUP(H106, Variables!$A:$B, 2, FALSE),
1 , VLOOKUP(index(split(H106 ,"", "", FALSE),1,1), Variables!$A:$B , 2, FALSE) + VLOOKUP(index(split(H106 ,"", "", FALSE),1,2), Variables!$A:$B , 2, FALSE)"&amp;",
2 , VLOOKUP(index(split(H106 ,"", "", FALSE),1,1), Variables!$A:$B , 2, FALSE) + VLOOKUP(index(split(H106 ,"", "", FALSE),1,2), Variables!$A:$B , 2, FALSE) + VLOOKUP(index(split(H106 ,"", "", FALSE),1,3), Variables!$A:$B , 2, FALSE)
)"),1.3333333333333333)</f>
        <v>1.333333333</v>
      </c>
      <c r="J106" s="114" t="s">
        <v>1567</v>
      </c>
      <c r="K106" s="114" t="s">
        <v>1548</v>
      </c>
      <c r="L106" s="130">
        <f>IFERROR(__xludf.DUMMYFUNCTION("SWITCH(
LEN(K106) - LEN(SUBSTITUTE(K106,"","","""")),
0 , VLOOKUP(K106, Variables!$A:$B, 2, FALSE),
1 , VLOOKUP(index(split(K106 ,"", "", FALSE),1,1), Variables!$A:$B , 2, FALSE) + VLOOKUP(index(split(K106 ,"", "", FALSE),1,2), Variables!$A:$B , 2, FALSE)"&amp;",
2 , VLOOKUP(index(split(K106 ,"", "", FALSE),1,1), Variables!$A:$B , 2, FALSE) + VLOOKUP(index(split(K106 ,"", "", FALSE),1,2), Variables!$A:$B , 2, FALSE) + VLOOKUP(index(split(K106 ,"", "", FALSE),1,3), Variables!$A:$B , 2, FALSE)
)
+
IF(J106=""Ranged"&amp;""", 1 , 0)"),3.3333333333333335)</f>
        <v>3.333333333</v>
      </c>
      <c r="M106" s="114"/>
      <c r="N106" s="130" t="str">
        <f>IFERROR(__xludf.DUMMYFUNCTION("IF(ISBLANK(M106), , 
SWITCH(
LEN(M106)- LEN(SUBSTITUTE(M106,"","","""")), 
0 , VLOOKUP(M106, vote4TRAITS!A:C , 3, FALSE),
1 , VLOOKUP(index(split(M106 ,"", "", FALSE),1,1), vote4TRAITS!A:C , 3, FALSE) + VLOOKUP(index(split(M106 ,"", "", FALSE),1,2), vote4"&amp;"TRAITS!A:C , 3, FALSE),
2 , VLOOKUP(index(split(M106 ,"", "", FALSE),1,1), vote4TRAITS!A:C , 3, FALSE) + VLOOKUP(index(split(M106 ,"", "", FALSE),1,2), vote4TRAITS!A:C , 3, FALSE) + VLOOKUP(index(split(M106 ,"", "", FALSE),1,3), vote4TRAITS!A:C , 3, FALSE"&amp;")
)
)"),"")</f>
        <v/>
      </c>
      <c r="O106" s="490"/>
      <c r="P106" s="165" t="str">
        <f>IFERROR(__xludf.DUMMYFUNCTION("IF(ISBLANK(O106), , 
SWITCH(
LEN(O106)- LEN(SUBSTITUTE(O106,"","","""")), 
0 , VLOOKUP(O106, vote4ACTIONS!A:C , 3, FALSE),
1 , VLOOKUP(index(split(O106 ,"", "", FALSE),1,1), vote4ACTIONS!A:C , 3, FALSE) + VLOOKUP(index(split(O106 ,"", "", FALSE),1,2), vot"&amp;"e4ACTIONS!A:C , 3, FALSE),
2 , VLOOKUP(index(split(O106 ,"", "", FALSE),1,1), vote4ACTIONS!A:C , 3, FALSE) + VLOOKUP(index(split(O106 ,"", "", FALSE),1,2), vote4ACTIONS!A:C , 3, FALSE) + VLOOKUP(index(split(O106 ,"", "", FALSE),1,3), vote4ACTIONS!A:C , 3,"&amp;" FALSE),
3 , VLOOKUP(index(split(O106 ,"", "", FALSE),1,1), vote4ACTIONS!A:C , 3, FALSE) + VLOOKUP(index(split(O106 ,"", "", FALSE),1,2), vote4ACTIONS!A:C , 3, FALSE) + VLOOKUP(index(split(O106 ,"", "", FALSE),1,3), vote4ACTIONS!A:C , 3, FALSE) + VLOOKUP("&amp;"index(split(O106 ,"", "", FALSE),1,4), vote4ACTIONS!A:C , 3, FALSE)
)
)"),"")</f>
        <v/>
      </c>
      <c r="Q106" s="169" t="s">
        <v>1579</v>
      </c>
      <c r="R106" s="342">
        <f>IF(ISBLANK(Q106),,IFERROR(
IF(IFERROR(SEARCH("SS:",Q106),0) &gt; 0, 
VLOOKUP(SUBSTITUTE(Q106,"SS: ",""),vote4SURGE!$A:$C , 3, FALSE) - 2,
VLOOKUP(SUBSTITUTE(Q106,"S: ",""),vote4SURGE!$A:$C , 3, FALSE)
)
,
IF(IFERROR(SEARCH("SS:",Q106),0) &gt; 0, 
VLOOKUP(A106,vote4SURGE!$A:$C , 3, FALSE) - 2,
VLOOKUP(A106,vote4SURGE!$A:$C , 3, FALSE)
)
))</f>
        <v>2.5</v>
      </c>
      <c r="S106" s="489" t="s">
        <v>1611</v>
      </c>
      <c r="T106" s="342">
        <f>IF(ISBLANK(S106),,IFERROR(
IF(IFERROR(SEARCH("SS:",S106),0) &gt; 0, 
VLOOKUP(SUBSTITUTE(S106,"SS: ",""),vote4SURGE!$A:$C , 3, FALSE) - 2,
VLOOKUP(SUBSTITUTE(S106,"S: ",""),vote4SURGE!$A:$C , 3, FALSE)
)
,
IF(IFERROR(SEARCH("SS:",S106),0) &gt; 0, 
VLOOKUP(A106,vote4SURGE!$A:$C , 3, FALSE) - 2,
VLOOKUP(A106,vote4SURGE!$A:$C , 3, FALSE)
)
))</f>
        <v>4.25</v>
      </c>
      <c r="U106" s="164"/>
      <c r="V106" s="343" t="str">
        <f>IF(ISBLANK(U106),,IFERROR(
IF(IFERROR(SEARCH("SS:",U106),0) &gt; 0, 
VLOOKUP(SUBSTITUTE(U106,"SS: ",""),vote4SURGE!$A:$C , 3, FALSE) - 2,
VLOOKUP(SUBSTITUTE(U106,"S: ",""),vote4SURGE!$A:$C , 3, FALSE)
)
,
IF(IFERROR(SEARCH("SS:",U106),0) &gt; 0, 
VLOOKUP(A106,vote4SURGE!$A:$C , 3, FALSE) - 2,
VLOOKUP(A106,vote4SURGE!$A:$C , 3, FALSE)
)
))</f>
        <v/>
      </c>
      <c r="W106" s="343">
        <f t="shared" si="1"/>
        <v>2</v>
      </c>
      <c r="X106" s="344">
        <f>IFERROR(__xludf.DUMMYFUNCTION("SWITCH(
LEN(K106) - LEN(SUBSTITUTE(K106,"","","""")),
0 , VLOOKUP(K106, Variables!$A:$C, 3, FALSE),
1 , VLOOKUP(index(split(K106 ,"", "", FALSE),1,1), Variables!$A:$C, 3, FALSE) + VLOOKUP(index(split(K106 ,"", "", FALSE),1,2), Variables!$A:$C, 3, FALSE),
"&amp;"2 , VLOOKUP(index(split(K106 ,"", "", FALSE),1,1), Variables!$A:$C, 3, FALSE) + VLOOKUP(index(split(K106 ,"", "", FALSE),1,2), Variables!$A:$C, 3, FALSE) + VLOOKUP(index(split(K106 ,"", "", FALSE),1,3), Variables!$A:$C, 3, FALSE)
)"),0.8333333333333333)</f>
        <v>0.8333333333</v>
      </c>
      <c r="Y106" s="342">
        <f t="shared" si="2"/>
        <v>5.291666667</v>
      </c>
      <c r="Z106" s="114" t="s">
        <v>2572</v>
      </c>
      <c r="AA106" s="114"/>
      <c r="AB106" s="114"/>
      <c r="AC106" s="114"/>
      <c r="AD106" s="114" t="s">
        <v>2572</v>
      </c>
      <c r="AE106" s="114"/>
      <c r="AF106" s="114"/>
      <c r="AG106" s="114"/>
      <c r="AH106" s="114"/>
      <c r="AI106" s="114"/>
      <c r="AJ106" s="114" t="s">
        <v>2574</v>
      </c>
      <c r="AK106" s="473">
        <v>8.0</v>
      </c>
      <c r="AL106" s="114" t="s">
        <v>369</v>
      </c>
      <c r="AM106" s="473">
        <v>11.0</v>
      </c>
      <c r="AN106" s="114" t="s">
        <v>368</v>
      </c>
      <c r="AO106" s="473">
        <v>14.0</v>
      </c>
      <c r="AP106" s="130">
        <f>SUM(
VLOOKUP("Ravage",vote4TRAITS!A:C,3,FALSE)
)</f>
        <v>7.333333333</v>
      </c>
      <c r="AQ106" s="130">
        <f t="shared" si="3"/>
        <v>6.611666667</v>
      </c>
    </row>
    <row r="107" ht="14.25" customHeight="1">
      <c r="A107" s="137" t="s">
        <v>2613</v>
      </c>
      <c r="B107" s="114" t="s">
        <v>2570</v>
      </c>
      <c r="C107" s="114">
        <v>36.0</v>
      </c>
      <c r="D107" s="114">
        <v>2.0</v>
      </c>
      <c r="E107" s="114">
        <v>4.0</v>
      </c>
      <c r="F107" s="487">
        <v>3.0</v>
      </c>
      <c r="G107" s="488">
        <v>12.0</v>
      </c>
      <c r="H107" s="114" t="s">
        <v>2599</v>
      </c>
      <c r="I107" s="130">
        <f>IFERROR(__xludf.DUMMYFUNCTION("SWITCH(
LEN(H107) - LEN(SUBSTITUTE(H107,"","","""")),
0 , VLOOKUP(H107, Variables!$A:$B, 2, FALSE),
1 , VLOOKUP(index(split(H107 ,"", "", FALSE),1,1), Variables!$A:$B , 2, FALSE) + VLOOKUP(index(split(H107 ,"", "", FALSE),1,2), Variables!$A:$B , 2, FALSE)"&amp;",
2 , VLOOKUP(index(split(H107 ,"", "", FALSE),1,1), Variables!$A:$B , 2, FALSE) + VLOOKUP(index(split(H107 ,"", "", FALSE),1,2), Variables!$A:$B , 2, FALSE) + VLOOKUP(index(split(H107 ,"", "", FALSE),1,3), Variables!$A:$B , 2, FALSE)
)"),3.5)</f>
        <v>3.5</v>
      </c>
      <c r="J107" s="114" t="s">
        <v>1521</v>
      </c>
      <c r="K107" s="114" t="s">
        <v>1528</v>
      </c>
      <c r="L107" s="130">
        <f>IFERROR(__xludf.DUMMYFUNCTION("SWITCH(
LEN(K107) - LEN(SUBSTITUTE(K107,"","","""")),
0 , VLOOKUP(K107, Variables!$A:$B, 2, FALSE),
1 , VLOOKUP(index(split(K107 ,"", "", FALSE),1,1), Variables!$A:$B , 2, FALSE) + VLOOKUP(index(split(K107 ,"", "", FALSE),1,2), Variables!$A:$B , 2, FALSE)"&amp;",
2 , VLOOKUP(index(split(K107 ,"", "", FALSE),1,1), Variables!$A:$B , 2, FALSE) + VLOOKUP(index(split(K107 ,"", "", FALSE),1,2), Variables!$A:$B , 2, FALSE) + VLOOKUP(index(split(K107 ,"", "", FALSE),1,3), Variables!$A:$B , 2, FALSE)
)
+
IF(J107=""Ranged"&amp;""", 1 , 0)"),5.5)</f>
        <v>5.5</v>
      </c>
      <c r="M107" s="114" t="s">
        <v>2614</v>
      </c>
      <c r="N107" s="130">
        <f>IFERROR(__xludf.DUMMYFUNCTION("IF(ISBLANK(M107), , 
SWITCH(
LEN(M107)- LEN(SUBSTITUTE(M107,"","","""")), 
0 , VLOOKUP(M107, vote4TRAITS!A:C , 3, FALSE),
1 , VLOOKUP(index(split(M107 ,"", "", FALSE),1,1), vote4TRAITS!A:C , 3, FALSE) + VLOOKUP(index(split(M107 ,"", "", FALSE),1,2), vote4"&amp;"TRAITS!A:C , 3, FALSE),
2 , VLOOKUP(index(split(M107 ,"", "", FALSE),1,1), vote4TRAITS!A:C , 3, FALSE) + VLOOKUP(index(split(M107 ,"", "", FALSE),1,2), vote4TRAITS!A:C , 3, FALSE) + VLOOKUP(index(split(M107 ,"", "", FALSE),1,3), vote4TRAITS!A:C , 3, FALSE"&amp;")
)
)"),9.0)</f>
        <v>9</v>
      </c>
      <c r="O107" s="490"/>
      <c r="P107" s="165" t="str">
        <f>IFERROR(__xludf.DUMMYFUNCTION("IF(ISBLANK(O107), , 
SWITCH(
LEN(O107)- LEN(SUBSTITUTE(O107,"","","""")), 
0 , VLOOKUP(O107, vote4ACTIONS!A:C , 3, FALSE),
1 , VLOOKUP(index(split(O107 ,"", "", FALSE),1,1), vote4ACTIONS!A:C , 3, FALSE) + VLOOKUP(index(split(O107 ,"", "", FALSE),1,2), vot"&amp;"e4ACTIONS!A:C , 3, FALSE),
2 , VLOOKUP(index(split(O107 ,"", "", FALSE),1,1), vote4ACTIONS!A:C , 3, FALSE) + VLOOKUP(index(split(O107 ,"", "", FALSE),1,2), vote4ACTIONS!A:C , 3, FALSE) + VLOOKUP(index(split(O107 ,"", "", FALSE),1,3), vote4ACTIONS!A:C , 3,"&amp;" FALSE),
3 , VLOOKUP(index(split(O107 ,"", "", FALSE),1,1), vote4ACTIONS!A:C , 3, FALSE) + VLOOKUP(index(split(O107 ,"", "", FALSE),1,2), vote4ACTIONS!A:C , 3, FALSE) + VLOOKUP(index(split(O107 ,"", "", FALSE),1,3), vote4ACTIONS!A:C , 3, FALSE) + VLOOKUP("&amp;"index(split(O107 ,"", "", FALSE),1,4), vote4ACTIONS!A:C , 3, FALSE)
)
)"),"")</f>
        <v/>
      </c>
      <c r="Q107" s="340" t="s">
        <v>1534</v>
      </c>
      <c r="R107" s="342">
        <f>IF(ISBLANK(Q107),,IFERROR(
IF(IFERROR(SEARCH("SS:",Q107),0) &gt; 0, 
VLOOKUP(SUBSTITUTE(Q107,"SS: ",""),vote4SURGE!$A:$C , 3, FALSE) - 2,
VLOOKUP(SUBSTITUTE(Q107,"S: ",""),vote4SURGE!$A:$C , 3, FALSE)
)
,
IF(IFERROR(SEARCH("SS:",Q107),0) &gt; 0, 
VLOOKUP(A107,vote4SURGE!$A:$C , 3, FALSE) - 2,
VLOOKUP(A107,vote4SURGE!$A:$C , 3, FALSE)
)
))</f>
        <v>4.25</v>
      </c>
      <c r="S107" s="489"/>
      <c r="T107" s="342" t="str">
        <f>IF(ISBLANK(S107),,IFERROR(
IF(IFERROR(SEARCH("SS:",S107),0) &gt; 0, 
VLOOKUP(SUBSTITUTE(S107,"SS: ",""),vote4SURGE!$A:$C , 3, FALSE) - 2,
VLOOKUP(SUBSTITUTE(S107,"S: ",""),vote4SURGE!$A:$C , 3, FALSE)
)
,
IF(IFERROR(SEARCH("SS:",S107),0) &gt; 0, 
VLOOKUP(A107,vote4SURGE!$A:$C , 3, FALSE) - 2,
VLOOKUP(A107,vote4SURGE!$A:$C , 3, FALSE)
)
))</f>
        <v/>
      </c>
      <c r="U107" s="341"/>
      <c r="V107" s="343" t="str">
        <f>IF(ISBLANK(U107),,IFERROR(
IF(IFERROR(SEARCH("SS:",U107),0) &gt; 0, 
VLOOKUP(SUBSTITUTE(U107,"SS: ",""),vote4SURGE!$A:$C , 3, FALSE) - 2,
VLOOKUP(SUBSTITUTE(U107,"S: ",""),vote4SURGE!$A:$C , 3, FALSE)
)
,
IF(IFERROR(SEARCH("SS:",U107),0) &gt; 0, 
VLOOKUP(A107,vote4SURGE!$A:$C , 3, FALSE) - 2,
VLOOKUP(A107,vote4SURGE!$A:$C , 3, FALSE)
)
))</f>
        <v/>
      </c>
      <c r="W107" s="343">
        <f t="shared" si="1"/>
        <v>1</v>
      </c>
      <c r="X107" s="344">
        <f>IFERROR(__xludf.DUMMYFUNCTION("SWITCH(
LEN(K107) - LEN(SUBSTITUTE(K107,"","","""")),
0 , VLOOKUP(K107, Variables!$A:$C, 3, FALSE),
1 , VLOOKUP(index(split(K107 ,"", "", FALSE),1,1), Variables!$A:$C, 3, FALSE) + VLOOKUP(index(split(K107 ,"", "", FALSE),1,2), Variables!$A:$C, 3, FALSE),
"&amp;"2 , VLOOKUP(index(split(K107 ,"", "", FALSE),1,1), Variables!$A:$C, 3, FALSE) + VLOOKUP(index(split(K107 ,"", "", FALSE),1,2), Variables!$A:$C, 3, FALSE) + VLOOKUP(index(split(K107 ,"", "", FALSE),1,3), Variables!$A:$C, 3, FALSE)
)"),0.6666666666666666)</f>
        <v>0.6666666667</v>
      </c>
      <c r="Y107" s="342">
        <f t="shared" si="2"/>
        <v>2.833333333</v>
      </c>
      <c r="Z107" s="114" t="s">
        <v>2572</v>
      </c>
      <c r="AA107" s="114"/>
      <c r="AB107" s="114"/>
      <c r="AC107" s="114"/>
      <c r="AD107" s="114"/>
      <c r="AE107" s="114"/>
      <c r="AF107" s="114"/>
      <c r="AG107" s="114" t="s">
        <v>2572</v>
      </c>
      <c r="AH107" s="114"/>
      <c r="AI107" s="114"/>
      <c r="AJ107" s="114" t="s">
        <v>2573</v>
      </c>
      <c r="AK107" s="473">
        <v>10.0</v>
      </c>
      <c r="AL107" s="114" t="s">
        <v>2574</v>
      </c>
      <c r="AM107" s="473">
        <v>12.0</v>
      </c>
      <c r="AN107" s="114" t="s">
        <v>2574</v>
      </c>
      <c r="AO107" s="473">
        <v>22.0</v>
      </c>
      <c r="AP107" s="130">
        <f>SUM(
VLOOKUP("Ravage",vote4TRAITS!A:C,3,FALSE)
)</f>
        <v>7.333333333</v>
      </c>
      <c r="AQ107" s="130">
        <f t="shared" si="3"/>
        <v>53.32</v>
      </c>
    </row>
    <row r="108" ht="14.25" customHeight="1">
      <c r="A108" s="137" t="s">
        <v>2613</v>
      </c>
      <c r="B108" s="114" t="s">
        <v>2576</v>
      </c>
      <c r="C108" s="114">
        <v>36.0</v>
      </c>
      <c r="D108" s="114">
        <v>2.0</v>
      </c>
      <c r="E108" s="114">
        <v>4.0</v>
      </c>
      <c r="F108" s="487">
        <v>3.0</v>
      </c>
      <c r="G108" s="488">
        <v>10.0</v>
      </c>
      <c r="H108" s="114" t="s">
        <v>2599</v>
      </c>
      <c r="I108" s="130">
        <f>IFERROR(__xludf.DUMMYFUNCTION("SWITCH(
LEN(H108) - LEN(SUBSTITUTE(H108,"","","""")),
0 , VLOOKUP(H108, Variables!$A:$B, 2, FALSE),
1 , VLOOKUP(index(split(H108 ,"", "", FALSE),1,1), Variables!$A:$B , 2, FALSE) + VLOOKUP(index(split(H108 ,"", "", FALSE),1,2), Variables!$A:$B , 2, FALSE)"&amp;",
2 , VLOOKUP(index(split(H108 ,"", "", FALSE),1,1), Variables!$A:$B , 2, FALSE) + VLOOKUP(index(split(H108 ,"", "", FALSE),1,2), Variables!$A:$B , 2, FALSE) + VLOOKUP(index(split(H108 ,"", "", FALSE),1,3), Variables!$A:$B , 2, FALSE)
)"),3.5)</f>
        <v>3.5</v>
      </c>
      <c r="J108" s="114" t="s">
        <v>1521</v>
      </c>
      <c r="K108" s="114" t="s">
        <v>1528</v>
      </c>
      <c r="L108" s="130">
        <f>IFERROR(__xludf.DUMMYFUNCTION("SWITCH(
LEN(K108) - LEN(SUBSTITUTE(K108,"","","""")),
0 , VLOOKUP(K108, Variables!$A:$B, 2, FALSE),
1 , VLOOKUP(index(split(K108 ,"", "", FALSE),1,1), Variables!$A:$B , 2, FALSE) + VLOOKUP(index(split(K108 ,"", "", FALSE),1,2), Variables!$A:$B , 2, FALSE)"&amp;",
2 , VLOOKUP(index(split(K108 ,"", "", FALSE),1,1), Variables!$A:$B , 2, FALSE) + VLOOKUP(index(split(K108 ,"", "", FALSE),1,2), Variables!$A:$B , 2, FALSE) + VLOOKUP(index(split(K108 ,"", "", FALSE),1,3), Variables!$A:$B , 2, FALSE)
)
+
IF(J108=""Ranged"&amp;""", 1 , 0)"),5.5)</f>
        <v>5.5</v>
      </c>
      <c r="M108" s="114" t="s">
        <v>1047</v>
      </c>
      <c r="N108" s="130">
        <f>IFERROR(__xludf.DUMMYFUNCTION("IF(ISBLANK(M108), , 
SWITCH(
LEN(M108)- LEN(SUBSTITUTE(M108,"","","""")), 
0 , VLOOKUP(M108, vote4TRAITS!A:C , 3, FALSE),
1 , VLOOKUP(index(split(M108 ,"", "", FALSE),1,1), vote4TRAITS!A:C , 3, FALSE) + VLOOKUP(index(split(M108 ,"", "", FALSE),1,2), vote4"&amp;"TRAITS!A:C , 3, FALSE),
2 , VLOOKUP(index(split(M108 ,"", "", FALSE),1,1), vote4TRAITS!A:C , 3, FALSE) + VLOOKUP(index(split(M108 ,"", "", FALSE),1,2), vote4TRAITS!A:C , 3, FALSE) + VLOOKUP(index(split(M108 ,"", "", FALSE),1,3), vote4TRAITS!A:C , 3, FALSE"&amp;")
)
)"),5.666666666666667)</f>
        <v>5.666666667</v>
      </c>
      <c r="O108" s="490"/>
      <c r="P108" s="165" t="str">
        <f>IFERROR(__xludf.DUMMYFUNCTION("IF(ISBLANK(O108), , 
SWITCH(
LEN(O108)- LEN(SUBSTITUTE(O108,"","","""")), 
0 , VLOOKUP(O108, vote4ACTIONS!A:C , 3, FALSE),
1 , VLOOKUP(index(split(O108 ,"", "", FALSE),1,1), vote4ACTIONS!A:C , 3, FALSE) + VLOOKUP(index(split(O108 ,"", "", FALSE),1,2), vot"&amp;"e4ACTIONS!A:C , 3, FALSE),
2 , VLOOKUP(index(split(O108 ,"", "", FALSE),1,1), vote4ACTIONS!A:C , 3, FALSE) + VLOOKUP(index(split(O108 ,"", "", FALSE),1,2), vote4ACTIONS!A:C , 3, FALSE) + VLOOKUP(index(split(O108 ,"", "", FALSE),1,3), vote4ACTIONS!A:C , 3,"&amp;" FALSE),
3 , VLOOKUP(index(split(O108 ,"", "", FALSE),1,1), vote4ACTIONS!A:C , 3, FALSE) + VLOOKUP(index(split(O108 ,"", "", FALSE),1,2), vote4ACTIONS!A:C , 3, FALSE) + VLOOKUP(index(split(O108 ,"", "", FALSE),1,3), vote4ACTIONS!A:C , 3, FALSE) + VLOOKUP("&amp;"index(split(O108 ,"", "", FALSE),1,4), vote4ACTIONS!A:C , 3, FALSE)
)
)"),"")</f>
        <v/>
      </c>
      <c r="Q108" s="340" t="s">
        <v>1562</v>
      </c>
      <c r="R108" s="342">
        <f>IF(ISBLANK(Q108),,IFERROR(
IF(IFERROR(SEARCH("SS:",Q108),0) &gt; 0, 
VLOOKUP(SUBSTITUTE(Q108,"SS: ",""),vote4SURGE!$A:$C , 3, FALSE) - 2,
VLOOKUP(SUBSTITUTE(Q108,"S: ",""),vote4SURGE!$A:$C , 3, FALSE)
)
,
IF(IFERROR(SEARCH("SS:",Q108),0) &gt; 0, 
VLOOKUP(A108,vote4SURGE!$A:$C , 3, FALSE) - 2,
VLOOKUP(A108,vote4SURGE!$A:$C , 3, FALSE)
)
))</f>
        <v>3.5</v>
      </c>
      <c r="S108" s="489"/>
      <c r="T108" s="342" t="str">
        <f>IF(ISBLANK(S108),,IFERROR(
IF(IFERROR(SEARCH("SS:",S108),0) &gt; 0, 
VLOOKUP(SUBSTITUTE(S108,"SS: ",""),vote4SURGE!$A:$C , 3, FALSE) - 2,
VLOOKUP(SUBSTITUTE(S108,"S: ",""),vote4SURGE!$A:$C , 3, FALSE)
)
,
IF(IFERROR(SEARCH("SS:",S108),0) &gt; 0, 
VLOOKUP(A108,vote4SURGE!$A:$C , 3, FALSE) - 2,
VLOOKUP(A108,vote4SURGE!$A:$C , 3, FALSE)
)
))</f>
        <v/>
      </c>
      <c r="U108" s="489"/>
      <c r="V108" s="343" t="str">
        <f>IF(ISBLANK(U108),,IFERROR(
IF(IFERROR(SEARCH("SS:",U108),0) &gt; 0, 
VLOOKUP(SUBSTITUTE(U108,"SS: ",""),vote4SURGE!$A:$C , 3, FALSE) - 2,
VLOOKUP(SUBSTITUTE(U108,"S: ",""),vote4SURGE!$A:$C , 3, FALSE)
)
,
IF(IFERROR(SEARCH("SS:",U108),0) &gt; 0, 
VLOOKUP(A108,vote4SURGE!$A:$C , 3, FALSE) - 2,
VLOOKUP(A108,vote4SURGE!$A:$C , 3, FALSE)
)
))</f>
        <v/>
      </c>
      <c r="W108" s="343">
        <f t="shared" si="1"/>
        <v>1</v>
      </c>
      <c r="X108" s="344">
        <f>IFERROR(__xludf.DUMMYFUNCTION("SWITCH(
LEN(K108) - LEN(SUBSTITUTE(K108,"","","""")),
0 , VLOOKUP(K108, Variables!$A:$C, 3, FALSE),
1 , VLOOKUP(index(split(K108 ,"", "", FALSE),1,1), Variables!$A:$C, 3, FALSE) + VLOOKUP(index(split(K108 ,"", "", FALSE),1,2), Variables!$A:$C, 3, FALSE),
"&amp;"2 , VLOOKUP(index(split(K108 ,"", "", FALSE),1,1), Variables!$A:$C, 3, FALSE) + VLOOKUP(index(split(K108 ,"", "", FALSE),1,2), Variables!$A:$C, 3, FALSE) + VLOOKUP(index(split(K108 ,"", "", FALSE),1,3), Variables!$A:$C, 3, FALSE)
)"),0.6666666666666666)</f>
        <v>0.6666666667</v>
      </c>
      <c r="Y108" s="342">
        <f t="shared" si="2"/>
        <v>2.333333333</v>
      </c>
      <c r="Z108" s="114" t="s">
        <v>2572</v>
      </c>
      <c r="AA108" s="114"/>
      <c r="AB108" s="114"/>
      <c r="AC108" s="114"/>
      <c r="AD108" s="114"/>
      <c r="AE108" s="114"/>
      <c r="AF108" s="114"/>
      <c r="AG108" s="114" t="s">
        <v>2572</v>
      </c>
      <c r="AH108" s="114"/>
      <c r="AI108" s="114"/>
      <c r="AJ108" s="114" t="s">
        <v>2574</v>
      </c>
      <c r="AK108" s="473">
        <v>10.0</v>
      </c>
      <c r="AL108" s="114" t="s">
        <v>2573</v>
      </c>
      <c r="AM108" s="473">
        <v>12.0</v>
      </c>
      <c r="AN108" s="114" t="s">
        <v>2574</v>
      </c>
      <c r="AO108" s="473">
        <v>22.0</v>
      </c>
      <c r="AP108" s="130">
        <f>SUM(
VLOOKUP("Ravage",vote4TRAITS!A:C,3,FALSE)
)</f>
        <v>7.333333333</v>
      </c>
      <c r="AQ108" s="130">
        <f t="shared" si="3"/>
        <v>42.48666667</v>
      </c>
    </row>
    <row r="109" ht="14.25" customHeight="1">
      <c r="A109" s="137" t="s">
        <v>2613</v>
      </c>
      <c r="B109" s="114" t="s">
        <v>2570</v>
      </c>
      <c r="C109" s="114">
        <v>36.0</v>
      </c>
      <c r="D109" s="114">
        <v>1.0</v>
      </c>
      <c r="E109" s="114">
        <v>4.0</v>
      </c>
      <c r="F109" s="487">
        <v>3.0</v>
      </c>
      <c r="G109" s="488">
        <v>10.0</v>
      </c>
      <c r="H109" s="114" t="s">
        <v>1671</v>
      </c>
      <c r="I109" s="130">
        <f>IFERROR(__xludf.DUMMYFUNCTION("SWITCH(
LEN(H109) - LEN(SUBSTITUTE(H109,"","","""")),
0 , VLOOKUP(H109, Variables!$A:$B, 2, FALSE),
1 , VLOOKUP(index(split(H109 ,"", "", FALSE),1,1), Variables!$A:$B , 2, FALSE) + VLOOKUP(index(split(H109 ,"", "", FALSE),1,2), Variables!$A:$B , 2, FALSE)"&amp;",
2 , VLOOKUP(index(split(H109 ,"", "", FALSE),1,1), Variables!$A:$B , 2, FALSE) + VLOOKUP(index(split(H109 ,"", "", FALSE),1,2), Variables!$A:$B , 2, FALSE) + VLOOKUP(index(split(H109 ,"", "", FALSE),1,3), Variables!$A:$B , 2, FALSE)
)"),2.1666666666666665)</f>
        <v>2.166666667</v>
      </c>
      <c r="J109" s="114" t="s">
        <v>1521</v>
      </c>
      <c r="K109" s="114" t="s">
        <v>1525</v>
      </c>
      <c r="L109" s="130">
        <f>IFERROR(__xludf.DUMMYFUNCTION("SWITCH(
LEN(K109) - LEN(SUBSTITUTE(K109,"","","""")),
0 , VLOOKUP(K109, Variables!$A:$B, 2, FALSE),
1 , VLOOKUP(index(split(K109 ,"", "", FALSE),1,1), Variables!$A:$B , 2, FALSE) + VLOOKUP(index(split(K109 ,"", "", FALSE),1,2), Variables!$A:$B , 2, FALSE)"&amp;",
2 , VLOOKUP(index(split(K109 ,"", "", FALSE),1,1), Variables!$A:$B , 2, FALSE) + VLOOKUP(index(split(K109 ,"", "", FALSE),1,2), Variables!$A:$B , 2, FALSE) + VLOOKUP(index(split(K109 ,"", "", FALSE),1,3), Variables!$A:$B , 2, FALSE)
)
+
IF(J109=""Ranged"&amp;""", 1 , 0)"),3.333333333333333)</f>
        <v>3.333333333</v>
      </c>
      <c r="M109" s="114" t="s">
        <v>2614</v>
      </c>
      <c r="N109" s="130">
        <f>IFERROR(__xludf.DUMMYFUNCTION("IF(ISBLANK(M109), , 
SWITCH(
LEN(M109)- LEN(SUBSTITUTE(M109,"","","""")), 
0 , VLOOKUP(M109, vote4TRAITS!A:C , 3, FALSE),
1 , VLOOKUP(index(split(M109 ,"", "", FALSE),1,1), vote4TRAITS!A:C , 3, FALSE) + VLOOKUP(index(split(M109 ,"", "", FALSE),1,2), vote4"&amp;"TRAITS!A:C , 3, FALSE),
2 , VLOOKUP(index(split(M109 ,"", "", FALSE),1,1), vote4TRAITS!A:C , 3, FALSE) + VLOOKUP(index(split(M109 ,"", "", FALSE),1,2), vote4TRAITS!A:C , 3, FALSE) + VLOOKUP(index(split(M109 ,"", "", FALSE),1,3), vote4TRAITS!A:C , 3, FALSE"&amp;")
)
)"),9.0)</f>
        <v>9</v>
      </c>
      <c r="O109" s="490"/>
      <c r="P109" s="165" t="str">
        <f>IFERROR(__xludf.DUMMYFUNCTION("IF(ISBLANK(O109), , 
SWITCH(
LEN(O109)- LEN(SUBSTITUTE(O109,"","","""")), 
0 , VLOOKUP(O109, vote4ACTIONS!A:C , 3, FALSE),
1 , VLOOKUP(index(split(O109 ,"", "", FALSE),1,1), vote4ACTIONS!A:C , 3, FALSE) + VLOOKUP(index(split(O109 ,"", "", FALSE),1,2), vot"&amp;"e4ACTIONS!A:C , 3, FALSE),
2 , VLOOKUP(index(split(O109 ,"", "", FALSE),1,1), vote4ACTIONS!A:C , 3, FALSE) + VLOOKUP(index(split(O109 ,"", "", FALSE),1,2), vote4ACTIONS!A:C , 3, FALSE) + VLOOKUP(index(split(O109 ,"", "", FALSE),1,3), vote4ACTIONS!A:C , 3,"&amp;" FALSE),
3 , VLOOKUP(index(split(O109 ,"", "", FALSE),1,1), vote4ACTIONS!A:C , 3, FALSE) + VLOOKUP(index(split(O109 ,"", "", FALSE),1,2), vote4ACTIONS!A:C , 3, FALSE) + VLOOKUP(index(split(O109 ,"", "", FALSE),1,3), vote4ACTIONS!A:C , 3, FALSE) + VLOOKUP("&amp;"index(split(O109 ,"", "", FALSE),1,4), vote4ACTIONS!A:C , 3, FALSE)
)
)"),"")</f>
        <v/>
      </c>
      <c r="Q109" s="340" t="s">
        <v>1534</v>
      </c>
      <c r="R109" s="342">
        <f>IF(ISBLANK(Q109),,IFERROR(
IF(IFERROR(SEARCH("SS:",Q109),0) &gt; 0, 
VLOOKUP(SUBSTITUTE(Q109,"SS: ",""),vote4SURGE!$A:$C , 3, FALSE) - 2,
VLOOKUP(SUBSTITUTE(Q109,"S: ",""),vote4SURGE!$A:$C , 3, FALSE)
)
,
IF(IFERROR(SEARCH("SS:",Q109),0) &gt; 0, 
VLOOKUP(A109,vote4SURGE!$A:$C , 3, FALSE) - 2,
VLOOKUP(A109,vote4SURGE!$A:$C , 3, FALSE)
)
))</f>
        <v>4.25</v>
      </c>
      <c r="S109" s="489"/>
      <c r="T109" s="342" t="str">
        <f>IF(ISBLANK(S109),,IFERROR(
IF(IFERROR(SEARCH("SS:",S109),0) &gt; 0, 
VLOOKUP(SUBSTITUTE(S109,"SS: ",""),vote4SURGE!$A:$C , 3, FALSE) - 2,
VLOOKUP(SUBSTITUTE(S109,"S: ",""),vote4SURGE!$A:$C , 3, FALSE)
)
,
IF(IFERROR(SEARCH("SS:",S109),0) &gt; 0, 
VLOOKUP(A109,vote4SURGE!$A:$C , 3, FALSE) - 2,
VLOOKUP(A109,vote4SURGE!$A:$C , 3, FALSE)
)
))</f>
        <v/>
      </c>
      <c r="U109" s="341"/>
      <c r="V109" s="343" t="str">
        <f>IF(ISBLANK(U109),,IFERROR(
IF(IFERROR(SEARCH("SS:",U109),0) &gt; 0, 
VLOOKUP(SUBSTITUTE(U109,"SS: ",""),vote4SURGE!$A:$C , 3, FALSE) - 2,
VLOOKUP(SUBSTITUTE(U109,"S: ",""),vote4SURGE!$A:$C , 3, FALSE)
)
,
IF(IFERROR(SEARCH("SS:",U109),0) &gt; 0, 
VLOOKUP(A109,vote4SURGE!$A:$C , 3, FALSE) - 2,
VLOOKUP(A109,vote4SURGE!$A:$C , 3, FALSE)
)
))</f>
        <v/>
      </c>
      <c r="W109" s="343">
        <f t="shared" si="1"/>
        <v>1</v>
      </c>
      <c r="X109" s="344">
        <f>IFERROR(__xludf.DUMMYFUNCTION("SWITCH(
LEN(K109) - LEN(SUBSTITUTE(K109,"","","""")),
0 , VLOOKUP(K109, Variables!$A:$C, 3, FALSE),
1 , VLOOKUP(index(split(K109 ,"", "", FALSE),1,1), Variables!$A:$C, 3, FALSE) + VLOOKUP(index(split(K109 ,"", "", FALSE),1,2), Variables!$A:$C, 3, FALSE),
"&amp;"2 , VLOOKUP(index(split(K109 ,"", "", FALSE),1,1), Variables!$A:$C, 3, FALSE) + VLOOKUP(index(split(K109 ,"", "", FALSE),1,2), Variables!$A:$C, 3, FALSE) + VLOOKUP(index(split(K109 ,"", "", FALSE),1,3), Variables!$A:$C, 3, FALSE)
)"),0.5)</f>
        <v>0.5</v>
      </c>
      <c r="Y109" s="342">
        <f t="shared" si="2"/>
        <v>2.125</v>
      </c>
      <c r="Z109" s="114" t="s">
        <v>2572</v>
      </c>
      <c r="AA109" s="114"/>
      <c r="AB109" s="114"/>
      <c r="AC109" s="114"/>
      <c r="AD109" s="114"/>
      <c r="AE109" s="114"/>
      <c r="AF109" s="114"/>
      <c r="AG109" s="114" t="s">
        <v>2572</v>
      </c>
      <c r="AH109" s="114"/>
      <c r="AI109" s="114"/>
      <c r="AJ109" s="114" t="s">
        <v>2573</v>
      </c>
      <c r="AK109" s="473">
        <v>8.0</v>
      </c>
      <c r="AL109" s="114" t="s">
        <v>2574</v>
      </c>
      <c r="AM109" s="473">
        <v>10.0</v>
      </c>
      <c r="AN109" s="114" t="s">
        <v>2574</v>
      </c>
      <c r="AO109" s="473">
        <v>18.0</v>
      </c>
      <c r="AP109" s="130">
        <f>SUM(
VLOOKUP("Ravage",vote4TRAITS!A:C,3,FALSE)
)</f>
        <v>7.333333333</v>
      </c>
      <c r="AQ109" s="130">
        <f t="shared" si="3"/>
        <v>30.11166667</v>
      </c>
    </row>
    <row r="110" ht="14.25" customHeight="1">
      <c r="A110" s="137" t="s">
        <v>2613</v>
      </c>
      <c r="B110" s="114" t="s">
        <v>2576</v>
      </c>
      <c r="C110" s="114">
        <v>36.0</v>
      </c>
      <c r="D110" s="114">
        <v>1.0</v>
      </c>
      <c r="E110" s="114">
        <v>4.0</v>
      </c>
      <c r="F110" s="487">
        <v>3.0</v>
      </c>
      <c r="G110" s="488">
        <v>8.0</v>
      </c>
      <c r="H110" s="114" t="s">
        <v>1671</v>
      </c>
      <c r="I110" s="130">
        <f>IFERROR(__xludf.DUMMYFUNCTION("SWITCH(
LEN(H110) - LEN(SUBSTITUTE(H110,"","","""")),
0 , VLOOKUP(H110, Variables!$A:$B, 2, FALSE),
1 , VLOOKUP(index(split(H110 ,"", "", FALSE),1,1), Variables!$A:$B , 2, FALSE) + VLOOKUP(index(split(H110 ,"", "", FALSE),1,2), Variables!$A:$B , 2, FALSE)"&amp;",
2 , VLOOKUP(index(split(H110 ,"", "", FALSE),1,1), Variables!$A:$B , 2, FALSE) + VLOOKUP(index(split(H110 ,"", "", FALSE),1,2), Variables!$A:$B , 2, FALSE) + VLOOKUP(index(split(H110 ,"", "", FALSE),1,3), Variables!$A:$B , 2, FALSE)
)"),2.1666666666666665)</f>
        <v>2.166666667</v>
      </c>
      <c r="J110" s="114" t="s">
        <v>1521</v>
      </c>
      <c r="K110" s="114" t="s">
        <v>1525</v>
      </c>
      <c r="L110" s="130">
        <f>IFERROR(__xludf.DUMMYFUNCTION("SWITCH(
LEN(K110) - LEN(SUBSTITUTE(K110,"","","""")),
0 , VLOOKUP(K110, Variables!$A:$B, 2, FALSE),
1 , VLOOKUP(index(split(K110 ,"", "", FALSE),1,1), Variables!$A:$B , 2, FALSE) + VLOOKUP(index(split(K110 ,"", "", FALSE),1,2), Variables!$A:$B , 2, FALSE)"&amp;",
2 , VLOOKUP(index(split(K110 ,"", "", FALSE),1,1), Variables!$A:$B , 2, FALSE) + VLOOKUP(index(split(K110 ,"", "", FALSE),1,2), Variables!$A:$B , 2, FALSE) + VLOOKUP(index(split(K110 ,"", "", FALSE),1,3), Variables!$A:$B , 2, FALSE)
)
+
IF(J110=""Ranged"&amp;""", 1 , 0)"),3.333333333333333)</f>
        <v>3.333333333</v>
      </c>
      <c r="M110" s="114" t="s">
        <v>1047</v>
      </c>
      <c r="N110" s="130">
        <f>IFERROR(__xludf.DUMMYFUNCTION("IF(ISBLANK(M110), , 
SWITCH(
LEN(M110)- LEN(SUBSTITUTE(M110,"","","""")), 
0 , VLOOKUP(M110, vote4TRAITS!A:C , 3, FALSE),
1 , VLOOKUP(index(split(M110 ,"", "", FALSE),1,1), vote4TRAITS!A:C , 3, FALSE) + VLOOKUP(index(split(M110 ,"", "", FALSE),1,2), vote4"&amp;"TRAITS!A:C , 3, FALSE),
2 , VLOOKUP(index(split(M110 ,"", "", FALSE),1,1), vote4TRAITS!A:C , 3, FALSE) + VLOOKUP(index(split(M110 ,"", "", FALSE),1,2), vote4TRAITS!A:C , 3, FALSE) + VLOOKUP(index(split(M110 ,"", "", FALSE),1,3), vote4TRAITS!A:C , 3, FALSE"&amp;")
)
)"),5.666666666666667)</f>
        <v>5.666666667</v>
      </c>
      <c r="O110" s="490"/>
      <c r="P110" s="165" t="str">
        <f>IFERROR(__xludf.DUMMYFUNCTION("IF(ISBLANK(O110), , 
SWITCH(
LEN(O110)- LEN(SUBSTITUTE(O110,"","","""")), 
0 , VLOOKUP(O110, vote4ACTIONS!A:C , 3, FALSE),
1 , VLOOKUP(index(split(O110 ,"", "", FALSE),1,1), vote4ACTIONS!A:C , 3, FALSE) + VLOOKUP(index(split(O110 ,"", "", FALSE),1,2), vot"&amp;"e4ACTIONS!A:C , 3, FALSE),
2 , VLOOKUP(index(split(O110 ,"", "", FALSE),1,1), vote4ACTIONS!A:C , 3, FALSE) + VLOOKUP(index(split(O110 ,"", "", FALSE),1,2), vote4ACTIONS!A:C , 3, FALSE) + VLOOKUP(index(split(O110 ,"", "", FALSE),1,3), vote4ACTIONS!A:C , 3,"&amp;" FALSE),
3 , VLOOKUP(index(split(O110 ,"", "", FALSE),1,1), vote4ACTIONS!A:C , 3, FALSE) + VLOOKUP(index(split(O110 ,"", "", FALSE),1,2), vote4ACTIONS!A:C , 3, FALSE) + VLOOKUP(index(split(O110 ,"", "", FALSE),1,3), vote4ACTIONS!A:C , 3, FALSE) + VLOOKUP("&amp;"index(split(O110 ,"", "", FALSE),1,4), vote4ACTIONS!A:C , 3, FALSE)
)
)"),"")</f>
        <v/>
      </c>
      <c r="Q110" s="340" t="s">
        <v>1562</v>
      </c>
      <c r="R110" s="342">
        <f>IF(ISBLANK(Q110),,IFERROR(
IF(IFERROR(SEARCH("SS:",Q110),0) &gt; 0, 
VLOOKUP(SUBSTITUTE(Q110,"SS: ",""),vote4SURGE!$A:$C , 3, FALSE) - 2,
VLOOKUP(SUBSTITUTE(Q110,"S: ",""),vote4SURGE!$A:$C , 3, FALSE)
)
,
IF(IFERROR(SEARCH("SS:",Q110),0) &gt; 0, 
VLOOKUP(A110,vote4SURGE!$A:$C , 3, FALSE) - 2,
VLOOKUP(A110,vote4SURGE!$A:$C , 3, FALSE)
)
))</f>
        <v>3.5</v>
      </c>
      <c r="S110" s="341"/>
      <c r="T110" s="342" t="str">
        <f>IF(ISBLANK(S110),,IFERROR(
IF(IFERROR(SEARCH("SS:",S110),0) &gt; 0, 
VLOOKUP(SUBSTITUTE(S110,"SS: ",""),vote4SURGE!$A:$C , 3, FALSE) - 2,
VLOOKUP(SUBSTITUTE(S110,"S: ",""),vote4SURGE!$A:$C , 3, FALSE)
)
,
IF(IFERROR(SEARCH("SS:",S110),0) &gt; 0, 
VLOOKUP(A110,vote4SURGE!$A:$C , 3, FALSE) - 2,
VLOOKUP(A110,vote4SURGE!$A:$C , 3, FALSE)
)
))</f>
        <v/>
      </c>
      <c r="U110" s="341"/>
      <c r="V110" s="343" t="str">
        <f>IF(ISBLANK(U110),,IFERROR(
IF(IFERROR(SEARCH("SS:",U110),0) &gt; 0, 
VLOOKUP(SUBSTITUTE(U110,"SS: ",""),vote4SURGE!$A:$C , 3, FALSE) - 2,
VLOOKUP(SUBSTITUTE(U110,"S: ",""),vote4SURGE!$A:$C , 3, FALSE)
)
,
IF(IFERROR(SEARCH("SS:",U110),0) &gt; 0, 
VLOOKUP(A110,vote4SURGE!$A:$C , 3, FALSE) - 2,
VLOOKUP(A110,vote4SURGE!$A:$C , 3, FALSE)
)
))</f>
        <v/>
      </c>
      <c r="W110" s="343">
        <f t="shared" si="1"/>
        <v>1</v>
      </c>
      <c r="X110" s="344">
        <f>IFERROR(__xludf.DUMMYFUNCTION("SWITCH(
LEN(K110) - LEN(SUBSTITUTE(K110,"","","""")),
0 , VLOOKUP(K110, Variables!$A:$C, 3, FALSE),
1 , VLOOKUP(index(split(K110 ,"", "", FALSE),1,1), Variables!$A:$C, 3, FALSE) + VLOOKUP(index(split(K110 ,"", "", FALSE),1,2), Variables!$A:$C, 3, FALSE),
"&amp;"2 , VLOOKUP(index(split(K110 ,"", "", FALSE),1,1), Variables!$A:$C, 3, FALSE) + VLOOKUP(index(split(K110 ,"", "", FALSE),1,2), Variables!$A:$C, 3, FALSE) + VLOOKUP(index(split(K110 ,"", "", FALSE),1,3), Variables!$A:$C, 3, FALSE)
)"),0.5)</f>
        <v>0.5</v>
      </c>
      <c r="Y110" s="342">
        <f t="shared" si="2"/>
        <v>1.75</v>
      </c>
      <c r="Z110" s="114" t="s">
        <v>2572</v>
      </c>
      <c r="AA110" s="114"/>
      <c r="AB110" s="114"/>
      <c r="AC110" s="114"/>
      <c r="AD110" s="114"/>
      <c r="AE110" s="114"/>
      <c r="AF110" s="114"/>
      <c r="AG110" s="114" t="s">
        <v>2572</v>
      </c>
      <c r="AH110" s="114"/>
      <c r="AI110" s="114"/>
      <c r="AJ110" s="114" t="s">
        <v>2574</v>
      </c>
      <c r="AK110" s="473">
        <v>8.0</v>
      </c>
      <c r="AL110" s="114" t="s">
        <v>2573</v>
      </c>
      <c r="AM110" s="473">
        <v>10.0</v>
      </c>
      <c r="AN110" s="114" t="s">
        <v>2574</v>
      </c>
      <c r="AO110" s="473">
        <v>18.0</v>
      </c>
      <c r="AP110" s="130">
        <f>SUM(
VLOOKUP("Ravage",vote4TRAITS!A:C,3,FALSE)
)</f>
        <v>7.333333333</v>
      </c>
      <c r="AQ110" s="130">
        <f t="shared" si="3"/>
        <v>22.07</v>
      </c>
    </row>
    <row r="111" ht="14.25" customHeight="1">
      <c r="A111" s="137" t="s">
        <v>2615</v>
      </c>
      <c r="B111" s="114" t="s">
        <v>2570</v>
      </c>
      <c r="C111" s="114">
        <v>16.0</v>
      </c>
      <c r="D111" s="114">
        <v>2.0</v>
      </c>
      <c r="E111" s="114">
        <v>1.0</v>
      </c>
      <c r="F111" s="487">
        <v>5.0</v>
      </c>
      <c r="G111" s="488">
        <v>6.0</v>
      </c>
      <c r="H111" s="114" t="s">
        <v>1663</v>
      </c>
      <c r="I111" s="130">
        <f>IFERROR(__xludf.DUMMYFUNCTION("SWITCH(
LEN(H111) - LEN(SUBSTITUTE(H111,"","","""")),
0 , VLOOKUP(H111, Variables!$A:$B, 2, FALSE),
1 , VLOOKUP(index(split(H111 ,"", "", FALSE),1,1), Variables!$A:$B , 2, FALSE) + VLOOKUP(index(split(H111 ,"", "", FALSE),1,2), Variables!$A:$B , 2, FALSE)"&amp;",
2 , VLOOKUP(index(split(H111 ,"", "", FALSE),1,1), Variables!$A:$B , 2, FALSE) + VLOOKUP(index(split(H111 ,"", "", FALSE),1,2), Variables!$A:$B , 2, FALSE) + VLOOKUP(index(split(H111 ,"", "", FALSE),1,3), Variables!$A:$B , 2, FALSE)
)"),1.3333333333333333)</f>
        <v>1.333333333</v>
      </c>
      <c r="J111" s="114" t="s">
        <v>1521</v>
      </c>
      <c r="K111" s="114" t="s">
        <v>1537</v>
      </c>
      <c r="L111" s="130">
        <f>IFERROR(__xludf.DUMMYFUNCTION("SWITCH(
LEN(K111) - LEN(SUBSTITUTE(K111,"","","""")),
0 , VLOOKUP(K111, Variables!$A:$B, 2, FALSE),
1 , VLOOKUP(index(split(K111 ,"", "", FALSE),1,1), Variables!$A:$B , 2, FALSE) + VLOOKUP(index(split(K111 ,"", "", FALSE),1,2), Variables!$A:$B , 2, FALSE)"&amp;",
2 , VLOOKUP(index(split(K111 ,"", "", FALSE),1,1), Variables!$A:$B , 2, FALSE) + VLOOKUP(index(split(K111 ,"", "", FALSE),1,2), Variables!$A:$B , 2, FALSE) + VLOOKUP(index(split(K111 ,"", "", FALSE),1,3), Variables!$A:$B , 2, FALSE)
)
+
IF(J111=""Ranged"&amp;""", 1 , 0)"),4.5)</f>
        <v>4.5</v>
      </c>
      <c r="M111" s="114" t="s">
        <v>1029</v>
      </c>
      <c r="N111" s="130">
        <f>IFERROR(__xludf.DUMMYFUNCTION("IF(ISBLANK(M111), , 
SWITCH(
LEN(M111)- LEN(SUBSTITUTE(M111,"","","""")), 
0 , VLOOKUP(M111, vote4TRAITS!A:C , 3, FALSE),
1 , VLOOKUP(index(split(M111 ,"", "", FALSE),1,1), vote4TRAITS!A:C , 3, FALSE) + VLOOKUP(index(split(M111 ,"", "", FALSE),1,2), vote4"&amp;"TRAITS!A:C , 3, FALSE),
2 , VLOOKUP(index(split(M111 ,"", "", FALSE),1,1), vote4TRAITS!A:C , 3, FALSE) + VLOOKUP(index(split(M111 ,"", "", FALSE),1,2), vote4TRAITS!A:C , 3, FALSE) + VLOOKUP(index(split(M111 ,"", "", FALSE),1,3), vote4TRAITS!A:C , 3, FALSE"&amp;")
)
)"),5.0)</f>
        <v>5</v>
      </c>
      <c r="O111" s="114" t="s">
        <v>1336</v>
      </c>
      <c r="P111" s="165">
        <f>IFERROR(__xludf.DUMMYFUNCTION("IF(ISBLANK(O111), , 
SWITCH(
LEN(O111)- LEN(SUBSTITUTE(O111,"","","""")), 
0 , VLOOKUP(O111, vote4ACTIONS!A:C , 3, FALSE),
1 , VLOOKUP(index(split(O111 ,"", "", FALSE),1,1), vote4ACTIONS!A:C , 3, FALSE) + VLOOKUP(index(split(O111 ,"", "", FALSE),1,2), vot"&amp;"e4ACTIONS!A:C , 3, FALSE),
2 , VLOOKUP(index(split(O111 ,"", "", FALSE),1,1), vote4ACTIONS!A:C , 3, FALSE) + VLOOKUP(index(split(O111 ,"", "", FALSE),1,2), vote4ACTIONS!A:C , 3, FALSE) + VLOOKUP(index(split(O111 ,"", "", FALSE),1,3), vote4ACTIONS!A:C , 3,"&amp;" FALSE),
3 , VLOOKUP(index(split(O111 ,"", "", FALSE),1,1), vote4ACTIONS!A:C , 3, FALSE) + VLOOKUP(index(split(O111 ,"", "", FALSE),1,2), vote4ACTIONS!A:C , 3, FALSE) + VLOOKUP(index(split(O111 ,"", "", FALSE),1,3), vote4ACTIONS!A:C , 3, FALSE) + VLOOKUP("&amp;"index(split(O111 ,"", "", FALSE),1,4), vote4ACTIONS!A:C , 3, FALSE)
)
)"),1.25)</f>
        <v>1.25</v>
      </c>
      <c r="Q111" s="155" t="s">
        <v>2616</v>
      </c>
      <c r="R111" s="342">
        <f>IF(ISBLANK(Q111),,IFERROR(
IF(IFERROR(SEARCH("SS:",Q111),0) &gt; 0, 
VLOOKUP(SUBSTITUTE(Q111,"SS: ",""),vote4SURGE!$A:$C , 3, FALSE) - 2,
VLOOKUP(SUBSTITUTE(Q111,"S: ",""),vote4SURGE!$A:$C , 3, FALSE)
)
,
IF(IFERROR(SEARCH("SS:",Q111),0) &gt; 0, 
VLOOKUP(A111,vote4SURGE!$A:$C , 3, FALSE) - 2,
VLOOKUP(A111,vote4SURGE!$A:$C , 3, FALSE)
)
))</f>
        <v>4</v>
      </c>
      <c r="S111" s="341"/>
      <c r="T111" s="342" t="str">
        <f>IF(ISBLANK(S111),,IFERROR(
IF(IFERROR(SEARCH("SS:",S111),0) &gt; 0, 
VLOOKUP(SUBSTITUTE(S111,"SS: ",""),vote4SURGE!$A:$C , 3, FALSE) - 2,
VLOOKUP(SUBSTITUTE(S111,"S: ",""),vote4SURGE!$A:$C , 3, FALSE)
)
,
IF(IFERROR(SEARCH("SS:",S111),0) &gt; 0, 
VLOOKUP(A111,vote4SURGE!$A:$C , 3, FALSE) - 2,
VLOOKUP(A111,vote4SURGE!$A:$C , 3, FALSE)
)
))</f>
        <v/>
      </c>
      <c r="U111" s="341"/>
      <c r="V111" s="343" t="str">
        <f>IF(ISBLANK(U111),,IFERROR(
IF(IFERROR(SEARCH("SS:",U111),0) &gt; 0, 
VLOOKUP(SUBSTITUTE(U111,"SS: ",""),vote4SURGE!$A:$C , 3, FALSE) - 2,
VLOOKUP(SUBSTITUTE(U111,"S: ",""),vote4SURGE!$A:$C , 3, FALSE)
)
,
IF(IFERROR(SEARCH("SS:",U111),0) &gt; 0, 
VLOOKUP(A111,vote4SURGE!$A:$C , 3, FALSE) - 2,
VLOOKUP(A111,vote4SURGE!$A:$C , 3, FALSE)
)
))</f>
        <v/>
      </c>
      <c r="W111" s="343">
        <f t="shared" si="1"/>
        <v>1</v>
      </c>
      <c r="X111" s="344">
        <f>IFERROR(__xludf.DUMMYFUNCTION("SWITCH(
LEN(K111) - LEN(SUBSTITUTE(K111,"","","""")),
0 , VLOOKUP(K111, Variables!$A:$C, 3, FALSE),
1 , VLOOKUP(index(split(K111 ,"", "", FALSE),1,1), Variables!$A:$C, 3, FALSE) + VLOOKUP(index(split(K111 ,"", "", FALSE),1,2), Variables!$A:$C, 3, FALSE),
"&amp;"2 , VLOOKUP(index(split(K111 ,"", "", FALSE),1,1), Variables!$A:$C, 3, FALSE) + VLOOKUP(index(split(K111 ,"", "", FALSE),1,2), Variables!$A:$C, 3, FALSE) + VLOOKUP(index(split(K111 ,"", "", FALSE),1,3), Variables!$A:$C, 3, FALSE)
)"),1.0)</f>
        <v>1</v>
      </c>
      <c r="Y111" s="342">
        <f t="shared" si="2"/>
        <v>4</v>
      </c>
      <c r="Z111" s="114"/>
      <c r="AA111" s="114"/>
      <c r="AB111" s="114"/>
      <c r="AC111" s="114"/>
      <c r="AD111" s="114"/>
      <c r="AE111" s="114"/>
      <c r="AF111" s="114"/>
      <c r="AG111" s="114" t="s">
        <v>2572</v>
      </c>
      <c r="AH111" s="114"/>
      <c r="AI111" s="114" t="s">
        <v>2572</v>
      </c>
      <c r="AJ111" s="164" t="s">
        <v>2574</v>
      </c>
      <c r="AK111" s="473">
        <v>10.0</v>
      </c>
      <c r="AL111" s="164" t="s">
        <v>2574</v>
      </c>
      <c r="AM111" s="473">
        <v>14.0</v>
      </c>
      <c r="AN111" s="164" t="s">
        <v>2574</v>
      </c>
      <c r="AO111" s="473">
        <v>18.0</v>
      </c>
      <c r="AP111" s="130">
        <f>SUM(
VLOOKUP("Ravage",vote4TRAITS!A:C,3,FALSE)
)</f>
        <v>7.333333333</v>
      </c>
      <c r="AQ111" s="130">
        <f t="shared" si="3"/>
        <v>17.06666667</v>
      </c>
    </row>
    <row r="112" ht="14.25" customHeight="1">
      <c r="A112" s="137" t="s">
        <v>2615</v>
      </c>
      <c r="B112" s="114" t="s">
        <v>2576</v>
      </c>
      <c r="C112" s="114">
        <v>16.0</v>
      </c>
      <c r="D112" s="114">
        <v>2.0</v>
      </c>
      <c r="E112" s="114">
        <v>1.0</v>
      </c>
      <c r="F112" s="487">
        <v>5.0</v>
      </c>
      <c r="G112" s="488">
        <v>4.0</v>
      </c>
      <c r="H112" s="114" t="s">
        <v>1663</v>
      </c>
      <c r="I112" s="130">
        <f>IFERROR(__xludf.DUMMYFUNCTION("SWITCH(
LEN(H112) - LEN(SUBSTITUTE(H112,"","","""")),
0 , VLOOKUP(H112, Variables!$A:$B, 2, FALSE),
1 , VLOOKUP(index(split(H112 ,"", "", FALSE),1,1), Variables!$A:$B , 2, FALSE) + VLOOKUP(index(split(H112 ,"", "", FALSE),1,2), Variables!$A:$B , 2, FALSE)"&amp;",
2 , VLOOKUP(index(split(H112 ,"", "", FALSE),1,1), Variables!$A:$B , 2, FALSE) + VLOOKUP(index(split(H112 ,"", "", FALSE),1,2), Variables!$A:$B , 2, FALSE) + VLOOKUP(index(split(H112 ,"", "", FALSE),1,3), Variables!$A:$B , 2, FALSE)
)"),1.3333333333333333)</f>
        <v>1.333333333</v>
      </c>
      <c r="J112" s="114" t="s">
        <v>1521</v>
      </c>
      <c r="K112" s="114" t="s">
        <v>1532</v>
      </c>
      <c r="L112" s="130">
        <f>IFERROR(__xludf.DUMMYFUNCTION("SWITCH(
LEN(K112) - LEN(SUBSTITUTE(K112,"","","""")),
0 , VLOOKUP(K112, Variables!$A:$B, 2, FALSE),
1 , VLOOKUP(index(split(K112 ,"", "", FALSE),1,1), Variables!$A:$B , 2, FALSE) + VLOOKUP(index(split(K112 ,"", "", FALSE),1,2), Variables!$A:$B , 2, FALSE)"&amp;",
2 , VLOOKUP(index(split(K112 ,"", "", FALSE),1,1), Variables!$A:$B , 2, FALSE) + VLOOKUP(index(split(K112 ,"", "", FALSE),1,2), Variables!$A:$B , 2, FALSE) + VLOOKUP(index(split(K112 ,"", "", FALSE),1,3), Variables!$A:$B , 2, FALSE)
)
+
IF(J112=""Ranged"&amp;""", 1 , 0)"),3.0)</f>
        <v>3</v>
      </c>
      <c r="M112" s="114" t="s">
        <v>1029</v>
      </c>
      <c r="N112" s="130">
        <f>IFERROR(__xludf.DUMMYFUNCTION("IF(ISBLANK(M112), , 
SWITCH(
LEN(M112)- LEN(SUBSTITUTE(M112,"","","""")), 
0 , VLOOKUP(M112, vote4TRAITS!A:C , 3, FALSE),
1 , VLOOKUP(index(split(M112 ,"", "", FALSE),1,1), vote4TRAITS!A:C , 3, FALSE) + VLOOKUP(index(split(M112 ,"", "", FALSE),1,2), vote4"&amp;"TRAITS!A:C , 3, FALSE),
2 , VLOOKUP(index(split(M112 ,"", "", FALSE),1,1), vote4TRAITS!A:C , 3, FALSE) + VLOOKUP(index(split(M112 ,"", "", FALSE),1,2), vote4TRAITS!A:C , 3, FALSE) + VLOOKUP(index(split(M112 ,"", "", FALSE),1,3), vote4TRAITS!A:C , 3, FALSE"&amp;")
)
)"),5.0)</f>
        <v>5</v>
      </c>
      <c r="O112" s="490"/>
      <c r="P112" s="165" t="str">
        <f>IFERROR(__xludf.DUMMYFUNCTION("IF(ISBLANK(O112), , 
SWITCH(
LEN(O112)- LEN(SUBSTITUTE(O112,"","","""")), 
0 , VLOOKUP(O112, vote4ACTIONS!A:C , 3, FALSE),
1 , VLOOKUP(index(split(O112 ,"", "", FALSE),1,1), vote4ACTIONS!A:C , 3, FALSE) + VLOOKUP(index(split(O112 ,"", "", FALSE),1,2), vot"&amp;"e4ACTIONS!A:C , 3, FALSE),
2 , VLOOKUP(index(split(O112 ,"", "", FALSE),1,1), vote4ACTIONS!A:C , 3, FALSE) + VLOOKUP(index(split(O112 ,"", "", FALSE),1,2), vote4ACTIONS!A:C , 3, FALSE) + VLOOKUP(index(split(O112 ,"", "", FALSE),1,3), vote4ACTIONS!A:C , 3,"&amp;" FALSE),
3 , VLOOKUP(index(split(O112 ,"", "", FALSE),1,1), vote4ACTIONS!A:C , 3, FALSE) + VLOOKUP(index(split(O112 ,"", "", FALSE),1,2), vote4ACTIONS!A:C , 3, FALSE) + VLOOKUP(index(split(O112 ,"", "", FALSE),1,3), vote4ACTIONS!A:C , 3, FALSE) + VLOOKUP("&amp;"index(split(O112 ,"", "", FALSE),1,4), vote4ACTIONS!A:C , 3, FALSE)
)
)"),"")</f>
        <v/>
      </c>
      <c r="Q112" s="155" t="s">
        <v>2616</v>
      </c>
      <c r="R112" s="342">
        <f>IF(ISBLANK(Q112),,IFERROR(
IF(IFERROR(SEARCH("SS:",Q112),0) &gt; 0, 
VLOOKUP(SUBSTITUTE(Q112,"SS: ",""),vote4SURGE!$A:$C , 3, FALSE) - 2,
VLOOKUP(SUBSTITUTE(Q112,"S: ",""),vote4SURGE!$A:$C , 3, FALSE)
)
,
IF(IFERROR(SEARCH("SS:",Q112),0) &gt; 0, 
VLOOKUP(A112,vote4SURGE!$A:$C , 3, FALSE) - 2,
VLOOKUP(A112,vote4SURGE!$A:$C , 3, FALSE)
)
))</f>
        <v>4</v>
      </c>
      <c r="S112" s="341"/>
      <c r="T112" s="342" t="str">
        <f>IF(ISBLANK(S112),,IFERROR(
IF(IFERROR(SEARCH("SS:",S112),0) &gt; 0, 
VLOOKUP(SUBSTITUTE(S112,"SS: ",""),vote4SURGE!$A:$C , 3, FALSE) - 2,
VLOOKUP(SUBSTITUTE(S112,"S: ",""),vote4SURGE!$A:$C , 3, FALSE)
)
,
IF(IFERROR(SEARCH("SS:",S112),0) &gt; 0, 
VLOOKUP(A112,vote4SURGE!$A:$C , 3, FALSE) - 2,
VLOOKUP(A112,vote4SURGE!$A:$C , 3, FALSE)
)
))</f>
        <v/>
      </c>
      <c r="U112" s="341"/>
      <c r="V112" s="343" t="str">
        <f>IF(ISBLANK(U112),,IFERROR(
IF(IFERROR(SEARCH("SS:",U112),0) &gt; 0, 
VLOOKUP(SUBSTITUTE(U112,"SS: ",""),vote4SURGE!$A:$C , 3, FALSE) - 2,
VLOOKUP(SUBSTITUTE(U112,"S: ",""),vote4SURGE!$A:$C , 3, FALSE)
)
,
IF(IFERROR(SEARCH("SS:",U112),0) &gt; 0, 
VLOOKUP(A112,vote4SURGE!$A:$C , 3, FALSE) - 2,
VLOOKUP(A112,vote4SURGE!$A:$C , 3, FALSE)
)
))</f>
        <v/>
      </c>
      <c r="W112" s="343">
        <f t="shared" si="1"/>
        <v>1</v>
      </c>
      <c r="X112" s="344">
        <f>IFERROR(__xludf.DUMMYFUNCTION("SWITCH(
LEN(K112) - LEN(SUBSTITUTE(K112,"","","""")),
0 , VLOOKUP(K112, Variables!$A:$C, 3, FALSE),
1 , VLOOKUP(index(split(K112 ,"", "", FALSE),1,1), Variables!$A:$C, 3, FALSE) + VLOOKUP(index(split(K112 ,"", "", FALSE),1,2), Variables!$A:$C, 3, FALSE),
"&amp;"2 , VLOOKUP(index(split(K112 ,"", "", FALSE),1,1), Variables!$A:$C, 3, FALSE) + VLOOKUP(index(split(K112 ,"", "", FALSE),1,2), Variables!$A:$C, 3, FALSE) + VLOOKUP(index(split(K112 ,"", "", FALSE),1,3), Variables!$A:$C, 3, FALSE)
)"),1.5)</f>
        <v>1.5</v>
      </c>
      <c r="Y112" s="342">
        <f t="shared" si="2"/>
        <v>6</v>
      </c>
      <c r="Z112" s="114"/>
      <c r="AA112" s="114"/>
      <c r="AB112" s="114"/>
      <c r="AC112" s="114"/>
      <c r="AD112" s="114"/>
      <c r="AE112" s="114"/>
      <c r="AF112" s="114"/>
      <c r="AG112" s="114" t="s">
        <v>2572</v>
      </c>
      <c r="AH112" s="114"/>
      <c r="AI112" s="114" t="s">
        <v>2572</v>
      </c>
      <c r="AJ112" s="164" t="s">
        <v>2574</v>
      </c>
      <c r="AK112" s="473">
        <v>10.0</v>
      </c>
      <c r="AL112" s="164" t="s">
        <v>369</v>
      </c>
      <c r="AM112" s="473">
        <v>14.0</v>
      </c>
      <c r="AN112" s="164" t="s">
        <v>368</v>
      </c>
      <c r="AO112" s="473">
        <v>18.0</v>
      </c>
      <c r="AP112" s="130">
        <f>SUM(
VLOOKUP("Ravage",vote4TRAITS!A:C,3,FALSE)
)</f>
        <v>7.333333333</v>
      </c>
      <c r="AQ112" s="130">
        <f t="shared" si="3"/>
        <v>13.65</v>
      </c>
    </row>
    <row r="113" ht="14.25" customHeight="1">
      <c r="A113" s="137" t="s">
        <v>2615</v>
      </c>
      <c r="B113" s="114" t="s">
        <v>2570</v>
      </c>
      <c r="C113" s="114">
        <v>16.0</v>
      </c>
      <c r="D113" s="114">
        <v>1.0</v>
      </c>
      <c r="E113" s="114">
        <v>1.0</v>
      </c>
      <c r="F113" s="487">
        <v>5.0</v>
      </c>
      <c r="G113" s="488">
        <v>5.0</v>
      </c>
      <c r="H113" s="114" t="s">
        <v>1663</v>
      </c>
      <c r="I113" s="130">
        <f>IFERROR(__xludf.DUMMYFUNCTION("SWITCH(
LEN(H113) - LEN(SUBSTITUTE(H113,"","","""")),
0 , VLOOKUP(H113, Variables!$A:$B, 2, FALSE),
1 , VLOOKUP(index(split(H113 ,"", "", FALSE),1,1), Variables!$A:$B , 2, FALSE) + VLOOKUP(index(split(H113 ,"", "", FALSE),1,2), Variables!$A:$B , 2, FALSE)"&amp;",
2 , VLOOKUP(index(split(H113 ,"", "", FALSE),1,1), Variables!$A:$B , 2, FALSE) + VLOOKUP(index(split(H113 ,"", "", FALSE),1,2), Variables!$A:$B , 2, FALSE) + VLOOKUP(index(split(H113 ,"", "", FALSE),1,3), Variables!$A:$B , 2, FALSE)
)"),1.3333333333333333)</f>
        <v>1.333333333</v>
      </c>
      <c r="J113" s="114" t="s">
        <v>1521</v>
      </c>
      <c r="K113" s="114" t="s">
        <v>1525</v>
      </c>
      <c r="L113" s="130">
        <f>IFERROR(__xludf.DUMMYFUNCTION("SWITCH(
LEN(K113) - LEN(SUBSTITUTE(K113,"","","""")),
0 , VLOOKUP(K113, Variables!$A:$B, 2, FALSE),
1 , VLOOKUP(index(split(K113 ,"", "", FALSE),1,1), Variables!$A:$B , 2, FALSE) + VLOOKUP(index(split(K113 ,"", "", FALSE),1,2), Variables!$A:$B , 2, FALSE)"&amp;",
2 , VLOOKUP(index(split(K113 ,"", "", FALSE),1,1), Variables!$A:$B , 2, FALSE) + VLOOKUP(index(split(K113 ,"", "", FALSE),1,2), Variables!$A:$B , 2, FALSE) + VLOOKUP(index(split(K113 ,"", "", FALSE),1,3), Variables!$A:$B , 2, FALSE)
)
+
IF(J113=""Ranged"&amp;""", 1 , 0)"),3.333333333333333)</f>
        <v>3.333333333</v>
      </c>
      <c r="M113" s="114" t="s">
        <v>1029</v>
      </c>
      <c r="N113" s="130">
        <f>IFERROR(__xludf.DUMMYFUNCTION("IF(ISBLANK(M113), , 
SWITCH(
LEN(M113)- LEN(SUBSTITUTE(M113,"","","""")), 
0 , VLOOKUP(M113, vote4TRAITS!A:C , 3, FALSE),
1 , VLOOKUP(index(split(M113 ,"", "", FALSE),1,1), vote4TRAITS!A:C , 3, FALSE) + VLOOKUP(index(split(M113 ,"", "", FALSE),1,2), vote4"&amp;"TRAITS!A:C , 3, FALSE),
2 , VLOOKUP(index(split(M113 ,"", "", FALSE),1,1), vote4TRAITS!A:C , 3, FALSE) + VLOOKUP(index(split(M113 ,"", "", FALSE),1,2), vote4TRAITS!A:C , 3, FALSE) + VLOOKUP(index(split(M113 ,"", "", FALSE),1,3), vote4TRAITS!A:C , 3, FALSE"&amp;")
)
)"),5.0)</f>
        <v>5</v>
      </c>
      <c r="O113" s="114" t="s">
        <v>1336</v>
      </c>
      <c r="P113" s="165">
        <f>IFERROR(__xludf.DUMMYFUNCTION("IF(ISBLANK(O113), , 
SWITCH(
LEN(O113)- LEN(SUBSTITUTE(O113,"","","""")), 
0 , VLOOKUP(O113, vote4ACTIONS!A:C , 3, FALSE),
1 , VLOOKUP(index(split(O113 ,"", "", FALSE),1,1), vote4ACTIONS!A:C , 3, FALSE) + VLOOKUP(index(split(O113 ,"", "", FALSE),1,2), vot"&amp;"e4ACTIONS!A:C , 3, FALSE),
2 , VLOOKUP(index(split(O113 ,"", "", FALSE),1,1), vote4ACTIONS!A:C , 3, FALSE) + VLOOKUP(index(split(O113 ,"", "", FALSE),1,2), vote4ACTIONS!A:C , 3, FALSE) + VLOOKUP(index(split(O113 ,"", "", FALSE),1,3), vote4ACTIONS!A:C , 3,"&amp;" FALSE),
3 , VLOOKUP(index(split(O113 ,"", "", FALSE),1,1), vote4ACTIONS!A:C , 3, FALSE) + VLOOKUP(index(split(O113 ,"", "", FALSE),1,2), vote4ACTIONS!A:C , 3, FALSE) + VLOOKUP(index(split(O113 ,"", "", FALSE),1,3), vote4ACTIONS!A:C , 3, FALSE) + VLOOKUP("&amp;"index(split(O113 ,"", "", FALSE),1,4), vote4ACTIONS!A:C , 3, FALSE)
)
)"),1.25)</f>
        <v>1.25</v>
      </c>
      <c r="Q113" s="155" t="s">
        <v>2616</v>
      </c>
      <c r="R113" s="342">
        <f>IF(ISBLANK(Q113),,IFERROR(
IF(IFERROR(SEARCH("SS:",Q113),0) &gt; 0, 
VLOOKUP(SUBSTITUTE(Q113,"SS: ",""),vote4SURGE!$A:$C , 3, FALSE) - 2,
VLOOKUP(SUBSTITUTE(Q113,"S: ",""),vote4SURGE!$A:$C , 3, FALSE)
)
,
IF(IFERROR(SEARCH("SS:",Q113),0) &gt; 0, 
VLOOKUP(A113,vote4SURGE!$A:$C , 3, FALSE) - 2,
VLOOKUP(A113,vote4SURGE!$A:$C , 3, FALSE)
)
))</f>
        <v>4</v>
      </c>
      <c r="S113" s="341"/>
      <c r="T113" s="342" t="str">
        <f>IF(ISBLANK(S113),,IFERROR(
IF(IFERROR(SEARCH("SS:",S113),0) &gt; 0, 
VLOOKUP(SUBSTITUTE(S113,"SS: ",""),vote4SURGE!$A:$C , 3, FALSE) - 2,
VLOOKUP(SUBSTITUTE(S113,"S: ",""),vote4SURGE!$A:$C , 3, FALSE)
)
,
IF(IFERROR(SEARCH("SS:",S113),0) &gt; 0, 
VLOOKUP(A113,vote4SURGE!$A:$C , 3, FALSE) - 2,
VLOOKUP(A113,vote4SURGE!$A:$C , 3, FALSE)
)
))</f>
        <v/>
      </c>
      <c r="U113" s="341"/>
      <c r="V113" s="343" t="str">
        <f>IF(ISBLANK(U113),,IFERROR(
IF(IFERROR(SEARCH("SS:",U113),0) &gt; 0, 
VLOOKUP(SUBSTITUTE(U113,"SS: ",""),vote4SURGE!$A:$C , 3, FALSE) - 2,
VLOOKUP(SUBSTITUTE(U113,"S: ",""),vote4SURGE!$A:$C , 3, FALSE)
)
,
IF(IFERROR(SEARCH("SS:",U113),0) &gt; 0, 
VLOOKUP(A113,vote4SURGE!$A:$C , 3, FALSE) - 2,
VLOOKUP(A113,vote4SURGE!$A:$C , 3, FALSE)
)
))</f>
        <v/>
      </c>
      <c r="W113" s="343">
        <f t="shared" si="1"/>
        <v>1</v>
      </c>
      <c r="X113" s="344">
        <f>IFERROR(__xludf.DUMMYFUNCTION("SWITCH(
LEN(K113) - LEN(SUBSTITUTE(K113,"","","""")),
0 , VLOOKUP(K113, Variables!$A:$C, 3, FALSE),
1 , VLOOKUP(index(split(K113 ,"", "", FALSE),1,1), Variables!$A:$C, 3, FALSE) + VLOOKUP(index(split(K113 ,"", "", FALSE),1,2), Variables!$A:$C, 3, FALSE),
"&amp;"2 , VLOOKUP(index(split(K113 ,"", "", FALSE),1,1), Variables!$A:$C, 3, FALSE) + VLOOKUP(index(split(K113 ,"", "", FALSE),1,2), Variables!$A:$C, 3, FALSE) + VLOOKUP(index(split(K113 ,"", "", FALSE),1,3), Variables!$A:$C, 3, FALSE)
)"),0.5)</f>
        <v>0.5</v>
      </c>
      <c r="Y113" s="342">
        <f t="shared" si="2"/>
        <v>2</v>
      </c>
      <c r="Z113" s="114"/>
      <c r="AA113" s="114"/>
      <c r="AB113" s="114"/>
      <c r="AC113" s="114"/>
      <c r="AD113" s="114"/>
      <c r="AE113" s="114"/>
      <c r="AF113" s="114"/>
      <c r="AG113" s="114" t="s">
        <v>2572</v>
      </c>
      <c r="AH113" s="114"/>
      <c r="AI113" s="114" t="s">
        <v>2572</v>
      </c>
      <c r="AJ113" s="164" t="s">
        <v>2574</v>
      </c>
      <c r="AK113" s="473">
        <v>8.0</v>
      </c>
      <c r="AL113" s="164" t="s">
        <v>2574</v>
      </c>
      <c r="AM113" s="473">
        <v>11.0</v>
      </c>
      <c r="AN113" s="164" t="s">
        <v>2574</v>
      </c>
      <c r="AO113" s="473">
        <v>14.0</v>
      </c>
      <c r="AP113" s="130">
        <f>SUM(
VLOOKUP("Ravage",vote4TRAITS!A:C,3,FALSE)
)</f>
        <v>7.333333333</v>
      </c>
      <c r="AQ113" s="130">
        <f t="shared" si="3"/>
        <v>12.56666667</v>
      </c>
    </row>
    <row r="114" ht="14.25" customHeight="1">
      <c r="A114" s="137" t="s">
        <v>2615</v>
      </c>
      <c r="B114" s="114" t="s">
        <v>2576</v>
      </c>
      <c r="C114" s="114">
        <v>16.0</v>
      </c>
      <c r="D114" s="114">
        <v>1.0</v>
      </c>
      <c r="E114" s="114">
        <v>1.0</v>
      </c>
      <c r="F114" s="487">
        <v>5.0</v>
      </c>
      <c r="G114" s="488">
        <v>3.0</v>
      </c>
      <c r="H114" s="114" t="s">
        <v>1663</v>
      </c>
      <c r="I114" s="130">
        <f>IFERROR(__xludf.DUMMYFUNCTION("SWITCH(
LEN(H114) - LEN(SUBSTITUTE(H114,"","","""")),
0 , VLOOKUP(H114, Variables!$A:$B, 2, FALSE),
1 , VLOOKUP(index(split(H114 ,"", "", FALSE),1,1), Variables!$A:$B , 2, FALSE) + VLOOKUP(index(split(H114 ,"", "", FALSE),1,2), Variables!$A:$B , 2, FALSE)"&amp;",
2 , VLOOKUP(index(split(H114 ,"", "", FALSE),1,1), Variables!$A:$B , 2, FALSE) + VLOOKUP(index(split(H114 ,"", "", FALSE),1,2), Variables!$A:$B , 2, FALSE) + VLOOKUP(index(split(H114 ,"", "", FALSE),1,3), Variables!$A:$B , 2, FALSE)
)"),1.3333333333333333)</f>
        <v>1.333333333</v>
      </c>
      <c r="J114" s="114" t="s">
        <v>1521</v>
      </c>
      <c r="K114" s="114" t="s">
        <v>1592</v>
      </c>
      <c r="L114" s="130">
        <f>IFERROR(__xludf.DUMMYFUNCTION("SWITCH(
LEN(K114) - LEN(SUBSTITUTE(K114,"","","""")),
0 , VLOOKUP(K114, Variables!$A:$B, 2, FALSE),
1 , VLOOKUP(index(split(K114 ,"", "", FALSE),1,1), Variables!$A:$B , 2, FALSE) + VLOOKUP(index(split(K114 ,"", "", FALSE),1,2), Variables!$A:$B , 2, FALSE)"&amp;",
2 , VLOOKUP(index(split(K114 ,"", "", FALSE),1,1), Variables!$A:$B , 2, FALSE) + VLOOKUP(index(split(K114 ,"", "", FALSE),1,2), Variables!$A:$B , 2, FALSE) + VLOOKUP(index(split(K114 ,"", "", FALSE),1,3), Variables!$A:$B , 2, FALSE)
)
+
IF(J114=""Ranged"&amp;""", 1 , 0)"),1.8333333333333335)</f>
        <v>1.833333333</v>
      </c>
      <c r="M114" s="114" t="s">
        <v>1029</v>
      </c>
      <c r="N114" s="130">
        <f>IFERROR(__xludf.DUMMYFUNCTION("IF(ISBLANK(M114), , 
SWITCH(
LEN(M114)- LEN(SUBSTITUTE(M114,"","","""")), 
0 , VLOOKUP(M114, vote4TRAITS!A:C , 3, FALSE),
1 , VLOOKUP(index(split(M114 ,"", "", FALSE),1,1), vote4TRAITS!A:C , 3, FALSE) + VLOOKUP(index(split(M114 ,"", "", FALSE),1,2), vote4"&amp;"TRAITS!A:C , 3, FALSE),
2 , VLOOKUP(index(split(M114 ,"", "", FALSE),1,1), vote4TRAITS!A:C , 3, FALSE) + VLOOKUP(index(split(M114 ,"", "", FALSE),1,2), vote4TRAITS!A:C , 3, FALSE) + VLOOKUP(index(split(M114 ,"", "", FALSE),1,3), vote4TRAITS!A:C , 3, FALSE"&amp;")
)
)"),5.0)</f>
        <v>5</v>
      </c>
      <c r="O114" s="490"/>
      <c r="P114" s="165" t="str">
        <f>IFERROR(__xludf.DUMMYFUNCTION("IF(ISBLANK(O114), , 
SWITCH(
LEN(O114)- LEN(SUBSTITUTE(O114,"","","""")), 
0 , VLOOKUP(O114, vote4ACTIONS!A:C , 3, FALSE),
1 , VLOOKUP(index(split(O114 ,"", "", FALSE),1,1), vote4ACTIONS!A:C , 3, FALSE) + VLOOKUP(index(split(O114 ,"", "", FALSE),1,2), vot"&amp;"e4ACTIONS!A:C , 3, FALSE),
2 , VLOOKUP(index(split(O114 ,"", "", FALSE),1,1), vote4ACTIONS!A:C , 3, FALSE) + VLOOKUP(index(split(O114 ,"", "", FALSE),1,2), vote4ACTIONS!A:C , 3, FALSE) + VLOOKUP(index(split(O114 ,"", "", FALSE),1,3), vote4ACTIONS!A:C , 3,"&amp;" FALSE),
3 , VLOOKUP(index(split(O114 ,"", "", FALSE),1,1), vote4ACTIONS!A:C , 3, FALSE) + VLOOKUP(index(split(O114 ,"", "", FALSE),1,2), vote4ACTIONS!A:C , 3, FALSE) + VLOOKUP(index(split(O114 ,"", "", FALSE),1,3), vote4ACTIONS!A:C , 3, FALSE) + VLOOKUP("&amp;"index(split(O114 ,"", "", FALSE),1,4), vote4ACTIONS!A:C , 3, FALSE)
)
)"),"")</f>
        <v/>
      </c>
      <c r="Q114" s="155" t="s">
        <v>2616</v>
      </c>
      <c r="R114" s="342">
        <f>IF(ISBLANK(Q114),,IFERROR(
IF(IFERROR(SEARCH("SS:",Q114),0) &gt; 0, 
VLOOKUP(SUBSTITUTE(Q114,"SS: ",""),vote4SURGE!$A:$C , 3, FALSE) - 2,
VLOOKUP(SUBSTITUTE(Q114,"S: ",""),vote4SURGE!$A:$C , 3, FALSE)
)
,
IF(IFERROR(SEARCH("SS:",Q114),0) &gt; 0, 
VLOOKUP(A114,vote4SURGE!$A:$C , 3, FALSE) - 2,
VLOOKUP(A114,vote4SURGE!$A:$C , 3, FALSE)
)
))</f>
        <v>4</v>
      </c>
      <c r="S114" s="164"/>
      <c r="T114" s="342" t="str">
        <f>IF(ISBLANK(S114),,IFERROR(
IF(IFERROR(SEARCH("SS:",S114),0) &gt; 0, 
VLOOKUP(SUBSTITUTE(S114,"SS: ",""),vote4SURGE!$A:$C , 3, FALSE) - 2,
VLOOKUP(SUBSTITUTE(S114,"S: ",""),vote4SURGE!$A:$C , 3, FALSE)
)
,
IF(IFERROR(SEARCH("SS:",S114),0) &gt; 0, 
VLOOKUP(A114,vote4SURGE!$A:$C , 3, FALSE) - 2,
VLOOKUP(A114,vote4SURGE!$A:$C , 3, FALSE)
)
))</f>
        <v/>
      </c>
      <c r="U114" s="164"/>
      <c r="V114" s="343" t="str">
        <f>IF(ISBLANK(U114),,IFERROR(
IF(IFERROR(SEARCH("SS:",U114),0) &gt; 0, 
VLOOKUP(SUBSTITUTE(U114,"SS: ",""),vote4SURGE!$A:$C , 3, FALSE) - 2,
VLOOKUP(SUBSTITUTE(U114,"S: ",""),vote4SURGE!$A:$C , 3, FALSE)
)
,
IF(IFERROR(SEARCH("SS:",U114),0) &gt; 0, 
VLOOKUP(A114,vote4SURGE!$A:$C , 3, FALSE) - 2,
VLOOKUP(A114,vote4SURGE!$A:$C , 3, FALSE)
)
))</f>
        <v/>
      </c>
      <c r="W114" s="343">
        <f t="shared" si="1"/>
        <v>1</v>
      </c>
      <c r="X114" s="344">
        <f>IFERROR(__xludf.DUMMYFUNCTION("SWITCH(
LEN(K114) - LEN(SUBSTITUTE(K114,"","","""")),
0 , VLOOKUP(K114, Variables!$A:$C, 3, FALSE),
1 , VLOOKUP(index(split(K114 ,"", "", FALSE),1,1), Variables!$A:$C, 3, FALSE) + VLOOKUP(index(split(K114 ,"", "", FALSE),1,2), Variables!$A:$C, 3, FALSE),
"&amp;"2 , VLOOKUP(index(split(K114 ,"", "", FALSE),1,1), Variables!$A:$C, 3, FALSE) + VLOOKUP(index(split(K114 ,"", "", FALSE),1,2), Variables!$A:$C, 3, FALSE) + VLOOKUP(index(split(K114 ,"", "", FALSE),1,3), Variables!$A:$C, 3, FALSE)
)"),1.0)</f>
        <v>1</v>
      </c>
      <c r="Y114" s="342">
        <f t="shared" si="2"/>
        <v>4</v>
      </c>
      <c r="Z114" s="114"/>
      <c r="AA114" s="114"/>
      <c r="AB114" s="114"/>
      <c r="AC114" s="114"/>
      <c r="AD114" s="114"/>
      <c r="AE114" s="114"/>
      <c r="AF114" s="114"/>
      <c r="AG114" s="114" t="s">
        <v>2572</v>
      </c>
      <c r="AH114" s="114"/>
      <c r="AI114" s="114" t="s">
        <v>2572</v>
      </c>
      <c r="AJ114" s="164" t="s">
        <v>2574</v>
      </c>
      <c r="AK114" s="473">
        <v>8.0</v>
      </c>
      <c r="AL114" s="164" t="s">
        <v>369</v>
      </c>
      <c r="AM114" s="473">
        <v>11.0</v>
      </c>
      <c r="AN114" s="164" t="s">
        <v>368</v>
      </c>
      <c r="AO114" s="473">
        <v>14.0</v>
      </c>
      <c r="AP114" s="130">
        <f>SUM(
VLOOKUP("Ravage",vote4TRAITS!A:C,3,FALSE)
)</f>
        <v>7.333333333</v>
      </c>
      <c r="AQ114" s="130">
        <f t="shared" si="3"/>
        <v>9.15</v>
      </c>
    </row>
    <row r="115" ht="14.25" customHeight="1">
      <c r="A115" s="137" t="s">
        <v>1439</v>
      </c>
      <c r="B115" s="114" t="s">
        <v>2570</v>
      </c>
      <c r="C115" s="114">
        <v>46.0</v>
      </c>
      <c r="D115" s="114">
        <v>2.0</v>
      </c>
      <c r="E115" s="114">
        <v>2.0</v>
      </c>
      <c r="F115" s="487">
        <v>5.0</v>
      </c>
      <c r="G115" s="488">
        <v>8.0</v>
      </c>
      <c r="H115" s="114" t="s">
        <v>1671</v>
      </c>
      <c r="I115" s="130">
        <f>IFERROR(__xludf.DUMMYFUNCTION("SWITCH(
LEN(H115) - LEN(SUBSTITUTE(H115,"","","""")),
0 , VLOOKUP(H115, Variables!$A:$B, 2, FALSE),
1 , VLOOKUP(index(split(H115 ,"", "", FALSE),1,1), Variables!$A:$B , 2, FALSE) + VLOOKUP(index(split(H115 ,"", "", FALSE),1,2), Variables!$A:$B , 2, FALSE)"&amp;",
2 , VLOOKUP(index(split(H115 ,"", "", FALSE),1,1), Variables!$A:$B , 2, FALSE) + VLOOKUP(index(split(H115 ,"", "", FALSE),1,2), Variables!$A:$B , 2, FALSE) + VLOOKUP(index(split(H115 ,"", "", FALSE),1,3), Variables!$A:$B , 2, FALSE)
)"),2.1666666666666665)</f>
        <v>2.166666667</v>
      </c>
      <c r="J115" s="114" t="s">
        <v>1521</v>
      </c>
      <c r="K115" s="114" t="s">
        <v>1537</v>
      </c>
      <c r="L115" s="130">
        <f>IFERROR(__xludf.DUMMYFUNCTION("SWITCH(
LEN(K115) - LEN(SUBSTITUTE(K115,"","","""")),
0 , VLOOKUP(K115, Variables!$A:$B, 2, FALSE),
1 , VLOOKUP(index(split(K115 ,"", "", FALSE),1,1), Variables!$A:$B , 2, FALSE) + VLOOKUP(index(split(K115 ,"", "", FALSE),1,2), Variables!$A:$B , 2, FALSE)"&amp;",
2 , VLOOKUP(index(split(K115 ,"", "", FALSE),1,1), Variables!$A:$B , 2, FALSE) + VLOOKUP(index(split(K115 ,"", "", FALSE),1,2), Variables!$A:$B , 2, FALSE) + VLOOKUP(index(split(K115 ,"", "", FALSE),1,3), Variables!$A:$B , 2, FALSE)
)
+
IF(J115=""Ranged"&amp;""", 1 , 0)"),4.5)</f>
        <v>4.5</v>
      </c>
      <c r="M115" s="114"/>
      <c r="N115" s="130" t="str">
        <f>IFERROR(__xludf.DUMMYFUNCTION("IF(ISBLANK(M115), , 
SWITCH(
LEN(M115)- LEN(SUBSTITUTE(M115,"","","""")), 
0 , VLOOKUP(M115, vote4TRAITS!A:C , 3, FALSE),
1 , VLOOKUP(index(split(M115 ,"", "", FALSE),1,1), vote4TRAITS!A:C , 3, FALSE) + VLOOKUP(index(split(M115 ,"", "", FALSE),1,2), vote4"&amp;"TRAITS!A:C , 3, FALSE),
2 , VLOOKUP(index(split(M115 ,"", "", FALSE),1,1), vote4TRAITS!A:C , 3, FALSE) + VLOOKUP(index(split(M115 ,"", "", FALSE),1,2), vote4TRAITS!A:C , 3, FALSE) + VLOOKUP(index(split(M115 ,"", "", FALSE),1,3), vote4TRAITS!A:C , 3, FALSE"&amp;")
)
)"),"")</f>
        <v/>
      </c>
      <c r="O115" s="490"/>
      <c r="P115" s="165" t="str">
        <f>IFERROR(__xludf.DUMMYFUNCTION("IF(ISBLANK(O115), , 
SWITCH(
LEN(O115)- LEN(SUBSTITUTE(O115,"","","""")), 
0 , VLOOKUP(O115, vote4ACTIONS!A:C , 3, FALSE),
1 , VLOOKUP(index(split(O115 ,"", "", FALSE),1,1), vote4ACTIONS!A:C , 3, FALSE) + VLOOKUP(index(split(O115 ,"", "", FALSE),1,2), vot"&amp;"e4ACTIONS!A:C , 3, FALSE),
2 , VLOOKUP(index(split(O115 ,"", "", FALSE),1,1), vote4ACTIONS!A:C , 3, FALSE) + VLOOKUP(index(split(O115 ,"", "", FALSE),1,2), vote4ACTIONS!A:C , 3, FALSE) + VLOOKUP(index(split(O115 ,"", "", FALSE),1,3), vote4ACTIONS!A:C , 3,"&amp;" FALSE),
3 , VLOOKUP(index(split(O115 ,"", "", FALSE),1,1), vote4ACTIONS!A:C , 3, FALSE) + VLOOKUP(index(split(O115 ,"", "", FALSE),1,2), vote4ACTIONS!A:C , 3, FALSE) + VLOOKUP(index(split(O115 ,"", "", FALSE),1,3), vote4ACTIONS!A:C , 3, FALSE) + VLOOKUP("&amp;"index(split(O115 ,"", "", FALSE),1,4), vote4ACTIONS!A:C , 3, FALSE)
)
)"),"")</f>
        <v/>
      </c>
      <c r="Q115" s="169" t="s">
        <v>1540</v>
      </c>
      <c r="R115" s="342">
        <f>IF(ISBLANK(Q115),,IFERROR(
IF(IFERROR(SEARCH("SS:",Q115),0) &gt; 0, 
VLOOKUP(SUBSTITUTE(Q115,"SS: ",""),vote4SURGE!$A:$C , 3, FALSE) - 2,
VLOOKUP(SUBSTITUTE(Q115,"S: ",""),vote4SURGE!$A:$C , 3, FALSE)
)
,
IF(IFERROR(SEARCH("SS:",Q115),0) &gt; 0, 
VLOOKUP(A115,vote4SURGE!$A:$C , 3, FALSE) - 2,
VLOOKUP(A115,vote4SURGE!$A:$C , 3, FALSE)
)
))</f>
        <v>5.25</v>
      </c>
      <c r="S115" s="489" t="s">
        <v>2617</v>
      </c>
      <c r="T115" s="342">
        <f>IF(ISBLANK(S115),,IFERROR(
IF(IFERROR(SEARCH("SS:",S115),0) &gt; 0, 
VLOOKUP(SUBSTITUTE(S115,"SS: ",""),vote4SURGE!$A:$C , 3, FALSE) - 2,
VLOOKUP(SUBSTITUTE(S115,"S: ",""),vote4SURGE!$A:$C , 3, FALSE)
)
,
IF(IFERROR(SEARCH("SS:",S115),0) &gt; 0, 
VLOOKUP(A115,vote4SURGE!$A:$C , 3, FALSE) - 2,
VLOOKUP(A115,vote4SURGE!$A:$C , 3, FALSE)
)
))</f>
        <v>4.5</v>
      </c>
      <c r="U115" s="489" t="s">
        <v>2618</v>
      </c>
      <c r="V115" s="343">
        <f>IF(ISBLANK(U115),,IFERROR(
IF(IFERROR(SEARCH("SS:",U115),0) &gt; 0, 
VLOOKUP(SUBSTITUTE(U115,"SS: ",""),vote4SURGE!$A:$C , 3, FALSE) - 2,
VLOOKUP(SUBSTITUTE(U115,"S: ",""),vote4SURGE!$A:$C , 3, FALSE)
)
,
IF(IFERROR(SEARCH("SS:",U115),0) &gt; 0, 
VLOOKUP(A115,vote4SURGE!$A:$C , 3, FALSE) - 2,
VLOOKUP(A115,vote4SURGE!$A:$C , 3, FALSE)
)
))</f>
        <v>7</v>
      </c>
      <c r="W115" s="343">
        <f t="shared" si="1"/>
        <v>3</v>
      </c>
      <c r="X115" s="344">
        <f>IFERROR(__xludf.DUMMYFUNCTION("SWITCH(
LEN(K115) - LEN(SUBSTITUTE(K115,"","","""")),
0 , VLOOKUP(K115, Variables!$A:$C, 3, FALSE),
1 , VLOOKUP(index(split(K115 ,"", "", FALSE),1,1), Variables!$A:$C, 3, FALSE) + VLOOKUP(index(split(K115 ,"", "", FALSE),1,2), Variables!$A:$C, 3, FALSE),
"&amp;"2 , VLOOKUP(index(split(K115 ,"", "", FALSE),1,1), Variables!$A:$C, 3, FALSE) + VLOOKUP(index(split(K115 ,"", "", FALSE),1,2), Variables!$A:$C, 3, FALSE) + VLOOKUP(index(split(K115 ,"", "", FALSE),1,3), Variables!$A:$C, 3, FALSE)
)"),1.0)</f>
        <v>1</v>
      </c>
      <c r="Y115" s="342">
        <f t="shared" si="2"/>
        <v>10.25</v>
      </c>
      <c r="Z115" s="114"/>
      <c r="AA115" s="114"/>
      <c r="AB115" s="114"/>
      <c r="AC115" s="114"/>
      <c r="AD115" s="114" t="s">
        <v>2572</v>
      </c>
      <c r="AE115" s="114"/>
      <c r="AF115" s="114" t="s">
        <v>2572</v>
      </c>
      <c r="AG115" s="114"/>
      <c r="AH115" s="114"/>
      <c r="AI115" s="114"/>
      <c r="AJ115" s="114" t="s">
        <v>2574</v>
      </c>
      <c r="AK115" s="473">
        <v>14.0</v>
      </c>
      <c r="AL115" s="114" t="s">
        <v>2574</v>
      </c>
      <c r="AM115" s="473">
        <v>20.0</v>
      </c>
      <c r="AN115" s="114" t="s">
        <v>2574</v>
      </c>
      <c r="AO115" s="473">
        <v>26.0</v>
      </c>
      <c r="AP115" s="130">
        <f>SUM(
VLOOKUP("Ravage",vote4TRAITS!A:C,3,FALSE)
)</f>
        <v>7.333333333</v>
      </c>
      <c r="AQ115" s="130">
        <f t="shared" si="3"/>
        <v>26.73</v>
      </c>
    </row>
    <row r="116" ht="14.25" customHeight="1">
      <c r="A116" s="137" t="s">
        <v>1439</v>
      </c>
      <c r="B116" s="114" t="s">
        <v>2570</v>
      </c>
      <c r="C116" s="114">
        <v>46.0</v>
      </c>
      <c r="D116" s="114">
        <v>1.0</v>
      </c>
      <c r="E116" s="114">
        <v>2.0</v>
      </c>
      <c r="F116" s="487">
        <v>4.0</v>
      </c>
      <c r="G116" s="488">
        <v>6.0</v>
      </c>
      <c r="H116" s="114" t="s">
        <v>1663</v>
      </c>
      <c r="I116" s="130">
        <f>IFERROR(__xludf.DUMMYFUNCTION("SWITCH(
LEN(H116) - LEN(SUBSTITUTE(H116,"","","""")),
0 , VLOOKUP(H116, Variables!$A:$B, 2, FALSE),
1 , VLOOKUP(index(split(H116 ,"", "", FALSE),1,1), Variables!$A:$B , 2, FALSE) + VLOOKUP(index(split(H116 ,"", "", FALSE),1,2), Variables!$A:$B , 2, FALSE)"&amp;",
2 , VLOOKUP(index(split(H116 ,"", "", FALSE),1,1), Variables!$A:$B , 2, FALSE) + VLOOKUP(index(split(H116 ,"", "", FALSE),1,2), Variables!$A:$B , 2, FALSE) + VLOOKUP(index(split(H116 ,"", "", FALSE),1,3), Variables!$A:$B , 2, FALSE)
)"),1.3333333333333333)</f>
        <v>1.333333333</v>
      </c>
      <c r="J116" s="114" t="s">
        <v>1521</v>
      </c>
      <c r="K116" s="114" t="s">
        <v>1525</v>
      </c>
      <c r="L116" s="130">
        <f>IFERROR(__xludf.DUMMYFUNCTION("SWITCH(
LEN(K116) - LEN(SUBSTITUTE(K116,"","","""")),
0 , VLOOKUP(K116, Variables!$A:$B, 2, FALSE),
1 , VLOOKUP(index(split(K116 ,"", "", FALSE),1,1), Variables!$A:$B , 2, FALSE) + VLOOKUP(index(split(K116 ,"", "", FALSE),1,2), Variables!$A:$B , 2, FALSE)"&amp;",
2 , VLOOKUP(index(split(K116 ,"", "", FALSE),1,1), Variables!$A:$B , 2, FALSE) + VLOOKUP(index(split(K116 ,"", "", FALSE),1,2), Variables!$A:$B , 2, FALSE) + VLOOKUP(index(split(K116 ,"", "", FALSE),1,3), Variables!$A:$B , 2, FALSE)
)
+
IF(J116=""Ranged"&amp;""", 1 , 0)"),3.333333333333333)</f>
        <v>3.333333333</v>
      </c>
      <c r="M116" s="114"/>
      <c r="N116" s="130" t="str">
        <f>IFERROR(__xludf.DUMMYFUNCTION("IF(ISBLANK(M116), , 
SWITCH(
LEN(M116)- LEN(SUBSTITUTE(M116,"","","""")), 
0 , VLOOKUP(M116, vote4TRAITS!A:C , 3, FALSE),
1 , VLOOKUP(index(split(M116 ,"", "", FALSE),1,1), vote4TRAITS!A:C , 3, FALSE) + VLOOKUP(index(split(M116 ,"", "", FALSE),1,2), vote4"&amp;"TRAITS!A:C , 3, FALSE),
2 , VLOOKUP(index(split(M116 ,"", "", FALSE),1,1), vote4TRAITS!A:C , 3, FALSE) + VLOOKUP(index(split(M116 ,"", "", FALSE),1,2), vote4TRAITS!A:C , 3, FALSE) + VLOOKUP(index(split(M116 ,"", "", FALSE),1,3), vote4TRAITS!A:C , 3, FALSE"&amp;")
)
)"),"")</f>
        <v/>
      </c>
      <c r="O116" s="490"/>
      <c r="P116" s="165" t="str">
        <f>IFERROR(__xludf.DUMMYFUNCTION("IF(ISBLANK(O116), , 
SWITCH(
LEN(O116)- LEN(SUBSTITUTE(O116,"","","""")), 
0 , VLOOKUP(O116, vote4ACTIONS!A:C , 3, FALSE),
1 , VLOOKUP(index(split(O116 ,"", "", FALSE),1,1), vote4ACTIONS!A:C , 3, FALSE) + VLOOKUP(index(split(O116 ,"", "", FALSE),1,2), vot"&amp;"e4ACTIONS!A:C , 3, FALSE),
2 , VLOOKUP(index(split(O116 ,"", "", FALSE),1,1), vote4ACTIONS!A:C , 3, FALSE) + VLOOKUP(index(split(O116 ,"", "", FALSE),1,2), vote4ACTIONS!A:C , 3, FALSE) + VLOOKUP(index(split(O116 ,"", "", FALSE),1,3), vote4ACTIONS!A:C , 3,"&amp;" FALSE),
3 , VLOOKUP(index(split(O116 ,"", "", FALSE),1,1), vote4ACTIONS!A:C , 3, FALSE) + VLOOKUP(index(split(O116 ,"", "", FALSE),1,2), vote4ACTIONS!A:C , 3, FALSE) + VLOOKUP(index(split(O116 ,"", "", FALSE),1,3), vote4ACTIONS!A:C , 3, FALSE) + VLOOKUP("&amp;"index(split(O116 ,"", "", FALSE),1,4), vote4ACTIONS!A:C , 3, FALSE)
)
)"),"")</f>
        <v/>
      </c>
      <c r="Q116" s="169" t="s">
        <v>1524</v>
      </c>
      <c r="R116" s="342">
        <f>IF(ISBLANK(Q116),,IFERROR(
IF(IFERROR(SEARCH("SS:",Q116),0) &gt; 0, 
VLOOKUP(SUBSTITUTE(Q116,"SS: ",""),vote4SURGE!$A:$C , 3, FALSE) - 2,
VLOOKUP(SUBSTITUTE(Q116,"S: ",""),vote4SURGE!$A:$C , 3, FALSE)
)
,
IF(IFERROR(SEARCH("SS:",Q116),0) &gt; 0, 
VLOOKUP(A116,vote4SURGE!$A:$C , 3, FALSE) - 2,
VLOOKUP(A116,vote4SURGE!$A:$C , 3, FALSE)
)
))</f>
        <v>4.5</v>
      </c>
      <c r="S116" s="489" t="s">
        <v>2617</v>
      </c>
      <c r="T116" s="342">
        <f>IF(ISBLANK(S116),,IFERROR(
IF(IFERROR(SEARCH("SS:",S116),0) &gt; 0, 
VLOOKUP(SUBSTITUTE(S116,"SS: ",""),vote4SURGE!$A:$C , 3, FALSE) - 2,
VLOOKUP(SUBSTITUTE(S116,"S: ",""),vote4SURGE!$A:$C , 3, FALSE)
)
,
IF(IFERROR(SEARCH("SS:",S116),0) &gt; 0, 
VLOOKUP(A116,vote4SURGE!$A:$C , 3, FALSE) - 2,
VLOOKUP(A116,vote4SURGE!$A:$C , 3, FALSE)
)
))</f>
        <v>4.5</v>
      </c>
      <c r="U116" s="489" t="s">
        <v>2618</v>
      </c>
      <c r="V116" s="343">
        <f>IF(ISBLANK(U116),,IFERROR(
IF(IFERROR(SEARCH("SS:",U116),0) &gt; 0, 
VLOOKUP(SUBSTITUTE(U116,"SS: ",""),vote4SURGE!$A:$C , 3, FALSE) - 2,
VLOOKUP(SUBSTITUTE(U116,"S: ",""),vote4SURGE!$A:$C , 3, FALSE)
)
,
IF(IFERROR(SEARCH("SS:",U116),0) &gt; 0, 
VLOOKUP(A116,vote4SURGE!$A:$C , 3, FALSE) - 2,
VLOOKUP(A116,vote4SURGE!$A:$C , 3, FALSE)
)
))</f>
        <v>7</v>
      </c>
      <c r="W116" s="343">
        <f t="shared" si="1"/>
        <v>3</v>
      </c>
      <c r="X116" s="344">
        <f>IFERROR(__xludf.DUMMYFUNCTION("SWITCH(
LEN(K116) - LEN(SUBSTITUTE(K116,"","","""")),
0 , VLOOKUP(K116, Variables!$A:$C, 3, FALSE),
1 , VLOOKUP(index(split(K116 ,"", "", FALSE),1,1), Variables!$A:$C, 3, FALSE) + VLOOKUP(index(split(K116 ,"", "", FALSE),1,2), Variables!$A:$C, 3, FALSE),
"&amp;"2 , VLOOKUP(index(split(K116 ,"", "", FALSE),1,1), Variables!$A:$C, 3, FALSE) + VLOOKUP(index(split(K116 ,"", "", FALSE),1,2), Variables!$A:$C, 3, FALSE) + VLOOKUP(index(split(K116 ,"", "", FALSE),1,3), Variables!$A:$C, 3, FALSE)
)"),0.5)</f>
        <v>0.5</v>
      </c>
      <c r="Y116" s="342">
        <f t="shared" si="2"/>
        <v>8.5</v>
      </c>
      <c r="Z116" s="114"/>
      <c r="AA116" s="114"/>
      <c r="AB116" s="114"/>
      <c r="AC116" s="114"/>
      <c r="AD116" s="114" t="s">
        <v>2572</v>
      </c>
      <c r="AE116" s="114"/>
      <c r="AF116" s="114" t="s">
        <v>2572</v>
      </c>
      <c r="AG116" s="114"/>
      <c r="AH116" s="114"/>
      <c r="AI116" s="114"/>
      <c r="AJ116" s="114" t="s">
        <v>2574</v>
      </c>
      <c r="AK116" s="473">
        <v>10.0</v>
      </c>
      <c r="AL116" s="114" t="s">
        <v>2574</v>
      </c>
      <c r="AM116" s="473">
        <v>14.0</v>
      </c>
      <c r="AN116" s="114" t="s">
        <v>2574</v>
      </c>
      <c r="AO116" s="473">
        <v>18.0</v>
      </c>
      <c r="AP116" s="130">
        <f>SUM(
VLOOKUP("Ravage",vote4TRAITS!A:C,3,FALSE)
)</f>
        <v>7.333333333</v>
      </c>
      <c r="AQ116" s="130">
        <f t="shared" si="3"/>
        <v>14.15</v>
      </c>
    </row>
    <row r="117" ht="14.25" customHeight="1">
      <c r="A117" s="137" t="s">
        <v>1439</v>
      </c>
      <c r="B117" s="114" t="s">
        <v>2576</v>
      </c>
      <c r="C117" s="114">
        <v>46.0</v>
      </c>
      <c r="D117" s="114">
        <v>2.0</v>
      </c>
      <c r="E117" s="114">
        <v>2.0</v>
      </c>
      <c r="F117" s="487">
        <v>5.0</v>
      </c>
      <c r="G117" s="488">
        <v>6.0</v>
      </c>
      <c r="H117" s="114" t="s">
        <v>1671</v>
      </c>
      <c r="I117" s="130">
        <f>IFERROR(__xludf.DUMMYFUNCTION("SWITCH(
LEN(H117) - LEN(SUBSTITUTE(H117,"","","""")),
0 , VLOOKUP(H117, Variables!$A:$B, 2, FALSE),
1 , VLOOKUP(index(split(H117 ,"", "", FALSE),1,1), Variables!$A:$B , 2, FALSE) + VLOOKUP(index(split(H117 ,"", "", FALSE),1,2), Variables!$A:$B , 2, FALSE)"&amp;",
2 , VLOOKUP(index(split(H117 ,"", "", FALSE),1,1), Variables!$A:$B , 2, FALSE) + VLOOKUP(index(split(H117 ,"", "", FALSE),1,2), Variables!$A:$B , 2, FALSE) + VLOOKUP(index(split(H117 ,"", "", FALSE),1,3), Variables!$A:$B , 2, FALSE)
)"),2.1666666666666665)</f>
        <v>2.166666667</v>
      </c>
      <c r="J117" s="114" t="s">
        <v>1521</v>
      </c>
      <c r="K117" s="114" t="s">
        <v>1525</v>
      </c>
      <c r="L117" s="130">
        <f>IFERROR(__xludf.DUMMYFUNCTION("SWITCH(
LEN(K117) - LEN(SUBSTITUTE(K117,"","","""")),
0 , VLOOKUP(K117, Variables!$A:$B, 2, FALSE),
1 , VLOOKUP(index(split(K117 ,"", "", FALSE),1,1), Variables!$A:$B , 2, FALSE) + VLOOKUP(index(split(K117 ,"", "", FALSE),1,2), Variables!$A:$B , 2, FALSE)"&amp;",
2 , VLOOKUP(index(split(K117 ,"", "", FALSE),1,1), Variables!$A:$B , 2, FALSE) + VLOOKUP(index(split(K117 ,"", "", FALSE),1,2), Variables!$A:$B , 2, FALSE) + VLOOKUP(index(split(K117 ,"", "", FALSE),1,3), Variables!$A:$B , 2, FALSE)
)
+
IF(J117=""Ranged"&amp;""", 1 , 0)"),3.333333333333333)</f>
        <v>3.333333333</v>
      </c>
      <c r="M117" s="114"/>
      <c r="N117" s="130" t="str">
        <f>IFERROR(__xludf.DUMMYFUNCTION("IF(ISBLANK(M117), , 
SWITCH(
LEN(M117)- LEN(SUBSTITUTE(M117,"","","""")), 
0 , VLOOKUP(M117, vote4TRAITS!A:C , 3, FALSE),
1 , VLOOKUP(index(split(M117 ,"", "", FALSE),1,1), vote4TRAITS!A:C , 3, FALSE) + VLOOKUP(index(split(M117 ,"", "", FALSE),1,2), vote4"&amp;"TRAITS!A:C , 3, FALSE),
2 , VLOOKUP(index(split(M117 ,"", "", FALSE),1,1), vote4TRAITS!A:C , 3, FALSE) + VLOOKUP(index(split(M117 ,"", "", FALSE),1,2), vote4TRAITS!A:C , 3, FALSE) + VLOOKUP(index(split(M117 ,"", "", FALSE),1,3), vote4TRAITS!A:C , 3, FALSE"&amp;")
)
)"),"")</f>
        <v/>
      </c>
      <c r="O117" s="490"/>
      <c r="P117" s="165" t="str">
        <f>IFERROR(__xludf.DUMMYFUNCTION("IF(ISBLANK(O117), , 
SWITCH(
LEN(O117)- LEN(SUBSTITUTE(O117,"","","""")), 
0 , VLOOKUP(O117, vote4ACTIONS!A:C , 3, FALSE),
1 , VLOOKUP(index(split(O117 ,"", "", FALSE),1,1), vote4ACTIONS!A:C , 3, FALSE) + VLOOKUP(index(split(O117 ,"", "", FALSE),1,2), vot"&amp;"e4ACTIONS!A:C , 3, FALSE),
2 , VLOOKUP(index(split(O117 ,"", "", FALSE),1,1), vote4ACTIONS!A:C , 3, FALSE) + VLOOKUP(index(split(O117 ,"", "", FALSE),1,2), vote4ACTIONS!A:C , 3, FALSE) + VLOOKUP(index(split(O117 ,"", "", FALSE),1,3), vote4ACTIONS!A:C , 3,"&amp;" FALSE),
3 , VLOOKUP(index(split(O117 ,"", "", FALSE),1,1), vote4ACTIONS!A:C , 3, FALSE) + VLOOKUP(index(split(O117 ,"", "", FALSE),1,2), vote4ACTIONS!A:C , 3, FALSE) + VLOOKUP(index(split(O117 ,"", "", FALSE),1,3), vote4ACTIONS!A:C , 3, FALSE) + VLOOKUP("&amp;"index(split(O117 ,"", "", FALSE),1,4), vote4ACTIONS!A:C , 3, FALSE)
)
)"),"")</f>
        <v/>
      </c>
      <c r="Q117" s="169" t="s">
        <v>1540</v>
      </c>
      <c r="R117" s="342">
        <f>IF(ISBLANK(Q117),,IFERROR(
IF(IFERROR(SEARCH("SS:",Q117),0) &gt; 0, 
VLOOKUP(SUBSTITUTE(Q117,"SS: ",""),vote4SURGE!$A:$C , 3, FALSE) - 2,
VLOOKUP(SUBSTITUTE(Q117,"S: ",""),vote4SURGE!$A:$C , 3, FALSE)
)
,
IF(IFERROR(SEARCH("SS:",Q117),0) &gt; 0, 
VLOOKUP(A117,vote4SURGE!$A:$C , 3, FALSE) - 2,
VLOOKUP(A117,vote4SURGE!$A:$C , 3, FALSE)
)
))</f>
        <v>5.25</v>
      </c>
      <c r="S117" s="489" t="s">
        <v>2617</v>
      </c>
      <c r="T117" s="342">
        <f>IF(ISBLANK(S117),,IFERROR(
IF(IFERROR(SEARCH("SS:",S117),0) &gt; 0, 
VLOOKUP(SUBSTITUTE(S117,"SS: ",""),vote4SURGE!$A:$C , 3, FALSE) - 2,
VLOOKUP(SUBSTITUTE(S117,"S: ",""),vote4SURGE!$A:$C , 3, FALSE)
)
,
IF(IFERROR(SEARCH("SS:",S117),0) &gt; 0, 
VLOOKUP(A117,vote4SURGE!$A:$C , 3, FALSE) - 2,
VLOOKUP(A117,vote4SURGE!$A:$C , 3, FALSE)
)
))</f>
        <v>4.5</v>
      </c>
      <c r="U117" s="164"/>
      <c r="V117" s="343" t="str">
        <f>IF(ISBLANK(U117),,IFERROR(
IF(IFERROR(SEARCH("SS:",U117),0) &gt; 0, 
VLOOKUP(SUBSTITUTE(U117,"SS: ",""),vote4SURGE!$A:$C , 3, FALSE) - 2,
VLOOKUP(SUBSTITUTE(U117,"S: ",""),vote4SURGE!$A:$C , 3, FALSE)
)
,
IF(IFERROR(SEARCH("SS:",U117),0) &gt; 0, 
VLOOKUP(A117,vote4SURGE!$A:$C , 3, FALSE) - 2,
VLOOKUP(A117,vote4SURGE!$A:$C , 3, FALSE)
)
))</f>
        <v/>
      </c>
      <c r="W117" s="343">
        <f t="shared" si="1"/>
        <v>2</v>
      </c>
      <c r="X117" s="344">
        <f>IFERROR(__xludf.DUMMYFUNCTION("SWITCH(
LEN(K117) - LEN(SUBSTITUTE(K117,"","","""")),
0 , VLOOKUP(K117, Variables!$A:$C, 3, FALSE),
1 , VLOOKUP(index(split(K117 ,"", "", FALSE),1,1), Variables!$A:$C, 3, FALSE) + VLOOKUP(index(split(K117 ,"", "", FALSE),1,2), Variables!$A:$C, 3, FALSE),
"&amp;"2 , VLOOKUP(index(split(K117 ,"", "", FALSE),1,1), Variables!$A:$C, 3, FALSE) + VLOOKUP(index(split(K117 ,"", "", FALSE),1,2), Variables!$A:$C, 3, FALSE) + VLOOKUP(index(split(K117 ,"", "", FALSE),1,3), Variables!$A:$C, 3, FALSE)
)"),0.5)</f>
        <v>0.5</v>
      </c>
      <c r="Y117" s="342">
        <f t="shared" si="2"/>
        <v>6.375</v>
      </c>
      <c r="Z117" s="114"/>
      <c r="AA117" s="114"/>
      <c r="AB117" s="114"/>
      <c r="AC117" s="114"/>
      <c r="AD117" s="114" t="s">
        <v>2572</v>
      </c>
      <c r="AE117" s="114"/>
      <c r="AF117" s="114" t="s">
        <v>2572</v>
      </c>
      <c r="AG117" s="114"/>
      <c r="AH117" s="114"/>
      <c r="AI117" s="114"/>
      <c r="AJ117" s="114" t="s">
        <v>2574</v>
      </c>
      <c r="AK117" s="473">
        <v>14.0</v>
      </c>
      <c r="AL117" s="114" t="s">
        <v>369</v>
      </c>
      <c r="AM117" s="473">
        <v>20.0</v>
      </c>
      <c r="AN117" s="114" t="s">
        <v>368</v>
      </c>
      <c r="AO117" s="473">
        <v>26.0</v>
      </c>
      <c r="AP117" s="130">
        <f>SUM(
VLOOKUP("Ravage",vote4TRAITS!A:C,3,FALSE)
)</f>
        <v>7.333333333</v>
      </c>
      <c r="AQ117" s="130">
        <f t="shared" si="3"/>
        <v>17.355</v>
      </c>
    </row>
    <row r="118" ht="14.25" customHeight="1">
      <c r="A118" s="137" t="s">
        <v>1439</v>
      </c>
      <c r="B118" s="114" t="s">
        <v>2576</v>
      </c>
      <c r="C118" s="114">
        <v>46.0</v>
      </c>
      <c r="D118" s="114">
        <v>1.0</v>
      </c>
      <c r="E118" s="114">
        <v>2.0</v>
      </c>
      <c r="F118" s="487">
        <v>4.0</v>
      </c>
      <c r="G118" s="488">
        <v>4.0</v>
      </c>
      <c r="H118" s="114" t="s">
        <v>1663</v>
      </c>
      <c r="I118" s="130">
        <f>IFERROR(__xludf.DUMMYFUNCTION("SWITCH(
LEN(H118) - LEN(SUBSTITUTE(H118,"","","""")),
0 , VLOOKUP(H118, Variables!$A:$B, 2, FALSE),
1 , VLOOKUP(index(split(H118 ,"", "", FALSE),1,1), Variables!$A:$B , 2, FALSE) + VLOOKUP(index(split(H118 ,"", "", FALSE),1,2), Variables!$A:$B , 2, FALSE)"&amp;",
2 , VLOOKUP(index(split(H118 ,"", "", FALSE),1,1), Variables!$A:$B , 2, FALSE) + VLOOKUP(index(split(H118 ,"", "", FALSE),1,2), Variables!$A:$B , 2, FALSE) + VLOOKUP(index(split(H118 ,"", "", FALSE),1,3), Variables!$A:$B , 2, FALSE)
)"),1.3333333333333333)</f>
        <v>1.333333333</v>
      </c>
      <c r="J118" s="114" t="s">
        <v>1521</v>
      </c>
      <c r="K118" s="114" t="s">
        <v>1525</v>
      </c>
      <c r="L118" s="130">
        <f>IFERROR(__xludf.DUMMYFUNCTION("SWITCH(
LEN(K118) - LEN(SUBSTITUTE(K118,"","","""")),
0 , VLOOKUP(K118, Variables!$A:$B, 2, FALSE),
1 , VLOOKUP(index(split(K118 ,"", "", FALSE),1,1), Variables!$A:$B , 2, FALSE) + VLOOKUP(index(split(K118 ,"", "", FALSE),1,2), Variables!$A:$B , 2, FALSE)"&amp;",
2 , VLOOKUP(index(split(K118 ,"", "", FALSE),1,1), Variables!$A:$B , 2, FALSE) + VLOOKUP(index(split(K118 ,"", "", FALSE),1,2), Variables!$A:$B , 2, FALSE) + VLOOKUP(index(split(K118 ,"", "", FALSE),1,3), Variables!$A:$B , 2, FALSE)
)
+
IF(J118=""Ranged"&amp;""", 1 , 0)"),3.333333333333333)</f>
        <v>3.333333333</v>
      </c>
      <c r="M118" s="114"/>
      <c r="N118" s="130" t="str">
        <f>IFERROR(__xludf.DUMMYFUNCTION("IF(ISBLANK(M118), , 
SWITCH(
LEN(M118)- LEN(SUBSTITUTE(M118,"","","""")), 
0 , VLOOKUP(M118, vote4TRAITS!A:C , 3, FALSE),
1 , VLOOKUP(index(split(M118 ,"", "", FALSE),1,1), vote4TRAITS!A:C , 3, FALSE) + VLOOKUP(index(split(M118 ,"", "", FALSE),1,2), vote4"&amp;"TRAITS!A:C , 3, FALSE),
2 , VLOOKUP(index(split(M118 ,"", "", FALSE),1,1), vote4TRAITS!A:C , 3, FALSE) + VLOOKUP(index(split(M118 ,"", "", FALSE),1,2), vote4TRAITS!A:C , 3, FALSE) + VLOOKUP(index(split(M118 ,"", "", FALSE),1,3), vote4TRAITS!A:C , 3, FALSE"&amp;")
)
)"),"")</f>
        <v/>
      </c>
      <c r="O118" s="490"/>
      <c r="P118" s="165" t="str">
        <f>IFERROR(__xludf.DUMMYFUNCTION("IF(ISBLANK(O118), , 
SWITCH(
LEN(O118)- LEN(SUBSTITUTE(O118,"","","""")), 
0 , VLOOKUP(O118, vote4ACTIONS!A:C , 3, FALSE),
1 , VLOOKUP(index(split(O118 ,"", "", FALSE),1,1), vote4ACTIONS!A:C , 3, FALSE) + VLOOKUP(index(split(O118 ,"", "", FALSE),1,2), vot"&amp;"e4ACTIONS!A:C , 3, FALSE),
2 , VLOOKUP(index(split(O118 ,"", "", FALSE),1,1), vote4ACTIONS!A:C , 3, FALSE) + VLOOKUP(index(split(O118 ,"", "", FALSE),1,2), vote4ACTIONS!A:C , 3, FALSE) + VLOOKUP(index(split(O118 ,"", "", FALSE),1,3), vote4ACTIONS!A:C , 3,"&amp;" FALSE),
3 , VLOOKUP(index(split(O118 ,"", "", FALSE),1,1), vote4ACTIONS!A:C , 3, FALSE) + VLOOKUP(index(split(O118 ,"", "", FALSE),1,2), vote4ACTIONS!A:C , 3, FALSE) + VLOOKUP(index(split(O118 ,"", "", FALSE),1,3), vote4ACTIONS!A:C , 3, FALSE) + VLOOKUP("&amp;"index(split(O118 ,"", "", FALSE),1,4), vote4ACTIONS!A:C , 3, FALSE)
)
)"),"")</f>
        <v/>
      </c>
      <c r="Q118" s="169" t="s">
        <v>1524</v>
      </c>
      <c r="R118" s="342">
        <f>IF(ISBLANK(Q118),,IFERROR(
IF(IFERROR(SEARCH("SS:",Q118),0) &gt; 0, 
VLOOKUP(SUBSTITUTE(Q118,"SS: ",""),vote4SURGE!$A:$C , 3, FALSE) - 2,
VLOOKUP(SUBSTITUTE(Q118,"S: ",""),vote4SURGE!$A:$C , 3, FALSE)
)
,
IF(IFERROR(SEARCH("SS:",Q118),0) &gt; 0, 
VLOOKUP(A118,vote4SURGE!$A:$C , 3, FALSE) - 2,
VLOOKUP(A118,vote4SURGE!$A:$C , 3, FALSE)
)
))</f>
        <v>4.5</v>
      </c>
      <c r="S118" s="489" t="s">
        <v>2617</v>
      </c>
      <c r="T118" s="342">
        <f>IF(ISBLANK(S118),,IFERROR(
IF(IFERROR(SEARCH("SS:",S118),0) &gt; 0, 
VLOOKUP(SUBSTITUTE(S118,"SS: ",""),vote4SURGE!$A:$C , 3, FALSE) - 2,
VLOOKUP(SUBSTITUTE(S118,"S: ",""),vote4SURGE!$A:$C , 3, FALSE)
)
,
IF(IFERROR(SEARCH("SS:",S118),0) &gt; 0, 
VLOOKUP(A118,vote4SURGE!$A:$C , 3, FALSE) - 2,
VLOOKUP(A118,vote4SURGE!$A:$C , 3, FALSE)
)
))</f>
        <v>4.5</v>
      </c>
      <c r="U118" s="164"/>
      <c r="V118" s="343" t="str">
        <f>IF(ISBLANK(U118),,IFERROR(
IF(IFERROR(SEARCH("SS:",U118),0) &gt; 0, 
VLOOKUP(SUBSTITUTE(U118,"SS: ",""),vote4SURGE!$A:$C , 3, FALSE) - 2,
VLOOKUP(SUBSTITUTE(U118,"S: ",""),vote4SURGE!$A:$C , 3, FALSE)
)
,
IF(IFERROR(SEARCH("SS:",U118),0) &gt; 0, 
VLOOKUP(A118,vote4SURGE!$A:$C , 3, FALSE) - 2,
VLOOKUP(A118,vote4SURGE!$A:$C , 3, FALSE)
)
))</f>
        <v/>
      </c>
      <c r="W118" s="343">
        <f t="shared" si="1"/>
        <v>2</v>
      </c>
      <c r="X118" s="344">
        <f>IFERROR(__xludf.DUMMYFUNCTION("SWITCH(
LEN(K118) - LEN(SUBSTITUTE(K118,"","","""")),
0 , VLOOKUP(K118, Variables!$A:$C, 3, FALSE),
1 , VLOOKUP(index(split(K118 ,"", "", FALSE),1,1), Variables!$A:$C, 3, FALSE) + VLOOKUP(index(split(K118 ,"", "", FALSE),1,2), Variables!$A:$C, 3, FALSE),
"&amp;"2 , VLOOKUP(index(split(K118 ,"", "", FALSE),1,1), Variables!$A:$C, 3, FALSE) + VLOOKUP(index(split(K118 ,"", "", FALSE),1,2), Variables!$A:$C, 3, FALSE) + VLOOKUP(index(split(K118 ,"", "", FALSE),1,3), Variables!$A:$C, 3, FALSE)
)"),0.5)</f>
        <v>0.5</v>
      </c>
      <c r="Y118" s="342">
        <f t="shared" si="2"/>
        <v>5.625</v>
      </c>
      <c r="Z118" s="114"/>
      <c r="AA118" s="114"/>
      <c r="AB118" s="114"/>
      <c r="AC118" s="114"/>
      <c r="AD118" s="114" t="s">
        <v>2572</v>
      </c>
      <c r="AE118" s="114"/>
      <c r="AF118" s="114" t="s">
        <v>2572</v>
      </c>
      <c r="AG118" s="114"/>
      <c r="AH118" s="114"/>
      <c r="AI118" s="114"/>
      <c r="AJ118" s="114" t="s">
        <v>2574</v>
      </c>
      <c r="AK118" s="473">
        <v>10.0</v>
      </c>
      <c r="AL118" s="114" t="s">
        <v>369</v>
      </c>
      <c r="AM118" s="473">
        <v>14.0</v>
      </c>
      <c r="AN118" s="114" t="s">
        <v>368</v>
      </c>
      <c r="AO118" s="473">
        <v>18.0</v>
      </c>
      <c r="AP118" s="130">
        <f>SUM(
VLOOKUP("Ravage",vote4TRAITS!A:C,3,FALSE)
)</f>
        <v>7.333333333</v>
      </c>
      <c r="AQ118" s="130">
        <f t="shared" si="3"/>
        <v>8.608333333</v>
      </c>
    </row>
    <row r="119" ht="14.25" customHeight="1">
      <c r="A119" s="137" t="s">
        <v>1431</v>
      </c>
      <c r="B119" s="114" t="s">
        <v>2570</v>
      </c>
      <c r="C119" s="114">
        <v>11.0</v>
      </c>
      <c r="D119" s="114">
        <v>2.0</v>
      </c>
      <c r="E119" s="114">
        <v>1.0</v>
      </c>
      <c r="F119" s="487">
        <v>4.0</v>
      </c>
      <c r="G119" s="488">
        <v>9.0</v>
      </c>
      <c r="H119" s="114" t="s">
        <v>2599</v>
      </c>
      <c r="I119" s="130">
        <f>IFERROR(__xludf.DUMMYFUNCTION("SWITCH(
LEN(H119) - LEN(SUBSTITUTE(H119,"","","""")),
0 , VLOOKUP(H119, Variables!$A:$B, 2, FALSE),
1 , VLOOKUP(index(split(H119 ,"", "", FALSE),1,1), Variables!$A:$B , 2, FALSE) + VLOOKUP(index(split(H119 ,"", "", FALSE),1,2), Variables!$A:$B , 2, FALSE)"&amp;",
2 , VLOOKUP(index(split(H119 ,"", "", FALSE),1,1), Variables!$A:$B , 2, FALSE) + VLOOKUP(index(split(H119 ,"", "", FALSE),1,2), Variables!$A:$B , 2, FALSE) + VLOOKUP(index(split(H119 ,"", "", FALSE),1,3), Variables!$A:$B , 2, FALSE)
)"),3.5)</f>
        <v>3.5</v>
      </c>
      <c r="J119" s="114" t="s">
        <v>1521</v>
      </c>
      <c r="K119" s="114" t="s">
        <v>1537</v>
      </c>
      <c r="L119" s="130">
        <f>IFERROR(__xludf.DUMMYFUNCTION("SWITCH(
LEN(K119) - LEN(SUBSTITUTE(K119,"","","""")),
0 , VLOOKUP(K119, Variables!$A:$B, 2, FALSE),
1 , VLOOKUP(index(split(K119 ,"", "", FALSE),1,1), Variables!$A:$B , 2, FALSE) + VLOOKUP(index(split(K119 ,"", "", FALSE),1,2), Variables!$A:$B , 2, FALSE)"&amp;",
2 , VLOOKUP(index(split(K119 ,"", "", FALSE),1,1), Variables!$A:$B , 2, FALSE) + VLOOKUP(index(split(K119 ,"", "", FALSE),1,2), Variables!$A:$B , 2, FALSE) + VLOOKUP(index(split(K119 ,"", "", FALSE),1,3), Variables!$A:$B , 2, FALSE)
)
+
IF(J119=""Ranged"&amp;""", 1 , 0)"),4.5)</f>
        <v>4.5</v>
      </c>
      <c r="M119" s="114" t="s">
        <v>2619</v>
      </c>
      <c r="N119" s="130">
        <f>IFERROR(__xludf.DUMMYFUNCTION("IF(ISBLANK(M119), , 
SWITCH(
LEN(M119)- LEN(SUBSTITUTE(M119,"","","""")), 
0 , VLOOKUP(M119, vote4TRAITS!A:C , 3, FALSE),
1 , VLOOKUP(index(split(M119 ,"", "", FALSE),1,1), vote4TRAITS!A:C , 3, FALSE) + VLOOKUP(index(split(M119 ,"", "", FALSE),1,2), vote4"&amp;"TRAITS!A:C , 3, FALSE),
2 , VLOOKUP(index(split(M119 ,"", "", FALSE),1,1), vote4TRAITS!A:C , 3, FALSE) + VLOOKUP(index(split(M119 ,"", "", FALSE),1,2), vote4TRAITS!A:C , 3, FALSE) + VLOOKUP(index(split(M119 ,"", "", FALSE),1,3), vote4TRAITS!A:C , 3, FALSE"&amp;")
)
)"),9.333333333333332)</f>
        <v>9.333333333</v>
      </c>
      <c r="O119" s="490"/>
      <c r="P119" s="165" t="str">
        <f>IFERROR(__xludf.DUMMYFUNCTION("IF(ISBLANK(O119), , 
SWITCH(
LEN(O119)- LEN(SUBSTITUTE(O119,"","","""")), 
0 , VLOOKUP(O119, vote4ACTIONS!A:C , 3, FALSE),
1 , VLOOKUP(index(split(O119 ,"", "", FALSE),1,1), vote4ACTIONS!A:C , 3, FALSE) + VLOOKUP(index(split(O119 ,"", "", FALSE),1,2), vot"&amp;"e4ACTIONS!A:C , 3, FALSE),
2 , VLOOKUP(index(split(O119 ,"", "", FALSE),1,1), vote4ACTIONS!A:C , 3, FALSE) + VLOOKUP(index(split(O119 ,"", "", FALSE),1,2), vote4ACTIONS!A:C , 3, FALSE) + VLOOKUP(index(split(O119 ,"", "", FALSE),1,3), vote4ACTIONS!A:C , 3,"&amp;" FALSE),
3 , VLOOKUP(index(split(O119 ,"", "", FALSE),1,1), vote4ACTIONS!A:C , 3, FALSE) + VLOOKUP(index(split(O119 ,"", "", FALSE),1,2), vote4ACTIONS!A:C , 3, FALSE) + VLOOKUP(index(split(O119 ,"", "", FALSE),1,3), vote4ACTIONS!A:C , 3, FALSE) + VLOOKUP("&amp;"index(split(O119 ,"", "", FALSE),1,4), vote4ACTIONS!A:C , 3, FALSE)
)
)"),"")</f>
        <v/>
      </c>
      <c r="Q119" s="340" t="s">
        <v>1534</v>
      </c>
      <c r="R119" s="342">
        <f>IF(ISBLANK(Q119),,IFERROR(
IF(IFERROR(SEARCH("SS:",Q119),0) &gt; 0, 
VLOOKUP(SUBSTITUTE(Q119,"SS: ",""),vote4SURGE!$A:$C , 3, FALSE) - 2,
VLOOKUP(SUBSTITUTE(Q119,"S: ",""),vote4SURGE!$A:$C , 3, FALSE)
)
,
IF(IFERROR(SEARCH("SS:",Q119),0) &gt; 0, 
VLOOKUP(A119,vote4SURGE!$A:$C , 3, FALSE) - 2,
VLOOKUP(A119,vote4SURGE!$A:$C , 3, FALSE)
)
))</f>
        <v>4.25</v>
      </c>
      <c r="S119" s="489" t="s">
        <v>2618</v>
      </c>
      <c r="T119" s="342">
        <f>IF(ISBLANK(S119),,IFERROR(
IF(IFERROR(SEARCH("SS:",S119),0) &gt; 0, 
VLOOKUP(SUBSTITUTE(S119,"SS: ",""),vote4SURGE!$A:$C , 3, FALSE) - 2,
VLOOKUP(SUBSTITUTE(S119,"S: ",""),vote4SURGE!$A:$C , 3, FALSE)
)
,
IF(IFERROR(SEARCH("SS:",S119),0) &gt; 0, 
VLOOKUP(A119,vote4SURGE!$A:$C , 3, FALSE) - 2,
VLOOKUP(A119,vote4SURGE!$A:$C , 3, FALSE)
)
))</f>
        <v>7</v>
      </c>
      <c r="U119" s="341"/>
      <c r="V119" s="343" t="str">
        <f>IF(ISBLANK(U119),,IFERROR(
IF(IFERROR(SEARCH("SS:",U119),0) &gt; 0, 
VLOOKUP(SUBSTITUTE(U119,"SS: ",""),vote4SURGE!$A:$C , 3, FALSE) - 2,
VLOOKUP(SUBSTITUTE(U119,"S: ",""),vote4SURGE!$A:$C , 3, FALSE)
)
,
IF(IFERROR(SEARCH("SS:",U119),0) &gt; 0, 
VLOOKUP(A119,vote4SURGE!$A:$C , 3, FALSE) - 2,
VLOOKUP(A119,vote4SURGE!$A:$C , 3, FALSE)
)
))</f>
        <v/>
      </c>
      <c r="W119" s="343">
        <f t="shared" si="1"/>
        <v>2</v>
      </c>
      <c r="X119" s="344">
        <f>IFERROR(__xludf.DUMMYFUNCTION("SWITCH(
LEN(K119) - LEN(SUBSTITUTE(K119,"","","""")),
0 , VLOOKUP(K119, Variables!$A:$C, 3, FALSE),
1 , VLOOKUP(index(split(K119 ,"", "", FALSE),1,1), Variables!$A:$C, 3, FALSE) + VLOOKUP(index(split(K119 ,"", "", FALSE),1,2), Variables!$A:$C, 3, FALSE),
"&amp;"2 , VLOOKUP(index(split(K119 ,"", "", FALSE),1,1), Variables!$A:$C, 3, FALSE) + VLOOKUP(index(split(K119 ,"", "", FALSE),1,2), Variables!$A:$C, 3, FALSE) + VLOOKUP(index(split(K119 ,"", "", FALSE),1,3), Variables!$A:$C, 3, FALSE)
)"),1.0)</f>
        <v>1</v>
      </c>
      <c r="Y119" s="342">
        <f t="shared" si="2"/>
        <v>9.125</v>
      </c>
      <c r="Z119" s="114"/>
      <c r="AA119" s="114" t="s">
        <v>2572</v>
      </c>
      <c r="AB119" s="114"/>
      <c r="AC119" s="114"/>
      <c r="AD119" s="114"/>
      <c r="AE119" s="114"/>
      <c r="AF119" s="114"/>
      <c r="AG119" s="114" t="s">
        <v>2572</v>
      </c>
      <c r="AH119" s="114"/>
      <c r="AI119" s="114"/>
      <c r="AJ119" s="114" t="s">
        <v>2574</v>
      </c>
      <c r="AK119" s="473">
        <v>9.0</v>
      </c>
      <c r="AL119" s="114" t="s">
        <v>2574</v>
      </c>
      <c r="AM119" s="473">
        <v>13.0</v>
      </c>
      <c r="AN119" s="114" t="s">
        <v>2574</v>
      </c>
      <c r="AO119" s="473">
        <v>19.0</v>
      </c>
      <c r="AP119" s="130">
        <f>SUM(
VLOOKUP("Ravage",vote4TRAITS!A:C,3,FALSE)
)</f>
        <v>7.333333333</v>
      </c>
      <c r="AQ119" s="130">
        <f t="shared" si="3"/>
        <v>48.445</v>
      </c>
    </row>
    <row r="120" ht="14.25" customHeight="1">
      <c r="A120" s="137" t="s">
        <v>1431</v>
      </c>
      <c r="B120" s="114" t="s">
        <v>2570</v>
      </c>
      <c r="C120" s="114">
        <v>11.0</v>
      </c>
      <c r="D120" s="114">
        <v>1.0</v>
      </c>
      <c r="E120" s="114">
        <v>1.0</v>
      </c>
      <c r="F120" s="487">
        <v>4.0</v>
      </c>
      <c r="G120" s="488">
        <v>8.0</v>
      </c>
      <c r="H120" s="114" t="s">
        <v>1671</v>
      </c>
      <c r="I120" s="130">
        <f>IFERROR(__xludf.DUMMYFUNCTION("SWITCH(
LEN(H120) - LEN(SUBSTITUTE(H120,"","","""")),
0 , VLOOKUP(H120, Variables!$A:$B, 2, FALSE),
1 , VLOOKUP(index(split(H120 ,"", "", FALSE),1,1), Variables!$A:$B , 2, FALSE) + VLOOKUP(index(split(H120 ,"", "", FALSE),1,2), Variables!$A:$B , 2, FALSE)"&amp;",
2 , VLOOKUP(index(split(H120 ,"", "", FALSE),1,1), Variables!$A:$B , 2, FALSE) + VLOOKUP(index(split(H120 ,"", "", FALSE),1,2), Variables!$A:$B , 2, FALSE) + VLOOKUP(index(split(H120 ,"", "", FALSE),1,3), Variables!$A:$B , 2, FALSE)
)"),2.1666666666666665)</f>
        <v>2.166666667</v>
      </c>
      <c r="J120" s="114" t="s">
        <v>1521</v>
      </c>
      <c r="K120" s="114" t="s">
        <v>1525</v>
      </c>
      <c r="L120" s="130">
        <f>IFERROR(__xludf.DUMMYFUNCTION("SWITCH(
LEN(K120) - LEN(SUBSTITUTE(K120,"","","""")),
0 , VLOOKUP(K120, Variables!$A:$B, 2, FALSE),
1 , VLOOKUP(index(split(K120 ,"", "", FALSE),1,1), Variables!$A:$B , 2, FALSE) + VLOOKUP(index(split(K120 ,"", "", FALSE),1,2), Variables!$A:$B , 2, FALSE)"&amp;",
2 , VLOOKUP(index(split(K120 ,"", "", FALSE),1,1), Variables!$A:$B , 2, FALSE) + VLOOKUP(index(split(K120 ,"", "", FALSE),1,2), Variables!$A:$B , 2, FALSE) + VLOOKUP(index(split(K120 ,"", "", FALSE),1,3), Variables!$A:$B , 2, FALSE)
)
+
IF(J120=""Ranged"&amp;""", 1 , 0)"),3.333333333333333)</f>
        <v>3.333333333</v>
      </c>
      <c r="M120" s="114" t="s">
        <v>2619</v>
      </c>
      <c r="N120" s="130">
        <f>IFERROR(__xludf.DUMMYFUNCTION("IF(ISBLANK(M120), , 
SWITCH(
LEN(M120)- LEN(SUBSTITUTE(M120,"","","""")), 
0 , VLOOKUP(M120, vote4TRAITS!A:C , 3, FALSE),
1 , VLOOKUP(index(split(M120 ,"", "", FALSE),1,1), vote4TRAITS!A:C , 3, FALSE) + VLOOKUP(index(split(M120 ,"", "", FALSE),1,2), vote4"&amp;"TRAITS!A:C , 3, FALSE),
2 , VLOOKUP(index(split(M120 ,"", "", FALSE),1,1), vote4TRAITS!A:C , 3, FALSE) + VLOOKUP(index(split(M120 ,"", "", FALSE),1,2), vote4TRAITS!A:C , 3, FALSE) + VLOOKUP(index(split(M120 ,"", "", FALSE),1,3), vote4TRAITS!A:C , 3, FALSE"&amp;")
)
)"),9.333333333333332)</f>
        <v>9.333333333</v>
      </c>
      <c r="O120" s="490"/>
      <c r="P120" s="165" t="str">
        <f>IFERROR(__xludf.DUMMYFUNCTION("IF(ISBLANK(O120), , 
SWITCH(
LEN(O120)- LEN(SUBSTITUTE(O120,"","","""")), 
0 , VLOOKUP(O120, vote4ACTIONS!A:C , 3, FALSE),
1 , VLOOKUP(index(split(O120 ,"", "", FALSE),1,1), vote4ACTIONS!A:C , 3, FALSE) + VLOOKUP(index(split(O120 ,"", "", FALSE),1,2), vot"&amp;"e4ACTIONS!A:C , 3, FALSE),
2 , VLOOKUP(index(split(O120 ,"", "", FALSE),1,1), vote4ACTIONS!A:C , 3, FALSE) + VLOOKUP(index(split(O120 ,"", "", FALSE),1,2), vote4ACTIONS!A:C , 3, FALSE) + VLOOKUP(index(split(O120 ,"", "", FALSE),1,3), vote4ACTIONS!A:C , 3,"&amp;" FALSE),
3 , VLOOKUP(index(split(O120 ,"", "", FALSE),1,1), vote4ACTIONS!A:C , 3, FALSE) + VLOOKUP(index(split(O120 ,"", "", FALSE),1,2), vote4ACTIONS!A:C , 3, FALSE) + VLOOKUP(index(split(O120 ,"", "", FALSE),1,3), vote4ACTIONS!A:C , 3, FALSE) + VLOOKUP("&amp;"index(split(O120 ,"", "", FALSE),1,4), vote4ACTIONS!A:C , 3, FALSE)
)
)"),"")</f>
        <v/>
      </c>
      <c r="Q120" s="340" t="s">
        <v>1562</v>
      </c>
      <c r="R120" s="342">
        <f>IF(ISBLANK(Q120),,IFERROR(
IF(IFERROR(SEARCH("SS:",Q120),0) &gt; 0, 
VLOOKUP(SUBSTITUTE(Q120,"SS: ",""),vote4SURGE!$A:$C , 3, FALSE) - 2,
VLOOKUP(SUBSTITUTE(Q120,"S: ",""),vote4SURGE!$A:$C , 3, FALSE)
)
,
IF(IFERROR(SEARCH("SS:",Q120),0) &gt; 0, 
VLOOKUP(A120,vote4SURGE!$A:$C , 3, FALSE) - 2,
VLOOKUP(A120,vote4SURGE!$A:$C , 3, FALSE)
)
))</f>
        <v>3.5</v>
      </c>
      <c r="S120" s="489" t="s">
        <v>2618</v>
      </c>
      <c r="T120" s="342">
        <f>IF(ISBLANK(S120),,IFERROR(
IF(IFERROR(SEARCH("SS:",S120),0) &gt; 0, 
VLOOKUP(SUBSTITUTE(S120,"SS: ",""),vote4SURGE!$A:$C , 3, FALSE) - 2,
VLOOKUP(SUBSTITUTE(S120,"S: ",""),vote4SURGE!$A:$C , 3, FALSE)
)
,
IF(IFERROR(SEARCH("SS:",S120),0) &gt; 0, 
VLOOKUP(A120,vote4SURGE!$A:$C , 3, FALSE) - 2,
VLOOKUP(A120,vote4SURGE!$A:$C , 3, FALSE)
)
))</f>
        <v>7</v>
      </c>
      <c r="U120" s="341"/>
      <c r="V120" s="343" t="str">
        <f>IF(ISBLANK(U120),,IFERROR(
IF(IFERROR(SEARCH("SS:",U120),0) &gt; 0, 
VLOOKUP(SUBSTITUTE(U120,"SS: ",""),vote4SURGE!$A:$C , 3, FALSE) - 2,
VLOOKUP(SUBSTITUTE(U120,"S: ",""),vote4SURGE!$A:$C , 3, FALSE)
)
,
IF(IFERROR(SEARCH("SS:",U120),0) &gt; 0, 
VLOOKUP(A120,vote4SURGE!$A:$C , 3, FALSE) - 2,
VLOOKUP(A120,vote4SURGE!$A:$C , 3, FALSE)
)
))</f>
        <v/>
      </c>
      <c r="W120" s="343">
        <f t="shared" si="1"/>
        <v>2</v>
      </c>
      <c r="X120" s="344">
        <f>IFERROR(__xludf.DUMMYFUNCTION("SWITCH(
LEN(K120) - LEN(SUBSTITUTE(K120,"","","""")),
0 , VLOOKUP(K120, Variables!$A:$C, 3, FALSE),
1 , VLOOKUP(index(split(K120 ,"", "", FALSE),1,1), Variables!$A:$C, 3, FALSE) + VLOOKUP(index(split(K120 ,"", "", FALSE),1,2), Variables!$A:$C, 3, FALSE),
"&amp;"2 , VLOOKUP(index(split(K120 ,"", "", FALSE),1,1), Variables!$A:$C, 3, FALSE) + VLOOKUP(index(split(K120 ,"", "", FALSE),1,2), Variables!$A:$C, 3, FALSE) + VLOOKUP(index(split(K120 ,"", "", FALSE),1,3), Variables!$A:$C, 3, FALSE)
)"),0.5)</f>
        <v>0.5</v>
      </c>
      <c r="Y120" s="342">
        <f t="shared" si="2"/>
        <v>7.875</v>
      </c>
      <c r="Z120" s="114"/>
      <c r="AA120" s="114" t="s">
        <v>2572</v>
      </c>
      <c r="AB120" s="114"/>
      <c r="AC120" s="114"/>
      <c r="AD120" s="114"/>
      <c r="AE120" s="114"/>
      <c r="AF120" s="114"/>
      <c r="AG120" s="114" t="s">
        <v>2572</v>
      </c>
      <c r="AH120" s="114"/>
      <c r="AI120" s="114"/>
      <c r="AJ120" s="114" t="s">
        <v>2574</v>
      </c>
      <c r="AK120" s="473">
        <v>8.0</v>
      </c>
      <c r="AL120" s="114" t="s">
        <v>2574</v>
      </c>
      <c r="AM120" s="473">
        <v>13.0</v>
      </c>
      <c r="AN120" s="114" t="s">
        <v>2574</v>
      </c>
      <c r="AO120" s="473">
        <v>18.0</v>
      </c>
      <c r="AP120" s="130">
        <f>SUM(
VLOOKUP("Ravage",vote4TRAITS!A:C,3,FALSE)
)</f>
        <v>7.333333333</v>
      </c>
      <c r="AQ120" s="130">
        <f t="shared" si="3"/>
        <v>31.86166667</v>
      </c>
    </row>
    <row r="121" ht="14.25" customHeight="1">
      <c r="A121" s="137" t="s">
        <v>1431</v>
      </c>
      <c r="B121" s="114" t="s">
        <v>2576</v>
      </c>
      <c r="C121" s="114">
        <v>11.0</v>
      </c>
      <c r="D121" s="114">
        <v>2.0</v>
      </c>
      <c r="E121" s="114">
        <v>1.0</v>
      </c>
      <c r="F121" s="487">
        <v>4.0</v>
      </c>
      <c r="G121" s="488">
        <v>5.0</v>
      </c>
      <c r="H121" s="114" t="s">
        <v>2594</v>
      </c>
      <c r="I121" s="130">
        <f>IFERROR(__xludf.DUMMYFUNCTION("SWITCH(
LEN(H121) - LEN(SUBSTITUTE(H121,"","","""")),
0 , VLOOKUP(H121, Variables!$A:$B, 2, FALSE),
1 , VLOOKUP(index(split(H121 ,"", "", FALSE),1,1), Variables!$A:$B , 2, FALSE) + VLOOKUP(index(split(H121 ,"", "", FALSE),1,2), Variables!$A:$B , 2, FALSE)"&amp;",
2 , VLOOKUP(index(split(H121 ,"", "", FALSE),1,1), Variables!$A:$B , 2, FALSE) + VLOOKUP(index(split(H121 ,"", "", FALSE),1,2), Variables!$A:$B , 2, FALSE) + VLOOKUP(index(split(H121 ,"", "", FALSE),1,3), Variables!$A:$B , 2, FALSE)
)"),2.833333333333333)</f>
        <v>2.833333333</v>
      </c>
      <c r="J121" s="114" t="s">
        <v>1521</v>
      </c>
      <c r="K121" s="114" t="s">
        <v>1525</v>
      </c>
      <c r="L121" s="130">
        <f>IFERROR(__xludf.DUMMYFUNCTION("SWITCH(
LEN(K121) - LEN(SUBSTITUTE(K121,"","","""")),
0 , VLOOKUP(K121, Variables!$A:$B, 2, FALSE),
1 , VLOOKUP(index(split(K121 ,"", "", FALSE),1,1), Variables!$A:$B , 2, FALSE) + VLOOKUP(index(split(K121 ,"", "", FALSE),1,2), Variables!$A:$B , 2, FALSE)"&amp;",
2 , VLOOKUP(index(split(K121 ,"", "", FALSE),1,1), Variables!$A:$B , 2, FALSE) + VLOOKUP(index(split(K121 ,"", "", FALSE),1,2), Variables!$A:$B , 2, FALSE) + VLOOKUP(index(split(K121 ,"", "", FALSE),1,3), Variables!$A:$B , 2, FALSE)
)
+
IF(J121=""Ranged"&amp;""", 1 , 0)"),3.333333333333333)</f>
        <v>3.333333333</v>
      </c>
      <c r="M121" s="114" t="s">
        <v>2619</v>
      </c>
      <c r="N121" s="130">
        <f>IFERROR(__xludf.DUMMYFUNCTION("IF(ISBLANK(M121), , 
SWITCH(
LEN(M121)- LEN(SUBSTITUTE(M121,"","","""")), 
0 , VLOOKUP(M121, vote4TRAITS!A:C , 3, FALSE),
1 , VLOOKUP(index(split(M121 ,"", "", FALSE),1,1), vote4TRAITS!A:C , 3, FALSE) + VLOOKUP(index(split(M121 ,"", "", FALSE),1,2), vote4"&amp;"TRAITS!A:C , 3, FALSE),
2 , VLOOKUP(index(split(M121 ,"", "", FALSE),1,1), vote4TRAITS!A:C , 3, FALSE) + VLOOKUP(index(split(M121 ,"", "", FALSE),1,2), vote4TRAITS!A:C , 3, FALSE) + VLOOKUP(index(split(M121 ,"", "", FALSE),1,3), vote4TRAITS!A:C , 3, FALSE"&amp;")
)
)"),9.333333333333332)</f>
        <v>9.333333333</v>
      </c>
      <c r="O121" s="490"/>
      <c r="P121" s="165" t="str">
        <f>IFERROR(__xludf.DUMMYFUNCTION("IF(ISBLANK(O121), , 
SWITCH(
LEN(O121)- LEN(SUBSTITUTE(O121,"","","""")), 
0 , VLOOKUP(O121, vote4ACTIONS!A:C , 3, FALSE),
1 , VLOOKUP(index(split(O121 ,"", "", FALSE),1,1), vote4ACTIONS!A:C , 3, FALSE) + VLOOKUP(index(split(O121 ,"", "", FALSE),1,2), vot"&amp;"e4ACTIONS!A:C , 3, FALSE),
2 , VLOOKUP(index(split(O121 ,"", "", FALSE),1,1), vote4ACTIONS!A:C , 3, FALSE) + VLOOKUP(index(split(O121 ,"", "", FALSE),1,2), vote4ACTIONS!A:C , 3, FALSE) + VLOOKUP(index(split(O121 ,"", "", FALSE),1,3), vote4ACTIONS!A:C , 3,"&amp;" FALSE),
3 , VLOOKUP(index(split(O121 ,"", "", FALSE),1,1), vote4ACTIONS!A:C , 3, FALSE) + VLOOKUP(index(split(O121 ,"", "", FALSE),1,2), vote4ACTIONS!A:C , 3, FALSE) + VLOOKUP(index(split(O121 ,"", "", FALSE),1,3), vote4ACTIONS!A:C , 3, FALSE) + VLOOKUP("&amp;"index(split(O121 ,"", "", FALSE),1,4), vote4ACTIONS!A:C , 3, FALSE)
)
)"),"")</f>
        <v/>
      </c>
      <c r="Q121" s="340" t="s">
        <v>1562</v>
      </c>
      <c r="R121" s="342">
        <f>IF(ISBLANK(Q121),,IFERROR(
IF(IFERROR(SEARCH("SS:",Q121),0) &gt; 0, 
VLOOKUP(SUBSTITUTE(Q121,"SS: ",""),vote4SURGE!$A:$C , 3, FALSE) - 2,
VLOOKUP(SUBSTITUTE(Q121,"S: ",""),vote4SURGE!$A:$C , 3, FALSE)
)
,
IF(IFERROR(SEARCH("SS:",Q121),0) &gt; 0, 
VLOOKUP(A121,vote4SURGE!$A:$C , 3, FALSE) - 2,
VLOOKUP(A121,vote4SURGE!$A:$C , 3, FALSE)
)
))</f>
        <v>3.5</v>
      </c>
      <c r="S121" s="340" t="s">
        <v>1562</v>
      </c>
      <c r="T121" s="342">
        <f>IF(ISBLANK(S121),,IFERROR(
IF(IFERROR(SEARCH("SS:",S121),0) &gt; 0, 
VLOOKUP(SUBSTITUTE(S121,"SS: ",""),vote4SURGE!$A:$C , 3, FALSE) - 2,
VLOOKUP(SUBSTITUTE(S121,"S: ",""),vote4SURGE!$A:$C , 3, FALSE)
)
,
IF(IFERROR(SEARCH("SS:",S121),0) &gt; 0, 
VLOOKUP(A121,vote4SURGE!$A:$C , 3, FALSE) - 2,
VLOOKUP(A121,vote4SURGE!$A:$C , 3, FALSE)
)
))</f>
        <v>3.5</v>
      </c>
      <c r="U121" s="341"/>
      <c r="V121" s="343" t="str">
        <f>IF(ISBLANK(U121),,IFERROR(
IF(IFERROR(SEARCH("SS:",U121),0) &gt; 0, 
VLOOKUP(SUBSTITUTE(U121,"SS: ",""),vote4SURGE!$A:$C , 3, FALSE) - 2,
VLOOKUP(SUBSTITUTE(U121,"S: ",""),vote4SURGE!$A:$C , 3, FALSE)
)
,
IF(IFERROR(SEARCH("SS:",U121),0) &gt; 0, 
VLOOKUP(A121,vote4SURGE!$A:$C , 3, FALSE) - 2,
VLOOKUP(A121,vote4SURGE!$A:$C , 3, FALSE)
)
))</f>
        <v/>
      </c>
      <c r="W121" s="343">
        <f t="shared" si="1"/>
        <v>2</v>
      </c>
      <c r="X121" s="344">
        <f>IFERROR(__xludf.DUMMYFUNCTION("SWITCH(
LEN(K121) - LEN(SUBSTITUTE(K121,"","","""")),
0 , VLOOKUP(K121, Variables!$A:$C, 3, FALSE),
1 , VLOOKUP(index(split(K121 ,"", "", FALSE),1,1), Variables!$A:$C, 3, FALSE) + VLOOKUP(index(split(K121 ,"", "", FALSE),1,2), Variables!$A:$C, 3, FALSE),
"&amp;"2 , VLOOKUP(index(split(K121 ,"", "", FALSE),1,1), Variables!$A:$C, 3, FALSE) + VLOOKUP(index(split(K121 ,"", "", FALSE),1,2), Variables!$A:$C, 3, FALSE) + VLOOKUP(index(split(K121 ,"", "", FALSE),1,3), Variables!$A:$C, 3, FALSE)
)"),0.5)</f>
        <v>0.5</v>
      </c>
      <c r="Y121" s="342">
        <f t="shared" si="2"/>
        <v>4.375</v>
      </c>
      <c r="Z121" s="114"/>
      <c r="AA121" s="114" t="s">
        <v>2572</v>
      </c>
      <c r="AB121" s="114"/>
      <c r="AC121" s="114"/>
      <c r="AD121" s="114"/>
      <c r="AE121" s="114"/>
      <c r="AF121" s="114"/>
      <c r="AG121" s="114" t="s">
        <v>2572</v>
      </c>
      <c r="AH121" s="114"/>
      <c r="AI121" s="114"/>
      <c r="AJ121" s="114" t="s">
        <v>2573</v>
      </c>
      <c r="AK121" s="473">
        <v>9.0</v>
      </c>
      <c r="AL121" s="114" t="s">
        <v>2574</v>
      </c>
      <c r="AM121" s="473">
        <v>13.0</v>
      </c>
      <c r="AN121" s="114" t="s">
        <v>369</v>
      </c>
      <c r="AO121" s="473">
        <v>19.0</v>
      </c>
      <c r="AP121" s="130">
        <f>SUM(
VLOOKUP("Ravage",vote4TRAITS!A:C,3,FALSE)
)</f>
        <v>7.333333333</v>
      </c>
      <c r="AQ121" s="130">
        <f t="shared" si="3"/>
        <v>25.195</v>
      </c>
    </row>
    <row r="122" ht="14.25" customHeight="1">
      <c r="A122" s="137" t="s">
        <v>1431</v>
      </c>
      <c r="B122" s="114" t="s">
        <v>2576</v>
      </c>
      <c r="C122" s="114">
        <v>11.0</v>
      </c>
      <c r="D122" s="114">
        <v>1.0</v>
      </c>
      <c r="E122" s="114">
        <v>1.0</v>
      </c>
      <c r="F122" s="487">
        <v>4.0</v>
      </c>
      <c r="G122" s="488">
        <v>5.0</v>
      </c>
      <c r="H122" s="114" t="s">
        <v>1671</v>
      </c>
      <c r="I122" s="130">
        <f>IFERROR(__xludf.DUMMYFUNCTION("SWITCH(
LEN(H122) - LEN(SUBSTITUTE(H122,"","","""")),
0 , VLOOKUP(H122, Variables!$A:$B, 2, FALSE),
1 , VLOOKUP(index(split(H122 ,"", "", FALSE),1,1), Variables!$A:$B , 2, FALSE) + VLOOKUP(index(split(H122 ,"", "", FALSE),1,2), Variables!$A:$B , 2, FALSE)"&amp;",
2 , VLOOKUP(index(split(H122 ,"", "", FALSE),1,1), Variables!$A:$B , 2, FALSE) + VLOOKUP(index(split(H122 ,"", "", FALSE),1,2), Variables!$A:$B , 2, FALSE) + VLOOKUP(index(split(H122 ,"", "", FALSE),1,3), Variables!$A:$B , 2, FALSE)
)"),2.1666666666666665)</f>
        <v>2.166666667</v>
      </c>
      <c r="J122" s="114" t="s">
        <v>1521</v>
      </c>
      <c r="K122" s="114" t="s">
        <v>1525</v>
      </c>
      <c r="L122" s="130">
        <f>IFERROR(__xludf.DUMMYFUNCTION("SWITCH(
LEN(K122) - LEN(SUBSTITUTE(K122,"","","""")),
0 , VLOOKUP(K122, Variables!$A:$B, 2, FALSE),
1 , VLOOKUP(index(split(K122 ,"", "", FALSE),1,1), Variables!$A:$B , 2, FALSE) + VLOOKUP(index(split(K122 ,"", "", FALSE),1,2), Variables!$A:$B , 2, FALSE)"&amp;",
2 , VLOOKUP(index(split(K122 ,"", "", FALSE),1,1), Variables!$A:$B , 2, FALSE) + VLOOKUP(index(split(K122 ,"", "", FALSE),1,2), Variables!$A:$B , 2, FALSE) + VLOOKUP(index(split(K122 ,"", "", FALSE),1,3), Variables!$A:$B , 2, FALSE)
)
+
IF(J122=""Ranged"&amp;""", 1 , 0)"),3.333333333333333)</f>
        <v>3.333333333</v>
      </c>
      <c r="M122" s="114" t="s">
        <v>2619</v>
      </c>
      <c r="N122" s="130">
        <f>IFERROR(__xludf.DUMMYFUNCTION("IF(ISBLANK(M122), , 
SWITCH(
LEN(M122)- LEN(SUBSTITUTE(M122,"","","""")), 
0 , VLOOKUP(M122, vote4TRAITS!A:C , 3, FALSE),
1 , VLOOKUP(index(split(M122 ,"", "", FALSE),1,1), vote4TRAITS!A:C , 3, FALSE) + VLOOKUP(index(split(M122 ,"", "", FALSE),1,2), vote4"&amp;"TRAITS!A:C , 3, FALSE),
2 , VLOOKUP(index(split(M122 ,"", "", FALSE),1,1), vote4TRAITS!A:C , 3, FALSE) + VLOOKUP(index(split(M122 ,"", "", FALSE),1,2), vote4TRAITS!A:C , 3, FALSE) + VLOOKUP(index(split(M122 ,"", "", FALSE),1,3), vote4TRAITS!A:C , 3, FALSE"&amp;")
)
)"),9.333333333333332)</f>
        <v>9.333333333</v>
      </c>
      <c r="O122" s="490"/>
      <c r="P122" s="165" t="str">
        <f>IFERROR(__xludf.DUMMYFUNCTION("IF(ISBLANK(O122), , 
SWITCH(
LEN(O122)- LEN(SUBSTITUTE(O122,"","","""")), 
0 , VLOOKUP(O122, vote4ACTIONS!A:C , 3, FALSE),
1 , VLOOKUP(index(split(O122 ,"", "", FALSE),1,1), vote4ACTIONS!A:C , 3, FALSE) + VLOOKUP(index(split(O122 ,"", "", FALSE),1,2), vot"&amp;"e4ACTIONS!A:C , 3, FALSE),
2 , VLOOKUP(index(split(O122 ,"", "", FALSE),1,1), vote4ACTIONS!A:C , 3, FALSE) + VLOOKUP(index(split(O122 ,"", "", FALSE),1,2), vote4ACTIONS!A:C , 3, FALSE) + VLOOKUP(index(split(O122 ,"", "", FALSE),1,3), vote4ACTIONS!A:C , 3,"&amp;" FALSE),
3 , VLOOKUP(index(split(O122 ,"", "", FALSE),1,1), vote4ACTIONS!A:C , 3, FALSE) + VLOOKUP(index(split(O122 ,"", "", FALSE),1,2), vote4ACTIONS!A:C , 3, FALSE) + VLOOKUP(index(split(O122 ,"", "", FALSE),1,3), vote4ACTIONS!A:C , 3, FALSE) + VLOOKUP("&amp;"index(split(O122 ,"", "", FALSE),1,4), vote4ACTIONS!A:C , 3, FALSE)
)
)"),"")</f>
        <v/>
      </c>
      <c r="Q122" s="340" t="s">
        <v>1562</v>
      </c>
      <c r="R122" s="342">
        <f>IF(ISBLANK(Q122),,IFERROR(
IF(IFERROR(SEARCH("SS:",Q122),0) &gt; 0, 
VLOOKUP(SUBSTITUTE(Q122,"SS: ",""),vote4SURGE!$A:$C , 3, FALSE) - 2,
VLOOKUP(SUBSTITUTE(Q122,"S: ",""),vote4SURGE!$A:$C , 3, FALSE)
)
,
IF(IFERROR(SEARCH("SS:",Q122),0) &gt; 0, 
VLOOKUP(A122,vote4SURGE!$A:$C , 3, FALSE) - 2,
VLOOKUP(A122,vote4SURGE!$A:$C , 3, FALSE)
)
))</f>
        <v>3.5</v>
      </c>
      <c r="S122" s="341"/>
      <c r="T122" s="342" t="str">
        <f>IF(ISBLANK(S122),,IFERROR(
IF(IFERROR(SEARCH("SS:",S122),0) &gt; 0, 
VLOOKUP(SUBSTITUTE(S122,"SS: ",""),vote4SURGE!$A:$C , 3, FALSE) - 2,
VLOOKUP(SUBSTITUTE(S122,"S: ",""),vote4SURGE!$A:$C , 3, FALSE)
)
,
IF(IFERROR(SEARCH("SS:",S122),0) &gt; 0, 
VLOOKUP(A122,vote4SURGE!$A:$C , 3, FALSE) - 2,
VLOOKUP(A122,vote4SURGE!$A:$C , 3, FALSE)
)
))</f>
        <v/>
      </c>
      <c r="U122" s="341"/>
      <c r="V122" s="343" t="str">
        <f>IF(ISBLANK(U122),,IFERROR(
IF(IFERROR(SEARCH("SS:",U122),0) &gt; 0, 
VLOOKUP(SUBSTITUTE(U122,"SS: ",""),vote4SURGE!$A:$C , 3, FALSE) - 2,
VLOOKUP(SUBSTITUTE(U122,"S: ",""),vote4SURGE!$A:$C , 3, FALSE)
)
,
IF(IFERROR(SEARCH("SS:",U122),0) &gt; 0, 
VLOOKUP(A122,vote4SURGE!$A:$C , 3, FALSE) - 2,
VLOOKUP(A122,vote4SURGE!$A:$C , 3, FALSE)
)
))</f>
        <v/>
      </c>
      <c r="W122" s="343">
        <f t="shared" si="1"/>
        <v>1</v>
      </c>
      <c r="X122" s="344">
        <f>IFERROR(__xludf.DUMMYFUNCTION("SWITCH(
LEN(K122) - LEN(SUBSTITUTE(K122,"","","""")),
0 , VLOOKUP(K122, Variables!$A:$C, 3, FALSE),
1 , VLOOKUP(index(split(K122 ,"", "", FALSE),1,1), Variables!$A:$C, 3, FALSE) + VLOOKUP(index(split(K122 ,"", "", FALSE),1,2), Variables!$A:$C, 3, FALSE),
"&amp;"2 , VLOOKUP(index(split(K122 ,"", "", FALSE),1,1), Variables!$A:$C, 3, FALSE) + VLOOKUP(index(split(K122 ,"", "", FALSE),1,2), Variables!$A:$C, 3, FALSE) + VLOOKUP(index(split(K122 ,"", "", FALSE),1,3), Variables!$A:$C, 3, FALSE)
)"),0.5)</f>
        <v>0.5</v>
      </c>
      <c r="Y122" s="342">
        <f t="shared" si="2"/>
        <v>1.75</v>
      </c>
      <c r="Z122" s="114"/>
      <c r="AA122" s="114" t="s">
        <v>2572</v>
      </c>
      <c r="AB122" s="114"/>
      <c r="AC122" s="114"/>
      <c r="AD122" s="114"/>
      <c r="AE122" s="114"/>
      <c r="AF122" s="114"/>
      <c r="AG122" s="114" t="s">
        <v>2572</v>
      </c>
      <c r="AH122" s="114"/>
      <c r="AI122" s="114"/>
      <c r="AJ122" s="114" t="s">
        <v>2573</v>
      </c>
      <c r="AK122" s="473">
        <v>8.0</v>
      </c>
      <c r="AL122" s="114" t="s">
        <v>2574</v>
      </c>
      <c r="AM122" s="473">
        <v>13.0</v>
      </c>
      <c r="AN122" s="114" t="s">
        <v>369</v>
      </c>
      <c r="AO122" s="473">
        <v>18.0</v>
      </c>
      <c r="AP122" s="130">
        <f>SUM(
VLOOKUP("Ravage",vote4TRAITS!A:C,3,FALSE)
)</f>
        <v>7.333333333</v>
      </c>
      <c r="AQ122" s="130">
        <f t="shared" si="3"/>
        <v>19.23666667</v>
      </c>
    </row>
    <row r="123" ht="14.25" customHeight="1">
      <c r="A123" s="137" t="s">
        <v>1432</v>
      </c>
      <c r="B123" s="114" t="s">
        <v>2570</v>
      </c>
      <c r="C123" s="114">
        <v>49.0</v>
      </c>
      <c r="D123" s="114">
        <v>2.0</v>
      </c>
      <c r="E123" s="114">
        <v>6.0</v>
      </c>
      <c r="F123" s="487">
        <v>4.0</v>
      </c>
      <c r="G123" s="488">
        <v>14.0</v>
      </c>
      <c r="H123" s="114" t="s">
        <v>2590</v>
      </c>
      <c r="I123" s="130">
        <f>IFERROR(__xludf.DUMMYFUNCTION("SWITCH(
LEN(H123) - LEN(SUBSTITUTE(H123,"","","""")),
0 , VLOOKUP(H123, Variables!$A:$B, 2, FALSE),
1 , VLOOKUP(index(split(H123 ,"", "", FALSE),1,1), Variables!$A:$B , 2, FALSE) + VLOOKUP(index(split(H123 ,"", "", FALSE),1,2), Variables!$A:$B , 2, FALSE)"&amp;",
2 , VLOOKUP(index(split(H123 ,"", "", FALSE),1,1), Variables!$A:$B , 2, FALSE) + VLOOKUP(index(split(H123 ,"", "", FALSE),1,2), Variables!$A:$B , 2, FALSE) + VLOOKUP(index(split(H123 ,"", "", FALSE),1,3), Variables!$A:$B , 2, FALSE)
)"),2.6666666666666665)</f>
        <v>2.666666667</v>
      </c>
      <c r="J123" s="114" t="s">
        <v>1521</v>
      </c>
      <c r="K123" s="114" t="s">
        <v>1528</v>
      </c>
      <c r="L123" s="130">
        <f>IFERROR(__xludf.DUMMYFUNCTION("SWITCH(
LEN(K123) - LEN(SUBSTITUTE(K123,"","","""")),
0 , VLOOKUP(K123, Variables!$A:$B, 2, FALSE),
1 , VLOOKUP(index(split(K123 ,"", "", FALSE),1,1), Variables!$A:$B , 2, FALSE) + VLOOKUP(index(split(K123 ,"", "", FALSE),1,2), Variables!$A:$B , 2, FALSE)"&amp;",
2 , VLOOKUP(index(split(K123 ,"", "", FALSE),1,1), Variables!$A:$B , 2, FALSE) + VLOOKUP(index(split(K123 ,"", "", FALSE),1,2), Variables!$A:$B , 2, FALSE) + VLOOKUP(index(split(K123 ,"", "", FALSE),1,3), Variables!$A:$B , 2, FALSE)
)
+
IF(J123=""Ranged"&amp;""", 1 , 0)"),5.5)</f>
        <v>5.5</v>
      </c>
      <c r="M123" s="114" t="s">
        <v>2620</v>
      </c>
      <c r="N123" s="130">
        <f>IFERROR(__xludf.DUMMYFUNCTION("IF(ISBLANK(M123), , 
SWITCH(
LEN(M123)- LEN(SUBSTITUTE(M123,"","","""")), 
0 , VLOOKUP(M123, vote4TRAITS!A:C , 3, FALSE),
1 , VLOOKUP(index(split(M123 ,"", "", FALSE),1,1), vote4TRAITS!A:C , 3, FALSE) + VLOOKUP(index(split(M123 ,"", "", FALSE),1,2), vote4"&amp;"TRAITS!A:C , 3, FALSE),
2 , VLOOKUP(index(split(M123 ,"", "", FALSE),1,1), vote4TRAITS!A:C , 3, FALSE) + VLOOKUP(index(split(M123 ,"", "", FALSE),1,2), vote4TRAITS!A:C , 3, FALSE) + VLOOKUP(index(split(M123 ,"", "", FALSE),1,3), vote4TRAITS!A:C , 3, FALSE"&amp;")
)
)"),17.25)</f>
        <v>17.25</v>
      </c>
      <c r="O123" s="490"/>
      <c r="P123" s="165" t="str">
        <f>IFERROR(__xludf.DUMMYFUNCTION("IF(ISBLANK(O123), , 
SWITCH(
LEN(O123)- LEN(SUBSTITUTE(O123,"","","""")), 
0 , VLOOKUP(O123, vote4ACTIONS!A:C , 3, FALSE),
1 , VLOOKUP(index(split(O123 ,"", "", FALSE),1,1), vote4ACTIONS!A:C , 3, FALSE) + VLOOKUP(index(split(O123 ,"", "", FALSE),1,2), vot"&amp;"e4ACTIONS!A:C , 3, FALSE),
2 , VLOOKUP(index(split(O123 ,"", "", FALSE),1,1), vote4ACTIONS!A:C , 3, FALSE) + VLOOKUP(index(split(O123 ,"", "", FALSE),1,2), vote4ACTIONS!A:C , 3, FALSE) + VLOOKUP(index(split(O123 ,"", "", FALSE),1,3), vote4ACTIONS!A:C , 3,"&amp;" FALSE),
3 , VLOOKUP(index(split(O123 ,"", "", FALSE),1,1), vote4ACTIONS!A:C , 3, FALSE) + VLOOKUP(index(split(O123 ,"", "", FALSE),1,2), vote4ACTIONS!A:C , 3, FALSE) + VLOOKUP(index(split(O123 ,"", "", FALSE),1,3), vote4ACTIONS!A:C , 3, FALSE) + VLOOKUP("&amp;"index(split(O123 ,"", "", FALSE),1,4), vote4ACTIONS!A:C , 3, FALSE)
)
)"),"")</f>
        <v/>
      </c>
      <c r="Q123" s="340"/>
      <c r="R123" s="342" t="str">
        <f>IF(ISBLANK(Q123),,IFERROR(
IF(IFERROR(SEARCH("SS:",Q123),0) &gt; 0, 
VLOOKUP(SUBSTITUTE(Q123,"SS: ",""),vote4SURGE!$A:$C , 3, FALSE) - 2,
VLOOKUP(SUBSTITUTE(Q123,"S: ",""),vote4SURGE!$A:$C , 3, FALSE)
)
,
IF(IFERROR(SEARCH("SS:",Q123),0) &gt; 0, 
VLOOKUP(A123,vote4SURGE!$A:$C , 3, FALSE) - 2,
VLOOKUP(A123,vote4SURGE!$A:$C , 3, FALSE)
)
))</f>
        <v/>
      </c>
      <c r="S123" s="489"/>
      <c r="T123" s="342" t="str">
        <f>IF(ISBLANK(S123),,IFERROR(
IF(IFERROR(SEARCH("SS:",S123),0) &gt; 0, 
VLOOKUP(SUBSTITUTE(S123,"SS: ",""),vote4SURGE!$A:$C , 3, FALSE) - 2,
VLOOKUP(SUBSTITUTE(S123,"S: ",""),vote4SURGE!$A:$C , 3, FALSE)
)
,
IF(IFERROR(SEARCH("SS:",S123),0) &gt; 0, 
VLOOKUP(A123,vote4SURGE!$A:$C , 3, FALSE) - 2,
VLOOKUP(A123,vote4SURGE!$A:$C , 3, FALSE)
)
))</f>
        <v/>
      </c>
      <c r="U123" s="489"/>
      <c r="V123" s="343" t="str">
        <f>IF(ISBLANK(U123),,IFERROR(
IF(IFERROR(SEARCH("SS:",U123),0) &gt; 0, 
VLOOKUP(SUBSTITUTE(U123,"SS: ",""),vote4SURGE!$A:$C , 3, FALSE) - 2,
VLOOKUP(SUBSTITUTE(U123,"S: ",""),vote4SURGE!$A:$C , 3, FALSE)
)
,
IF(IFERROR(SEARCH("SS:",U123),0) &gt; 0, 
VLOOKUP(A123,vote4SURGE!$A:$C , 3, FALSE) - 2,
VLOOKUP(A123,vote4SURGE!$A:$C , 3, FALSE)
)
))</f>
        <v/>
      </c>
      <c r="W123" s="343">
        <f t="shared" si="1"/>
        <v>0</v>
      </c>
      <c r="X123" s="344">
        <f>IFERROR(__xludf.DUMMYFUNCTION("SWITCH(
LEN(K123) - LEN(SUBSTITUTE(K123,"","","""")),
0 , VLOOKUP(K123, Variables!$A:$C, 3, FALSE),
1 , VLOOKUP(index(split(K123 ,"", "", FALSE),1,1), Variables!$A:$C, 3, FALSE) + VLOOKUP(index(split(K123 ,"", "", FALSE),1,2), Variables!$A:$C, 3, FALSE),
"&amp;"2 , VLOOKUP(index(split(K123 ,"", "", FALSE),1,1), Variables!$A:$C, 3, FALSE) + VLOOKUP(index(split(K123 ,"", "", FALSE),1,2), Variables!$A:$C, 3, FALSE) + VLOOKUP(index(split(K123 ,"", "", FALSE),1,3), Variables!$A:$C, 3, FALSE)
)"),0.6666666666666666)</f>
        <v>0.6666666667</v>
      </c>
      <c r="Y123" s="342">
        <f t="shared" si="2"/>
        <v>0</v>
      </c>
      <c r="Z123" s="137"/>
      <c r="AA123" s="114" t="s">
        <v>2572</v>
      </c>
      <c r="AB123" s="137"/>
      <c r="AC123" s="114" t="s">
        <v>2572</v>
      </c>
      <c r="AD123" s="137"/>
      <c r="AE123" s="137"/>
      <c r="AF123" s="137"/>
      <c r="AG123" s="137"/>
      <c r="AH123" s="137"/>
      <c r="AI123" s="137"/>
      <c r="AJ123" s="114" t="s">
        <v>2573</v>
      </c>
      <c r="AK123" s="473">
        <v>11.0</v>
      </c>
      <c r="AL123" s="114" t="s">
        <v>2574</v>
      </c>
      <c r="AM123" s="473">
        <v>14.0</v>
      </c>
      <c r="AN123" s="114" t="s">
        <v>2574</v>
      </c>
      <c r="AO123" s="473">
        <v>25.0</v>
      </c>
      <c r="AP123" s="130">
        <f>SUM(
VLOOKUP("Ravage",vote4TRAITS!A:C,3,FALSE)
)</f>
        <v>7.333333333</v>
      </c>
      <c r="AQ123" s="130">
        <f t="shared" si="3"/>
        <v>54.73</v>
      </c>
    </row>
    <row r="124" ht="14.25" customHeight="1">
      <c r="A124" s="137" t="s">
        <v>1432</v>
      </c>
      <c r="B124" s="114" t="s">
        <v>2570</v>
      </c>
      <c r="C124" s="114">
        <v>49.0</v>
      </c>
      <c r="D124" s="114">
        <v>1.0</v>
      </c>
      <c r="E124" s="114">
        <v>6.0</v>
      </c>
      <c r="F124" s="487">
        <v>4.0</v>
      </c>
      <c r="G124" s="488">
        <v>9.0</v>
      </c>
      <c r="H124" s="114" t="s">
        <v>2590</v>
      </c>
      <c r="I124" s="130">
        <f>IFERROR(__xludf.DUMMYFUNCTION("SWITCH(
LEN(H124) - LEN(SUBSTITUTE(H124,"","","""")),
0 , VLOOKUP(H124, Variables!$A:$B, 2, FALSE),
1 , VLOOKUP(index(split(H124 ,"", "", FALSE),1,1), Variables!$A:$B , 2, FALSE) + VLOOKUP(index(split(H124 ,"", "", FALSE),1,2), Variables!$A:$B , 2, FALSE)"&amp;",
2 , VLOOKUP(index(split(H124 ,"", "", FALSE),1,1), Variables!$A:$B , 2, FALSE) + VLOOKUP(index(split(H124 ,"", "", FALSE),1,2), Variables!$A:$B , 2, FALSE) + VLOOKUP(index(split(H124 ,"", "", FALSE),1,3), Variables!$A:$B , 2, FALSE)
)"),2.6666666666666665)</f>
        <v>2.666666667</v>
      </c>
      <c r="J124" s="114" t="s">
        <v>1521</v>
      </c>
      <c r="K124" s="114" t="s">
        <v>1525</v>
      </c>
      <c r="L124" s="130">
        <f>IFERROR(__xludf.DUMMYFUNCTION("SWITCH(
LEN(K124) - LEN(SUBSTITUTE(K124,"","","""")),
0 , VLOOKUP(K124, Variables!$A:$B, 2, FALSE),
1 , VLOOKUP(index(split(K124 ,"", "", FALSE),1,1), Variables!$A:$B , 2, FALSE) + VLOOKUP(index(split(K124 ,"", "", FALSE),1,2), Variables!$A:$B , 2, FALSE)"&amp;",
2 , VLOOKUP(index(split(K124 ,"", "", FALSE),1,1), Variables!$A:$B , 2, FALSE) + VLOOKUP(index(split(K124 ,"", "", FALSE),1,2), Variables!$A:$B , 2, FALSE) + VLOOKUP(index(split(K124 ,"", "", FALSE),1,3), Variables!$A:$B , 2, FALSE)
)
+
IF(J124=""Ranged"&amp;""", 1 , 0)"),3.333333333333333)</f>
        <v>3.333333333</v>
      </c>
      <c r="M124" s="114" t="s">
        <v>2620</v>
      </c>
      <c r="N124" s="130">
        <f>IFERROR(__xludf.DUMMYFUNCTION("IF(ISBLANK(M124), , 
SWITCH(
LEN(M124)- LEN(SUBSTITUTE(M124,"","","""")), 
0 , VLOOKUP(M124, vote4TRAITS!A:C , 3, FALSE),
1 , VLOOKUP(index(split(M124 ,"", "", FALSE),1,1), vote4TRAITS!A:C , 3, FALSE) + VLOOKUP(index(split(M124 ,"", "", FALSE),1,2), vote4"&amp;"TRAITS!A:C , 3, FALSE),
2 , VLOOKUP(index(split(M124 ,"", "", FALSE),1,1), vote4TRAITS!A:C , 3, FALSE) + VLOOKUP(index(split(M124 ,"", "", FALSE),1,2), vote4TRAITS!A:C , 3, FALSE) + VLOOKUP(index(split(M124 ,"", "", FALSE),1,3), vote4TRAITS!A:C , 3, FALSE"&amp;")
)
)"),17.25)</f>
        <v>17.25</v>
      </c>
      <c r="O124" s="490"/>
      <c r="P124" s="165" t="str">
        <f>IFERROR(__xludf.DUMMYFUNCTION("IF(ISBLANK(O124), , 
SWITCH(
LEN(O124)- LEN(SUBSTITUTE(O124,"","","""")), 
0 , VLOOKUP(O124, vote4ACTIONS!A:C , 3, FALSE),
1 , VLOOKUP(index(split(O124 ,"", "", FALSE),1,1), vote4ACTIONS!A:C , 3, FALSE) + VLOOKUP(index(split(O124 ,"", "", FALSE),1,2), vot"&amp;"e4ACTIONS!A:C , 3, FALSE),
2 , VLOOKUP(index(split(O124 ,"", "", FALSE),1,1), vote4ACTIONS!A:C , 3, FALSE) + VLOOKUP(index(split(O124 ,"", "", FALSE),1,2), vote4ACTIONS!A:C , 3, FALSE) + VLOOKUP(index(split(O124 ,"", "", FALSE),1,3), vote4ACTIONS!A:C , 3,"&amp;" FALSE),
3 , VLOOKUP(index(split(O124 ,"", "", FALSE),1,1), vote4ACTIONS!A:C , 3, FALSE) + VLOOKUP(index(split(O124 ,"", "", FALSE),1,2), vote4ACTIONS!A:C , 3, FALSE) + VLOOKUP(index(split(O124 ,"", "", FALSE),1,3), vote4ACTIONS!A:C , 3, FALSE) + VLOOKUP("&amp;"index(split(O124 ,"", "", FALSE),1,4), vote4ACTIONS!A:C , 3, FALSE)
)
)"),"")</f>
        <v/>
      </c>
      <c r="Q124" s="340"/>
      <c r="R124" s="342" t="str">
        <f>IF(ISBLANK(Q124),,IFERROR(
IF(IFERROR(SEARCH("SS:",Q124),0) &gt; 0, 
VLOOKUP(SUBSTITUTE(Q124,"SS: ",""),vote4SURGE!$A:$C , 3, FALSE) - 2,
VLOOKUP(SUBSTITUTE(Q124,"S: ",""),vote4SURGE!$A:$C , 3, FALSE)
)
,
IF(IFERROR(SEARCH("SS:",Q124),0) &gt; 0, 
VLOOKUP(A124,vote4SURGE!$A:$C , 3, FALSE) - 2,
VLOOKUP(A124,vote4SURGE!$A:$C , 3, FALSE)
)
))</f>
        <v/>
      </c>
      <c r="S124" s="340"/>
      <c r="T124" s="342" t="str">
        <f>IF(ISBLANK(S124),,IFERROR(
IF(IFERROR(SEARCH("SS:",S124),0) &gt; 0, 
VLOOKUP(SUBSTITUTE(S124,"SS: ",""),vote4SURGE!$A:$C , 3, FALSE) - 2,
VLOOKUP(SUBSTITUTE(S124,"S: ",""),vote4SURGE!$A:$C , 3, FALSE)
)
,
IF(IFERROR(SEARCH("SS:",S124),0) &gt; 0, 
VLOOKUP(A124,vote4SURGE!$A:$C , 3, FALSE) - 2,
VLOOKUP(A124,vote4SURGE!$A:$C , 3, FALSE)
)
))</f>
        <v/>
      </c>
      <c r="U124" s="341"/>
      <c r="V124" s="343" t="str">
        <f>IF(ISBLANK(U124),,IFERROR(
IF(IFERROR(SEARCH("SS:",U124),0) &gt; 0, 
VLOOKUP(SUBSTITUTE(U124,"SS: ",""),vote4SURGE!$A:$C , 3, FALSE) - 2,
VLOOKUP(SUBSTITUTE(U124,"S: ",""),vote4SURGE!$A:$C , 3, FALSE)
)
,
IF(IFERROR(SEARCH("SS:",U124),0) &gt; 0, 
VLOOKUP(A124,vote4SURGE!$A:$C , 3, FALSE) - 2,
VLOOKUP(A124,vote4SURGE!$A:$C , 3, FALSE)
)
))</f>
        <v/>
      </c>
      <c r="W124" s="343">
        <f t="shared" si="1"/>
        <v>0</v>
      </c>
      <c r="X124" s="344">
        <f>IFERROR(__xludf.DUMMYFUNCTION("SWITCH(
LEN(K124) - LEN(SUBSTITUTE(K124,"","","""")),
0 , VLOOKUP(K124, Variables!$A:$C, 3, FALSE),
1 , VLOOKUP(index(split(K124 ,"", "", FALSE),1,1), Variables!$A:$C, 3, FALSE) + VLOOKUP(index(split(K124 ,"", "", FALSE),1,2), Variables!$A:$C, 3, FALSE),
"&amp;"2 , VLOOKUP(index(split(K124 ,"", "", FALSE),1,1), Variables!$A:$C, 3, FALSE) + VLOOKUP(index(split(K124 ,"", "", FALSE),1,2), Variables!$A:$C, 3, FALSE) + VLOOKUP(index(split(K124 ,"", "", FALSE),1,3), Variables!$A:$C, 3, FALSE)
)"),0.5)</f>
        <v>0.5</v>
      </c>
      <c r="Y124" s="342">
        <f t="shared" si="2"/>
        <v>0</v>
      </c>
      <c r="Z124" s="114"/>
      <c r="AA124" s="114" t="s">
        <v>2572</v>
      </c>
      <c r="AB124" s="114"/>
      <c r="AC124" s="114" t="s">
        <v>2572</v>
      </c>
      <c r="AD124" s="114"/>
      <c r="AE124" s="114"/>
      <c r="AF124" s="114"/>
      <c r="AG124" s="114"/>
      <c r="AH124" s="114"/>
      <c r="AI124" s="114"/>
      <c r="AJ124" s="114" t="s">
        <v>2573</v>
      </c>
      <c r="AK124" s="473">
        <v>7.0</v>
      </c>
      <c r="AL124" s="114" t="s">
        <v>2574</v>
      </c>
      <c r="AM124" s="473">
        <v>9.0</v>
      </c>
      <c r="AN124" s="114" t="s">
        <v>2574</v>
      </c>
      <c r="AO124" s="473">
        <v>16.0</v>
      </c>
      <c r="AP124" s="130">
        <f>SUM(
VLOOKUP("Ravage",vote4TRAITS!A:C,3,FALSE)
)</f>
        <v>7.333333333</v>
      </c>
      <c r="AQ124" s="130">
        <f t="shared" si="3"/>
        <v>39.23</v>
      </c>
    </row>
    <row r="125" ht="14.25" customHeight="1">
      <c r="A125" s="137" t="s">
        <v>1432</v>
      </c>
      <c r="B125" s="114" t="s">
        <v>2576</v>
      </c>
      <c r="C125" s="114">
        <v>49.0</v>
      </c>
      <c r="D125" s="114">
        <v>2.0</v>
      </c>
      <c r="E125" s="114">
        <v>6.0</v>
      </c>
      <c r="F125" s="487">
        <v>4.0</v>
      </c>
      <c r="G125" s="488">
        <v>11.0</v>
      </c>
      <c r="H125" s="114" t="s">
        <v>2590</v>
      </c>
      <c r="I125" s="130">
        <f>IFERROR(__xludf.DUMMYFUNCTION("SWITCH(
LEN(H125) - LEN(SUBSTITUTE(H125,"","","""")),
0 , VLOOKUP(H125, Variables!$A:$B, 2, FALSE),
1 , VLOOKUP(index(split(H125 ,"", "", FALSE),1,1), Variables!$A:$B , 2, FALSE) + VLOOKUP(index(split(H125 ,"", "", FALSE),1,2), Variables!$A:$B , 2, FALSE)"&amp;",
2 , VLOOKUP(index(split(H125 ,"", "", FALSE),1,1), Variables!$A:$B , 2, FALSE) + VLOOKUP(index(split(H125 ,"", "", FALSE),1,2), Variables!$A:$B , 2, FALSE) + VLOOKUP(index(split(H125 ,"", "", FALSE),1,3), Variables!$A:$B , 2, FALSE)
)"),2.6666666666666665)</f>
        <v>2.666666667</v>
      </c>
      <c r="J125" s="114" t="s">
        <v>1521</v>
      </c>
      <c r="K125" s="114" t="s">
        <v>1528</v>
      </c>
      <c r="L125" s="130">
        <f>IFERROR(__xludf.DUMMYFUNCTION("SWITCH(
LEN(K125) - LEN(SUBSTITUTE(K125,"","","""")),
0 , VLOOKUP(K125, Variables!$A:$B, 2, FALSE),
1 , VLOOKUP(index(split(K125 ,"", "", FALSE),1,1), Variables!$A:$B , 2, FALSE) + VLOOKUP(index(split(K125 ,"", "", FALSE),1,2), Variables!$A:$B , 2, FALSE)"&amp;",
2 , VLOOKUP(index(split(K125 ,"", "", FALSE),1,1), Variables!$A:$B , 2, FALSE) + VLOOKUP(index(split(K125 ,"", "", FALSE),1,2), Variables!$A:$B , 2, FALSE) + VLOOKUP(index(split(K125 ,"", "", FALSE),1,3), Variables!$A:$B , 2, FALSE)
)
+
IF(J125=""Ranged"&amp;""", 1 , 0)"),5.5)</f>
        <v>5.5</v>
      </c>
      <c r="M125" s="114" t="s">
        <v>2621</v>
      </c>
      <c r="N125" s="130">
        <f>IFERROR(__xludf.DUMMYFUNCTION("IF(ISBLANK(M125), , 
SWITCH(
LEN(M125)- LEN(SUBSTITUTE(M125,"","","""")), 
0 , VLOOKUP(M125, vote4TRAITS!A:C , 3, FALSE),
1 , VLOOKUP(index(split(M125 ,"", "", FALSE),1,1), vote4TRAITS!A:C , 3, FALSE) + VLOOKUP(index(split(M125 ,"", "", FALSE),1,2), vote4"&amp;"TRAITS!A:C , 3, FALSE),
2 , VLOOKUP(index(split(M125 ,"", "", FALSE),1,1), vote4TRAITS!A:C , 3, FALSE) + VLOOKUP(index(split(M125 ,"", "", FALSE),1,2), vote4TRAITS!A:C , 3, FALSE) + VLOOKUP(index(split(M125 ,"", "", FALSE),1,3), vote4TRAITS!A:C , 3, FALSE"&amp;")
)
)"),12.25)</f>
        <v>12.25</v>
      </c>
      <c r="O125" s="490"/>
      <c r="P125" s="165" t="str">
        <f>IFERROR(__xludf.DUMMYFUNCTION("IF(ISBLANK(O125), , 
SWITCH(
LEN(O125)- LEN(SUBSTITUTE(O125,"","","""")), 
0 , VLOOKUP(O125, vote4ACTIONS!A:C , 3, FALSE),
1 , VLOOKUP(index(split(O125 ,"", "", FALSE),1,1), vote4ACTIONS!A:C , 3, FALSE) + VLOOKUP(index(split(O125 ,"", "", FALSE),1,2), vot"&amp;"e4ACTIONS!A:C , 3, FALSE),
2 , VLOOKUP(index(split(O125 ,"", "", FALSE),1,1), vote4ACTIONS!A:C , 3, FALSE) + VLOOKUP(index(split(O125 ,"", "", FALSE),1,2), vote4ACTIONS!A:C , 3, FALSE) + VLOOKUP(index(split(O125 ,"", "", FALSE),1,3), vote4ACTIONS!A:C , 3,"&amp;" FALSE),
3 , VLOOKUP(index(split(O125 ,"", "", FALSE),1,1), vote4ACTIONS!A:C , 3, FALSE) + VLOOKUP(index(split(O125 ,"", "", FALSE),1,2), vote4ACTIONS!A:C , 3, FALSE) + VLOOKUP(index(split(O125 ,"", "", FALSE),1,3), vote4ACTIONS!A:C , 3, FALSE) + VLOOKUP("&amp;"index(split(O125 ,"", "", FALSE),1,4), vote4ACTIONS!A:C , 3, FALSE)
)
)"),"")</f>
        <v/>
      </c>
      <c r="Q125" s="340"/>
      <c r="R125" s="342" t="str">
        <f>IF(ISBLANK(Q125),,IFERROR(
IF(IFERROR(SEARCH("SS:",Q125),0) &gt; 0, 
VLOOKUP(SUBSTITUTE(Q125,"SS: ",""),vote4SURGE!$A:$C , 3, FALSE) - 2,
VLOOKUP(SUBSTITUTE(Q125,"S: ",""),vote4SURGE!$A:$C , 3, FALSE)
)
,
IF(IFERROR(SEARCH("SS:",Q125),0) &gt; 0, 
VLOOKUP(A125,vote4SURGE!$A:$C , 3, FALSE) - 2,
VLOOKUP(A125,vote4SURGE!$A:$C , 3, FALSE)
)
))</f>
        <v/>
      </c>
      <c r="S125" s="489"/>
      <c r="T125" s="342" t="str">
        <f>IF(ISBLANK(S125),,IFERROR(
IF(IFERROR(SEARCH("SS:",S125),0) &gt; 0, 
VLOOKUP(SUBSTITUTE(S125,"SS: ",""),vote4SURGE!$A:$C , 3, FALSE) - 2,
VLOOKUP(SUBSTITUTE(S125,"S: ",""),vote4SURGE!$A:$C , 3, FALSE)
)
,
IF(IFERROR(SEARCH("SS:",S125),0) &gt; 0, 
VLOOKUP(A125,vote4SURGE!$A:$C , 3, FALSE) - 2,
VLOOKUP(A125,vote4SURGE!$A:$C , 3, FALSE)
)
))</f>
        <v/>
      </c>
      <c r="U125" s="341"/>
      <c r="V125" s="343" t="str">
        <f>IF(ISBLANK(U125),,IFERROR(
IF(IFERROR(SEARCH("SS:",U125),0) &gt; 0, 
VLOOKUP(SUBSTITUTE(U125,"SS: ",""),vote4SURGE!$A:$C , 3, FALSE) - 2,
VLOOKUP(SUBSTITUTE(U125,"S: ",""),vote4SURGE!$A:$C , 3, FALSE)
)
,
IF(IFERROR(SEARCH("SS:",U125),0) &gt; 0, 
VLOOKUP(A125,vote4SURGE!$A:$C , 3, FALSE) - 2,
VLOOKUP(A125,vote4SURGE!$A:$C , 3, FALSE)
)
))</f>
        <v/>
      </c>
      <c r="W125" s="343">
        <f t="shared" si="1"/>
        <v>0</v>
      </c>
      <c r="X125" s="344">
        <f>IFERROR(__xludf.DUMMYFUNCTION("SWITCH(
LEN(K125) - LEN(SUBSTITUTE(K125,"","","""")),
0 , VLOOKUP(K125, Variables!$A:$C, 3, FALSE),
1 , VLOOKUP(index(split(K125 ,"", "", FALSE),1,1), Variables!$A:$C, 3, FALSE) + VLOOKUP(index(split(K125 ,"", "", FALSE),1,2), Variables!$A:$C, 3, FALSE),
"&amp;"2 , VLOOKUP(index(split(K125 ,"", "", FALSE),1,1), Variables!$A:$C, 3, FALSE) + VLOOKUP(index(split(K125 ,"", "", FALSE),1,2), Variables!$A:$C, 3, FALSE) + VLOOKUP(index(split(K125 ,"", "", FALSE),1,3), Variables!$A:$C, 3, FALSE)
)"),0.6666666666666666)</f>
        <v>0.6666666667</v>
      </c>
      <c r="Y125" s="342">
        <f t="shared" si="2"/>
        <v>0</v>
      </c>
      <c r="Z125" s="114"/>
      <c r="AA125" s="114" t="s">
        <v>2572</v>
      </c>
      <c r="AB125" s="114"/>
      <c r="AC125" s="114" t="s">
        <v>2572</v>
      </c>
      <c r="AD125" s="114"/>
      <c r="AE125" s="114"/>
      <c r="AF125" s="114"/>
      <c r="AG125" s="114"/>
      <c r="AH125" s="114"/>
      <c r="AI125" s="114"/>
      <c r="AJ125" s="114" t="s">
        <v>2574</v>
      </c>
      <c r="AK125" s="473">
        <v>11.0</v>
      </c>
      <c r="AL125" s="114" t="s">
        <v>2573</v>
      </c>
      <c r="AM125" s="473">
        <v>14.0</v>
      </c>
      <c r="AN125" s="114" t="s">
        <v>2574</v>
      </c>
      <c r="AO125" s="473">
        <v>25.0</v>
      </c>
      <c r="AP125" s="130">
        <f>SUM(
VLOOKUP("Ravage",vote4TRAITS!A:C,3,FALSE)
)</f>
        <v>7.333333333</v>
      </c>
      <c r="AQ125" s="130">
        <f t="shared" si="3"/>
        <v>41.73</v>
      </c>
    </row>
    <row r="126" ht="14.25" customHeight="1">
      <c r="A126" s="137" t="s">
        <v>1432</v>
      </c>
      <c r="B126" s="114" t="s">
        <v>2576</v>
      </c>
      <c r="C126" s="114">
        <v>49.0</v>
      </c>
      <c r="D126" s="114">
        <v>1.0</v>
      </c>
      <c r="E126" s="114">
        <v>6.0</v>
      </c>
      <c r="F126" s="487">
        <v>4.0</v>
      </c>
      <c r="G126" s="488">
        <v>7.0</v>
      </c>
      <c r="H126" s="114" t="s">
        <v>2590</v>
      </c>
      <c r="I126" s="130">
        <f>IFERROR(__xludf.DUMMYFUNCTION("SWITCH(
LEN(H126) - LEN(SUBSTITUTE(H126,"","","""")),
0 , VLOOKUP(H126, Variables!$A:$B, 2, FALSE),
1 , VLOOKUP(index(split(H126 ,"", "", FALSE),1,1), Variables!$A:$B , 2, FALSE) + VLOOKUP(index(split(H126 ,"", "", FALSE),1,2), Variables!$A:$B , 2, FALSE)"&amp;",
2 , VLOOKUP(index(split(H126 ,"", "", FALSE),1,1), Variables!$A:$B , 2, FALSE) + VLOOKUP(index(split(H126 ,"", "", FALSE),1,2), Variables!$A:$B , 2, FALSE) + VLOOKUP(index(split(H126 ,"", "", FALSE),1,3), Variables!$A:$B , 2, FALSE)
)"),2.6666666666666665)</f>
        <v>2.666666667</v>
      </c>
      <c r="J126" s="114" t="s">
        <v>1521</v>
      </c>
      <c r="K126" s="114" t="s">
        <v>1525</v>
      </c>
      <c r="L126" s="130">
        <f>IFERROR(__xludf.DUMMYFUNCTION("SWITCH(
LEN(K126) - LEN(SUBSTITUTE(K126,"","","""")),
0 , VLOOKUP(K126, Variables!$A:$B, 2, FALSE),
1 , VLOOKUP(index(split(K126 ,"", "", FALSE),1,1), Variables!$A:$B , 2, FALSE) + VLOOKUP(index(split(K126 ,"", "", FALSE),1,2), Variables!$A:$B , 2, FALSE)"&amp;",
2 , VLOOKUP(index(split(K126 ,"", "", FALSE),1,1), Variables!$A:$B , 2, FALSE) + VLOOKUP(index(split(K126 ,"", "", FALSE),1,2), Variables!$A:$B , 2, FALSE) + VLOOKUP(index(split(K126 ,"", "", FALSE),1,3), Variables!$A:$B , 2, FALSE)
)
+
IF(J126=""Ranged"&amp;""", 1 , 0)"),3.333333333333333)</f>
        <v>3.333333333</v>
      </c>
      <c r="M126" s="114" t="s">
        <v>2621</v>
      </c>
      <c r="N126" s="130">
        <f>IFERROR(__xludf.DUMMYFUNCTION("IF(ISBLANK(M126), , 
SWITCH(
LEN(M126)- LEN(SUBSTITUTE(M126,"","","""")), 
0 , VLOOKUP(M126, vote4TRAITS!A:C , 3, FALSE),
1 , VLOOKUP(index(split(M126 ,"", "", FALSE),1,1), vote4TRAITS!A:C , 3, FALSE) + VLOOKUP(index(split(M126 ,"", "", FALSE),1,2), vote4"&amp;"TRAITS!A:C , 3, FALSE),
2 , VLOOKUP(index(split(M126 ,"", "", FALSE),1,1), vote4TRAITS!A:C , 3, FALSE) + VLOOKUP(index(split(M126 ,"", "", FALSE),1,2), vote4TRAITS!A:C , 3, FALSE) + VLOOKUP(index(split(M126 ,"", "", FALSE),1,3), vote4TRAITS!A:C , 3, FALSE"&amp;")
)
)"),12.25)</f>
        <v>12.25</v>
      </c>
      <c r="O126" s="490"/>
      <c r="P126" s="165" t="str">
        <f>IFERROR(__xludf.DUMMYFUNCTION("IF(ISBLANK(O126), , 
SWITCH(
LEN(O126)- LEN(SUBSTITUTE(O126,"","","""")), 
0 , VLOOKUP(O126, vote4ACTIONS!A:C , 3, FALSE),
1 , VLOOKUP(index(split(O126 ,"", "", FALSE),1,1), vote4ACTIONS!A:C , 3, FALSE) + VLOOKUP(index(split(O126 ,"", "", FALSE),1,2), vot"&amp;"e4ACTIONS!A:C , 3, FALSE),
2 , VLOOKUP(index(split(O126 ,"", "", FALSE),1,1), vote4ACTIONS!A:C , 3, FALSE) + VLOOKUP(index(split(O126 ,"", "", FALSE),1,2), vote4ACTIONS!A:C , 3, FALSE) + VLOOKUP(index(split(O126 ,"", "", FALSE),1,3), vote4ACTIONS!A:C , 3,"&amp;" FALSE),
3 , VLOOKUP(index(split(O126 ,"", "", FALSE),1,1), vote4ACTIONS!A:C , 3, FALSE) + VLOOKUP(index(split(O126 ,"", "", FALSE),1,2), vote4ACTIONS!A:C , 3, FALSE) + VLOOKUP(index(split(O126 ,"", "", FALSE),1,3), vote4ACTIONS!A:C , 3, FALSE) + VLOOKUP("&amp;"index(split(O126 ,"", "", FALSE),1,4), vote4ACTIONS!A:C , 3, FALSE)
)
)"),"")</f>
        <v/>
      </c>
      <c r="Q126" s="340"/>
      <c r="R126" s="342" t="str">
        <f>IF(ISBLANK(Q126),,IFERROR(
IF(IFERROR(SEARCH("SS:",Q126),0) &gt; 0, 
VLOOKUP(SUBSTITUTE(Q126,"SS: ",""),vote4SURGE!$A:$C , 3, FALSE) - 2,
VLOOKUP(SUBSTITUTE(Q126,"S: ",""),vote4SURGE!$A:$C , 3, FALSE)
)
,
IF(IFERROR(SEARCH("SS:",Q126),0) &gt; 0, 
VLOOKUP(A126,vote4SURGE!$A:$C , 3, FALSE) - 2,
VLOOKUP(A126,vote4SURGE!$A:$C , 3, FALSE)
)
))</f>
        <v/>
      </c>
      <c r="S126" s="489"/>
      <c r="T126" s="342" t="str">
        <f>IF(ISBLANK(S126),,IFERROR(
IF(IFERROR(SEARCH("SS:",S126),0) &gt; 0, 
VLOOKUP(SUBSTITUTE(S126,"SS: ",""),vote4SURGE!$A:$C , 3, FALSE) - 2,
VLOOKUP(SUBSTITUTE(S126,"S: ",""),vote4SURGE!$A:$C , 3, FALSE)
)
,
IF(IFERROR(SEARCH("SS:",S126),0) &gt; 0, 
VLOOKUP(A126,vote4SURGE!$A:$C , 3, FALSE) - 2,
VLOOKUP(A126,vote4SURGE!$A:$C , 3, FALSE)
)
))</f>
        <v/>
      </c>
      <c r="U126" s="341"/>
      <c r="V126" s="343" t="str">
        <f>IF(ISBLANK(U126),,IFERROR(
IF(IFERROR(SEARCH("SS:",U126),0) &gt; 0, 
VLOOKUP(SUBSTITUTE(U126,"SS: ",""),vote4SURGE!$A:$C , 3, FALSE) - 2,
VLOOKUP(SUBSTITUTE(U126,"S: ",""),vote4SURGE!$A:$C , 3, FALSE)
)
,
IF(IFERROR(SEARCH("SS:",U126),0) &gt; 0, 
VLOOKUP(A126,vote4SURGE!$A:$C , 3, FALSE) - 2,
VLOOKUP(A126,vote4SURGE!$A:$C , 3, FALSE)
)
))</f>
        <v/>
      </c>
      <c r="W126" s="343">
        <f t="shared" si="1"/>
        <v>0</v>
      </c>
      <c r="X126" s="344">
        <f>IFERROR(__xludf.DUMMYFUNCTION("SWITCH(
LEN(K126) - LEN(SUBSTITUTE(K126,"","","""")),
0 , VLOOKUP(K126, Variables!$A:$C, 3, FALSE),
1 , VLOOKUP(index(split(K126 ,"", "", FALSE),1,1), Variables!$A:$C, 3, FALSE) + VLOOKUP(index(split(K126 ,"", "", FALSE),1,2), Variables!$A:$C, 3, FALSE),
"&amp;"2 , VLOOKUP(index(split(K126 ,"", "", FALSE),1,1), Variables!$A:$C, 3, FALSE) + VLOOKUP(index(split(K126 ,"", "", FALSE),1,2), Variables!$A:$C, 3, FALSE) + VLOOKUP(index(split(K126 ,"", "", FALSE),1,3), Variables!$A:$C, 3, FALSE)
)"),0.5)</f>
        <v>0.5</v>
      </c>
      <c r="Y126" s="342">
        <f t="shared" si="2"/>
        <v>0</v>
      </c>
      <c r="Z126" s="114"/>
      <c r="AA126" s="114" t="s">
        <v>2572</v>
      </c>
      <c r="AB126" s="114"/>
      <c r="AC126" s="114" t="s">
        <v>2572</v>
      </c>
      <c r="AD126" s="114"/>
      <c r="AE126" s="114"/>
      <c r="AF126" s="114"/>
      <c r="AG126" s="114"/>
      <c r="AH126" s="114"/>
      <c r="AI126" s="114"/>
      <c r="AJ126" s="114" t="s">
        <v>2574</v>
      </c>
      <c r="AK126" s="473">
        <v>7.0</v>
      </c>
      <c r="AL126" s="114" t="s">
        <v>2573</v>
      </c>
      <c r="AM126" s="473">
        <v>9.0</v>
      </c>
      <c r="AN126" s="114" t="s">
        <v>2574</v>
      </c>
      <c r="AO126" s="473">
        <v>16.0</v>
      </c>
      <c r="AP126" s="130">
        <f>SUM(
VLOOKUP("Ravage",vote4TRAITS!A:C,3,FALSE)
)</f>
        <v>7.333333333</v>
      </c>
      <c r="AQ126" s="130">
        <f t="shared" si="3"/>
        <v>28.89666667</v>
      </c>
    </row>
    <row r="127" ht="14.25" customHeight="1">
      <c r="A127" s="137" t="s">
        <v>2622</v>
      </c>
      <c r="B127" s="114" t="s">
        <v>2570</v>
      </c>
      <c r="C127" s="114">
        <v>19.0</v>
      </c>
      <c r="D127" s="114">
        <v>2.0</v>
      </c>
      <c r="E127" s="114">
        <v>1.0</v>
      </c>
      <c r="F127" s="487">
        <v>2.0</v>
      </c>
      <c r="G127" s="488">
        <v>12.0</v>
      </c>
      <c r="H127" s="114" t="s">
        <v>2599</v>
      </c>
      <c r="I127" s="130">
        <f>IFERROR(__xludf.DUMMYFUNCTION("SWITCH(
LEN(H127) - LEN(SUBSTITUTE(H127,"","","""")),
0 , VLOOKUP(H127, Variables!$A:$B, 2, FALSE),
1 , VLOOKUP(index(split(H127 ,"", "", FALSE),1,1), Variables!$A:$B , 2, FALSE) + VLOOKUP(index(split(H127 ,"", "", FALSE),1,2), Variables!$A:$B , 2, FALSE)"&amp;",
2 , VLOOKUP(index(split(H127 ,"", "", FALSE),1,1), Variables!$A:$B , 2, FALSE) + VLOOKUP(index(split(H127 ,"", "", FALSE),1,2), Variables!$A:$B , 2, FALSE) + VLOOKUP(index(split(H127 ,"", "", FALSE),1,3), Variables!$A:$B , 2, FALSE)
)"),3.5)</f>
        <v>3.5</v>
      </c>
      <c r="J127" s="114" t="s">
        <v>1521</v>
      </c>
      <c r="K127" s="114" t="s">
        <v>1522</v>
      </c>
      <c r="L127" s="130">
        <f>IFERROR(__xludf.DUMMYFUNCTION("SWITCH(
LEN(K127) - LEN(SUBSTITUTE(K127,"","","""")),
0 , VLOOKUP(K127, Variables!$A:$B, 2, FALSE),
1 , VLOOKUP(index(split(K127 ,"", "", FALSE),1,1), Variables!$A:$B , 2, FALSE) + VLOOKUP(index(split(K127 ,"", "", FALSE),1,2), Variables!$A:$B , 2, FALSE)"&amp;",
2 , VLOOKUP(index(split(K127 ,"", "", FALSE),1,1), Variables!$A:$B , 2, FALSE) + VLOOKUP(index(split(K127 ,"", "", FALSE),1,2), Variables!$A:$B , 2, FALSE) + VLOOKUP(index(split(K127 ,"", "", FALSE),1,3), Variables!$A:$B , 2, FALSE)
)
+
IF(J127=""Ranged"&amp;""", 1 , 0)"),3.9999999999999996)</f>
        <v>4</v>
      </c>
      <c r="M127" s="114" t="s">
        <v>2623</v>
      </c>
      <c r="N127" s="130">
        <f>IFERROR(__xludf.DUMMYFUNCTION("IF(ISBLANK(M127), , 
SWITCH(
LEN(M127)- LEN(SUBSTITUTE(M127,"","","""")), 
0 , VLOOKUP(M127, vote4TRAITS!A:C , 3, FALSE),
1 , VLOOKUP(index(split(M127 ,"", "", FALSE),1,1), vote4TRAITS!A:C , 3, FALSE) + VLOOKUP(index(split(M127 ,"", "", FALSE),1,2), vote4"&amp;"TRAITS!A:C , 3, FALSE),
2 , VLOOKUP(index(split(M127 ,"", "", FALSE),1,1), vote4TRAITS!A:C , 3, FALSE) + VLOOKUP(index(split(M127 ,"", "", FALSE),1,2), vote4TRAITS!A:C , 3, FALSE) + VLOOKUP(index(split(M127 ,"", "", FALSE),1,3), vote4TRAITS!A:C , 3, FALSE"&amp;")
)
)"),16.166666666666668)</f>
        <v>16.16666667</v>
      </c>
      <c r="O127" s="490"/>
      <c r="P127" s="165" t="str">
        <f>IFERROR(__xludf.DUMMYFUNCTION("IF(ISBLANK(O127), , 
SWITCH(
LEN(O127)- LEN(SUBSTITUTE(O127,"","","""")), 
0 , VLOOKUP(O127, vote4ACTIONS!A:C , 3, FALSE),
1 , VLOOKUP(index(split(O127 ,"", "", FALSE),1,1), vote4ACTIONS!A:C , 3, FALSE) + VLOOKUP(index(split(O127 ,"", "", FALSE),1,2), vot"&amp;"e4ACTIONS!A:C , 3, FALSE),
2 , VLOOKUP(index(split(O127 ,"", "", FALSE),1,1), vote4ACTIONS!A:C , 3, FALSE) + VLOOKUP(index(split(O127 ,"", "", FALSE),1,2), vote4ACTIONS!A:C , 3, FALSE) + VLOOKUP(index(split(O127 ,"", "", FALSE),1,3), vote4ACTIONS!A:C , 3,"&amp;" FALSE),
3 , VLOOKUP(index(split(O127 ,"", "", FALSE),1,1), vote4ACTIONS!A:C , 3, FALSE) + VLOOKUP(index(split(O127 ,"", "", FALSE),1,2), vote4ACTIONS!A:C , 3, FALSE) + VLOOKUP(index(split(O127 ,"", "", FALSE),1,3), vote4ACTIONS!A:C , 3, FALSE) + VLOOKUP("&amp;"index(split(O127 ,"", "", FALSE),1,4), vote4ACTIONS!A:C , 3, FALSE)
)
)"),"")</f>
        <v/>
      </c>
      <c r="Q127" s="340" t="s">
        <v>1539</v>
      </c>
      <c r="R127" s="342">
        <f>IF(ISBLANK(Q127),,IFERROR(
IF(IFERROR(SEARCH("SS:",Q127),0) &gt; 0, 
VLOOKUP(SUBSTITUTE(Q127,"SS: ",""),vote4SURGE!$A:$C , 3, FALSE) - 2,
VLOOKUP(SUBSTITUTE(Q127,"S: ",""),vote4SURGE!$A:$C , 3, FALSE)
)
,
IF(IFERROR(SEARCH("SS:",Q127),0) &gt; 0, 
VLOOKUP(A127,vote4SURGE!$A:$C , 3, FALSE) - 2,
VLOOKUP(A127,vote4SURGE!$A:$C , 3, FALSE)
)
))</f>
        <v>5</v>
      </c>
      <c r="S127" s="341"/>
      <c r="T127" s="342" t="str">
        <f>IF(ISBLANK(S127),,IFERROR(
IF(IFERROR(SEARCH("SS:",S127),0) &gt; 0, 
VLOOKUP(SUBSTITUTE(S127,"SS: ",""),vote4SURGE!$A:$C , 3, FALSE) - 2,
VLOOKUP(SUBSTITUTE(S127,"S: ",""),vote4SURGE!$A:$C , 3, FALSE)
)
,
IF(IFERROR(SEARCH("SS:",S127),0) &gt; 0, 
VLOOKUP(A127,vote4SURGE!$A:$C , 3, FALSE) - 2,
VLOOKUP(A127,vote4SURGE!$A:$C , 3, FALSE)
)
))</f>
        <v/>
      </c>
      <c r="U127" s="341"/>
      <c r="V127" s="343" t="str">
        <f>IF(ISBLANK(U127),,IFERROR(
IF(IFERROR(SEARCH("SS:",U127),0) &gt; 0, 
VLOOKUP(SUBSTITUTE(U127,"SS: ",""),vote4SURGE!$A:$C , 3, FALSE) - 2,
VLOOKUP(SUBSTITUTE(U127,"S: ",""),vote4SURGE!$A:$C , 3, FALSE)
)
,
IF(IFERROR(SEARCH("SS:",U127),0) &gt; 0, 
VLOOKUP(A127,vote4SURGE!$A:$C , 3, FALSE) - 2,
VLOOKUP(A127,vote4SURGE!$A:$C , 3, FALSE)
)
))</f>
        <v/>
      </c>
      <c r="W127" s="343">
        <f t="shared" si="1"/>
        <v>1</v>
      </c>
      <c r="X127" s="344">
        <f>IFERROR(__xludf.DUMMYFUNCTION("SWITCH(
LEN(K127) - LEN(SUBSTITUTE(K127,"","","""")),
0 , VLOOKUP(K127, Variables!$A:$C, 3, FALSE),
1 , VLOOKUP(index(split(K127 ,"", "", FALSE),1,1), Variables!$A:$C, 3, FALSE) + VLOOKUP(index(split(K127 ,"", "", FALSE),1,2), Variables!$A:$C, 3, FALSE),
"&amp;"2 , VLOOKUP(index(split(K127 ,"", "", FALSE),1,1), Variables!$A:$C, 3, FALSE) + VLOOKUP(index(split(K127 ,"", "", FALSE),1,2), Variables!$A:$C, 3, FALSE) + VLOOKUP(index(split(K127 ,"", "", FALSE),1,3), Variables!$A:$C, 3, FALSE)
)"),1.1666666666666665)</f>
        <v>1.166666667</v>
      </c>
      <c r="Y127" s="342">
        <f t="shared" si="2"/>
        <v>5.833333333</v>
      </c>
      <c r="Z127" s="114" t="s">
        <v>2572</v>
      </c>
      <c r="AA127" s="114"/>
      <c r="AB127" s="114" t="s">
        <v>2572</v>
      </c>
      <c r="AC127" s="114"/>
      <c r="AD127" s="114"/>
      <c r="AE127" s="114"/>
      <c r="AF127" s="114"/>
      <c r="AG127" s="114"/>
      <c r="AH127" s="114"/>
      <c r="AI127" s="114"/>
      <c r="AJ127" s="164" t="s">
        <v>2573</v>
      </c>
      <c r="AK127" s="473">
        <v>10.0</v>
      </c>
      <c r="AL127" s="164" t="s">
        <v>2574</v>
      </c>
      <c r="AM127" s="473">
        <v>12.0</v>
      </c>
      <c r="AN127" s="164" t="s">
        <v>2574</v>
      </c>
      <c r="AO127" s="473">
        <v>22.0</v>
      </c>
      <c r="AP127" s="130">
        <f>SUM(
VLOOKUP("Ravage",vote4TRAITS!A:C,3,FALSE)
)</f>
        <v>7.333333333</v>
      </c>
      <c r="AQ127" s="130">
        <f t="shared" si="3"/>
        <v>61.32666667</v>
      </c>
    </row>
    <row r="128" ht="14.25" customHeight="1">
      <c r="A128" s="137" t="s">
        <v>2622</v>
      </c>
      <c r="B128" s="114" t="s">
        <v>2576</v>
      </c>
      <c r="C128" s="114">
        <v>19.0</v>
      </c>
      <c r="D128" s="114">
        <v>2.0</v>
      </c>
      <c r="E128" s="114">
        <v>1.0</v>
      </c>
      <c r="F128" s="487">
        <v>2.0</v>
      </c>
      <c r="G128" s="488">
        <v>10.0</v>
      </c>
      <c r="H128" s="114" t="s">
        <v>2599</v>
      </c>
      <c r="I128" s="130">
        <f>IFERROR(__xludf.DUMMYFUNCTION("SWITCH(
LEN(H128) - LEN(SUBSTITUTE(H128,"","","""")),
0 , VLOOKUP(H128, Variables!$A:$B, 2, FALSE),
1 , VLOOKUP(index(split(H128 ,"", "", FALSE),1,1), Variables!$A:$B , 2, FALSE) + VLOOKUP(index(split(H128 ,"", "", FALSE),1,2), Variables!$A:$B , 2, FALSE)"&amp;",
2 , VLOOKUP(index(split(H128 ,"", "", FALSE),1,1), Variables!$A:$B , 2, FALSE) + VLOOKUP(index(split(H128 ,"", "", FALSE),1,2), Variables!$A:$B , 2, FALSE) + VLOOKUP(index(split(H128 ,"", "", FALSE),1,3), Variables!$A:$B , 2, FALSE)
)"),3.5)</f>
        <v>3.5</v>
      </c>
      <c r="J128" s="114" t="s">
        <v>1521</v>
      </c>
      <c r="K128" s="114" t="s">
        <v>1522</v>
      </c>
      <c r="L128" s="130">
        <f>IFERROR(__xludf.DUMMYFUNCTION("SWITCH(
LEN(K128) - LEN(SUBSTITUTE(K128,"","","""")),
0 , VLOOKUP(K128, Variables!$A:$B, 2, FALSE),
1 , VLOOKUP(index(split(K128 ,"", "", FALSE),1,1), Variables!$A:$B , 2, FALSE) + VLOOKUP(index(split(K128 ,"", "", FALSE),1,2), Variables!$A:$B , 2, FALSE)"&amp;",
2 , VLOOKUP(index(split(K128 ,"", "", FALSE),1,1), Variables!$A:$B , 2, FALSE) + VLOOKUP(index(split(K128 ,"", "", FALSE),1,2), Variables!$A:$B , 2, FALSE) + VLOOKUP(index(split(K128 ,"", "", FALSE),1,3), Variables!$A:$B , 2, FALSE)
)
+
IF(J128=""Ranged"&amp;""", 1 , 0)"),3.9999999999999996)</f>
        <v>4</v>
      </c>
      <c r="M128" s="114" t="s">
        <v>2623</v>
      </c>
      <c r="N128" s="130">
        <f>IFERROR(__xludf.DUMMYFUNCTION("IF(ISBLANK(M128), , 
SWITCH(
LEN(M128)- LEN(SUBSTITUTE(M128,"","","""")), 
0 , VLOOKUP(M128, vote4TRAITS!A:C , 3, FALSE),
1 , VLOOKUP(index(split(M128 ,"", "", FALSE),1,1), vote4TRAITS!A:C , 3, FALSE) + VLOOKUP(index(split(M128 ,"", "", FALSE),1,2), vote4"&amp;"TRAITS!A:C , 3, FALSE),
2 , VLOOKUP(index(split(M128 ,"", "", FALSE),1,1), vote4TRAITS!A:C , 3, FALSE) + VLOOKUP(index(split(M128 ,"", "", FALSE),1,2), vote4TRAITS!A:C , 3, FALSE) + VLOOKUP(index(split(M128 ,"", "", FALSE),1,3), vote4TRAITS!A:C , 3, FALSE"&amp;")
)
)"),16.166666666666668)</f>
        <v>16.16666667</v>
      </c>
      <c r="O128" s="490"/>
      <c r="P128" s="165" t="str">
        <f>IFERROR(__xludf.DUMMYFUNCTION("IF(ISBLANK(O128), , 
SWITCH(
LEN(O128)- LEN(SUBSTITUTE(O128,"","","""")), 
0 , VLOOKUP(O128, vote4ACTIONS!A:C , 3, FALSE),
1 , VLOOKUP(index(split(O128 ,"", "", FALSE),1,1), vote4ACTIONS!A:C , 3, FALSE) + VLOOKUP(index(split(O128 ,"", "", FALSE),1,2), vot"&amp;"e4ACTIONS!A:C , 3, FALSE),
2 , VLOOKUP(index(split(O128 ,"", "", FALSE),1,1), vote4ACTIONS!A:C , 3, FALSE) + VLOOKUP(index(split(O128 ,"", "", FALSE),1,2), vote4ACTIONS!A:C , 3, FALSE) + VLOOKUP(index(split(O128 ,"", "", FALSE),1,3), vote4ACTIONS!A:C , 3,"&amp;" FALSE),
3 , VLOOKUP(index(split(O128 ,"", "", FALSE),1,1), vote4ACTIONS!A:C , 3, FALSE) + VLOOKUP(index(split(O128 ,"", "", FALSE),1,2), vote4ACTIONS!A:C , 3, FALSE) + VLOOKUP(index(split(O128 ,"", "", FALSE),1,3), vote4ACTIONS!A:C , 3, FALSE) + VLOOKUP("&amp;"index(split(O128 ,"", "", FALSE),1,4), vote4ACTIONS!A:C , 3, FALSE)
)
)"),"")</f>
        <v/>
      </c>
      <c r="Q128" s="340" t="s">
        <v>1534</v>
      </c>
      <c r="R128" s="342">
        <f>IF(ISBLANK(Q128),,IFERROR(
IF(IFERROR(SEARCH("SS:",Q128),0) &gt; 0, 
VLOOKUP(SUBSTITUTE(Q128,"SS: ",""),vote4SURGE!$A:$C , 3, FALSE) - 2,
VLOOKUP(SUBSTITUTE(Q128,"S: ",""),vote4SURGE!$A:$C , 3, FALSE)
)
,
IF(IFERROR(SEARCH("SS:",Q128),0) &gt; 0, 
VLOOKUP(A128,vote4SURGE!$A:$C , 3, FALSE) - 2,
VLOOKUP(A128,vote4SURGE!$A:$C , 3, FALSE)
)
))</f>
        <v>4.25</v>
      </c>
      <c r="S128" s="341"/>
      <c r="T128" s="342" t="str">
        <f>IF(ISBLANK(S128),,IFERROR(
IF(IFERROR(SEARCH("SS:",S128),0) &gt; 0, 
VLOOKUP(SUBSTITUTE(S128,"SS: ",""),vote4SURGE!$A:$C , 3, FALSE) - 2,
VLOOKUP(SUBSTITUTE(S128,"S: ",""),vote4SURGE!$A:$C , 3, FALSE)
)
,
IF(IFERROR(SEARCH("SS:",S128),0) &gt; 0, 
VLOOKUP(A128,vote4SURGE!$A:$C , 3, FALSE) - 2,
VLOOKUP(A128,vote4SURGE!$A:$C , 3, FALSE)
)
))</f>
        <v/>
      </c>
      <c r="U128" s="341"/>
      <c r="V128" s="343" t="str">
        <f>IF(ISBLANK(U128),,IFERROR(
IF(IFERROR(SEARCH("SS:",U128),0) &gt; 0, 
VLOOKUP(SUBSTITUTE(U128,"SS: ",""),vote4SURGE!$A:$C , 3, FALSE) - 2,
VLOOKUP(SUBSTITUTE(U128,"S: ",""),vote4SURGE!$A:$C , 3, FALSE)
)
,
IF(IFERROR(SEARCH("SS:",U128),0) &gt; 0, 
VLOOKUP(A128,vote4SURGE!$A:$C , 3, FALSE) - 2,
VLOOKUP(A128,vote4SURGE!$A:$C , 3, FALSE)
)
))</f>
        <v/>
      </c>
      <c r="W128" s="343">
        <f t="shared" si="1"/>
        <v>1</v>
      </c>
      <c r="X128" s="344">
        <f>IFERROR(__xludf.DUMMYFUNCTION("SWITCH(
LEN(K128) - LEN(SUBSTITUTE(K128,"","","""")),
0 , VLOOKUP(K128, Variables!$A:$C, 3, FALSE),
1 , VLOOKUP(index(split(K128 ,"", "", FALSE),1,1), Variables!$A:$C, 3, FALSE) + VLOOKUP(index(split(K128 ,"", "", FALSE),1,2), Variables!$A:$C, 3, FALSE),
"&amp;"2 , VLOOKUP(index(split(K128 ,"", "", FALSE),1,1), Variables!$A:$C, 3, FALSE) + VLOOKUP(index(split(K128 ,"", "", FALSE),1,2), Variables!$A:$C, 3, FALSE) + VLOOKUP(index(split(K128 ,"", "", FALSE),1,3), Variables!$A:$C, 3, FALSE)
)"),1.1666666666666665)</f>
        <v>1.166666667</v>
      </c>
      <c r="Y128" s="342">
        <f t="shared" si="2"/>
        <v>4.958333333</v>
      </c>
      <c r="Z128" s="114" t="s">
        <v>2572</v>
      </c>
      <c r="AA128" s="114"/>
      <c r="AB128" s="114" t="s">
        <v>2572</v>
      </c>
      <c r="AC128" s="114"/>
      <c r="AD128" s="114"/>
      <c r="AE128" s="114"/>
      <c r="AF128" s="114"/>
      <c r="AG128" s="114"/>
      <c r="AH128" s="114"/>
      <c r="AI128" s="114"/>
      <c r="AJ128" s="164" t="s">
        <v>2574</v>
      </c>
      <c r="AK128" s="473">
        <v>10.0</v>
      </c>
      <c r="AL128" s="164" t="s">
        <v>2573</v>
      </c>
      <c r="AM128" s="473">
        <v>12.0</v>
      </c>
      <c r="AN128" s="164" t="s">
        <v>2574</v>
      </c>
      <c r="AO128" s="473">
        <v>22.0</v>
      </c>
      <c r="AP128" s="130">
        <f>SUM(
VLOOKUP("Ravage",vote4TRAITS!A:C,3,FALSE)
)</f>
        <v>7.333333333</v>
      </c>
      <c r="AQ128" s="130">
        <f t="shared" si="3"/>
        <v>53.45166667</v>
      </c>
    </row>
    <row r="129" ht="14.25" customHeight="1">
      <c r="A129" s="137" t="s">
        <v>2622</v>
      </c>
      <c r="B129" s="114" t="s">
        <v>2570</v>
      </c>
      <c r="C129" s="114">
        <v>19.0</v>
      </c>
      <c r="D129" s="114">
        <v>1.0</v>
      </c>
      <c r="E129" s="114">
        <v>1.0</v>
      </c>
      <c r="F129" s="487">
        <v>2.0</v>
      </c>
      <c r="G129" s="488">
        <v>10.0</v>
      </c>
      <c r="H129" s="114" t="s">
        <v>2590</v>
      </c>
      <c r="I129" s="130">
        <f>IFERROR(__xludf.DUMMYFUNCTION("SWITCH(
LEN(H129) - LEN(SUBSTITUTE(H129,"","","""")),
0 , VLOOKUP(H129, Variables!$A:$B, 2, FALSE),
1 , VLOOKUP(index(split(H129 ,"", "", FALSE),1,1), Variables!$A:$B , 2, FALSE) + VLOOKUP(index(split(H129 ,"", "", FALSE),1,2), Variables!$A:$B , 2, FALSE)"&amp;",
2 , VLOOKUP(index(split(H129 ,"", "", FALSE),1,1), Variables!$A:$B , 2, FALSE) + VLOOKUP(index(split(H129 ,"", "", FALSE),1,2), Variables!$A:$B , 2, FALSE) + VLOOKUP(index(split(H129 ,"", "", FALSE),1,3), Variables!$A:$B , 2, FALSE)
)"),2.6666666666666665)</f>
        <v>2.666666667</v>
      </c>
      <c r="J129" s="114" t="s">
        <v>1521</v>
      </c>
      <c r="K129" s="114" t="s">
        <v>1525</v>
      </c>
      <c r="L129" s="130">
        <f>IFERROR(__xludf.DUMMYFUNCTION("SWITCH(
LEN(K129) - LEN(SUBSTITUTE(K129,"","","""")),
0 , VLOOKUP(K129, Variables!$A:$B, 2, FALSE),
1 , VLOOKUP(index(split(K129 ,"", "", FALSE),1,1), Variables!$A:$B , 2, FALSE) + VLOOKUP(index(split(K129 ,"", "", FALSE),1,2), Variables!$A:$B , 2, FALSE)"&amp;",
2 , VLOOKUP(index(split(K129 ,"", "", FALSE),1,1), Variables!$A:$B , 2, FALSE) + VLOOKUP(index(split(K129 ,"", "", FALSE),1,2), Variables!$A:$B , 2, FALSE) + VLOOKUP(index(split(K129 ,"", "", FALSE),1,3), Variables!$A:$B , 2, FALSE)
)
+
IF(J129=""Ranged"&amp;""", 1 , 0)"),3.333333333333333)</f>
        <v>3.333333333</v>
      </c>
      <c r="M129" s="114" t="s">
        <v>2623</v>
      </c>
      <c r="N129" s="130">
        <f>IFERROR(__xludf.DUMMYFUNCTION("IF(ISBLANK(M129), , 
SWITCH(
LEN(M129)- LEN(SUBSTITUTE(M129,"","","""")), 
0 , VLOOKUP(M129, vote4TRAITS!A:C , 3, FALSE),
1 , VLOOKUP(index(split(M129 ,"", "", FALSE),1,1), vote4TRAITS!A:C , 3, FALSE) + VLOOKUP(index(split(M129 ,"", "", FALSE),1,2), vote4"&amp;"TRAITS!A:C , 3, FALSE),
2 , VLOOKUP(index(split(M129 ,"", "", FALSE),1,1), vote4TRAITS!A:C , 3, FALSE) + VLOOKUP(index(split(M129 ,"", "", FALSE),1,2), vote4TRAITS!A:C , 3, FALSE) + VLOOKUP(index(split(M129 ,"", "", FALSE),1,3), vote4TRAITS!A:C , 3, FALSE"&amp;")
)
)"),16.166666666666668)</f>
        <v>16.16666667</v>
      </c>
      <c r="O129" s="490"/>
      <c r="P129" s="165" t="str">
        <f>IFERROR(__xludf.DUMMYFUNCTION("IF(ISBLANK(O129), , 
SWITCH(
LEN(O129)- LEN(SUBSTITUTE(O129,"","","""")), 
0 , VLOOKUP(O129, vote4ACTIONS!A:C , 3, FALSE),
1 , VLOOKUP(index(split(O129 ,"", "", FALSE),1,1), vote4ACTIONS!A:C , 3, FALSE) + VLOOKUP(index(split(O129 ,"", "", FALSE),1,2), vot"&amp;"e4ACTIONS!A:C , 3, FALSE),
2 , VLOOKUP(index(split(O129 ,"", "", FALSE),1,1), vote4ACTIONS!A:C , 3, FALSE) + VLOOKUP(index(split(O129 ,"", "", FALSE),1,2), vote4ACTIONS!A:C , 3, FALSE) + VLOOKUP(index(split(O129 ,"", "", FALSE),1,3), vote4ACTIONS!A:C , 3,"&amp;" FALSE),
3 , VLOOKUP(index(split(O129 ,"", "", FALSE),1,1), vote4ACTIONS!A:C , 3, FALSE) + VLOOKUP(index(split(O129 ,"", "", FALSE),1,2), vote4ACTIONS!A:C , 3, FALSE) + VLOOKUP(index(split(O129 ,"", "", FALSE),1,3), vote4ACTIONS!A:C , 3, FALSE) + VLOOKUP("&amp;"index(split(O129 ,"", "", FALSE),1,4), vote4ACTIONS!A:C , 3, FALSE)
)
)"),"")</f>
        <v/>
      </c>
      <c r="Q129" s="340" t="s">
        <v>1534</v>
      </c>
      <c r="R129" s="342">
        <f>IF(ISBLANK(Q129),,IFERROR(
IF(IFERROR(SEARCH("SS:",Q129),0) &gt; 0, 
VLOOKUP(SUBSTITUTE(Q129,"SS: ",""),vote4SURGE!$A:$C , 3, FALSE) - 2,
VLOOKUP(SUBSTITUTE(Q129,"S: ",""),vote4SURGE!$A:$C , 3, FALSE)
)
,
IF(IFERROR(SEARCH("SS:",Q129),0) &gt; 0, 
VLOOKUP(A129,vote4SURGE!$A:$C , 3, FALSE) - 2,
VLOOKUP(A129,vote4SURGE!$A:$C , 3, FALSE)
)
))</f>
        <v>4.25</v>
      </c>
      <c r="S129" s="489"/>
      <c r="T129" s="342" t="str">
        <f>IF(ISBLANK(S129),,IFERROR(
IF(IFERROR(SEARCH("SS:",S129),0) &gt; 0, 
VLOOKUP(SUBSTITUTE(S129,"SS: ",""),vote4SURGE!$A:$C , 3, FALSE) - 2,
VLOOKUP(SUBSTITUTE(S129,"S: ",""),vote4SURGE!$A:$C , 3, FALSE)
)
,
IF(IFERROR(SEARCH("SS:",S129),0) &gt; 0, 
VLOOKUP(A129,vote4SURGE!$A:$C , 3, FALSE) - 2,
VLOOKUP(A129,vote4SURGE!$A:$C , 3, FALSE)
)
))</f>
        <v/>
      </c>
      <c r="U129" s="489"/>
      <c r="V129" s="343" t="str">
        <f>IF(ISBLANK(U129),,IFERROR(
IF(IFERROR(SEARCH("SS:",U129),0) &gt; 0, 
VLOOKUP(SUBSTITUTE(U129,"SS: ",""),vote4SURGE!$A:$C , 3, FALSE) - 2,
VLOOKUP(SUBSTITUTE(U129,"S: ",""),vote4SURGE!$A:$C , 3, FALSE)
)
,
IF(IFERROR(SEARCH("SS:",U129),0) &gt; 0, 
VLOOKUP(A129,vote4SURGE!$A:$C , 3, FALSE) - 2,
VLOOKUP(A129,vote4SURGE!$A:$C , 3, FALSE)
)
))</f>
        <v/>
      </c>
      <c r="W129" s="343">
        <f t="shared" si="1"/>
        <v>1</v>
      </c>
      <c r="X129" s="344">
        <f>IFERROR(__xludf.DUMMYFUNCTION("SWITCH(
LEN(K129) - LEN(SUBSTITUTE(K129,"","","""")),
0 , VLOOKUP(K129, Variables!$A:$C, 3, FALSE),
1 , VLOOKUP(index(split(K129 ,"", "", FALSE),1,1), Variables!$A:$C, 3, FALSE) + VLOOKUP(index(split(K129 ,"", "", FALSE),1,2), Variables!$A:$C, 3, FALSE),
"&amp;"2 , VLOOKUP(index(split(K129 ,"", "", FALSE),1,1), Variables!$A:$C, 3, FALSE) + VLOOKUP(index(split(K129 ,"", "", FALSE),1,2), Variables!$A:$C, 3, FALSE) + VLOOKUP(index(split(K129 ,"", "", FALSE),1,3), Variables!$A:$C, 3, FALSE)
)"),0.5)</f>
        <v>0.5</v>
      </c>
      <c r="Y129" s="342">
        <f t="shared" si="2"/>
        <v>2.125</v>
      </c>
      <c r="Z129" s="114" t="s">
        <v>2572</v>
      </c>
      <c r="AA129" s="114"/>
      <c r="AB129" s="114" t="s">
        <v>2572</v>
      </c>
      <c r="AC129" s="114"/>
      <c r="AD129" s="114"/>
      <c r="AE129" s="114"/>
      <c r="AF129" s="114"/>
      <c r="AG129" s="114"/>
      <c r="AH129" s="114"/>
      <c r="AI129" s="114"/>
      <c r="AJ129" s="164" t="s">
        <v>2573</v>
      </c>
      <c r="AK129" s="473">
        <v>8.0</v>
      </c>
      <c r="AL129" s="164" t="s">
        <v>2574</v>
      </c>
      <c r="AM129" s="473">
        <v>10.0</v>
      </c>
      <c r="AN129" s="164" t="s">
        <v>2574</v>
      </c>
      <c r="AO129" s="473">
        <v>18.0</v>
      </c>
      <c r="AP129" s="130">
        <f>SUM(
VLOOKUP("Ravage",vote4TRAITS!A:C,3,FALSE)
)</f>
        <v>7.333333333</v>
      </c>
      <c r="AQ129" s="130">
        <f t="shared" si="3"/>
        <v>41.61833333</v>
      </c>
    </row>
    <row r="130" ht="14.25" customHeight="1">
      <c r="A130" s="137" t="s">
        <v>2622</v>
      </c>
      <c r="B130" s="114" t="s">
        <v>2576</v>
      </c>
      <c r="C130" s="114">
        <v>19.0</v>
      </c>
      <c r="D130" s="114">
        <v>1.0</v>
      </c>
      <c r="E130" s="114">
        <v>1.0</v>
      </c>
      <c r="F130" s="114">
        <v>2.0</v>
      </c>
      <c r="G130" s="322">
        <v>8.0</v>
      </c>
      <c r="H130" s="114" t="s">
        <v>2590</v>
      </c>
      <c r="I130" s="130">
        <f>IFERROR(__xludf.DUMMYFUNCTION("SWITCH(
LEN(H130) - LEN(SUBSTITUTE(H130,"","","""")),
0 , VLOOKUP(H130, Variables!$A:$B, 2, FALSE),
1 , VLOOKUP(index(split(H130 ,"", "", FALSE),1,1), Variables!$A:$B , 2, FALSE) + VLOOKUP(index(split(H130 ,"", "", FALSE),1,2), Variables!$A:$B , 2, FALSE)"&amp;",
2 , VLOOKUP(index(split(H130 ,"", "", FALSE),1,1), Variables!$A:$B , 2, FALSE) + VLOOKUP(index(split(H130 ,"", "", FALSE),1,2), Variables!$A:$B , 2, FALSE) + VLOOKUP(index(split(H130 ,"", "", FALSE),1,3), Variables!$A:$B , 2, FALSE)
)"),2.6666666666666665)</f>
        <v>2.666666667</v>
      </c>
      <c r="J130" s="114" t="s">
        <v>1521</v>
      </c>
      <c r="K130" s="114" t="s">
        <v>1525</v>
      </c>
      <c r="L130" s="130">
        <f>IFERROR(__xludf.DUMMYFUNCTION("SWITCH(
LEN(K130) - LEN(SUBSTITUTE(K130,"","","""")),
0 , VLOOKUP(K130, Variables!$A:$B, 2, FALSE),
1 , VLOOKUP(index(split(K130 ,"", "", FALSE),1,1), Variables!$A:$B , 2, FALSE) + VLOOKUP(index(split(K130 ,"", "", FALSE),1,2), Variables!$A:$B , 2, FALSE)"&amp;",
2 , VLOOKUP(index(split(K130 ,"", "", FALSE),1,1), Variables!$A:$B , 2, FALSE) + VLOOKUP(index(split(K130 ,"", "", FALSE),1,2), Variables!$A:$B , 2, FALSE) + VLOOKUP(index(split(K130 ,"", "", FALSE),1,3), Variables!$A:$B , 2, FALSE)
)
+
IF(J130=""Ranged"&amp;""", 1 , 0)"),3.333333333333333)</f>
        <v>3.333333333</v>
      </c>
      <c r="M130" s="114" t="s">
        <v>2623</v>
      </c>
      <c r="N130" s="130">
        <f>IFERROR(__xludf.DUMMYFUNCTION("IF(ISBLANK(M130), , 
SWITCH(
LEN(M130)- LEN(SUBSTITUTE(M130,"","","""")), 
0 , VLOOKUP(M130, vote4TRAITS!A:C , 3, FALSE),
1 , VLOOKUP(index(split(M130 ,"", "", FALSE),1,1), vote4TRAITS!A:C , 3, FALSE) + VLOOKUP(index(split(M130 ,"", "", FALSE),1,2), vote4"&amp;"TRAITS!A:C , 3, FALSE),
2 , VLOOKUP(index(split(M130 ,"", "", FALSE),1,1), vote4TRAITS!A:C , 3, FALSE) + VLOOKUP(index(split(M130 ,"", "", FALSE),1,2), vote4TRAITS!A:C , 3, FALSE) + VLOOKUP(index(split(M130 ,"", "", FALSE),1,3), vote4TRAITS!A:C , 3, FALSE"&amp;")
)
)"),16.166666666666668)</f>
        <v>16.16666667</v>
      </c>
      <c r="O130" s="490"/>
      <c r="P130" s="165" t="str">
        <f>IFERROR(__xludf.DUMMYFUNCTION("IF(ISBLANK(O130), , 
SWITCH(
LEN(O130)- LEN(SUBSTITUTE(O130,"","","""")), 
0 , VLOOKUP(O130, vote4ACTIONS!A:C , 3, FALSE),
1 , VLOOKUP(index(split(O130 ,"", "", FALSE),1,1), vote4ACTIONS!A:C , 3, FALSE) + VLOOKUP(index(split(O130 ,"", "", FALSE),1,2), vot"&amp;"e4ACTIONS!A:C , 3, FALSE),
2 , VLOOKUP(index(split(O130 ,"", "", FALSE),1,1), vote4ACTIONS!A:C , 3, FALSE) + VLOOKUP(index(split(O130 ,"", "", FALSE),1,2), vote4ACTIONS!A:C , 3, FALSE) + VLOOKUP(index(split(O130 ,"", "", FALSE),1,3), vote4ACTIONS!A:C , 3,"&amp;" FALSE),
3 , VLOOKUP(index(split(O130 ,"", "", FALSE),1,1), vote4ACTIONS!A:C , 3, FALSE) + VLOOKUP(index(split(O130 ,"", "", FALSE),1,2), vote4ACTIONS!A:C , 3, FALSE) + VLOOKUP(index(split(O130 ,"", "", FALSE),1,3), vote4ACTIONS!A:C , 3, FALSE) + VLOOKUP("&amp;"index(split(O130 ,"", "", FALSE),1,4), vote4ACTIONS!A:C , 3, FALSE)
)
)"),"")</f>
        <v/>
      </c>
      <c r="Q130" s="340"/>
      <c r="R130" s="342" t="str">
        <f>IF(ISBLANK(Q130),,IFERROR(
IF(IFERROR(SEARCH("SS:",Q130),0) &gt; 0, 
VLOOKUP(SUBSTITUTE(Q130,"SS: ",""),vote4SURGE!$A:$C , 3, FALSE) - 2,
VLOOKUP(SUBSTITUTE(Q130,"S: ",""),vote4SURGE!$A:$C , 3, FALSE)
)
,
IF(IFERROR(SEARCH("SS:",Q130),0) &gt; 0, 
VLOOKUP(A130,vote4SURGE!$A:$C , 3, FALSE) - 2,
VLOOKUP(A130,vote4SURGE!$A:$C , 3, FALSE)
)
))</f>
        <v/>
      </c>
      <c r="S130" s="341"/>
      <c r="T130" s="342" t="str">
        <f>IF(ISBLANK(S130),,IFERROR(
IF(IFERROR(SEARCH("SS:",S130),0) &gt; 0, 
VLOOKUP(SUBSTITUTE(S130,"SS: ",""),vote4SURGE!$A:$C , 3, FALSE) - 2,
VLOOKUP(SUBSTITUTE(S130,"S: ",""),vote4SURGE!$A:$C , 3, FALSE)
)
,
IF(IFERROR(SEARCH("SS:",S130),0) &gt; 0, 
VLOOKUP(A130,vote4SURGE!$A:$C , 3, FALSE) - 2,
VLOOKUP(A130,vote4SURGE!$A:$C , 3, FALSE)
)
))</f>
        <v/>
      </c>
      <c r="U130" s="341"/>
      <c r="V130" s="343" t="str">
        <f>IF(ISBLANK(U130),,IFERROR(
IF(IFERROR(SEARCH("SS:",U130),0) &gt; 0, 
VLOOKUP(SUBSTITUTE(U130,"SS: ",""),vote4SURGE!$A:$C , 3, FALSE) - 2,
VLOOKUP(SUBSTITUTE(U130,"S: ",""),vote4SURGE!$A:$C , 3, FALSE)
)
,
IF(IFERROR(SEARCH("SS:",U130),0) &gt; 0, 
VLOOKUP(A130,vote4SURGE!$A:$C , 3, FALSE) - 2,
VLOOKUP(A130,vote4SURGE!$A:$C , 3, FALSE)
)
))</f>
        <v/>
      </c>
      <c r="W130" s="343">
        <f t="shared" si="1"/>
        <v>0</v>
      </c>
      <c r="X130" s="344">
        <f>IFERROR(__xludf.DUMMYFUNCTION("SWITCH(
LEN(K130) - LEN(SUBSTITUTE(K130,"","","""")),
0 , VLOOKUP(K130, Variables!$A:$C, 3, FALSE),
1 , VLOOKUP(index(split(K130 ,"", "", FALSE),1,1), Variables!$A:$C, 3, FALSE) + VLOOKUP(index(split(K130 ,"", "", FALSE),1,2), Variables!$A:$C, 3, FALSE),
"&amp;"2 , VLOOKUP(index(split(K130 ,"", "", FALSE),1,1), Variables!$A:$C, 3, FALSE) + VLOOKUP(index(split(K130 ,"", "", FALSE),1,2), Variables!$A:$C, 3, FALSE) + VLOOKUP(index(split(K130 ,"", "", FALSE),1,3), Variables!$A:$C, 3, FALSE)
)"),0.5)</f>
        <v>0.5</v>
      </c>
      <c r="Y130" s="342">
        <f t="shared" si="2"/>
        <v>0</v>
      </c>
      <c r="Z130" s="114" t="s">
        <v>2572</v>
      </c>
      <c r="AA130" s="114"/>
      <c r="AB130" s="114" t="s">
        <v>2572</v>
      </c>
      <c r="AC130" s="114"/>
      <c r="AD130" s="114"/>
      <c r="AE130" s="114"/>
      <c r="AF130" s="114"/>
      <c r="AG130" s="114"/>
      <c r="AH130" s="114"/>
      <c r="AI130" s="114"/>
      <c r="AJ130" s="164" t="s">
        <v>2574</v>
      </c>
      <c r="AK130" s="473">
        <v>8.0</v>
      </c>
      <c r="AL130" s="164" t="s">
        <v>2573</v>
      </c>
      <c r="AM130" s="473">
        <v>10.0</v>
      </c>
      <c r="AN130" s="164" t="s">
        <v>2574</v>
      </c>
      <c r="AO130" s="473">
        <v>18.0</v>
      </c>
      <c r="AP130" s="130">
        <f>SUM(
VLOOKUP("Ravage",vote4TRAITS!A:C,3,FALSE)
)</f>
        <v>7.333333333</v>
      </c>
      <c r="AQ130" s="130">
        <f t="shared" si="3"/>
        <v>34.16</v>
      </c>
    </row>
    <row r="131" ht="14.25" customHeight="1">
      <c r="A131" s="137" t="s">
        <v>1472</v>
      </c>
      <c r="B131" s="114" t="s">
        <v>2570</v>
      </c>
      <c r="C131" s="114">
        <v>47.0</v>
      </c>
      <c r="D131" s="114">
        <v>2.0</v>
      </c>
      <c r="E131" s="114">
        <v>1.0</v>
      </c>
      <c r="F131" s="487">
        <v>4.0</v>
      </c>
      <c r="G131" s="488">
        <v>7.0</v>
      </c>
      <c r="H131" s="114" t="s">
        <v>1621</v>
      </c>
      <c r="I131" s="130">
        <f>IFERROR(__xludf.DUMMYFUNCTION("SWITCH(
LEN(H131) - LEN(SUBSTITUTE(H131,"","","""")),
0 , VLOOKUP(H131, Variables!$A:$B, 2, FALSE),
1 , VLOOKUP(index(split(H131 ,"", "", FALSE),1,1), Variables!$A:$B , 2, FALSE) + VLOOKUP(index(split(H131 ,"", "", FALSE),1,2), Variables!$A:$B , 2, FALSE)"&amp;",
2 , VLOOKUP(index(split(H131 ,"", "", FALSE),1,1), Variables!$A:$B , 2, FALSE) + VLOOKUP(index(split(H131 ,"", "", FALSE),1,2), Variables!$A:$B , 2, FALSE) + VLOOKUP(index(split(H131 ,"", "", FALSE),1,3), Variables!$A:$B , 2, FALSE)
)"),0.6666666666666666)</f>
        <v>0.6666666667</v>
      </c>
      <c r="J131" s="114" t="s">
        <v>1521</v>
      </c>
      <c r="K131" s="114" t="s">
        <v>1548</v>
      </c>
      <c r="L131" s="130">
        <f>IFERROR(__xludf.DUMMYFUNCTION("SWITCH(
LEN(K131) - LEN(SUBSTITUTE(K131,"","","""")),
0 , VLOOKUP(K131, Variables!$A:$B, 2, FALSE),
1 , VLOOKUP(index(split(K131 ,"", "", FALSE),1,1), Variables!$A:$B , 2, FALSE) + VLOOKUP(index(split(K131 ,"", "", FALSE),1,2), Variables!$A:$B , 2, FALSE)"&amp;",
2 , VLOOKUP(index(split(K131 ,"", "", FALSE),1,1), Variables!$A:$B , 2, FALSE) + VLOOKUP(index(split(K131 ,"", "", FALSE),1,2), Variables!$A:$B , 2, FALSE) + VLOOKUP(index(split(K131 ,"", "", FALSE),1,3), Variables!$A:$B , 2, FALSE)
)
+
IF(J131=""Ranged"&amp;""", 1 , 0)"),2.3333333333333335)</f>
        <v>2.333333333</v>
      </c>
      <c r="M131" s="114" t="s">
        <v>2624</v>
      </c>
      <c r="N131" s="130">
        <f>IFERROR(__xludf.DUMMYFUNCTION("IF(ISBLANK(M131), , 
SWITCH(
LEN(M131)- LEN(SUBSTITUTE(M131,"","","""")), 
0 , VLOOKUP(M131, vote4TRAITS!A:C , 3, FALSE),
1 , VLOOKUP(index(split(M131 ,"", "", FALSE),1,1), vote4TRAITS!A:C , 3, FALSE) + VLOOKUP(index(split(M131 ,"", "", FALSE),1,2), vote4"&amp;"TRAITS!A:C , 3, FALSE),
2 , VLOOKUP(index(split(M131 ,"", "", FALSE),1,1), vote4TRAITS!A:C , 3, FALSE) + VLOOKUP(index(split(M131 ,"", "", FALSE),1,2), vote4TRAITS!A:C , 3, FALSE) + VLOOKUP(index(split(M131 ,"", "", FALSE),1,3), vote4TRAITS!A:C , 3, FALSE"&amp;")
)
)"),6.666666666666666)</f>
        <v>6.666666667</v>
      </c>
      <c r="O131" s="490"/>
      <c r="P131" s="165" t="str">
        <f>IFERROR(__xludf.DUMMYFUNCTION("IF(ISBLANK(O131), , 
SWITCH(
LEN(O131)- LEN(SUBSTITUTE(O131,"","","""")), 
0 , VLOOKUP(O131, vote4ACTIONS!A:C , 3, FALSE),
1 , VLOOKUP(index(split(O131 ,"", "", FALSE),1,1), vote4ACTIONS!A:C , 3, FALSE) + VLOOKUP(index(split(O131 ,"", "", FALSE),1,2), vot"&amp;"e4ACTIONS!A:C , 3, FALSE),
2 , VLOOKUP(index(split(O131 ,"", "", FALSE),1,1), vote4ACTIONS!A:C , 3, FALSE) + VLOOKUP(index(split(O131 ,"", "", FALSE),1,2), vote4ACTIONS!A:C , 3, FALSE) + VLOOKUP(index(split(O131 ,"", "", FALSE),1,3), vote4ACTIONS!A:C , 3,"&amp;" FALSE),
3 , VLOOKUP(index(split(O131 ,"", "", FALSE),1,1), vote4ACTIONS!A:C , 3, FALSE) + VLOOKUP(index(split(O131 ,"", "", FALSE),1,2), vote4ACTIONS!A:C , 3, FALSE) + VLOOKUP(index(split(O131 ,"", "", FALSE),1,3), vote4ACTIONS!A:C , 3, FALSE) + VLOOKUP("&amp;"index(split(O131 ,"", "", FALSE),1,4), vote4ACTIONS!A:C , 3, FALSE)
)
)"),"")</f>
        <v/>
      </c>
      <c r="Q131" s="155" t="s">
        <v>2616</v>
      </c>
      <c r="R131" s="342">
        <f>IF(ISBLANK(Q131),,IFERROR(
IF(IFERROR(SEARCH("SS:",Q131),0) &gt; 0, 
VLOOKUP(SUBSTITUTE(Q131,"SS: ",""),vote4SURGE!$A:$C , 3, FALSE) - 2,
VLOOKUP(SUBSTITUTE(Q131,"S: ",""),vote4SURGE!$A:$C , 3, FALSE)
)
,
IF(IFERROR(SEARCH("SS:",Q131),0) &gt; 0, 
VLOOKUP(A131,vote4SURGE!$A:$C , 3, FALSE) - 2,
VLOOKUP(A131,vote4SURGE!$A:$C , 3, FALSE)
)
))</f>
        <v>4</v>
      </c>
      <c r="S131" s="341"/>
      <c r="T131" s="342" t="str">
        <f>IF(ISBLANK(S131),,IFERROR(
IF(IFERROR(SEARCH("SS:",S131),0) &gt; 0, 
VLOOKUP(SUBSTITUTE(S131,"SS: ",""),vote4SURGE!$A:$C , 3, FALSE) - 2,
VLOOKUP(SUBSTITUTE(S131,"S: ",""),vote4SURGE!$A:$C , 3, FALSE)
)
,
IF(IFERROR(SEARCH("SS:",S131),0) &gt; 0, 
VLOOKUP(A131,vote4SURGE!$A:$C , 3, FALSE) - 2,
VLOOKUP(A131,vote4SURGE!$A:$C , 3, FALSE)
)
))</f>
        <v/>
      </c>
      <c r="U131" s="341"/>
      <c r="V131" s="343" t="str">
        <f>IF(ISBLANK(U131),,IFERROR(
IF(IFERROR(SEARCH("SS:",U131),0) &gt; 0, 
VLOOKUP(SUBSTITUTE(U131,"SS: ",""),vote4SURGE!$A:$C , 3, FALSE) - 2,
VLOOKUP(SUBSTITUTE(U131,"S: ",""),vote4SURGE!$A:$C , 3, FALSE)
)
,
IF(IFERROR(SEARCH("SS:",U131),0) &gt; 0, 
VLOOKUP(A131,vote4SURGE!$A:$C , 3, FALSE) - 2,
VLOOKUP(A131,vote4SURGE!$A:$C , 3, FALSE)
)
))</f>
        <v/>
      </c>
      <c r="W131" s="343">
        <f t="shared" si="1"/>
        <v>1</v>
      </c>
      <c r="X131" s="344">
        <f>IFERROR(__xludf.DUMMYFUNCTION("SWITCH(
LEN(K131) - LEN(SUBSTITUTE(K131,"","","""")),
0 , VLOOKUP(K131, Variables!$A:$C, 3, FALSE),
1 , VLOOKUP(index(split(K131 ,"", "", FALSE),1,1), Variables!$A:$C, 3, FALSE) + VLOOKUP(index(split(K131 ,"", "", FALSE),1,2), Variables!$A:$C, 3, FALSE),
"&amp;"2 , VLOOKUP(index(split(K131 ,"", "", FALSE),1,1), Variables!$A:$C, 3, FALSE) + VLOOKUP(index(split(K131 ,"", "", FALSE),1,2), Variables!$A:$C, 3, FALSE) + VLOOKUP(index(split(K131 ,"", "", FALSE),1,3), Variables!$A:$C, 3, FALSE)
)"),0.8333333333333333)</f>
        <v>0.8333333333</v>
      </c>
      <c r="Y131" s="342">
        <f t="shared" si="2"/>
        <v>3.333333333</v>
      </c>
      <c r="Z131" s="114" t="s">
        <v>2572</v>
      </c>
      <c r="AA131" s="114" t="s">
        <v>2572</v>
      </c>
      <c r="AB131" s="114"/>
      <c r="AC131" s="114"/>
      <c r="AD131" s="114"/>
      <c r="AE131" s="114"/>
      <c r="AF131" s="114"/>
      <c r="AG131" s="114"/>
      <c r="AH131" s="114"/>
      <c r="AI131" s="114"/>
      <c r="AJ131" s="164" t="s">
        <v>369</v>
      </c>
      <c r="AK131" s="473">
        <v>30.0</v>
      </c>
      <c r="AL131" s="164" t="s">
        <v>369</v>
      </c>
      <c r="AM131" s="473">
        <v>46.0</v>
      </c>
      <c r="AN131" s="164" t="s">
        <v>368</v>
      </c>
      <c r="AO131" s="473">
        <v>57.0</v>
      </c>
      <c r="AP131" s="130">
        <f>SUM(
VLOOKUP("Ravage",vote4TRAITS!A:C,3,FALSE)
)</f>
        <v>7.333333333</v>
      </c>
      <c r="AQ131" s="130">
        <f t="shared" si="3"/>
        <v>10.98666667</v>
      </c>
    </row>
    <row r="132" ht="14.25" customHeight="1">
      <c r="A132" s="137" t="s">
        <v>1472</v>
      </c>
      <c r="B132" s="114" t="s">
        <v>2570</v>
      </c>
      <c r="C132" s="114">
        <v>47.0</v>
      </c>
      <c r="D132" s="114">
        <v>1.0</v>
      </c>
      <c r="E132" s="114">
        <v>1.0</v>
      </c>
      <c r="F132" s="487">
        <v>3.0</v>
      </c>
      <c r="G132" s="488">
        <v>5.0</v>
      </c>
      <c r="H132" s="114" t="s">
        <v>1621</v>
      </c>
      <c r="I132" s="130">
        <f>IFERROR(__xludf.DUMMYFUNCTION("SWITCH(
LEN(H132) - LEN(SUBSTITUTE(H132,"","","""")),
0 , VLOOKUP(H132, Variables!$A:$B, 2, FALSE),
1 , VLOOKUP(index(split(H132 ,"", "", FALSE),1,1), Variables!$A:$B , 2, FALSE) + VLOOKUP(index(split(H132 ,"", "", FALSE),1,2), Variables!$A:$B , 2, FALSE)"&amp;",
2 , VLOOKUP(index(split(H132 ,"", "", FALSE),1,1), Variables!$A:$B , 2, FALSE) + VLOOKUP(index(split(H132 ,"", "", FALSE),1,2), Variables!$A:$B , 2, FALSE) + VLOOKUP(index(split(H132 ,"", "", FALSE),1,3), Variables!$A:$B , 2, FALSE)
)"),0.6666666666666666)</f>
        <v>0.6666666667</v>
      </c>
      <c r="J132" s="114" t="s">
        <v>1521</v>
      </c>
      <c r="K132" s="114" t="s">
        <v>1548</v>
      </c>
      <c r="L132" s="130">
        <f>IFERROR(__xludf.DUMMYFUNCTION("SWITCH(
LEN(K132) - LEN(SUBSTITUTE(K132,"","","""")),
0 , VLOOKUP(K132, Variables!$A:$B, 2, FALSE),
1 , VLOOKUP(index(split(K132 ,"", "", FALSE),1,1), Variables!$A:$B , 2, FALSE) + VLOOKUP(index(split(K132 ,"", "", FALSE),1,2), Variables!$A:$B , 2, FALSE)"&amp;",
2 , VLOOKUP(index(split(K132 ,"", "", FALSE),1,1), Variables!$A:$B , 2, FALSE) + VLOOKUP(index(split(K132 ,"", "", FALSE),1,2), Variables!$A:$B , 2, FALSE) + VLOOKUP(index(split(K132 ,"", "", FALSE),1,3), Variables!$A:$B , 2, FALSE)
)
+
IF(J132=""Ranged"&amp;""", 1 , 0)"),2.3333333333333335)</f>
        <v>2.333333333</v>
      </c>
      <c r="M132" s="114" t="s">
        <v>2624</v>
      </c>
      <c r="N132" s="130">
        <f>IFERROR(__xludf.DUMMYFUNCTION("IF(ISBLANK(M132), , 
SWITCH(
LEN(M132)- LEN(SUBSTITUTE(M132,"","","""")), 
0 , VLOOKUP(M132, vote4TRAITS!A:C , 3, FALSE),
1 , VLOOKUP(index(split(M132 ,"", "", FALSE),1,1), vote4TRAITS!A:C , 3, FALSE) + VLOOKUP(index(split(M132 ,"", "", FALSE),1,2), vote4"&amp;"TRAITS!A:C , 3, FALSE),
2 , VLOOKUP(index(split(M132 ,"", "", FALSE),1,1), vote4TRAITS!A:C , 3, FALSE) + VLOOKUP(index(split(M132 ,"", "", FALSE),1,2), vote4TRAITS!A:C , 3, FALSE) + VLOOKUP(index(split(M132 ,"", "", FALSE),1,3), vote4TRAITS!A:C , 3, FALSE"&amp;")
)
)"),6.666666666666666)</f>
        <v>6.666666667</v>
      </c>
      <c r="O132" s="490"/>
      <c r="P132" s="165" t="str">
        <f>IFERROR(__xludf.DUMMYFUNCTION("IF(ISBLANK(O132), , 
SWITCH(
LEN(O132)- LEN(SUBSTITUTE(O132,"","","""")), 
0 , VLOOKUP(O132, vote4ACTIONS!A:C , 3, FALSE),
1 , VLOOKUP(index(split(O132 ,"", "", FALSE),1,1), vote4ACTIONS!A:C , 3, FALSE) + VLOOKUP(index(split(O132 ,"", "", FALSE),1,2), vot"&amp;"e4ACTIONS!A:C , 3, FALSE),
2 , VLOOKUP(index(split(O132 ,"", "", FALSE),1,1), vote4ACTIONS!A:C , 3, FALSE) + VLOOKUP(index(split(O132 ,"", "", FALSE),1,2), vote4ACTIONS!A:C , 3, FALSE) + VLOOKUP(index(split(O132 ,"", "", FALSE),1,3), vote4ACTIONS!A:C , 3,"&amp;" FALSE),
3 , VLOOKUP(index(split(O132 ,"", "", FALSE),1,1), vote4ACTIONS!A:C , 3, FALSE) + VLOOKUP(index(split(O132 ,"", "", FALSE),1,2), vote4ACTIONS!A:C , 3, FALSE) + VLOOKUP(index(split(O132 ,"", "", FALSE),1,3), vote4ACTIONS!A:C , 3, FALSE) + VLOOKUP("&amp;"index(split(O132 ,"", "", FALSE),1,4), vote4ACTIONS!A:C , 3, FALSE)
)
)"),"")</f>
        <v/>
      </c>
      <c r="Q132" s="155" t="s">
        <v>2616</v>
      </c>
      <c r="R132" s="342">
        <f>IF(ISBLANK(Q132),,IFERROR(
IF(IFERROR(SEARCH("SS:",Q132),0) &gt; 0, 
VLOOKUP(SUBSTITUTE(Q132,"SS: ",""),vote4SURGE!$A:$C , 3, FALSE) - 2,
VLOOKUP(SUBSTITUTE(Q132,"S: ",""),vote4SURGE!$A:$C , 3, FALSE)
)
,
IF(IFERROR(SEARCH("SS:",Q132),0) &gt; 0, 
VLOOKUP(A132,vote4SURGE!$A:$C , 3, FALSE) - 2,
VLOOKUP(A132,vote4SURGE!$A:$C , 3, FALSE)
)
))</f>
        <v>4</v>
      </c>
      <c r="S132" s="341"/>
      <c r="T132" s="342" t="str">
        <f>IF(ISBLANK(S132),,IFERROR(
IF(IFERROR(SEARCH("SS:",S132),0) &gt; 0, 
VLOOKUP(SUBSTITUTE(S132,"SS: ",""),vote4SURGE!$A:$C , 3, FALSE) - 2,
VLOOKUP(SUBSTITUTE(S132,"S: ",""),vote4SURGE!$A:$C , 3, FALSE)
)
,
IF(IFERROR(SEARCH("SS:",S132),0) &gt; 0, 
VLOOKUP(A132,vote4SURGE!$A:$C , 3, FALSE) - 2,
VLOOKUP(A132,vote4SURGE!$A:$C , 3, FALSE)
)
))</f>
        <v/>
      </c>
      <c r="U132" s="341"/>
      <c r="V132" s="343" t="str">
        <f>IF(ISBLANK(U132),,IFERROR(
IF(IFERROR(SEARCH("SS:",U132),0) &gt; 0, 
VLOOKUP(SUBSTITUTE(U132,"SS: ",""),vote4SURGE!$A:$C , 3, FALSE) - 2,
VLOOKUP(SUBSTITUTE(U132,"S: ",""),vote4SURGE!$A:$C , 3, FALSE)
)
,
IF(IFERROR(SEARCH("SS:",U132),0) &gt; 0, 
VLOOKUP(A132,vote4SURGE!$A:$C , 3, FALSE) - 2,
VLOOKUP(A132,vote4SURGE!$A:$C , 3, FALSE)
)
))</f>
        <v/>
      </c>
      <c r="W132" s="343">
        <f t="shared" si="1"/>
        <v>1</v>
      </c>
      <c r="X132" s="344">
        <f>IFERROR(__xludf.DUMMYFUNCTION("SWITCH(
LEN(K132) - LEN(SUBSTITUTE(K132,"","","""")),
0 , VLOOKUP(K132, Variables!$A:$C, 3, FALSE),
1 , VLOOKUP(index(split(K132 ,"", "", FALSE),1,1), Variables!$A:$C, 3, FALSE) + VLOOKUP(index(split(K132 ,"", "", FALSE),1,2), Variables!$A:$C, 3, FALSE),
"&amp;"2 , VLOOKUP(index(split(K132 ,"", "", FALSE),1,1), Variables!$A:$C, 3, FALSE) + VLOOKUP(index(split(K132 ,"", "", FALSE),1,2), Variables!$A:$C, 3, FALSE) + VLOOKUP(index(split(K132 ,"", "", FALSE),1,3), Variables!$A:$C, 3, FALSE)
)"),0.8333333333333333)</f>
        <v>0.8333333333</v>
      </c>
      <c r="Y132" s="342">
        <f t="shared" si="2"/>
        <v>3.333333333</v>
      </c>
      <c r="Z132" s="114" t="s">
        <v>2572</v>
      </c>
      <c r="AA132" s="114" t="s">
        <v>2572</v>
      </c>
      <c r="AB132" s="114"/>
      <c r="AC132" s="114"/>
      <c r="AD132" s="114"/>
      <c r="AE132" s="491" t="s">
        <v>2592</v>
      </c>
      <c r="AF132" s="114"/>
      <c r="AG132" s="114"/>
      <c r="AH132" s="114"/>
      <c r="AI132" s="114"/>
      <c r="AJ132" s="164" t="s">
        <v>369</v>
      </c>
      <c r="AK132" s="473">
        <v>18.0</v>
      </c>
      <c r="AL132" s="164" t="s">
        <v>369</v>
      </c>
      <c r="AM132" s="473">
        <v>26.0</v>
      </c>
      <c r="AN132" s="164" t="s">
        <v>368</v>
      </c>
      <c r="AO132" s="473">
        <v>33.0</v>
      </c>
      <c r="AP132" s="130">
        <f>SUM(
VLOOKUP("Ravage",vote4TRAITS!A:C,3,FALSE)
)</f>
        <v>7.333333333</v>
      </c>
      <c r="AQ132" s="130">
        <f t="shared" si="3"/>
        <v>9.323333333</v>
      </c>
    </row>
    <row r="133" ht="14.25" customHeight="1">
      <c r="A133" s="137" t="s">
        <v>1472</v>
      </c>
      <c r="B133" s="114" t="s">
        <v>2576</v>
      </c>
      <c r="C133" s="114">
        <v>47.0</v>
      </c>
      <c r="D133" s="114">
        <v>2.0</v>
      </c>
      <c r="E133" s="114">
        <v>1.0</v>
      </c>
      <c r="F133" s="487">
        <v>4.0</v>
      </c>
      <c r="G133" s="488">
        <v>4.0</v>
      </c>
      <c r="H133" s="114" t="s">
        <v>1621</v>
      </c>
      <c r="I133" s="130">
        <f>IFERROR(__xludf.DUMMYFUNCTION("SWITCH(
LEN(H133) - LEN(SUBSTITUTE(H133,"","","""")),
0 , VLOOKUP(H133, Variables!$A:$B, 2, FALSE),
1 , VLOOKUP(index(split(H133 ,"", "", FALSE),1,1), Variables!$A:$B , 2, FALSE) + VLOOKUP(index(split(H133 ,"", "", FALSE),1,2), Variables!$A:$B , 2, FALSE)"&amp;",
2 , VLOOKUP(index(split(H133 ,"", "", FALSE),1,1), Variables!$A:$B , 2, FALSE) + VLOOKUP(index(split(H133 ,"", "", FALSE),1,2), Variables!$A:$B , 2, FALSE) + VLOOKUP(index(split(H133 ,"", "", FALSE),1,3), Variables!$A:$B , 2, FALSE)
)"),0.6666666666666666)</f>
        <v>0.6666666667</v>
      </c>
      <c r="J133" s="114" t="s">
        <v>1521</v>
      </c>
      <c r="K133" s="114" t="s">
        <v>2601</v>
      </c>
      <c r="L133" s="130">
        <f>IFERROR(__xludf.DUMMYFUNCTION("SWITCH(
LEN(K133) - LEN(SUBSTITUTE(K133,"","","""")),
0 , VLOOKUP(K133, Variables!$A:$B, 2, FALSE),
1 , VLOOKUP(index(split(K133 ,"", "", FALSE),1,1), Variables!$A:$B , 2, FALSE) + VLOOKUP(index(split(K133 ,"", "", FALSE),1,2), Variables!$A:$B , 2, FALSE)"&amp;",
2 , VLOOKUP(index(split(K133 ,"", "", FALSE),1,1), Variables!$A:$B , 2, FALSE) + VLOOKUP(index(split(K133 ,"", "", FALSE),1,2), Variables!$A:$B , 2, FALSE) + VLOOKUP(index(split(K133 ,"", "", FALSE),1,3), Variables!$A:$B , 2, FALSE)
)
+
IF(J133=""Ranged"&amp;""", 1 , 0)"),1.1666666666666667)</f>
        <v>1.166666667</v>
      </c>
      <c r="M133" s="114" t="s">
        <v>2625</v>
      </c>
      <c r="N133" s="130">
        <f>IFERROR(__xludf.DUMMYFUNCTION("IF(ISBLANK(M133), , 
SWITCH(
LEN(M133)- LEN(SUBSTITUTE(M133,"","","""")), 
0 , VLOOKUP(M133, vote4TRAITS!A:C , 3, FALSE),
1 , VLOOKUP(index(split(M133 ,"", "", FALSE),1,1), vote4TRAITS!A:C , 3, FALSE) + VLOOKUP(index(split(M133 ,"", "", FALSE),1,2), vote4"&amp;"TRAITS!A:C , 3, FALSE),
2 , VLOOKUP(index(split(M133 ,"", "", FALSE),1,1), vote4TRAITS!A:C , 3, FALSE) + VLOOKUP(index(split(M133 ,"", "", FALSE),1,2), vote4TRAITS!A:C , 3, FALSE) + VLOOKUP(index(split(M133 ,"", "", FALSE),1,3), vote4TRAITS!A:C , 3, FALSE"&amp;")
)
)"),1.9999999999999996)</f>
        <v>2</v>
      </c>
      <c r="O133" s="490"/>
      <c r="P133" s="165" t="str">
        <f>IFERROR(__xludf.DUMMYFUNCTION("IF(ISBLANK(O133), , 
SWITCH(
LEN(O133)- LEN(SUBSTITUTE(O133,"","","""")), 
0 , VLOOKUP(O133, vote4ACTIONS!A:C , 3, FALSE),
1 , VLOOKUP(index(split(O133 ,"", "", FALSE),1,1), vote4ACTIONS!A:C , 3, FALSE) + VLOOKUP(index(split(O133 ,"", "", FALSE),1,2), vot"&amp;"e4ACTIONS!A:C , 3, FALSE),
2 , VLOOKUP(index(split(O133 ,"", "", FALSE),1,1), vote4ACTIONS!A:C , 3, FALSE) + VLOOKUP(index(split(O133 ,"", "", FALSE),1,2), vote4ACTIONS!A:C , 3, FALSE) + VLOOKUP(index(split(O133 ,"", "", FALSE),1,3), vote4ACTIONS!A:C , 3,"&amp;" FALSE),
3 , VLOOKUP(index(split(O133 ,"", "", FALSE),1,1), vote4ACTIONS!A:C , 3, FALSE) + VLOOKUP(index(split(O133 ,"", "", FALSE),1,2), vote4ACTIONS!A:C , 3, FALSE) + VLOOKUP(index(split(O133 ,"", "", FALSE),1,3), vote4ACTIONS!A:C , 3, FALSE) + VLOOKUP("&amp;"index(split(O133 ,"", "", FALSE),1,4), vote4ACTIONS!A:C , 3, FALSE)
)
)"),"")</f>
        <v/>
      </c>
      <c r="Q133" s="155" t="s">
        <v>2616</v>
      </c>
      <c r="R133" s="342">
        <f>IF(ISBLANK(Q133),,IFERROR(
IF(IFERROR(SEARCH("SS:",Q133),0) &gt; 0, 
VLOOKUP(SUBSTITUTE(Q133,"SS: ",""),vote4SURGE!$A:$C , 3, FALSE) - 2,
VLOOKUP(SUBSTITUTE(Q133,"S: ",""),vote4SURGE!$A:$C , 3, FALSE)
)
,
IF(IFERROR(SEARCH("SS:",Q133),0) &gt; 0, 
VLOOKUP(A133,vote4SURGE!$A:$C , 3, FALSE) - 2,
VLOOKUP(A133,vote4SURGE!$A:$C , 3, FALSE)
)
))</f>
        <v>4</v>
      </c>
      <c r="S133" s="164"/>
      <c r="T133" s="342" t="str">
        <f>IF(ISBLANK(S133),,IFERROR(
IF(IFERROR(SEARCH("SS:",S133),0) &gt; 0, 
VLOOKUP(SUBSTITUTE(S133,"SS: ",""),vote4SURGE!$A:$C , 3, FALSE) - 2,
VLOOKUP(SUBSTITUTE(S133,"S: ",""),vote4SURGE!$A:$C , 3, FALSE)
)
,
IF(IFERROR(SEARCH("SS:",S133),0) &gt; 0, 
VLOOKUP(A133,vote4SURGE!$A:$C , 3, FALSE) - 2,
VLOOKUP(A133,vote4SURGE!$A:$C , 3, FALSE)
)
))</f>
        <v/>
      </c>
      <c r="U133" s="164"/>
      <c r="V133" s="343" t="str">
        <f>IF(ISBLANK(U133),,IFERROR(
IF(IFERROR(SEARCH("SS:",U133),0) &gt; 0, 
VLOOKUP(SUBSTITUTE(U133,"SS: ",""),vote4SURGE!$A:$C , 3, FALSE) - 2,
VLOOKUP(SUBSTITUTE(U133,"S: ",""),vote4SURGE!$A:$C , 3, FALSE)
)
,
IF(IFERROR(SEARCH("SS:",U133),0) &gt; 0, 
VLOOKUP(A133,vote4SURGE!$A:$C , 3, FALSE) - 2,
VLOOKUP(A133,vote4SURGE!$A:$C , 3, FALSE)
)
))</f>
        <v/>
      </c>
      <c r="W133" s="343">
        <f t="shared" si="1"/>
        <v>1</v>
      </c>
      <c r="X133" s="344">
        <f>IFERROR(__xludf.DUMMYFUNCTION("SWITCH(
LEN(K133) - LEN(SUBSTITUTE(K133,"","","""")),
0 , VLOOKUP(K133, Variables!$A:$C, 3, FALSE),
1 , VLOOKUP(index(split(K133 ,"", "", FALSE),1,1), Variables!$A:$C, 3, FALSE) + VLOOKUP(index(split(K133 ,"", "", FALSE),1,2), Variables!$A:$C, 3, FALSE),
"&amp;"2 , VLOOKUP(index(split(K133 ,"", "", FALSE),1,1), Variables!$A:$C, 3, FALSE) + VLOOKUP(index(split(K133 ,"", "", FALSE),1,2), Variables!$A:$C, 3, FALSE) + VLOOKUP(index(split(K133 ,"", "", FALSE),1,3), Variables!$A:$C, 3, FALSE)
)"),0.3333333333333333)</f>
        <v>0.3333333333</v>
      </c>
      <c r="Y133" s="342">
        <f t="shared" si="2"/>
        <v>1.333333333</v>
      </c>
      <c r="Z133" s="114" t="s">
        <v>2572</v>
      </c>
      <c r="AA133" s="114" t="s">
        <v>2572</v>
      </c>
      <c r="AB133" s="114"/>
      <c r="AC133" s="114"/>
      <c r="AD133" s="114"/>
      <c r="AE133" s="114"/>
      <c r="AF133" s="114"/>
      <c r="AG133" s="114"/>
      <c r="AH133" s="114"/>
      <c r="AI133" s="114"/>
      <c r="AJ133" s="164" t="s">
        <v>2580</v>
      </c>
      <c r="AK133" s="473">
        <v>30.0</v>
      </c>
      <c r="AL133" s="164" t="s">
        <v>2626</v>
      </c>
      <c r="AM133" s="473">
        <v>46.0</v>
      </c>
      <c r="AN133" s="164" t="s">
        <v>2627</v>
      </c>
      <c r="AO133" s="473">
        <v>57.0</v>
      </c>
      <c r="AP133" s="130">
        <f>SUM(
VLOOKUP("Ravage",vote4TRAITS!A:C,3,FALSE)
)</f>
        <v>7.333333333</v>
      </c>
      <c r="AQ133" s="130">
        <f t="shared" si="3"/>
        <v>1.153333333</v>
      </c>
    </row>
    <row r="134" ht="14.25" customHeight="1">
      <c r="A134" s="137" t="s">
        <v>1472</v>
      </c>
      <c r="B134" s="114" t="s">
        <v>2576</v>
      </c>
      <c r="C134" s="114">
        <v>47.0</v>
      </c>
      <c r="D134" s="114">
        <v>1.0</v>
      </c>
      <c r="E134" s="114">
        <v>1.0</v>
      </c>
      <c r="F134" s="487">
        <v>3.0</v>
      </c>
      <c r="G134" s="488">
        <v>2.0</v>
      </c>
      <c r="H134" s="114" t="s">
        <v>1621</v>
      </c>
      <c r="I134" s="130">
        <f>IFERROR(__xludf.DUMMYFUNCTION("SWITCH(
LEN(H134) - LEN(SUBSTITUTE(H134,"","","""")),
0 , VLOOKUP(H134, Variables!$A:$B, 2, FALSE),
1 , VLOOKUP(index(split(H134 ,"", "", FALSE),1,1), Variables!$A:$B , 2, FALSE) + VLOOKUP(index(split(H134 ,"", "", FALSE),1,2), Variables!$A:$B , 2, FALSE)"&amp;",
2 , VLOOKUP(index(split(H134 ,"", "", FALSE),1,1), Variables!$A:$B , 2, FALSE) + VLOOKUP(index(split(H134 ,"", "", FALSE),1,2), Variables!$A:$B , 2, FALSE) + VLOOKUP(index(split(H134 ,"", "", FALSE),1,3), Variables!$A:$B , 2, FALSE)
)"),0.6666666666666666)</f>
        <v>0.6666666667</v>
      </c>
      <c r="J134" s="114" t="s">
        <v>1521</v>
      </c>
      <c r="K134" s="114" t="s">
        <v>2601</v>
      </c>
      <c r="L134" s="130">
        <f>IFERROR(__xludf.DUMMYFUNCTION("SWITCH(
LEN(K134) - LEN(SUBSTITUTE(K134,"","","""")),
0 , VLOOKUP(K134, Variables!$A:$B, 2, FALSE),
1 , VLOOKUP(index(split(K134 ,"", "", FALSE),1,1), Variables!$A:$B , 2, FALSE) + VLOOKUP(index(split(K134 ,"", "", FALSE),1,2), Variables!$A:$B , 2, FALSE)"&amp;",
2 , VLOOKUP(index(split(K134 ,"", "", FALSE),1,1), Variables!$A:$B , 2, FALSE) + VLOOKUP(index(split(K134 ,"", "", FALSE),1,2), Variables!$A:$B , 2, FALSE) + VLOOKUP(index(split(K134 ,"", "", FALSE),1,3), Variables!$A:$B , 2, FALSE)
)
+
IF(J134=""Ranged"&amp;""", 1 , 0)"),1.1666666666666667)</f>
        <v>1.166666667</v>
      </c>
      <c r="M134" s="114" t="s">
        <v>2625</v>
      </c>
      <c r="N134" s="130">
        <f>IFERROR(__xludf.DUMMYFUNCTION("IF(ISBLANK(M134), , 
SWITCH(
LEN(M134)- LEN(SUBSTITUTE(M134,"","","""")), 
0 , VLOOKUP(M134, vote4TRAITS!A:C , 3, FALSE),
1 , VLOOKUP(index(split(M134 ,"", "", FALSE),1,1), vote4TRAITS!A:C , 3, FALSE) + VLOOKUP(index(split(M134 ,"", "", FALSE),1,2), vote4"&amp;"TRAITS!A:C , 3, FALSE),
2 , VLOOKUP(index(split(M134 ,"", "", FALSE),1,1), vote4TRAITS!A:C , 3, FALSE) + VLOOKUP(index(split(M134 ,"", "", FALSE),1,2), vote4TRAITS!A:C , 3, FALSE) + VLOOKUP(index(split(M134 ,"", "", FALSE),1,3), vote4TRAITS!A:C , 3, FALSE"&amp;")
)
)"),1.9999999999999996)</f>
        <v>2</v>
      </c>
      <c r="O134" s="490"/>
      <c r="P134" s="165" t="str">
        <f>IFERROR(__xludf.DUMMYFUNCTION("IF(ISBLANK(O134), , 
SWITCH(
LEN(O134)- LEN(SUBSTITUTE(O134,"","","""")), 
0 , VLOOKUP(O134, vote4ACTIONS!A:C , 3, FALSE),
1 , VLOOKUP(index(split(O134 ,"", "", FALSE),1,1), vote4ACTIONS!A:C , 3, FALSE) + VLOOKUP(index(split(O134 ,"", "", FALSE),1,2), vot"&amp;"e4ACTIONS!A:C , 3, FALSE),
2 , VLOOKUP(index(split(O134 ,"", "", FALSE),1,1), vote4ACTIONS!A:C , 3, FALSE) + VLOOKUP(index(split(O134 ,"", "", FALSE),1,2), vote4ACTIONS!A:C , 3, FALSE) + VLOOKUP(index(split(O134 ,"", "", FALSE),1,3), vote4ACTIONS!A:C , 3,"&amp;" FALSE),
3 , VLOOKUP(index(split(O134 ,"", "", FALSE),1,1), vote4ACTIONS!A:C , 3, FALSE) + VLOOKUP(index(split(O134 ,"", "", FALSE),1,2), vote4ACTIONS!A:C , 3, FALSE) + VLOOKUP(index(split(O134 ,"", "", FALSE),1,3), vote4ACTIONS!A:C , 3, FALSE) + VLOOKUP("&amp;"index(split(O134 ,"", "", FALSE),1,4), vote4ACTIONS!A:C , 3, FALSE)
)
)"),"")</f>
        <v/>
      </c>
      <c r="Q134" s="155" t="s">
        <v>2616</v>
      </c>
      <c r="R134" s="342">
        <f>IF(ISBLANK(Q134),,IFERROR(
IF(IFERROR(SEARCH("SS:",Q134),0) &gt; 0, 
VLOOKUP(SUBSTITUTE(Q134,"SS: ",""),vote4SURGE!$A:$C , 3, FALSE) - 2,
VLOOKUP(SUBSTITUTE(Q134,"S: ",""),vote4SURGE!$A:$C , 3, FALSE)
)
,
IF(IFERROR(SEARCH("SS:",Q134),0) &gt; 0, 
VLOOKUP(A134,vote4SURGE!$A:$C , 3, FALSE) - 2,
VLOOKUP(A134,vote4SURGE!$A:$C , 3, FALSE)
)
))</f>
        <v>4</v>
      </c>
      <c r="S134" s="164"/>
      <c r="T134" s="342" t="str">
        <f>IF(ISBLANK(S134),,IFERROR(
IF(IFERROR(SEARCH("SS:",S134),0) &gt; 0, 
VLOOKUP(SUBSTITUTE(S134,"SS: ",""),vote4SURGE!$A:$C , 3, FALSE) - 2,
VLOOKUP(SUBSTITUTE(S134,"S: ",""),vote4SURGE!$A:$C , 3, FALSE)
)
,
IF(IFERROR(SEARCH("SS:",S134),0) &gt; 0, 
VLOOKUP(A134,vote4SURGE!$A:$C , 3, FALSE) - 2,
VLOOKUP(A134,vote4SURGE!$A:$C , 3, FALSE)
)
))</f>
        <v/>
      </c>
      <c r="U134" s="164"/>
      <c r="V134" s="343" t="str">
        <f>IF(ISBLANK(U134),,IFERROR(
IF(IFERROR(SEARCH("SS:",U134),0) &gt; 0, 
VLOOKUP(SUBSTITUTE(U134,"SS: ",""),vote4SURGE!$A:$C , 3, FALSE) - 2,
VLOOKUP(SUBSTITUTE(U134,"S: ",""),vote4SURGE!$A:$C , 3, FALSE)
)
,
IF(IFERROR(SEARCH("SS:",U134),0) &gt; 0, 
VLOOKUP(A134,vote4SURGE!$A:$C , 3, FALSE) - 2,
VLOOKUP(A134,vote4SURGE!$A:$C , 3, FALSE)
)
))</f>
        <v/>
      </c>
      <c r="W134" s="343">
        <f t="shared" si="1"/>
        <v>1</v>
      </c>
      <c r="X134" s="344">
        <f>IFERROR(__xludf.DUMMYFUNCTION("SWITCH(
LEN(K134) - LEN(SUBSTITUTE(K134,"","","""")),
0 , VLOOKUP(K134, Variables!$A:$C, 3, FALSE),
1 , VLOOKUP(index(split(K134 ,"", "", FALSE),1,1), Variables!$A:$C, 3, FALSE) + VLOOKUP(index(split(K134 ,"", "", FALSE),1,2), Variables!$A:$C, 3, FALSE),
"&amp;"2 , VLOOKUP(index(split(K134 ,"", "", FALSE),1,1), Variables!$A:$C, 3, FALSE) + VLOOKUP(index(split(K134 ,"", "", FALSE),1,2), Variables!$A:$C, 3, FALSE) + VLOOKUP(index(split(K134 ,"", "", FALSE),1,3), Variables!$A:$C, 3, FALSE)
)"),0.3333333333333333)</f>
        <v>0.3333333333</v>
      </c>
      <c r="Y134" s="342">
        <f t="shared" si="2"/>
        <v>1.333333333</v>
      </c>
      <c r="Z134" s="114" t="s">
        <v>2572</v>
      </c>
      <c r="AA134" s="114" t="s">
        <v>2572</v>
      </c>
      <c r="AB134" s="114"/>
      <c r="AC134" s="114"/>
      <c r="AD134" s="114"/>
      <c r="AE134" s="491" t="s">
        <v>2592</v>
      </c>
      <c r="AF134" s="114"/>
      <c r="AG134" s="114"/>
      <c r="AH134" s="114"/>
      <c r="AI134" s="114"/>
      <c r="AJ134" s="164" t="s">
        <v>2580</v>
      </c>
      <c r="AK134" s="473">
        <v>18.0</v>
      </c>
      <c r="AL134" s="164" t="s">
        <v>2626</v>
      </c>
      <c r="AM134" s="473">
        <v>26.0</v>
      </c>
      <c r="AN134" s="164" t="s">
        <v>2627</v>
      </c>
      <c r="AO134" s="473">
        <v>33.0</v>
      </c>
      <c r="AP134" s="130">
        <f>SUM(
VLOOKUP("Ravage",vote4TRAITS!A:C,3,FALSE)
)</f>
        <v>7.333333333</v>
      </c>
      <c r="AQ134" s="130">
        <f t="shared" si="3"/>
        <v>-0.51</v>
      </c>
    </row>
    <row r="135" ht="14.25" customHeight="1">
      <c r="A135" s="137" t="s">
        <v>2628</v>
      </c>
      <c r="B135" s="114" t="s">
        <v>2570</v>
      </c>
      <c r="C135" s="114">
        <v>42.0</v>
      </c>
      <c r="D135" s="114">
        <v>2.0</v>
      </c>
      <c r="E135" s="114">
        <v>2.0</v>
      </c>
      <c r="F135" s="487">
        <v>4.0</v>
      </c>
      <c r="G135" s="488">
        <v>9.0</v>
      </c>
      <c r="H135" s="114" t="s">
        <v>1663</v>
      </c>
      <c r="I135" s="130">
        <f>IFERROR(__xludf.DUMMYFUNCTION("SWITCH(
LEN(H135) - LEN(SUBSTITUTE(H135,"","","""")),
0 , VLOOKUP(H135, Variables!$A:$B, 2, FALSE),
1 , VLOOKUP(index(split(H135 ,"", "", FALSE),1,1), Variables!$A:$B , 2, FALSE) + VLOOKUP(index(split(H135 ,"", "", FALSE),1,2), Variables!$A:$B , 2, FALSE)"&amp;",
2 , VLOOKUP(index(split(H135 ,"", "", FALSE),1,1), Variables!$A:$B , 2, FALSE) + VLOOKUP(index(split(H135 ,"", "", FALSE),1,2), Variables!$A:$B , 2, FALSE) + VLOOKUP(index(split(H135 ,"", "", FALSE),1,3), Variables!$A:$B , 2, FALSE)
)"),1.3333333333333333)</f>
        <v>1.333333333</v>
      </c>
      <c r="J135" s="114" t="s">
        <v>1567</v>
      </c>
      <c r="K135" s="114" t="s">
        <v>1546</v>
      </c>
      <c r="L135" s="130">
        <f>IFERROR(__xludf.DUMMYFUNCTION("SWITCH(
LEN(K135) - LEN(SUBSTITUTE(K135,"","","""")),
0 , VLOOKUP(K135, Variables!$A:$B, 2, FALSE),
1 , VLOOKUP(index(split(K135 ,"", "", FALSE),1,1), Variables!$A:$B , 2, FALSE) + VLOOKUP(index(split(K135 ,"", "", FALSE),1,2), Variables!$A:$B , 2, FALSE)"&amp;",
2 , VLOOKUP(index(split(K135 ,"", "", FALSE),1,1), Variables!$A:$B , 2, FALSE) + VLOOKUP(index(split(K135 ,"", "", FALSE),1,2), Variables!$A:$B , 2, FALSE) + VLOOKUP(index(split(K135 ,"", "", FALSE),1,3), Variables!$A:$B , 2, FALSE)
)
+
IF(J135=""Ranged"&amp;""", 1 , 0)"),4.5)</f>
        <v>4.5</v>
      </c>
      <c r="M135" s="114" t="s">
        <v>1095</v>
      </c>
      <c r="N135" s="130">
        <f>IFERROR(__xludf.DUMMYFUNCTION("IF(ISBLANK(M135), , 
SWITCH(
LEN(M135)- LEN(SUBSTITUTE(M135,"","","""")), 
0 , VLOOKUP(M135, vote4TRAITS!A:C , 3, FALSE),
1 , VLOOKUP(index(split(M135 ,"", "", FALSE),1,1), vote4TRAITS!A:C , 3, FALSE) + VLOOKUP(index(split(M135 ,"", "", FALSE),1,2), vote4"&amp;"TRAITS!A:C , 3, FALSE),
2 , VLOOKUP(index(split(M135 ,"", "", FALSE),1,1), vote4TRAITS!A:C , 3, FALSE) + VLOOKUP(index(split(M135 ,"", "", FALSE),1,2), vote4TRAITS!A:C , 3, FALSE) + VLOOKUP(index(split(M135 ,"", "", FALSE),1,3), vote4TRAITS!A:C , 3, FALSE"&amp;")
)
)"),7.333333333333333)</f>
        <v>7.333333333</v>
      </c>
      <c r="O135" s="490"/>
      <c r="P135" s="165" t="str">
        <f>IFERROR(__xludf.DUMMYFUNCTION("IF(ISBLANK(O135), , 
SWITCH(
LEN(O135)- LEN(SUBSTITUTE(O135,"","","""")), 
0 , VLOOKUP(O135, vote4ACTIONS!A:C , 3, FALSE),
1 , VLOOKUP(index(split(O135 ,"", "", FALSE),1,1), vote4ACTIONS!A:C , 3, FALSE) + VLOOKUP(index(split(O135 ,"", "", FALSE),1,2), vot"&amp;"e4ACTIONS!A:C , 3, FALSE),
2 , VLOOKUP(index(split(O135 ,"", "", FALSE),1,1), vote4ACTIONS!A:C , 3, FALSE) + VLOOKUP(index(split(O135 ,"", "", FALSE),1,2), vote4ACTIONS!A:C , 3, FALSE) + VLOOKUP(index(split(O135 ,"", "", FALSE),1,3), vote4ACTIONS!A:C , 3,"&amp;" FALSE),
3 , VLOOKUP(index(split(O135 ,"", "", FALSE),1,1), vote4ACTIONS!A:C , 3, FALSE) + VLOOKUP(index(split(O135 ,"", "", FALSE),1,2), vote4ACTIONS!A:C , 3, FALSE) + VLOOKUP(index(split(O135 ,"", "", FALSE),1,3), vote4ACTIONS!A:C , 3, FALSE) + VLOOKUP("&amp;"index(split(O135 ,"", "", FALSE),1,4), vote4ACTIONS!A:C , 3, FALSE)
)
)"),"")</f>
        <v/>
      </c>
      <c r="Q135" s="169" t="s">
        <v>1614</v>
      </c>
      <c r="R135" s="342">
        <f>IF(ISBLANK(Q135),,IFERROR(
IF(IFERROR(SEARCH("SS:",Q135),0) &gt; 0, 
VLOOKUP(SUBSTITUTE(Q135,"SS: ",""),vote4SURGE!$A:$C , 3, FALSE) - 2,
VLOOKUP(SUBSTITUTE(Q135,"S: ",""),vote4SURGE!$A:$C , 3, FALSE)
)
,
IF(IFERROR(SEARCH("SS:",Q135),0) &gt; 0, 
VLOOKUP(A135,vote4SURGE!$A:$C , 3, FALSE) - 2,
VLOOKUP(A135,vote4SURGE!$A:$C , 3, FALSE)
)
))</f>
        <v>6</v>
      </c>
      <c r="S135" s="489" t="s">
        <v>1555</v>
      </c>
      <c r="T135" s="342">
        <f>IF(ISBLANK(S135),,IFERROR(
IF(IFERROR(SEARCH("SS:",S135),0) &gt; 0, 
VLOOKUP(SUBSTITUTE(S135,"SS: ",""),vote4SURGE!$A:$C , 3, FALSE) - 2,
VLOOKUP(SUBSTITUTE(S135,"S: ",""),vote4SURGE!$A:$C , 3, FALSE)
)
,
IF(IFERROR(SEARCH("SS:",S135),0) &gt; 0, 
VLOOKUP(A135,vote4SURGE!$A:$C , 3, FALSE) - 2,
VLOOKUP(A135,vote4SURGE!$A:$C , 3, FALSE)
)
))</f>
        <v>3.25</v>
      </c>
      <c r="U135" s="489" t="s">
        <v>1652</v>
      </c>
      <c r="V135" s="343">
        <f>IF(ISBLANK(U135),,IFERROR(
IF(IFERROR(SEARCH("SS:",U135),0) &gt; 0, 
VLOOKUP(SUBSTITUTE(U135,"SS: ",""),vote4SURGE!$A:$C , 3, FALSE) - 2,
VLOOKUP(SUBSTITUTE(U135,"S: ",""),vote4SURGE!$A:$C , 3, FALSE)
)
,
IF(IFERROR(SEARCH("SS:",U135),0) &gt; 0, 
VLOOKUP(A135,vote4SURGE!$A:$C , 3, FALSE) - 2,
VLOOKUP(A135,vote4SURGE!$A:$C , 3, FALSE)
)
))</f>
        <v>4</v>
      </c>
      <c r="W135" s="343">
        <f t="shared" si="1"/>
        <v>3</v>
      </c>
      <c r="X135" s="344">
        <f>IFERROR(__xludf.DUMMYFUNCTION("SWITCH(
LEN(K135) - LEN(SUBSTITUTE(K135,"","","""")),
0 , VLOOKUP(K135, Variables!$A:$C, 3, FALSE),
1 , VLOOKUP(index(split(K135 ,"", "", FALSE),1,1), Variables!$A:$C, 3, FALSE) + VLOOKUP(index(split(K135 ,"", "", FALSE),1,2), Variables!$A:$C, 3, FALSE),
"&amp;"2 , VLOOKUP(index(split(K135 ,"", "", FALSE),1,1), Variables!$A:$C, 3, FALSE) + VLOOKUP(index(split(K135 ,"", "", FALSE),1,2), Variables!$A:$C, 3, FALSE) + VLOOKUP(index(split(K135 ,"", "", FALSE),1,3), Variables!$A:$C, 3, FALSE)
)"),1.3333333333333333)</f>
        <v>1.333333333</v>
      </c>
      <c r="Y135" s="342">
        <f t="shared" si="2"/>
        <v>9.222222222</v>
      </c>
      <c r="Z135" s="114"/>
      <c r="AA135" s="114"/>
      <c r="AB135" s="114"/>
      <c r="AC135" s="114"/>
      <c r="AD135" s="114"/>
      <c r="AE135" s="114" t="s">
        <v>2572</v>
      </c>
      <c r="AF135" s="114"/>
      <c r="AG135" s="114"/>
      <c r="AH135" s="114"/>
      <c r="AI135" s="114" t="s">
        <v>2572</v>
      </c>
      <c r="AJ135" s="114" t="s">
        <v>2573</v>
      </c>
      <c r="AK135" s="473">
        <v>7.0</v>
      </c>
      <c r="AL135" s="114" t="s">
        <v>2574</v>
      </c>
      <c r="AM135" s="473">
        <v>9.0</v>
      </c>
      <c r="AN135" s="114" t="s">
        <v>2574</v>
      </c>
      <c r="AO135" s="473">
        <v>16.0</v>
      </c>
      <c r="AP135" s="130">
        <f>SUM(
VLOOKUP("Ravage",vote4TRAITS!A:C,3,FALSE)
)</f>
        <v>7.333333333</v>
      </c>
      <c r="AQ135" s="130">
        <f t="shared" si="3"/>
        <v>27.37222222</v>
      </c>
    </row>
    <row r="136" ht="14.25" customHeight="1">
      <c r="A136" s="137" t="s">
        <v>2628</v>
      </c>
      <c r="B136" s="114" t="s">
        <v>2576</v>
      </c>
      <c r="C136" s="114">
        <v>42.0</v>
      </c>
      <c r="D136" s="114">
        <v>2.0</v>
      </c>
      <c r="E136" s="114">
        <v>2.0</v>
      </c>
      <c r="F136" s="487">
        <v>4.0</v>
      </c>
      <c r="G136" s="488">
        <v>7.0</v>
      </c>
      <c r="H136" s="114" t="s">
        <v>1663</v>
      </c>
      <c r="I136" s="130">
        <f>IFERROR(__xludf.DUMMYFUNCTION("SWITCH(
LEN(H136) - LEN(SUBSTITUTE(H136,"","","""")),
0 , VLOOKUP(H136, Variables!$A:$B, 2, FALSE),
1 , VLOOKUP(index(split(H136 ,"", "", FALSE),1,1), Variables!$A:$B , 2, FALSE) + VLOOKUP(index(split(H136 ,"", "", FALSE),1,2), Variables!$A:$B , 2, FALSE)"&amp;",
2 , VLOOKUP(index(split(H136 ,"", "", FALSE),1,1), Variables!$A:$B , 2, FALSE) + VLOOKUP(index(split(H136 ,"", "", FALSE),1,2), Variables!$A:$B , 2, FALSE) + VLOOKUP(index(split(H136 ,"", "", FALSE),1,3), Variables!$A:$B , 2, FALSE)
)"),1.3333333333333333)</f>
        <v>1.333333333</v>
      </c>
      <c r="J136" s="114" t="s">
        <v>1567</v>
      </c>
      <c r="K136" s="114" t="s">
        <v>1546</v>
      </c>
      <c r="L136" s="130">
        <f>IFERROR(__xludf.DUMMYFUNCTION("SWITCH(
LEN(K136) - LEN(SUBSTITUTE(K136,"","","""")),
0 , VLOOKUP(K136, Variables!$A:$B, 2, FALSE),
1 , VLOOKUP(index(split(K136 ,"", "", FALSE),1,1), Variables!$A:$B , 2, FALSE) + VLOOKUP(index(split(K136 ,"", "", FALSE),1,2), Variables!$A:$B , 2, FALSE)"&amp;",
2 , VLOOKUP(index(split(K136 ,"", "", FALSE),1,1), Variables!$A:$B , 2, FALSE) + VLOOKUP(index(split(K136 ,"", "", FALSE),1,2), Variables!$A:$B , 2, FALSE) + VLOOKUP(index(split(K136 ,"", "", FALSE),1,3), Variables!$A:$B , 2, FALSE)
)
+
IF(J136=""Ranged"&amp;""", 1 , 0)"),4.5)</f>
        <v>4.5</v>
      </c>
      <c r="M136" s="114" t="s">
        <v>1095</v>
      </c>
      <c r="N136" s="130">
        <f>IFERROR(__xludf.DUMMYFUNCTION("IF(ISBLANK(M136), , 
SWITCH(
LEN(M136)- LEN(SUBSTITUTE(M136,"","","""")), 
0 , VLOOKUP(M136, vote4TRAITS!A:C , 3, FALSE),
1 , VLOOKUP(index(split(M136 ,"", "", FALSE),1,1), vote4TRAITS!A:C , 3, FALSE) + VLOOKUP(index(split(M136 ,"", "", FALSE),1,2), vote4"&amp;"TRAITS!A:C , 3, FALSE),
2 , VLOOKUP(index(split(M136 ,"", "", FALSE),1,1), vote4TRAITS!A:C , 3, FALSE) + VLOOKUP(index(split(M136 ,"", "", FALSE),1,2), vote4TRAITS!A:C , 3, FALSE) + VLOOKUP(index(split(M136 ,"", "", FALSE),1,3), vote4TRAITS!A:C , 3, FALSE"&amp;")
)
)"),7.333333333333333)</f>
        <v>7.333333333</v>
      </c>
      <c r="O136" s="490"/>
      <c r="P136" s="165" t="str">
        <f>IFERROR(__xludf.DUMMYFUNCTION("IF(ISBLANK(O136), , 
SWITCH(
LEN(O136)- LEN(SUBSTITUTE(O136,"","","""")), 
0 , VLOOKUP(O136, vote4ACTIONS!A:C , 3, FALSE),
1 , VLOOKUP(index(split(O136 ,"", "", FALSE),1,1), vote4ACTIONS!A:C , 3, FALSE) + VLOOKUP(index(split(O136 ,"", "", FALSE),1,2), vot"&amp;"e4ACTIONS!A:C , 3, FALSE),
2 , VLOOKUP(index(split(O136 ,"", "", FALSE),1,1), vote4ACTIONS!A:C , 3, FALSE) + VLOOKUP(index(split(O136 ,"", "", FALSE),1,2), vote4ACTIONS!A:C , 3, FALSE) + VLOOKUP(index(split(O136 ,"", "", FALSE),1,3), vote4ACTIONS!A:C , 3,"&amp;" FALSE),
3 , VLOOKUP(index(split(O136 ,"", "", FALSE),1,1), vote4ACTIONS!A:C , 3, FALSE) + VLOOKUP(index(split(O136 ,"", "", FALSE),1,2), vote4ACTIONS!A:C , 3, FALSE) + VLOOKUP(index(split(O136 ,"", "", FALSE),1,3), vote4ACTIONS!A:C , 3, FALSE) + VLOOKUP("&amp;"index(split(O136 ,"", "", FALSE),1,4), vote4ACTIONS!A:C , 3, FALSE)
)
)"),"")</f>
        <v/>
      </c>
      <c r="Q136" s="169" t="s">
        <v>1540</v>
      </c>
      <c r="R136" s="342">
        <f>IF(ISBLANK(Q136),,IFERROR(
IF(IFERROR(SEARCH("SS:",Q136),0) &gt; 0, 
VLOOKUP(SUBSTITUTE(Q136,"SS: ",""),vote4SURGE!$A:$C , 3, FALSE) - 2,
VLOOKUP(SUBSTITUTE(Q136,"S: ",""),vote4SURGE!$A:$C , 3, FALSE)
)
,
IF(IFERROR(SEARCH("SS:",Q136),0) &gt; 0, 
VLOOKUP(A136,vote4SURGE!$A:$C , 3, FALSE) - 2,
VLOOKUP(A136,vote4SURGE!$A:$C , 3, FALSE)
)
))</f>
        <v>5.25</v>
      </c>
      <c r="S136" s="489" t="s">
        <v>1555</v>
      </c>
      <c r="T136" s="342">
        <f>IF(ISBLANK(S136),,IFERROR(
IF(IFERROR(SEARCH("SS:",S136),0) &gt; 0, 
VLOOKUP(SUBSTITUTE(S136,"SS: ",""),vote4SURGE!$A:$C , 3, FALSE) - 2,
VLOOKUP(SUBSTITUTE(S136,"S: ",""),vote4SURGE!$A:$C , 3, FALSE)
)
,
IF(IFERROR(SEARCH("SS:",S136),0) &gt; 0, 
VLOOKUP(A136,vote4SURGE!$A:$C , 3, FALSE) - 2,
VLOOKUP(A136,vote4SURGE!$A:$C , 3, FALSE)
)
))</f>
        <v>3.25</v>
      </c>
      <c r="U136" s="341"/>
      <c r="V136" s="343" t="str">
        <f>IF(ISBLANK(U136),,IFERROR(
IF(IFERROR(SEARCH("SS:",U136),0) &gt; 0, 
VLOOKUP(SUBSTITUTE(U136,"SS: ",""),vote4SURGE!$A:$C , 3, FALSE) - 2,
VLOOKUP(SUBSTITUTE(U136,"S: ",""),vote4SURGE!$A:$C , 3, FALSE)
)
,
IF(IFERROR(SEARCH("SS:",U136),0) &gt; 0, 
VLOOKUP(A136,vote4SURGE!$A:$C , 3, FALSE) - 2,
VLOOKUP(A136,vote4SURGE!$A:$C , 3, FALSE)
)
))</f>
        <v/>
      </c>
      <c r="W136" s="343">
        <f t="shared" si="1"/>
        <v>2</v>
      </c>
      <c r="X136" s="344">
        <f>IFERROR(__xludf.DUMMYFUNCTION("SWITCH(
LEN(K136) - LEN(SUBSTITUTE(K136,"","","""")),
0 , VLOOKUP(K136, Variables!$A:$C, 3, FALSE),
1 , VLOOKUP(index(split(K136 ,"", "", FALSE),1,1), Variables!$A:$C, 3, FALSE) + VLOOKUP(index(split(K136 ,"", "", FALSE),1,2), Variables!$A:$C, 3, FALSE),
"&amp;"2 , VLOOKUP(index(split(K136 ,"", "", FALSE),1,1), Variables!$A:$C, 3, FALSE) + VLOOKUP(index(split(K136 ,"", "", FALSE),1,2), Variables!$A:$C, 3, FALSE) + VLOOKUP(index(split(K136 ,"", "", FALSE),1,3), Variables!$A:$C, 3, FALSE)
)"),1.3333333333333333)</f>
        <v>1.333333333</v>
      </c>
      <c r="Y136" s="342">
        <f t="shared" si="2"/>
        <v>7.416666667</v>
      </c>
      <c r="Z136" s="114"/>
      <c r="AA136" s="114"/>
      <c r="AB136" s="114"/>
      <c r="AC136" s="114"/>
      <c r="AD136" s="114"/>
      <c r="AE136" s="114" t="s">
        <v>2572</v>
      </c>
      <c r="AF136" s="114"/>
      <c r="AG136" s="114"/>
      <c r="AH136" s="114"/>
      <c r="AI136" s="114" t="s">
        <v>2572</v>
      </c>
      <c r="AJ136" s="114" t="s">
        <v>2574</v>
      </c>
      <c r="AK136" s="473">
        <v>7.0</v>
      </c>
      <c r="AL136" s="114" t="s">
        <v>2573</v>
      </c>
      <c r="AM136" s="473">
        <v>9.0</v>
      </c>
      <c r="AN136" s="114" t="s">
        <v>2574</v>
      </c>
      <c r="AO136" s="473">
        <v>16.0</v>
      </c>
      <c r="AP136" s="130">
        <f>SUM(
VLOOKUP("Ravage",vote4TRAITS!A:C,3,FALSE)
)</f>
        <v>7.333333333</v>
      </c>
      <c r="AQ136" s="130">
        <f t="shared" si="3"/>
        <v>22.9</v>
      </c>
    </row>
    <row r="137" ht="14.25" customHeight="1">
      <c r="A137" s="137" t="s">
        <v>2628</v>
      </c>
      <c r="B137" s="114" t="s">
        <v>2570</v>
      </c>
      <c r="C137" s="114">
        <v>42.0</v>
      </c>
      <c r="D137" s="114">
        <v>1.0</v>
      </c>
      <c r="E137" s="114">
        <v>2.0</v>
      </c>
      <c r="F137" s="487">
        <v>4.0</v>
      </c>
      <c r="G137" s="488">
        <v>7.0</v>
      </c>
      <c r="H137" s="114" t="s">
        <v>1663</v>
      </c>
      <c r="I137" s="130">
        <f>IFERROR(__xludf.DUMMYFUNCTION("SWITCH(
LEN(H137) - LEN(SUBSTITUTE(H137,"","","""")),
0 , VLOOKUP(H137, Variables!$A:$B, 2, FALSE),
1 , VLOOKUP(index(split(H137 ,"", "", FALSE),1,1), Variables!$A:$B , 2, FALSE) + VLOOKUP(index(split(H137 ,"", "", FALSE),1,2), Variables!$A:$B , 2, FALSE)"&amp;",
2 , VLOOKUP(index(split(H137 ,"", "", FALSE),1,1), Variables!$A:$B , 2, FALSE) + VLOOKUP(index(split(H137 ,"", "", FALSE),1,2), Variables!$A:$B , 2, FALSE) + VLOOKUP(index(split(H137 ,"", "", FALSE),1,3), Variables!$A:$B , 2, FALSE)
)"),1.3333333333333333)</f>
        <v>1.333333333</v>
      </c>
      <c r="J137" s="114" t="s">
        <v>1567</v>
      </c>
      <c r="K137" s="114" t="s">
        <v>1548</v>
      </c>
      <c r="L137" s="130">
        <f>IFERROR(__xludf.DUMMYFUNCTION("SWITCH(
LEN(K137) - LEN(SUBSTITUTE(K137,"","","""")),
0 , VLOOKUP(K137, Variables!$A:$B, 2, FALSE),
1 , VLOOKUP(index(split(K137 ,"", "", FALSE),1,1), Variables!$A:$B , 2, FALSE) + VLOOKUP(index(split(K137 ,"", "", FALSE),1,2), Variables!$A:$B , 2, FALSE)"&amp;",
2 , VLOOKUP(index(split(K137 ,"", "", FALSE),1,1), Variables!$A:$B , 2, FALSE) + VLOOKUP(index(split(K137 ,"", "", FALSE),1,2), Variables!$A:$B , 2, FALSE) + VLOOKUP(index(split(K137 ,"", "", FALSE),1,3), Variables!$A:$B , 2, FALSE)
)
+
IF(J137=""Ranged"&amp;""", 1 , 0)"),3.3333333333333335)</f>
        <v>3.333333333</v>
      </c>
      <c r="M137" s="114" t="s">
        <v>1095</v>
      </c>
      <c r="N137" s="130">
        <f>IFERROR(__xludf.DUMMYFUNCTION("IF(ISBLANK(M137), , 
SWITCH(
LEN(M137)- LEN(SUBSTITUTE(M137,"","","""")), 
0 , VLOOKUP(M137, vote4TRAITS!A:C , 3, FALSE),
1 , VLOOKUP(index(split(M137 ,"", "", FALSE),1,1), vote4TRAITS!A:C , 3, FALSE) + VLOOKUP(index(split(M137 ,"", "", FALSE),1,2), vote4"&amp;"TRAITS!A:C , 3, FALSE),
2 , VLOOKUP(index(split(M137 ,"", "", FALSE),1,1), vote4TRAITS!A:C , 3, FALSE) + VLOOKUP(index(split(M137 ,"", "", FALSE),1,2), vote4TRAITS!A:C , 3, FALSE) + VLOOKUP(index(split(M137 ,"", "", FALSE),1,3), vote4TRAITS!A:C , 3, FALSE"&amp;")
)
)"),7.333333333333333)</f>
        <v>7.333333333</v>
      </c>
      <c r="O137" s="490"/>
      <c r="P137" s="165" t="str">
        <f>IFERROR(__xludf.DUMMYFUNCTION("IF(ISBLANK(O137), , 
SWITCH(
LEN(O137)- LEN(SUBSTITUTE(O137,"","","""")), 
0 , VLOOKUP(O137, vote4ACTIONS!A:C , 3, FALSE),
1 , VLOOKUP(index(split(O137 ,"", "", FALSE),1,1), vote4ACTIONS!A:C , 3, FALSE) + VLOOKUP(index(split(O137 ,"", "", FALSE),1,2), vot"&amp;"e4ACTIONS!A:C , 3, FALSE),
2 , VLOOKUP(index(split(O137 ,"", "", FALSE),1,1), vote4ACTIONS!A:C , 3, FALSE) + VLOOKUP(index(split(O137 ,"", "", FALSE),1,2), vote4ACTIONS!A:C , 3, FALSE) + VLOOKUP(index(split(O137 ,"", "", FALSE),1,3), vote4ACTIONS!A:C , 3,"&amp;" FALSE),
3 , VLOOKUP(index(split(O137 ,"", "", FALSE),1,1), vote4ACTIONS!A:C , 3, FALSE) + VLOOKUP(index(split(O137 ,"", "", FALSE),1,2), vote4ACTIONS!A:C , 3, FALSE) + VLOOKUP(index(split(O137 ,"", "", FALSE),1,3), vote4ACTIONS!A:C , 3, FALSE) + VLOOKUP("&amp;"index(split(O137 ,"", "", FALSE),1,4), vote4ACTIONS!A:C , 3, FALSE)
)
)"),"")</f>
        <v/>
      </c>
      <c r="Q137" s="169" t="s">
        <v>1540</v>
      </c>
      <c r="R137" s="342">
        <f>IF(ISBLANK(Q137),,IFERROR(
IF(IFERROR(SEARCH("SS:",Q137),0) &gt; 0, 
VLOOKUP(SUBSTITUTE(Q137,"SS: ",""),vote4SURGE!$A:$C , 3, FALSE) - 2,
VLOOKUP(SUBSTITUTE(Q137,"S: ",""),vote4SURGE!$A:$C , 3, FALSE)
)
,
IF(IFERROR(SEARCH("SS:",Q137),0) &gt; 0, 
VLOOKUP(A137,vote4SURGE!$A:$C , 3, FALSE) - 2,
VLOOKUP(A137,vote4SURGE!$A:$C , 3, FALSE)
)
))</f>
        <v>5.25</v>
      </c>
      <c r="S137" s="489" t="s">
        <v>1579</v>
      </c>
      <c r="T137" s="342">
        <f>IF(ISBLANK(S137),,IFERROR(
IF(IFERROR(SEARCH("SS:",S137),0) &gt; 0, 
VLOOKUP(SUBSTITUTE(S137,"SS: ",""),vote4SURGE!$A:$C , 3, FALSE) - 2,
VLOOKUP(SUBSTITUTE(S137,"S: ",""),vote4SURGE!$A:$C , 3, FALSE)
)
,
IF(IFERROR(SEARCH("SS:",S137),0) &gt; 0, 
VLOOKUP(A137,vote4SURGE!$A:$C , 3, FALSE) - 2,
VLOOKUP(A137,vote4SURGE!$A:$C , 3, FALSE)
)
))</f>
        <v>2.5</v>
      </c>
      <c r="U137" s="489" t="s">
        <v>1652</v>
      </c>
      <c r="V137" s="343">
        <f>IF(ISBLANK(U137),,IFERROR(
IF(IFERROR(SEARCH("SS:",U137),0) &gt; 0, 
VLOOKUP(SUBSTITUTE(U137,"SS: ",""),vote4SURGE!$A:$C , 3, FALSE) - 2,
VLOOKUP(SUBSTITUTE(U137,"S: ",""),vote4SURGE!$A:$C , 3, FALSE)
)
,
IF(IFERROR(SEARCH("SS:",U137),0) &gt; 0, 
VLOOKUP(A137,vote4SURGE!$A:$C , 3, FALSE) - 2,
VLOOKUP(A137,vote4SURGE!$A:$C , 3, FALSE)
)
))</f>
        <v>4</v>
      </c>
      <c r="W137" s="343">
        <f t="shared" si="1"/>
        <v>3</v>
      </c>
      <c r="X137" s="344">
        <f>IFERROR(__xludf.DUMMYFUNCTION("SWITCH(
LEN(K137) - LEN(SUBSTITUTE(K137,"","","""")),
0 , VLOOKUP(K137, Variables!$A:$C, 3, FALSE),
1 , VLOOKUP(index(split(K137 ,"", "", FALSE),1,1), Variables!$A:$C, 3, FALSE) + VLOOKUP(index(split(K137 ,"", "", FALSE),1,2), Variables!$A:$C, 3, FALSE),
"&amp;"2 , VLOOKUP(index(split(K137 ,"", "", FALSE),1,1), Variables!$A:$C, 3, FALSE) + VLOOKUP(index(split(K137 ,"", "", FALSE),1,2), Variables!$A:$C, 3, FALSE) + VLOOKUP(index(split(K137 ,"", "", FALSE),1,3), Variables!$A:$C, 3, FALSE)
)"),0.8333333333333333)</f>
        <v>0.8333333333</v>
      </c>
      <c r="Y137" s="342">
        <f t="shared" si="2"/>
        <v>7.055555556</v>
      </c>
      <c r="Z137" s="114"/>
      <c r="AA137" s="114"/>
      <c r="AB137" s="114"/>
      <c r="AC137" s="114"/>
      <c r="AD137" s="114"/>
      <c r="AE137" s="114" t="s">
        <v>2572</v>
      </c>
      <c r="AF137" s="114"/>
      <c r="AG137" s="114"/>
      <c r="AH137" s="114"/>
      <c r="AI137" s="114" t="s">
        <v>2572</v>
      </c>
      <c r="AJ137" s="114" t="s">
        <v>2573</v>
      </c>
      <c r="AK137" s="473">
        <v>5.0</v>
      </c>
      <c r="AL137" s="114" t="s">
        <v>2574</v>
      </c>
      <c r="AM137" s="473">
        <v>7.0</v>
      </c>
      <c r="AN137" s="114" t="s">
        <v>2574</v>
      </c>
      <c r="AO137" s="473">
        <v>12.0</v>
      </c>
      <c r="AP137" s="130">
        <f>SUM(
VLOOKUP("Ravage",vote4TRAITS!A:C,3,FALSE)
)</f>
        <v>7.333333333</v>
      </c>
      <c r="AQ137" s="130">
        <f t="shared" si="3"/>
        <v>21.37222222</v>
      </c>
    </row>
    <row r="138" ht="14.25" customHeight="1">
      <c r="A138" s="137" t="s">
        <v>2628</v>
      </c>
      <c r="B138" s="114" t="s">
        <v>2576</v>
      </c>
      <c r="C138" s="114">
        <v>42.0</v>
      </c>
      <c r="D138" s="114">
        <v>1.0</v>
      </c>
      <c r="E138" s="114">
        <v>2.0</v>
      </c>
      <c r="F138" s="487">
        <v>4.0</v>
      </c>
      <c r="G138" s="488">
        <v>5.0</v>
      </c>
      <c r="H138" s="114" t="s">
        <v>1663</v>
      </c>
      <c r="I138" s="130">
        <f>IFERROR(__xludf.DUMMYFUNCTION("SWITCH(
LEN(H138) - LEN(SUBSTITUTE(H138,"","","""")),
0 , VLOOKUP(H138, Variables!$A:$B, 2, FALSE),
1 , VLOOKUP(index(split(H138 ,"", "", FALSE),1,1), Variables!$A:$B , 2, FALSE) + VLOOKUP(index(split(H138 ,"", "", FALSE),1,2), Variables!$A:$B , 2, FALSE)"&amp;",
2 , VLOOKUP(index(split(H138 ,"", "", FALSE),1,1), Variables!$A:$B , 2, FALSE) + VLOOKUP(index(split(H138 ,"", "", FALSE),1,2), Variables!$A:$B , 2, FALSE) + VLOOKUP(index(split(H138 ,"", "", FALSE),1,3), Variables!$A:$B , 2, FALSE)
)"),1.3333333333333333)</f>
        <v>1.333333333</v>
      </c>
      <c r="J138" s="114" t="s">
        <v>1567</v>
      </c>
      <c r="K138" s="114" t="s">
        <v>1548</v>
      </c>
      <c r="L138" s="130">
        <f>IFERROR(__xludf.DUMMYFUNCTION("SWITCH(
LEN(K138) - LEN(SUBSTITUTE(K138,"","","""")),
0 , VLOOKUP(K138, Variables!$A:$B, 2, FALSE),
1 , VLOOKUP(index(split(K138 ,"", "", FALSE),1,1), Variables!$A:$B , 2, FALSE) + VLOOKUP(index(split(K138 ,"", "", FALSE),1,2), Variables!$A:$B , 2, FALSE)"&amp;",
2 , VLOOKUP(index(split(K138 ,"", "", FALSE),1,1), Variables!$A:$B , 2, FALSE) + VLOOKUP(index(split(K138 ,"", "", FALSE),1,2), Variables!$A:$B , 2, FALSE) + VLOOKUP(index(split(K138 ,"", "", FALSE),1,3), Variables!$A:$B , 2, FALSE)
)
+
IF(J138=""Ranged"&amp;""", 1 , 0)"),3.3333333333333335)</f>
        <v>3.333333333</v>
      </c>
      <c r="M138" s="114" t="s">
        <v>1095</v>
      </c>
      <c r="N138" s="130">
        <f>IFERROR(__xludf.DUMMYFUNCTION("IF(ISBLANK(M138), , 
SWITCH(
LEN(M138)- LEN(SUBSTITUTE(M138,"","","""")), 
0 , VLOOKUP(M138, vote4TRAITS!A:C , 3, FALSE),
1 , VLOOKUP(index(split(M138 ,"", "", FALSE),1,1), vote4TRAITS!A:C , 3, FALSE) + VLOOKUP(index(split(M138 ,"", "", FALSE),1,2), vote4"&amp;"TRAITS!A:C , 3, FALSE),
2 , VLOOKUP(index(split(M138 ,"", "", FALSE),1,1), vote4TRAITS!A:C , 3, FALSE) + VLOOKUP(index(split(M138 ,"", "", FALSE),1,2), vote4TRAITS!A:C , 3, FALSE) + VLOOKUP(index(split(M138 ,"", "", FALSE),1,3), vote4TRAITS!A:C , 3, FALSE"&amp;")
)
)"),7.333333333333333)</f>
        <v>7.333333333</v>
      </c>
      <c r="O138" s="490"/>
      <c r="P138" s="165" t="str">
        <f>IFERROR(__xludf.DUMMYFUNCTION("IF(ISBLANK(O138), , 
SWITCH(
LEN(O138)- LEN(SUBSTITUTE(O138,"","","""")), 
0 , VLOOKUP(O138, vote4ACTIONS!A:C , 3, FALSE),
1 , VLOOKUP(index(split(O138 ,"", "", FALSE),1,1), vote4ACTIONS!A:C , 3, FALSE) + VLOOKUP(index(split(O138 ,"", "", FALSE),1,2), vot"&amp;"e4ACTIONS!A:C , 3, FALSE),
2 , VLOOKUP(index(split(O138 ,"", "", FALSE),1,1), vote4ACTIONS!A:C , 3, FALSE) + VLOOKUP(index(split(O138 ,"", "", FALSE),1,2), vote4ACTIONS!A:C , 3, FALSE) + VLOOKUP(index(split(O138 ,"", "", FALSE),1,3), vote4ACTIONS!A:C , 3,"&amp;" FALSE),
3 , VLOOKUP(index(split(O138 ,"", "", FALSE),1,1), vote4ACTIONS!A:C , 3, FALSE) + VLOOKUP(index(split(O138 ,"", "", FALSE),1,2), vote4ACTIONS!A:C , 3, FALSE) + VLOOKUP(index(split(O138 ,"", "", FALSE),1,3), vote4ACTIONS!A:C , 3, FALSE) + VLOOKUP("&amp;"index(split(O138 ,"", "", FALSE),1,4), vote4ACTIONS!A:C , 3, FALSE)
)
)"),"")</f>
        <v/>
      </c>
      <c r="Q138" s="169" t="s">
        <v>1524</v>
      </c>
      <c r="R138" s="342">
        <f>IF(ISBLANK(Q138),,IFERROR(
IF(IFERROR(SEARCH("SS:",Q138),0) &gt; 0, 
VLOOKUP(SUBSTITUTE(Q138,"SS: ",""),vote4SURGE!$A:$C , 3, FALSE) - 2,
VLOOKUP(SUBSTITUTE(Q138,"S: ",""),vote4SURGE!$A:$C , 3, FALSE)
)
,
IF(IFERROR(SEARCH("SS:",Q138),0) &gt; 0, 
VLOOKUP(A138,vote4SURGE!$A:$C , 3, FALSE) - 2,
VLOOKUP(A138,vote4SURGE!$A:$C , 3, FALSE)
)
))</f>
        <v>4.5</v>
      </c>
      <c r="S138" s="169" t="s">
        <v>1579</v>
      </c>
      <c r="T138" s="342">
        <f>IF(ISBLANK(S138),,IFERROR(
IF(IFERROR(SEARCH("SS:",S138),0) &gt; 0, 
VLOOKUP(SUBSTITUTE(S138,"SS: ",""),vote4SURGE!$A:$C , 3, FALSE) - 2,
VLOOKUP(SUBSTITUTE(S138,"S: ",""),vote4SURGE!$A:$C , 3, FALSE)
)
,
IF(IFERROR(SEARCH("SS:",S138),0) &gt; 0, 
VLOOKUP(A138,vote4SURGE!$A:$C , 3, FALSE) - 2,
VLOOKUP(A138,vote4SURGE!$A:$C , 3, FALSE)
)
))</f>
        <v>2.5</v>
      </c>
      <c r="U138" s="341"/>
      <c r="V138" s="343" t="str">
        <f>IF(ISBLANK(U138),,IFERROR(
IF(IFERROR(SEARCH("SS:",U138),0) &gt; 0, 
VLOOKUP(SUBSTITUTE(U138,"SS: ",""),vote4SURGE!$A:$C , 3, FALSE) - 2,
VLOOKUP(SUBSTITUTE(U138,"S: ",""),vote4SURGE!$A:$C , 3, FALSE)
)
,
IF(IFERROR(SEARCH("SS:",U138),0) &gt; 0, 
VLOOKUP(A138,vote4SURGE!$A:$C , 3, FALSE) - 2,
VLOOKUP(A138,vote4SURGE!$A:$C , 3, FALSE)
)
))</f>
        <v/>
      </c>
      <c r="W138" s="343">
        <f t="shared" si="1"/>
        <v>2</v>
      </c>
      <c r="X138" s="344">
        <f>IFERROR(__xludf.DUMMYFUNCTION("SWITCH(
LEN(K138) - LEN(SUBSTITUTE(K138,"","","""")),
0 , VLOOKUP(K138, Variables!$A:$C, 3, FALSE),
1 , VLOOKUP(index(split(K138 ,"", "", FALSE),1,1), Variables!$A:$C, 3, FALSE) + VLOOKUP(index(split(K138 ,"", "", FALSE),1,2), Variables!$A:$C, 3, FALSE),
"&amp;"2 , VLOOKUP(index(split(K138 ,"", "", FALSE),1,1), Variables!$A:$C, 3, FALSE) + VLOOKUP(index(split(K138 ,"", "", FALSE),1,2), Variables!$A:$C, 3, FALSE) + VLOOKUP(index(split(K138 ,"", "", FALSE),1,3), Variables!$A:$C, 3, FALSE)
)"),0.8333333333333333)</f>
        <v>0.8333333333</v>
      </c>
      <c r="Y138" s="342">
        <f t="shared" si="2"/>
        <v>5.541666667</v>
      </c>
      <c r="Z138" s="114"/>
      <c r="AA138" s="114"/>
      <c r="AB138" s="114"/>
      <c r="AC138" s="114"/>
      <c r="AD138" s="114"/>
      <c r="AE138" s="114" t="s">
        <v>2572</v>
      </c>
      <c r="AF138" s="114"/>
      <c r="AG138" s="114"/>
      <c r="AH138" s="114"/>
      <c r="AI138" s="114" t="s">
        <v>2572</v>
      </c>
      <c r="AJ138" s="114" t="s">
        <v>2574</v>
      </c>
      <c r="AK138" s="473">
        <v>5.0</v>
      </c>
      <c r="AL138" s="114" t="s">
        <v>2573</v>
      </c>
      <c r="AM138" s="473">
        <v>7.0</v>
      </c>
      <c r="AN138" s="114" t="s">
        <v>2574</v>
      </c>
      <c r="AO138" s="473">
        <v>12.0</v>
      </c>
      <c r="AP138" s="130">
        <f>SUM(
VLOOKUP("Ravage",vote4TRAITS!A:C,3,FALSE)
)</f>
        <v>7.333333333</v>
      </c>
      <c r="AQ138" s="130">
        <f t="shared" si="3"/>
        <v>17.19166667</v>
      </c>
    </row>
    <row r="139" ht="14.25" customHeight="1">
      <c r="A139" s="137" t="s">
        <v>2629</v>
      </c>
      <c r="B139" s="114" t="s">
        <v>2570</v>
      </c>
      <c r="C139" s="114">
        <v>27.0</v>
      </c>
      <c r="D139" s="114">
        <v>2.0</v>
      </c>
      <c r="E139" s="114">
        <v>1.0</v>
      </c>
      <c r="F139" s="487">
        <v>5.0</v>
      </c>
      <c r="G139" s="488">
        <v>10.0</v>
      </c>
      <c r="H139" s="114" t="s">
        <v>2590</v>
      </c>
      <c r="I139" s="130">
        <f>IFERROR(__xludf.DUMMYFUNCTION("SWITCH(
LEN(H139) - LEN(SUBSTITUTE(H139,"","","""")),
0 , VLOOKUP(H139, Variables!$A:$B, 2, FALSE),
1 , VLOOKUP(index(split(H139 ,"", "", FALSE),1,1), Variables!$A:$B , 2, FALSE) + VLOOKUP(index(split(H139 ,"", "", FALSE),1,2), Variables!$A:$B , 2, FALSE)"&amp;",
2 , VLOOKUP(index(split(H139 ,"", "", FALSE),1,1), Variables!$A:$B , 2, FALSE) + VLOOKUP(index(split(H139 ,"", "", FALSE),1,2), Variables!$A:$B , 2, FALSE) + VLOOKUP(index(split(H139 ,"", "", FALSE),1,3), Variables!$A:$B , 2, FALSE)
)"),2.6666666666666665)</f>
        <v>2.666666667</v>
      </c>
      <c r="J139" s="114" t="s">
        <v>1567</v>
      </c>
      <c r="K139" s="114" t="s">
        <v>1546</v>
      </c>
      <c r="L139" s="130">
        <f>IFERROR(__xludf.DUMMYFUNCTION("SWITCH(
LEN(K139) - LEN(SUBSTITUTE(K139,"","","""")),
0 , VLOOKUP(K139, Variables!$A:$B, 2, FALSE),
1 , VLOOKUP(index(split(K139 ,"", "", FALSE),1,1), Variables!$A:$B , 2, FALSE) + VLOOKUP(index(split(K139 ,"", "", FALSE),1,2), Variables!$A:$B , 2, FALSE)"&amp;",
2 , VLOOKUP(index(split(K139 ,"", "", FALSE),1,1), Variables!$A:$B , 2, FALSE) + VLOOKUP(index(split(K139 ,"", "", FALSE),1,2), Variables!$A:$B , 2, FALSE) + VLOOKUP(index(split(K139 ,"", "", FALSE),1,3), Variables!$A:$B , 2, FALSE)
)
+
IF(J139=""Ranged"&amp;""", 1 , 0)"),4.5)</f>
        <v>4.5</v>
      </c>
      <c r="M139" s="114" t="s">
        <v>1124</v>
      </c>
      <c r="N139" s="130">
        <f>IFERROR(__xludf.DUMMYFUNCTION("IF(ISBLANK(M139), , 
SWITCH(
LEN(M139)- LEN(SUBSTITUTE(M139,"","","""")), 
0 , VLOOKUP(M139, vote4TRAITS!A:C , 3, FALSE),
1 , VLOOKUP(index(split(M139 ,"", "", FALSE),1,1), vote4TRAITS!A:C , 3, FALSE) + VLOOKUP(index(split(M139 ,"", "", FALSE),1,2), vote4"&amp;"TRAITS!A:C , 3, FALSE),
2 , VLOOKUP(index(split(M139 ,"", "", FALSE),1,1), vote4TRAITS!A:C , 3, FALSE) + VLOOKUP(index(split(M139 ,"", "", FALSE),1,2), vote4TRAITS!A:C , 3, FALSE) + VLOOKUP(index(split(M139 ,"", "", FALSE),1,3), vote4TRAITS!A:C , 3, FALSE"&amp;")
)
)"),4.0)</f>
        <v>4</v>
      </c>
      <c r="O139" s="490"/>
      <c r="P139" s="165" t="str">
        <f>IFERROR(__xludf.DUMMYFUNCTION("IF(ISBLANK(O139), , 
SWITCH(
LEN(O139)- LEN(SUBSTITUTE(O139,"","","""")), 
0 , VLOOKUP(O139, vote4ACTIONS!A:C , 3, FALSE),
1 , VLOOKUP(index(split(O139 ,"", "", FALSE),1,1), vote4ACTIONS!A:C , 3, FALSE) + VLOOKUP(index(split(O139 ,"", "", FALSE),1,2), vot"&amp;"e4ACTIONS!A:C , 3, FALSE),
2 , VLOOKUP(index(split(O139 ,"", "", FALSE),1,1), vote4ACTIONS!A:C , 3, FALSE) + VLOOKUP(index(split(O139 ,"", "", FALSE),1,2), vote4ACTIONS!A:C , 3, FALSE) + VLOOKUP(index(split(O139 ,"", "", FALSE),1,3), vote4ACTIONS!A:C , 3,"&amp;" FALSE),
3 , VLOOKUP(index(split(O139 ,"", "", FALSE),1,1), vote4ACTIONS!A:C , 3, FALSE) + VLOOKUP(index(split(O139 ,"", "", FALSE),1,2), vote4ACTIONS!A:C , 3, FALSE) + VLOOKUP(index(split(O139 ,"", "", FALSE),1,3), vote4ACTIONS!A:C , 3, FALSE) + VLOOKUP("&amp;"index(split(O139 ,"", "", FALSE),1,4), vote4ACTIONS!A:C , 3, FALSE)
)
)"),"")</f>
        <v/>
      </c>
      <c r="Q139" s="340" t="s">
        <v>1562</v>
      </c>
      <c r="R139" s="342">
        <f>IF(ISBLANK(Q139),,IFERROR(
IF(IFERROR(SEARCH("SS:",Q139),0) &gt; 0, 
VLOOKUP(SUBSTITUTE(Q139,"SS: ",""),vote4SURGE!$A:$C , 3, FALSE) - 2,
VLOOKUP(SUBSTITUTE(Q139,"S: ",""),vote4SURGE!$A:$C , 3, FALSE)
)
,
IF(IFERROR(SEARCH("SS:",Q139),0) &gt; 0, 
VLOOKUP(A139,vote4SURGE!$A:$C , 3, FALSE) - 2,
VLOOKUP(A139,vote4SURGE!$A:$C , 3, FALSE)
)
))</f>
        <v>3.5</v>
      </c>
      <c r="S139" s="169" t="s">
        <v>2630</v>
      </c>
      <c r="T139" s="342">
        <f>IF(ISBLANK(S139),,IFERROR(
IF(IFERROR(SEARCH("SS:",S139),0) &gt; 0, 
VLOOKUP(SUBSTITUTE(S139,"SS: ",""),vote4SURGE!$A:$C , 3, FALSE) - 2,
VLOOKUP(SUBSTITUTE(S139,"S: ",""),vote4SURGE!$A:$C , 3, FALSE)
)
,
IF(IFERROR(SEARCH("SS:",S139),0) &gt; 0, 
VLOOKUP(A139,vote4SURGE!$A:$C , 3, FALSE) - 2,
VLOOKUP(A139,vote4SURGE!$A:$C , 3, FALSE)
)
))</f>
        <v>5</v>
      </c>
      <c r="U139" s="489"/>
      <c r="V139" s="343" t="str">
        <f>IF(ISBLANK(U139),,IFERROR(
IF(IFERROR(SEARCH("SS:",U139),0) &gt; 0, 
VLOOKUP(SUBSTITUTE(U139,"SS: ",""),vote4SURGE!$A:$C , 3, FALSE) - 2,
VLOOKUP(SUBSTITUTE(U139,"S: ",""),vote4SURGE!$A:$C , 3, FALSE)
)
,
IF(IFERROR(SEARCH("SS:",U139),0) &gt; 0, 
VLOOKUP(A139,vote4SURGE!$A:$C , 3, FALSE) - 2,
VLOOKUP(A139,vote4SURGE!$A:$C , 3, FALSE)
)
))</f>
        <v/>
      </c>
      <c r="W139" s="343">
        <f t="shared" si="1"/>
        <v>2</v>
      </c>
      <c r="X139" s="344">
        <f>IFERROR(__xludf.DUMMYFUNCTION("SWITCH(
LEN(K139) - LEN(SUBSTITUTE(K139,"","","""")),
0 , VLOOKUP(K139, Variables!$A:$C, 3, FALSE),
1 , VLOOKUP(index(split(K139 ,"", "", FALSE),1,1), Variables!$A:$C, 3, FALSE) + VLOOKUP(index(split(K139 ,"", "", FALSE),1,2), Variables!$A:$C, 3, FALSE),
"&amp;"2 , VLOOKUP(index(split(K139 ,"", "", FALSE),1,1), Variables!$A:$C, 3, FALSE) + VLOOKUP(index(split(K139 ,"", "", FALSE),1,2), Variables!$A:$C, 3, FALSE) + VLOOKUP(index(split(K139 ,"", "", FALSE),1,3), Variables!$A:$C, 3, FALSE)
)"),1.3333333333333333)</f>
        <v>1.333333333</v>
      </c>
      <c r="Y139" s="342">
        <f t="shared" si="2"/>
        <v>7.333333333</v>
      </c>
      <c r="Z139" s="114" t="s">
        <v>2572</v>
      </c>
      <c r="AA139" s="114"/>
      <c r="AB139" s="114"/>
      <c r="AC139" s="114"/>
      <c r="AD139" s="114"/>
      <c r="AE139" s="114" t="s">
        <v>2572</v>
      </c>
      <c r="AF139" s="114"/>
      <c r="AG139" s="114"/>
      <c r="AH139" s="114"/>
      <c r="AI139" s="114"/>
      <c r="AJ139" s="164" t="s">
        <v>2573</v>
      </c>
      <c r="AK139" s="473">
        <v>8.0</v>
      </c>
      <c r="AL139" s="164" t="s">
        <v>2574</v>
      </c>
      <c r="AM139" s="473">
        <v>10.0</v>
      </c>
      <c r="AN139" s="164" t="s">
        <v>2574</v>
      </c>
      <c r="AO139" s="473">
        <v>18.0</v>
      </c>
      <c r="AP139" s="130">
        <f>SUM(
VLOOKUP("Ravage",vote4TRAITS!A:C,3,FALSE)
)</f>
        <v>7.333333333</v>
      </c>
      <c r="AQ139" s="130">
        <f t="shared" si="3"/>
        <v>36.81666667</v>
      </c>
    </row>
    <row r="140" ht="14.25" customHeight="1">
      <c r="A140" s="137" t="s">
        <v>2629</v>
      </c>
      <c r="B140" s="114" t="s">
        <v>2576</v>
      </c>
      <c r="C140" s="114">
        <v>27.0</v>
      </c>
      <c r="D140" s="114">
        <v>2.0</v>
      </c>
      <c r="E140" s="114">
        <v>1.0</v>
      </c>
      <c r="F140" s="487">
        <v>5.0</v>
      </c>
      <c r="G140" s="488">
        <v>8.0</v>
      </c>
      <c r="H140" s="114" t="s">
        <v>2590</v>
      </c>
      <c r="I140" s="130">
        <f>IFERROR(__xludf.DUMMYFUNCTION("SWITCH(
LEN(H140) - LEN(SUBSTITUTE(H140,"","","""")),
0 , VLOOKUP(H140, Variables!$A:$B, 2, FALSE),
1 , VLOOKUP(index(split(H140 ,"", "", FALSE),1,1), Variables!$A:$B , 2, FALSE) + VLOOKUP(index(split(H140 ,"", "", FALSE),1,2), Variables!$A:$B , 2, FALSE)"&amp;",
2 , VLOOKUP(index(split(H140 ,"", "", FALSE),1,1), Variables!$A:$B , 2, FALSE) + VLOOKUP(index(split(H140 ,"", "", FALSE),1,2), Variables!$A:$B , 2, FALSE) + VLOOKUP(index(split(H140 ,"", "", FALSE),1,3), Variables!$A:$B , 2, FALSE)
)"),2.6666666666666665)</f>
        <v>2.666666667</v>
      </c>
      <c r="J140" s="114" t="s">
        <v>1567</v>
      </c>
      <c r="K140" s="114" t="s">
        <v>1546</v>
      </c>
      <c r="L140" s="130">
        <f>IFERROR(__xludf.DUMMYFUNCTION("SWITCH(
LEN(K140) - LEN(SUBSTITUTE(K140,"","","""")),
0 , VLOOKUP(K140, Variables!$A:$B, 2, FALSE),
1 , VLOOKUP(index(split(K140 ,"", "", FALSE),1,1), Variables!$A:$B , 2, FALSE) + VLOOKUP(index(split(K140 ,"", "", FALSE),1,2), Variables!$A:$B , 2, FALSE)"&amp;",
2 , VLOOKUP(index(split(K140 ,"", "", FALSE),1,1), Variables!$A:$B , 2, FALSE) + VLOOKUP(index(split(K140 ,"", "", FALSE),1,2), Variables!$A:$B , 2, FALSE) + VLOOKUP(index(split(K140 ,"", "", FALSE),1,3), Variables!$A:$B , 2, FALSE)
)
+
IF(J140=""Ranged"&amp;""", 1 , 0)"),4.5)</f>
        <v>4.5</v>
      </c>
      <c r="M140" s="114" t="s">
        <v>1124</v>
      </c>
      <c r="N140" s="130">
        <f>IFERROR(__xludf.DUMMYFUNCTION("IF(ISBLANK(M140), , 
SWITCH(
LEN(M140)- LEN(SUBSTITUTE(M140,"","","""")), 
0 , VLOOKUP(M140, vote4TRAITS!A:C , 3, FALSE),
1 , VLOOKUP(index(split(M140 ,"", "", FALSE),1,1), vote4TRAITS!A:C , 3, FALSE) + VLOOKUP(index(split(M140 ,"", "", FALSE),1,2), vote4"&amp;"TRAITS!A:C , 3, FALSE),
2 , VLOOKUP(index(split(M140 ,"", "", FALSE),1,1), vote4TRAITS!A:C , 3, FALSE) + VLOOKUP(index(split(M140 ,"", "", FALSE),1,2), vote4TRAITS!A:C , 3, FALSE) + VLOOKUP(index(split(M140 ,"", "", FALSE),1,3), vote4TRAITS!A:C , 3, FALSE"&amp;")
)
)"),4.0)</f>
        <v>4</v>
      </c>
      <c r="O140" s="490"/>
      <c r="P140" s="165" t="str">
        <f>IFERROR(__xludf.DUMMYFUNCTION("IF(ISBLANK(O140), , 
SWITCH(
LEN(O140)- LEN(SUBSTITUTE(O140,"","","""")), 
0 , VLOOKUP(O140, vote4ACTIONS!A:C , 3, FALSE),
1 , VLOOKUP(index(split(O140 ,"", "", FALSE),1,1), vote4ACTIONS!A:C , 3, FALSE) + VLOOKUP(index(split(O140 ,"", "", FALSE),1,2), vot"&amp;"e4ACTIONS!A:C , 3, FALSE),
2 , VLOOKUP(index(split(O140 ,"", "", FALSE),1,1), vote4ACTIONS!A:C , 3, FALSE) + VLOOKUP(index(split(O140 ,"", "", FALSE),1,2), vote4ACTIONS!A:C , 3, FALSE) + VLOOKUP(index(split(O140 ,"", "", FALSE),1,3), vote4ACTIONS!A:C , 3,"&amp;" FALSE),
3 , VLOOKUP(index(split(O140 ,"", "", FALSE),1,1), vote4ACTIONS!A:C , 3, FALSE) + VLOOKUP(index(split(O140 ,"", "", FALSE),1,2), vote4ACTIONS!A:C , 3, FALSE) + VLOOKUP(index(split(O140 ,"", "", FALSE),1,3), vote4ACTIONS!A:C , 3, FALSE) + VLOOKUP("&amp;"index(split(O140 ,"", "", FALSE),1,4), vote4ACTIONS!A:C , 3, FALSE)
)
)"),"")</f>
        <v/>
      </c>
      <c r="Q140" s="340" t="s">
        <v>1562</v>
      </c>
      <c r="R140" s="342">
        <f>IF(ISBLANK(Q140),,IFERROR(
IF(IFERROR(SEARCH("SS:",Q140),0) &gt; 0, 
VLOOKUP(SUBSTITUTE(Q140,"SS: ",""),vote4SURGE!$A:$C , 3, FALSE) - 2,
VLOOKUP(SUBSTITUTE(Q140,"S: ",""),vote4SURGE!$A:$C , 3, FALSE)
)
,
IF(IFERROR(SEARCH("SS:",Q140),0) &gt; 0, 
VLOOKUP(A140,vote4SURGE!$A:$C , 3, FALSE) - 2,
VLOOKUP(A140,vote4SURGE!$A:$C , 3, FALSE)
)
))</f>
        <v>3.5</v>
      </c>
      <c r="S140" s="169" t="s">
        <v>2630</v>
      </c>
      <c r="T140" s="342">
        <f>IF(ISBLANK(S140),,IFERROR(
IF(IFERROR(SEARCH("SS:",S140),0) &gt; 0, 
VLOOKUP(SUBSTITUTE(S140,"SS: ",""),vote4SURGE!$A:$C , 3, FALSE) - 2,
VLOOKUP(SUBSTITUTE(S140,"S: ",""),vote4SURGE!$A:$C , 3, FALSE)
)
,
IF(IFERROR(SEARCH("SS:",S140),0) &gt; 0, 
VLOOKUP(A140,vote4SURGE!$A:$C , 3, FALSE) - 2,
VLOOKUP(A140,vote4SURGE!$A:$C , 3, FALSE)
)
))</f>
        <v>5</v>
      </c>
      <c r="U140" s="341"/>
      <c r="V140" s="343" t="str">
        <f>IF(ISBLANK(U140),,IFERROR(
IF(IFERROR(SEARCH("SS:",U140),0) &gt; 0, 
VLOOKUP(SUBSTITUTE(U140,"SS: ",""),vote4SURGE!$A:$C , 3, FALSE) - 2,
VLOOKUP(SUBSTITUTE(U140,"S: ",""),vote4SURGE!$A:$C , 3, FALSE)
)
,
IF(IFERROR(SEARCH("SS:",U140),0) &gt; 0, 
VLOOKUP(A140,vote4SURGE!$A:$C , 3, FALSE) - 2,
VLOOKUP(A140,vote4SURGE!$A:$C , 3, FALSE)
)
))</f>
        <v/>
      </c>
      <c r="W140" s="343">
        <f t="shared" si="1"/>
        <v>2</v>
      </c>
      <c r="X140" s="344">
        <f>IFERROR(__xludf.DUMMYFUNCTION("SWITCH(
LEN(K140) - LEN(SUBSTITUTE(K140,"","","""")),
0 , VLOOKUP(K140, Variables!$A:$C, 3, FALSE),
1 , VLOOKUP(index(split(K140 ,"", "", FALSE),1,1), Variables!$A:$C, 3, FALSE) + VLOOKUP(index(split(K140 ,"", "", FALSE),1,2), Variables!$A:$C, 3, FALSE),
"&amp;"2 , VLOOKUP(index(split(K140 ,"", "", FALSE),1,1), Variables!$A:$C, 3, FALSE) + VLOOKUP(index(split(K140 ,"", "", FALSE),1,2), Variables!$A:$C, 3, FALSE) + VLOOKUP(index(split(K140 ,"", "", FALSE),1,3), Variables!$A:$C, 3, FALSE)
)"),1.3333333333333333)</f>
        <v>1.333333333</v>
      </c>
      <c r="Y140" s="342">
        <f t="shared" si="2"/>
        <v>7.333333333</v>
      </c>
      <c r="Z140" s="114" t="s">
        <v>2572</v>
      </c>
      <c r="AA140" s="114"/>
      <c r="AB140" s="114"/>
      <c r="AC140" s="114"/>
      <c r="AD140" s="114"/>
      <c r="AE140" s="114" t="s">
        <v>2572</v>
      </c>
      <c r="AF140" s="114"/>
      <c r="AG140" s="114"/>
      <c r="AH140" s="114"/>
      <c r="AI140" s="114"/>
      <c r="AJ140" s="164" t="s">
        <v>2574</v>
      </c>
      <c r="AK140" s="473">
        <v>8.0</v>
      </c>
      <c r="AL140" s="164" t="s">
        <v>2573</v>
      </c>
      <c r="AM140" s="473">
        <v>10.0</v>
      </c>
      <c r="AN140" s="164" t="s">
        <v>2574</v>
      </c>
      <c r="AO140" s="473">
        <v>18.0</v>
      </c>
      <c r="AP140" s="130">
        <f>SUM(
VLOOKUP("Ravage",vote4TRAITS!A:C,3,FALSE)
)</f>
        <v>7.333333333</v>
      </c>
      <c r="AQ140" s="130">
        <f t="shared" si="3"/>
        <v>31.48333333</v>
      </c>
    </row>
    <row r="141" ht="14.25" customHeight="1">
      <c r="A141" s="137" t="s">
        <v>2629</v>
      </c>
      <c r="B141" s="114" t="s">
        <v>2570</v>
      </c>
      <c r="C141" s="114">
        <v>27.0</v>
      </c>
      <c r="D141" s="114">
        <v>1.0</v>
      </c>
      <c r="E141" s="114">
        <v>1.0</v>
      </c>
      <c r="F141" s="487">
        <v>5.0</v>
      </c>
      <c r="G141" s="488">
        <v>9.0</v>
      </c>
      <c r="H141" s="114" t="s">
        <v>2575</v>
      </c>
      <c r="I141" s="130">
        <f>IFERROR(__xludf.DUMMYFUNCTION("SWITCH(
LEN(H141) - LEN(SUBSTITUTE(H141,"","","""")),
0 , VLOOKUP(H141, Variables!$A:$B, 2, FALSE),
1 , VLOOKUP(index(split(H141 ,"", "", FALSE),1,1), Variables!$A:$B , 2, FALSE) + VLOOKUP(index(split(H141 ,"", "", FALSE),1,2), Variables!$A:$B , 2, FALSE)"&amp;",
2 , VLOOKUP(index(split(H141 ,"", "", FALSE),1,1), Variables!$A:$B , 2, FALSE) + VLOOKUP(index(split(H141 ,"", "", FALSE),1,2), Variables!$A:$B , 2, FALSE) + VLOOKUP(index(split(H141 ,"", "", FALSE),1,3), Variables!$A:$B , 2, FALSE)
)"),2.0)</f>
        <v>2</v>
      </c>
      <c r="J141" s="114" t="s">
        <v>1521</v>
      </c>
      <c r="K141" s="114" t="s">
        <v>1548</v>
      </c>
      <c r="L141" s="130">
        <f>IFERROR(__xludf.DUMMYFUNCTION("SWITCH(
LEN(K141) - LEN(SUBSTITUTE(K141,"","","""")),
0 , VLOOKUP(K141, Variables!$A:$B, 2, FALSE),
1 , VLOOKUP(index(split(K141 ,"", "", FALSE),1,1), Variables!$A:$B , 2, FALSE) + VLOOKUP(index(split(K141 ,"", "", FALSE),1,2), Variables!$A:$B , 2, FALSE)"&amp;",
2 , VLOOKUP(index(split(K141 ,"", "", FALSE),1,1), Variables!$A:$B , 2, FALSE) + VLOOKUP(index(split(K141 ,"", "", FALSE),1,2), Variables!$A:$B , 2, FALSE) + VLOOKUP(index(split(K141 ,"", "", FALSE),1,3), Variables!$A:$B , 2, FALSE)
)
+
IF(J141=""Ranged"&amp;""", 1 , 0)"),2.3333333333333335)</f>
        <v>2.333333333</v>
      </c>
      <c r="M141" s="114" t="s">
        <v>1124</v>
      </c>
      <c r="N141" s="130">
        <f>IFERROR(__xludf.DUMMYFUNCTION("IF(ISBLANK(M141), , 
SWITCH(
LEN(M141)- LEN(SUBSTITUTE(M141,"","","""")), 
0 , VLOOKUP(M141, vote4TRAITS!A:C , 3, FALSE),
1 , VLOOKUP(index(split(M141 ,"", "", FALSE),1,1), vote4TRAITS!A:C , 3, FALSE) + VLOOKUP(index(split(M141 ,"", "", FALSE),1,2), vote4"&amp;"TRAITS!A:C , 3, FALSE),
2 , VLOOKUP(index(split(M141 ,"", "", FALSE),1,1), vote4TRAITS!A:C , 3, FALSE) + VLOOKUP(index(split(M141 ,"", "", FALSE),1,2), vote4TRAITS!A:C , 3, FALSE) + VLOOKUP(index(split(M141 ,"", "", FALSE),1,3), vote4TRAITS!A:C , 3, FALSE"&amp;")
)
)"),4.0)</f>
        <v>4</v>
      </c>
      <c r="O141" s="490"/>
      <c r="P141" s="165" t="str">
        <f>IFERROR(__xludf.DUMMYFUNCTION("IF(ISBLANK(O141), , 
SWITCH(
LEN(O141)- LEN(SUBSTITUTE(O141,"","","""")), 
0 , VLOOKUP(O141, vote4ACTIONS!A:C , 3, FALSE),
1 , VLOOKUP(index(split(O141 ,"", "", FALSE),1,1), vote4ACTIONS!A:C , 3, FALSE) + VLOOKUP(index(split(O141 ,"", "", FALSE),1,2), vot"&amp;"e4ACTIONS!A:C , 3, FALSE),
2 , VLOOKUP(index(split(O141 ,"", "", FALSE),1,1), vote4ACTIONS!A:C , 3, FALSE) + VLOOKUP(index(split(O141 ,"", "", FALSE),1,2), vote4ACTIONS!A:C , 3, FALSE) + VLOOKUP(index(split(O141 ,"", "", FALSE),1,3), vote4ACTIONS!A:C , 3,"&amp;" FALSE),
3 , VLOOKUP(index(split(O141 ,"", "", FALSE),1,1), vote4ACTIONS!A:C , 3, FALSE) + VLOOKUP(index(split(O141 ,"", "", FALSE),1,2), vote4ACTIONS!A:C , 3, FALSE) + VLOOKUP(index(split(O141 ,"", "", FALSE),1,3), vote4ACTIONS!A:C , 3, FALSE) + VLOOKUP("&amp;"index(split(O141 ,"", "", FALSE),1,4), vote4ACTIONS!A:C , 3, FALSE)
)
)"),"")</f>
        <v/>
      </c>
      <c r="Q141" s="340" t="s">
        <v>1562</v>
      </c>
      <c r="R141" s="342">
        <f>IF(ISBLANK(Q141),,IFERROR(
IF(IFERROR(SEARCH("SS:",Q141),0) &gt; 0, 
VLOOKUP(SUBSTITUTE(Q141,"SS: ",""),vote4SURGE!$A:$C , 3, FALSE) - 2,
VLOOKUP(SUBSTITUTE(Q141,"S: ",""),vote4SURGE!$A:$C , 3, FALSE)
)
,
IF(IFERROR(SEARCH("SS:",Q141),0) &gt; 0, 
VLOOKUP(A141,vote4SURGE!$A:$C , 3, FALSE) - 2,
VLOOKUP(A141,vote4SURGE!$A:$C , 3, FALSE)
)
))</f>
        <v>3.5</v>
      </c>
      <c r="S141" s="169" t="s">
        <v>2630</v>
      </c>
      <c r="T141" s="342">
        <f>IF(ISBLANK(S141),,IFERROR(
IF(IFERROR(SEARCH("SS:",S141),0) &gt; 0, 
VLOOKUP(SUBSTITUTE(S141,"SS: ",""),vote4SURGE!$A:$C , 3, FALSE) - 2,
VLOOKUP(SUBSTITUTE(S141,"S: ",""),vote4SURGE!$A:$C , 3, FALSE)
)
,
IF(IFERROR(SEARCH("SS:",S141),0) &gt; 0, 
VLOOKUP(A141,vote4SURGE!$A:$C , 3, FALSE) - 2,
VLOOKUP(A141,vote4SURGE!$A:$C , 3, FALSE)
)
))</f>
        <v>5</v>
      </c>
      <c r="U141" s="341"/>
      <c r="V141" s="343" t="str">
        <f>IF(ISBLANK(U141),,IFERROR(
IF(IFERROR(SEARCH("SS:",U141),0) &gt; 0, 
VLOOKUP(SUBSTITUTE(U141,"SS: ",""),vote4SURGE!$A:$C , 3, FALSE) - 2,
VLOOKUP(SUBSTITUTE(U141,"S: ",""),vote4SURGE!$A:$C , 3, FALSE)
)
,
IF(IFERROR(SEARCH("SS:",U141),0) &gt; 0, 
VLOOKUP(A141,vote4SURGE!$A:$C , 3, FALSE) - 2,
VLOOKUP(A141,vote4SURGE!$A:$C , 3, FALSE)
)
))</f>
        <v/>
      </c>
      <c r="W141" s="343">
        <f t="shared" si="1"/>
        <v>2</v>
      </c>
      <c r="X141" s="344">
        <f>IFERROR(__xludf.DUMMYFUNCTION("SWITCH(
LEN(K141) - LEN(SUBSTITUTE(K141,"","","""")),
0 , VLOOKUP(K141, Variables!$A:$C, 3, FALSE),
1 , VLOOKUP(index(split(K141 ,"", "", FALSE),1,1), Variables!$A:$C, 3, FALSE) + VLOOKUP(index(split(K141 ,"", "", FALSE),1,2), Variables!$A:$C, 3, FALSE),
"&amp;"2 , VLOOKUP(index(split(K141 ,"", "", FALSE),1,1), Variables!$A:$C, 3, FALSE) + VLOOKUP(index(split(K141 ,"", "", FALSE),1,2), Variables!$A:$C, 3, FALSE) + VLOOKUP(index(split(K141 ,"", "", FALSE),1,3), Variables!$A:$C, 3, FALSE)
)"),0.8333333333333333)</f>
        <v>0.8333333333</v>
      </c>
      <c r="Y141" s="342">
        <f t="shared" si="2"/>
        <v>6.458333333</v>
      </c>
      <c r="Z141" s="114" t="s">
        <v>2572</v>
      </c>
      <c r="AA141" s="114"/>
      <c r="AB141" s="114"/>
      <c r="AC141" s="114"/>
      <c r="AD141" s="114"/>
      <c r="AE141" s="114" t="s">
        <v>2572</v>
      </c>
      <c r="AF141" s="114"/>
      <c r="AG141" s="114"/>
      <c r="AH141" s="114"/>
      <c r="AI141" s="114"/>
      <c r="AJ141" s="164" t="s">
        <v>2573</v>
      </c>
      <c r="AK141" s="473">
        <v>8.0</v>
      </c>
      <c r="AL141" s="164" t="s">
        <v>2574</v>
      </c>
      <c r="AM141" s="473">
        <v>10.0</v>
      </c>
      <c r="AN141" s="164" t="s">
        <v>2574</v>
      </c>
      <c r="AO141" s="473">
        <v>18.0</v>
      </c>
      <c r="AP141" s="130">
        <f>SUM(
VLOOKUP("Ravage",vote4TRAITS!A:C,3,FALSE)
)</f>
        <v>7.333333333</v>
      </c>
      <c r="AQ141" s="130">
        <f t="shared" si="3"/>
        <v>25.10833333</v>
      </c>
    </row>
    <row r="142" ht="14.25" customHeight="1">
      <c r="A142" s="137" t="s">
        <v>2629</v>
      </c>
      <c r="B142" s="114" t="s">
        <v>2576</v>
      </c>
      <c r="C142" s="114">
        <v>27.0</v>
      </c>
      <c r="D142" s="114">
        <v>1.0</v>
      </c>
      <c r="E142" s="114">
        <v>1.0</v>
      </c>
      <c r="F142" s="487">
        <v>5.0</v>
      </c>
      <c r="G142" s="488">
        <v>7.0</v>
      </c>
      <c r="H142" s="114" t="s">
        <v>2575</v>
      </c>
      <c r="I142" s="130">
        <f>IFERROR(__xludf.DUMMYFUNCTION("SWITCH(
LEN(H142) - LEN(SUBSTITUTE(H142,"","","""")),
0 , VLOOKUP(H142, Variables!$A:$B, 2, FALSE),
1 , VLOOKUP(index(split(H142 ,"", "", FALSE),1,1), Variables!$A:$B , 2, FALSE) + VLOOKUP(index(split(H142 ,"", "", FALSE),1,2), Variables!$A:$B , 2, FALSE)"&amp;",
2 , VLOOKUP(index(split(H142 ,"", "", FALSE),1,1), Variables!$A:$B , 2, FALSE) + VLOOKUP(index(split(H142 ,"", "", FALSE),1,2), Variables!$A:$B , 2, FALSE) + VLOOKUP(index(split(H142 ,"", "", FALSE),1,3), Variables!$A:$B , 2, FALSE)
)"),2.0)</f>
        <v>2</v>
      </c>
      <c r="J142" s="114" t="s">
        <v>1521</v>
      </c>
      <c r="K142" s="114" t="s">
        <v>1548</v>
      </c>
      <c r="L142" s="130">
        <f>IFERROR(__xludf.DUMMYFUNCTION("SWITCH(
LEN(K142) - LEN(SUBSTITUTE(K142,"","","""")),
0 , VLOOKUP(K142, Variables!$A:$B, 2, FALSE),
1 , VLOOKUP(index(split(K142 ,"", "", FALSE),1,1), Variables!$A:$B , 2, FALSE) + VLOOKUP(index(split(K142 ,"", "", FALSE),1,2), Variables!$A:$B , 2, FALSE)"&amp;",
2 , VLOOKUP(index(split(K142 ,"", "", FALSE),1,1), Variables!$A:$B , 2, FALSE) + VLOOKUP(index(split(K142 ,"", "", FALSE),1,2), Variables!$A:$B , 2, FALSE) + VLOOKUP(index(split(K142 ,"", "", FALSE),1,3), Variables!$A:$B , 2, FALSE)
)
+
IF(J142=""Ranged"&amp;""", 1 , 0)"),2.3333333333333335)</f>
        <v>2.333333333</v>
      </c>
      <c r="M142" s="114" t="s">
        <v>1124</v>
      </c>
      <c r="N142" s="130">
        <f>IFERROR(__xludf.DUMMYFUNCTION("IF(ISBLANK(M142), , 
SWITCH(
LEN(M142)- LEN(SUBSTITUTE(M142,"","","""")), 
0 , VLOOKUP(M142, vote4TRAITS!A:C , 3, FALSE),
1 , VLOOKUP(index(split(M142 ,"", "", FALSE),1,1), vote4TRAITS!A:C , 3, FALSE) + VLOOKUP(index(split(M142 ,"", "", FALSE),1,2), vote4"&amp;"TRAITS!A:C , 3, FALSE),
2 , VLOOKUP(index(split(M142 ,"", "", FALSE),1,1), vote4TRAITS!A:C , 3, FALSE) + VLOOKUP(index(split(M142 ,"", "", FALSE),1,2), vote4TRAITS!A:C , 3, FALSE) + VLOOKUP(index(split(M142 ,"", "", FALSE),1,3), vote4TRAITS!A:C , 3, FALSE"&amp;")
)
)"),4.0)</f>
        <v>4</v>
      </c>
      <c r="O142" s="490"/>
      <c r="P142" s="165" t="str">
        <f>IFERROR(__xludf.DUMMYFUNCTION("IF(ISBLANK(O142), , 
SWITCH(
LEN(O142)- LEN(SUBSTITUTE(O142,"","","""")), 
0 , VLOOKUP(O142, vote4ACTIONS!A:C , 3, FALSE),
1 , VLOOKUP(index(split(O142 ,"", "", FALSE),1,1), vote4ACTIONS!A:C , 3, FALSE) + VLOOKUP(index(split(O142 ,"", "", FALSE),1,2), vot"&amp;"e4ACTIONS!A:C , 3, FALSE),
2 , VLOOKUP(index(split(O142 ,"", "", FALSE),1,1), vote4ACTIONS!A:C , 3, FALSE) + VLOOKUP(index(split(O142 ,"", "", FALSE),1,2), vote4ACTIONS!A:C , 3, FALSE) + VLOOKUP(index(split(O142 ,"", "", FALSE),1,3), vote4ACTIONS!A:C , 3,"&amp;" FALSE),
3 , VLOOKUP(index(split(O142 ,"", "", FALSE),1,1), vote4ACTIONS!A:C , 3, FALSE) + VLOOKUP(index(split(O142 ,"", "", FALSE),1,2), vote4ACTIONS!A:C , 3, FALSE) + VLOOKUP(index(split(O142 ,"", "", FALSE),1,3), vote4ACTIONS!A:C , 3, FALSE) + VLOOKUP("&amp;"index(split(O142 ,"", "", FALSE),1,4), vote4ACTIONS!A:C , 3, FALSE)
)
)"),"")</f>
        <v/>
      </c>
      <c r="Q142" s="340" t="s">
        <v>1562</v>
      </c>
      <c r="R142" s="342">
        <f>IF(ISBLANK(Q142),,IFERROR(
IF(IFERROR(SEARCH("SS:",Q142),0) &gt; 0, 
VLOOKUP(SUBSTITUTE(Q142,"SS: ",""),vote4SURGE!$A:$C , 3, FALSE) - 2,
VLOOKUP(SUBSTITUTE(Q142,"S: ",""),vote4SURGE!$A:$C , 3, FALSE)
)
,
IF(IFERROR(SEARCH("SS:",Q142),0) &gt; 0, 
VLOOKUP(A142,vote4SURGE!$A:$C , 3, FALSE) - 2,
VLOOKUP(A142,vote4SURGE!$A:$C , 3, FALSE)
)
))</f>
        <v>3.5</v>
      </c>
      <c r="S142" s="169" t="s">
        <v>2630</v>
      </c>
      <c r="T142" s="342">
        <f>IF(ISBLANK(S142),,IFERROR(
IF(IFERROR(SEARCH("SS:",S142),0) &gt; 0, 
VLOOKUP(SUBSTITUTE(S142,"SS: ",""),vote4SURGE!$A:$C , 3, FALSE) - 2,
VLOOKUP(SUBSTITUTE(S142,"S: ",""),vote4SURGE!$A:$C , 3, FALSE)
)
,
IF(IFERROR(SEARCH("SS:",S142),0) &gt; 0, 
VLOOKUP(A142,vote4SURGE!$A:$C , 3, FALSE) - 2,
VLOOKUP(A142,vote4SURGE!$A:$C , 3, FALSE)
)
))</f>
        <v>5</v>
      </c>
      <c r="U142" s="341"/>
      <c r="V142" s="343" t="str">
        <f>IF(ISBLANK(U142),,IFERROR(
IF(IFERROR(SEARCH("SS:",U142),0) &gt; 0, 
VLOOKUP(SUBSTITUTE(U142,"SS: ",""),vote4SURGE!$A:$C , 3, FALSE) - 2,
VLOOKUP(SUBSTITUTE(U142,"S: ",""),vote4SURGE!$A:$C , 3, FALSE)
)
,
IF(IFERROR(SEARCH("SS:",U142),0) &gt; 0, 
VLOOKUP(A142,vote4SURGE!$A:$C , 3, FALSE) - 2,
VLOOKUP(A142,vote4SURGE!$A:$C , 3, FALSE)
)
))</f>
        <v/>
      </c>
      <c r="W142" s="343">
        <f t="shared" si="1"/>
        <v>2</v>
      </c>
      <c r="X142" s="344">
        <f>IFERROR(__xludf.DUMMYFUNCTION("SWITCH(
LEN(K142) - LEN(SUBSTITUTE(K142,"","","""")),
0 , VLOOKUP(K142, Variables!$A:$C, 3, FALSE),
1 , VLOOKUP(index(split(K142 ,"", "", FALSE),1,1), Variables!$A:$C, 3, FALSE) + VLOOKUP(index(split(K142 ,"", "", FALSE),1,2), Variables!$A:$C, 3, FALSE),
"&amp;"2 , VLOOKUP(index(split(K142 ,"", "", FALSE),1,1), Variables!$A:$C, 3, FALSE) + VLOOKUP(index(split(K142 ,"", "", FALSE),1,2), Variables!$A:$C, 3, FALSE) + VLOOKUP(index(split(K142 ,"", "", FALSE),1,3), Variables!$A:$C, 3, FALSE)
)"),0.8333333333333333)</f>
        <v>0.8333333333</v>
      </c>
      <c r="Y142" s="342">
        <f t="shared" si="2"/>
        <v>6.458333333</v>
      </c>
      <c r="Z142" s="114" t="s">
        <v>2572</v>
      </c>
      <c r="AA142" s="114"/>
      <c r="AB142" s="114"/>
      <c r="AC142" s="114"/>
      <c r="AD142" s="114"/>
      <c r="AE142" s="114" t="s">
        <v>2572</v>
      </c>
      <c r="AF142" s="114"/>
      <c r="AG142" s="114"/>
      <c r="AH142" s="114"/>
      <c r="AI142" s="114"/>
      <c r="AJ142" s="164" t="s">
        <v>2574</v>
      </c>
      <c r="AK142" s="473">
        <v>8.0</v>
      </c>
      <c r="AL142" s="164" t="s">
        <v>2573</v>
      </c>
      <c r="AM142" s="473">
        <v>10.0</v>
      </c>
      <c r="AN142" s="164" t="s">
        <v>2574</v>
      </c>
      <c r="AO142" s="473">
        <v>18.0</v>
      </c>
      <c r="AP142" s="130">
        <f>SUM(
VLOOKUP("Ravage",vote4TRAITS!A:C,3,FALSE)
)</f>
        <v>7.333333333</v>
      </c>
      <c r="AQ142" s="130">
        <f t="shared" si="3"/>
        <v>21.10833333</v>
      </c>
    </row>
    <row r="143" ht="14.25" customHeight="1">
      <c r="A143" s="137" t="s">
        <v>1464</v>
      </c>
      <c r="B143" s="114" t="s">
        <v>2570</v>
      </c>
      <c r="C143" s="114">
        <v>37.0</v>
      </c>
      <c r="D143" s="114">
        <v>2.0</v>
      </c>
      <c r="E143" s="114">
        <v>1.0</v>
      </c>
      <c r="F143" s="487">
        <v>4.0</v>
      </c>
      <c r="G143" s="488">
        <v>9.0</v>
      </c>
      <c r="H143" s="114" t="s">
        <v>2575</v>
      </c>
      <c r="I143" s="130">
        <f>IFERROR(__xludf.DUMMYFUNCTION("SWITCH(
LEN(H143) - LEN(SUBSTITUTE(H143,"","","""")),
0 , VLOOKUP(H143, Variables!$A:$B, 2, FALSE),
1 , VLOOKUP(index(split(H143 ,"", "", FALSE),1,1), Variables!$A:$B , 2, FALSE) + VLOOKUP(index(split(H143 ,"", "", FALSE),1,2), Variables!$A:$B , 2, FALSE)"&amp;",
2 , VLOOKUP(index(split(H143 ,"", "", FALSE),1,1), Variables!$A:$B , 2, FALSE) + VLOOKUP(index(split(H143 ,"", "", FALSE),1,2), Variables!$A:$B , 2, FALSE) + VLOOKUP(index(split(H143 ,"", "", FALSE),1,3), Variables!$A:$B , 2, FALSE)
)"),2.0)</f>
        <v>2</v>
      </c>
      <c r="J143" s="114" t="s">
        <v>1567</v>
      </c>
      <c r="K143" s="114" t="s">
        <v>1546</v>
      </c>
      <c r="L143" s="130">
        <f>IFERROR(__xludf.DUMMYFUNCTION("SWITCH(
LEN(K143) - LEN(SUBSTITUTE(K143,"","","""")),
0 , VLOOKUP(K143, Variables!$A:$B, 2, FALSE),
1 , VLOOKUP(index(split(K143 ,"", "", FALSE),1,1), Variables!$A:$B , 2, FALSE) + VLOOKUP(index(split(K143 ,"", "", FALSE),1,2), Variables!$A:$B , 2, FALSE)"&amp;",
2 , VLOOKUP(index(split(K143 ,"", "", FALSE),1,1), Variables!$A:$B , 2, FALSE) + VLOOKUP(index(split(K143 ,"", "", FALSE),1,2), Variables!$A:$B , 2, FALSE) + VLOOKUP(index(split(K143 ,"", "", FALSE),1,3), Variables!$A:$B , 2, FALSE)
)
+
IF(J143=""Ranged"&amp;""", 1 , 0)"),4.5)</f>
        <v>4.5</v>
      </c>
      <c r="M143" s="114"/>
      <c r="N143" s="130" t="str">
        <f>IFERROR(__xludf.DUMMYFUNCTION("IF(ISBLANK(M143), , 
SWITCH(
LEN(M143)- LEN(SUBSTITUTE(M143,"","","""")), 
0 , VLOOKUP(M143, vote4TRAITS!A:C , 3, FALSE),
1 , VLOOKUP(index(split(M143 ,"", "", FALSE),1,1), vote4TRAITS!A:C , 3, FALSE) + VLOOKUP(index(split(M143 ,"", "", FALSE),1,2), vote4"&amp;"TRAITS!A:C , 3, FALSE),
2 , VLOOKUP(index(split(M143 ,"", "", FALSE),1,1), vote4TRAITS!A:C , 3, FALSE) + VLOOKUP(index(split(M143 ,"", "", FALSE),1,2), vote4TRAITS!A:C , 3, FALSE) + VLOOKUP(index(split(M143 ,"", "", FALSE),1,3), vote4TRAITS!A:C , 3, FALSE"&amp;")
)
)"),"")</f>
        <v/>
      </c>
      <c r="O143" s="490"/>
      <c r="P143" s="165" t="str">
        <f>IFERROR(__xludf.DUMMYFUNCTION("IF(ISBLANK(O143), , 
SWITCH(
LEN(O143)- LEN(SUBSTITUTE(O143,"","","""")), 
0 , VLOOKUP(O143, vote4ACTIONS!A:C , 3, FALSE),
1 , VLOOKUP(index(split(O143 ,"", "", FALSE),1,1), vote4ACTIONS!A:C , 3, FALSE) + VLOOKUP(index(split(O143 ,"", "", FALSE),1,2), vot"&amp;"e4ACTIONS!A:C , 3, FALSE),
2 , VLOOKUP(index(split(O143 ,"", "", FALSE),1,1), vote4ACTIONS!A:C , 3, FALSE) + VLOOKUP(index(split(O143 ,"", "", FALSE),1,2), vote4ACTIONS!A:C , 3, FALSE) + VLOOKUP(index(split(O143 ,"", "", FALSE),1,3), vote4ACTIONS!A:C , 3,"&amp;" FALSE),
3 , VLOOKUP(index(split(O143 ,"", "", FALSE),1,1), vote4ACTIONS!A:C , 3, FALSE) + VLOOKUP(index(split(O143 ,"", "", FALSE),1,2), vote4ACTIONS!A:C , 3, FALSE) + VLOOKUP(index(split(O143 ,"", "", FALSE),1,3), vote4ACTIONS!A:C , 3, FALSE) + VLOOKUP("&amp;"index(split(O143 ,"", "", FALSE),1,4), vote4ACTIONS!A:C , 3, FALSE)
)
)"),"")</f>
        <v/>
      </c>
      <c r="Q143" s="489" t="s">
        <v>1652</v>
      </c>
      <c r="R143" s="342">
        <f>IF(ISBLANK(Q143),,IFERROR(
IF(IFERROR(SEARCH("SS:",Q143),0) &gt; 0, 
VLOOKUP(SUBSTITUTE(Q143,"SS: ",""),vote4SURGE!$A:$C , 3, FALSE) - 2,
VLOOKUP(SUBSTITUTE(Q143,"S: ",""),vote4SURGE!$A:$C , 3, FALSE)
)
,
IF(IFERROR(SEARCH("SS:",Q143),0) &gt; 0, 
VLOOKUP(A143,vote4SURGE!$A:$C , 3, FALSE) - 2,
VLOOKUP(A143,vote4SURGE!$A:$C , 3, FALSE)
)
))</f>
        <v>4</v>
      </c>
      <c r="S143" s="489" t="s">
        <v>1560</v>
      </c>
      <c r="T143" s="342">
        <f>IF(ISBLANK(S143),,IFERROR(
IF(IFERROR(SEARCH("SS:",S143),0) &gt; 0, 
VLOOKUP(SUBSTITUTE(S143,"SS: ",""),vote4SURGE!$A:$C , 3, FALSE) - 2,
VLOOKUP(SUBSTITUTE(S143,"S: ",""),vote4SURGE!$A:$C , 3, FALSE)
)
,
IF(IFERROR(SEARCH("SS:",S143),0) &gt; 0, 
VLOOKUP(A143,vote4SURGE!$A:$C , 3, FALSE) - 2,
VLOOKUP(A143,vote4SURGE!$A:$C , 3, FALSE)
)
))</f>
        <v>4.25</v>
      </c>
      <c r="U143" s="489" t="s">
        <v>1613</v>
      </c>
      <c r="V143" s="343">
        <f>IF(ISBLANK(U143),,IFERROR(
IF(IFERROR(SEARCH("SS:",U143),0) &gt; 0, 
VLOOKUP(SUBSTITUTE(U143,"SS: ",""),vote4SURGE!$A:$C , 3, FALSE) - 2,
VLOOKUP(SUBSTITUTE(U143,"S: ",""),vote4SURGE!$A:$C , 3, FALSE)
)
,
IF(IFERROR(SEARCH("SS:",U143),0) &gt; 0, 
VLOOKUP(A143,vote4SURGE!$A:$C , 3, FALSE) - 2,
VLOOKUP(A143,vote4SURGE!$A:$C , 3, FALSE)
)
))</f>
        <v>4.5</v>
      </c>
      <c r="W143" s="343">
        <f t="shared" si="1"/>
        <v>3</v>
      </c>
      <c r="X143" s="344">
        <f>IFERROR(__xludf.DUMMYFUNCTION("SWITCH(
LEN(K143) - LEN(SUBSTITUTE(K143,"","","""")),
0 , VLOOKUP(K143, Variables!$A:$C, 3, FALSE),
1 , VLOOKUP(index(split(K143 ,"", "", FALSE),1,1), Variables!$A:$C, 3, FALSE) + VLOOKUP(index(split(K143 ,"", "", FALSE),1,2), Variables!$A:$C, 3, FALSE),
"&amp;"2 , VLOOKUP(index(split(K143 ,"", "", FALSE),1,1), Variables!$A:$C, 3, FALSE) + VLOOKUP(index(split(K143 ,"", "", FALSE),1,2), Variables!$A:$C, 3, FALSE) + VLOOKUP(index(split(K143 ,"", "", FALSE),1,3), Variables!$A:$C, 3, FALSE)
)"),1.3333333333333333)</f>
        <v>1.333333333</v>
      </c>
      <c r="Y143" s="342">
        <f t="shared" si="2"/>
        <v>8.166666667</v>
      </c>
      <c r="Z143" s="114" t="s">
        <v>2572</v>
      </c>
      <c r="AA143" s="114"/>
      <c r="AB143" s="114"/>
      <c r="AC143" s="114"/>
      <c r="AD143" s="114" t="s">
        <v>2572</v>
      </c>
      <c r="AE143" s="114"/>
      <c r="AF143" s="114"/>
      <c r="AG143" s="114"/>
      <c r="AH143" s="114"/>
      <c r="AI143" s="114"/>
      <c r="AJ143" s="114" t="s">
        <v>2573</v>
      </c>
      <c r="AK143" s="473">
        <v>12.0</v>
      </c>
      <c r="AL143" s="114" t="s">
        <v>2574</v>
      </c>
      <c r="AM143" s="473">
        <v>15.0</v>
      </c>
      <c r="AN143" s="114" t="s">
        <v>2574</v>
      </c>
      <c r="AO143" s="473">
        <v>21.0</v>
      </c>
      <c r="AP143" s="130">
        <f>SUM(
VLOOKUP("Ravage",vote4TRAITS!A:C,3,FALSE)
)</f>
        <v>7.333333333</v>
      </c>
      <c r="AQ143" s="130">
        <f t="shared" si="3"/>
        <v>24.65333333</v>
      </c>
    </row>
    <row r="144" ht="14.25" customHeight="1">
      <c r="A144" s="137" t="s">
        <v>1464</v>
      </c>
      <c r="B144" s="114" t="s">
        <v>2576</v>
      </c>
      <c r="C144" s="114">
        <v>37.0</v>
      </c>
      <c r="D144" s="114">
        <v>2.0</v>
      </c>
      <c r="E144" s="114">
        <v>1.0</v>
      </c>
      <c r="F144" s="487">
        <v>4.0</v>
      </c>
      <c r="G144" s="488">
        <v>6.0</v>
      </c>
      <c r="H144" s="114" t="s">
        <v>2575</v>
      </c>
      <c r="I144" s="130">
        <f>IFERROR(__xludf.DUMMYFUNCTION("SWITCH(
LEN(H144) - LEN(SUBSTITUTE(H144,"","","""")),
0 , VLOOKUP(H144, Variables!$A:$B, 2, FALSE),
1 , VLOOKUP(index(split(H144 ,"", "", FALSE),1,1), Variables!$A:$B , 2, FALSE) + VLOOKUP(index(split(H144 ,"", "", FALSE),1,2), Variables!$A:$B , 2, FALSE)"&amp;",
2 , VLOOKUP(index(split(H144 ,"", "", FALSE),1,1), Variables!$A:$B , 2, FALSE) + VLOOKUP(index(split(H144 ,"", "", FALSE),1,2), Variables!$A:$B , 2, FALSE) + VLOOKUP(index(split(H144 ,"", "", FALSE),1,3), Variables!$A:$B , 2, FALSE)
)"),2.0)</f>
        <v>2</v>
      </c>
      <c r="J144" s="114" t="s">
        <v>1567</v>
      </c>
      <c r="K144" s="114" t="s">
        <v>1546</v>
      </c>
      <c r="L144" s="130">
        <f>IFERROR(__xludf.DUMMYFUNCTION("SWITCH(
LEN(K144) - LEN(SUBSTITUTE(K144,"","","""")),
0 , VLOOKUP(K144, Variables!$A:$B, 2, FALSE),
1 , VLOOKUP(index(split(K144 ,"", "", FALSE),1,1), Variables!$A:$B , 2, FALSE) + VLOOKUP(index(split(K144 ,"", "", FALSE),1,2), Variables!$A:$B , 2, FALSE)"&amp;",
2 , VLOOKUP(index(split(K144 ,"", "", FALSE),1,1), Variables!$A:$B , 2, FALSE) + VLOOKUP(index(split(K144 ,"", "", FALSE),1,2), Variables!$A:$B , 2, FALSE) + VLOOKUP(index(split(K144 ,"", "", FALSE),1,3), Variables!$A:$B , 2, FALSE)
)
+
IF(J144=""Ranged"&amp;""", 1 , 0)"),4.5)</f>
        <v>4.5</v>
      </c>
      <c r="M144" s="114"/>
      <c r="N144" s="130" t="str">
        <f>IFERROR(__xludf.DUMMYFUNCTION("IF(ISBLANK(M144), , 
SWITCH(
LEN(M144)- LEN(SUBSTITUTE(M144,"","","""")), 
0 , VLOOKUP(M144, vote4TRAITS!A:C , 3, FALSE),
1 , VLOOKUP(index(split(M144 ,"", "", FALSE),1,1), vote4TRAITS!A:C , 3, FALSE) + VLOOKUP(index(split(M144 ,"", "", FALSE),1,2), vote4"&amp;"TRAITS!A:C , 3, FALSE),
2 , VLOOKUP(index(split(M144 ,"", "", FALSE),1,1), vote4TRAITS!A:C , 3, FALSE) + VLOOKUP(index(split(M144 ,"", "", FALSE),1,2), vote4TRAITS!A:C , 3, FALSE) + VLOOKUP(index(split(M144 ,"", "", FALSE),1,3), vote4TRAITS!A:C , 3, FALSE"&amp;")
)
)"),"")</f>
        <v/>
      </c>
      <c r="O144" s="490"/>
      <c r="P144" s="165" t="str">
        <f>IFERROR(__xludf.DUMMYFUNCTION("IF(ISBLANK(O144), , 
SWITCH(
LEN(O144)- LEN(SUBSTITUTE(O144,"","","""")), 
0 , VLOOKUP(O144, vote4ACTIONS!A:C , 3, FALSE),
1 , VLOOKUP(index(split(O144 ,"", "", FALSE),1,1), vote4ACTIONS!A:C , 3, FALSE) + VLOOKUP(index(split(O144 ,"", "", FALSE),1,2), vot"&amp;"e4ACTIONS!A:C , 3, FALSE),
2 , VLOOKUP(index(split(O144 ,"", "", FALSE),1,1), vote4ACTIONS!A:C , 3, FALSE) + VLOOKUP(index(split(O144 ,"", "", FALSE),1,2), vote4ACTIONS!A:C , 3, FALSE) + VLOOKUP(index(split(O144 ,"", "", FALSE),1,3), vote4ACTIONS!A:C , 3,"&amp;" FALSE),
3 , VLOOKUP(index(split(O144 ,"", "", FALSE),1,1), vote4ACTIONS!A:C , 3, FALSE) + VLOOKUP(index(split(O144 ,"", "", FALSE),1,2), vote4ACTIONS!A:C , 3, FALSE) + VLOOKUP(index(split(O144 ,"", "", FALSE),1,3), vote4ACTIONS!A:C , 3, FALSE) + VLOOKUP("&amp;"index(split(O144 ,"", "", FALSE),1,4), vote4ACTIONS!A:C , 3, FALSE)
)
)"),"")</f>
        <v/>
      </c>
      <c r="Q144" s="489" t="s">
        <v>1652</v>
      </c>
      <c r="R144" s="342">
        <f>IF(ISBLANK(Q144),,IFERROR(
IF(IFERROR(SEARCH("SS:",Q144),0) &gt; 0, 
VLOOKUP(SUBSTITUTE(Q144,"SS: ",""),vote4SURGE!$A:$C , 3, FALSE) - 2,
VLOOKUP(SUBSTITUTE(Q144,"S: ",""),vote4SURGE!$A:$C , 3, FALSE)
)
,
IF(IFERROR(SEARCH("SS:",Q144),0) &gt; 0, 
VLOOKUP(A144,vote4SURGE!$A:$C , 3, FALSE) - 2,
VLOOKUP(A144,vote4SURGE!$A:$C , 3, FALSE)
)
))</f>
        <v>4</v>
      </c>
      <c r="S144" s="489" t="s">
        <v>1613</v>
      </c>
      <c r="T144" s="342">
        <f>IF(ISBLANK(S144),,IFERROR(
IF(IFERROR(SEARCH("SS:",S144),0) &gt; 0, 
VLOOKUP(SUBSTITUTE(S144,"SS: ",""),vote4SURGE!$A:$C , 3, FALSE) - 2,
VLOOKUP(SUBSTITUTE(S144,"S: ",""),vote4SURGE!$A:$C , 3, FALSE)
)
,
IF(IFERROR(SEARCH("SS:",S144),0) &gt; 0, 
VLOOKUP(A144,vote4SURGE!$A:$C , 3, FALSE) - 2,
VLOOKUP(A144,vote4SURGE!$A:$C , 3, FALSE)
)
))</f>
        <v>4.5</v>
      </c>
      <c r="U144" s="341"/>
      <c r="V144" s="343" t="str">
        <f>IF(ISBLANK(U144),,IFERROR(
IF(IFERROR(SEARCH("SS:",U144),0) &gt; 0, 
VLOOKUP(SUBSTITUTE(U144,"SS: ",""),vote4SURGE!$A:$C , 3, FALSE) - 2,
VLOOKUP(SUBSTITUTE(U144,"S: ",""),vote4SURGE!$A:$C , 3, FALSE)
)
,
IF(IFERROR(SEARCH("SS:",U144),0) &gt; 0, 
VLOOKUP(A144,vote4SURGE!$A:$C , 3, FALSE) - 2,
VLOOKUP(A144,vote4SURGE!$A:$C , 3, FALSE)
)
))</f>
        <v/>
      </c>
      <c r="W144" s="343">
        <f t="shared" si="1"/>
        <v>2</v>
      </c>
      <c r="X144" s="344">
        <f>IFERROR(__xludf.DUMMYFUNCTION("SWITCH(
LEN(K144) - LEN(SUBSTITUTE(K144,"","","""")),
0 , VLOOKUP(K144, Variables!$A:$C, 3, FALSE),
1 , VLOOKUP(index(split(K144 ,"", "", FALSE),1,1), Variables!$A:$C, 3, FALSE) + VLOOKUP(index(split(K144 ,"", "", FALSE),1,2), Variables!$A:$C, 3, FALSE),
"&amp;"2 , VLOOKUP(index(split(K144 ,"", "", FALSE),1,1), Variables!$A:$C, 3, FALSE) + VLOOKUP(index(split(K144 ,"", "", FALSE),1,2), Variables!$A:$C, 3, FALSE) + VLOOKUP(index(split(K144 ,"", "", FALSE),1,3), Variables!$A:$C, 3, FALSE)
)"),1.3333333333333333)</f>
        <v>1.333333333</v>
      </c>
      <c r="Y144" s="342">
        <f t="shared" si="2"/>
        <v>7.166666667</v>
      </c>
      <c r="Z144" s="114" t="s">
        <v>2572</v>
      </c>
      <c r="AA144" s="114"/>
      <c r="AB144" s="114"/>
      <c r="AC144" s="114"/>
      <c r="AD144" s="114" t="s">
        <v>2572</v>
      </c>
      <c r="AE144" s="114"/>
      <c r="AF144" s="114"/>
      <c r="AG144" s="114"/>
      <c r="AH144" s="114"/>
      <c r="AI144" s="114"/>
      <c r="AJ144" s="114" t="s">
        <v>369</v>
      </c>
      <c r="AK144" s="473">
        <v>12.0</v>
      </c>
      <c r="AL144" s="114" t="s">
        <v>2574</v>
      </c>
      <c r="AM144" s="473">
        <v>15.0</v>
      </c>
      <c r="AN144" s="114" t="s">
        <v>369</v>
      </c>
      <c r="AO144" s="473">
        <v>21.0</v>
      </c>
      <c r="AP144" s="130">
        <f>SUM(
VLOOKUP("Ravage",vote4TRAITS!A:C,3,FALSE)
)</f>
        <v>7.333333333</v>
      </c>
      <c r="AQ144" s="130">
        <f t="shared" si="3"/>
        <v>17.65333333</v>
      </c>
    </row>
    <row r="145" ht="14.25" customHeight="1">
      <c r="A145" s="137" t="s">
        <v>1464</v>
      </c>
      <c r="B145" s="114" t="s">
        <v>2570</v>
      </c>
      <c r="C145" s="114">
        <v>37.0</v>
      </c>
      <c r="D145" s="114">
        <v>1.0</v>
      </c>
      <c r="E145" s="114">
        <v>1.0</v>
      </c>
      <c r="F145" s="487">
        <v>4.0</v>
      </c>
      <c r="G145" s="488">
        <v>6.0</v>
      </c>
      <c r="H145" s="114" t="s">
        <v>1663</v>
      </c>
      <c r="I145" s="130">
        <f>IFERROR(__xludf.DUMMYFUNCTION("SWITCH(
LEN(H145) - LEN(SUBSTITUTE(H145,"","","""")),
0 , VLOOKUP(H145, Variables!$A:$B, 2, FALSE),
1 , VLOOKUP(index(split(H145 ,"", "", FALSE),1,1), Variables!$A:$B , 2, FALSE) + VLOOKUP(index(split(H145 ,"", "", FALSE),1,2), Variables!$A:$B , 2, FALSE)"&amp;",
2 , VLOOKUP(index(split(H145 ,"", "", FALSE),1,1), Variables!$A:$B , 2, FALSE) + VLOOKUP(index(split(H145 ,"", "", FALSE),1,2), Variables!$A:$B , 2, FALSE) + VLOOKUP(index(split(H145 ,"", "", FALSE),1,3), Variables!$A:$B , 2, FALSE)
)"),1.3333333333333333)</f>
        <v>1.333333333</v>
      </c>
      <c r="J145" s="114" t="s">
        <v>1567</v>
      </c>
      <c r="K145" s="114" t="s">
        <v>1548</v>
      </c>
      <c r="L145" s="130">
        <f>IFERROR(__xludf.DUMMYFUNCTION("SWITCH(
LEN(K145) - LEN(SUBSTITUTE(K145,"","","""")),
0 , VLOOKUP(K145, Variables!$A:$B, 2, FALSE),
1 , VLOOKUP(index(split(K145 ,"", "", FALSE),1,1), Variables!$A:$B , 2, FALSE) + VLOOKUP(index(split(K145 ,"", "", FALSE),1,2), Variables!$A:$B , 2, FALSE)"&amp;",
2 , VLOOKUP(index(split(K145 ,"", "", FALSE),1,1), Variables!$A:$B , 2, FALSE) + VLOOKUP(index(split(K145 ,"", "", FALSE),1,2), Variables!$A:$B , 2, FALSE) + VLOOKUP(index(split(K145 ,"", "", FALSE),1,3), Variables!$A:$B , 2, FALSE)
)
+
IF(J145=""Ranged"&amp;""", 1 , 0)"),3.3333333333333335)</f>
        <v>3.333333333</v>
      </c>
      <c r="M145" s="114"/>
      <c r="N145" s="130" t="str">
        <f>IFERROR(__xludf.DUMMYFUNCTION("IF(ISBLANK(M145), , 
SWITCH(
LEN(M145)- LEN(SUBSTITUTE(M145,"","","""")), 
0 , VLOOKUP(M145, vote4TRAITS!A:C , 3, FALSE),
1 , VLOOKUP(index(split(M145 ,"", "", FALSE),1,1), vote4TRAITS!A:C , 3, FALSE) + VLOOKUP(index(split(M145 ,"", "", FALSE),1,2), vote4"&amp;"TRAITS!A:C , 3, FALSE),
2 , VLOOKUP(index(split(M145 ,"", "", FALSE),1,1), vote4TRAITS!A:C , 3, FALSE) + VLOOKUP(index(split(M145 ,"", "", FALSE),1,2), vote4TRAITS!A:C , 3, FALSE) + VLOOKUP(index(split(M145 ,"", "", FALSE),1,3), vote4TRAITS!A:C , 3, FALSE"&amp;")
)
)"),"")</f>
        <v/>
      </c>
      <c r="O145" s="490"/>
      <c r="P145" s="165" t="str">
        <f>IFERROR(__xludf.DUMMYFUNCTION("IF(ISBLANK(O145), , 
SWITCH(
LEN(O145)- LEN(SUBSTITUTE(O145,"","","""")), 
0 , VLOOKUP(O145, vote4ACTIONS!A:C , 3, FALSE),
1 , VLOOKUP(index(split(O145 ,"", "", FALSE),1,1), vote4ACTIONS!A:C , 3, FALSE) + VLOOKUP(index(split(O145 ,"", "", FALSE),1,2), vot"&amp;"e4ACTIONS!A:C , 3, FALSE),
2 , VLOOKUP(index(split(O145 ,"", "", FALSE),1,1), vote4ACTIONS!A:C , 3, FALSE) + VLOOKUP(index(split(O145 ,"", "", FALSE),1,2), vote4ACTIONS!A:C , 3, FALSE) + VLOOKUP(index(split(O145 ,"", "", FALSE),1,3), vote4ACTIONS!A:C , 3,"&amp;" FALSE),
3 , VLOOKUP(index(split(O145 ,"", "", FALSE),1,1), vote4ACTIONS!A:C , 3, FALSE) + VLOOKUP(index(split(O145 ,"", "", FALSE),1,2), vote4ACTIONS!A:C , 3, FALSE) + VLOOKUP(index(split(O145 ,"", "", FALSE),1,3), vote4ACTIONS!A:C , 3, FALSE) + VLOOKUP("&amp;"index(split(O145 ,"", "", FALSE),1,4), vote4ACTIONS!A:C , 3, FALSE)
)
)"),"")</f>
        <v/>
      </c>
      <c r="Q145" s="489" t="s">
        <v>1652</v>
      </c>
      <c r="R145" s="342">
        <f>IF(ISBLANK(Q145),,IFERROR(
IF(IFERROR(SEARCH("SS:",Q145),0) &gt; 0, 
VLOOKUP(SUBSTITUTE(Q145,"SS: ",""),vote4SURGE!$A:$C , 3, FALSE) - 2,
VLOOKUP(SUBSTITUTE(Q145,"S: ",""),vote4SURGE!$A:$C , 3, FALSE)
)
,
IF(IFERROR(SEARCH("SS:",Q145),0) &gt; 0, 
VLOOKUP(A145,vote4SURGE!$A:$C , 3, FALSE) - 2,
VLOOKUP(A145,vote4SURGE!$A:$C , 3, FALSE)
)
))</f>
        <v>4</v>
      </c>
      <c r="S145" s="489" t="s">
        <v>1560</v>
      </c>
      <c r="T145" s="342">
        <f>IF(ISBLANK(S145),,IFERROR(
IF(IFERROR(SEARCH("SS:",S145),0) &gt; 0, 
VLOOKUP(SUBSTITUTE(S145,"SS: ",""),vote4SURGE!$A:$C , 3, FALSE) - 2,
VLOOKUP(SUBSTITUTE(S145,"S: ",""),vote4SURGE!$A:$C , 3, FALSE)
)
,
IF(IFERROR(SEARCH("SS:",S145),0) &gt; 0, 
VLOOKUP(A145,vote4SURGE!$A:$C , 3, FALSE) - 2,
VLOOKUP(A145,vote4SURGE!$A:$C , 3, FALSE)
)
))</f>
        <v>4.25</v>
      </c>
      <c r="U145" s="489" t="s">
        <v>1613</v>
      </c>
      <c r="V145" s="343">
        <f>IF(ISBLANK(U145),,IFERROR(
IF(IFERROR(SEARCH("SS:",U145),0) &gt; 0, 
VLOOKUP(SUBSTITUTE(U145,"SS: ",""),vote4SURGE!$A:$C , 3, FALSE) - 2,
VLOOKUP(SUBSTITUTE(U145,"S: ",""),vote4SURGE!$A:$C , 3, FALSE)
)
,
IF(IFERROR(SEARCH("SS:",U145),0) &gt; 0, 
VLOOKUP(A145,vote4SURGE!$A:$C , 3, FALSE) - 2,
VLOOKUP(A145,vote4SURGE!$A:$C , 3, FALSE)
)
))</f>
        <v>4.5</v>
      </c>
      <c r="W145" s="343">
        <f t="shared" si="1"/>
        <v>3</v>
      </c>
      <c r="X145" s="344">
        <f>IFERROR(__xludf.DUMMYFUNCTION("SWITCH(
LEN(K145) - LEN(SUBSTITUTE(K145,"","","""")),
0 , VLOOKUP(K145, Variables!$A:$C, 3, FALSE),
1 , VLOOKUP(index(split(K145 ,"", "", FALSE),1,1), Variables!$A:$C, 3, FALSE) + VLOOKUP(index(split(K145 ,"", "", FALSE),1,2), Variables!$A:$C, 3, FALSE),
"&amp;"2 , VLOOKUP(index(split(K145 ,"", "", FALSE),1,1), Variables!$A:$C, 3, FALSE) + VLOOKUP(index(split(K145 ,"", "", FALSE),1,2), Variables!$A:$C, 3, FALSE) + VLOOKUP(index(split(K145 ,"", "", FALSE),1,3), Variables!$A:$C, 3, FALSE)
)"),0.8333333333333333)</f>
        <v>0.8333333333</v>
      </c>
      <c r="Y145" s="342">
        <f t="shared" si="2"/>
        <v>6.791666667</v>
      </c>
      <c r="Z145" s="114" t="s">
        <v>2572</v>
      </c>
      <c r="AA145" s="114"/>
      <c r="AB145" s="114"/>
      <c r="AC145" s="114"/>
      <c r="AD145" s="114" t="s">
        <v>2572</v>
      </c>
      <c r="AE145" s="114"/>
      <c r="AF145" s="114"/>
      <c r="AG145" s="114"/>
      <c r="AH145" s="114"/>
      <c r="AI145" s="114"/>
      <c r="AJ145" s="114" t="s">
        <v>2573</v>
      </c>
      <c r="AK145" s="473">
        <v>8.0</v>
      </c>
      <c r="AL145" s="114" t="s">
        <v>2574</v>
      </c>
      <c r="AM145" s="473">
        <v>10.0</v>
      </c>
      <c r="AN145" s="114" t="s">
        <v>2574</v>
      </c>
      <c r="AO145" s="473">
        <v>14.0</v>
      </c>
      <c r="AP145" s="130">
        <f>SUM(
VLOOKUP("Ravage",vote4TRAITS!A:C,3,FALSE)
)</f>
        <v>7.333333333</v>
      </c>
      <c r="AQ145" s="130">
        <f t="shared" si="3"/>
        <v>12.11166667</v>
      </c>
    </row>
    <row r="146" ht="14.25" customHeight="1">
      <c r="A146" s="137" t="s">
        <v>1464</v>
      </c>
      <c r="B146" s="114" t="s">
        <v>2576</v>
      </c>
      <c r="C146" s="114">
        <v>37.0</v>
      </c>
      <c r="D146" s="114">
        <v>1.0</v>
      </c>
      <c r="E146" s="114">
        <v>1.0</v>
      </c>
      <c r="F146" s="487">
        <v>4.0</v>
      </c>
      <c r="G146" s="488">
        <v>4.0</v>
      </c>
      <c r="H146" s="114" t="s">
        <v>1663</v>
      </c>
      <c r="I146" s="130">
        <f>IFERROR(__xludf.DUMMYFUNCTION("SWITCH(
LEN(H146) - LEN(SUBSTITUTE(H146,"","","""")),
0 , VLOOKUP(H146, Variables!$A:$B, 2, FALSE),
1 , VLOOKUP(index(split(H146 ,"", "", FALSE),1,1), Variables!$A:$B , 2, FALSE) + VLOOKUP(index(split(H146 ,"", "", FALSE),1,2), Variables!$A:$B , 2, FALSE)"&amp;",
2 , VLOOKUP(index(split(H146 ,"", "", FALSE),1,1), Variables!$A:$B , 2, FALSE) + VLOOKUP(index(split(H146 ,"", "", FALSE),1,2), Variables!$A:$B , 2, FALSE) + VLOOKUP(index(split(H146 ,"", "", FALSE),1,3), Variables!$A:$B , 2, FALSE)
)"),1.3333333333333333)</f>
        <v>1.333333333</v>
      </c>
      <c r="J146" s="114" t="s">
        <v>1567</v>
      </c>
      <c r="K146" s="114" t="s">
        <v>1548</v>
      </c>
      <c r="L146" s="130">
        <f>IFERROR(__xludf.DUMMYFUNCTION("SWITCH(
LEN(K146) - LEN(SUBSTITUTE(K146,"","","""")),
0 , VLOOKUP(K146, Variables!$A:$B, 2, FALSE),
1 , VLOOKUP(index(split(K146 ,"", "", FALSE),1,1), Variables!$A:$B , 2, FALSE) + VLOOKUP(index(split(K146 ,"", "", FALSE),1,2), Variables!$A:$B , 2, FALSE)"&amp;",
2 , VLOOKUP(index(split(K146 ,"", "", FALSE),1,1), Variables!$A:$B , 2, FALSE) + VLOOKUP(index(split(K146 ,"", "", FALSE),1,2), Variables!$A:$B , 2, FALSE) + VLOOKUP(index(split(K146 ,"", "", FALSE),1,3), Variables!$A:$B , 2, FALSE)
)
+
IF(J146=""Ranged"&amp;""", 1 , 0)"),3.3333333333333335)</f>
        <v>3.333333333</v>
      </c>
      <c r="M146" s="114"/>
      <c r="N146" s="130" t="str">
        <f>IFERROR(__xludf.DUMMYFUNCTION("IF(ISBLANK(M146), , 
SWITCH(
LEN(M146)- LEN(SUBSTITUTE(M146,"","","""")), 
0 , VLOOKUP(M146, vote4TRAITS!A:C , 3, FALSE),
1 , VLOOKUP(index(split(M146 ,"", "", FALSE),1,1), vote4TRAITS!A:C , 3, FALSE) + VLOOKUP(index(split(M146 ,"", "", FALSE),1,2), vote4"&amp;"TRAITS!A:C , 3, FALSE),
2 , VLOOKUP(index(split(M146 ,"", "", FALSE),1,1), vote4TRAITS!A:C , 3, FALSE) + VLOOKUP(index(split(M146 ,"", "", FALSE),1,2), vote4TRAITS!A:C , 3, FALSE) + VLOOKUP(index(split(M146 ,"", "", FALSE),1,3), vote4TRAITS!A:C , 3, FALSE"&amp;")
)
)"),"")</f>
        <v/>
      </c>
      <c r="O146" s="490"/>
      <c r="P146" s="165" t="str">
        <f>IFERROR(__xludf.DUMMYFUNCTION("IF(ISBLANK(O146), , 
SWITCH(
LEN(O146)- LEN(SUBSTITUTE(O146,"","","""")), 
0 , VLOOKUP(O146, vote4ACTIONS!A:C , 3, FALSE),
1 , VLOOKUP(index(split(O146 ,"", "", FALSE),1,1), vote4ACTIONS!A:C , 3, FALSE) + VLOOKUP(index(split(O146 ,"", "", FALSE),1,2), vot"&amp;"e4ACTIONS!A:C , 3, FALSE),
2 , VLOOKUP(index(split(O146 ,"", "", FALSE),1,1), vote4ACTIONS!A:C , 3, FALSE) + VLOOKUP(index(split(O146 ,"", "", FALSE),1,2), vote4ACTIONS!A:C , 3, FALSE) + VLOOKUP(index(split(O146 ,"", "", FALSE),1,3), vote4ACTIONS!A:C , 3,"&amp;" FALSE),
3 , VLOOKUP(index(split(O146 ,"", "", FALSE),1,1), vote4ACTIONS!A:C , 3, FALSE) + VLOOKUP(index(split(O146 ,"", "", FALSE),1,2), vote4ACTIONS!A:C , 3, FALSE) + VLOOKUP(index(split(O146 ,"", "", FALSE),1,3), vote4ACTIONS!A:C , 3, FALSE) + VLOOKUP("&amp;"index(split(O146 ,"", "", FALSE),1,4), vote4ACTIONS!A:C , 3, FALSE)
)
)"),"")</f>
        <v/>
      </c>
      <c r="Q146" s="489" t="s">
        <v>1652</v>
      </c>
      <c r="R146" s="342">
        <f>IF(ISBLANK(Q146),,IFERROR(
IF(IFERROR(SEARCH("SS:",Q146),0) &gt; 0, 
VLOOKUP(SUBSTITUTE(Q146,"SS: ",""),vote4SURGE!$A:$C , 3, FALSE) - 2,
VLOOKUP(SUBSTITUTE(Q146,"S: ",""),vote4SURGE!$A:$C , 3, FALSE)
)
,
IF(IFERROR(SEARCH("SS:",Q146),0) &gt; 0, 
VLOOKUP(A146,vote4SURGE!$A:$C , 3, FALSE) - 2,
VLOOKUP(A146,vote4SURGE!$A:$C , 3, FALSE)
)
))</f>
        <v>4</v>
      </c>
      <c r="S146" s="489" t="s">
        <v>1613</v>
      </c>
      <c r="T146" s="342">
        <f>IF(ISBLANK(S146),,IFERROR(
IF(IFERROR(SEARCH("SS:",S146),0) &gt; 0, 
VLOOKUP(SUBSTITUTE(S146,"SS: ",""),vote4SURGE!$A:$C , 3, FALSE) - 2,
VLOOKUP(SUBSTITUTE(S146,"S: ",""),vote4SURGE!$A:$C , 3, FALSE)
)
,
IF(IFERROR(SEARCH("SS:",S146),0) &gt; 0, 
VLOOKUP(A146,vote4SURGE!$A:$C , 3, FALSE) - 2,
VLOOKUP(A146,vote4SURGE!$A:$C , 3, FALSE)
)
))</f>
        <v>4.5</v>
      </c>
      <c r="U146" s="164"/>
      <c r="V146" s="343" t="str">
        <f>IF(ISBLANK(U146),,IFERROR(
IF(IFERROR(SEARCH("SS:",U146),0) &gt; 0, 
VLOOKUP(SUBSTITUTE(U146,"SS: ",""),vote4SURGE!$A:$C , 3, FALSE) - 2,
VLOOKUP(SUBSTITUTE(U146,"S: ",""),vote4SURGE!$A:$C , 3, FALSE)
)
,
IF(IFERROR(SEARCH("SS:",U146),0) &gt; 0, 
VLOOKUP(A146,vote4SURGE!$A:$C , 3, FALSE) - 2,
VLOOKUP(A146,vote4SURGE!$A:$C , 3, FALSE)
)
))</f>
        <v/>
      </c>
      <c r="W146" s="343">
        <f t="shared" si="1"/>
        <v>2</v>
      </c>
      <c r="X146" s="344">
        <f>IFERROR(__xludf.DUMMYFUNCTION("SWITCH(
LEN(K146) - LEN(SUBSTITUTE(K146,"","","""")),
0 , VLOOKUP(K146, Variables!$A:$C, 3, FALSE),
1 , VLOOKUP(index(split(K146 ,"", "", FALSE),1,1), Variables!$A:$C, 3, FALSE) + VLOOKUP(index(split(K146 ,"", "", FALSE),1,2), Variables!$A:$C, 3, FALSE),
"&amp;"2 , VLOOKUP(index(split(K146 ,"", "", FALSE),1,1), Variables!$A:$C, 3, FALSE) + VLOOKUP(index(split(K146 ,"", "", FALSE),1,2), Variables!$A:$C, 3, FALSE) + VLOOKUP(index(split(K146 ,"", "", FALSE),1,3), Variables!$A:$C, 3, FALSE)
)"),0.8333333333333333)</f>
        <v>0.8333333333</v>
      </c>
      <c r="Y146" s="342">
        <f t="shared" si="2"/>
        <v>6.166666667</v>
      </c>
      <c r="Z146" s="114" t="s">
        <v>2572</v>
      </c>
      <c r="AA146" s="114"/>
      <c r="AB146" s="114"/>
      <c r="AC146" s="114"/>
      <c r="AD146" s="114" t="s">
        <v>2572</v>
      </c>
      <c r="AE146" s="114"/>
      <c r="AF146" s="114"/>
      <c r="AG146" s="114"/>
      <c r="AH146" s="114"/>
      <c r="AI146" s="114"/>
      <c r="AJ146" s="114" t="s">
        <v>369</v>
      </c>
      <c r="AK146" s="473">
        <v>8.0</v>
      </c>
      <c r="AL146" s="114" t="s">
        <v>2574</v>
      </c>
      <c r="AM146" s="473">
        <v>10.0</v>
      </c>
      <c r="AN146" s="114" t="s">
        <v>369</v>
      </c>
      <c r="AO146" s="473">
        <v>14.0</v>
      </c>
      <c r="AP146" s="130">
        <f>SUM(
VLOOKUP("Ravage",vote4TRAITS!A:C,3,FALSE)
)</f>
        <v>7.333333333</v>
      </c>
      <c r="AQ146" s="130">
        <f t="shared" si="3"/>
        <v>8.82</v>
      </c>
    </row>
    <row r="147" ht="14.25" customHeight="1">
      <c r="A147" s="137" t="s">
        <v>2631</v>
      </c>
      <c r="B147" s="114" t="s">
        <v>2570</v>
      </c>
      <c r="C147" s="114">
        <v>7.0</v>
      </c>
      <c r="D147" s="114">
        <v>2.0</v>
      </c>
      <c r="E147" s="114">
        <v>4.0</v>
      </c>
      <c r="F147" s="487">
        <v>3.0</v>
      </c>
      <c r="G147" s="488">
        <v>9.0</v>
      </c>
      <c r="H147" s="114" t="s">
        <v>2590</v>
      </c>
      <c r="I147" s="130">
        <f>IFERROR(__xludf.DUMMYFUNCTION("SWITCH(
LEN(H147) - LEN(SUBSTITUTE(H147,"","","""")),
0 , VLOOKUP(H147, Variables!$A:$B, 2, FALSE),
1 , VLOOKUP(index(split(H147 ,"", "", FALSE),1,1), Variables!$A:$B , 2, FALSE) + VLOOKUP(index(split(H147 ,"", "", FALSE),1,2), Variables!$A:$B , 2, FALSE)"&amp;",
2 , VLOOKUP(index(split(H147 ,"", "", FALSE),1,1), Variables!$A:$B , 2, FALSE) + VLOOKUP(index(split(H147 ,"", "", FALSE),1,2), Variables!$A:$B , 2, FALSE) + VLOOKUP(index(split(H147 ,"", "", FALSE),1,3), Variables!$A:$B , 2, FALSE)
)"),2.6666666666666665)</f>
        <v>2.666666667</v>
      </c>
      <c r="J147" s="114" t="s">
        <v>1521</v>
      </c>
      <c r="K147" s="114" t="s">
        <v>1537</v>
      </c>
      <c r="L147" s="130">
        <f>IFERROR(__xludf.DUMMYFUNCTION("SWITCH(
LEN(K147) - LEN(SUBSTITUTE(K147,"","","""")),
0 , VLOOKUP(K147, Variables!$A:$B, 2, FALSE),
1 , VLOOKUP(index(split(K147 ,"", "", FALSE),1,1), Variables!$A:$B , 2, FALSE) + VLOOKUP(index(split(K147 ,"", "", FALSE),1,2), Variables!$A:$B , 2, FALSE)"&amp;",
2 , VLOOKUP(index(split(K147 ,"", "", FALSE),1,1), Variables!$A:$B , 2, FALSE) + VLOOKUP(index(split(K147 ,"", "", FALSE),1,2), Variables!$A:$B , 2, FALSE) + VLOOKUP(index(split(K147 ,"", "", FALSE),1,3), Variables!$A:$B , 2, FALSE)
)
+
IF(J147=""Ranged"&amp;""", 1 , 0)"),4.5)</f>
        <v>4.5</v>
      </c>
      <c r="M147" s="114" t="s">
        <v>1099</v>
      </c>
      <c r="N147" s="130">
        <f>IFERROR(__xludf.DUMMYFUNCTION("IF(ISBLANK(M147), , 
SWITCH(
LEN(M147)- LEN(SUBSTITUTE(M147,"","","""")), 
0 , VLOOKUP(M147, vote4TRAITS!A:C , 3, FALSE),
1 , VLOOKUP(index(split(M147 ,"", "", FALSE),1,1), vote4TRAITS!A:C , 3, FALSE) + VLOOKUP(index(split(M147 ,"", "", FALSE),1,2), vote4"&amp;"TRAITS!A:C , 3, FALSE),
2 , VLOOKUP(index(split(M147 ,"", "", FALSE),1,1), vote4TRAITS!A:C , 3, FALSE) + VLOOKUP(index(split(M147 ,"", "", FALSE),1,2), vote4TRAITS!A:C , 3, FALSE) + VLOOKUP(index(split(M147 ,"", "", FALSE),1,3), vote4TRAITS!A:C , 3, FALSE"&amp;")
)
)"),6.5)</f>
        <v>6.5</v>
      </c>
      <c r="O147" s="114" t="s">
        <v>1021</v>
      </c>
      <c r="P147" s="165">
        <f>IFERROR(__xludf.DUMMYFUNCTION("IF(ISBLANK(O147), , 
SWITCH(
LEN(O147)- LEN(SUBSTITUTE(O147,"","","""")), 
0 , VLOOKUP(O147, vote4ACTIONS!A:C , 3, FALSE),
1 , VLOOKUP(index(split(O147 ,"", "", FALSE),1,1), vote4ACTIONS!A:C , 3, FALSE) + VLOOKUP(index(split(O147 ,"", "", FALSE),1,2), vot"&amp;"e4ACTIONS!A:C , 3, FALSE),
2 , VLOOKUP(index(split(O147 ,"", "", FALSE),1,1), vote4ACTIONS!A:C , 3, FALSE) + VLOOKUP(index(split(O147 ,"", "", FALSE),1,2), vote4ACTIONS!A:C , 3, FALSE) + VLOOKUP(index(split(O147 ,"", "", FALSE),1,3), vote4ACTIONS!A:C , 3,"&amp;" FALSE),
3 , VLOOKUP(index(split(O147 ,"", "", FALSE),1,1), vote4ACTIONS!A:C , 3, FALSE) + VLOOKUP(index(split(O147 ,"", "", FALSE),1,2), vote4ACTIONS!A:C , 3, FALSE) + VLOOKUP(index(split(O147 ,"", "", FALSE),1,3), vote4ACTIONS!A:C , 3, FALSE) + VLOOKUP("&amp;"index(split(O147 ,"", "", FALSE),1,4), vote4ACTIONS!A:C , 3, FALSE)
)
)"),4.5)</f>
        <v>4.5</v>
      </c>
      <c r="Q147" s="340" t="s">
        <v>1539</v>
      </c>
      <c r="R147" s="342">
        <f>IF(ISBLANK(Q147),,IFERROR(
IF(IFERROR(SEARCH("SS:",Q147),0) &gt; 0, 
VLOOKUP(SUBSTITUTE(Q147,"SS: ",""),vote4SURGE!$A:$C , 3, FALSE) - 2,
VLOOKUP(SUBSTITUTE(Q147,"S: ",""),vote4SURGE!$A:$C , 3, FALSE)
)
,
IF(IFERROR(SEARCH("SS:",Q147),0) &gt; 0, 
VLOOKUP(A147,vote4SURGE!$A:$C , 3, FALSE) - 2,
VLOOKUP(A147,vote4SURGE!$A:$C , 3, FALSE)
)
))</f>
        <v>5</v>
      </c>
      <c r="S147" s="489" t="s">
        <v>1613</v>
      </c>
      <c r="T147" s="342">
        <f>IF(ISBLANK(S147),,IFERROR(
IF(IFERROR(SEARCH("SS:",S147),0) &gt; 0, 
VLOOKUP(SUBSTITUTE(S147,"SS: ",""),vote4SURGE!$A:$C , 3, FALSE) - 2,
VLOOKUP(SUBSTITUTE(S147,"S: ",""),vote4SURGE!$A:$C , 3, FALSE)
)
,
IF(IFERROR(SEARCH("SS:",S147),0) &gt; 0, 
VLOOKUP(A147,vote4SURGE!$A:$C , 3, FALSE) - 2,
VLOOKUP(A147,vote4SURGE!$A:$C , 3, FALSE)
)
))</f>
        <v>4.5</v>
      </c>
      <c r="U147" s="341"/>
      <c r="V147" s="343" t="str">
        <f>IF(ISBLANK(U147),,IFERROR(
IF(IFERROR(SEARCH("SS:",U147),0) &gt; 0, 
VLOOKUP(SUBSTITUTE(U147,"SS: ",""),vote4SURGE!$A:$C , 3, FALSE) - 2,
VLOOKUP(SUBSTITUTE(U147,"S: ",""),vote4SURGE!$A:$C , 3, FALSE)
)
,
IF(IFERROR(SEARCH("SS:",U147),0) &gt; 0, 
VLOOKUP(A147,vote4SURGE!$A:$C , 3, FALSE) - 2,
VLOOKUP(A147,vote4SURGE!$A:$C , 3, FALSE)
)
))</f>
        <v/>
      </c>
      <c r="W147" s="343">
        <f t="shared" si="1"/>
        <v>2</v>
      </c>
      <c r="X147" s="344">
        <f>IFERROR(__xludf.DUMMYFUNCTION("SWITCH(
LEN(K147) - LEN(SUBSTITUTE(K147,"","","""")),
0 , VLOOKUP(K147, Variables!$A:$C, 3, FALSE),
1 , VLOOKUP(index(split(K147 ,"", "", FALSE),1,1), Variables!$A:$C, 3, FALSE) + VLOOKUP(index(split(K147 ,"", "", FALSE),1,2), Variables!$A:$C, 3, FALSE),
"&amp;"2 , VLOOKUP(index(split(K147 ,"", "", FALSE),1,1), Variables!$A:$C, 3, FALSE) + VLOOKUP(index(split(K147 ,"", "", FALSE),1,2), Variables!$A:$C, 3, FALSE) + VLOOKUP(index(split(K147 ,"", "", FALSE),1,3), Variables!$A:$C, 3, FALSE)
)"),1.0)</f>
        <v>1</v>
      </c>
      <c r="Y147" s="342">
        <f t="shared" si="2"/>
        <v>7.25</v>
      </c>
      <c r="Z147" s="114"/>
      <c r="AA147" s="114"/>
      <c r="AB147" s="114"/>
      <c r="AC147" s="114"/>
      <c r="AD147" s="114"/>
      <c r="AE147" s="114"/>
      <c r="AF147" s="114"/>
      <c r="AG147" s="114"/>
      <c r="AH147" s="114" t="s">
        <v>2572</v>
      </c>
      <c r="AI147" s="114" t="s">
        <v>2572</v>
      </c>
      <c r="AJ147" s="114" t="s">
        <v>2573</v>
      </c>
      <c r="AK147" s="473">
        <v>7.0</v>
      </c>
      <c r="AL147" s="114" t="s">
        <v>2574</v>
      </c>
      <c r="AM147" s="473">
        <v>9.0</v>
      </c>
      <c r="AN147" s="114" t="s">
        <v>2574</v>
      </c>
      <c r="AO147" s="473">
        <v>16.0</v>
      </c>
      <c r="AP147" s="130">
        <f>SUM(
VLOOKUP("Ravage",vote4TRAITS!A:C,3,FALSE)
)</f>
        <v>7.333333333</v>
      </c>
      <c r="AQ147" s="130">
        <f t="shared" si="3"/>
        <v>40.73666667</v>
      </c>
    </row>
    <row r="148" ht="14.25" customHeight="1">
      <c r="A148" s="137" t="s">
        <v>2631</v>
      </c>
      <c r="B148" s="114" t="s">
        <v>2570</v>
      </c>
      <c r="C148" s="114">
        <v>7.0</v>
      </c>
      <c r="D148" s="114">
        <v>1.0</v>
      </c>
      <c r="E148" s="114">
        <v>4.0</v>
      </c>
      <c r="F148" s="487">
        <v>3.0</v>
      </c>
      <c r="G148" s="488">
        <v>7.0</v>
      </c>
      <c r="H148" s="114" t="s">
        <v>1671</v>
      </c>
      <c r="I148" s="130">
        <f>IFERROR(__xludf.DUMMYFUNCTION("SWITCH(
LEN(H148) - LEN(SUBSTITUTE(H148,"","","""")),
0 , VLOOKUP(H148, Variables!$A:$B, 2, FALSE),
1 , VLOOKUP(index(split(H148 ,"", "", FALSE),1,1), Variables!$A:$B , 2, FALSE) + VLOOKUP(index(split(H148 ,"", "", FALSE),1,2), Variables!$A:$B , 2, FALSE)"&amp;",
2 , VLOOKUP(index(split(H148 ,"", "", FALSE),1,1), Variables!$A:$B , 2, FALSE) + VLOOKUP(index(split(H148 ,"", "", FALSE),1,2), Variables!$A:$B , 2, FALSE) + VLOOKUP(index(split(H148 ,"", "", FALSE),1,3), Variables!$A:$B , 2, FALSE)
)"),2.1666666666666665)</f>
        <v>2.166666667</v>
      </c>
      <c r="J148" s="114" t="s">
        <v>1521</v>
      </c>
      <c r="K148" s="114" t="s">
        <v>1525</v>
      </c>
      <c r="L148" s="130">
        <f>IFERROR(__xludf.DUMMYFUNCTION("SWITCH(
LEN(K148) - LEN(SUBSTITUTE(K148,"","","""")),
0 , VLOOKUP(K148, Variables!$A:$B, 2, FALSE),
1 , VLOOKUP(index(split(K148 ,"", "", FALSE),1,1), Variables!$A:$B , 2, FALSE) + VLOOKUP(index(split(K148 ,"", "", FALSE),1,2), Variables!$A:$B , 2, FALSE)"&amp;",
2 , VLOOKUP(index(split(K148 ,"", "", FALSE),1,1), Variables!$A:$B , 2, FALSE) + VLOOKUP(index(split(K148 ,"", "", FALSE),1,2), Variables!$A:$B , 2, FALSE) + VLOOKUP(index(split(K148 ,"", "", FALSE),1,3), Variables!$A:$B , 2, FALSE)
)
+
IF(J148=""Ranged"&amp;""", 1 , 0)"),3.333333333333333)</f>
        <v>3.333333333</v>
      </c>
      <c r="M148" s="114" t="s">
        <v>1099</v>
      </c>
      <c r="N148" s="130">
        <f>IFERROR(__xludf.DUMMYFUNCTION("IF(ISBLANK(M148), , 
SWITCH(
LEN(M148)- LEN(SUBSTITUTE(M148,"","","""")), 
0 , VLOOKUP(M148, vote4TRAITS!A:C , 3, FALSE),
1 , VLOOKUP(index(split(M148 ,"", "", FALSE),1,1), vote4TRAITS!A:C , 3, FALSE) + VLOOKUP(index(split(M148 ,"", "", FALSE),1,2), vote4"&amp;"TRAITS!A:C , 3, FALSE),
2 , VLOOKUP(index(split(M148 ,"", "", FALSE),1,1), vote4TRAITS!A:C , 3, FALSE) + VLOOKUP(index(split(M148 ,"", "", FALSE),1,2), vote4TRAITS!A:C , 3, FALSE) + VLOOKUP(index(split(M148 ,"", "", FALSE),1,3), vote4TRAITS!A:C , 3, FALSE"&amp;")
)
)"),6.5)</f>
        <v>6.5</v>
      </c>
      <c r="O148" s="114" t="s">
        <v>1021</v>
      </c>
      <c r="P148" s="165">
        <f>IFERROR(__xludf.DUMMYFUNCTION("IF(ISBLANK(O148), , 
SWITCH(
LEN(O148)- LEN(SUBSTITUTE(O148,"","","""")), 
0 , VLOOKUP(O148, vote4ACTIONS!A:C , 3, FALSE),
1 , VLOOKUP(index(split(O148 ,"", "", FALSE),1,1), vote4ACTIONS!A:C , 3, FALSE) + VLOOKUP(index(split(O148 ,"", "", FALSE),1,2), vot"&amp;"e4ACTIONS!A:C , 3, FALSE),
2 , VLOOKUP(index(split(O148 ,"", "", FALSE),1,1), vote4ACTIONS!A:C , 3, FALSE) + VLOOKUP(index(split(O148 ,"", "", FALSE),1,2), vote4ACTIONS!A:C , 3, FALSE) + VLOOKUP(index(split(O148 ,"", "", FALSE),1,3), vote4ACTIONS!A:C , 3,"&amp;" FALSE),
3 , VLOOKUP(index(split(O148 ,"", "", FALSE),1,1), vote4ACTIONS!A:C , 3, FALSE) + VLOOKUP(index(split(O148 ,"", "", FALSE),1,2), vote4ACTIONS!A:C , 3, FALSE) + VLOOKUP(index(split(O148 ,"", "", FALSE),1,3), vote4ACTIONS!A:C , 3, FALSE) + VLOOKUP("&amp;"index(split(O148 ,"", "", FALSE),1,4), vote4ACTIONS!A:C , 3, FALSE)
)
)"),4.5)</f>
        <v>4.5</v>
      </c>
      <c r="Q148" s="340" t="s">
        <v>1534</v>
      </c>
      <c r="R148" s="342">
        <f>IF(ISBLANK(Q148),,IFERROR(
IF(IFERROR(SEARCH("SS:",Q148),0) &gt; 0, 
VLOOKUP(SUBSTITUTE(Q148,"SS: ",""),vote4SURGE!$A:$C , 3, FALSE) - 2,
VLOOKUP(SUBSTITUTE(Q148,"S: ",""),vote4SURGE!$A:$C , 3, FALSE)
)
,
IF(IFERROR(SEARCH("SS:",Q148),0) &gt; 0, 
VLOOKUP(A148,vote4SURGE!$A:$C , 3, FALSE) - 2,
VLOOKUP(A148,vote4SURGE!$A:$C , 3, FALSE)
)
))</f>
        <v>4.25</v>
      </c>
      <c r="S148" s="489" t="s">
        <v>1613</v>
      </c>
      <c r="T148" s="342">
        <f>IF(ISBLANK(S148),,IFERROR(
IF(IFERROR(SEARCH("SS:",S148),0) &gt; 0, 
VLOOKUP(SUBSTITUTE(S148,"SS: ",""),vote4SURGE!$A:$C , 3, FALSE) - 2,
VLOOKUP(SUBSTITUTE(S148,"S: ",""),vote4SURGE!$A:$C , 3, FALSE)
)
,
IF(IFERROR(SEARCH("SS:",S148),0) &gt; 0, 
VLOOKUP(A148,vote4SURGE!$A:$C , 3, FALSE) - 2,
VLOOKUP(A148,vote4SURGE!$A:$C , 3, FALSE)
)
))</f>
        <v>4.5</v>
      </c>
      <c r="U148" s="341"/>
      <c r="V148" s="343" t="str">
        <f>IF(ISBLANK(U148),,IFERROR(
IF(IFERROR(SEARCH("SS:",U148),0) &gt; 0, 
VLOOKUP(SUBSTITUTE(U148,"SS: ",""),vote4SURGE!$A:$C , 3, FALSE) - 2,
VLOOKUP(SUBSTITUTE(U148,"S: ",""),vote4SURGE!$A:$C , 3, FALSE)
)
,
IF(IFERROR(SEARCH("SS:",U148),0) &gt; 0, 
VLOOKUP(A148,vote4SURGE!$A:$C , 3, FALSE) - 2,
VLOOKUP(A148,vote4SURGE!$A:$C , 3, FALSE)
)
))</f>
        <v/>
      </c>
      <c r="W148" s="343">
        <f t="shared" si="1"/>
        <v>2</v>
      </c>
      <c r="X148" s="344">
        <f>IFERROR(__xludf.DUMMYFUNCTION("SWITCH(
LEN(K148) - LEN(SUBSTITUTE(K148,"","","""")),
0 , VLOOKUP(K148, Variables!$A:$C, 3, FALSE),
1 , VLOOKUP(index(split(K148 ,"", "", FALSE),1,1), Variables!$A:$C, 3, FALSE) + VLOOKUP(index(split(K148 ,"", "", FALSE),1,2), Variables!$A:$C, 3, FALSE),
"&amp;"2 , VLOOKUP(index(split(K148 ,"", "", FALSE),1,1), Variables!$A:$C, 3, FALSE) + VLOOKUP(index(split(K148 ,"", "", FALSE),1,2), Variables!$A:$C, 3, FALSE) + VLOOKUP(index(split(K148 ,"", "", FALSE),1,3), Variables!$A:$C, 3, FALSE)
)"),0.5)</f>
        <v>0.5</v>
      </c>
      <c r="Y148" s="342">
        <f t="shared" si="2"/>
        <v>5.5625</v>
      </c>
      <c r="Z148" s="114"/>
      <c r="AA148" s="114"/>
      <c r="AB148" s="114"/>
      <c r="AC148" s="114"/>
      <c r="AD148" s="114"/>
      <c r="AE148" s="114"/>
      <c r="AF148" s="114"/>
      <c r="AG148" s="114"/>
      <c r="AH148" s="114" t="s">
        <v>2572</v>
      </c>
      <c r="AI148" s="114" t="s">
        <v>2572</v>
      </c>
      <c r="AJ148" s="114" t="s">
        <v>2573</v>
      </c>
      <c r="AK148" s="473">
        <v>5.0</v>
      </c>
      <c r="AL148" s="114" t="s">
        <v>2574</v>
      </c>
      <c r="AM148" s="473">
        <v>7.0</v>
      </c>
      <c r="AN148" s="114" t="s">
        <v>2574</v>
      </c>
      <c r="AO148" s="473">
        <v>12.0</v>
      </c>
      <c r="AP148" s="130">
        <f>SUM(
VLOOKUP("Ravage",vote4TRAITS!A:C,3,FALSE)
)</f>
        <v>7.333333333</v>
      </c>
      <c r="AQ148" s="130">
        <f t="shared" si="3"/>
        <v>29.04916667</v>
      </c>
    </row>
    <row r="149" ht="14.25" customHeight="1">
      <c r="A149" s="137" t="s">
        <v>2631</v>
      </c>
      <c r="B149" s="114" t="s">
        <v>2576</v>
      </c>
      <c r="C149" s="114">
        <v>7.0</v>
      </c>
      <c r="D149" s="114">
        <v>2.0</v>
      </c>
      <c r="E149" s="114">
        <v>4.0</v>
      </c>
      <c r="F149" s="487">
        <v>3.0</v>
      </c>
      <c r="G149" s="488">
        <v>7.0</v>
      </c>
      <c r="H149" s="114" t="s">
        <v>2590</v>
      </c>
      <c r="I149" s="130">
        <f>IFERROR(__xludf.DUMMYFUNCTION("SWITCH(
LEN(H149) - LEN(SUBSTITUTE(H149,"","","""")),
0 , VLOOKUP(H149, Variables!$A:$B, 2, FALSE),
1 , VLOOKUP(index(split(H149 ,"", "", FALSE),1,1), Variables!$A:$B , 2, FALSE) + VLOOKUP(index(split(H149 ,"", "", FALSE),1,2), Variables!$A:$B , 2, FALSE)"&amp;",
2 , VLOOKUP(index(split(H149 ,"", "", FALSE),1,1), Variables!$A:$B , 2, FALSE) + VLOOKUP(index(split(H149 ,"", "", FALSE),1,2), Variables!$A:$B , 2, FALSE) + VLOOKUP(index(split(H149 ,"", "", FALSE),1,3), Variables!$A:$B , 2, FALSE)
)"),2.6666666666666665)</f>
        <v>2.666666667</v>
      </c>
      <c r="J149" s="114" t="s">
        <v>1521</v>
      </c>
      <c r="K149" s="114" t="s">
        <v>1537</v>
      </c>
      <c r="L149" s="130">
        <f>IFERROR(__xludf.DUMMYFUNCTION("SWITCH(
LEN(K149) - LEN(SUBSTITUTE(K149,"","","""")),
0 , VLOOKUP(K149, Variables!$A:$B, 2, FALSE),
1 , VLOOKUP(index(split(K149 ,"", "", FALSE),1,1), Variables!$A:$B , 2, FALSE) + VLOOKUP(index(split(K149 ,"", "", FALSE),1,2), Variables!$A:$B , 2, FALSE)"&amp;",
2 , VLOOKUP(index(split(K149 ,"", "", FALSE),1,1), Variables!$A:$B , 2, FALSE) + VLOOKUP(index(split(K149 ,"", "", FALSE),1,2), Variables!$A:$B , 2, FALSE) + VLOOKUP(index(split(K149 ,"", "", FALSE),1,3), Variables!$A:$B , 2, FALSE)
)
+
IF(J149=""Ranged"&amp;""", 1 , 0)"),4.5)</f>
        <v>4.5</v>
      </c>
      <c r="M149" s="114" t="s">
        <v>1099</v>
      </c>
      <c r="N149" s="130">
        <f>IFERROR(__xludf.DUMMYFUNCTION("IF(ISBLANK(M149), , 
SWITCH(
LEN(M149)- LEN(SUBSTITUTE(M149,"","","""")), 
0 , VLOOKUP(M149, vote4TRAITS!A:C , 3, FALSE),
1 , VLOOKUP(index(split(M149 ,"", "", FALSE),1,1), vote4TRAITS!A:C , 3, FALSE) + VLOOKUP(index(split(M149 ,"", "", FALSE),1,2), vote4"&amp;"TRAITS!A:C , 3, FALSE),
2 , VLOOKUP(index(split(M149 ,"", "", FALSE),1,1), vote4TRAITS!A:C , 3, FALSE) + VLOOKUP(index(split(M149 ,"", "", FALSE),1,2), vote4TRAITS!A:C , 3, FALSE) + VLOOKUP(index(split(M149 ,"", "", FALSE),1,3), vote4TRAITS!A:C , 3, FALSE"&amp;")
)
)"),6.5)</f>
        <v>6.5</v>
      </c>
      <c r="O149" s="490"/>
      <c r="P149" s="165" t="str">
        <f>IFERROR(__xludf.DUMMYFUNCTION("IF(ISBLANK(O149), , 
SWITCH(
LEN(O149)- LEN(SUBSTITUTE(O149,"","","""")), 
0 , VLOOKUP(O149, vote4ACTIONS!A:C , 3, FALSE),
1 , VLOOKUP(index(split(O149 ,"", "", FALSE),1,1), vote4ACTIONS!A:C , 3, FALSE) + VLOOKUP(index(split(O149 ,"", "", FALSE),1,2), vot"&amp;"e4ACTIONS!A:C , 3, FALSE),
2 , VLOOKUP(index(split(O149 ,"", "", FALSE),1,1), vote4ACTIONS!A:C , 3, FALSE) + VLOOKUP(index(split(O149 ,"", "", FALSE),1,2), vote4ACTIONS!A:C , 3, FALSE) + VLOOKUP(index(split(O149 ,"", "", FALSE),1,3), vote4ACTIONS!A:C , 3,"&amp;" FALSE),
3 , VLOOKUP(index(split(O149 ,"", "", FALSE),1,1), vote4ACTIONS!A:C , 3, FALSE) + VLOOKUP(index(split(O149 ,"", "", FALSE),1,2), vote4ACTIONS!A:C , 3, FALSE) + VLOOKUP(index(split(O149 ,"", "", FALSE),1,3), vote4ACTIONS!A:C , 3, FALSE) + VLOOKUP("&amp;"index(split(O149 ,"", "", FALSE),1,4), vote4ACTIONS!A:C , 3, FALSE)
)
)"),"")</f>
        <v/>
      </c>
      <c r="Q149" s="340" t="s">
        <v>1534</v>
      </c>
      <c r="R149" s="342">
        <f>IF(ISBLANK(Q149),,IFERROR(
IF(IFERROR(SEARCH("SS:",Q149),0) &gt; 0, 
VLOOKUP(SUBSTITUTE(Q149,"SS: ",""),vote4SURGE!$A:$C , 3, FALSE) - 2,
VLOOKUP(SUBSTITUTE(Q149,"S: ",""),vote4SURGE!$A:$C , 3, FALSE)
)
,
IF(IFERROR(SEARCH("SS:",Q149),0) &gt; 0, 
VLOOKUP(A149,vote4SURGE!$A:$C , 3, FALSE) - 2,
VLOOKUP(A149,vote4SURGE!$A:$C , 3, FALSE)
)
))</f>
        <v>4.25</v>
      </c>
      <c r="S149" s="489" t="s">
        <v>1613</v>
      </c>
      <c r="T149" s="342">
        <f>IF(ISBLANK(S149),,IFERROR(
IF(IFERROR(SEARCH("SS:",S149),0) &gt; 0, 
VLOOKUP(SUBSTITUTE(S149,"SS: ",""),vote4SURGE!$A:$C , 3, FALSE) - 2,
VLOOKUP(SUBSTITUTE(S149,"S: ",""),vote4SURGE!$A:$C , 3, FALSE)
)
,
IF(IFERROR(SEARCH("SS:",S149),0) &gt; 0, 
VLOOKUP(A149,vote4SURGE!$A:$C , 3, FALSE) - 2,
VLOOKUP(A149,vote4SURGE!$A:$C , 3, FALSE)
)
))</f>
        <v>4.5</v>
      </c>
      <c r="U149" s="341"/>
      <c r="V149" s="343" t="str">
        <f>IF(ISBLANK(U149),,IFERROR(
IF(IFERROR(SEARCH("SS:",U149),0) &gt; 0, 
VLOOKUP(SUBSTITUTE(U149,"SS: ",""),vote4SURGE!$A:$C , 3, FALSE) - 2,
VLOOKUP(SUBSTITUTE(U149,"S: ",""),vote4SURGE!$A:$C , 3, FALSE)
)
,
IF(IFERROR(SEARCH("SS:",U149),0) &gt; 0, 
VLOOKUP(A149,vote4SURGE!$A:$C , 3, FALSE) - 2,
VLOOKUP(A149,vote4SURGE!$A:$C , 3, FALSE)
)
))</f>
        <v/>
      </c>
      <c r="W149" s="343">
        <f t="shared" si="1"/>
        <v>2</v>
      </c>
      <c r="X149" s="344">
        <f>IFERROR(__xludf.DUMMYFUNCTION("SWITCH(
LEN(K149) - LEN(SUBSTITUTE(K149,"","","""")),
0 , VLOOKUP(K149, Variables!$A:$C, 3, FALSE),
1 , VLOOKUP(index(split(K149 ,"", "", FALSE),1,1), Variables!$A:$C, 3, FALSE) + VLOOKUP(index(split(K149 ,"", "", FALSE),1,2), Variables!$A:$C, 3, FALSE),
"&amp;"2 , VLOOKUP(index(split(K149 ,"", "", FALSE),1,1), Variables!$A:$C, 3, FALSE) + VLOOKUP(index(split(K149 ,"", "", FALSE),1,2), Variables!$A:$C, 3, FALSE) + VLOOKUP(index(split(K149 ,"", "", FALSE),1,3), Variables!$A:$C, 3, FALSE)
)"),1.0)</f>
        <v>1</v>
      </c>
      <c r="Y149" s="342">
        <f t="shared" si="2"/>
        <v>6.625</v>
      </c>
      <c r="Z149" s="114"/>
      <c r="AA149" s="114"/>
      <c r="AB149" s="114"/>
      <c r="AC149" s="114"/>
      <c r="AD149" s="114"/>
      <c r="AE149" s="114"/>
      <c r="AF149" s="114"/>
      <c r="AG149" s="114"/>
      <c r="AH149" s="114" t="s">
        <v>2572</v>
      </c>
      <c r="AI149" s="114" t="s">
        <v>2572</v>
      </c>
      <c r="AJ149" s="114" t="s">
        <v>2574</v>
      </c>
      <c r="AK149" s="473">
        <v>7.0</v>
      </c>
      <c r="AL149" s="114" t="s">
        <v>2573</v>
      </c>
      <c r="AM149" s="473">
        <v>9.0</v>
      </c>
      <c r="AN149" s="114" t="s">
        <v>2574</v>
      </c>
      <c r="AO149" s="473">
        <v>16.0</v>
      </c>
      <c r="AP149" s="130">
        <f>SUM(
VLOOKUP("Ravage",vote4TRAITS!A:C,3,FALSE)
)</f>
        <v>7.333333333</v>
      </c>
      <c r="AQ149" s="130">
        <f t="shared" si="3"/>
        <v>30.27833333</v>
      </c>
    </row>
    <row r="150" ht="14.25" customHeight="1">
      <c r="A150" s="137" t="s">
        <v>2631</v>
      </c>
      <c r="B150" s="114" t="s">
        <v>2576</v>
      </c>
      <c r="C150" s="114">
        <v>7.0</v>
      </c>
      <c r="D150" s="114">
        <v>1.0</v>
      </c>
      <c r="E150" s="114">
        <v>4.0</v>
      </c>
      <c r="F150" s="487">
        <v>3.0</v>
      </c>
      <c r="G150" s="488">
        <v>5.0</v>
      </c>
      <c r="H150" s="114" t="s">
        <v>1671</v>
      </c>
      <c r="I150" s="130">
        <f>IFERROR(__xludf.DUMMYFUNCTION("SWITCH(
LEN(H150) - LEN(SUBSTITUTE(H150,"","","""")),
0 , VLOOKUP(H150, Variables!$A:$B, 2, FALSE),
1 , VLOOKUP(index(split(H150 ,"", "", FALSE),1,1), Variables!$A:$B , 2, FALSE) + VLOOKUP(index(split(H150 ,"", "", FALSE),1,2), Variables!$A:$B , 2, FALSE)"&amp;",
2 , VLOOKUP(index(split(H150 ,"", "", FALSE),1,1), Variables!$A:$B , 2, FALSE) + VLOOKUP(index(split(H150 ,"", "", FALSE),1,2), Variables!$A:$B , 2, FALSE) + VLOOKUP(index(split(H150 ,"", "", FALSE),1,3), Variables!$A:$B , 2, FALSE)
)"),2.1666666666666665)</f>
        <v>2.166666667</v>
      </c>
      <c r="J150" s="114" t="s">
        <v>1521</v>
      </c>
      <c r="K150" s="114" t="s">
        <v>1525</v>
      </c>
      <c r="L150" s="130">
        <f>IFERROR(__xludf.DUMMYFUNCTION("SWITCH(
LEN(K150) - LEN(SUBSTITUTE(K150,"","","""")),
0 , VLOOKUP(K150, Variables!$A:$B, 2, FALSE),
1 , VLOOKUP(index(split(K150 ,"", "", FALSE),1,1), Variables!$A:$B , 2, FALSE) + VLOOKUP(index(split(K150 ,"", "", FALSE),1,2), Variables!$A:$B , 2, FALSE)"&amp;",
2 , VLOOKUP(index(split(K150 ,"", "", FALSE),1,1), Variables!$A:$B , 2, FALSE) + VLOOKUP(index(split(K150 ,"", "", FALSE),1,2), Variables!$A:$B , 2, FALSE) + VLOOKUP(index(split(K150 ,"", "", FALSE),1,3), Variables!$A:$B , 2, FALSE)
)
+
IF(J150=""Ranged"&amp;""", 1 , 0)"),3.333333333333333)</f>
        <v>3.333333333</v>
      </c>
      <c r="M150" s="114" t="s">
        <v>1099</v>
      </c>
      <c r="N150" s="130">
        <f>IFERROR(__xludf.DUMMYFUNCTION("IF(ISBLANK(M150), , 
SWITCH(
LEN(M150)- LEN(SUBSTITUTE(M150,"","","""")), 
0 , VLOOKUP(M150, vote4TRAITS!A:C , 3, FALSE),
1 , VLOOKUP(index(split(M150 ,"", "", FALSE),1,1), vote4TRAITS!A:C , 3, FALSE) + VLOOKUP(index(split(M150 ,"", "", FALSE),1,2), vote4"&amp;"TRAITS!A:C , 3, FALSE),
2 , VLOOKUP(index(split(M150 ,"", "", FALSE),1,1), vote4TRAITS!A:C , 3, FALSE) + VLOOKUP(index(split(M150 ,"", "", FALSE),1,2), vote4TRAITS!A:C , 3, FALSE) + VLOOKUP(index(split(M150 ,"", "", FALSE),1,3), vote4TRAITS!A:C , 3, FALSE"&amp;")
)
)"),6.5)</f>
        <v>6.5</v>
      </c>
      <c r="O150" s="490"/>
      <c r="P150" s="165" t="str">
        <f>IFERROR(__xludf.DUMMYFUNCTION("IF(ISBLANK(O150), , 
SWITCH(
LEN(O150)- LEN(SUBSTITUTE(O150,"","","""")), 
0 , VLOOKUP(O150, vote4ACTIONS!A:C , 3, FALSE),
1 , VLOOKUP(index(split(O150 ,"", "", FALSE),1,1), vote4ACTIONS!A:C , 3, FALSE) + VLOOKUP(index(split(O150 ,"", "", FALSE),1,2), vot"&amp;"e4ACTIONS!A:C , 3, FALSE),
2 , VLOOKUP(index(split(O150 ,"", "", FALSE),1,1), vote4ACTIONS!A:C , 3, FALSE) + VLOOKUP(index(split(O150 ,"", "", FALSE),1,2), vote4ACTIONS!A:C , 3, FALSE) + VLOOKUP(index(split(O150 ,"", "", FALSE),1,3), vote4ACTIONS!A:C , 3,"&amp;" FALSE),
3 , VLOOKUP(index(split(O150 ,"", "", FALSE),1,1), vote4ACTIONS!A:C , 3, FALSE) + VLOOKUP(index(split(O150 ,"", "", FALSE),1,2), vote4ACTIONS!A:C , 3, FALSE) + VLOOKUP(index(split(O150 ,"", "", FALSE),1,3), vote4ACTIONS!A:C , 3, FALSE) + VLOOKUP("&amp;"index(split(O150 ,"", "", FALSE),1,4), vote4ACTIONS!A:C , 3, FALSE)
)
)"),"")</f>
        <v/>
      </c>
      <c r="Q150" s="340" t="s">
        <v>1562</v>
      </c>
      <c r="R150" s="342">
        <f>IF(ISBLANK(Q150),,IFERROR(
IF(IFERROR(SEARCH("SS:",Q150),0) &gt; 0, 
VLOOKUP(SUBSTITUTE(Q150,"SS: ",""),vote4SURGE!$A:$C , 3, FALSE) - 2,
VLOOKUP(SUBSTITUTE(Q150,"S: ",""),vote4SURGE!$A:$C , 3, FALSE)
)
,
IF(IFERROR(SEARCH("SS:",Q150),0) &gt; 0, 
VLOOKUP(A150,vote4SURGE!$A:$C , 3, FALSE) - 2,
VLOOKUP(A150,vote4SURGE!$A:$C , 3, FALSE)
)
))</f>
        <v>3.5</v>
      </c>
      <c r="S150" s="489" t="s">
        <v>1613</v>
      </c>
      <c r="T150" s="342">
        <f>IF(ISBLANK(S150),,IFERROR(
IF(IFERROR(SEARCH("SS:",S150),0) &gt; 0, 
VLOOKUP(SUBSTITUTE(S150,"SS: ",""),vote4SURGE!$A:$C , 3, FALSE) - 2,
VLOOKUP(SUBSTITUTE(S150,"S: ",""),vote4SURGE!$A:$C , 3, FALSE)
)
,
IF(IFERROR(SEARCH("SS:",S150),0) &gt; 0, 
VLOOKUP(A150,vote4SURGE!$A:$C , 3, FALSE) - 2,
VLOOKUP(A150,vote4SURGE!$A:$C , 3, FALSE)
)
))</f>
        <v>4.5</v>
      </c>
      <c r="U150" s="341"/>
      <c r="V150" s="343" t="str">
        <f>IF(ISBLANK(U150),,IFERROR(
IF(IFERROR(SEARCH("SS:",U150),0) &gt; 0, 
VLOOKUP(SUBSTITUTE(U150,"SS: ",""),vote4SURGE!$A:$C , 3, FALSE) - 2,
VLOOKUP(SUBSTITUTE(U150,"S: ",""),vote4SURGE!$A:$C , 3, FALSE)
)
,
IF(IFERROR(SEARCH("SS:",U150),0) &gt; 0, 
VLOOKUP(A150,vote4SURGE!$A:$C , 3, FALSE) - 2,
VLOOKUP(A150,vote4SURGE!$A:$C , 3, FALSE)
)
))</f>
        <v/>
      </c>
      <c r="W150" s="343">
        <f t="shared" si="1"/>
        <v>2</v>
      </c>
      <c r="X150" s="344">
        <f>IFERROR(__xludf.DUMMYFUNCTION("SWITCH(
LEN(K150) - LEN(SUBSTITUTE(K150,"","","""")),
0 , VLOOKUP(K150, Variables!$A:$C, 3, FALSE),
1 , VLOOKUP(index(split(K150 ,"", "", FALSE),1,1), Variables!$A:$C, 3, FALSE) + VLOOKUP(index(split(K150 ,"", "", FALSE),1,2), Variables!$A:$C, 3, FALSE),
"&amp;"2 , VLOOKUP(index(split(K150 ,"", "", FALSE),1,1), Variables!$A:$C, 3, FALSE) + VLOOKUP(index(split(K150 ,"", "", FALSE),1,2), Variables!$A:$C, 3, FALSE) + VLOOKUP(index(split(K150 ,"", "", FALSE),1,3), Variables!$A:$C, 3, FALSE)
)"),0.5)</f>
        <v>0.5</v>
      </c>
      <c r="Y150" s="342">
        <f t="shared" si="2"/>
        <v>5.375</v>
      </c>
      <c r="Z150" s="114"/>
      <c r="AA150" s="114"/>
      <c r="AB150" s="114"/>
      <c r="AC150" s="114"/>
      <c r="AD150" s="114"/>
      <c r="AE150" s="114"/>
      <c r="AF150" s="114"/>
      <c r="AG150" s="114"/>
      <c r="AH150" s="114" t="s">
        <v>2572</v>
      </c>
      <c r="AI150" s="114" t="s">
        <v>2572</v>
      </c>
      <c r="AJ150" s="114" t="s">
        <v>2574</v>
      </c>
      <c r="AK150" s="473">
        <v>5.0</v>
      </c>
      <c r="AL150" s="114" t="s">
        <v>2573</v>
      </c>
      <c r="AM150" s="473">
        <v>7.0</v>
      </c>
      <c r="AN150" s="114" t="s">
        <v>2574</v>
      </c>
      <c r="AO150" s="473">
        <v>12.0</v>
      </c>
      <c r="AP150" s="130">
        <f>SUM(
VLOOKUP("Ravage",vote4TRAITS!A:C,3,FALSE)
)</f>
        <v>7.333333333</v>
      </c>
      <c r="AQ150" s="130">
        <f t="shared" si="3"/>
        <v>20.02833333</v>
      </c>
    </row>
    <row r="151" ht="14.25" customHeight="1">
      <c r="A151" s="137" t="s">
        <v>1456</v>
      </c>
      <c r="B151" s="114" t="s">
        <v>2570</v>
      </c>
      <c r="C151" s="114">
        <v>56.0</v>
      </c>
      <c r="D151" s="114">
        <v>2.0</v>
      </c>
      <c r="E151" s="114">
        <v>4.0</v>
      </c>
      <c r="F151" s="487">
        <v>4.0</v>
      </c>
      <c r="G151" s="488">
        <v>8.0</v>
      </c>
      <c r="H151" s="114" t="s">
        <v>1671</v>
      </c>
      <c r="I151" s="130">
        <f>IFERROR(__xludf.DUMMYFUNCTION("SWITCH(
LEN(H151) - LEN(SUBSTITUTE(H151,"","","""")),
0 , VLOOKUP(H151, Variables!$A:$B, 2, FALSE),
1 , VLOOKUP(index(split(H151 ,"", "", FALSE),1,1), Variables!$A:$B , 2, FALSE) + VLOOKUP(index(split(H151 ,"", "", FALSE),1,2), Variables!$A:$B , 2, FALSE)"&amp;",
2 , VLOOKUP(index(split(H151 ,"", "", FALSE),1,1), Variables!$A:$B , 2, FALSE) + VLOOKUP(index(split(H151 ,"", "", FALSE),1,2), Variables!$A:$B , 2, FALSE) + VLOOKUP(index(split(H151 ,"", "", FALSE),1,3), Variables!$A:$B , 2, FALSE)
)"),2.1666666666666665)</f>
        <v>2.166666667</v>
      </c>
      <c r="J151" s="114" t="s">
        <v>1567</v>
      </c>
      <c r="K151" s="114" t="s">
        <v>1537</v>
      </c>
      <c r="L151" s="130">
        <f>IFERROR(__xludf.DUMMYFUNCTION("SWITCH(
LEN(K151) - LEN(SUBSTITUTE(K151,"","","""")),
0 , VLOOKUP(K151, Variables!$A:$B, 2, FALSE),
1 , VLOOKUP(index(split(K151 ,"", "", FALSE),1,1), Variables!$A:$B , 2, FALSE) + VLOOKUP(index(split(K151 ,"", "", FALSE),1,2), Variables!$A:$B , 2, FALSE)"&amp;",
2 , VLOOKUP(index(split(K151 ,"", "", FALSE),1,1), Variables!$A:$B , 2, FALSE) + VLOOKUP(index(split(K151 ,"", "", FALSE),1,2), Variables!$A:$B , 2, FALSE) + VLOOKUP(index(split(K151 ,"", "", FALSE),1,3), Variables!$A:$B , 2, FALSE)
)
+
IF(J151=""Ranged"&amp;""", 1 , 0)"),5.5)</f>
        <v>5.5</v>
      </c>
      <c r="M151" s="114" t="s">
        <v>1137</v>
      </c>
      <c r="N151" s="130">
        <f>IFERROR(__xludf.DUMMYFUNCTION("IF(ISBLANK(M151), , 
SWITCH(
LEN(M151)- LEN(SUBSTITUTE(M151,"","","""")), 
0 , VLOOKUP(M151, vote4TRAITS!A:C , 3, FALSE),
1 , VLOOKUP(index(split(M151 ,"", "", FALSE),1,1), vote4TRAITS!A:C , 3, FALSE) + VLOOKUP(index(split(M151 ,"", "", FALSE),1,2), vote4"&amp;"TRAITS!A:C , 3, FALSE),
2 , VLOOKUP(index(split(M151 ,"", "", FALSE),1,1), vote4TRAITS!A:C , 3, FALSE) + VLOOKUP(index(split(M151 ,"", "", FALSE),1,2), vote4TRAITS!A:C , 3, FALSE) + VLOOKUP(index(split(M151 ,"", "", FALSE),1,3), vote4TRAITS!A:C , 3, FALSE"&amp;")
)
)"),6.0)</f>
        <v>6</v>
      </c>
      <c r="O151" s="114" t="s">
        <v>1306</v>
      </c>
      <c r="P151" s="165">
        <f>IFERROR(__xludf.DUMMYFUNCTION("IF(ISBLANK(O151), , 
SWITCH(
LEN(O151)- LEN(SUBSTITUTE(O151,"","","""")), 
0 , VLOOKUP(O151, vote4ACTIONS!A:C , 3, FALSE),
1 , VLOOKUP(index(split(O151 ,"", "", FALSE),1,1), vote4ACTIONS!A:C , 3, FALSE) + VLOOKUP(index(split(O151 ,"", "", FALSE),1,2), vot"&amp;"e4ACTIONS!A:C , 3, FALSE),
2 , VLOOKUP(index(split(O151 ,"", "", FALSE),1,1), vote4ACTIONS!A:C , 3, FALSE) + VLOOKUP(index(split(O151 ,"", "", FALSE),1,2), vote4ACTIONS!A:C , 3, FALSE) + VLOOKUP(index(split(O151 ,"", "", FALSE),1,3), vote4ACTIONS!A:C , 3,"&amp;" FALSE),
3 , VLOOKUP(index(split(O151 ,"", "", FALSE),1,1), vote4ACTIONS!A:C , 3, FALSE) + VLOOKUP(index(split(O151 ,"", "", FALSE),1,2), vote4ACTIONS!A:C , 3, FALSE) + VLOOKUP(index(split(O151 ,"", "", FALSE),1,3), vote4ACTIONS!A:C , 3, FALSE) + VLOOKUP("&amp;"index(split(O151 ,"", "", FALSE),1,4), vote4ACTIONS!A:C , 3, FALSE)
)
)"),1.75)</f>
        <v>1.75</v>
      </c>
      <c r="Q151" s="489" t="s">
        <v>1652</v>
      </c>
      <c r="R151" s="342">
        <f>IF(ISBLANK(Q151),,IFERROR(
IF(IFERROR(SEARCH("SS:",Q151),0) &gt; 0, 
VLOOKUP(SUBSTITUTE(Q151,"SS: ",""),vote4SURGE!$A:$C , 3, FALSE) - 2,
VLOOKUP(SUBSTITUTE(Q151,"S: ",""),vote4SURGE!$A:$C , 3, FALSE)
)
,
IF(IFERROR(SEARCH("SS:",Q151),0) &gt; 0, 
VLOOKUP(A151,vote4SURGE!$A:$C , 3, FALSE) - 2,
VLOOKUP(A151,vote4SURGE!$A:$C , 3, FALSE)
)
))</f>
        <v>4</v>
      </c>
      <c r="S151" s="489"/>
      <c r="T151" s="342" t="str">
        <f>IF(ISBLANK(S151),,IFERROR(
IF(IFERROR(SEARCH("SS:",S151),0) &gt; 0, 
VLOOKUP(SUBSTITUTE(S151,"SS: ",""),vote4SURGE!$A:$C , 3, FALSE) - 2,
VLOOKUP(SUBSTITUTE(S151,"S: ",""),vote4SURGE!$A:$C , 3, FALSE)
)
,
IF(IFERROR(SEARCH("SS:",S151),0) &gt; 0, 
VLOOKUP(A151,vote4SURGE!$A:$C , 3, FALSE) - 2,
VLOOKUP(A151,vote4SURGE!$A:$C , 3, FALSE)
)
))</f>
        <v/>
      </c>
      <c r="U151" s="489"/>
      <c r="V151" s="343" t="str">
        <f>IF(ISBLANK(U151),,IFERROR(
IF(IFERROR(SEARCH("SS:",U151),0) &gt; 0, 
VLOOKUP(SUBSTITUTE(U151,"SS: ",""),vote4SURGE!$A:$C , 3, FALSE) - 2,
VLOOKUP(SUBSTITUTE(U151,"S: ",""),vote4SURGE!$A:$C , 3, FALSE)
)
,
IF(IFERROR(SEARCH("SS:",U151),0) &gt; 0, 
VLOOKUP(A151,vote4SURGE!$A:$C , 3, FALSE) - 2,
VLOOKUP(A151,vote4SURGE!$A:$C , 3, FALSE)
)
))</f>
        <v/>
      </c>
      <c r="W151" s="343">
        <f t="shared" si="1"/>
        <v>1</v>
      </c>
      <c r="X151" s="344">
        <f>IFERROR(__xludf.DUMMYFUNCTION("SWITCH(
LEN(K151) - LEN(SUBSTITUTE(K151,"","","""")),
0 , VLOOKUP(K151, Variables!$A:$C, 3, FALSE),
1 , VLOOKUP(index(split(K151 ,"", "", FALSE),1,1), Variables!$A:$C, 3, FALSE) + VLOOKUP(index(split(K151 ,"", "", FALSE),1,2), Variables!$A:$C, 3, FALSE),
"&amp;"2 , VLOOKUP(index(split(K151 ,"", "", FALSE),1,1), Variables!$A:$C, 3, FALSE) + VLOOKUP(index(split(K151 ,"", "", FALSE),1,2), Variables!$A:$C, 3, FALSE) + VLOOKUP(index(split(K151 ,"", "", FALSE),1,3), Variables!$A:$C, 3, FALSE)
)"),1.0)</f>
        <v>1</v>
      </c>
      <c r="Y151" s="342">
        <f t="shared" si="2"/>
        <v>4</v>
      </c>
      <c r="Z151" s="114"/>
      <c r="AA151" s="114" t="s">
        <v>2572</v>
      </c>
      <c r="AB151" s="114"/>
      <c r="AC151" s="114"/>
      <c r="AD151" s="114"/>
      <c r="AE151" s="114"/>
      <c r="AF151" s="114"/>
      <c r="AG151" s="114"/>
      <c r="AH151" s="114" t="s">
        <v>2572</v>
      </c>
      <c r="AI151" s="114"/>
      <c r="AJ151" s="114" t="s">
        <v>2574</v>
      </c>
      <c r="AK151" s="473">
        <v>8.0</v>
      </c>
      <c r="AL151" s="114" t="s">
        <v>2574</v>
      </c>
      <c r="AM151" s="473">
        <v>14.0</v>
      </c>
      <c r="AN151" s="114" t="s">
        <v>2574</v>
      </c>
      <c r="AO151" s="473">
        <v>20.0</v>
      </c>
      <c r="AP151" s="130">
        <f>SUM(
VLOOKUP("Ravage",vote4TRAITS!A:C,3,FALSE)
)</f>
        <v>7.333333333</v>
      </c>
      <c r="AQ151" s="130">
        <f t="shared" si="3"/>
        <v>28.9</v>
      </c>
    </row>
    <row r="152" ht="14.25" customHeight="1">
      <c r="A152" s="137" t="s">
        <v>1456</v>
      </c>
      <c r="B152" s="114" t="s">
        <v>2570</v>
      </c>
      <c r="C152" s="114">
        <v>56.0</v>
      </c>
      <c r="D152" s="114">
        <v>1.0</v>
      </c>
      <c r="E152" s="114">
        <v>4.0</v>
      </c>
      <c r="F152" s="487">
        <v>4.0</v>
      </c>
      <c r="G152" s="488">
        <v>6.0</v>
      </c>
      <c r="H152" s="114" t="s">
        <v>1671</v>
      </c>
      <c r="I152" s="130">
        <f>IFERROR(__xludf.DUMMYFUNCTION("SWITCH(
LEN(H152) - LEN(SUBSTITUTE(H152,"","","""")),
0 , VLOOKUP(H152, Variables!$A:$B, 2, FALSE),
1 , VLOOKUP(index(split(H152 ,"", "", FALSE),1,1), Variables!$A:$B , 2, FALSE) + VLOOKUP(index(split(H152 ,"", "", FALSE),1,2), Variables!$A:$B , 2, FALSE)"&amp;",
2 , VLOOKUP(index(split(H152 ,"", "", FALSE),1,1), Variables!$A:$B , 2, FALSE) + VLOOKUP(index(split(H152 ,"", "", FALSE),1,2), Variables!$A:$B , 2, FALSE) + VLOOKUP(index(split(H152 ,"", "", FALSE),1,3), Variables!$A:$B , 2, FALSE)
)"),2.1666666666666665)</f>
        <v>2.166666667</v>
      </c>
      <c r="J152" s="114" t="s">
        <v>1567</v>
      </c>
      <c r="K152" s="114" t="s">
        <v>1525</v>
      </c>
      <c r="L152" s="130">
        <f>IFERROR(__xludf.DUMMYFUNCTION("SWITCH(
LEN(K152) - LEN(SUBSTITUTE(K152,"","","""")),
0 , VLOOKUP(K152, Variables!$A:$B, 2, FALSE),
1 , VLOOKUP(index(split(K152 ,"", "", FALSE),1,1), Variables!$A:$B , 2, FALSE) + VLOOKUP(index(split(K152 ,"", "", FALSE),1,2), Variables!$A:$B , 2, FALSE)"&amp;",
2 , VLOOKUP(index(split(K152 ,"", "", FALSE),1,1), Variables!$A:$B , 2, FALSE) + VLOOKUP(index(split(K152 ,"", "", FALSE),1,2), Variables!$A:$B , 2, FALSE) + VLOOKUP(index(split(K152 ,"", "", FALSE),1,3), Variables!$A:$B , 2, FALSE)
)
+
IF(J152=""Ranged"&amp;""", 1 , 0)"),4.333333333333333)</f>
        <v>4.333333333</v>
      </c>
      <c r="M152" s="114" t="s">
        <v>1136</v>
      </c>
      <c r="N152" s="130">
        <f>IFERROR(__xludf.DUMMYFUNCTION("IF(ISBLANK(M152), , 
SWITCH(
LEN(M152)- LEN(SUBSTITUTE(M152,"","","""")), 
0 , VLOOKUP(M152, vote4TRAITS!A:C , 3, FALSE),
1 , VLOOKUP(index(split(M152 ,"", "", FALSE),1,1), vote4TRAITS!A:C , 3, FALSE) + VLOOKUP(index(split(M152 ,"", "", FALSE),1,2), vote4"&amp;"TRAITS!A:C , 3, FALSE),
2 , VLOOKUP(index(split(M152 ,"", "", FALSE),1,1), vote4TRAITS!A:C , 3, FALSE) + VLOOKUP(index(split(M152 ,"", "", FALSE),1,2), vote4TRAITS!A:C , 3, FALSE) + VLOOKUP(index(split(M152 ,"", "", FALSE),1,3), vote4TRAITS!A:C , 3, FALSE"&amp;")
)
)"),5.0)</f>
        <v>5</v>
      </c>
      <c r="O152" s="114" t="s">
        <v>1306</v>
      </c>
      <c r="P152" s="165">
        <f>IFERROR(__xludf.DUMMYFUNCTION("IF(ISBLANK(O152), , 
SWITCH(
LEN(O152)- LEN(SUBSTITUTE(O152,"","","""")), 
0 , VLOOKUP(O152, vote4ACTIONS!A:C , 3, FALSE),
1 , VLOOKUP(index(split(O152 ,"", "", FALSE),1,1), vote4ACTIONS!A:C , 3, FALSE) + VLOOKUP(index(split(O152 ,"", "", FALSE),1,2), vot"&amp;"e4ACTIONS!A:C , 3, FALSE),
2 , VLOOKUP(index(split(O152 ,"", "", FALSE),1,1), vote4ACTIONS!A:C , 3, FALSE) + VLOOKUP(index(split(O152 ,"", "", FALSE),1,2), vote4ACTIONS!A:C , 3, FALSE) + VLOOKUP(index(split(O152 ,"", "", FALSE),1,3), vote4ACTIONS!A:C , 3,"&amp;" FALSE),
3 , VLOOKUP(index(split(O152 ,"", "", FALSE),1,1), vote4ACTIONS!A:C , 3, FALSE) + VLOOKUP(index(split(O152 ,"", "", FALSE),1,2), vote4ACTIONS!A:C , 3, FALSE) + VLOOKUP(index(split(O152 ,"", "", FALSE),1,3), vote4ACTIONS!A:C , 3, FALSE) + VLOOKUP("&amp;"index(split(O152 ,"", "", FALSE),1,4), vote4ACTIONS!A:C , 3, FALSE)
)
)"),1.75)</f>
        <v>1.75</v>
      </c>
      <c r="Q152" s="489" t="s">
        <v>1652</v>
      </c>
      <c r="R152" s="342">
        <f>IF(ISBLANK(Q152),,IFERROR(
IF(IFERROR(SEARCH("SS:",Q152),0) &gt; 0, 
VLOOKUP(SUBSTITUTE(Q152,"SS: ",""),vote4SURGE!$A:$C , 3, FALSE) - 2,
VLOOKUP(SUBSTITUTE(Q152,"S: ",""),vote4SURGE!$A:$C , 3, FALSE)
)
,
IF(IFERROR(SEARCH("SS:",Q152),0) &gt; 0, 
VLOOKUP(A152,vote4SURGE!$A:$C , 3, FALSE) - 2,
VLOOKUP(A152,vote4SURGE!$A:$C , 3, FALSE)
)
))</f>
        <v>4</v>
      </c>
      <c r="S152" s="341"/>
      <c r="T152" s="342" t="str">
        <f>IF(ISBLANK(S152),,IFERROR(
IF(IFERROR(SEARCH("SS:",S152),0) &gt; 0, 
VLOOKUP(SUBSTITUTE(S152,"SS: ",""),vote4SURGE!$A:$C , 3, FALSE) - 2,
VLOOKUP(SUBSTITUTE(S152,"S: ",""),vote4SURGE!$A:$C , 3, FALSE)
)
,
IF(IFERROR(SEARCH("SS:",S152),0) &gt; 0, 
VLOOKUP(A152,vote4SURGE!$A:$C , 3, FALSE) - 2,
VLOOKUP(A152,vote4SURGE!$A:$C , 3, FALSE)
)
))</f>
        <v/>
      </c>
      <c r="U152" s="341"/>
      <c r="V152" s="343" t="str">
        <f>IF(ISBLANK(U152),,IFERROR(
IF(IFERROR(SEARCH("SS:",U152),0) &gt; 0, 
VLOOKUP(SUBSTITUTE(U152,"SS: ",""),vote4SURGE!$A:$C , 3, FALSE) - 2,
VLOOKUP(SUBSTITUTE(U152,"S: ",""),vote4SURGE!$A:$C , 3, FALSE)
)
,
IF(IFERROR(SEARCH("SS:",U152),0) &gt; 0, 
VLOOKUP(A152,vote4SURGE!$A:$C , 3, FALSE) - 2,
VLOOKUP(A152,vote4SURGE!$A:$C , 3, FALSE)
)
))</f>
        <v/>
      </c>
      <c r="W152" s="343">
        <f t="shared" si="1"/>
        <v>1</v>
      </c>
      <c r="X152" s="344">
        <f>IFERROR(__xludf.DUMMYFUNCTION("SWITCH(
LEN(K152) - LEN(SUBSTITUTE(K152,"","","""")),
0 , VLOOKUP(K152, Variables!$A:$C, 3, FALSE),
1 , VLOOKUP(index(split(K152 ,"", "", FALSE),1,1), Variables!$A:$C, 3, FALSE) + VLOOKUP(index(split(K152 ,"", "", FALSE),1,2), Variables!$A:$C, 3, FALSE),
"&amp;"2 , VLOOKUP(index(split(K152 ,"", "", FALSE),1,1), Variables!$A:$C, 3, FALSE) + VLOOKUP(index(split(K152 ,"", "", FALSE),1,2), Variables!$A:$C, 3, FALSE) + VLOOKUP(index(split(K152 ,"", "", FALSE),1,3), Variables!$A:$C, 3, FALSE)
)"),0.5)</f>
        <v>0.5</v>
      </c>
      <c r="Y152" s="342">
        <f t="shared" si="2"/>
        <v>2</v>
      </c>
      <c r="Z152" s="114"/>
      <c r="AA152" s="114" t="s">
        <v>2572</v>
      </c>
      <c r="AB152" s="114"/>
      <c r="AC152" s="114"/>
      <c r="AD152" s="114"/>
      <c r="AE152" s="114"/>
      <c r="AF152" s="114"/>
      <c r="AG152" s="114"/>
      <c r="AH152" s="114" t="s">
        <v>2572</v>
      </c>
      <c r="AI152" s="114"/>
      <c r="AJ152" s="114" t="s">
        <v>2574</v>
      </c>
      <c r="AK152" s="473">
        <v>6.0</v>
      </c>
      <c r="AL152" s="114" t="s">
        <v>2574</v>
      </c>
      <c r="AM152" s="473">
        <v>11.0</v>
      </c>
      <c r="AN152" s="114" t="s">
        <v>2574</v>
      </c>
      <c r="AO152" s="473">
        <v>16.0</v>
      </c>
      <c r="AP152" s="130">
        <f>SUM(
VLOOKUP("Ravage",vote4TRAITS!A:C,3,FALSE)
)</f>
        <v>7.333333333</v>
      </c>
      <c r="AQ152" s="130">
        <f t="shared" si="3"/>
        <v>20.4</v>
      </c>
    </row>
    <row r="153" ht="14.25" customHeight="1">
      <c r="A153" s="137" t="s">
        <v>1456</v>
      </c>
      <c r="B153" s="114" t="s">
        <v>2576</v>
      </c>
      <c r="C153" s="114">
        <v>56.0</v>
      </c>
      <c r="D153" s="114">
        <v>2.0</v>
      </c>
      <c r="E153" s="114">
        <v>4.0</v>
      </c>
      <c r="F153" s="487">
        <v>4.0</v>
      </c>
      <c r="G153" s="488">
        <v>6.0</v>
      </c>
      <c r="H153" s="114" t="s">
        <v>1671</v>
      </c>
      <c r="I153" s="130">
        <f>IFERROR(__xludf.DUMMYFUNCTION("SWITCH(
LEN(H153) - LEN(SUBSTITUTE(H153,"","","""")),
0 , VLOOKUP(H153, Variables!$A:$B, 2, FALSE),
1 , VLOOKUP(index(split(H153 ,"", "", FALSE),1,1), Variables!$A:$B , 2, FALSE) + VLOOKUP(index(split(H153 ,"", "", FALSE),1,2), Variables!$A:$B , 2, FALSE)"&amp;",
2 , VLOOKUP(index(split(H153 ,"", "", FALSE),1,1), Variables!$A:$B , 2, FALSE) + VLOOKUP(index(split(H153 ,"", "", FALSE),1,2), Variables!$A:$B , 2, FALSE) + VLOOKUP(index(split(H153 ,"", "", FALSE),1,3), Variables!$A:$B , 2, FALSE)
)"),2.1666666666666665)</f>
        <v>2.166666667</v>
      </c>
      <c r="J153" s="114" t="s">
        <v>1567</v>
      </c>
      <c r="K153" s="114" t="s">
        <v>1525</v>
      </c>
      <c r="L153" s="130">
        <f>IFERROR(__xludf.DUMMYFUNCTION("SWITCH(
LEN(K153) - LEN(SUBSTITUTE(K153,"","","""")),
0 , VLOOKUP(K153, Variables!$A:$B, 2, FALSE),
1 , VLOOKUP(index(split(K153 ,"", "", FALSE),1,1), Variables!$A:$B , 2, FALSE) + VLOOKUP(index(split(K153 ,"", "", FALSE),1,2), Variables!$A:$B , 2, FALSE)"&amp;",
2 , VLOOKUP(index(split(K153 ,"", "", FALSE),1,1), Variables!$A:$B , 2, FALSE) + VLOOKUP(index(split(K153 ,"", "", FALSE),1,2), Variables!$A:$B , 2, FALSE) + VLOOKUP(index(split(K153 ,"", "", FALSE),1,3), Variables!$A:$B , 2, FALSE)
)
+
IF(J153=""Ranged"&amp;""", 1 , 0)"),4.333333333333333)</f>
        <v>4.333333333</v>
      </c>
      <c r="M153" s="114" t="s">
        <v>1137</v>
      </c>
      <c r="N153" s="130">
        <f>IFERROR(__xludf.DUMMYFUNCTION("IF(ISBLANK(M153), , 
SWITCH(
LEN(M153)- LEN(SUBSTITUTE(M153,"","","""")), 
0 , VLOOKUP(M153, vote4TRAITS!A:C , 3, FALSE),
1 , VLOOKUP(index(split(M153 ,"", "", FALSE),1,1), vote4TRAITS!A:C , 3, FALSE) + VLOOKUP(index(split(M153 ,"", "", FALSE),1,2), vote4"&amp;"TRAITS!A:C , 3, FALSE),
2 , VLOOKUP(index(split(M153 ,"", "", FALSE),1,1), vote4TRAITS!A:C , 3, FALSE) + VLOOKUP(index(split(M153 ,"", "", FALSE),1,2), vote4TRAITS!A:C , 3, FALSE) + VLOOKUP(index(split(M153 ,"", "", FALSE),1,3), vote4TRAITS!A:C , 3, FALSE"&amp;")
)
)"),6.0)</f>
        <v>6</v>
      </c>
      <c r="O153" s="114" t="s">
        <v>1338</v>
      </c>
      <c r="P153" s="165">
        <f>IFERROR(__xludf.DUMMYFUNCTION("IF(ISBLANK(O153), , 
SWITCH(
LEN(O153)- LEN(SUBSTITUTE(O153,"","","""")), 
0 , VLOOKUP(O153, vote4ACTIONS!A:C , 3, FALSE),
1 , VLOOKUP(index(split(O153 ,"", "", FALSE),1,1), vote4ACTIONS!A:C , 3, FALSE) + VLOOKUP(index(split(O153 ,"", "", FALSE),1,2), vot"&amp;"e4ACTIONS!A:C , 3, FALSE),
2 , VLOOKUP(index(split(O153 ,"", "", FALSE),1,1), vote4ACTIONS!A:C , 3, FALSE) + VLOOKUP(index(split(O153 ,"", "", FALSE),1,2), vote4ACTIONS!A:C , 3, FALSE) + VLOOKUP(index(split(O153 ,"", "", FALSE),1,3), vote4ACTIONS!A:C , 3,"&amp;" FALSE),
3 , VLOOKUP(index(split(O153 ,"", "", FALSE),1,1), vote4ACTIONS!A:C , 3, FALSE) + VLOOKUP(index(split(O153 ,"", "", FALSE),1,2), vote4ACTIONS!A:C , 3, FALSE) + VLOOKUP(index(split(O153 ,"", "", FALSE),1,3), vote4ACTIONS!A:C , 3, FALSE) + VLOOKUP("&amp;"index(split(O153 ,"", "", FALSE),1,4), vote4ACTIONS!A:C , 3, FALSE)
)
)"),2.0)</f>
        <v>2</v>
      </c>
      <c r="Q153" s="322"/>
      <c r="R153" s="342" t="str">
        <f>IF(ISBLANK(Q153),,IFERROR(
IF(IFERROR(SEARCH("SS:",Q153),0) &gt; 0, 
VLOOKUP(SUBSTITUTE(Q153,"SS: ",""),vote4SURGE!$A:$C , 3, FALSE) - 2,
VLOOKUP(SUBSTITUTE(Q153,"S: ",""),vote4SURGE!$A:$C , 3, FALSE)
)
,
IF(IFERROR(SEARCH("SS:",Q153),0) &gt; 0, 
VLOOKUP(A153,vote4SURGE!$A:$C , 3, FALSE) - 2,
VLOOKUP(A153,vote4SURGE!$A:$C , 3, FALSE)
)
))</f>
        <v/>
      </c>
      <c r="S153" s="341"/>
      <c r="T153" s="342" t="str">
        <f>IF(ISBLANK(S153),,IFERROR(
IF(IFERROR(SEARCH("SS:",S153),0) &gt; 0, 
VLOOKUP(SUBSTITUTE(S153,"SS: ",""),vote4SURGE!$A:$C , 3, FALSE) - 2,
VLOOKUP(SUBSTITUTE(S153,"S: ",""),vote4SURGE!$A:$C , 3, FALSE)
)
,
IF(IFERROR(SEARCH("SS:",S153),0) &gt; 0, 
VLOOKUP(A153,vote4SURGE!$A:$C , 3, FALSE) - 2,
VLOOKUP(A153,vote4SURGE!$A:$C , 3, FALSE)
)
))</f>
        <v/>
      </c>
      <c r="U153" s="341"/>
      <c r="V153" s="343" t="str">
        <f>IF(ISBLANK(U153),,IFERROR(
IF(IFERROR(SEARCH("SS:",U153),0) &gt; 0, 
VLOOKUP(SUBSTITUTE(U153,"SS: ",""),vote4SURGE!$A:$C , 3, FALSE) - 2,
VLOOKUP(SUBSTITUTE(U153,"S: ",""),vote4SURGE!$A:$C , 3, FALSE)
)
,
IF(IFERROR(SEARCH("SS:",U153),0) &gt; 0, 
VLOOKUP(A153,vote4SURGE!$A:$C , 3, FALSE) - 2,
VLOOKUP(A153,vote4SURGE!$A:$C , 3, FALSE)
)
))</f>
        <v/>
      </c>
      <c r="W153" s="343">
        <f t="shared" si="1"/>
        <v>0</v>
      </c>
      <c r="X153" s="344">
        <f>IFERROR(__xludf.DUMMYFUNCTION("SWITCH(
LEN(K153) - LEN(SUBSTITUTE(K153,"","","""")),
0 , VLOOKUP(K153, Variables!$A:$C, 3, FALSE),
1 , VLOOKUP(index(split(K153 ,"", "", FALSE),1,1), Variables!$A:$C, 3, FALSE) + VLOOKUP(index(split(K153 ,"", "", FALSE),1,2), Variables!$A:$C, 3, FALSE),
"&amp;"2 , VLOOKUP(index(split(K153 ,"", "", FALSE),1,1), Variables!$A:$C, 3, FALSE) + VLOOKUP(index(split(K153 ,"", "", FALSE),1,2), Variables!$A:$C, 3, FALSE) + VLOOKUP(index(split(K153 ,"", "", FALSE),1,3), Variables!$A:$C, 3, FALSE)
)"),0.5)</f>
        <v>0.5</v>
      </c>
      <c r="Y153" s="342">
        <f t="shared" si="2"/>
        <v>0</v>
      </c>
      <c r="Z153" s="114"/>
      <c r="AA153" s="114" t="s">
        <v>2572</v>
      </c>
      <c r="AB153" s="114"/>
      <c r="AC153" s="114"/>
      <c r="AD153" s="114"/>
      <c r="AE153" s="114"/>
      <c r="AF153" s="114"/>
      <c r="AG153" s="114"/>
      <c r="AH153" s="114" t="s">
        <v>2572</v>
      </c>
      <c r="AI153" s="114"/>
      <c r="AJ153" s="114" t="s">
        <v>2573</v>
      </c>
      <c r="AK153" s="473">
        <v>8.0</v>
      </c>
      <c r="AL153" s="114" t="s">
        <v>2574</v>
      </c>
      <c r="AM153" s="473">
        <v>14.0</v>
      </c>
      <c r="AN153" s="114" t="s">
        <v>369</v>
      </c>
      <c r="AO153" s="473">
        <v>20.0</v>
      </c>
      <c r="AP153" s="130">
        <f>SUM(
VLOOKUP("Ravage",vote4TRAITS!A:C,3,FALSE)
)</f>
        <v>7.333333333</v>
      </c>
      <c r="AQ153" s="130">
        <f t="shared" si="3"/>
        <v>19.65</v>
      </c>
    </row>
    <row r="154" ht="14.25" customHeight="1">
      <c r="A154" s="137" t="s">
        <v>1456</v>
      </c>
      <c r="B154" s="114" t="s">
        <v>2576</v>
      </c>
      <c r="C154" s="114">
        <v>56.0</v>
      </c>
      <c r="D154" s="114">
        <v>1.0</v>
      </c>
      <c r="E154" s="114">
        <v>4.0</v>
      </c>
      <c r="F154" s="487">
        <v>4.0</v>
      </c>
      <c r="G154" s="488">
        <v>5.0</v>
      </c>
      <c r="H154" s="114" t="s">
        <v>1671</v>
      </c>
      <c r="I154" s="130">
        <f>IFERROR(__xludf.DUMMYFUNCTION("SWITCH(
LEN(H154) - LEN(SUBSTITUTE(H154,"","","""")),
0 , VLOOKUP(H154, Variables!$A:$B, 2, FALSE),
1 , VLOOKUP(index(split(H154 ,"", "", FALSE),1,1), Variables!$A:$B , 2, FALSE) + VLOOKUP(index(split(H154 ,"", "", FALSE),1,2), Variables!$A:$B , 2, FALSE)"&amp;",
2 , VLOOKUP(index(split(H154 ,"", "", FALSE),1,1), Variables!$A:$B , 2, FALSE) + VLOOKUP(index(split(H154 ,"", "", FALSE),1,2), Variables!$A:$B , 2, FALSE) + VLOOKUP(index(split(H154 ,"", "", FALSE),1,3), Variables!$A:$B , 2, FALSE)
)"),2.1666666666666665)</f>
        <v>2.166666667</v>
      </c>
      <c r="J154" s="114" t="s">
        <v>1567</v>
      </c>
      <c r="K154" s="114" t="s">
        <v>1525</v>
      </c>
      <c r="L154" s="130">
        <f>IFERROR(__xludf.DUMMYFUNCTION("SWITCH(
LEN(K154) - LEN(SUBSTITUTE(K154,"","","""")),
0 , VLOOKUP(K154, Variables!$A:$B, 2, FALSE),
1 , VLOOKUP(index(split(K154 ,"", "", FALSE),1,1), Variables!$A:$B , 2, FALSE) + VLOOKUP(index(split(K154 ,"", "", FALSE),1,2), Variables!$A:$B , 2, FALSE)"&amp;",
2 , VLOOKUP(index(split(K154 ,"", "", FALSE),1,1), Variables!$A:$B , 2, FALSE) + VLOOKUP(index(split(K154 ,"", "", FALSE),1,2), Variables!$A:$B , 2, FALSE) + VLOOKUP(index(split(K154 ,"", "", FALSE),1,3), Variables!$A:$B , 2, FALSE)
)
+
IF(J154=""Ranged"&amp;""", 1 , 0)"),4.333333333333333)</f>
        <v>4.333333333</v>
      </c>
      <c r="M154" s="114" t="s">
        <v>1134</v>
      </c>
      <c r="N154" s="130">
        <f>IFERROR(__xludf.DUMMYFUNCTION("IF(ISBLANK(M154), , 
SWITCH(
LEN(M154)- LEN(SUBSTITUTE(M154,"","","""")), 
0 , VLOOKUP(M154, vote4TRAITS!A:C , 3, FALSE),
1 , VLOOKUP(index(split(M154 ,"", "", FALSE),1,1), vote4TRAITS!A:C , 3, FALSE) + VLOOKUP(index(split(M154 ,"", "", FALSE),1,2), vote4"&amp;"TRAITS!A:C , 3, FALSE),
2 , VLOOKUP(index(split(M154 ,"", "", FALSE),1,1), vote4TRAITS!A:C , 3, FALSE) + VLOOKUP(index(split(M154 ,"", "", FALSE),1,2), vote4TRAITS!A:C , 3, FALSE) + VLOOKUP(index(split(M154 ,"", "", FALSE),1,3), vote4TRAITS!A:C , 3, FALSE"&amp;")
)
)"),4.0)</f>
        <v>4</v>
      </c>
      <c r="O154" s="137" t="s">
        <v>1338</v>
      </c>
      <c r="P154" s="165">
        <f>IFERROR(__xludf.DUMMYFUNCTION("IF(ISBLANK(O154), , 
SWITCH(
LEN(O154)- LEN(SUBSTITUTE(O154,"","","""")), 
0 , VLOOKUP(O154, vote4ACTIONS!A:C , 3, FALSE),
1 , VLOOKUP(index(split(O154 ,"", "", FALSE),1,1), vote4ACTIONS!A:C , 3, FALSE) + VLOOKUP(index(split(O154 ,"", "", FALSE),1,2), vot"&amp;"e4ACTIONS!A:C , 3, FALSE),
2 , VLOOKUP(index(split(O154 ,"", "", FALSE),1,1), vote4ACTIONS!A:C , 3, FALSE) + VLOOKUP(index(split(O154 ,"", "", FALSE),1,2), vote4ACTIONS!A:C , 3, FALSE) + VLOOKUP(index(split(O154 ,"", "", FALSE),1,3), vote4ACTIONS!A:C , 3,"&amp;" FALSE),
3 , VLOOKUP(index(split(O154 ,"", "", FALSE),1,1), vote4ACTIONS!A:C , 3, FALSE) + VLOOKUP(index(split(O154 ,"", "", FALSE),1,2), vote4ACTIONS!A:C , 3, FALSE) + VLOOKUP(index(split(O154 ,"", "", FALSE),1,3), vote4ACTIONS!A:C , 3, FALSE) + VLOOKUP("&amp;"index(split(O154 ,"", "", FALSE),1,4), vote4ACTIONS!A:C , 3, FALSE)
)
)"),2.0)</f>
        <v>2</v>
      </c>
      <c r="Q154" s="322"/>
      <c r="R154" s="342" t="str">
        <f>IF(ISBLANK(Q154),,IFERROR(
IF(IFERROR(SEARCH("SS:",Q154),0) &gt; 0, 
VLOOKUP(SUBSTITUTE(Q154,"SS: ",""),vote4SURGE!$A:$C , 3, FALSE) - 2,
VLOOKUP(SUBSTITUTE(Q154,"S: ",""),vote4SURGE!$A:$C , 3, FALSE)
)
,
IF(IFERROR(SEARCH("SS:",Q154),0) &gt; 0, 
VLOOKUP(A154,vote4SURGE!$A:$C , 3, FALSE) - 2,
VLOOKUP(A154,vote4SURGE!$A:$C , 3, FALSE)
)
))</f>
        <v/>
      </c>
      <c r="S154" s="341"/>
      <c r="T154" s="342" t="str">
        <f>IF(ISBLANK(S154),,IFERROR(
IF(IFERROR(SEARCH("SS:",S154),0) &gt; 0, 
VLOOKUP(SUBSTITUTE(S154,"SS: ",""),vote4SURGE!$A:$C , 3, FALSE) - 2,
VLOOKUP(SUBSTITUTE(S154,"S: ",""),vote4SURGE!$A:$C , 3, FALSE)
)
,
IF(IFERROR(SEARCH("SS:",S154),0) &gt; 0, 
VLOOKUP(A154,vote4SURGE!$A:$C , 3, FALSE) - 2,
VLOOKUP(A154,vote4SURGE!$A:$C , 3, FALSE)
)
))</f>
        <v/>
      </c>
      <c r="U154" s="341"/>
      <c r="V154" s="343" t="str">
        <f>IF(ISBLANK(U154),,IFERROR(
IF(IFERROR(SEARCH("SS:",U154),0) &gt; 0, 
VLOOKUP(SUBSTITUTE(U154,"SS: ",""),vote4SURGE!$A:$C , 3, FALSE) - 2,
VLOOKUP(SUBSTITUTE(U154,"S: ",""),vote4SURGE!$A:$C , 3, FALSE)
)
,
IF(IFERROR(SEARCH("SS:",U154),0) &gt; 0, 
VLOOKUP(A154,vote4SURGE!$A:$C , 3, FALSE) - 2,
VLOOKUP(A154,vote4SURGE!$A:$C , 3, FALSE)
)
))</f>
        <v/>
      </c>
      <c r="W154" s="343">
        <f t="shared" si="1"/>
        <v>0</v>
      </c>
      <c r="X154" s="344">
        <f>IFERROR(__xludf.DUMMYFUNCTION("SWITCH(
LEN(K154) - LEN(SUBSTITUTE(K154,"","","""")),
0 , VLOOKUP(K154, Variables!$A:$C, 3, FALSE),
1 , VLOOKUP(index(split(K154 ,"", "", FALSE),1,1), Variables!$A:$C, 3, FALSE) + VLOOKUP(index(split(K154 ,"", "", FALSE),1,2), Variables!$A:$C, 3, FALSE),
"&amp;"2 , VLOOKUP(index(split(K154 ,"", "", FALSE),1,1), Variables!$A:$C, 3, FALSE) + VLOOKUP(index(split(K154 ,"", "", FALSE),1,2), Variables!$A:$C, 3, FALSE) + VLOOKUP(index(split(K154 ,"", "", FALSE),1,3), Variables!$A:$C, 3, FALSE)
)"),0.5)</f>
        <v>0.5</v>
      </c>
      <c r="Y154" s="342">
        <f t="shared" si="2"/>
        <v>0</v>
      </c>
      <c r="Z154" s="114"/>
      <c r="AA154" s="114" t="s">
        <v>2572</v>
      </c>
      <c r="AB154" s="114"/>
      <c r="AC154" s="114"/>
      <c r="AD154" s="114"/>
      <c r="AE154" s="114"/>
      <c r="AF154" s="114"/>
      <c r="AG154" s="114"/>
      <c r="AH154" s="114" t="s">
        <v>2572</v>
      </c>
      <c r="AI154" s="114"/>
      <c r="AJ154" s="114" t="s">
        <v>2573</v>
      </c>
      <c r="AK154" s="473">
        <v>6.0</v>
      </c>
      <c r="AL154" s="114" t="s">
        <v>2574</v>
      </c>
      <c r="AM154" s="473">
        <v>11.0</v>
      </c>
      <c r="AN154" s="114" t="s">
        <v>369</v>
      </c>
      <c r="AO154" s="473">
        <v>16.0</v>
      </c>
      <c r="AP154" s="130">
        <f>SUM(
VLOOKUP("Ravage",vote4TRAITS!A:C,3,FALSE)
)</f>
        <v>7.333333333</v>
      </c>
      <c r="AQ154" s="130">
        <f t="shared" si="3"/>
        <v>15.48333333</v>
      </c>
    </row>
    <row r="155" ht="14.25" customHeight="1">
      <c r="A155" s="137" t="s">
        <v>1474</v>
      </c>
      <c r="B155" s="114" t="s">
        <v>2570</v>
      </c>
      <c r="C155" s="114">
        <v>43.0</v>
      </c>
      <c r="D155" s="114">
        <v>2.0</v>
      </c>
      <c r="E155" s="114">
        <v>4.0</v>
      </c>
      <c r="F155" s="487">
        <v>3.0</v>
      </c>
      <c r="G155" s="488">
        <v>12.0</v>
      </c>
      <c r="H155" s="114" t="s">
        <v>1663</v>
      </c>
      <c r="I155" s="130">
        <f>IFERROR(__xludf.DUMMYFUNCTION("SWITCH(
LEN(H155) - LEN(SUBSTITUTE(H155,"","","""")),
0 , VLOOKUP(H155, Variables!$A:$B, 2, FALSE),
1 , VLOOKUP(index(split(H155 ,"", "", FALSE),1,1), Variables!$A:$B , 2, FALSE) + VLOOKUP(index(split(H155 ,"", "", FALSE),1,2), Variables!$A:$B , 2, FALSE)"&amp;",
2 , VLOOKUP(index(split(H155 ,"", "", FALSE),1,1), Variables!$A:$B , 2, FALSE) + VLOOKUP(index(split(H155 ,"", "", FALSE),1,2), Variables!$A:$B , 2, FALSE) + VLOOKUP(index(split(H155 ,"", "", FALSE),1,3), Variables!$A:$B , 2, FALSE)
)"),1.3333333333333333)</f>
        <v>1.333333333</v>
      </c>
      <c r="J155" s="114" t="s">
        <v>1521</v>
      </c>
      <c r="K155" s="114" t="s">
        <v>1537</v>
      </c>
      <c r="L155" s="130">
        <f>IFERROR(__xludf.DUMMYFUNCTION("SWITCH(
LEN(K155) - LEN(SUBSTITUTE(K155,"","","""")),
0 , VLOOKUP(K155, Variables!$A:$B, 2, FALSE),
1 , VLOOKUP(index(split(K155 ,"", "", FALSE),1,1), Variables!$A:$B , 2, FALSE) + VLOOKUP(index(split(K155 ,"", "", FALSE),1,2), Variables!$A:$B , 2, FALSE)"&amp;",
2 , VLOOKUP(index(split(K155 ,"", "", FALSE),1,1), Variables!$A:$B , 2, FALSE) + VLOOKUP(index(split(K155 ,"", "", FALSE),1,2), Variables!$A:$B , 2, FALSE) + VLOOKUP(index(split(K155 ,"", "", FALSE),1,3), Variables!$A:$B , 2, FALSE)
)
+
IF(J155=""Ranged"&amp;""", 1 , 0)"),4.5)</f>
        <v>4.5</v>
      </c>
      <c r="M155" s="114" t="s">
        <v>1027</v>
      </c>
      <c r="N155" s="130">
        <f>IFERROR(__xludf.DUMMYFUNCTION("IF(ISBLANK(M155), , 
SWITCH(
LEN(M155)- LEN(SUBSTITUTE(M155,"","","""")), 
0 , VLOOKUP(M155, vote4TRAITS!A:C , 3, FALSE),
1 , VLOOKUP(index(split(M155 ,"", "", FALSE),1,1), vote4TRAITS!A:C , 3, FALSE) + VLOOKUP(index(split(M155 ,"", "", FALSE),1,2), vote4"&amp;"TRAITS!A:C , 3, FALSE),
2 , VLOOKUP(index(split(M155 ,"", "", FALSE),1,1), vote4TRAITS!A:C , 3, FALSE) + VLOOKUP(index(split(M155 ,"", "", FALSE),1,2), vote4TRAITS!A:C , 3, FALSE) + VLOOKUP(index(split(M155 ,"", "", FALSE),1,3), vote4TRAITS!A:C , 3, FALSE"&amp;")
)
)"),3.6666666666666665)</f>
        <v>3.666666667</v>
      </c>
      <c r="O155" s="490"/>
      <c r="P155" s="165" t="str">
        <f>IFERROR(__xludf.DUMMYFUNCTION("IF(ISBLANK(O155), , 
SWITCH(
LEN(O155)- LEN(SUBSTITUTE(O155,"","","""")), 
0 , VLOOKUP(O155, vote4ACTIONS!A:C , 3, FALSE),
1 , VLOOKUP(index(split(O155 ,"", "", FALSE),1,1), vote4ACTIONS!A:C , 3, FALSE) + VLOOKUP(index(split(O155 ,"", "", FALSE),1,2), vot"&amp;"e4ACTIONS!A:C , 3, FALSE),
2 , VLOOKUP(index(split(O155 ,"", "", FALSE),1,1), vote4ACTIONS!A:C , 3, FALSE) + VLOOKUP(index(split(O155 ,"", "", FALSE),1,2), vote4ACTIONS!A:C , 3, FALSE) + VLOOKUP(index(split(O155 ,"", "", FALSE),1,3), vote4ACTIONS!A:C , 3,"&amp;" FALSE),
3 , VLOOKUP(index(split(O155 ,"", "", FALSE),1,1), vote4ACTIONS!A:C , 3, FALSE) + VLOOKUP(index(split(O155 ,"", "", FALSE),1,2), vote4ACTIONS!A:C , 3, FALSE) + VLOOKUP(index(split(O155 ,"", "", FALSE),1,3), vote4ACTIONS!A:C , 3, FALSE) + VLOOKUP("&amp;"index(split(O155 ,"", "", FALSE),1,4), vote4ACTIONS!A:C , 3, FALSE)
)
)"),"")</f>
        <v/>
      </c>
      <c r="Q155" s="340" t="s">
        <v>1539</v>
      </c>
      <c r="R155" s="342">
        <f>IF(ISBLANK(Q155),,IFERROR(
IF(IFERROR(SEARCH("SS:",Q155),0) &gt; 0, 
VLOOKUP(SUBSTITUTE(Q155,"SS: ",""),vote4SURGE!$A:$C , 3, FALSE) - 2,
VLOOKUP(SUBSTITUTE(Q155,"S: ",""),vote4SURGE!$A:$C , 3, FALSE)
)
,
IF(IFERROR(SEARCH("SS:",Q155),0) &gt; 0, 
VLOOKUP(A155,vote4SURGE!$A:$C , 3, FALSE) - 2,
VLOOKUP(A155,vote4SURGE!$A:$C , 3, FALSE)
)
))</f>
        <v>5</v>
      </c>
      <c r="S155" s="489" t="s">
        <v>2632</v>
      </c>
      <c r="T155" s="342">
        <f>IF(ISBLANK(S155),,IFERROR(
IF(IFERROR(SEARCH("SS:",S155),0) &gt; 0, 
VLOOKUP(SUBSTITUTE(S155,"SS: ",""),vote4SURGE!$A:$C , 3, FALSE) - 2,
VLOOKUP(SUBSTITUTE(S155,"S: ",""),vote4SURGE!$A:$C , 3, FALSE)
)
,
IF(IFERROR(SEARCH("SS:",S155),0) &gt; 0, 
VLOOKUP(A155,vote4SURGE!$A:$C , 3, FALSE) - 2,
VLOOKUP(A155,vote4SURGE!$A:$C , 3, FALSE)
)
))</f>
        <v>4.25</v>
      </c>
      <c r="U155" s="341"/>
      <c r="V155" s="343" t="str">
        <f>IF(ISBLANK(U155),,IFERROR(
IF(IFERROR(SEARCH("SS:",U155),0) &gt; 0, 
VLOOKUP(SUBSTITUTE(U155,"SS: ",""),vote4SURGE!$A:$C , 3, FALSE) - 2,
VLOOKUP(SUBSTITUTE(U155,"S: ",""),vote4SURGE!$A:$C , 3, FALSE)
)
,
IF(IFERROR(SEARCH("SS:",U155),0) &gt; 0, 
VLOOKUP(A155,vote4SURGE!$A:$C , 3, FALSE) - 2,
VLOOKUP(A155,vote4SURGE!$A:$C , 3, FALSE)
)
))</f>
        <v/>
      </c>
      <c r="W155" s="343">
        <f t="shared" si="1"/>
        <v>2</v>
      </c>
      <c r="X155" s="344">
        <f>IFERROR(__xludf.DUMMYFUNCTION("SWITCH(
LEN(K155) - LEN(SUBSTITUTE(K155,"","","""")),
0 , VLOOKUP(K155, Variables!$A:$C, 3, FALSE),
1 , VLOOKUP(index(split(K155 ,"", "", FALSE),1,1), Variables!$A:$C, 3, FALSE) + VLOOKUP(index(split(K155 ,"", "", FALSE),1,2), Variables!$A:$C, 3, FALSE),
"&amp;"2 , VLOOKUP(index(split(K155 ,"", "", FALSE),1,1), Variables!$A:$C, 3, FALSE) + VLOOKUP(index(split(K155 ,"", "", FALSE),1,2), Variables!$A:$C, 3, FALSE) + VLOOKUP(index(split(K155 ,"", "", FALSE),1,3), Variables!$A:$C, 3, FALSE)
)"),1.0)</f>
        <v>1</v>
      </c>
      <c r="Y155" s="342">
        <f t="shared" si="2"/>
        <v>7.125</v>
      </c>
      <c r="Z155" s="114" t="s">
        <v>2572</v>
      </c>
      <c r="AA155" s="114" t="s">
        <v>2572</v>
      </c>
      <c r="AB155" s="114"/>
      <c r="AC155" s="114"/>
      <c r="AD155" s="114"/>
      <c r="AE155" s="114"/>
      <c r="AF155" s="114"/>
      <c r="AG155" s="114"/>
      <c r="AH155" s="114"/>
      <c r="AI155" s="114"/>
      <c r="AJ155" s="114" t="s">
        <v>2573</v>
      </c>
      <c r="AK155" s="473">
        <v>9.0</v>
      </c>
      <c r="AL155" s="114" t="s">
        <v>2574</v>
      </c>
      <c r="AM155" s="473">
        <v>12.0</v>
      </c>
      <c r="AN155" s="114" t="s">
        <v>2574</v>
      </c>
      <c r="AO155" s="473">
        <v>21.0</v>
      </c>
      <c r="AP155" s="130">
        <f>SUM(
VLOOKUP("Ravage",vote4TRAITS!A:C,3,FALSE)
)</f>
        <v>7.333333333</v>
      </c>
      <c r="AQ155" s="130">
        <f t="shared" si="3"/>
        <v>25.27833333</v>
      </c>
    </row>
    <row r="156" ht="14.25" customHeight="1">
      <c r="A156" s="137" t="s">
        <v>1474</v>
      </c>
      <c r="B156" s="114" t="s">
        <v>2570</v>
      </c>
      <c r="C156" s="114">
        <v>43.0</v>
      </c>
      <c r="D156" s="114">
        <v>1.0</v>
      </c>
      <c r="E156" s="114">
        <v>4.0</v>
      </c>
      <c r="F156" s="487">
        <v>3.0</v>
      </c>
      <c r="G156" s="488">
        <v>9.0</v>
      </c>
      <c r="H156" s="114" t="s">
        <v>1663</v>
      </c>
      <c r="I156" s="130">
        <f>IFERROR(__xludf.DUMMYFUNCTION("SWITCH(
LEN(H156) - LEN(SUBSTITUTE(H156,"","","""")),
0 , VLOOKUP(H156, Variables!$A:$B, 2, FALSE),
1 , VLOOKUP(index(split(H156 ,"", "", FALSE),1,1), Variables!$A:$B , 2, FALSE) + VLOOKUP(index(split(H156 ,"", "", FALSE),1,2), Variables!$A:$B , 2, FALSE)"&amp;",
2 , VLOOKUP(index(split(H156 ,"", "", FALSE),1,1), Variables!$A:$B , 2, FALSE) + VLOOKUP(index(split(H156 ,"", "", FALSE),1,2), Variables!$A:$B , 2, FALSE) + VLOOKUP(index(split(H156 ,"", "", FALSE),1,3), Variables!$A:$B , 2, FALSE)
)"),1.3333333333333333)</f>
        <v>1.333333333</v>
      </c>
      <c r="J156" s="114" t="s">
        <v>1521</v>
      </c>
      <c r="K156" s="114" t="s">
        <v>1525</v>
      </c>
      <c r="L156" s="130">
        <f>IFERROR(__xludf.DUMMYFUNCTION("SWITCH(
LEN(K156) - LEN(SUBSTITUTE(K156,"","","""")),
0 , VLOOKUP(K156, Variables!$A:$B, 2, FALSE),
1 , VLOOKUP(index(split(K156 ,"", "", FALSE),1,1), Variables!$A:$B , 2, FALSE) + VLOOKUP(index(split(K156 ,"", "", FALSE),1,2), Variables!$A:$B , 2, FALSE)"&amp;",
2 , VLOOKUP(index(split(K156 ,"", "", FALSE),1,1), Variables!$A:$B , 2, FALSE) + VLOOKUP(index(split(K156 ,"", "", FALSE),1,2), Variables!$A:$B , 2, FALSE) + VLOOKUP(index(split(K156 ,"", "", FALSE),1,3), Variables!$A:$B , 2, FALSE)
)
+
IF(J156=""Ranged"&amp;""", 1 , 0)"),3.333333333333333)</f>
        <v>3.333333333</v>
      </c>
      <c r="M156" s="114" t="s">
        <v>1027</v>
      </c>
      <c r="N156" s="130">
        <f>IFERROR(__xludf.DUMMYFUNCTION("IF(ISBLANK(M156), , 
SWITCH(
LEN(M156)- LEN(SUBSTITUTE(M156,"","","""")), 
0 , VLOOKUP(M156, vote4TRAITS!A:C , 3, FALSE),
1 , VLOOKUP(index(split(M156 ,"", "", FALSE),1,1), vote4TRAITS!A:C , 3, FALSE) + VLOOKUP(index(split(M156 ,"", "", FALSE),1,2), vote4"&amp;"TRAITS!A:C , 3, FALSE),
2 , VLOOKUP(index(split(M156 ,"", "", FALSE),1,1), vote4TRAITS!A:C , 3, FALSE) + VLOOKUP(index(split(M156 ,"", "", FALSE),1,2), vote4TRAITS!A:C , 3, FALSE) + VLOOKUP(index(split(M156 ,"", "", FALSE),1,3), vote4TRAITS!A:C , 3, FALSE"&amp;")
)
)"),3.6666666666666665)</f>
        <v>3.666666667</v>
      </c>
      <c r="O156" s="490"/>
      <c r="P156" s="165" t="str">
        <f>IFERROR(__xludf.DUMMYFUNCTION("IF(ISBLANK(O156), , 
SWITCH(
LEN(O156)- LEN(SUBSTITUTE(O156,"","","""")), 
0 , VLOOKUP(O156, vote4ACTIONS!A:C , 3, FALSE),
1 , VLOOKUP(index(split(O156 ,"", "", FALSE),1,1), vote4ACTIONS!A:C , 3, FALSE) + VLOOKUP(index(split(O156 ,"", "", FALSE),1,2), vot"&amp;"e4ACTIONS!A:C , 3, FALSE),
2 , VLOOKUP(index(split(O156 ,"", "", FALSE),1,1), vote4ACTIONS!A:C , 3, FALSE) + VLOOKUP(index(split(O156 ,"", "", FALSE),1,2), vote4ACTIONS!A:C , 3, FALSE) + VLOOKUP(index(split(O156 ,"", "", FALSE),1,3), vote4ACTIONS!A:C , 3,"&amp;" FALSE),
3 , VLOOKUP(index(split(O156 ,"", "", FALSE),1,1), vote4ACTIONS!A:C , 3, FALSE) + VLOOKUP(index(split(O156 ,"", "", FALSE),1,2), vote4ACTIONS!A:C , 3, FALSE) + VLOOKUP(index(split(O156 ,"", "", FALSE),1,3), vote4ACTIONS!A:C , 3, FALSE) + VLOOKUP("&amp;"index(split(O156 ,"", "", FALSE),1,4), vote4ACTIONS!A:C , 3, FALSE)
)
)"),"")</f>
        <v/>
      </c>
      <c r="Q156" s="340" t="s">
        <v>1539</v>
      </c>
      <c r="R156" s="342">
        <f>IF(ISBLANK(Q156),,IFERROR(
IF(IFERROR(SEARCH("SS:",Q156),0) &gt; 0, 
VLOOKUP(SUBSTITUTE(Q156,"SS: ",""),vote4SURGE!$A:$C , 3, FALSE) - 2,
VLOOKUP(SUBSTITUTE(Q156,"S: ",""),vote4SURGE!$A:$C , 3, FALSE)
)
,
IF(IFERROR(SEARCH("SS:",Q156),0) &gt; 0, 
VLOOKUP(A156,vote4SURGE!$A:$C , 3, FALSE) - 2,
VLOOKUP(A156,vote4SURGE!$A:$C , 3, FALSE)
)
))</f>
        <v>5</v>
      </c>
      <c r="S156" s="489" t="s">
        <v>2632</v>
      </c>
      <c r="T156" s="342">
        <f>IF(ISBLANK(S156),,IFERROR(
IF(IFERROR(SEARCH("SS:",S156),0) &gt; 0, 
VLOOKUP(SUBSTITUTE(S156,"SS: ",""),vote4SURGE!$A:$C , 3, FALSE) - 2,
VLOOKUP(SUBSTITUTE(S156,"S: ",""),vote4SURGE!$A:$C , 3, FALSE)
)
,
IF(IFERROR(SEARCH("SS:",S156),0) &gt; 0, 
VLOOKUP(A156,vote4SURGE!$A:$C , 3, FALSE) - 2,
VLOOKUP(A156,vote4SURGE!$A:$C , 3, FALSE)
)
))</f>
        <v>4.25</v>
      </c>
      <c r="U156" s="341"/>
      <c r="V156" s="343" t="str">
        <f>IF(ISBLANK(U156),,IFERROR(
IF(IFERROR(SEARCH("SS:",U156),0) &gt; 0, 
VLOOKUP(SUBSTITUTE(U156,"SS: ",""),vote4SURGE!$A:$C , 3, FALSE) - 2,
VLOOKUP(SUBSTITUTE(U156,"S: ",""),vote4SURGE!$A:$C , 3, FALSE)
)
,
IF(IFERROR(SEARCH("SS:",U156),0) &gt; 0, 
VLOOKUP(A156,vote4SURGE!$A:$C , 3, FALSE) - 2,
VLOOKUP(A156,vote4SURGE!$A:$C , 3, FALSE)
)
))</f>
        <v/>
      </c>
      <c r="W156" s="343">
        <f t="shared" si="1"/>
        <v>2</v>
      </c>
      <c r="X156" s="344">
        <f>IFERROR(__xludf.DUMMYFUNCTION("SWITCH(
LEN(K156) - LEN(SUBSTITUTE(K156,"","","""")),
0 , VLOOKUP(K156, Variables!$A:$C, 3, FALSE),
1 , VLOOKUP(index(split(K156 ,"", "", FALSE),1,1), Variables!$A:$C, 3, FALSE) + VLOOKUP(index(split(K156 ,"", "", FALSE),1,2), Variables!$A:$C, 3, FALSE),
"&amp;"2 , VLOOKUP(index(split(K156 ,"", "", FALSE),1,1), Variables!$A:$C, 3, FALSE) + VLOOKUP(index(split(K156 ,"", "", FALSE),1,2), Variables!$A:$C, 3, FALSE) + VLOOKUP(index(split(K156 ,"", "", FALSE),1,3), Variables!$A:$C, 3, FALSE)
)"),0.5)</f>
        <v>0.5</v>
      </c>
      <c r="Y156" s="342">
        <f t="shared" si="2"/>
        <v>6.0625</v>
      </c>
      <c r="Z156" s="114" t="s">
        <v>2572</v>
      </c>
      <c r="AA156" s="114" t="s">
        <v>2572</v>
      </c>
      <c r="AB156" s="114"/>
      <c r="AC156" s="114"/>
      <c r="AD156" s="114"/>
      <c r="AE156" s="114"/>
      <c r="AF156" s="114"/>
      <c r="AG156" s="114"/>
      <c r="AH156" s="114"/>
      <c r="AI156" s="114"/>
      <c r="AJ156" s="114" t="s">
        <v>2573</v>
      </c>
      <c r="AK156" s="473">
        <v>6.0</v>
      </c>
      <c r="AL156" s="114" t="s">
        <v>2574</v>
      </c>
      <c r="AM156" s="473">
        <v>9.0</v>
      </c>
      <c r="AN156" s="114" t="s">
        <v>2574</v>
      </c>
      <c r="AO156" s="473">
        <v>15.0</v>
      </c>
      <c r="AP156" s="130">
        <f>SUM(
VLOOKUP("Ravage",vote4TRAITS!A:C,3,FALSE)
)</f>
        <v>7.333333333</v>
      </c>
      <c r="AQ156" s="130">
        <f t="shared" si="3"/>
        <v>19.04916667</v>
      </c>
    </row>
    <row r="157" ht="14.25" customHeight="1">
      <c r="A157" s="137" t="s">
        <v>1474</v>
      </c>
      <c r="B157" s="114" t="s">
        <v>2576</v>
      </c>
      <c r="C157" s="114">
        <v>43.0</v>
      </c>
      <c r="D157" s="114">
        <v>2.0</v>
      </c>
      <c r="E157" s="114">
        <v>4.0</v>
      </c>
      <c r="F157" s="487">
        <v>3.0</v>
      </c>
      <c r="G157" s="488">
        <v>9.0</v>
      </c>
      <c r="H157" s="114" t="s">
        <v>1663</v>
      </c>
      <c r="I157" s="130">
        <f>IFERROR(__xludf.DUMMYFUNCTION("SWITCH(
LEN(H157) - LEN(SUBSTITUTE(H157,"","","""")),
0 , VLOOKUP(H157, Variables!$A:$B, 2, FALSE),
1 , VLOOKUP(index(split(H157 ,"", "", FALSE),1,1), Variables!$A:$B , 2, FALSE) + VLOOKUP(index(split(H157 ,"", "", FALSE),1,2), Variables!$A:$B , 2, FALSE)"&amp;",
2 , VLOOKUP(index(split(H157 ,"", "", FALSE),1,1), Variables!$A:$B , 2, FALSE) + VLOOKUP(index(split(H157 ,"", "", FALSE),1,2), Variables!$A:$B , 2, FALSE) + VLOOKUP(index(split(H157 ,"", "", FALSE),1,3), Variables!$A:$B , 2, FALSE)
)"),1.3333333333333333)</f>
        <v>1.333333333</v>
      </c>
      <c r="J157" s="114" t="s">
        <v>1521</v>
      </c>
      <c r="K157" s="114" t="s">
        <v>1548</v>
      </c>
      <c r="L157" s="130">
        <f>IFERROR(__xludf.DUMMYFUNCTION("SWITCH(
LEN(K157) - LEN(SUBSTITUTE(K157,"","","""")),
0 , VLOOKUP(K157, Variables!$A:$B, 2, FALSE),
1 , VLOOKUP(index(split(K157 ,"", "", FALSE),1,1), Variables!$A:$B , 2, FALSE) + VLOOKUP(index(split(K157 ,"", "", FALSE),1,2), Variables!$A:$B , 2, FALSE)"&amp;",
2 , VLOOKUP(index(split(K157 ,"", "", FALSE),1,1), Variables!$A:$B , 2, FALSE) + VLOOKUP(index(split(K157 ,"", "", FALSE),1,2), Variables!$A:$B , 2, FALSE) + VLOOKUP(index(split(K157 ,"", "", FALSE),1,3), Variables!$A:$B , 2, FALSE)
)
+
IF(J157=""Ranged"&amp;""", 1 , 0)"),2.3333333333333335)</f>
        <v>2.333333333</v>
      </c>
      <c r="M157" s="114"/>
      <c r="N157" s="130" t="str">
        <f>IFERROR(__xludf.DUMMYFUNCTION("IF(ISBLANK(M157), , 
SWITCH(
LEN(M157)- LEN(SUBSTITUTE(M157,"","","""")), 
0 , VLOOKUP(M157, vote4TRAITS!A:C , 3, FALSE),
1 , VLOOKUP(index(split(M157 ,"", "", FALSE),1,1), vote4TRAITS!A:C , 3, FALSE) + VLOOKUP(index(split(M157 ,"", "", FALSE),1,2), vote4"&amp;"TRAITS!A:C , 3, FALSE),
2 , VLOOKUP(index(split(M157 ,"", "", FALSE),1,1), vote4TRAITS!A:C , 3, FALSE) + VLOOKUP(index(split(M157 ,"", "", FALSE),1,2), vote4TRAITS!A:C , 3, FALSE) + VLOOKUP(index(split(M157 ,"", "", FALSE),1,3), vote4TRAITS!A:C , 3, FALSE"&amp;")
)
)"),"")</f>
        <v/>
      </c>
      <c r="O157" s="490"/>
      <c r="P157" s="165" t="str">
        <f>IFERROR(__xludf.DUMMYFUNCTION("IF(ISBLANK(O157), , 
SWITCH(
LEN(O157)- LEN(SUBSTITUTE(O157,"","","""")), 
0 , VLOOKUP(O157, vote4ACTIONS!A:C , 3, FALSE),
1 , VLOOKUP(index(split(O157 ,"", "", FALSE),1,1), vote4ACTIONS!A:C , 3, FALSE) + VLOOKUP(index(split(O157 ,"", "", FALSE),1,2), vot"&amp;"e4ACTIONS!A:C , 3, FALSE),
2 , VLOOKUP(index(split(O157 ,"", "", FALSE),1,1), vote4ACTIONS!A:C , 3, FALSE) + VLOOKUP(index(split(O157 ,"", "", FALSE),1,2), vote4ACTIONS!A:C , 3, FALSE) + VLOOKUP(index(split(O157 ,"", "", FALSE),1,3), vote4ACTIONS!A:C , 3,"&amp;" FALSE),
3 , VLOOKUP(index(split(O157 ,"", "", FALSE),1,1), vote4ACTIONS!A:C , 3, FALSE) + VLOOKUP(index(split(O157 ,"", "", FALSE),1,2), vote4ACTIONS!A:C , 3, FALSE) + VLOOKUP(index(split(O157 ,"", "", FALSE),1,3), vote4ACTIONS!A:C , 3, FALSE) + VLOOKUP("&amp;"index(split(O157 ,"", "", FALSE),1,4), vote4ACTIONS!A:C , 3, FALSE)
)
)"),"")</f>
        <v/>
      </c>
      <c r="Q157" s="340" t="s">
        <v>1539</v>
      </c>
      <c r="R157" s="342">
        <f>IF(ISBLANK(Q157),,IFERROR(
IF(IFERROR(SEARCH("SS:",Q157),0) &gt; 0, 
VLOOKUP(SUBSTITUTE(Q157,"SS: ",""),vote4SURGE!$A:$C , 3, FALSE) - 2,
VLOOKUP(SUBSTITUTE(Q157,"S: ",""),vote4SURGE!$A:$C , 3, FALSE)
)
,
IF(IFERROR(SEARCH("SS:",Q157),0) &gt; 0, 
VLOOKUP(A157,vote4SURGE!$A:$C , 3, FALSE) - 2,
VLOOKUP(A157,vote4SURGE!$A:$C , 3, FALSE)
)
))</f>
        <v>5</v>
      </c>
      <c r="S157" s="489" t="s">
        <v>2632</v>
      </c>
      <c r="T157" s="342">
        <f>IF(ISBLANK(S157),,IFERROR(
IF(IFERROR(SEARCH("SS:",S157),0) &gt; 0, 
VLOOKUP(SUBSTITUTE(S157,"SS: ",""),vote4SURGE!$A:$C , 3, FALSE) - 2,
VLOOKUP(SUBSTITUTE(S157,"S: ",""),vote4SURGE!$A:$C , 3, FALSE)
)
,
IF(IFERROR(SEARCH("SS:",S157),0) &gt; 0, 
VLOOKUP(A157,vote4SURGE!$A:$C , 3, FALSE) - 2,
VLOOKUP(A157,vote4SURGE!$A:$C , 3, FALSE)
)
))</f>
        <v>4.25</v>
      </c>
      <c r="U157" s="341"/>
      <c r="V157" s="343" t="str">
        <f>IF(ISBLANK(U157),,IFERROR(
IF(IFERROR(SEARCH("SS:",U157),0) &gt; 0, 
VLOOKUP(SUBSTITUTE(U157,"SS: ",""),vote4SURGE!$A:$C , 3, FALSE) - 2,
VLOOKUP(SUBSTITUTE(U157,"S: ",""),vote4SURGE!$A:$C , 3, FALSE)
)
,
IF(IFERROR(SEARCH("SS:",U157),0) &gt; 0, 
VLOOKUP(A157,vote4SURGE!$A:$C , 3, FALSE) - 2,
VLOOKUP(A157,vote4SURGE!$A:$C , 3, FALSE)
)
))</f>
        <v/>
      </c>
      <c r="W157" s="343">
        <f t="shared" si="1"/>
        <v>2</v>
      </c>
      <c r="X157" s="344">
        <f>IFERROR(__xludf.DUMMYFUNCTION("SWITCH(
LEN(K157) - LEN(SUBSTITUTE(K157,"","","""")),
0 , VLOOKUP(K157, Variables!$A:$C, 3, FALSE),
1 , VLOOKUP(index(split(K157 ,"", "", FALSE),1,1), Variables!$A:$C, 3, FALSE) + VLOOKUP(index(split(K157 ,"", "", FALSE),1,2), Variables!$A:$C, 3, FALSE),
"&amp;"2 , VLOOKUP(index(split(K157 ,"", "", FALSE),1,1), Variables!$A:$C, 3, FALSE) + VLOOKUP(index(split(K157 ,"", "", FALSE),1,2), Variables!$A:$C, 3, FALSE) + VLOOKUP(index(split(K157 ,"", "", FALSE),1,3), Variables!$A:$C, 3, FALSE)
)"),0.8333333333333333)</f>
        <v>0.8333333333</v>
      </c>
      <c r="Y157" s="342">
        <f t="shared" si="2"/>
        <v>6.770833333</v>
      </c>
      <c r="Z157" s="114" t="s">
        <v>2572</v>
      </c>
      <c r="AA157" s="114" t="s">
        <v>2572</v>
      </c>
      <c r="AB157" s="114"/>
      <c r="AC157" s="114"/>
      <c r="AD157" s="114"/>
      <c r="AE157" s="114"/>
      <c r="AF157" s="114"/>
      <c r="AG157" s="114"/>
      <c r="AH157" s="114"/>
      <c r="AI157" s="114"/>
      <c r="AJ157" s="114" t="s">
        <v>2574</v>
      </c>
      <c r="AK157" s="473">
        <v>9.0</v>
      </c>
      <c r="AL157" s="114" t="s">
        <v>2573</v>
      </c>
      <c r="AM157" s="473">
        <v>12.0</v>
      </c>
      <c r="AN157" s="114" t="s">
        <v>2574</v>
      </c>
      <c r="AO157" s="473">
        <v>21.0</v>
      </c>
      <c r="AP157" s="130">
        <f>SUM(
VLOOKUP("Ravage",vote4TRAITS!A:C,3,FALSE)
)</f>
        <v>7.333333333</v>
      </c>
      <c r="AQ157" s="130">
        <f t="shared" si="3"/>
        <v>15.09083333</v>
      </c>
    </row>
    <row r="158" ht="14.25" customHeight="1">
      <c r="A158" s="137" t="s">
        <v>1474</v>
      </c>
      <c r="B158" s="114" t="s">
        <v>2576</v>
      </c>
      <c r="C158" s="114">
        <v>43.0</v>
      </c>
      <c r="D158" s="114">
        <v>1.0</v>
      </c>
      <c r="E158" s="114">
        <v>4.0</v>
      </c>
      <c r="F158" s="487">
        <v>3.0</v>
      </c>
      <c r="G158" s="488">
        <v>6.0</v>
      </c>
      <c r="H158" s="114" t="s">
        <v>1663</v>
      </c>
      <c r="I158" s="130">
        <f>IFERROR(__xludf.DUMMYFUNCTION("SWITCH(
LEN(H158) - LEN(SUBSTITUTE(H158,"","","""")),
0 , VLOOKUP(H158, Variables!$A:$B, 2, FALSE),
1 , VLOOKUP(index(split(H158 ,"", "", FALSE),1,1), Variables!$A:$B , 2, FALSE) + VLOOKUP(index(split(H158 ,"", "", FALSE),1,2), Variables!$A:$B , 2, FALSE)"&amp;",
2 , VLOOKUP(index(split(H158 ,"", "", FALSE),1,1), Variables!$A:$B , 2, FALSE) + VLOOKUP(index(split(H158 ,"", "", FALSE),1,2), Variables!$A:$B , 2, FALSE) + VLOOKUP(index(split(H158 ,"", "", FALSE),1,3), Variables!$A:$B , 2, FALSE)
)"),1.3333333333333333)</f>
        <v>1.333333333</v>
      </c>
      <c r="J158" s="114" t="s">
        <v>1521</v>
      </c>
      <c r="K158" s="114" t="s">
        <v>1548</v>
      </c>
      <c r="L158" s="130">
        <f>IFERROR(__xludf.DUMMYFUNCTION("SWITCH(
LEN(K158) - LEN(SUBSTITUTE(K158,"","","""")),
0 , VLOOKUP(K158, Variables!$A:$B, 2, FALSE),
1 , VLOOKUP(index(split(K158 ,"", "", FALSE),1,1), Variables!$A:$B , 2, FALSE) + VLOOKUP(index(split(K158 ,"", "", FALSE),1,2), Variables!$A:$B , 2, FALSE)"&amp;",
2 , VLOOKUP(index(split(K158 ,"", "", FALSE),1,1), Variables!$A:$B , 2, FALSE) + VLOOKUP(index(split(K158 ,"", "", FALSE),1,2), Variables!$A:$B , 2, FALSE) + VLOOKUP(index(split(K158 ,"", "", FALSE),1,3), Variables!$A:$B , 2, FALSE)
)
+
IF(J158=""Ranged"&amp;""", 1 , 0)"),2.3333333333333335)</f>
        <v>2.333333333</v>
      </c>
      <c r="M158" s="114"/>
      <c r="N158" s="130" t="str">
        <f>IFERROR(__xludf.DUMMYFUNCTION("IF(ISBLANK(M158), , 
SWITCH(
LEN(M158)- LEN(SUBSTITUTE(M158,"","","""")), 
0 , VLOOKUP(M158, vote4TRAITS!A:C , 3, FALSE),
1 , VLOOKUP(index(split(M158 ,"", "", FALSE),1,1), vote4TRAITS!A:C , 3, FALSE) + VLOOKUP(index(split(M158 ,"", "", FALSE),1,2), vote4"&amp;"TRAITS!A:C , 3, FALSE),
2 , VLOOKUP(index(split(M158 ,"", "", FALSE),1,1), vote4TRAITS!A:C , 3, FALSE) + VLOOKUP(index(split(M158 ,"", "", FALSE),1,2), vote4TRAITS!A:C , 3, FALSE) + VLOOKUP(index(split(M158 ,"", "", FALSE),1,3), vote4TRAITS!A:C , 3, FALSE"&amp;")
)
)"),"")</f>
        <v/>
      </c>
      <c r="O158" s="490"/>
      <c r="P158" s="165" t="str">
        <f>IFERROR(__xludf.DUMMYFUNCTION("IF(ISBLANK(O158), , 
SWITCH(
LEN(O158)- LEN(SUBSTITUTE(O158,"","","""")), 
0 , VLOOKUP(O158, vote4ACTIONS!A:C , 3, FALSE),
1 , VLOOKUP(index(split(O158 ,"", "", FALSE),1,1), vote4ACTIONS!A:C , 3, FALSE) + VLOOKUP(index(split(O158 ,"", "", FALSE),1,2), vot"&amp;"e4ACTIONS!A:C , 3, FALSE),
2 , VLOOKUP(index(split(O158 ,"", "", FALSE),1,1), vote4ACTIONS!A:C , 3, FALSE) + VLOOKUP(index(split(O158 ,"", "", FALSE),1,2), vote4ACTIONS!A:C , 3, FALSE) + VLOOKUP(index(split(O158 ,"", "", FALSE),1,3), vote4ACTIONS!A:C , 3,"&amp;" FALSE),
3 , VLOOKUP(index(split(O158 ,"", "", FALSE),1,1), vote4ACTIONS!A:C , 3, FALSE) + VLOOKUP(index(split(O158 ,"", "", FALSE),1,2), vote4ACTIONS!A:C , 3, FALSE) + VLOOKUP(index(split(O158 ,"", "", FALSE),1,3), vote4ACTIONS!A:C , 3, FALSE) + VLOOKUP("&amp;"index(split(O158 ,"", "", FALSE),1,4), vote4ACTIONS!A:C , 3, FALSE)
)
)"),"")</f>
        <v/>
      </c>
      <c r="Q158" s="340" t="s">
        <v>1539</v>
      </c>
      <c r="R158" s="342">
        <f>IF(ISBLANK(Q158),,IFERROR(
IF(IFERROR(SEARCH("SS:",Q158),0) &gt; 0, 
VLOOKUP(SUBSTITUTE(Q158,"SS: ",""),vote4SURGE!$A:$C , 3, FALSE) - 2,
VLOOKUP(SUBSTITUTE(Q158,"S: ",""),vote4SURGE!$A:$C , 3, FALSE)
)
,
IF(IFERROR(SEARCH("SS:",Q158),0) &gt; 0, 
VLOOKUP(A158,vote4SURGE!$A:$C , 3, FALSE) - 2,
VLOOKUP(A158,vote4SURGE!$A:$C , 3, FALSE)
)
))</f>
        <v>5</v>
      </c>
      <c r="S158" s="489" t="s">
        <v>2632</v>
      </c>
      <c r="T158" s="342">
        <f>IF(ISBLANK(S158),,IFERROR(
IF(IFERROR(SEARCH("SS:",S158),0) &gt; 0, 
VLOOKUP(SUBSTITUTE(S158,"SS: ",""),vote4SURGE!$A:$C , 3, FALSE) - 2,
VLOOKUP(SUBSTITUTE(S158,"S: ",""),vote4SURGE!$A:$C , 3, FALSE)
)
,
IF(IFERROR(SEARCH("SS:",S158),0) &gt; 0, 
VLOOKUP(A158,vote4SURGE!$A:$C , 3, FALSE) - 2,
VLOOKUP(A158,vote4SURGE!$A:$C , 3, FALSE)
)
))</f>
        <v>4.25</v>
      </c>
      <c r="U158" s="341"/>
      <c r="V158" s="343" t="str">
        <f>IF(ISBLANK(U158),,IFERROR(
IF(IFERROR(SEARCH("SS:",U158),0) &gt; 0, 
VLOOKUP(SUBSTITUTE(U158,"SS: ",""),vote4SURGE!$A:$C , 3, FALSE) - 2,
VLOOKUP(SUBSTITUTE(U158,"S: ",""),vote4SURGE!$A:$C , 3, FALSE)
)
,
IF(IFERROR(SEARCH("SS:",U158),0) &gt; 0, 
VLOOKUP(A158,vote4SURGE!$A:$C , 3, FALSE) - 2,
VLOOKUP(A158,vote4SURGE!$A:$C , 3, FALSE)
)
))</f>
        <v/>
      </c>
      <c r="W158" s="343">
        <f t="shared" si="1"/>
        <v>2</v>
      </c>
      <c r="X158" s="344">
        <f>IFERROR(__xludf.DUMMYFUNCTION("SWITCH(
LEN(K158) - LEN(SUBSTITUTE(K158,"","","""")),
0 , VLOOKUP(K158, Variables!$A:$C, 3, FALSE),
1 , VLOOKUP(index(split(K158 ,"", "", FALSE),1,1), Variables!$A:$C, 3, FALSE) + VLOOKUP(index(split(K158 ,"", "", FALSE),1,2), Variables!$A:$C, 3, FALSE),
"&amp;"2 , VLOOKUP(index(split(K158 ,"", "", FALSE),1,1), Variables!$A:$C, 3, FALSE) + VLOOKUP(index(split(K158 ,"", "", FALSE),1,2), Variables!$A:$C, 3, FALSE) + VLOOKUP(index(split(K158 ,"", "", FALSE),1,3), Variables!$A:$C, 3, FALSE)
)"),0.8333333333333333)</f>
        <v>0.8333333333</v>
      </c>
      <c r="Y158" s="342">
        <f t="shared" si="2"/>
        <v>6.770833333</v>
      </c>
      <c r="Z158" s="114" t="s">
        <v>2572</v>
      </c>
      <c r="AA158" s="114" t="s">
        <v>2572</v>
      </c>
      <c r="AB158" s="114"/>
      <c r="AC158" s="114"/>
      <c r="AD158" s="114"/>
      <c r="AE158" s="114"/>
      <c r="AF158" s="114"/>
      <c r="AG158" s="114"/>
      <c r="AH158" s="114"/>
      <c r="AI158" s="114"/>
      <c r="AJ158" s="114" t="s">
        <v>2574</v>
      </c>
      <c r="AK158" s="473">
        <v>6.0</v>
      </c>
      <c r="AL158" s="114" t="s">
        <v>2573</v>
      </c>
      <c r="AM158" s="473">
        <v>9.0</v>
      </c>
      <c r="AN158" s="114" t="s">
        <v>2574</v>
      </c>
      <c r="AO158" s="473">
        <v>15.0</v>
      </c>
      <c r="AP158" s="130">
        <f>SUM(
VLOOKUP("Ravage",vote4TRAITS!A:C,3,FALSE)
)</f>
        <v>7.333333333</v>
      </c>
      <c r="AQ158" s="130">
        <f t="shared" si="3"/>
        <v>11.09083333</v>
      </c>
    </row>
    <row r="159" ht="14.25" customHeight="1">
      <c r="A159" s="137" t="s">
        <v>1440</v>
      </c>
      <c r="B159" s="114" t="s">
        <v>2570</v>
      </c>
      <c r="C159" s="114">
        <v>17.0</v>
      </c>
      <c r="D159" s="114">
        <v>2.0</v>
      </c>
      <c r="E159" s="114">
        <v>2.0</v>
      </c>
      <c r="F159" s="487">
        <v>2.0</v>
      </c>
      <c r="G159" s="488">
        <v>9.0</v>
      </c>
      <c r="H159" s="114" t="s">
        <v>2590</v>
      </c>
      <c r="I159" s="130">
        <f>IFERROR(__xludf.DUMMYFUNCTION("SWITCH(
LEN(H159) - LEN(SUBSTITUTE(H159,"","","""")),
0 , VLOOKUP(H159, Variables!$A:$B, 2, FALSE),
1 , VLOOKUP(index(split(H159 ,"", "", FALSE),1,1), Variables!$A:$B , 2, FALSE) + VLOOKUP(index(split(H159 ,"", "", FALSE),1,2), Variables!$A:$B , 2, FALSE)"&amp;",
2 , VLOOKUP(index(split(H159 ,"", "", FALSE),1,1), Variables!$A:$B , 2, FALSE) + VLOOKUP(index(split(H159 ,"", "", FALSE),1,2), Variables!$A:$B , 2, FALSE) + VLOOKUP(index(split(H159 ,"", "", FALSE),1,3), Variables!$A:$B , 2, FALSE)
)"),2.6666666666666665)</f>
        <v>2.666666667</v>
      </c>
      <c r="J159" s="114" t="s">
        <v>1521</v>
      </c>
      <c r="K159" s="114" t="s">
        <v>1522</v>
      </c>
      <c r="L159" s="130">
        <f>IFERROR(__xludf.DUMMYFUNCTION("SWITCH(
LEN(K159) - LEN(SUBSTITUTE(K159,"","","""")),
0 , VLOOKUP(K159, Variables!$A:$B, 2, FALSE),
1 , VLOOKUP(index(split(K159 ,"", "", FALSE),1,1), Variables!$A:$B , 2, FALSE) + VLOOKUP(index(split(K159 ,"", "", FALSE),1,2), Variables!$A:$B , 2, FALSE)"&amp;",
2 , VLOOKUP(index(split(K159 ,"", "", FALSE),1,1), Variables!$A:$B , 2, FALSE) + VLOOKUP(index(split(K159 ,"", "", FALSE),1,2), Variables!$A:$B , 2, FALSE) + VLOOKUP(index(split(K159 ,"", "", FALSE),1,3), Variables!$A:$B , 2, FALSE)
)
+
IF(J159=""Ranged"&amp;""", 1 , 0)"),3.9999999999999996)</f>
        <v>4</v>
      </c>
      <c r="M159" s="114" t="s">
        <v>1070</v>
      </c>
      <c r="N159" s="130">
        <f>IFERROR(__xludf.DUMMYFUNCTION("IF(ISBLANK(M159), , 
SWITCH(
LEN(M159)- LEN(SUBSTITUTE(M159,"","","""")), 
0 , VLOOKUP(M159, vote4TRAITS!A:C , 3, FALSE),
1 , VLOOKUP(index(split(M159 ,"", "", FALSE),1,1), vote4TRAITS!A:C , 3, FALSE) + VLOOKUP(index(split(M159 ,"", "", FALSE),1,2), vote4"&amp;"TRAITS!A:C , 3, FALSE),
2 , VLOOKUP(index(split(M159 ,"", "", FALSE),1,1), vote4TRAITS!A:C , 3, FALSE) + VLOOKUP(index(split(M159 ,"", "", FALSE),1,2), vote4TRAITS!A:C , 3, FALSE) + VLOOKUP(index(split(M159 ,"", "", FALSE),1,3), vote4TRAITS!A:C , 3, FALSE"&amp;")
)
)"),2.0)</f>
        <v>2</v>
      </c>
      <c r="O159" s="114" t="s">
        <v>1300</v>
      </c>
      <c r="P159" s="165">
        <f>IFERROR(__xludf.DUMMYFUNCTION("IF(ISBLANK(O159), , 
SWITCH(
LEN(O159)- LEN(SUBSTITUTE(O159,"","","""")), 
0 , VLOOKUP(O159, vote4ACTIONS!A:C , 3, FALSE),
1 , VLOOKUP(index(split(O159 ,"", "", FALSE),1,1), vote4ACTIONS!A:C , 3, FALSE) + VLOOKUP(index(split(O159 ,"", "", FALSE),1,2), vot"&amp;"e4ACTIONS!A:C , 3, FALSE),
2 , VLOOKUP(index(split(O159 ,"", "", FALSE),1,1), vote4ACTIONS!A:C , 3, FALSE) + VLOOKUP(index(split(O159 ,"", "", FALSE),1,2), vote4ACTIONS!A:C , 3, FALSE) + VLOOKUP(index(split(O159 ,"", "", FALSE),1,3), vote4ACTIONS!A:C , 3,"&amp;" FALSE),
3 , VLOOKUP(index(split(O159 ,"", "", FALSE),1,1), vote4ACTIONS!A:C , 3, FALSE) + VLOOKUP(index(split(O159 ,"", "", FALSE),1,2), vote4ACTIONS!A:C , 3, FALSE) + VLOOKUP(index(split(O159 ,"", "", FALSE),1,3), vote4ACTIONS!A:C , 3, FALSE) + VLOOKUP("&amp;"index(split(O159 ,"", "", FALSE),1,4), vote4ACTIONS!A:C , 3, FALSE)
)
)"),2.25)</f>
        <v>2.25</v>
      </c>
      <c r="Q159" s="340" t="s">
        <v>1539</v>
      </c>
      <c r="R159" s="342">
        <f>IF(ISBLANK(Q159),,IFERROR(
IF(IFERROR(SEARCH("SS:",Q159),0) &gt; 0, 
VLOOKUP(SUBSTITUTE(Q159,"SS: ",""),vote4SURGE!$A:$C , 3, FALSE) - 2,
VLOOKUP(SUBSTITUTE(Q159,"S: ",""),vote4SURGE!$A:$C , 3, FALSE)
)
,
IF(IFERROR(SEARCH("SS:",Q159),0) &gt; 0, 
VLOOKUP(A159,vote4SURGE!$A:$C , 3, FALSE) - 2,
VLOOKUP(A159,vote4SURGE!$A:$C , 3, FALSE)
)
))</f>
        <v>5</v>
      </c>
      <c r="S159" s="489" t="s">
        <v>1550</v>
      </c>
      <c r="T159" s="342">
        <f>IF(ISBLANK(S159),,IFERROR(
IF(IFERROR(SEARCH("SS:",S159),0) &gt; 0, 
VLOOKUP(SUBSTITUTE(S159,"SS: ",""),vote4SURGE!$A:$C , 3, FALSE) - 2,
VLOOKUP(SUBSTITUTE(S159,"S: ",""),vote4SURGE!$A:$C , 3, FALSE)
)
,
IF(IFERROR(SEARCH("SS:",S159),0) &gt; 0, 
VLOOKUP(A159,vote4SURGE!$A:$C , 3, FALSE) - 2,
VLOOKUP(A159,vote4SURGE!$A:$C , 3, FALSE)
)
))</f>
        <v>3.75</v>
      </c>
      <c r="U159" s="341"/>
      <c r="V159" s="343" t="str">
        <f>IF(ISBLANK(U159),,IFERROR(
IF(IFERROR(SEARCH("SS:",U159),0) &gt; 0, 
VLOOKUP(SUBSTITUTE(U159,"SS: ",""),vote4SURGE!$A:$C , 3, FALSE) - 2,
VLOOKUP(SUBSTITUTE(U159,"S: ",""),vote4SURGE!$A:$C , 3, FALSE)
)
,
IF(IFERROR(SEARCH("SS:",U159),0) &gt; 0, 
VLOOKUP(A159,vote4SURGE!$A:$C , 3, FALSE) - 2,
VLOOKUP(A159,vote4SURGE!$A:$C , 3, FALSE)
)
))</f>
        <v/>
      </c>
      <c r="W159" s="343">
        <f t="shared" si="1"/>
        <v>2</v>
      </c>
      <c r="X159" s="344">
        <f>IFERROR(__xludf.DUMMYFUNCTION("SWITCH(
LEN(K159) - LEN(SUBSTITUTE(K159,"","","""")),
0 , VLOOKUP(K159, Variables!$A:$C, 3, FALSE),
1 , VLOOKUP(index(split(K159 ,"", "", FALSE),1,1), Variables!$A:$C, 3, FALSE) + VLOOKUP(index(split(K159 ,"", "", FALSE),1,2), Variables!$A:$C, 3, FALSE),
"&amp;"2 , VLOOKUP(index(split(K159 ,"", "", FALSE),1,1), Variables!$A:$C, 3, FALSE) + VLOOKUP(index(split(K159 ,"", "", FALSE),1,2), Variables!$A:$C, 3, FALSE) + VLOOKUP(index(split(K159 ,"", "", FALSE),1,3), Variables!$A:$C, 3, FALSE)
)"),1.1666666666666665)</f>
        <v>1.166666667</v>
      </c>
      <c r="Y159" s="342">
        <f t="shared" si="2"/>
        <v>7.1875</v>
      </c>
      <c r="Z159" s="114"/>
      <c r="AA159" s="114" t="s">
        <v>2572</v>
      </c>
      <c r="AB159" s="114"/>
      <c r="AC159" s="114"/>
      <c r="AD159" s="114"/>
      <c r="AE159" s="114"/>
      <c r="AF159" s="114"/>
      <c r="AG159" s="114"/>
      <c r="AH159" s="114" t="s">
        <v>2572</v>
      </c>
      <c r="AI159" s="114"/>
      <c r="AJ159" s="114" t="s">
        <v>2574</v>
      </c>
      <c r="AK159" s="473">
        <v>9.0</v>
      </c>
      <c r="AL159" s="114" t="s">
        <v>2574</v>
      </c>
      <c r="AM159" s="473">
        <v>15.0</v>
      </c>
      <c r="AN159" s="114" t="s">
        <v>2574</v>
      </c>
      <c r="AO159" s="473">
        <v>21.0</v>
      </c>
      <c r="AP159" s="130">
        <f>SUM(
VLOOKUP("Ravage",vote4TRAITS!A:C,3,FALSE)
)</f>
        <v>7.333333333</v>
      </c>
      <c r="AQ159" s="130">
        <f t="shared" si="3"/>
        <v>33.09416667</v>
      </c>
    </row>
    <row r="160" ht="14.25" customHeight="1">
      <c r="A160" s="137" t="s">
        <v>1440</v>
      </c>
      <c r="B160" s="114" t="s">
        <v>2570</v>
      </c>
      <c r="C160" s="114">
        <v>17.0</v>
      </c>
      <c r="D160" s="114">
        <v>1.0</v>
      </c>
      <c r="E160" s="114">
        <v>2.0</v>
      </c>
      <c r="F160" s="487">
        <v>2.0</v>
      </c>
      <c r="G160" s="488">
        <v>7.0</v>
      </c>
      <c r="H160" s="114" t="s">
        <v>2575</v>
      </c>
      <c r="I160" s="130">
        <f>IFERROR(__xludf.DUMMYFUNCTION("SWITCH(
LEN(H160) - LEN(SUBSTITUTE(H160,"","","""")),
0 , VLOOKUP(H160, Variables!$A:$B, 2, FALSE),
1 , VLOOKUP(index(split(H160 ,"", "", FALSE),1,1), Variables!$A:$B , 2, FALSE) + VLOOKUP(index(split(H160 ,"", "", FALSE),1,2), Variables!$A:$B , 2, FALSE)"&amp;",
2 , VLOOKUP(index(split(H160 ,"", "", FALSE),1,1), Variables!$A:$B , 2, FALSE) + VLOOKUP(index(split(H160 ,"", "", FALSE),1,2), Variables!$A:$B , 2, FALSE) + VLOOKUP(index(split(H160 ,"", "", FALSE),1,3), Variables!$A:$B , 2, FALSE)
)"),2.0)</f>
        <v>2</v>
      </c>
      <c r="J160" s="114" t="s">
        <v>1521</v>
      </c>
      <c r="K160" s="114" t="s">
        <v>1525</v>
      </c>
      <c r="L160" s="130">
        <f>IFERROR(__xludf.DUMMYFUNCTION("SWITCH(
LEN(K160) - LEN(SUBSTITUTE(K160,"","","""")),
0 , VLOOKUP(K160, Variables!$A:$B, 2, FALSE),
1 , VLOOKUP(index(split(K160 ,"", "", FALSE),1,1), Variables!$A:$B , 2, FALSE) + VLOOKUP(index(split(K160 ,"", "", FALSE),1,2), Variables!$A:$B , 2, FALSE)"&amp;",
2 , VLOOKUP(index(split(K160 ,"", "", FALSE),1,1), Variables!$A:$B , 2, FALSE) + VLOOKUP(index(split(K160 ,"", "", FALSE),1,2), Variables!$A:$B , 2, FALSE) + VLOOKUP(index(split(K160 ,"", "", FALSE),1,3), Variables!$A:$B , 2, FALSE)
)
+
IF(J160=""Ranged"&amp;""", 1 , 0)"),3.333333333333333)</f>
        <v>3.333333333</v>
      </c>
      <c r="M160" s="114" t="s">
        <v>1070</v>
      </c>
      <c r="N160" s="130">
        <f>IFERROR(__xludf.DUMMYFUNCTION("IF(ISBLANK(M160), , 
SWITCH(
LEN(M160)- LEN(SUBSTITUTE(M160,"","","""")), 
0 , VLOOKUP(M160, vote4TRAITS!A:C , 3, FALSE),
1 , VLOOKUP(index(split(M160 ,"", "", FALSE),1,1), vote4TRAITS!A:C , 3, FALSE) + VLOOKUP(index(split(M160 ,"", "", FALSE),1,2), vote4"&amp;"TRAITS!A:C , 3, FALSE),
2 , VLOOKUP(index(split(M160 ,"", "", FALSE),1,1), vote4TRAITS!A:C , 3, FALSE) + VLOOKUP(index(split(M160 ,"", "", FALSE),1,2), vote4TRAITS!A:C , 3, FALSE) + VLOOKUP(index(split(M160 ,"", "", FALSE),1,3), vote4TRAITS!A:C , 3, FALSE"&amp;")
)
)"),2.0)</f>
        <v>2</v>
      </c>
      <c r="O160" s="114" t="s">
        <v>1300</v>
      </c>
      <c r="P160" s="165">
        <f>IFERROR(__xludf.DUMMYFUNCTION("IF(ISBLANK(O160), , 
SWITCH(
LEN(O160)- LEN(SUBSTITUTE(O160,"","","""")), 
0 , VLOOKUP(O160, vote4ACTIONS!A:C , 3, FALSE),
1 , VLOOKUP(index(split(O160 ,"", "", FALSE),1,1), vote4ACTIONS!A:C , 3, FALSE) + VLOOKUP(index(split(O160 ,"", "", FALSE),1,2), vot"&amp;"e4ACTIONS!A:C , 3, FALSE),
2 , VLOOKUP(index(split(O160 ,"", "", FALSE),1,1), vote4ACTIONS!A:C , 3, FALSE) + VLOOKUP(index(split(O160 ,"", "", FALSE),1,2), vote4ACTIONS!A:C , 3, FALSE) + VLOOKUP(index(split(O160 ,"", "", FALSE),1,3), vote4ACTIONS!A:C , 3,"&amp;" FALSE),
3 , VLOOKUP(index(split(O160 ,"", "", FALSE),1,1), vote4ACTIONS!A:C , 3, FALSE) + VLOOKUP(index(split(O160 ,"", "", FALSE),1,2), vote4ACTIONS!A:C , 3, FALSE) + VLOOKUP(index(split(O160 ,"", "", FALSE),1,3), vote4ACTIONS!A:C , 3, FALSE) + VLOOKUP("&amp;"index(split(O160 ,"", "", FALSE),1,4), vote4ACTIONS!A:C , 3, FALSE)
)
)"),2.25)</f>
        <v>2.25</v>
      </c>
      <c r="Q160" s="340" t="s">
        <v>1534</v>
      </c>
      <c r="R160" s="342">
        <f>IF(ISBLANK(Q160),,IFERROR(
IF(IFERROR(SEARCH("SS:",Q160),0) &gt; 0, 
VLOOKUP(SUBSTITUTE(Q160,"SS: ",""),vote4SURGE!$A:$C , 3, FALSE) - 2,
VLOOKUP(SUBSTITUTE(Q160,"S: ",""),vote4SURGE!$A:$C , 3, FALSE)
)
,
IF(IFERROR(SEARCH("SS:",Q160),0) &gt; 0, 
VLOOKUP(A160,vote4SURGE!$A:$C , 3, FALSE) - 2,
VLOOKUP(A160,vote4SURGE!$A:$C , 3, FALSE)
)
))</f>
        <v>4.25</v>
      </c>
      <c r="S160" s="489" t="s">
        <v>1550</v>
      </c>
      <c r="T160" s="342">
        <f>IF(ISBLANK(S160),,IFERROR(
IF(IFERROR(SEARCH("SS:",S160),0) &gt; 0, 
VLOOKUP(SUBSTITUTE(S160,"SS: ",""),vote4SURGE!$A:$C , 3, FALSE) - 2,
VLOOKUP(SUBSTITUTE(S160,"S: ",""),vote4SURGE!$A:$C , 3, FALSE)
)
,
IF(IFERROR(SEARCH("SS:",S160),0) &gt; 0, 
VLOOKUP(A160,vote4SURGE!$A:$C , 3, FALSE) - 2,
VLOOKUP(A160,vote4SURGE!$A:$C , 3, FALSE)
)
))</f>
        <v>3.75</v>
      </c>
      <c r="U160" s="341"/>
      <c r="V160" s="343" t="str">
        <f>IF(ISBLANK(U160),,IFERROR(
IF(IFERROR(SEARCH("SS:",U160),0) &gt; 0, 
VLOOKUP(SUBSTITUTE(U160,"SS: ",""),vote4SURGE!$A:$C , 3, FALSE) - 2,
VLOOKUP(SUBSTITUTE(U160,"S: ",""),vote4SURGE!$A:$C , 3, FALSE)
)
,
IF(IFERROR(SEARCH("SS:",U160),0) &gt; 0, 
VLOOKUP(A160,vote4SURGE!$A:$C , 3, FALSE) - 2,
VLOOKUP(A160,vote4SURGE!$A:$C , 3, FALSE)
)
))</f>
        <v/>
      </c>
      <c r="W160" s="343">
        <f t="shared" si="1"/>
        <v>2</v>
      </c>
      <c r="X160" s="344">
        <f>IFERROR(__xludf.DUMMYFUNCTION("SWITCH(
LEN(K160) - LEN(SUBSTITUTE(K160,"","","""")),
0 , VLOOKUP(K160, Variables!$A:$C, 3, FALSE),
1 , VLOOKUP(index(split(K160 ,"", "", FALSE),1,1), Variables!$A:$C, 3, FALSE) + VLOOKUP(index(split(K160 ,"", "", FALSE),1,2), Variables!$A:$C, 3, FALSE),
"&amp;"2 , VLOOKUP(index(split(K160 ,"", "", FALSE),1,1), Variables!$A:$C, 3, FALSE) + VLOOKUP(index(split(K160 ,"", "", FALSE),1,2), Variables!$A:$C, 3, FALSE) + VLOOKUP(index(split(K160 ,"", "", FALSE),1,3), Variables!$A:$C, 3, FALSE)
)"),0.5)</f>
        <v>0.5</v>
      </c>
      <c r="Y160" s="342">
        <f t="shared" si="2"/>
        <v>5.1875</v>
      </c>
      <c r="Z160" s="114"/>
      <c r="AA160" s="114" t="s">
        <v>2572</v>
      </c>
      <c r="AB160" s="114"/>
      <c r="AC160" s="114"/>
      <c r="AD160" s="114"/>
      <c r="AE160" s="114"/>
      <c r="AF160" s="114"/>
      <c r="AG160" s="114"/>
      <c r="AH160" s="114" t="s">
        <v>2572</v>
      </c>
      <c r="AI160" s="114"/>
      <c r="AJ160" s="114" t="s">
        <v>2574</v>
      </c>
      <c r="AK160" s="473">
        <v>7.0</v>
      </c>
      <c r="AL160" s="114" t="s">
        <v>2574</v>
      </c>
      <c r="AM160" s="473">
        <v>12.0</v>
      </c>
      <c r="AN160" s="114" t="s">
        <v>2574</v>
      </c>
      <c r="AO160" s="473">
        <v>17.0</v>
      </c>
      <c r="AP160" s="130">
        <f>SUM(
VLOOKUP("Ravage",vote4TRAITS!A:C,3,FALSE)
)</f>
        <v>7.333333333</v>
      </c>
      <c r="AQ160" s="130">
        <f t="shared" si="3"/>
        <v>20.4275</v>
      </c>
    </row>
    <row r="161" ht="14.25" customHeight="1">
      <c r="A161" s="137" t="s">
        <v>1440</v>
      </c>
      <c r="B161" s="114" t="s">
        <v>2576</v>
      </c>
      <c r="C161" s="114">
        <v>17.0</v>
      </c>
      <c r="D161" s="114">
        <v>2.0</v>
      </c>
      <c r="E161" s="114">
        <v>2.0</v>
      </c>
      <c r="F161" s="487">
        <v>2.0</v>
      </c>
      <c r="G161" s="488">
        <v>6.0</v>
      </c>
      <c r="H161" s="114" t="s">
        <v>2590</v>
      </c>
      <c r="I161" s="130">
        <f>IFERROR(__xludf.DUMMYFUNCTION("SWITCH(
LEN(H161) - LEN(SUBSTITUTE(H161,"","","""")),
0 , VLOOKUP(H161, Variables!$A:$B, 2, FALSE),
1 , VLOOKUP(index(split(H161 ,"", "", FALSE),1,1), Variables!$A:$B , 2, FALSE) + VLOOKUP(index(split(H161 ,"", "", FALSE),1,2), Variables!$A:$B , 2, FALSE)"&amp;",
2 , VLOOKUP(index(split(H161 ,"", "", FALSE),1,1), Variables!$A:$B , 2, FALSE) + VLOOKUP(index(split(H161 ,"", "", FALSE),1,2), Variables!$A:$B , 2, FALSE) + VLOOKUP(index(split(H161 ,"", "", FALSE),1,3), Variables!$A:$B , 2, FALSE)
)"),2.6666666666666665)</f>
        <v>2.666666667</v>
      </c>
      <c r="J161" s="114" t="s">
        <v>1521</v>
      </c>
      <c r="K161" s="114" t="s">
        <v>1522</v>
      </c>
      <c r="L161" s="130">
        <f>IFERROR(__xludf.DUMMYFUNCTION("SWITCH(
LEN(K161) - LEN(SUBSTITUTE(K161,"","","""")),
0 , VLOOKUP(K161, Variables!$A:$B, 2, FALSE),
1 , VLOOKUP(index(split(K161 ,"", "", FALSE),1,1), Variables!$A:$B , 2, FALSE) + VLOOKUP(index(split(K161 ,"", "", FALSE),1,2), Variables!$A:$B , 2, FALSE)"&amp;",
2 , VLOOKUP(index(split(K161 ,"", "", FALSE),1,1), Variables!$A:$B , 2, FALSE) + VLOOKUP(index(split(K161 ,"", "", FALSE),1,2), Variables!$A:$B , 2, FALSE) + VLOOKUP(index(split(K161 ,"", "", FALSE),1,3), Variables!$A:$B , 2, FALSE)
)
+
IF(J161=""Ranged"&amp;""", 1 , 0)"),3.9999999999999996)</f>
        <v>4</v>
      </c>
      <c r="M161" s="114"/>
      <c r="N161" s="130" t="str">
        <f>IFERROR(__xludf.DUMMYFUNCTION("IF(ISBLANK(M161), , 
SWITCH(
LEN(M161)- LEN(SUBSTITUTE(M161,"","","""")), 
0 , VLOOKUP(M161, vote4TRAITS!A:C , 3, FALSE),
1 , VLOOKUP(index(split(M161 ,"", "", FALSE),1,1), vote4TRAITS!A:C , 3, FALSE) + VLOOKUP(index(split(M161 ,"", "", FALSE),1,2), vote4"&amp;"TRAITS!A:C , 3, FALSE),
2 , VLOOKUP(index(split(M161 ,"", "", FALSE),1,1), vote4TRAITS!A:C , 3, FALSE) + VLOOKUP(index(split(M161 ,"", "", FALSE),1,2), vote4TRAITS!A:C , 3, FALSE) + VLOOKUP(index(split(M161 ,"", "", FALSE),1,3), vote4TRAITS!A:C , 3, FALSE"&amp;")
)
)"),"")</f>
        <v/>
      </c>
      <c r="O161" s="114" t="s">
        <v>1300</v>
      </c>
      <c r="P161" s="165">
        <f>IFERROR(__xludf.DUMMYFUNCTION("IF(ISBLANK(O161), , 
SWITCH(
LEN(O161)- LEN(SUBSTITUTE(O161,"","","""")), 
0 , VLOOKUP(O161, vote4ACTIONS!A:C , 3, FALSE),
1 , VLOOKUP(index(split(O161 ,"", "", FALSE),1,1), vote4ACTIONS!A:C , 3, FALSE) + VLOOKUP(index(split(O161 ,"", "", FALSE),1,2), vot"&amp;"e4ACTIONS!A:C , 3, FALSE),
2 , VLOOKUP(index(split(O161 ,"", "", FALSE),1,1), vote4ACTIONS!A:C , 3, FALSE) + VLOOKUP(index(split(O161 ,"", "", FALSE),1,2), vote4ACTIONS!A:C , 3, FALSE) + VLOOKUP(index(split(O161 ,"", "", FALSE),1,3), vote4ACTIONS!A:C , 3,"&amp;" FALSE),
3 , VLOOKUP(index(split(O161 ,"", "", FALSE),1,1), vote4ACTIONS!A:C , 3, FALSE) + VLOOKUP(index(split(O161 ,"", "", FALSE),1,2), vote4ACTIONS!A:C , 3, FALSE) + VLOOKUP(index(split(O161 ,"", "", FALSE),1,3), vote4ACTIONS!A:C , 3, FALSE) + VLOOKUP("&amp;"index(split(O161 ,"", "", FALSE),1,4), vote4ACTIONS!A:C , 3, FALSE)
)
)"),2.25)</f>
        <v>2.25</v>
      </c>
      <c r="Q161" s="340" t="s">
        <v>1534</v>
      </c>
      <c r="R161" s="342">
        <f>IF(ISBLANK(Q161),,IFERROR(
IF(IFERROR(SEARCH("SS:",Q161),0) &gt; 0, 
VLOOKUP(SUBSTITUTE(Q161,"SS: ",""),vote4SURGE!$A:$C , 3, FALSE) - 2,
VLOOKUP(SUBSTITUTE(Q161,"S: ",""),vote4SURGE!$A:$C , 3, FALSE)
)
,
IF(IFERROR(SEARCH("SS:",Q161),0) &gt; 0, 
VLOOKUP(A161,vote4SURGE!$A:$C , 3, FALSE) - 2,
VLOOKUP(A161,vote4SURGE!$A:$C , 3, FALSE)
)
))</f>
        <v>4.25</v>
      </c>
      <c r="S161" s="489" t="s">
        <v>1550</v>
      </c>
      <c r="T161" s="342">
        <f>IF(ISBLANK(S161),,IFERROR(
IF(IFERROR(SEARCH("SS:",S161),0) &gt; 0, 
VLOOKUP(SUBSTITUTE(S161,"SS: ",""),vote4SURGE!$A:$C , 3, FALSE) - 2,
VLOOKUP(SUBSTITUTE(S161,"S: ",""),vote4SURGE!$A:$C , 3, FALSE)
)
,
IF(IFERROR(SEARCH("SS:",S161),0) &gt; 0, 
VLOOKUP(A161,vote4SURGE!$A:$C , 3, FALSE) - 2,
VLOOKUP(A161,vote4SURGE!$A:$C , 3, FALSE)
)
))</f>
        <v>3.75</v>
      </c>
      <c r="U161" s="341"/>
      <c r="V161" s="343" t="str">
        <f>IF(ISBLANK(U161),,IFERROR(
IF(IFERROR(SEARCH("SS:",U161),0) &gt; 0, 
VLOOKUP(SUBSTITUTE(U161,"SS: ",""),vote4SURGE!$A:$C , 3, FALSE) - 2,
VLOOKUP(SUBSTITUTE(U161,"S: ",""),vote4SURGE!$A:$C , 3, FALSE)
)
,
IF(IFERROR(SEARCH("SS:",U161),0) &gt; 0, 
VLOOKUP(A161,vote4SURGE!$A:$C , 3, FALSE) - 2,
VLOOKUP(A161,vote4SURGE!$A:$C , 3, FALSE)
)
))</f>
        <v/>
      </c>
      <c r="W161" s="343">
        <f t="shared" si="1"/>
        <v>2</v>
      </c>
      <c r="X161" s="344">
        <f>IFERROR(__xludf.DUMMYFUNCTION("SWITCH(
LEN(K161) - LEN(SUBSTITUTE(K161,"","","""")),
0 , VLOOKUP(K161, Variables!$A:$C, 3, FALSE),
1 , VLOOKUP(index(split(K161 ,"", "", FALSE),1,1), Variables!$A:$C, 3, FALSE) + VLOOKUP(index(split(K161 ,"", "", FALSE),1,2), Variables!$A:$C, 3, FALSE),
"&amp;"2 , VLOOKUP(index(split(K161 ,"", "", FALSE),1,1), Variables!$A:$C, 3, FALSE) + VLOOKUP(index(split(K161 ,"", "", FALSE),1,2), Variables!$A:$C, 3, FALSE) + VLOOKUP(index(split(K161 ,"", "", FALSE),1,3), Variables!$A:$C, 3, FALSE)
)"),1.1666666666666665)</f>
        <v>1.166666667</v>
      </c>
      <c r="Y161" s="342">
        <f t="shared" si="2"/>
        <v>6.4375</v>
      </c>
      <c r="Z161" s="114"/>
      <c r="AA161" s="114" t="s">
        <v>2572</v>
      </c>
      <c r="AB161" s="114"/>
      <c r="AC161" s="114"/>
      <c r="AD161" s="114"/>
      <c r="AE161" s="114"/>
      <c r="AF161" s="114"/>
      <c r="AG161" s="114"/>
      <c r="AH161" s="114" t="s">
        <v>2572</v>
      </c>
      <c r="AI161" s="114"/>
      <c r="AJ161" s="114" t="s">
        <v>2573</v>
      </c>
      <c r="AK161" s="473">
        <v>9.0</v>
      </c>
      <c r="AL161" s="114" t="s">
        <v>2574</v>
      </c>
      <c r="AM161" s="473">
        <v>15.0</v>
      </c>
      <c r="AN161" s="114" t="s">
        <v>369</v>
      </c>
      <c r="AO161" s="473">
        <v>21.0</v>
      </c>
      <c r="AP161" s="130">
        <f>SUM(
VLOOKUP("Ravage",vote4TRAITS!A:C,3,FALSE)
)</f>
        <v>7.333333333</v>
      </c>
      <c r="AQ161" s="130">
        <f t="shared" si="3"/>
        <v>22.34416667</v>
      </c>
    </row>
    <row r="162" ht="14.25" customHeight="1">
      <c r="A162" s="137" t="s">
        <v>1440</v>
      </c>
      <c r="B162" s="114" t="s">
        <v>2576</v>
      </c>
      <c r="C162" s="114">
        <v>17.0</v>
      </c>
      <c r="D162" s="114">
        <v>1.0</v>
      </c>
      <c r="E162" s="114">
        <v>2.0</v>
      </c>
      <c r="F162" s="487">
        <v>2.0</v>
      </c>
      <c r="G162" s="488">
        <v>5.0</v>
      </c>
      <c r="H162" s="114" t="s">
        <v>2575</v>
      </c>
      <c r="I162" s="130">
        <f>IFERROR(__xludf.DUMMYFUNCTION("SWITCH(
LEN(H162) - LEN(SUBSTITUTE(H162,"","","""")),
0 , VLOOKUP(H162, Variables!$A:$B, 2, FALSE),
1 , VLOOKUP(index(split(H162 ,"", "", FALSE),1,1), Variables!$A:$B , 2, FALSE) + VLOOKUP(index(split(H162 ,"", "", FALSE),1,2), Variables!$A:$B , 2, FALSE)"&amp;",
2 , VLOOKUP(index(split(H162 ,"", "", FALSE),1,1), Variables!$A:$B , 2, FALSE) + VLOOKUP(index(split(H162 ,"", "", FALSE),1,2), Variables!$A:$B , 2, FALSE) + VLOOKUP(index(split(H162 ,"", "", FALSE),1,3), Variables!$A:$B , 2, FALSE)
)"),2.0)</f>
        <v>2</v>
      </c>
      <c r="J162" s="114" t="s">
        <v>1521</v>
      </c>
      <c r="K162" s="114" t="s">
        <v>1525</v>
      </c>
      <c r="L162" s="130">
        <f>IFERROR(__xludf.DUMMYFUNCTION("SWITCH(
LEN(K162) - LEN(SUBSTITUTE(K162,"","","""")),
0 , VLOOKUP(K162, Variables!$A:$B, 2, FALSE),
1 , VLOOKUP(index(split(K162 ,"", "", FALSE),1,1), Variables!$A:$B , 2, FALSE) + VLOOKUP(index(split(K162 ,"", "", FALSE),1,2), Variables!$A:$B , 2, FALSE)"&amp;",
2 , VLOOKUP(index(split(K162 ,"", "", FALSE),1,1), Variables!$A:$B , 2, FALSE) + VLOOKUP(index(split(K162 ,"", "", FALSE),1,2), Variables!$A:$B , 2, FALSE) + VLOOKUP(index(split(K162 ,"", "", FALSE),1,3), Variables!$A:$B , 2, FALSE)
)
+
IF(J162=""Ranged"&amp;""", 1 , 0)"),3.333333333333333)</f>
        <v>3.333333333</v>
      </c>
      <c r="M162" s="114"/>
      <c r="N162" s="130" t="str">
        <f>IFERROR(__xludf.DUMMYFUNCTION("IF(ISBLANK(M162), , 
SWITCH(
LEN(M162)- LEN(SUBSTITUTE(M162,"","","""")), 
0 , VLOOKUP(M162, vote4TRAITS!A:C , 3, FALSE),
1 , VLOOKUP(index(split(M162 ,"", "", FALSE),1,1), vote4TRAITS!A:C , 3, FALSE) + VLOOKUP(index(split(M162 ,"", "", FALSE),1,2), vote4"&amp;"TRAITS!A:C , 3, FALSE),
2 , VLOOKUP(index(split(M162 ,"", "", FALSE),1,1), vote4TRAITS!A:C , 3, FALSE) + VLOOKUP(index(split(M162 ,"", "", FALSE),1,2), vote4TRAITS!A:C , 3, FALSE) + VLOOKUP(index(split(M162 ,"", "", FALSE),1,3), vote4TRAITS!A:C , 3, FALSE"&amp;")
)
)"),"")</f>
        <v/>
      </c>
      <c r="O162" s="114" t="s">
        <v>1300</v>
      </c>
      <c r="P162" s="165">
        <f>IFERROR(__xludf.DUMMYFUNCTION("IF(ISBLANK(O162), , 
SWITCH(
LEN(O162)- LEN(SUBSTITUTE(O162,"","","""")), 
0 , VLOOKUP(O162, vote4ACTIONS!A:C , 3, FALSE),
1 , VLOOKUP(index(split(O162 ,"", "", FALSE),1,1), vote4ACTIONS!A:C , 3, FALSE) + VLOOKUP(index(split(O162 ,"", "", FALSE),1,2), vot"&amp;"e4ACTIONS!A:C , 3, FALSE),
2 , VLOOKUP(index(split(O162 ,"", "", FALSE),1,1), vote4ACTIONS!A:C , 3, FALSE) + VLOOKUP(index(split(O162 ,"", "", FALSE),1,2), vote4ACTIONS!A:C , 3, FALSE) + VLOOKUP(index(split(O162 ,"", "", FALSE),1,3), vote4ACTIONS!A:C , 3,"&amp;" FALSE),
3 , VLOOKUP(index(split(O162 ,"", "", FALSE),1,1), vote4ACTIONS!A:C , 3, FALSE) + VLOOKUP(index(split(O162 ,"", "", FALSE),1,2), vote4ACTIONS!A:C , 3, FALSE) + VLOOKUP(index(split(O162 ,"", "", FALSE),1,3), vote4ACTIONS!A:C , 3, FALSE) + VLOOKUP("&amp;"index(split(O162 ,"", "", FALSE),1,4), vote4ACTIONS!A:C , 3, FALSE)
)
)"),2.25)</f>
        <v>2.25</v>
      </c>
      <c r="Q162" s="340" t="s">
        <v>1562</v>
      </c>
      <c r="R162" s="342">
        <f>IF(ISBLANK(Q162),,IFERROR(
IF(IFERROR(SEARCH("SS:",Q162),0) &gt; 0, 
VLOOKUP(SUBSTITUTE(Q162,"SS: ",""),vote4SURGE!$A:$C , 3, FALSE) - 2,
VLOOKUP(SUBSTITUTE(Q162,"S: ",""),vote4SURGE!$A:$C , 3, FALSE)
)
,
IF(IFERROR(SEARCH("SS:",Q162),0) &gt; 0, 
VLOOKUP(A162,vote4SURGE!$A:$C , 3, FALSE) - 2,
VLOOKUP(A162,vote4SURGE!$A:$C , 3, FALSE)
)
))</f>
        <v>3.5</v>
      </c>
      <c r="S162" s="489" t="s">
        <v>1550</v>
      </c>
      <c r="T162" s="342">
        <f>IF(ISBLANK(S162),,IFERROR(
IF(IFERROR(SEARCH("SS:",S162),0) &gt; 0, 
VLOOKUP(SUBSTITUTE(S162,"SS: ",""),vote4SURGE!$A:$C , 3, FALSE) - 2,
VLOOKUP(SUBSTITUTE(S162,"S: ",""),vote4SURGE!$A:$C , 3, FALSE)
)
,
IF(IFERROR(SEARCH("SS:",S162),0) &gt; 0, 
VLOOKUP(A162,vote4SURGE!$A:$C , 3, FALSE) - 2,
VLOOKUP(A162,vote4SURGE!$A:$C , 3, FALSE)
)
))</f>
        <v>3.75</v>
      </c>
      <c r="U162" s="164"/>
      <c r="V162" s="343" t="str">
        <f>IF(ISBLANK(U162),,IFERROR(
IF(IFERROR(SEARCH("SS:",U162),0) &gt; 0, 
VLOOKUP(SUBSTITUTE(U162,"SS: ",""),vote4SURGE!$A:$C , 3, FALSE) - 2,
VLOOKUP(SUBSTITUTE(U162,"S: ",""),vote4SURGE!$A:$C , 3, FALSE)
)
,
IF(IFERROR(SEARCH("SS:",U162),0) &gt; 0, 
VLOOKUP(A162,vote4SURGE!$A:$C , 3, FALSE) - 2,
VLOOKUP(A162,vote4SURGE!$A:$C , 3, FALSE)
)
))</f>
        <v/>
      </c>
      <c r="W162" s="343">
        <f t="shared" si="1"/>
        <v>2</v>
      </c>
      <c r="X162" s="344">
        <f>IFERROR(__xludf.DUMMYFUNCTION("SWITCH(
LEN(K162) - LEN(SUBSTITUTE(K162,"","","""")),
0 , VLOOKUP(K162, Variables!$A:$C, 3, FALSE),
1 , VLOOKUP(index(split(K162 ,"", "", FALSE),1,1), Variables!$A:$C, 3, FALSE) + VLOOKUP(index(split(K162 ,"", "", FALSE),1,2), Variables!$A:$C, 3, FALSE),
"&amp;"2 , VLOOKUP(index(split(K162 ,"", "", FALSE),1,1), Variables!$A:$C, 3, FALSE) + VLOOKUP(index(split(K162 ,"", "", FALSE),1,2), Variables!$A:$C, 3, FALSE) + VLOOKUP(index(split(K162 ,"", "", FALSE),1,3), Variables!$A:$C, 3, FALSE)
)"),0.5)</f>
        <v>0.5</v>
      </c>
      <c r="Y162" s="342">
        <f t="shared" si="2"/>
        <v>4.625</v>
      </c>
      <c r="Z162" s="114"/>
      <c r="AA162" s="114" t="s">
        <v>2572</v>
      </c>
      <c r="AB162" s="114"/>
      <c r="AC162" s="114"/>
      <c r="AD162" s="114"/>
      <c r="AE162" s="114"/>
      <c r="AF162" s="114"/>
      <c r="AG162" s="114"/>
      <c r="AH162" s="114" t="s">
        <v>2572</v>
      </c>
      <c r="AI162" s="114"/>
      <c r="AJ162" s="114" t="s">
        <v>2573</v>
      </c>
      <c r="AK162" s="473">
        <v>7.0</v>
      </c>
      <c r="AL162" s="114" t="s">
        <v>2574</v>
      </c>
      <c r="AM162" s="473">
        <v>12.0</v>
      </c>
      <c r="AN162" s="114" t="s">
        <v>369</v>
      </c>
      <c r="AO162" s="473">
        <v>17.0</v>
      </c>
      <c r="AP162" s="130">
        <f>SUM(
VLOOKUP("Ravage",vote4TRAITS!A:C,3,FALSE)
)</f>
        <v>7.333333333</v>
      </c>
      <c r="AQ162" s="130">
        <f t="shared" si="3"/>
        <v>13.865</v>
      </c>
    </row>
    <row r="163" ht="14.25" customHeight="1">
      <c r="A163" s="137" t="s">
        <v>2633</v>
      </c>
      <c r="B163" s="114" t="s">
        <v>2570</v>
      </c>
      <c r="C163" s="114">
        <v>20.0</v>
      </c>
      <c r="D163" s="114">
        <v>2.0</v>
      </c>
      <c r="E163" s="114">
        <v>2.0</v>
      </c>
      <c r="F163" s="487">
        <v>3.0</v>
      </c>
      <c r="G163" s="488">
        <v>6.0</v>
      </c>
      <c r="H163" s="114" t="s">
        <v>1663</v>
      </c>
      <c r="I163" s="130">
        <f>IFERROR(__xludf.DUMMYFUNCTION("SWITCH(
LEN(H163) - LEN(SUBSTITUTE(H163,"","","""")),
0 , VLOOKUP(H163, Variables!$A:$B, 2, FALSE),
1 , VLOOKUP(index(split(H163 ,"", "", FALSE),1,1), Variables!$A:$B , 2, FALSE) + VLOOKUP(index(split(H163 ,"", "", FALSE),1,2), Variables!$A:$B , 2, FALSE)"&amp;",
2 , VLOOKUP(index(split(H163 ,"", "", FALSE),1,1), Variables!$A:$B , 2, FALSE) + VLOOKUP(index(split(H163 ,"", "", FALSE),1,2), Variables!$A:$B , 2, FALSE) + VLOOKUP(index(split(H163 ,"", "", FALSE),1,3), Variables!$A:$B , 2, FALSE)
)"),1.3333333333333333)</f>
        <v>1.333333333</v>
      </c>
      <c r="J163" s="114" t="s">
        <v>1521</v>
      </c>
      <c r="K163" s="114" t="s">
        <v>1697</v>
      </c>
      <c r="L163" s="130">
        <f>IFERROR(__xludf.DUMMYFUNCTION("SWITCH(
LEN(K163) - LEN(SUBSTITUTE(K163,"","","""")),
0 , VLOOKUP(K163, Variables!$A:$B, 2, FALSE),
1 , VLOOKUP(index(split(K163 ,"", "", FALSE),1,1), Variables!$A:$B , 2, FALSE) + VLOOKUP(index(split(K163 ,"", "", FALSE),1,2), Variables!$A:$B , 2, FALSE)"&amp;",
2 , VLOOKUP(index(split(K163 ,"", "", FALSE),1,1), Variables!$A:$B , 2, FALSE) + VLOOKUP(index(split(K163 ,"", "", FALSE),1,2), Variables!$A:$B , 2, FALSE) + VLOOKUP(index(split(K163 ,"", "", FALSE),1,3), Variables!$A:$B , 2, FALSE)
)
+
IF(J163=""Ranged"&amp;""", 1 , 0)"),0.6666666666666666)</f>
        <v>0.6666666667</v>
      </c>
      <c r="M163" s="114" t="s">
        <v>1097</v>
      </c>
      <c r="N163" s="130">
        <f>IFERROR(__xludf.DUMMYFUNCTION("IF(ISBLANK(M163), , 
SWITCH(
LEN(M163)- LEN(SUBSTITUTE(M163,"","","""")), 
0 , VLOOKUP(M163, vote4TRAITS!A:C , 3, FALSE),
1 , VLOOKUP(index(split(M163 ,"", "", FALSE),1,1), vote4TRAITS!A:C , 3, FALSE) + VLOOKUP(index(split(M163 ,"", "", FALSE),1,2), vote4"&amp;"TRAITS!A:C , 3, FALSE),
2 , VLOOKUP(index(split(M163 ,"", "", FALSE),1,1), vote4TRAITS!A:C , 3, FALSE) + VLOOKUP(index(split(M163 ,"", "", FALSE),1,2), vote4TRAITS!A:C , 3, FALSE) + VLOOKUP(index(split(M163 ,"", "", FALSE),1,3), vote4TRAITS!A:C , 3, FALSE"&amp;")
)
)"),4.333333333333333)</f>
        <v>4.333333333</v>
      </c>
      <c r="O163" s="114" t="s">
        <v>2634</v>
      </c>
      <c r="P163" s="165">
        <f>IFERROR(__xludf.DUMMYFUNCTION("IF(ISBLANK(O163), , 
SWITCH(
LEN(O163)- LEN(SUBSTITUTE(O163,"","","""")), 
0 , VLOOKUP(O163, vote4ACTIONS!A:C , 3, FALSE),
1 , VLOOKUP(index(split(O163 ,"", "", FALSE),1,1), vote4ACTIONS!A:C , 3, FALSE) + VLOOKUP(index(split(O163 ,"", "", FALSE),1,2), vot"&amp;"e4ACTIONS!A:C , 3, FALSE),
2 , VLOOKUP(index(split(O163 ,"", "", FALSE),1,1), vote4ACTIONS!A:C , 3, FALSE) + VLOOKUP(index(split(O163 ,"", "", FALSE),1,2), vote4ACTIONS!A:C , 3, FALSE) + VLOOKUP(index(split(O163 ,"", "", FALSE),1,3), vote4ACTIONS!A:C , 3,"&amp;" FALSE),
3 , VLOOKUP(index(split(O163 ,"", "", FALSE),1,1), vote4ACTIONS!A:C , 3, FALSE) + VLOOKUP(index(split(O163 ,"", "", FALSE),1,2), vote4ACTIONS!A:C , 3, FALSE) + VLOOKUP(index(split(O163 ,"", "", FALSE),1,3), vote4ACTIONS!A:C , 3, FALSE) + VLOOKUP("&amp;"index(split(O163 ,"", "", FALSE),1,4), vote4ACTIONS!A:C , 3, FALSE)
)
)"),0.6363636363636362)</f>
        <v>0.6363636364</v>
      </c>
      <c r="Q163" s="169" t="s">
        <v>2635</v>
      </c>
      <c r="R163" s="342">
        <f>IF(ISBLANK(Q163),,IFERROR(
IF(IFERROR(SEARCH("SS:",Q163),0) &gt; 0, 
VLOOKUP(SUBSTITUTE(Q163,"SS: ",""),vote4SURGE!$A:$C , 3, FALSE) - 2,
VLOOKUP(SUBSTITUTE(Q163,"S: ",""),vote4SURGE!$A:$C , 3, FALSE)
)
,
IF(IFERROR(SEARCH("SS:",Q163),0) &gt; 0, 
VLOOKUP(A163,vote4SURGE!$A:$C , 3, FALSE) - 2,
VLOOKUP(A163,vote4SURGE!$A:$C , 3, FALSE)
)
))</f>
        <v>5.25</v>
      </c>
      <c r="S163" s="164"/>
      <c r="T163" s="342" t="str">
        <f>IF(ISBLANK(S163),,IFERROR(
IF(IFERROR(SEARCH("SS:",S163),0) &gt; 0, 
VLOOKUP(SUBSTITUTE(S163,"SS: ",""),vote4SURGE!$A:$C , 3, FALSE) - 2,
VLOOKUP(SUBSTITUTE(S163,"S: ",""),vote4SURGE!$A:$C , 3, FALSE)
)
,
IF(IFERROR(SEARCH("SS:",S163),0) &gt; 0, 
VLOOKUP(A163,vote4SURGE!$A:$C , 3, FALSE) - 2,
VLOOKUP(A163,vote4SURGE!$A:$C , 3, FALSE)
)
))</f>
        <v/>
      </c>
      <c r="U163" s="164"/>
      <c r="V163" s="343" t="str">
        <f>IF(ISBLANK(U163),,IFERROR(
IF(IFERROR(SEARCH("SS:",U163),0) &gt; 0, 
VLOOKUP(SUBSTITUTE(U163,"SS: ",""),vote4SURGE!$A:$C , 3, FALSE) - 2,
VLOOKUP(SUBSTITUTE(U163,"S: ",""),vote4SURGE!$A:$C , 3, FALSE)
)
,
IF(IFERROR(SEARCH("SS:",U163),0) &gt; 0, 
VLOOKUP(A163,vote4SURGE!$A:$C , 3, FALSE) - 2,
VLOOKUP(A163,vote4SURGE!$A:$C , 3, FALSE)
)
))</f>
        <v/>
      </c>
      <c r="W163" s="343">
        <f t="shared" si="1"/>
        <v>1</v>
      </c>
      <c r="X163" s="344">
        <f>IFERROR(__xludf.DUMMYFUNCTION("SWITCH(
LEN(K163) - LEN(SUBSTITUTE(K163,"","","""")),
0 , VLOOKUP(K163, Variables!$A:$C, 3, FALSE),
1 , VLOOKUP(index(split(K163 ,"", "", FALSE),1,1), Variables!$A:$C, 3, FALSE) + VLOOKUP(index(split(K163 ,"", "", FALSE),1,2), Variables!$A:$C, 3, FALSE),
"&amp;"2 , VLOOKUP(index(split(K163 ,"", "", FALSE),1,1), Variables!$A:$C, 3, FALSE) + VLOOKUP(index(split(K163 ,"", "", FALSE),1,2), Variables!$A:$C, 3, FALSE) + VLOOKUP(index(split(K163 ,"", "", FALSE),1,3), Variables!$A:$C, 3, FALSE)
)"),0.6666666666666666)</f>
        <v>0.6666666667</v>
      </c>
      <c r="Y163" s="342">
        <f t="shared" si="2"/>
        <v>3.5</v>
      </c>
      <c r="Z163" s="114" t="s">
        <v>2572</v>
      </c>
      <c r="AA163" s="114"/>
      <c r="AB163" s="114"/>
      <c r="AC163" s="114"/>
      <c r="AD163" s="114"/>
      <c r="AE163" s="114" t="s">
        <v>2572</v>
      </c>
      <c r="AF163" s="114"/>
      <c r="AG163" s="114"/>
      <c r="AH163" s="114"/>
      <c r="AI163" s="114"/>
      <c r="AJ163" s="164" t="s">
        <v>2573</v>
      </c>
      <c r="AK163" s="473">
        <v>10.0</v>
      </c>
      <c r="AL163" s="164" t="s">
        <v>2574</v>
      </c>
      <c r="AM163" s="473">
        <v>16.0</v>
      </c>
      <c r="AN163" s="164" t="s">
        <v>2574</v>
      </c>
      <c r="AO163" s="473">
        <v>21.0</v>
      </c>
      <c r="AP163" s="130">
        <f>SUM(
VLOOKUP("Ravage",vote4TRAITS!A:C,3,FALSE)
)</f>
        <v>7.333333333</v>
      </c>
      <c r="AQ163" s="130">
        <f t="shared" si="3"/>
        <v>11.1230303</v>
      </c>
    </row>
    <row r="164" ht="14.25" customHeight="1">
      <c r="A164" s="137" t="s">
        <v>2633</v>
      </c>
      <c r="B164" s="114" t="s">
        <v>2570</v>
      </c>
      <c r="C164" s="114">
        <v>20.0</v>
      </c>
      <c r="D164" s="114">
        <v>1.0</v>
      </c>
      <c r="E164" s="114">
        <v>2.0</v>
      </c>
      <c r="F164" s="487">
        <v>3.0</v>
      </c>
      <c r="G164" s="488">
        <v>5.0</v>
      </c>
      <c r="H164" s="114" t="s">
        <v>1621</v>
      </c>
      <c r="I164" s="130">
        <f>IFERROR(__xludf.DUMMYFUNCTION("SWITCH(
LEN(H164) - LEN(SUBSTITUTE(H164,"","","""")),
0 , VLOOKUP(H164, Variables!$A:$B, 2, FALSE),
1 , VLOOKUP(index(split(H164 ,"", "", FALSE),1,1), Variables!$A:$B , 2, FALSE) + VLOOKUP(index(split(H164 ,"", "", FALSE),1,2), Variables!$A:$B , 2, FALSE)"&amp;",
2 , VLOOKUP(index(split(H164 ,"", "", FALSE),1,1), Variables!$A:$B , 2, FALSE) + VLOOKUP(index(split(H164 ,"", "", FALSE),1,2), Variables!$A:$B , 2, FALSE) + VLOOKUP(index(split(H164 ,"", "", FALSE),1,3), Variables!$A:$B , 2, FALSE)
)"),0.6666666666666666)</f>
        <v>0.6666666667</v>
      </c>
      <c r="J164" s="114" t="s">
        <v>1521</v>
      </c>
      <c r="K164" s="114" t="s">
        <v>1697</v>
      </c>
      <c r="L164" s="130">
        <f>IFERROR(__xludf.DUMMYFUNCTION("SWITCH(
LEN(K164) - LEN(SUBSTITUTE(K164,"","","""")),
0 , VLOOKUP(K164, Variables!$A:$B, 2, FALSE),
1 , VLOOKUP(index(split(K164 ,"", "", FALSE),1,1), Variables!$A:$B , 2, FALSE) + VLOOKUP(index(split(K164 ,"", "", FALSE),1,2), Variables!$A:$B , 2, FALSE)"&amp;",
2 , VLOOKUP(index(split(K164 ,"", "", FALSE),1,1), Variables!$A:$B , 2, FALSE) + VLOOKUP(index(split(K164 ,"", "", FALSE),1,2), Variables!$A:$B , 2, FALSE) + VLOOKUP(index(split(K164 ,"", "", FALSE),1,3), Variables!$A:$B , 2, FALSE)
)
+
IF(J164=""Ranged"&amp;""", 1 , 0)"),0.6666666666666666)</f>
        <v>0.6666666667</v>
      </c>
      <c r="M164" s="114" t="s">
        <v>1097</v>
      </c>
      <c r="N164" s="130">
        <f>IFERROR(__xludf.DUMMYFUNCTION("IF(ISBLANK(M164), , 
SWITCH(
LEN(M164)- LEN(SUBSTITUTE(M164,"","","""")), 
0 , VLOOKUP(M164, vote4TRAITS!A:C , 3, FALSE),
1 , VLOOKUP(index(split(M164 ,"", "", FALSE),1,1), vote4TRAITS!A:C , 3, FALSE) + VLOOKUP(index(split(M164 ,"", "", FALSE),1,2), vote4"&amp;"TRAITS!A:C , 3, FALSE),
2 , VLOOKUP(index(split(M164 ,"", "", FALSE),1,1), vote4TRAITS!A:C , 3, FALSE) + VLOOKUP(index(split(M164 ,"", "", FALSE),1,2), vote4TRAITS!A:C , 3, FALSE) + VLOOKUP(index(split(M164 ,"", "", FALSE),1,3), vote4TRAITS!A:C , 3, FALSE"&amp;")
)
)"),4.333333333333333)</f>
        <v>4.333333333</v>
      </c>
      <c r="O164" s="114" t="s">
        <v>2634</v>
      </c>
      <c r="P164" s="165">
        <f>IFERROR(__xludf.DUMMYFUNCTION("IF(ISBLANK(O164), , 
SWITCH(
LEN(O164)- LEN(SUBSTITUTE(O164,"","","""")), 
0 , VLOOKUP(O164, vote4ACTIONS!A:C , 3, FALSE),
1 , VLOOKUP(index(split(O164 ,"", "", FALSE),1,1), vote4ACTIONS!A:C , 3, FALSE) + VLOOKUP(index(split(O164 ,"", "", FALSE),1,2), vot"&amp;"e4ACTIONS!A:C , 3, FALSE),
2 , VLOOKUP(index(split(O164 ,"", "", FALSE),1,1), vote4ACTIONS!A:C , 3, FALSE) + VLOOKUP(index(split(O164 ,"", "", FALSE),1,2), vote4ACTIONS!A:C , 3, FALSE) + VLOOKUP(index(split(O164 ,"", "", FALSE),1,3), vote4ACTIONS!A:C , 3,"&amp;" FALSE),
3 , VLOOKUP(index(split(O164 ,"", "", FALSE),1,1), vote4ACTIONS!A:C , 3, FALSE) + VLOOKUP(index(split(O164 ,"", "", FALSE),1,2), vote4ACTIONS!A:C , 3, FALSE) + VLOOKUP(index(split(O164 ,"", "", FALSE),1,3), vote4ACTIONS!A:C , 3, FALSE) + VLOOKUP("&amp;"index(split(O164 ,"", "", FALSE),1,4), vote4ACTIONS!A:C , 3, FALSE)
)
)"),0.6363636363636362)</f>
        <v>0.6363636364</v>
      </c>
      <c r="Q164" s="169" t="s">
        <v>2635</v>
      </c>
      <c r="R164" s="342">
        <f>IF(ISBLANK(Q164),,IFERROR(
IF(IFERROR(SEARCH("SS:",Q164),0) &gt; 0, 
VLOOKUP(SUBSTITUTE(Q164,"SS: ",""),vote4SURGE!$A:$C , 3, FALSE) - 2,
VLOOKUP(SUBSTITUTE(Q164,"S: ",""),vote4SURGE!$A:$C , 3, FALSE)
)
,
IF(IFERROR(SEARCH("SS:",Q164),0) &gt; 0, 
VLOOKUP(A164,vote4SURGE!$A:$C , 3, FALSE) - 2,
VLOOKUP(A164,vote4SURGE!$A:$C , 3, FALSE)
)
))</f>
        <v>5.25</v>
      </c>
      <c r="S164" s="164"/>
      <c r="T164" s="342" t="str">
        <f>IF(ISBLANK(S164),,IFERROR(
IF(IFERROR(SEARCH("SS:",S164),0) &gt; 0, 
VLOOKUP(SUBSTITUTE(S164,"SS: ",""),vote4SURGE!$A:$C , 3, FALSE) - 2,
VLOOKUP(SUBSTITUTE(S164,"S: ",""),vote4SURGE!$A:$C , 3, FALSE)
)
,
IF(IFERROR(SEARCH("SS:",S164),0) &gt; 0, 
VLOOKUP(A164,vote4SURGE!$A:$C , 3, FALSE) - 2,
VLOOKUP(A164,vote4SURGE!$A:$C , 3, FALSE)
)
))</f>
        <v/>
      </c>
      <c r="U164" s="164"/>
      <c r="V164" s="343" t="str">
        <f>IF(ISBLANK(U164),,IFERROR(
IF(IFERROR(SEARCH("SS:",U164),0) &gt; 0, 
VLOOKUP(SUBSTITUTE(U164,"SS: ",""),vote4SURGE!$A:$C , 3, FALSE) - 2,
VLOOKUP(SUBSTITUTE(U164,"S: ",""),vote4SURGE!$A:$C , 3, FALSE)
)
,
IF(IFERROR(SEARCH("SS:",U164),0) &gt; 0, 
VLOOKUP(A164,vote4SURGE!$A:$C , 3, FALSE) - 2,
VLOOKUP(A164,vote4SURGE!$A:$C , 3, FALSE)
)
))</f>
        <v/>
      </c>
      <c r="W164" s="343">
        <f t="shared" si="1"/>
        <v>1</v>
      </c>
      <c r="X164" s="344">
        <f>IFERROR(__xludf.DUMMYFUNCTION("SWITCH(
LEN(K164) - LEN(SUBSTITUTE(K164,"","","""")),
0 , VLOOKUP(K164, Variables!$A:$C, 3, FALSE),
1 , VLOOKUP(index(split(K164 ,"", "", FALSE),1,1), Variables!$A:$C, 3, FALSE) + VLOOKUP(index(split(K164 ,"", "", FALSE),1,2), Variables!$A:$C, 3, FALSE),
"&amp;"2 , VLOOKUP(index(split(K164 ,"", "", FALSE),1,1), Variables!$A:$C, 3, FALSE) + VLOOKUP(index(split(K164 ,"", "", FALSE),1,2), Variables!$A:$C, 3, FALSE) + VLOOKUP(index(split(K164 ,"", "", FALSE),1,3), Variables!$A:$C, 3, FALSE)
)"),0.6666666666666666)</f>
        <v>0.6666666667</v>
      </c>
      <c r="Y164" s="342">
        <f t="shared" si="2"/>
        <v>3.5</v>
      </c>
      <c r="Z164" s="114" t="s">
        <v>2572</v>
      </c>
      <c r="AA164" s="114"/>
      <c r="AB164" s="114"/>
      <c r="AC164" s="114"/>
      <c r="AD164" s="114"/>
      <c r="AE164" s="114" t="s">
        <v>2572</v>
      </c>
      <c r="AF164" s="114"/>
      <c r="AG164" s="114"/>
      <c r="AH164" s="114"/>
      <c r="AI164" s="114"/>
      <c r="AJ164" s="164" t="s">
        <v>2573</v>
      </c>
      <c r="AK164" s="473">
        <v>8.0</v>
      </c>
      <c r="AL164" s="164" t="s">
        <v>2574</v>
      </c>
      <c r="AM164" s="473">
        <v>13.0</v>
      </c>
      <c r="AN164" s="164" t="s">
        <v>2574</v>
      </c>
      <c r="AO164" s="473">
        <v>17.0</v>
      </c>
      <c r="AP164" s="130">
        <f>SUM(
VLOOKUP("Ravage",vote4TRAITS!A:C,3,FALSE)
)</f>
        <v>7.333333333</v>
      </c>
      <c r="AQ164" s="130">
        <f t="shared" si="3"/>
        <v>6.456363636</v>
      </c>
    </row>
    <row r="165" ht="14.25" customHeight="1">
      <c r="A165" s="137" t="s">
        <v>2633</v>
      </c>
      <c r="B165" s="114" t="s">
        <v>2576</v>
      </c>
      <c r="C165" s="114">
        <v>20.0</v>
      </c>
      <c r="D165" s="114">
        <v>2.0</v>
      </c>
      <c r="E165" s="114">
        <v>2.0</v>
      </c>
      <c r="F165" s="487">
        <v>3.0</v>
      </c>
      <c r="G165" s="488">
        <v>5.0</v>
      </c>
      <c r="H165" s="114" t="s">
        <v>1663</v>
      </c>
      <c r="I165" s="130">
        <f>IFERROR(__xludf.DUMMYFUNCTION("SWITCH(
LEN(H165) - LEN(SUBSTITUTE(H165,"","","""")),
0 , VLOOKUP(H165, Variables!$A:$B, 2, FALSE),
1 , VLOOKUP(index(split(H165 ,"", "", FALSE),1,1), Variables!$A:$B , 2, FALSE) + VLOOKUP(index(split(H165 ,"", "", FALSE),1,2), Variables!$A:$B , 2, FALSE)"&amp;",
2 , VLOOKUP(index(split(H165 ,"", "", FALSE),1,1), Variables!$A:$B , 2, FALSE) + VLOOKUP(index(split(H165 ,"", "", FALSE),1,2), Variables!$A:$B , 2, FALSE) + VLOOKUP(index(split(H165 ,"", "", FALSE),1,3), Variables!$A:$B , 2, FALSE)
)"),1.3333333333333333)</f>
        <v>1.333333333</v>
      </c>
      <c r="J165" s="114" t="s">
        <v>1521</v>
      </c>
      <c r="K165" s="114" t="s">
        <v>1697</v>
      </c>
      <c r="L165" s="130">
        <f>IFERROR(__xludf.DUMMYFUNCTION("SWITCH(
LEN(K165) - LEN(SUBSTITUTE(K165,"","","""")),
0 , VLOOKUP(K165, Variables!$A:$B, 2, FALSE),
1 , VLOOKUP(index(split(K165 ,"", "", FALSE),1,1), Variables!$A:$B , 2, FALSE) + VLOOKUP(index(split(K165 ,"", "", FALSE),1,2), Variables!$A:$B , 2, FALSE)"&amp;",
2 , VLOOKUP(index(split(K165 ,"", "", FALSE),1,1), Variables!$A:$B , 2, FALSE) + VLOOKUP(index(split(K165 ,"", "", FALSE),1,2), Variables!$A:$B , 2, FALSE) + VLOOKUP(index(split(K165 ,"", "", FALSE),1,3), Variables!$A:$B , 2, FALSE)
)
+
IF(J165=""Ranged"&amp;""", 1 , 0)"),0.6666666666666666)</f>
        <v>0.6666666667</v>
      </c>
      <c r="M165" s="114"/>
      <c r="N165" s="130" t="str">
        <f>IFERROR(__xludf.DUMMYFUNCTION("IF(ISBLANK(M165), , 
SWITCH(
LEN(M165)- LEN(SUBSTITUTE(M165,"","","""")), 
0 , VLOOKUP(M165, vote4TRAITS!A:C , 3, FALSE),
1 , VLOOKUP(index(split(M165 ,"", "", FALSE),1,1), vote4TRAITS!A:C , 3, FALSE) + VLOOKUP(index(split(M165 ,"", "", FALSE),1,2), vote4"&amp;"TRAITS!A:C , 3, FALSE),
2 , VLOOKUP(index(split(M165 ,"", "", FALSE),1,1), vote4TRAITS!A:C , 3, FALSE) + VLOOKUP(index(split(M165 ,"", "", FALSE),1,2), vote4TRAITS!A:C , 3, FALSE) + VLOOKUP(index(split(M165 ,"", "", FALSE),1,3), vote4TRAITS!A:C , 3, FALSE"&amp;")
)
)"),"")</f>
        <v/>
      </c>
      <c r="O165" s="114" t="s">
        <v>2634</v>
      </c>
      <c r="P165" s="165">
        <f>IFERROR(__xludf.DUMMYFUNCTION("IF(ISBLANK(O165), , 
SWITCH(
LEN(O165)- LEN(SUBSTITUTE(O165,"","","""")), 
0 , VLOOKUP(O165, vote4ACTIONS!A:C , 3, FALSE),
1 , VLOOKUP(index(split(O165 ,"", "", FALSE),1,1), vote4ACTIONS!A:C , 3, FALSE) + VLOOKUP(index(split(O165 ,"", "", FALSE),1,2), vot"&amp;"e4ACTIONS!A:C , 3, FALSE),
2 , VLOOKUP(index(split(O165 ,"", "", FALSE),1,1), vote4ACTIONS!A:C , 3, FALSE) + VLOOKUP(index(split(O165 ,"", "", FALSE),1,2), vote4ACTIONS!A:C , 3, FALSE) + VLOOKUP(index(split(O165 ,"", "", FALSE),1,3), vote4ACTIONS!A:C , 3,"&amp;" FALSE),
3 , VLOOKUP(index(split(O165 ,"", "", FALSE),1,1), vote4ACTIONS!A:C , 3, FALSE) + VLOOKUP(index(split(O165 ,"", "", FALSE),1,2), vote4ACTIONS!A:C , 3, FALSE) + VLOOKUP(index(split(O165 ,"", "", FALSE),1,3), vote4ACTIONS!A:C , 3, FALSE) + VLOOKUP("&amp;"index(split(O165 ,"", "", FALSE),1,4), vote4ACTIONS!A:C , 3, FALSE)
)
)"),0.6363636363636362)</f>
        <v>0.6363636364</v>
      </c>
      <c r="Q165" s="169" t="s">
        <v>2635</v>
      </c>
      <c r="R165" s="342">
        <f>IF(ISBLANK(Q165),,IFERROR(
IF(IFERROR(SEARCH("SS:",Q165),0) &gt; 0, 
VLOOKUP(SUBSTITUTE(Q165,"SS: ",""),vote4SURGE!$A:$C , 3, FALSE) - 2,
VLOOKUP(SUBSTITUTE(Q165,"S: ",""),vote4SURGE!$A:$C , 3, FALSE)
)
,
IF(IFERROR(SEARCH("SS:",Q165),0) &gt; 0, 
VLOOKUP(A165,vote4SURGE!$A:$C , 3, FALSE) - 2,
VLOOKUP(A165,vote4SURGE!$A:$C , 3, FALSE)
)
))</f>
        <v>5.25</v>
      </c>
      <c r="S165" s="164"/>
      <c r="T165" s="342" t="str">
        <f>IF(ISBLANK(S165),,IFERROR(
IF(IFERROR(SEARCH("SS:",S165),0) &gt; 0, 
VLOOKUP(SUBSTITUTE(S165,"SS: ",""),vote4SURGE!$A:$C , 3, FALSE) - 2,
VLOOKUP(SUBSTITUTE(S165,"S: ",""),vote4SURGE!$A:$C , 3, FALSE)
)
,
IF(IFERROR(SEARCH("SS:",S165),0) &gt; 0, 
VLOOKUP(A165,vote4SURGE!$A:$C , 3, FALSE) - 2,
VLOOKUP(A165,vote4SURGE!$A:$C , 3, FALSE)
)
))</f>
        <v/>
      </c>
      <c r="U165" s="164"/>
      <c r="V165" s="343" t="str">
        <f>IF(ISBLANK(U165),,IFERROR(
IF(IFERROR(SEARCH("SS:",U165),0) &gt; 0, 
VLOOKUP(SUBSTITUTE(U165,"SS: ",""),vote4SURGE!$A:$C , 3, FALSE) - 2,
VLOOKUP(SUBSTITUTE(U165,"S: ",""),vote4SURGE!$A:$C , 3, FALSE)
)
,
IF(IFERROR(SEARCH("SS:",U165),0) &gt; 0, 
VLOOKUP(A165,vote4SURGE!$A:$C , 3, FALSE) - 2,
VLOOKUP(A165,vote4SURGE!$A:$C , 3, FALSE)
)
))</f>
        <v/>
      </c>
      <c r="W165" s="343">
        <f t="shared" si="1"/>
        <v>1</v>
      </c>
      <c r="X165" s="344">
        <f>IFERROR(__xludf.DUMMYFUNCTION("SWITCH(
LEN(K165) - LEN(SUBSTITUTE(K165,"","","""")),
0 , VLOOKUP(K165, Variables!$A:$C, 3, FALSE),
1 , VLOOKUP(index(split(K165 ,"", "", FALSE),1,1), Variables!$A:$C, 3, FALSE) + VLOOKUP(index(split(K165 ,"", "", FALSE),1,2), Variables!$A:$C, 3, FALSE),
"&amp;"2 , VLOOKUP(index(split(K165 ,"", "", FALSE),1,1), Variables!$A:$C, 3, FALSE) + VLOOKUP(index(split(K165 ,"", "", FALSE),1,2), Variables!$A:$C, 3, FALSE) + VLOOKUP(index(split(K165 ,"", "", FALSE),1,3), Variables!$A:$C, 3, FALSE)
)"),0.6666666666666666)</f>
        <v>0.6666666667</v>
      </c>
      <c r="Y165" s="342">
        <f t="shared" si="2"/>
        <v>3.5</v>
      </c>
      <c r="Z165" s="114" t="s">
        <v>2572</v>
      </c>
      <c r="AA165" s="114"/>
      <c r="AB165" s="114"/>
      <c r="AC165" s="114"/>
      <c r="AD165" s="114"/>
      <c r="AE165" s="114" t="s">
        <v>2572</v>
      </c>
      <c r="AF165" s="114"/>
      <c r="AG165" s="114"/>
      <c r="AH165" s="114"/>
      <c r="AI165" s="114"/>
      <c r="AJ165" s="164" t="s">
        <v>369</v>
      </c>
      <c r="AK165" s="473">
        <v>10.0</v>
      </c>
      <c r="AL165" s="164" t="s">
        <v>369</v>
      </c>
      <c r="AM165" s="473">
        <v>16.0</v>
      </c>
      <c r="AN165" s="164" t="s">
        <v>368</v>
      </c>
      <c r="AO165" s="473">
        <v>21.0</v>
      </c>
      <c r="AP165" s="130">
        <f>SUM(
VLOOKUP("Ravage",vote4TRAITS!A:C,3,FALSE)
)</f>
        <v>7.333333333</v>
      </c>
      <c r="AQ165" s="130">
        <f t="shared" si="3"/>
        <v>5.456363636</v>
      </c>
    </row>
    <row r="166" ht="14.25" customHeight="1">
      <c r="A166" s="137" t="s">
        <v>2633</v>
      </c>
      <c r="B166" s="114" t="s">
        <v>2576</v>
      </c>
      <c r="C166" s="114">
        <v>20.0</v>
      </c>
      <c r="D166" s="114">
        <v>1.0</v>
      </c>
      <c r="E166" s="114">
        <v>2.0</v>
      </c>
      <c r="F166" s="487">
        <v>3.0</v>
      </c>
      <c r="G166" s="488">
        <v>4.0</v>
      </c>
      <c r="H166" s="114" t="s">
        <v>1621</v>
      </c>
      <c r="I166" s="130">
        <f>IFERROR(__xludf.DUMMYFUNCTION("SWITCH(
LEN(H166) - LEN(SUBSTITUTE(H166,"","","""")),
0 , VLOOKUP(H166, Variables!$A:$B, 2, FALSE),
1 , VLOOKUP(index(split(H166 ,"", "", FALSE),1,1), Variables!$A:$B , 2, FALSE) + VLOOKUP(index(split(H166 ,"", "", FALSE),1,2), Variables!$A:$B , 2, FALSE)"&amp;",
2 , VLOOKUP(index(split(H166 ,"", "", FALSE),1,1), Variables!$A:$B , 2, FALSE) + VLOOKUP(index(split(H166 ,"", "", FALSE),1,2), Variables!$A:$B , 2, FALSE) + VLOOKUP(index(split(H166 ,"", "", FALSE),1,3), Variables!$A:$B , 2, FALSE)
)"),0.6666666666666666)</f>
        <v>0.6666666667</v>
      </c>
      <c r="J166" s="114" t="s">
        <v>1521</v>
      </c>
      <c r="K166" s="114" t="s">
        <v>1697</v>
      </c>
      <c r="L166" s="130">
        <f>IFERROR(__xludf.DUMMYFUNCTION("SWITCH(
LEN(K166) - LEN(SUBSTITUTE(K166,"","","""")),
0 , VLOOKUP(K166, Variables!$A:$B, 2, FALSE),
1 , VLOOKUP(index(split(K166 ,"", "", FALSE),1,1), Variables!$A:$B , 2, FALSE) + VLOOKUP(index(split(K166 ,"", "", FALSE),1,2), Variables!$A:$B , 2, FALSE)"&amp;",
2 , VLOOKUP(index(split(K166 ,"", "", FALSE),1,1), Variables!$A:$B , 2, FALSE) + VLOOKUP(index(split(K166 ,"", "", FALSE),1,2), Variables!$A:$B , 2, FALSE) + VLOOKUP(index(split(K166 ,"", "", FALSE),1,3), Variables!$A:$B , 2, FALSE)
)
+
IF(J166=""Ranged"&amp;""", 1 , 0)"),0.6666666666666666)</f>
        <v>0.6666666667</v>
      </c>
      <c r="M166" s="114"/>
      <c r="N166" s="130" t="str">
        <f>IFERROR(__xludf.DUMMYFUNCTION("IF(ISBLANK(M166), , 
SWITCH(
LEN(M166)- LEN(SUBSTITUTE(M166,"","","""")), 
0 , VLOOKUP(M166, vote4TRAITS!A:C , 3, FALSE),
1 , VLOOKUP(index(split(M166 ,"", "", FALSE),1,1), vote4TRAITS!A:C , 3, FALSE) + VLOOKUP(index(split(M166 ,"", "", FALSE),1,2), vote4"&amp;"TRAITS!A:C , 3, FALSE),
2 , VLOOKUP(index(split(M166 ,"", "", FALSE),1,1), vote4TRAITS!A:C , 3, FALSE) + VLOOKUP(index(split(M166 ,"", "", FALSE),1,2), vote4TRAITS!A:C , 3, FALSE) + VLOOKUP(index(split(M166 ,"", "", FALSE),1,3), vote4TRAITS!A:C , 3, FALSE"&amp;")
)
)"),"")</f>
        <v/>
      </c>
      <c r="O166" s="114" t="s">
        <v>2634</v>
      </c>
      <c r="P166" s="165">
        <f>IFERROR(__xludf.DUMMYFUNCTION("IF(ISBLANK(O166), , 
SWITCH(
LEN(O166)- LEN(SUBSTITUTE(O166,"","","""")), 
0 , VLOOKUP(O166, vote4ACTIONS!A:C , 3, FALSE),
1 , VLOOKUP(index(split(O166 ,"", "", FALSE),1,1), vote4ACTIONS!A:C , 3, FALSE) + VLOOKUP(index(split(O166 ,"", "", FALSE),1,2), vot"&amp;"e4ACTIONS!A:C , 3, FALSE),
2 , VLOOKUP(index(split(O166 ,"", "", FALSE),1,1), vote4ACTIONS!A:C , 3, FALSE) + VLOOKUP(index(split(O166 ,"", "", FALSE),1,2), vote4ACTIONS!A:C , 3, FALSE) + VLOOKUP(index(split(O166 ,"", "", FALSE),1,3), vote4ACTIONS!A:C , 3,"&amp;" FALSE),
3 , VLOOKUP(index(split(O166 ,"", "", FALSE),1,1), vote4ACTIONS!A:C , 3, FALSE) + VLOOKUP(index(split(O166 ,"", "", FALSE),1,2), vote4ACTIONS!A:C , 3, FALSE) + VLOOKUP(index(split(O166 ,"", "", FALSE),1,3), vote4ACTIONS!A:C , 3, FALSE) + VLOOKUP("&amp;"index(split(O166 ,"", "", FALSE),1,4), vote4ACTIONS!A:C , 3, FALSE)
)
)"),0.6363636363636362)</f>
        <v>0.6363636364</v>
      </c>
      <c r="Q166" s="169" t="s">
        <v>2635</v>
      </c>
      <c r="R166" s="342">
        <f>IF(ISBLANK(Q166),,IFERROR(
IF(IFERROR(SEARCH("SS:",Q166),0) &gt; 0, 
VLOOKUP(SUBSTITUTE(Q166,"SS: ",""),vote4SURGE!$A:$C , 3, FALSE) - 2,
VLOOKUP(SUBSTITUTE(Q166,"S: ",""),vote4SURGE!$A:$C , 3, FALSE)
)
,
IF(IFERROR(SEARCH("SS:",Q166),0) &gt; 0, 
VLOOKUP(A166,vote4SURGE!$A:$C , 3, FALSE) - 2,
VLOOKUP(A166,vote4SURGE!$A:$C , 3, FALSE)
)
))</f>
        <v>5.25</v>
      </c>
      <c r="S166" s="164"/>
      <c r="T166" s="342" t="str">
        <f>IF(ISBLANK(S166),,IFERROR(
IF(IFERROR(SEARCH("SS:",S166),0) &gt; 0, 
VLOOKUP(SUBSTITUTE(S166,"SS: ",""),vote4SURGE!$A:$C , 3, FALSE) - 2,
VLOOKUP(SUBSTITUTE(S166,"S: ",""),vote4SURGE!$A:$C , 3, FALSE)
)
,
IF(IFERROR(SEARCH("SS:",S166),0) &gt; 0, 
VLOOKUP(A166,vote4SURGE!$A:$C , 3, FALSE) - 2,
VLOOKUP(A166,vote4SURGE!$A:$C , 3, FALSE)
)
))</f>
        <v/>
      </c>
      <c r="U166" s="164"/>
      <c r="V166" s="343" t="str">
        <f>IF(ISBLANK(U166),,IFERROR(
IF(IFERROR(SEARCH("SS:",U166),0) &gt; 0, 
VLOOKUP(SUBSTITUTE(U166,"SS: ",""),vote4SURGE!$A:$C , 3, FALSE) - 2,
VLOOKUP(SUBSTITUTE(U166,"S: ",""),vote4SURGE!$A:$C , 3, FALSE)
)
,
IF(IFERROR(SEARCH("SS:",U166),0) &gt; 0, 
VLOOKUP(A166,vote4SURGE!$A:$C , 3, FALSE) - 2,
VLOOKUP(A166,vote4SURGE!$A:$C , 3, FALSE)
)
))</f>
        <v/>
      </c>
      <c r="W166" s="343">
        <f t="shared" si="1"/>
        <v>1</v>
      </c>
      <c r="X166" s="344">
        <f>IFERROR(__xludf.DUMMYFUNCTION("SWITCH(
LEN(K166) - LEN(SUBSTITUTE(K166,"","","""")),
0 , VLOOKUP(K166, Variables!$A:$C, 3, FALSE),
1 , VLOOKUP(index(split(K166 ,"", "", FALSE),1,1), Variables!$A:$C, 3, FALSE) + VLOOKUP(index(split(K166 ,"", "", FALSE),1,2), Variables!$A:$C, 3, FALSE),
"&amp;"2 , VLOOKUP(index(split(K166 ,"", "", FALSE),1,1), Variables!$A:$C, 3, FALSE) + VLOOKUP(index(split(K166 ,"", "", FALSE),1,2), Variables!$A:$C, 3, FALSE) + VLOOKUP(index(split(K166 ,"", "", FALSE),1,3), Variables!$A:$C, 3, FALSE)
)"),0.6666666666666666)</f>
        <v>0.6666666667</v>
      </c>
      <c r="Y166" s="342">
        <f t="shared" si="2"/>
        <v>3.5</v>
      </c>
      <c r="Z166" s="114" t="s">
        <v>2572</v>
      </c>
      <c r="AA166" s="114"/>
      <c r="AB166" s="114"/>
      <c r="AC166" s="114"/>
      <c r="AD166" s="114"/>
      <c r="AE166" s="114" t="s">
        <v>2572</v>
      </c>
      <c r="AF166" s="114"/>
      <c r="AG166" s="114"/>
      <c r="AH166" s="114"/>
      <c r="AI166" s="114"/>
      <c r="AJ166" s="164" t="s">
        <v>369</v>
      </c>
      <c r="AK166" s="473">
        <v>8.0</v>
      </c>
      <c r="AL166" s="164" t="s">
        <v>369</v>
      </c>
      <c r="AM166" s="473">
        <v>13.0</v>
      </c>
      <c r="AN166" s="164" t="s">
        <v>368</v>
      </c>
      <c r="AO166" s="473">
        <v>17.0</v>
      </c>
      <c r="AP166" s="130">
        <f>SUM(
VLOOKUP("Ravage",vote4TRAITS!A:C,3,FALSE)
)</f>
        <v>7.333333333</v>
      </c>
      <c r="AQ166" s="130">
        <f t="shared" si="3"/>
        <v>1.456363636</v>
      </c>
    </row>
    <row r="167" ht="14.25" customHeight="1">
      <c r="A167" s="137" t="s">
        <v>1471</v>
      </c>
      <c r="B167" s="114" t="s">
        <v>2570</v>
      </c>
      <c r="C167" s="114">
        <v>32.0</v>
      </c>
      <c r="D167" s="114">
        <v>2.0</v>
      </c>
      <c r="E167" s="114">
        <v>1.0</v>
      </c>
      <c r="F167" s="487">
        <v>6.0</v>
      </c>
      <c r="G167" s="488">
        <v>9.0</v>
      </c>
      <c r="H167" s="114" t="s">
        <v>1621</v>
      </c>
      <c r="I167" s="130">
        <f>IFERROR(__xludf.DUMMYFUNCTION("SWITCH(
LEN(H167) - LEN(SUBSTITUTE(H167,"","","""")),
0 , VLOOKUP(H167, Variables!$A:$B, 2, FALSE),
1 , VLOOKUP(index(split(H167 ,"", "", FALSE),1,1), Variables!$A:$B , 2, FALSE) + VLOOKUP(index(split(H167 ,"", "", FALSE),1,2), Variables!$A:$B , 2, FALSE)"&amp;",
2 , VLOOKUP(index(split(H167 ,"", "", FALSE),1,1), Variables!$A:$B , 2, FALSE) + VLOOKUP(index(split(H167 ,"", "", FALSE),1,2), Variables!$A:$B , 2, FALSE) + VLOOKUP(index(split(H167 ,"", "", FALSE),1,3), Variables!$A:$B , 2, FALSE)
)"),0.6666666666666666)</f>
        <v>0.6666666667</v>
      </c>
      <c r="J167" s="114" t="s">
        <v>1521</v>
      </c>
      <c r="K167" s="114" t="s">
        <v>1546</v>
      </c>
      <c r="L167" s="130">
        <f>IFERROR(__xludf.DUMMYFUNCTION("SWITCH(
LEN(K167) - LEN(SUBSTITUTE(K167,"","","""")),
0 , VLOOKUP(K167, Variables!$A:$B, 2, FALSE),
1 , VLOOKUP(index(split(K167 ,"", "", FALSE),1,1), Variables!$A:$B , 2, FALSE) + VLOOKUP(index(split(K167 ,"", "", FALSE),1,2), Variables!$A:$B , 2, FALSE)"&amp;",
2 , VLOOKUP(index(split(K167 ,"", "", FALSE),1,1), Variables!$A:$B , 2, FALSE) + VLOOKUP(index(split(K167 ,"", "", FALSE),1,2), Variables!$A:$B , 2, FALSE) + VLOOKUP(index(split(K167 ,"", "", FALSE),1,3), Variables!$A:$B , 2, FALSE)
)
+
IF(J167=""Ranged"&amp;""", 1 , 0)"),3.5)</f>
        <v>3.5</v>
      </c>
      <c r="M167" s="114" t="s">
        <v>1029</v>
      </c>
      <c r="N167" s="130">
        <f>IFERROR(__xludf.DUMMYFUNCTION("IF(ISBLANK(M167), , 
SWITCH(
LEN(M167)- LEN(SUBSTITUTE(M167,"","","""")), 
0 , VLOOKUP(M167, vote4TRAITS!A:C , 3, FALSE),
1 , VLOOKUP(index(split(M167 ,"", "", FALSE),1,1), vote4TRAITS!A:C , 3, FALSE) + VLOOKUP(index(split(M167 ,"", "", FALSE),1,2), vote4"&amp;"TRAITS!A:C , 3, FALSE),
2 , VLOOKUP(index(split(M167 ,"", "", FALSE),1,1), vote4TRAITS!A:C , 3, FALSE) + VLOOKUP(index(split(M167 ,"", "", FALSE),1,2), vote4TRAITS!A:C , 3, FALSE) + VLOOKUP(index(split(M167 ,"", "", FALSE),1,3), vote4TRAITS!A:C , 3, FALSE"&amp;")
)
)"),5.0)</f>
        <v>5</v>
      </c>
      <c r="O167" s="490"/>
      <c r="P167" s="165" t="str">
        <f>IFERROR(__xludf.DUMMYFUNCTION("IF(ISBLANK(O167), , 
SWITCH(
LEN(O167)- LEN(SUBSTITUTE(O167,"","","""")), 
0 , VLOOKUP(O167, vote4ACTIONS!A:C , 3, FALSE),
1 , VLOOKUP(index(split(O167 ,"", "", FALSE),1,1), vote4ACTIONS!A:C , 3, FALSE) + VLOOKUP(index(split(O167 ,"", "", FALSE),1,2), vot"&amp;"e4ACTIONS!A:C , 3, FALSE),
2 , VLOOKUP(index(split(O167 ,"", "", FALSE),1,1), vote4ACTIONS!A:C , 3, FALSE) + VLOOKUP(index(split(O167 ,"", "", FALSE),1,2), vote4ACTIONS!A:C , 3, FALSE) + VLOOKUP(index(split(O167 ,"", "", FALSE),1,3), vote4ACTIONS!A:C , 3,"&amp;" FALSE),
3 , VLOOKUP(index(split(O167 ,"", "", FALSE),1,1), vote4ACTIONS!A:C , 3, FALSE) + VLOOKUP(index(split(O167 ,"", "", FALSE),1,2), vote4ACTIONS!A:C , 3, FALSE) + VLOOKUP(index(split(O167 ,"", "", FALSE),1,3), vote4ACTIONS!A:C , 3, FALSE) + VLOOKUP("&amp;"index(split(O167 ,"", "", FALSE),1,4), vote4ACTIONS!A:C , 3, FALSE)
)
)"),"")</f>
        <v/>
      </c>
      <c r="Q167" s="340" t="s">
        <v>1534</v>
      </c>
      <c r="R167" s="342">
        <f>IF(ISBLANK(Q167),,IFERROR(
IF(IFERROR(SEARCH("SS:",Q167),0) &gt; 0, 
VLOOKUP(SUBSTITUTE(Q167,"SS: ",""),vote4SURGE!$A:$C , 3, FALSE) - 2,
VLOOKUP(SUBSTITUTE(Q167,"S: ",""),vote4SURGE!$A:$C , 3, FALSE)
)
,
IF(IFERROR(SEARCH("SS:",Q167),0) &gt; 0, 
VLOOKUP(A167,vote4SURGE!$A:$C , 3, FALSE) - 2,
VLOOKUP(A167,vote4SURGE!$A:$C , 3, FALSE)
)
))</f>
        <v>4.25</v>
      </c>
      <c r="S167" s="489" t="s">
        <v>1560</v>
      </c>
      <c r="T167" s="342">
        <f>IF(ISBLANK(S167),,IFERROR(
IF(IFERROR(SEARCH("SS:",S167),0) &gt; 0, 
VLOOKUP(SUBSTITUTE(S167,"SS: ",""),vote4SURGE!$A:$C , 3, FALSE) - 2,
VLOOKUP(SUBSTITUTE(S167,"S: ",""),vote4SURGE!$A:$C , 3, FALSE)
)
,
IF(IFERROR(SEARCH("SS:",S167),0) &gt; 0, 
VLOOKUP(A167,vote4SURGE!$A:$C , 3, FALSE) - 2,
VLOOKUP(A167,vote4SURGE!$A:$C , 3, FALSE)
)
))</f>
        <v>4.25</v>
      </c>
      <c r="U167" s="341"/>
      <c r="V167" s="343" t="str">
        <f>IF(ISBLANK(U167),,IFERROR(
IF(IFERROR(SEARCH("SS:",U167),0) &gt; 0, 
VLOOKUP(SUBSTITUTE(U167,"SS: ",""),vote4SURGE!$A:$C , 3, FALSE) - 2,
VLOOKUP(SUBSTITUTE(U167,"S: ",""),vote4SURGE!$A:$C , 3, FALSE)
)
,
IF(IFERROR(SEARCH("SS:",U167),0) &gt; 0, 
VLOOKUP(A167,vote4SURGE!$A:$C , 3, FALSE) - 2,
VLOOKUP(A167,vote4SURGE!$A:$C , 3, FALSE)
)
))</f>
        <v/>
      </c>
      <c r="W167" s="343">
        <f t="shared" si="1"/>
        <v>2</v>
      </c>
      <c r="X167" s="344">
        <f>IFERROR(__xludf.DUMMYFUNCTION("SWITCH(
LEN(K167) - LEN(SUBSTITUTE(K167,"","","""")),
0 , VLOOKUP(K167, Variables!$A:$C, 3, FALSE),
1 , VLOOKUP(index(split(K167 ,"", "", FALSE),1,1), Variables!$A:$C, 3, FALSE) + VLOOKUP(index(split(K167 ,"", "", FALSE),1,2), Variables!$A:$C, 3, FALSE),
"&amp;"2 , VLOOKUP(index(split(K167 ,"", "", FALSE),1,1), Variables!$A:$C, 3, FALSE) + VLOOKUP(index(split(K167 ,"", "", FALSE),1,2), Variables!$A:$C, 3, FALSE) + VLOOKUP(index(split(K167 ,"", "", FALSE),1,3), Variables!$A:$C, 3, FALSE)
)"),1.3333333333333333)</f>
        <v>1.333333333</v>
      </c>
      <c r="Y167" s="342">
        <f t="shared" si="2"/>
        <v>7.083333333</v>
      </c>
      <c r="Z167" s="114"/>
      <c r="AA167" s="114" t="s">
        <v>2572</v>
      </c>
      <c r="AB167" s="114"/>
      <c r="AC167" s="114"/>
      <c r="AD167" s="114"/>
      <c r="AE167" s="114"/>
      <c r="AF167" s="114"/>
      <c r="AG167" s="114"/>
      <c r="AH167" s="114"/>
      <c r="AI167" s="114" t="s">
        <v>2572</v>
      </c>
      <c r="AJ167" s="114" t="s">
        <v>2574</v>
      </c>
      <c r="AK167" s="473">
        <v>16.0</v>
      </c>
      <c r="AL167" s="114" t="s">
        <v>2574</v>
      </c>
      <c r="AM167" s="473">
        <v>23.0</v>
      </c>
      <c r="AN167" s="114" t="s">
        <v>2574</v>
      </c>
      <c r="AO167" s="473">
        <v>30.0</v>
      </c>
      <c r="AP167" s="130">
        <f>SUM(
VLOOKUP("Ravage",vote4TRAITS!A:C,3,FALSE)
)</f>
        <v>7.333333333</v>
      </c>
      <c r="AQ167" s="130">
        <f t="shared" si="3"/>
        <v>16.23</v>
      </c>
    </row>
    <row r="168" ht="14.25" customHeight="1">
      <c r="A168" s="137" t="s">
        <v>1471</v>
      </c>
      <c r="B168" s="114" t="s">
        <v>2570</v>
      </c>
      <c r="C168" s="114">
        <v>32.0</v>
      </c>
      <c r="D168" s="114">
        <v>1.0</v>
      </c>
      <c r="E168" s="114">
        <v>1.0</v>
      </c>
      <c r="F168" s="487">
        <v>6.0</v>
      </c>
      <c r="G168" s="488">
        <v>6.0</v>
      </c>
      <c r="H168" s="114" t="s">
        <v>1621</v>
      </c>
      <c r="I168" s="130">
        <f>IFERROR(__xludf.DUMMYFUNCTION("SWITCH(
LEN(H168) - LEN(SUBSTITUTE(H168,"","","""")),
0 , VLOOKUP(H168, Variables!$A:$B, 2, FALSE),
1 , VLOOKUP(index(split(H168 ,"", "", FALSE),1,1), Variables!$A:$B , 2, FALSE) + VLOOKUP(index(split(H168 ,"", "", FALSE),1,2), Variables!$A:$B , 2, FALSE)"&amp;",
2 , VLOOKUP(index(split(H168 ,"", "", FALSE),1,1), Variables!$A:$B , 2, FALSE) + VLOOKUP(index(split(H168 ,"", "", FALSE),1,2), Variables!$A:$B , 2, FALSE) + VLOOKUP(index(split(H168 ,"", "", FALSE),1,3), Variables!$A:$B , 2, FALSE)
)"),0.6666666666666666)</f>
        <v>0.6666666667</v>
      </c>
      <c r="J168" s="114" t="s">
        <v>1521</v>
      </c>
      <c r="K168" s="114" t="s">
        <v>1548</v>
      </c>
      <c r="L168" s="130">
        <f>IFERROR(__xludf.DUMMYFUNCTION("SWITCH(
LEN(K168) - LEN(SUBSTITUTE(K168,"","","""")),
0 , VLOOKUP(K168, Variables!$A:$B, 2, FALSE),
1 , VLOOKUP(index(split(K168 ,"", "", FALSE),1,1), Variables!$A:$B , 2, FALSE) + VLOOKUP(index(split(K168 ,"", "", FALSE),1,2), Variables!$A:$B , 2, FALSE)"&amp;",
2 , VLOOKUP(index(split(K168 ,"", "", FALSE),1,1), Variables!$A:$B , 2, FALSE) + VLOOKUP(index(split(K168 ,"", "", FALSE),1,2), Variables!$A:$B , 2, FALSE) + VLOOKUP(index(split(K168 ,"", "", FALSE),1,3), Variables!$A:$B , 2, FALSE)
)
+
IF(J168=""Ranged"&amp;""", 1 , 0)"),2.3333333333333335)</f>
        <v>2.333333333</v>
      </c>
      <c r="M168" s="114" t="s">
        <v>1029</v>
      </c>
      <c r="N168" s="130">
        <f>IFERROR(__xludf.DUMMYFUNCTION("IF(ISBLANK(M168), , 
SWITCH(
LEN(M168)- LEN(SUBSTITUTE(M168,"","","""")), 
0 , VLOOKUP(M168, vote4TRAITS!A:C , 3, FALSE),
1 , VLOOKUP(index(split(M168 ,"", "", FALSE),1,1), vote4TRAITS!A:C , 3, FALSE) + VLOOKUP(index(split(M168 ,"", "", FALSE),1,2), vote4"&amp;"TRAITS!A:C , 3, FALSE),
2 , VLOOKUP(index(split(M168 ,"", "", FALSE),1,1), vote4TRAITS!A:C , 3, FALSE) + VLOOKUP(index(split(M168 ,"", "", FALSE),1,2), vote4TRAITS!A:C , 3, FALSE) + VLOOKUP(index(split(M168 ,"", "", FALSE),1,3), vote4TRAITS!A:C , 3, FALSE"&amp;")
)
)"),5.0)</f>
        <v>5</v>
      </c>
      <c r="O168" s="490"/>
      <c r="P168" s="165" t="str">
        <f>IFERROR(__xludf.DUMMYFUNCTION("IF(ISBLANK(O168), , 
SWITCH(
LEN(O168)- LEN(SUBSTITUTE(O168,"","","""")), 
0 , VLOOKUP(O168, vote4ACTIONS!A:C , 3, FALSE),
1 , VLOOKUP(index(split(O168 ,"", "", FALSE),1,1), vote4ACTIONS!A:C , 3, FALSE) + VLOOKUP(index(split(O168 ,"", "", FALSE),1,2), vot"&amp;"e4ACTIONS!A:C , 3, FALSE),
2 , VLOOKUP(index(split(O168 ,"", "", FALSE),1,1), vote4ACTIONS!A:C , 3, FALSE) + VLOOKUP(index(split(O168 ,"", "", FALSE),1,2), vote4ACTIONS!A:C , 3, FALSE) + VLOOKUP(index(split(O168 ,"", "", FALSE),1,3), vote4ACTIONS!A:C , 3,"&amp;" FALSE),
3 , VLOOKUP(index(split(O168 ,"", "", FALSE),1,1), vote4ACTIONS!A:C , 3, FALSE) + VLOOKUP(index(split(O168 ,"", "", FALSE),1,2), vote4ACTIONS!A:C , 3, FALSE) + VLOOKUP(index(split(O168 ,"", "", FALSE),1,3), vote4ACTIONS!A:C , 3, FALSE) + VLOOKUP("&amp;"index(split(O168 ,"", "", FALSE),1,4), vote4ACTIONS!A:C , 3, FALSE)
)
)"),"")</f>
        <v/>
      </c>
      <c r="Q168" s="340" t="s">
        <v>1562</v>
      </c>
      <c r="R168" s="342">
        <f>IF(ISBLANK(Q168),,IFERROR(
IF(IFERROR(SEARCH("SS:",Q168),0) &gt; 0, 
VLOOKUP(SUBSTITUTE(Q168,"SS: ",""),vote4SURGE!$A:$C , 3, FALSE) - 2,
VLOOKUP(SUBSTITUTE(Q168,"S: ",""),vote4SURGE!$A:$C , 3, FALSE)
)
,
IF(IFERROR(SEARCH("SS:",Q168),0) &gt; 0, 
VLOOKUP(A168,vote4SURGE!$A:$C , 3, FALSE) - 2,
VLOOKUP(A168,vote4SURGE!$A:$C , 3, FALSE)
)
))</f>
        <v>3.5</v>
      </c>
      <c r="S168" s="489" t="s">
        <v>1560</v>
      </c>
      <c r="T168" s="342">
        <f>IF(ISBLANK(S168),,IFERROR(
IF(IFERROR(SEARCH("SS:",S168),0) &gt; 0, 
VLOOKUP(SUBSTITUTE(S168,"SS: ",""),vote4SURGE!$A:$C , 3, FALSE) - 2,
VLOOKUP(SUBSTITUTE(S168,"S: ",""),vote4SURGE!$A:$C , 3, FALSE)
)
,
IF(IFERROR(SEARCH("SS:",S168),0) &gt; 0, 
VLOOKUP(A168,vote4SURGE!$A:$C , 3, FALSE) - 2,
VLOOKUP(A168,vote4SURGE!$A:$C , 3, FALSE)
)
))</f>
        <v>4.25</v>
      </c>
      <c r="U168" s="341"/>
      <c r="V168" s="343" t="str">
        <f>IF(ISBLANK(U168),,IFERROR(
IF(IFERROR(SEARCH("SS:",U168),0) &gt; 0, 
VLOOKUP(SUBSTITUTE(U168,"SS: ",""),vote4SURGE!$A:$C , 3, FALSE) - 2,
VLOOKUP(SUBSTITUTE(U168,"S: ",""),vote4SURGE!$A:$C , 3, FALSE)
)
,
IF(IFERROR(SEARCH("SS:",U168),0) &gt; 0, 
VLOOKUP(A168,vote4SURGE!$A:$C , 3, FALSE) - 2,
VLOOKUP(A168,vote4SURGE!$A:$C , 3, FALSE)
)
))</f>
        <v/>
      </c>
      <c r="W168" s="343">
        <f t="shared" si="1"/>
        <v>2</v>
      </c>
      <c r="X168" s="344">
        <f>IFERROR(__xludf.DUMMYFUNCTION("SWITCH(
LEN(K168) - LEN(SUBSTITUTE(K168,"","","""")),
0 , VLOOKUP(K168, Variables!$A:$C, 3, FALSE),
1 , VLOOKUP(index(split(K168 ,"", "", FALSE),1,1), Variables!$A:$C, 3, FALSE) + VLOOKUP(index(split(K168 ,"", "", FALSE),1,2), Variables!$A:$C, 3, FALSE),
"&amp;"2 , VLOOKUP(index(split(K168 ,"", "", FALSE),1,1), Variables!$A:$C, 3, FALSE) + VLOOKUP(index(split(K168 ,"", "", FALSE),1,2), Variables!$A:$C, 3, FALSE) + VLOOKUP(index(split(K168 ,"", "", FALSE),1,3), Variables!$A:$C, 3, FALSE)
)"),0.8333333333333333)</f>
        <v>0.8333333333</v>
      </c>
      <c r="Y168" s="342">
        <f t="shared" si="2"/>
        <v>5.708333333</v>
      </c>
      <c r="Z168" s="114"/>
      <c r="AA168" s="114" t="s">
        <v>2572</v>
      </c>
      <c r="AB168" s="114"/>
      <c r="AC168" s="114"/>
      <c r="AD168" s="114"/>
      <c r="AE168" s="114"/>
      <c r="AF168" s="114"/>
      <c r="AG168" s="114"/>
      <c r="AH168" s="114"/>
      <c r="AI168" s="114" t="s">
        <v>2572</v>
      </c>
      <c r="AJ168" s="114" t="s">
        <v>2574</v>
      </c>
      <c r="AK168" s="473">
        <v>10.0</v>
      </c>
      <c r="AL168" s="114" t="s">
        <v>2574</v>
      </c>
      <c r="AM168" s="473">
        <v>14.0</v>
      </c>
      <c r="AN168" s="114" t="s">
        <v>2574</v>
      </c>
      <c r="AO168" s="473">
        <v>18.0</v>
      </c>
      <c r="AP168" s="130">
        <f>SUM(
VLOOKUP("Ravage",vote4TRAITS!A:C,3,FALSE)
)</f>
        <v>7.333333333</v>
      </c>
      <c r="AQ168" s="130">
        <f t="shared" si="3"/>
        <v>11.68833333</v>
      </c>
    </row>
    <row r="169" ht="14.25" customHeight="1">
      <c r="A169" s="137" t="s">
        <v>1471</v>
      </c>
      <c r="B169" s="114" t="s">
        <v>2576</v>
      </c>
      <c r="C169" s="114">
        <v>32.0</v>
      </c>
      <c r="D169" s="114">
        <v>2.0</v>
      </c>
      <c r="E169" s="114">
        <v>1.0</v>
      </c>
      <c r="F169" s="487">
        <v>5.0</v>
      </c>
      <c r="G169" s="488">
        <v>7.0</v>
      </c>
      <c r="H169" s="114" t="s">
        <v>1621</v>
      </c>
      <c r="I169" s="130">
        <f>IFERROR(__xludf.DUMMYFUNCTION("SWITCH(
LEN(H169) - LEN(SUBSTITUTE(H169,"","","""")),
0 , VLOOKUP(H169, Variables!$A:$B, 2, FALSE),
1 , VLOOKUP(index(split(H169 ,"", "", FALSE),1,1), Variables!$A:$B , 2, FALSE) + VLOOKUP(index(split(H169 ,"", "", FALSE),1,2), Variables!$A:$B , 2, FALSE)"&amp;",
2 , VLOOKUP(index(split(H169 ,"", "", FALSE),1,1), Variables!$A:$B , 2, FALSE) + VLOOKUP(index(split(H169 ,"", "", FALSE),1,2), Variables!$A:$B , 2, FALSE) + VLOOKUP(index(split(H169 ,"", "", FALSE),1,3), Variables!$A:$B , 2, FALSE)
)"),0.6666666666666666)</f>
        <v>0.6666666667</v>
      </c>
      <c r="J169" s="114" t="s">
        <v>1521</v>
      </c>
      <c r="K169" s="114" t="s">
        <v>1548</v>
      </c>
      <c r="L169" s="130">
        <f>IFERROR(__xludf.DUMMYFUNCTION("SWITCH(
LEN(K169) - LEN(SUBSTITUTE(K169,"","","""")),
0 , VLOOKUP(K169, Variables!$A:$B, 2, FALSE),
1 , VLOOKUP(index(split(K169 ,"", "", FALSE),1,1), Variables!$A:$B , 2, FALSE) + VLOOKUP(index(split(K169 ,"", "", FALSE),1,2), Variables!$A:$B , 2, FALSE)"&amp;",
2 , VLOOKUP(index(split(K169 ,"", "", FALSE),1,1), Variables!$A:$B , 2, FALSE) + VLOOKUP(index(split(K169 ,"", "", FALSE),1,2), Variables!$A:$B , 2, FALSE) + VLOOKUP(index(split(K169 ,"", "", FALSE),1,3), Variables!$A:$B , 2, FALSE)
)
+
IF(J169=""Ranged"&amp;""", 1 , 0)"),2.3333333333333335)</f>
        <v>2.333333333</v>
      </c>
      <c r="M169" s="114" t="s">
        <v>1029</v>
      </c>
      <c r="N169" s="130">
        <f>IFERROR(__xludf.DUMMYFUNCTION("IF(ISBLANK(M169), , 
SWITCH(
LEN(M169)- LEN(SUBSTITUTE(M169,"","","""")), 
0 , VLOOKUP(M169, vote4TRAITS!A:C , 3, FALSE),
1 , VLOOKUP(index(split(M169 ,"", "", FALSE),1,1), vote4TRAITS!A:C , 3, FALSE) + VLOOKUP(index(split(M169 ,"", "", FALSE),1,2), vote4"&amp;"TRAITS!A:C , 3, FALSE),
2 , VLOOKUP(index(split(M169 ,"", "", FALSE),1,1), vote4TRAITS!A:C , 3, FALSE) + VLOOKUP(index(split(M169 ,"", "", FALSE),1,2), vote4TRAITS!A:C , 3, FALSE) + VLOOKUP(index(split(M169 ,"", "", FALSE),1,3), vote4TRAITS!A:C , 3, FALSE"&amp;")
)
)"),5.0)</f>
        <v>5</v>
      </c>
      <c r="O169" s="490"/>
      <c r="P169" s="165" t="str">
        <f>IFERROR(__xludf.DUMMYFUNCTION("IF(ISBLANK(O169), , 
SWITCH(
LEN(O169)- LEN(SUBSTITUTE(O169,"","","""")), 
0 , VLOOKUP(O169, vote4ACTIONS!A:C , 3, FALSE),
1 , VLOOKUP(index(split(O169 ,"", "", FALSE),1,1), vote4ACTIONS!A:C , 3, FALSE) + VLOOKUP(index(split(O169 ,"", "", FALSE),1,2), vot"&amp;"e4ACTIONS!A:C , 3, FALSE),
2 , VLOOKUP(index(split(O169 ,"", "", FALSE),1,1), vote4ACTIONS!A:C , 3, FALSE) + VLOOKUP(index(split(O169 ,"", "", FALSE),1,2), vote4ACTIONS!A:C , 3, FALSE) + VLOOKUP(index(split(O169 ,"", "", FALSE),1,3), vote4ACTIONS!A:C , 3,"&amp;" FALSE),
3 , VLOOKUP(index(split(O169 ,"", "", FALSE),1,1), vote4ACTIONS!A:C , 3, FALSE) + VLOOKUP(index(split(O169 ,"", "", FALSE),1,2), vote4ACTIONS!A:C , 3, FALSE) + VLOOKUP(index(split(O169 ,"", "", FALSE),1,3), vote4ACTIONS!A:C , 3, FALSE) + VLOOKUP("&amp;"index(split(O169 ,"", "", FALSE),1,4), vote4ACTIONS!A:C , 3, FALSE)
)
)"),"")</f>
        <v/>
      </c>
      <c r="Q169" s="340" t="s">
        <v>1534</v>
      </c>
      <c r="R169" s="342">
        <f>IF(ISBLANK(Q169),,IFERROR(
IF(IFERROR(SEARCH("SS:",Q169),0) &gt; 0, 
VLOOKUP(SUBSTITUTE(Q169,"SS: ",""),vote4SURGE!$A:$C , 3, FALSE) - 2,
VLOOKUP(SUBSTITUTE(Q169,"S: ",""),vote4SURGE!$A:$C , 3, FALSE)
)
,
IF(IFERROR(SEARCH("SS:",Q169),0) &gt; 0, 
VLOOKUP(A169,vote4SURGE!$A:$C , 3, FALSE) - 2,
VLOOKUP(A169,vote4SURGE!$A:$C , 3, FALSE)
)
))</f>
        <v>4.25</v>
      </c>
      <c r="S169" s="341"/>
      <c r="T169" s="342" t="str">
        <f>IF(ISBLANK(S169),,IFERROR(
IF(IFERROR(SEARCH("SS:",S169),0) &gt; 0, 
VLOOKUP(SUBSTITUTE(S169,"SS: ",""),vote4SURGE!$A:$C , 3, FALSE) - 2,
VLOOKUP(SUBSTITUTE(S169,"S: ",""),vote4SURGE!$A:$C , 3, FALSE)
)
,
IF(IFERROR(SEARCH("SS:",S169),0) &gt; 0, 
VLOOKUP(A169,vote4SURGE!$A:$C , 3, FALSE) - 2,
VLOOKUP(A169,vote4SURGE!$A:$C , 3, FALSE)
)
))</f>
        <v/>
      </c>
      <c r="U169" s="341"/>
      <c r="V169" s="343" t="str">
        <f>IF(ISBLANK(U169),,IFERROR(
IF(IFERROR(SEARCH("SS:",U169),0) &gt; 0, 
VLOOKUP(SUBSTITUTE(U169,"SS: ",""),vote4SURGE!$A:$C , 3, FALSE) - 2,
VLOOKUP(SUBSTITUTE(U169,"S: ",""),vote4SURGE!$A:$C , 3, FALSE)
)
,
IF(IFERROR(SEARCH("SS:",U169),0) &gt; 0, 
VLOOKUP(A169,vote4SURGE!$A:$C , 3, FALSE) - 2,
VLOOKUP(A169,vote4SURGE!$A:$C , 3, FALSE)
)
))</f>
        <v/>
      </c>
      <c r="W169" s="343">
        <f t="shared" si="1"/>
        <v>1</v>
      </c>
      <c r="X169" s="344">
        <f>IFERROR(__xludf.DUMMYFUNCTION("SWITCH(
LEN(K169) - LEN(SUBSTITUTE(K169,"","","""")),
0 , VLOOKUP(K169, Variables!$A:$C, 3, FALSE),
1 , VLOOKUP(index(split(K169 ,"", "", FALSE),1,1), Variables!$A:$C, 3, FALSE) + VLOOKUP(index(split(K169 ,"", "", FALSE),1,2), Variables!$A:$C, 3, FALSE),
"&amp;"2 , VLOOKUP(index(split(K169 ,"", "", FALSE),1,1), Variables!$A:$C, 3, FALSE) + VLOOKUP(index(split(K169 ,"", "", FALSE),1,2), Variables!$A:$C, 3, FALSE) + VLOOKUP(index(split(K169 ,"", "", FALSE),1,3), Variables!$A:$C, 3, FALSE)
)"),0.8333333333333333)</f>
        <v>0.8333333333</v>
      </c>
      <c r="Y169" s="342">
        <f t="shared" si="2"/>
        <v>3.541666667</v>
      </c>
      <c r="Z169" s="114"/>
      <c r="AA169" s="114" t="s">
        <v>2572</v>
      </c>
      <c r="AB169" s="114"/>
      <c r="AC169" s="114"/>
      <c r="AD169" s="114"/>
      <c r="AE169" s="114"/>
      <c r="AF169" s="114"/>
      <c r="AG169" s="114"/>
      <c r="AH169" s="114"/>
      <c r="AI169" s="114" t="s">
        <v>2572</v>
      </c>
      <c r="AJ169" s="114" t="s">
        <v>2574</v>
      </c>
      <c r="AK169" s="473">
        <v>16.0</v>
      </c>
      <c r="AL169" s="114" t="s">
        <v>369</v>
      </c>
      <c r="AM169" s="473">
        <v>23.0</v>
      </c>
      <c r="AN169" s="114" t="s">
        <v>368</v>
      </c>
      <c r="AO169" s="473">
        <v>30.0</v>
      </c>
      <c r="AP169" s="130">
        <f>SUM(
VLOOKUP("Ravage",vote4TRAITS!A:C,3,FALSE)
)</f>
        <v>7.333333333</v>
      </c>
      <c r="AQ169" s="130">
        <f t="shared" si="3"/>
        <v>9.858333333</v>
      </c>
    </row>
    <row r="170" ht="14.25" customHeight="1">
      <c r="A170" s="137" t="s">
        <v>1471</v>
      </c>
      <c r="B170" s="114" t="s">
        <v>2576</v>
      </c>
      <c r="C170" s="114">
        <v>32.0</v>
      </c>
      <c r="D170" s="114">
        <v>1.0</v>
      </c>
      <c r="E170" s="114">
        <v>1.0</v>
      </c>
      <c r="F170" s="487">
        <v>5.0</v>
      </c>
      <c r="G170" s="488">
        <v>4.0</v>
      </c>
      <c r="H170" s="114" t="s">
        <v>1621</v>
      </c>
      <c r="I170" s="130">
        <f>IFERROR(__xludf.DUMMYFUNCTION("SWITCH(
LEN(H170) - LEN(SUBSTITUTE(H170,"","","""")),
0 , VLOOKUP(H170, Variables!$A:$B, 2, FALSE),
1 , VLOOKUP(index(split(H170 ,"", "", FALSE),1,1), Variables!$A:$B , 2, FALSE) + VLOOKUP(index(split(H170 ,"", "", FALSE),1,2), Variables!$A:$B , 2, FALSE)"&amp;",
2 , VLOOKUP(index(split(H170 ,"", "", FALSE),1,1), Variables!$A:$B , 2, FALSE) + VLOOKUP(index(split(H170 ,"", "", FALSE),1,2), Variables!$A:$B , 2, FALSE) + VLOOKUP(index(split(H170 ,"", "", FALSE),1,3), Variables!$A:$B , 2, FALSE)
)"),0.6666666666666666)</f>
        <v>0.6666666667</v>
      </c>
      <c r="J170" s="114" t="s">
        <v>1521</v>
      </c>
      <c r="K170" s="114" t="s">
        <v>1548</v>
      </c>
      <c r="L170" s="130">
        <f>IFERROR(__xludf.DUMMYFUNCTION("SWITCH(
LEN(K170) - LEN(SUBSTITUTE(K170,"","","""")),
0 , VLOOKUP(K170, Variables!$A:$B, 2, FALSE),
1 , VLOOKUP(index(split(K170 ,"", "", FALSE),1,1), Variables!$A:$B , 2, FALSE) + VLOOKUP(index(split(K170 ,"", "", FALSE),1,2), Variables!$A:$B , 2, FALSE)"&amp;",
2 , VLOOKUP(index(split(K170 ,"", "", FALSE),1,1), Variables!$A:$B , 2, FALSE) + VLOOKUP(index(split(K170 ,"", "", FALSE),1,2), Variables!$A:$B , 2, FALSE) + VLOOKUP(index(split(K170 ,"", "", FALSE),1,3), Variables!$A:$B , 2, FALSE)
)
+
IF(J170=""Ranged"&amp;""", 1 , 0)"),2.3333333333333335)</f>
        <v>2.333333333</v>
      </c>
      <c r="M170" s="114" t="s">
        <v>1029</v>
      </c>
      <c r="N170" s="130">
        <f>IFERROR(__xludf.DUMMYFUNCTION("IF(ISBLANK(M170), , 
SWITCH(
LEN(M170)- LEN(SUBSTITUTE(M170,"","","""")), 
0 , VLOOKUP(M170, vote4TRAITS!A:C , 3, FALSE),
1 , VLOOKUP(index(split(M170 ,"", "", FALSE),1,1), vote4TRAITS!A:C , 3, FALSE) + VLOOKUP(index(split(M170 ,"", "", FALSE),1,2), vote4"&amp;"TRAITS!A:C , 3, FALSE),
2 , VLOOKUP(index(split(M170 ,"", "", FALSE),1,1), vote4TRAITS!A:C , 3, FALSE) + VLOOKUP(index(split(M170 ,"", "", FALSE),1,2), vote4TRAITS!A:C , 3, FALSE) + VLOOKUP(index(split(M170 ,"", "", FALSE),1,3), vote4TRAITS!A:C , 3, FALSE"&amp;")
)
)"),5.0)</f>
        <v>5</v>
      </c>
      <c r="O170" s="490"/>
      <c r="P170" s="165" t="str">
        <f>IFERROR(__xludf.DUMMYFUNCTION("IF(ISBLANK(O170), , 
SWITCH(
LEN(O170)- LEN(SUBSTITUTE(O170,"","","""")), 
0 , VLOOKUP(O170, vote4ACTIONS!A:C , 3, FALSE),
1 , VLOOKUP(index(split(O170 ,"", "", FALSE),1,1), vote4ACTIONS!A:C , 3, FALSE) + VLOOKUP(index(split(O170 ,"", "", FALSE),1,2), vot"&amp;"e4ACTIONS!A:C , 3, FALSE),
2 , VLOOKUP(index(split(O170 ,"", "", FALSE),1,1), vote4ACTIONS!A:C , 3, FALSE) + VLOOKUP(index(split(O170 ,"", "", FALSE),1,2), vote4ACTIONS!A:C , 3, FALSE) + VLOOKUP(index(split(O170 ,"", "", FALSE),1,3), vote4ACTIONS!A:C , 3,"&amp;" FALSE),
3 , VLOOKUP(index(split(O170 ,"", "", FALSE),1,1), vote4ACTIONS!A:C , 3, FALSE) + VLOOKUP(index(split(O170 ,"", "", FALSE),1,2), vote4ACTIONS!A:C , 3, FALSE) + VLOOKUP(index(split(O170 ,"", "", FALSE),1,3), vote4ACTIONS!A:C , 3, FALSE) + VLOOKUP("&amp;"index(split(O170 ,"", "", FALSE),1,4), vote4ACTIONS!A:C , 3, FALSE)
)
)"),"")</f>
        <v/>
      </c>
      <c r="Q170" s="340" t="s">
        <v>1562</v>
      </c>
      <c r="R170" s="342">
        <f>IF(ISBLANK(Q170),,IFERROR(
IF(IFERROR(SEARCH("SS:",Q170),0) &gt; 0, 
VLOOKUP(SUBSTITUTE(Q170,"SS: ",""),vote4SURGE!$A:$C , 3, FALSE) - 2,
VLOOKUP(SUBSTITUTE(Q170,"S: ",""),vote4SURGE!$A:$C , 3, FALSE)
)
,
IF(IFERROR(SEARCH("SS:",Q170),0) &gt; 0, 
VLOOKUP(A170,vote4SURGE!$A:$C , 3, FALSE) - 2,
VLOOKUP(A170,vote4SURGE!$A:$C , 3, FALSE)
)
))</f>
        <v>3.5</v>
      </c>
      <c r="S170" s="164"/>
      <c r="T170" s="342" t="str">
        <f>IF(ISBLANK(S170),,IFERROR(
IF(IFERROR(SEARCH("SS:",S170),0) &gt; 0, 
VLOOKUP(SUBSTITUTE(S170,"SS: ",""),vote4SURGE!$A:$C , 3, FALSE) - 2,
VLOOKUP(SUBSTITUTE(S170,"S: ",""),vote4SURGE!$A:$C , 3, FALSE)
)
,
IF(IFERROR(SEARCH("SS:",S170),0) &gt; 0, 
VLOOKUP(A170,vote4SURGE!$A:$C , 3, FALSE) - 2,
VLOOKUP(A170,vote4SURGE!$A:$C , 3, FALSE)
)
))</f>
        <v/>
      </c>
      <c r="U170" s="164"/>
      <c r="V170" s="343" t="str">
        <f>IF(ISBLANK(U170),,IFERROR(
IF(IFERROR(SEARCH("SS:",U170),0) &gt; 0, 
VLOOKUP(SUBSTITUTE(U170,"SS: ",""),vote4SURGE!$A:$C , 3, FALSE) - 2,
VLOOKUP(SUBSTITUTE(U170,"S: ",""),vote4SURGE!$A:$C , 3, FALSE)
)
,
IF(IFERROR(SEARCH("SS:",U170),0) &gt; 0, 
VLOOKUP(A170,vote4SURGE!$A:$C , 3, FALSE) - 2,
VLOOKUP(A170,vote4SURGE!$A:$C , 3, FALSE)
)
))</f>
        <v/>
      </c>
      <c r="W170" s="343">
        <f t="shared" si="1"/>
        <v>1</v>
      </c>
      <c r="X170" s="344">
        <f>IFERROR(__xludf.DUMMYFUNCTION("SWITCH(
LEN(K170) - LEN(SUBSTITUTE(K170,"","","""")),
0 , VLOOKUP(K170, Variables!$A:$C, 3, FALSE),
1 , VLOOKUP(index(split(K170 ,"", "", FALSE),1,1), Variables!$A:$C, 3, FALSE) + VLOOKUP(index(split(K170 ,"", "", FALSE),1,2), Variables!$A:$C, 3, FALSE),
"&amp;"2 , VLOOKUP(index(split(K170 ,"", "", FALSE),1,1), Variables!$A:$C, 3, FALSE) + VLOOKUP(index(split(K170 ,"", "", FALSE),1,2), Variables!$A:$C, 3, FALSE) + VLOOKUP(index(split(K170 ,"", "", FALSE),1,3), Variables!$A:$C, 3, FALSE)
)"),0.8333333333333333)</f>
        <v>0.8333333333</v>
      </c>
      <c r="Y170" s="342">
        <f t="shared" si="2"/>
        <v>2.916666667</v>
      </c>
      <c r="Z170" s="114"/>
      <c r="AA170" s="114" t="s">
        <v>2572</v>
      </c>
      <c r="AB170" s="114"/>
      <c r="AC170" s="114"/>
      <c r="AD170" s="114"/>
      <c r="AE170" s="114"/>
      <c r="AF170" s="114"/>
      <c r="AG170" s="114"/>
      <c r="AH170" s="114"/>
      <c r="AI170" s="114" t="s">
        <v>2572</v>
      </c>
      <c r="AJ170" s="114" t="s">
        <v>2574</v>
      </c>
      <c r="AK170" s="473">
        <v>10.0</v>
      </c>
      <c r="AL170" s="114" t="s">
        <v>369</v>
      </c>
      <c r="AM170" s="473">
        <v>14.0</v>
      </c>
      <c r="AN170" s="114" t="s">
        <v>368</v>
      </c>
      <c r="AO170" s="473">
        <v>18.0</v>
      </c>
      <c r="AP170" s="130">
        <f>SUM(
VLOOKUP("Ravage",vote4TRAITS!A:C,3,FALSE)
)</f>
        <v>7.333333333</v>
      </c>
      <c r="AQ170" s="130">
        <f t="shared" si="3"/>
        <v>7.233333333</v>
      </c>
    </row>
    <row r="171" ht="14.25" customHeight="1">
      <c r="A171" s="137" t="s">
        <v>1101</v>
      </c>
      <c r="B171" s="114" t="s">
        <v>2570</v>
      </c>
      <c r="C171" s="114">
        <v>26.0</v>
      </c>
      <c r="D171" s="114">
        <v>2.0</v>
      </c>
      <c r="E171" s="114">
        <v>1.0</v>
      </c>
      <c r="F171" s="487">
        <v>3.0</v>
      </c>
      <c r="G171" s="488">
        <v>8.0</v>
      </c>
      <c r="H171" s="114" t="s">
        <v>1621</v>
      </c>
      <c r="I171" s="130">
        <f>IFERROR(__xludf.DUMMYFUNCTION("SWITCH(
LEN(H171) - LEN(SUBSTITUTE(H171,"","","""")),
0 , VLOOKUP(H171, Variables!$A:$B, 2, FALSE),
1 , VLOOKUP(index(split(H171 ,"", "", FALSE),1,1), Variables!$A:$B , 2, FALSE) + VLOOKUP(index(split(H171 ,"", "", FALSE),1,2), Variables!$A:$B , 2, FALSE)"&amp;",
2 , VLOOKUP(index(split(H171 ,"", "", FALSE),1,1), Variables!$A:$B , 2, FALSE) + VLOOKUP(index(split(H171 ,"", "", FALSE),1,2), Variables!$A:$B , 2, FALSE) + VLOOKUP(index(split(H171 ,"", "", FALSE),1,3), Variables!$A:$B , 2, FALSE)
)"),0.6666666666666666)</f>
        <v>0.6666666667</v>
      </c>
      <c r="J171" s="114" t="s">
        <v>1521</v>
      </c>
      <c r="K171" s="114" t="s">
        <v>1546</v>
      </c>
      <c r="L171" s="130">
        <f>IFERROR(__xludf.DUMMYFUNCTION("SWITCH(
LEN(K171) - LEN(SUBSTITUTE(K171,"","","""")),
0 , VLOOKUP(K171, Variables!$A:$B, 2, FALSE),
1 , VLOOKUP(index(split(K171 ,"", "", FALSE),1,1), Variables!$A:$B , 2, FALSE) + VLOOKUP(index(split(K171 ,"", "", FALSE),1,2), Variables!$A:$B , 2, FALSE)"&amp;",
2 , VLOOKUP(index(split(K171 ,"", "", FALSE),1,1), Variables!$A:$B , 2, FALSE) + VLOOKUP(index(split(K171 ,"", "", FALSE),1,2), Variables!$A:$B , 2, FALSE) + VLOOKUP(index(split(K171 ,"", "", FALSE),1,3), Variables!$A:$B , 2, FALSE)
)
+
IF(J171=""Ranged"&amp;""", 1 , 0)"),3.5)</f>
        <v>3.5</v>
      </c>
      <c r="M171" s="114" t="s">
        <v>2636</v>
      </c>
      <c r="N171" s="130">
        <f>IFERROR(__xludf.DUMMYFUNCTION("IF(ISBLANK(M171), , 
SWITCH(
LEN(M171)- LEN(SUBSTITUTE(M171,"","","""")), 
0 , VLOOKUP(M171, vote4TRAITS!A:C , 3, FALSE),
1 , VLOOKUP(index(split(M171 ,"", "", FALSE),1,1), vote4TRAITS!A:C , 3, FALSE) + VLOOKUP(index(split(M171 ,"", "", FALSE),1,2), vote4"&amp;"TRAITS!A:C , 3, FALSE),
2 , VLOOKUP(index(split(M171 ,"", "", FALSE),1,1), vote4TRAITS!A:C , 3, FALSE) + VLOOKUP(index(split(M171 ,"", "", FALSE),1,2), vote4TRAITS!A:C , 3, FALSE) + VLOOKUP(index(split(M171 ,"", "", FALSE),1,3), vote4TRAITS!A:C , 3, FALSE"&amp;")
)
)"),8.666666666666666)</f>
        <v>8.666666667</v>
      </c>
      <c r="O171" s="114" t="s">
        <v>1349</v>
      </c>
      <c r="P171" s="165">
        <f>IFERROR(__xludf.DUMMYFUNCTION("IF(ISBLANK(O171), , 
SWITCH(
LEN(O171)- LEN(SUBSTITUTE(O171,"","","""")), 
0 , VLOOKUP(O171, vote4ACTIONS!A:C , 3, FALSE),
1 , VLOOKUP(index(split(O171 ,"", "", FALSE),1,1), vote4ACTIONS!A:C , 3, FALSE) + VLOOKUP(index(split(O171 ,"", "", FALSE),1,2), vot"&amp;"e4ACTIONS!A:C , 3, FALSE),
2 , VLOOKUP(index(split(O171 ,"", "", FALSE),1,1), vote4ACTIONS!A:C , 3, FALSE) + VLOOKUP(index(split(O171 ,"", "", FALSE),1,2), vote4ACTIONS!A:C , 3, FALSE) + VLOOKUP(index(split(O171 ,"", "", FALSE),1,3), vote4ACTIONS!A:C , 3,"&amp;" FALSE),
3 , VLOOKUP(index(split(O171 ,"", "", FALSE),1,1), vote4ACTIONS!A:C , 3, FALSE) + VLOOKUP(index(split(O171 ,"", "", FALSE),1,2), vote4ACTIONS!A:C , 3, FALSE) + VLOOKUP(index(split(O171 ,"", "", FALSE),1,3), vote4ACTIONS!A:C , 3, FALSE) + VLOOKUP("&amp;"index(split(O171 ,"", "", FALSE),1,4), vote4ACTIONS!A:C , 3, FALSE)
)
)"),-1.0)</f>
        <v>-1</v>
      </c>
      <c r="Q171" s="155" t="s">
        <v>2616</v>
      </c>
      <c r="R171" s="342">
        <f>IF(ISBLANK(Q171),,IFERROR(
IF(IFERROR(SEARCH("SS:",Q171),0) &gt; 0, 
VLOOKUP(SUBSTITUTE(Q171,"SS: ",""),vote4SURGE!$A:$C , 3, FALSE) - 2,
VLOOKUP(SUBSTITUTE(Q171,"S: ",""),vote4SURGE!$A:$C , 3, FALSE)
)
,
IF(IFERROR(SEARCH("SS:",Q171),0) &gt; 0, 
VLOOKUP(A171,vote4SURGE!$A:$C , 3, FALSE) - 2,
VLOOKUP(A171,vote4SURGE!$A:$C , 3, FALSE)
)
))</f>
        <v>4</v>
      </c>
      <c r="S171" s="341"/>
      <c r="T171" s="342" t="str">
        <f>IF(ISBLANK(S171),,IFERROR(
IF(IFERROR(SEARCH("SS:",S171),0) &gt; 0, 
VLOOKUP(SUBSTITUTE(S171,"SS: ",""),vote4SURGE!$A:$C , 3, FALSE) - 2,
VLOOKUP(SUBSTITUTE(S171,"S: ",""),vote4SURGE!$A:$C , 3, FALSE)
)
,
IF(IFERROR(SEARCH("SS:",S171),0) &gt; 0, 
VLOOKUP(A171,vote4SURGE!$A:$C , 3, FALSE) - 2,
VLOOKUP(A171,vote4SURGE!$A:$C , 3, FALSE)
)
))</f>
        <v/>
      </c>
      <c r="U171" s="341"/>
      <c r="V171" s="343" t="str">
        <f>IF(ISBLANK(U171),,IFERROR(
IF(IFERROR(SEARCH("SS:",U171),0) &gt; 0, 
VLOOKUP(SUBSTITUTE(U171,"SS: ",""),vote4SURGE!$A:$C , 3, FALSE) - 2,
VLOOKUP(SUBSTITUTE(U171,"S: ",""),vote4SURGE!$A:$C , 3, FALSE)
)
,
IF(IFERROR(SEARCH("SS:",U171),0) &gt; 0, 
VLOOKUP(A171,vote4SURGE!$A:$C , 3, FALSE) - 2,
VLOOKUP(A171,vote4SURGE!$A:$C , 3, FALSE)
)
))</f>
        <v/>
      </c>
      <c r="W171" s="343">
        <f t="shared" si="1"/>
        <v>1</v>
      </c>
      <c r="X171" s="344">
        <f>IFERROR(__xludf.DUMMYFUNCTION("SWITCH(
LEN(K171) - LEN(SUBSTITUTE(K171,"","","""")),
0 , VLOOKUP(K171, Variables!$A:$C, 3, FALSE),
1 , VLOOKUP(index(split(K171 ,"", "", FALSE),1,1), Variables!$A:$C, 3, FALSE) + VLOOKUP(index(split(K171 ,"", "", FALSE),1,2), Variables!$A:$C, 3, FALSE),
"&amp;"2 , VLOOKUP(index(split(K171 ,"", "", FALSE),1,1), Variables!$A:$C, 3, FALSE) + VLOOKUP(index(split(K171 ,"", "", FALSE),1,2), Variables!$A:$C, 3, FALSE) + VLOOKUP(index(split(K171 ,"", "", FALSE),1,3), Variables!$A:$C, 3, FALSE)
)"),1.3333333333333333)</f>
        <v>1.333333333</v>
      </c>
      <c r="Y171" s="342">
        <f t="shared" si="2"/>
        <v>5.333333333</v>
      </c>
      <c r="Z171" s="114"/>
      <c r="AA171" s="114"/>
      <c r="AB171" s="114" t="s">
        <v>2572</v>
      </c>
      <c r="AC171" s="114"/>
      <c r="AD171" s="114" t="s">
        <v>2572</v>
      </c>
      <c r="AE171" s="114"/>
      <c r="AF171" s="114"/>
      <c r="AG171" s="114"/>
      <c r="AH171" s="114"/>
      <c r="AI171" s="114"/>
      <c r="AJ171" s="164" t="s">
        <v>2574</v>
      </c>
      <c r="AK171" s="473">
        <v>23.0</v>
      </c>
      <c r="AL171" s="164" t="s">
        <v>369</v>
      </c>
      <c r="AM171" s="473">
        <v>31.0</v>
      </c>
      <c r="AN171" s="164" t="s">
        <v>369</v>
      </c>
      <c r="AO171" s="473">
        <v>36.0</v>
      </c>
      <c r="AP171" s="130">
        <f>SUM(
VLOOKUP("Ravage",vote4TRAITS!A:C,3,FALSE)
)</f>
        <v>7.333333333</v>
      </c>
      <c r="AQ171" s="130">
        <f t="shared" si="3"/>
        <v>15.49</v>
      </c>
    </row>
    <row r="172" ht="14.25" customHeight="1">
      <c r="A172" s="137" t="s">
        <v>1101</v>
      </c>
      <c r="B172" s="114" t="s">
        <v>2570</v>
      </c>
      <c r="C172" s="114">
        <v>26.0</v>
      </c>
      <c r="D172" s="114">
        <v>1.0</v>
      </c>
      <c r="E172" s="114">
        <v>1.0</v>
      </c>
      <c r="F172" s="487">
        <v>3.0</v>
      </c>
      <c r="G172" s="488">
        <v>5.0</v>
      </c>
      <c r="H172" s="114" t="s">
        <v>1621</v>
      </c>
      <c r="I172" s="130">
        <f>IFERROR(__xludf.DUMMYFUNCTION("SWITCH(
LEN(H172) - LEN(SUBSTITUTE(H172,"","","""")),
0 , VLOOKUP(H172, Variables!$A:$B, 2, FALSE),
1 , VLOOKUP(index(split(H172 ,"", "", FALSE),1,1), Variables!$A:$B , 2, FALSE) + VLOOKUP(index(split(H172 ,"", "", FALSE),1,2), Variables!$A:$B , 2, FALSE)"&amp;",
2 , VLOOKUP(index(split(H172 ,"", "", FALSE),1,1), Variables!$A:$B , 2, FALSE) + VLOOKUP(index(split(H172 ,"", "", FALSE),1,2), Variables!$A:$B , 2, FALSE) + VLOOKUP(index(split(H172 ,"", "", FALSE),1,3), Variables!$A:$B , 2, FALSE)
)"),0.6666666666666666)</f>
        <v>0.6666666667</v>
      </c>
      <c r="J172" s="114" t="s">
        <v>1521</v>
      </c>
      <c r="K172" s="114" t="s">
        <v>1525</v>
      </c>
      <c r="L172" s="130">
        <f>IFERROR(__xludf.DUMMYFUNCTION("SWITCH(
LEN(K172) - LEN(SUBSTITUTE(K172,"","","""")),
0 , VLOOKUP(K172, Variables!$A:$B, 2, FALSE),
1 , VLOOKUP(index(split(K172 ,"", "", FALSE),1,1), Variables!$A:$B , 2, FALSE) + VLOOKUP(index(split(K172 ,"", "", FALSE),1,2), Variables!$A:$B , 2, FALSE)"&amp;",
2 , VLOOKUP(index(split(K172 ,"", "", FALSE),1,1), Variables!$A:$B , 2, FALSE) + VLOOKUP(index(split(K172 ,"", "", FALSE),1,2), Variables!$A:$B , 2, FALSE) + VLOOKUP(index(split(K172 ,"", "", FALSE),1,3), Variables!$A:$B , 2, FALSE)
)
+
IF(J172=""Ranged"&amp;""", 1 , 0)"),3.333333333333333)</f>
        <v>3.333333333</v>
      </c>
      <c r="M172" s="114" t="s">
        <v>2636</v>
      </c>
      <c r="N172" s="130">
        <f>IFERROR(__xludf.DUMMYFUNCTION("IF(ISBLANK(M172), , 
SWITCH(
LEN(M172)- LEN(SUBSTITUTE(M172,"","","""")), 
0 , VLOOKUP(M172, vote4TRAITS!A:C , 3, FALSE),
1 , VLOOKUP(index(split(M172 ,"", "", FALSE),1,1), vote4TRAITS!A:C , 3, FALSE) + VLOOKUP(index(split(M172 ,"", "", FALSE),1,2), vote4"&amp;"TRAITS!A:C , 3, FALSE),
2 , VLOOKUP(index(split(M172 ,"", "", FALSE),1,1), vote4TRAITS!A:C , 3, FALSE) + VLOOKUP(index(split(M172 ,"", "", FALSE),1,2), vote4TRAITS!A:C , 3, FALSE) + VLOOKUP(index(split(M172 ,"", "", FALSE),1,3), vote4TRAITS!A:C , 3, FALSE"&amp;")
)
)"),8.666666666666666)</f>
        <v>8.666666667</v>
      </c>
      <c r="O172" s="114" t="s">
        <v>1349</v>
      </c>
      <c r="P172" s="165">
        <f>IFERROR(__xludf.DUMMYFUNCTION("IF(ISBLANK(O172), , 
SWITCH(
LEN(O172)- LEN(SUBSTITUTE(O172,"","","""")), 
0 , VLOOKUP(O172, vote4ACTIONS!A:C , 3, FALSE),
1 , VLOOKUP(index(split(O172 ,"", "", FALSE),1,1), vote4ACTIONS!A:C , 3, FALSE) + VLOOKUP(index(split(O172 ,"", "", FALSE),1,2), vot"&amp;"e4ACTIONS!A:C , 3, FALSE),
2 , VLOOKUP(index(split(O172 ,"", "", FALSE),1,1), vote4ACTIONS!A:C , 3, FALSE) + VLOOKUP(index(split(O172 ,"", "", FALSE),1,2), vote4ACTIONS!A:C , 3, FALSE) + VLOOKUP(index(split(O172 ,"", "", FALSE),1,3), vote4ACTIONS!A:C , 3,"&amp;" FALSE),
3 , VLOOKUP(index(split(O172 ,"", "", FALSE),1,1), vote4ACTIONS!A:C , 3, FALSE) + VLOOKUP(index(split(O172 ,"", "", FALSE),1,2), vote4ACTIONS!A:C , 3, FALSE) + VLOOKUP(index(split(O172 ,"", "", FALSE),1,3), vote4ACTIONS!A:C , 3, FALSE) + VLOOKUP("&amp;"index(split(O172 ,"", "", FALSE),1,4), vote4ACTIONS!A:C , 3, FALSE)
)
)"),-1.0)</f>
        <v>-1</v>
      </c>
      <c r="Q172" s="155" t="s">
        <v>2616</v>
      </c>
      <c r="R172" s="342">
        <f>IF(ISBLANK(Q172),,IFERROR(
IF(IFERROR(SEARCH("SS:",Q172),0) &gt; 0, 
VLOOKUP(SUBSTITUTE(Q172,"SS: ",""),vote4SURGE!$A:$C , 3, FALSE) - 2,
VLOOKUP(SUBSTITUTE(Q172,"S: ",""),vote4SURGE!$A:$C , 3, FALSE)
)
,
IF(IFERROR(SEARCH("SS:",Q172),0) &gt; 0, 
VLOOKUP(A172,vote4SURGE!$A:$C , 3, FALSE) - 2,
VLOOKUP(A172,vote4SURGE!$A:$C , 3, FALSE)
)
))</f>
        <v>4</v>
      </c>
      <c r="S172" s="341"/>
      <c r="T172" s="342" t="str">
        <f>IF(ISBLANK(S172),,IFERROR(
IF(IFERROR(SEARCH("SS:",S172),0) &gt; 0, 
VLOOKUP(SUBSTITUTE(S172,"SS: ",""),vote4SURGE!$A:$C , 3, FALSE) - 2,
VLOOKUP(SUBSTITUTE(S172,"S: ",""),vote4SURGE!$A:$C , 3, FALSE)
)
,
IF(IFERROR(SEARCH("SS:",S172),0) &gt; 0, 
VLOOKUP(A172,vote4SURGE!$A:$C , 3, FALSE) - 2,
VLOOKUP(A172,vote4SURGE!$A:$C , 3, FALSE)
)
))</f>
        <v/>
      </c>
      <c r="U172" s="341"/>
      <c r="V172" s="343" t="str">
        <f>IF(ISBLANK(U172),,IFERROR(
IF(IFERROR(SEARCH("SS:",U172),0) &gt; 0, 
VLOOKUP(SUBSTITUTE(U172,"SS: ",""),vote4SURGE!$A:$C , 3, FALSE) - 2,
VLOOKUP(SUBSTITUTE(U172,"S: ",""),vote4SURGE!$A:$C , 3, FALSE)
)
,
IF(IFERROR(SEARCH("SS:",U172),0) &gt; 0, 
VLOOKUP(A172,vote4SURGE!$A:$C , 3, FALSE) - 2,
VLOOKUP(A172,vote4SURGE!$A:$C , 3, FALSE)
)
))</f>
        <v/>
      </c>
      <c r="W172" s="343">
        <f t="shared" si="1"/>
        <v>1</v>
      </c>
      <c r="X172" s="344">
        <f>IFERROR(__xludf.DUMMYFUNCTION("SWITCH(
LEN(K172) - LEN(SUBSTITUTE(K172,"","","""")),
0 , VLOOKUP(K172, Variables!$A:$C, 3, FALSE),
1 , VLOOKUP(index(split(K172 ,"", "", FALSE),1,1), Variables!$A:$C, 3, FALSE) + VLOOKUP(index(split(K172 ,"", "", FALSE),1,2), Variables!$A:$C, 3, FALSE),
"&amp;"2 , VLOOKUP(index(split(K172 ,"", "", FALSE),1,1), Variables!$A:$C, 3, FALSE) + VLOOKUP(index(split(K172 ,"", "", FALSE),1,2), Variables!$A:$C, 3, FALSE) + VLOOKUP(index(split(K172 ,"", "", FALSE),1,3), Variables!$A:$C, 3, FALSE)
)"),0.5)</f>
        <v>0.5</v>
      </c>
      <c r="Y172" s="342">
        <f t="shared" si="2"/>
        <v>2</v>
      </c>
      <c r="Z172" s="114"/>
      <c r="AA172" s="114"/>
      <c r="AB172" s="114" t="s">
        <v>2572</v>
      </c>
      <c r="AC172" s="114"/>
      <c r="AD172" s="114" t="s">
        <v>2572</v>
      </c>
      <c r="AE172" s="114"/>
      <c r="AF172" s="114"/>
      <c r="AG172" s="114"/>
      <c r="AH172" s="114"/>
      <c r="AI172" s="114"/>
      <c r="AJ172" s="164" t="s">
        <v>2574</v>
      </c>
      <c r="AK172" s="473">
        <v>14.0</v>
      </c>
      <c r="AL172" s="164" t="s">
        <v>369</v>
      </c>
      <c r="AM172" s="473">
        <v>19.0</v>
      </c>
      <c r="AN172" s="164" t="s">
        <v>369</v>
      </c>
      <c r="AO172" s="473">
        <v>22.0</v>
      </c>
      <c r="AP172" s="130">
        <f>SUM(
VLOOKUP("Ravage",vote4TRAITS!A:C,3,FALSE)
)</f>
        <v>7.333333333</v>
      </c>
      <c r="AQ172" s="130">
        <f t="shared" si="3"/>
        <v>9.99</v>
      </c>
    </row>
    <row r="173" ht="14.25" customHeight="1">
      <c r="A173" s="137" t="s">
        <v>1101</v>
      </c>
      <c r="B173" s="114" t="s">
        <v>2576</v>
      </c>
      <c r="C173" s="114">
        <v>26.0</v>
      </c>
      <c r="D173" s="114">
        <v>2.0</v>
      </c>
      <c r="E173" s="114">
        <v>1.0</v>
      </c>
      <c r="F173" s="487">
        <v>3.0</v>
      </c>
      <c r="G173" s="488">
        <v>5.0</v>
      </c>
      <c r="H173" s="114" t="s">
        <v>1621</v>
      </c>
      <c r="I173" s="130">
        <f>IFERROR(__xludf.DUMMYFUNCTION("SWITCH(
LEN(H173) - LEN(SUBSTITUTE(H173,"","","""")),
0 , VLOOKUP(H173, Variables!$A:$B, 2, FALSE),
1 , VLOOKUP(index(split(H173 ,"", "", FALSE),1,1), Variables!$A:$B , 2, FALSE) + VLOOKUP(index(split(H173 ,"", "", FALSE),1,2), Variables!$A:$B , 2, FALSE)"&amp;",
2 , VLOOKUP(index(split(H173 ,"", "", FALSE),1,1), Variables!$A:$B , 2, FALSE) + VLOOKUP(index(split(H173 ,"", "", FALSE),1,2), Variables!$A:$B , 2, FALSE) + VLOOKUP(index(split(H173 ,"", "", FALSE),1,3), Variables!$A:$B , 2, FALSE)
)"),0.6666666666666666)</f>
        <v>0.6666666667</v>
      </c>
      <c r="J173" s="114" t="s">
        <v>1521</v>
      </c>
      <c r="K173" s="114" t="s">
        <v>2637</v>
      </c>
      <c r="L173" s="130">
        <f>IFERROR(__xludf.DUMMYFUNCTION("SWITCH(
LEN(K173) - LEN(SUBSTITUTE(K173,"","","""")),
0 , VLOOKUP(K173, Variables!$A:$B, 2, FALSE),
1 , VLOOKUP(index(split(K173 ,"", "", FALSE),1,1), Variables!$A:$B , 2, FALSE) + VLOOKUP(index(split(K173 ,"", "", FALSE),1,2), Variables!$A:$B , 2, FALSE)"&amp;",
2 , VLOOKUP(index(split(K173 ,"", "", FALSE),1,1), Variables!$A:$B , 2, FALSE) + VLOOKUP(index(split(K173 ,"", "", FALSE),1,2), Variables!$A:$B , 2, FALSE) + VLOOKUP(index(split(K173 ,"", "", FALSE),1,3), Variables!$A:$B , 2, FALSE)
)
+
IF(J173=""Ranged"&amp;""", 1 , 0)"),1.1666666666666667)</f>
        <v>1.166666667</v>
      </c>
      <c r="M173" s="114" t="s">
        <v>2636</v>
      </c>
      <c r="N173" s="130">
        <f>IFERROR(__xludf.DUMMYFUNCTION("IF(ISBLANK(M173), , 
SWITCH(
LEN(M173)- LEN(SUBSTITUTE(M173,"","","""")), 
0 , VLOOKUP(M173, vote4TRAITS!A:C , 3, FALSE),
1 , VLOOKUP(index(split(M173 ,"", "", FALSE),1,1), vote4TRAITS!A:C , 3, FALSE) + VLOOKUP(index(split(M173 ,"", "", FALSE),1,2), vote4"&amp;"TRAITS!A:C , 3, FALSE),
2 , VLOOKUP(index(split(M173 ,"", "", FALSE),1,1), vote4TRAITS!A:C , 3, FALSE) + VLOOKUP(index(split(M173 ,"", "", FALSE),1,2), vote4TRAITS!A:C , 3, FALSE) + VLOOKUP(index(split(M173 ,"", "", FALSE),1,3), vote4TRAITS!A:C , 3, FALSE"&amp;")
)
)"),8.666666666666666)</f>
        <v>8.666666667</v>
      </c>
      <c r="O173" s="490"/>
      <c r="P173" s="165" t="str">
        <f>IFERROR(__xludf.DUMMYFUNCTION("IF(ISBLANK(O173), , 
SWITCH(
LEN(O173)- LEN(SUBSTITUTE(O173,"","","""")), 
0 , VLOOKUP(O173, vote4ACTIONS!A:C , 3, FALSE),
1 , VLOOKUP(index(split(O173 ,"", "", FALSE),1,1), vote4ACTIONS!A:C , 3, FALSE) + VLOOKUP(index(split(O173 ,"", "", FALSE),1,2), vot"&amp;"e4ACTIONS!A:C , 3, FALSE),
2 , VLOOKUP(index(split(O173 ,"", "", FALSE),1,1), vote4ACTIONS!A:C , 3, FALSE) + VLOOKUP(index(split(O173 ,"", "", FALSE),1,2), vote4ACTIONS!A:C , 3, FALSE) + VLOOKUP(index(split(O173 ,"", "", FALSE),1,3), vote4ACTIONS!A:C , 3,"&amp;" FALSE),
3 , VLOOKUP(index(split(O173 ,"", "", FALSE),1,1), vote4ACTIONS!A:C , 3, FALSE) + VLOOKUP(index(split(O173 ,"", "", FALSE),1,2), vote4ACTIONS!A:C , 3, FALSE) + VLOOKUP(index(split(O173 ,"", "", FALSE),1,3), vote4ACTIONS!A:C , 3, FALSE) + VLOOKUP("&amp;"index(split(O173 ,"", "", FALSE),1,4), vote4ACTIONS!A:C , 3, FALSE)
)
)"),"")</f>
        <v/>
      </c>
      <c r="Q173" s="155" t="s">
        <v>2616</v>
      </c>
      <c r="R173" s="342">
        <f>IF(ISBLANK(Q173),,IFERROR(
IF(IFERROR(SEARCH("SS:",Q173),0) &gt; 0, 
VLOOKUP(SUBSTITUTE(Q173,"SS: ",""),vote4SURGE!$A:$C , 3, FALSE) - 2,
VLOOKUP(SUBSTITUTE(Q173,"S: ",""),vote4SURGE!$A:$C , 3, FALSE)
)
,
IF(IFERROR(SEARCH("SS:",Q173),0) &gt; 0, 
VLOOKUP(A173,vote4SURGE!$A:$C , 3, FALSE) - 2,
VLOOKUP(A173,vote4SURGE!$A:$C , 3, FALSE)
)
))</f>
        <v>4</v>
      </c>
      <c r="S173" s="164"/>
      <c r="T173" s="342" t="str">
        <f>IF(ISBLANK(S173),,IFERROR(
IF(IFERROR(SEARCH("SS:",S173),0) &gt; 0, 
VLOOKUP(SUBSTITUTE(S173,"SS: ",""),vote4SURGE!$A:$C , 3, FALSE) - 2,
VLOOKUP(SUBSTITUTE(S173,"S: ",""),vote4SURGE!$A:$C , 3, FALSE)
)
,
IF(IFERROR(SEARCH("SS:",S173),0) &gt; 0, 
VLOOKUP(A173,vote4SURGE!$A:$C , 3, FALSE) - 2,
VLOOKUP(A173,vote4SURGE!$A:$C , 3, FALSE)
)
))</f>
        <v/>
      </c>
      <c r="U173" s="164"/>
      <c r="V173" s="343" t="str">
        <f>IF(ISBLANK(U173),,IFERROR(
IF(IFERROR(SEARCH("SS:",U173),0) &gt; 0, 
VLOOKUP(SUBSTITUTE(U173,"SS: ",""),vote4SURGE!$A:$C , 3, FALSE) - 2,
VLOOKUP(SUBSTITUTE(U173,"S: ",""),vote4SURGE!$A:$C , 3, FALSE)
)
,
IF(IFERROR(SEARCH("SS:",U173),0) &gt; 0, 
VLOOKUP(A173,vote4SURGE!$A:$C , 3, FALSE) - 2,
VLOOKUP(A173,vote4SURGE!$A:$C , 3, FALSE)
)
))</f>
        <v/>
      </c>
      <c r="W173" s="343">
        <f t="shared" si="1"/>
        <v>1</v>
      </c>
      <c r="X173" s="344">
        <f>IFERROR(__xludf.DUMMYFUNCTION("SWITCH(
LEN(K173) - LEN(SUBSTITUTE(K173,"","","""")),
0 , VLOOKUP(K173, Variables!$A:$C, 3, FALSE),
1 , VLOOKUP(index(split(K173 ,"", "", FALSE),1,1), Variables!$A:$C, 3, FALSE) + VLOOKUP(index(split(K173 ,"", "", FALSE),1,2), Variables!$A:$C, 3, FALSE),
"&amp;"2 , VLOOKUP(index(split(K173 ,"", "", FALSE),1,1), Variables!$A:$C, 3, FALSE) + VLOOKUP(index(split(K173 ,"", "", FALSE),1,2), Variables!$A:$C, 3, FALSE) + VLOOKUP(index(split(K173 ,"", "", FALSE),1,3), Variables!$A:$C, 3, FALSE)
)"),0.5)</f>
        <v>0.5</v>
      </c>
      <c r="Y173" s="342">
        <f t="shared" si="2"/>
        <v>2</v>
      </c>
      <c r="Z173" s="114"/>
      <c r="AA173" s="114"/>
      <c r="AB173" s="114" t="s">
        <v>2572</v>
      </c>
      <c r="AC173" s="114"/>
      <c r="AD173" s="114" t="s">
        <v>2572</v>
      </c>
      <c r="AE173" s="114"/>
      <c r="AF173" s="114"/>
      <c r="AG173" s="114"/>
      <c r="AH173" s="114"/>
      <c r="AI173" s="114"/>
      <c r="AJ173" s="164" t="s">
        <v>368</v>
      </c>
      <c r="AK173" s="473">
        <v>23.0</v>
      </c>
      <c r="AL173" s="164" t="s">
        <v>368</v>
      </c>
      <c r="AM173" s="473">
        <v>31.0</v>
      </c>
      <c r="AN173" s="164" t="s">
        <v>2580</v>
      </c>
      <c r="AO173" s="473">
        <v>36.0</v>
      </c>
      <c r="AP173" s="130">
        <f>SUM(
VLOOKUP("Ravage",vote4TRAITS!A:C,3,FALSE)
)</f>
        <v>7.333333333</v>
      </c>
      <c r="AQ173" s="130">
        <f t="shared" si="3"/>
        <v>8.823333333</v>
      </c>
    </row>
    <row r="174" ht="14.25" customHeight="1">
      <c r="A174" s="137" t="s">
        <v>1101</v>
      </c>
      <c r="B174" s="114" t="s">
        <v>2576</v>
      </c>
      <c r="C174" s="114">
        <v>26.0</v>
      </c>
      <c r="D174" s="114">
        <v>1.0</v>
      </c>
      <c r="E174" s="114">
        <v>1.0</v>
      </c>
      <c r="F174" s="487">
        <v>3.0</v>
      </c>
      <c r="G174" s="488">
        <v>3.0</v>
      </c>
      <c r="H174" s="114" t="s">
        <v>1621</v>
      </c>
      <c r="I174" s="130">
        <f>IFERROR(__xludf.DUMMYFUNCTION("SWITCH(
LEN(H174) - LEN(SUBSTITUTE(H174,"","","""")),
0 , VLOOKUP(H174, Variables!$A:$B, 2, FALSE),
1 , VLOOKUP(index(split(H174 ,"", "", FALSE),1,1), Variables!$A:$B , 2, FALSE) + VLOOKUP(index(split(H174 ,"", "", FALSE),1,2), Variables!$A:$B , 2, FALSE)"&amp;",
2 , VLOOKUP(index(split(H174 ,"", "", FALSE),1,1), Variables!$A:$B , 2, FALSE) + VLOOKUP(index(split(H174 ,"", "", FALSE),1,2), Variables!$A:$B , 2, FALSE) + VLOOKUP(index(split(H174 ,"", "", FALSE),1,3), Variables!$A:$B , 2, FALSE)
)"),0.6666666666666666)</f>
        <v>0.6666666667</v>
      </c>
      <c r="J174" s="114" t="s">
        <v>1521</v>
      </c>
      <c r="K174" s="114" t="s">
        <v>2601</v>
      </c>
      <c r="L174" s="130">
        <f>IFERROR(__xludf.DUMMYFUNCTION("SWITCH(
LEN(K174) - LEN(SUBSTITUTE(K174,"","","""")),
0 , VLOOKUP(K174, Variables!$A:$B, 2, FALSE),
1 , VLOOKUP(index(split(K174 ,"", "", FALSE),1,1), Variables!$A:$B , 2, FALSE) + VLOOKUP(index(split(K174 ,"", "", FALSE),1,2), Variables!$A:$B , 2, FALSE)"&amp;",
2 , VLOOKUP(index(split(K174 ,"", "", FALSE),1,1), Variables!$A:$B , 2, FALSE) + VLOOKUP(index(split(K174 ,"", "", FALSE),1,2), Variables!$A:$B , 2, FALSE) + VLOOKUP(index(split(K174 ,"", "", FALSE),1,3), Variables!$A:$B , 2, FALSE)
)
+
IF(J174=""Ranged"&amp;""", 1 , 0)"),1.1666666666666667)</f>
        <v>1.166666667</v>
      </c>
      <c r="M174" s="114" t="s">
        <v>2636</v>
      </c>
      <c r="N174" s="130">
        <f>IFERROR(__xludf.DUMMYFUNCTION("IF(ISBLANK(M174), , 
SWITCH(
LEN(M174)- LEN(SUBSTITUTE(M174,"","","""")), 
0 , VLOOKUP(M174, vote4TRAITS!A:C , 3, FALSE),
1 , VLOOKUP(index(split(M174 ,"", "", FALSE),1,1), vote4TRAITS!A:C , 3, FALSE) + VLOOKUP(index(split(M174 ,"", "", FALSE),1,2), vote4"&amp;"TRAITS!A:C , 3, FALSE),
2 , VLOOKUP(index(split(M174 ,"", "", FALSE),1,1), vote4TRAITS!A:C , 3, FALSE) + VLOOKUP(index(split(M174 ,"", "", FALSE),1,2), vote4TRAITS!A:C , 3, FALSE) + VLOOKUP(index(split(M174 ,"", "", FALSE),1,3), vote4TRAITS!A:C , 3, FALSE"&amp;")
)
)"),8.666666666666666)</f>
        <v>8.666666667</v>
      </c>
      <c r="O174" s="490"/>
      <c r="P174" s="165" t="str">
        <f>IFERROR(__xludf.DUMMYFUNCTION("IF(ISBLANK(O174), , 
SWITCH(
LEN(O174)- LEN(SUBSTITUTE(O174,"","","""")), 
0 , VLOOKUP(O174, vote4ACTIONS!A:C , 3, FALSE),
1 , VLOOKUP(index(split(O174 ,"", "", FALSE),1,1), vote4ACTIONS!A:C , 3, FALSE) + VLOOKUP(index(split(O174 ,"", "", FALSE),1,2), vot"&amp;"e4ACTIONS!A:C , 3, FALSE),
2 , VLOOKUP(index(split(O174 ,"", "", FALSE),1,1), vote4ACTIONS!A:C , 3, FALSE) + VLOOKUP(index(split(O174 ,"", "", FALSE),1,2), vote4ACTIONS!A:C , 3, FALSE) + VLOOKUP(index(split(O174 ,"", "", FALSE),1,3), vote4ACTIONS!A:C , 3,"&amp;" FALSE),
3 , VLOOKUP(index(split(O174 ,"", "", FALSE),1,1), vote4ACTIONS!A:C , 3, FALSE) + VLOOKUP(index(split(O174 ,"", "", FALSE),1,2), vote4ACTIONS!A:C , 3, FALSE) + VLOOKUP(index(split(O174 ,"", "", FALSE),1,3), vote4ACTIONS!A:C , 3, FALSE) + VLOOKUP("&amp;"index(split(O174 ,"", "", FALSE),1,4), vote4ACTIONS!A:C , 3, FALSE)
)
)"),"")</f>
        <v/>
      </c>
      <c r="Q174" s="155" t="s">
        <v>2616</v>
      </c>
      <c r="R174" s="342">
        <f>IF(ISBLANK(Q174),,IFERROR(
IF(IFERROR(SEARCH("SS:",Q174),0) &gt; 0, 
VLOOKUP(SUBSTITUTE(Q174,"SS: ",""),vote4SURGE!$A:$C , 3, FALSE) - 2,
VLOOKUP(SUBSTITUTE(Q174,"S: ",""),vote4SURGE!$A:$C , 3, FALSE)
)
,
IF(IFERROR(SEARCH("SS:",Q174),0) &gt; 0, 
VLOOKUP(A174,vote4SURGE!$A:$C , 3, FALSE) - 2,
VLOOKUP(A174,vote4SURGE!$A:$C , 3, FALSE)
)
))</f>
        <v>4</v>
      </c>
      <c r="S174" s="164"/>
      <c r="T174" s="342" t="str">
        <f>IF(ISBLANK(S174),,IFERROR(
IF(IFERROR(SEARCH("SS:",S174),0) &gt; 0, 
VLOOKUP(SUBSTITUTE(S174,"SS: ",""),vote4SURGE!$A:$C , 3, FALSE) - 2,
VLOOKUP(SUBSTITUTE(S174,"S: ",""),vote4SURGE!$A:$C , 3, FALSE)
)
,
IF(IFERROR(SEARCH("SS:",S174),0) &gt; 0, 
VLOOKUP(A174,vote4SURGE!$A:$C , 3, FALSE) - 2,
VLOOKUP(A174,vote4SURGE!$A:$C , 3, FALSE)
)
))</f>
        <v/>
      </c>
      <c r="U174" s="164"/>
      <c r="V174" s="343" t="str">
        <f>IF(ISBLANK(U174),,IFERROR(
IF(IFERROR(SEARCH("SS:",U174),0) &gt; 0, 
VLOOKUP(SUBSTITUTE(U174,"SS: ",""),vote4SURGE!$A:$C , 3, FALSE) - 2,
VLOOKUP(SUBSTITUTE(U174,"S: ",""),vote4SURGE!$A:$C , 3, FALSE)
)
,
IF(IFERROR(SEARCH("SS:",U174),0) &gt; 0, 
VLOOKUP(A174,vote4SURGE!$A:$C , 3, FALSE) - 2,
VLOOKUP(A174,vote4SURGE!$A:$C , 3, FALSE)
)
))</f>
        <v/>
      </c>
      <c r="W174" s="343">
        <f t="shared" si="1"/>
        <v>1</v>
      </c>
      <c r="X174" s="344">
        <f>IFERROR(__xludf.DUMMYFUNCTION("SWITCH(
LEN(K174) - LEN(SUBSTITUTE(K174,"","","""")),
0 , VLOOKUP(K174, Variables!$A:$C, 3, FALSE),
1 , VLOOKUP(index(split(K174 ,"", "", FALSE),1,1), Variables!$A:$C, 3, FALSE) + VLOOKUP(index(split(K174 ,"", "", FALSE),1,2), Variables!$A:$C, 3, FALSE),
"&amp;"2 , VLOOKUP(index(split(K174 ,"", "", FALSE),1,1), Variables!$A:$C, 3, FALSE) + VLOOKUP(index(split(K174 ,"", "", FALSE),1,2), Variables!$A:$C, 3, FALSE) + VLOOKUP(index(split(K174 ,"", "", FALSE),1,3), Variables!$A:$C, 3, FALSE)
)"),0.3333333333333333)</f>
        <v>0.3333333333</v>
      </c>
      <c r="Y174" s="342">
        <f t="shared" si="2"/>
        <v>1.333333333</v>
      </c>
      <c r="Z174" s="114"/>
      <c r="AA174" s="114"/>
      <c r="AB174" s="114" t="s">
        <v>2572</v>
      </c>
      <c r="AC174" s="114"/>
      <c r="AD174" s="114" t="s">
        <v>2572</v>
      </c>
      <c r="AE174" s="114"/>
      <c r="AF174" s="114"/>
      <c r="AG174" s="114"/>
      <c r="AH174" s="114"/>
      <c r="AI174" s="114"/>
      <c r="AJ174" s="164" t="s">
        <v>368</v>
      </c>
      <c r="AK174" s="473">
        <v>14.0</v>
      </c>
      <c r="AL174" s="164" t="s">
        <v>368</v>
      </c>
      <c r="AM174" s="473">
        <v>19.0</v>
      </c>
      <c r="AN174" s="164" t="s">
        <v>2580</v>
      </c>
      <c r="AO174" s="473">
        <v>22.0</v>
      </c>
      <c r="AP174" s="130">
        <f>SUM(
VLOOKUP("Ravage",vote4TRAITS!A:C,3,FALSE)
)</f>
        <v>7.333333333</v>
      </c>
      <c r="AQ174" s="130">
        <f t="shared" si="3"/>
        <v>6.823333333</v>
      </c>
    </row>
    <row r="175" ht="14.25" customHeight="1">
      <c r="A175" s="137" t="s">
        <v>1433</v>
      </c>
      <c r="B175" s="114" t="s">
        <v>2570</v>
      </c>
      <c r="C175" s="114">
        <v>50.0</v>
      </c>
      <c r="D175" s="114">
        <v>2.0</v>
      </c>
      <c r="E175" s="114">
        <v>1.0</v>
      </c>
      <c r="F175" s="487">
        <v>5.0</v>
      </c>
      <c r="G175" s="488">
        <v>7.0</v>
      </c>
      <c r="H175" s="114" t="s">
        <v>1671</v>
      </c>
      <c r="I175" s="130">
        <f>IFERROR(__xludf.DUMMYFUNCTION("SWITCH(
LEN(H175) - LEN(SUBSTITUTE(H175,"","","""")),
0 , VLOOKUP(H175, Variables!$A:$B, 2, FALSE),
1 , VLOOKUP(index(split(H175 ,"", "", FALSE),1,1), Variables!$A:$B , 2, FALSE) + VLOOKUP(index(split(H175 ,"", "", FALSE),1,2), Variables!$A:$B , 2, FALSE)"&amp;",
2 , VLOOKUP(index(split(H175 ,"", "", FALSE),1,1), Variables!$A:$B , 2, FALSE) + VLOOKUP(index(split(H175 ,"", "", FALSE),1,2), Variables!$A:$B , 2, FALSE) + VLOOKUP(index(split(H175 ,"", "", FALSE),1,3), Variables!$A:$B , 2, FALSE)
)"),2.1666666666666665)</f>
        <v>2.166666667</v>
      </c>
      <c r="J175" s="114" t="s">
        <v>1521</v>
      </c>
      <c r="K175" s="114" t="s">
        <v>1537</v>
      </c>
      <c r="L175" s="130">
        <f>IFERROR(__xludf.DUMMYFUNCTION("SWITCH(
LEN(K175) - LEN(SUBSTITUTE(K175,"","","""")),
0 , VLOOKUP(K175, Variables!$A:$B, 2, FALSE),
1 , VLOOKUP(index(split(K175 ,"", "", FALSE),1,1), Variables!$A:$B , 2, FALSE) + VLOOKUP(index(split(K175 ,"", "", FALSE),1,2), Variables!$A:$B , 2, FALSE)"&amp;",
2 , VLOOKUP(index(split(K175 ,"", "", FALSE),1,1), Variables!$A:$B , 2, FALSE) + VLOOKUP(index(split(K175 ,"", "", FALSE),1,2), Variables!$A:$B , 2, FALSE) + VLOOKUP(index(split(K175 ,"", "", FALSE),1,3), Variables!$A:$B , 2, FALSE)
)
+
IF(J175=""Ranged"&amp;""", 1 , 0)"),4.5)</f>
        <v>4.5</v>
      </c>
      <c r="M175" s="114" t="s">
        <v>1144</v>
      </c>
      <c r="N175" s="130">
        <f>IFERROR(__xludf.DUMMYFUNCTION("IF(ISBLANK(M175), , 
SWITCH(
LEN(M175)- LEN(SUBSTITUTE(M175,"","","""")), 
0 , VLOOKUP(M175, vote4TRAITS!A:C , 3, FALSE),
1 , VLOOKUP(index(split(M175 ,"", "", FALSE),1,1), vote4TRAITS!A:C , 3, FALSE) + VLOOKUP(index(split(M175 ,"", "", FALSE),1,2), vote4"&amp;"TRAITS!A:C , 3, FALSE),
2 , VLOOKUP(index(split(M175 ,"", "", FALSE),1,1), vote4TRAITS!A:C , 3, FALSE) + VLOOKUP(index(split(M175 ,"", "", FALSE),1,2), vote4TRAITS!A:C , 3, FALSE) + VLOOKUP(index(split(M175 ,"", "", FALSE),1,3), vote4TRAITS!A:C , 3, FALSE"&amp;")
)
)"),3.6666666666666665)</f>
        <v>3.666666667</v>
      </c>
      <c r="O175" s="114" t="s">
        <v>1334</v>
      </c>
      <c r="P175" s="165">
        <f>IFERROR(__xludf.DUMMYFUNCTION("IF(ISBLANK(O175), , 
SWITCH(
LEN(O175)- LEN(SUBSTITUTE(O175,"","","""")), 
0 , VLOOKUP(O175, vote4ACTIONS!A:C , 3, FALSE),
1 , VLOOKUP(index(split(O175 ,"", "", FALSE),1,1), vote4ACTIONS!A:C , 3, FALSE) + VLOOKUP(index(split(O175 ,"", "", FALSE),1,2), vot"&amp;"e4ACTIONS!A:C , 3, FALSE),
2 , VLOOKUP(index(split(O175 ,"", "", FALSE),1,1), vote4ACTIONS!A:C , 3, FALSE) + VLOOKUP(index(split(O175 ,"", "", FALSE),1,2), vote4ACTIONS!A:C , 3, FALSE) + VLOOKUP(index(split(O175 ,"", "", FALSE),1,3), vote4ACTIONS!A:C , 3,"&amp;" FALSE),
3 , VLOOKUP(index(split(O175 ,"", "", FALSE),1,1), vote4ACTIONS!A:C , 3, FALSE) + VLOOKUP(index(split(O175 ,"", "", FALSE),1,2), vote4ACTIONS!A:C , 3, FALSE) + VLOOKUP(index(split(O175 ,"", "", FALSE),1,3), vote4ACTIONS!A:C , 3, FALSE) + VLOOKUP("&amp;"index(split(O175 ,"", "", FALSE),1,4), vote4ACTIONS!A:C , 3, FALSE)
)
)"),4.0)</f>
        <v>4</v>
      </c>
      <c r="Q175" s="169" t="s">
        <v>1524</v>
      </c>
      <c r="R175" s="342">
        <f>IF(ISBLANK(Q175),,IFERROR(
IF(IFERROR(SEARCH("SS:",Q175),0) &gt; 0, 
VLOOKUP(SUBSTITUTE(Q175,"SS: ",""),vote4SURGE!$A:$C , 3, FALSE) - 2,
VLOOKUP(SUBSTITUTE(Q175,"S: ",""),vote4SURGE!$A:$C , 3, FALSE)
)
,
IF(IFERROR(SEARCH("SS:",Q175),0) &gt; 0, 
VLOOKUP(A175,vote4SURGE!$A:$C , 3, FALSE) - 2,
VLOOKUP(A175,vote4SURGE!$A:$C , 3, FALSE)
)
))</f>
        <v>4.5</v>
      </c>
      <c r="S175" s="489"/>
      <c r="T175" s="342" t="str">
        <f>IF(ISBLANK(S175),,IFERROR(
IF(IFERROR(SEARCH("SS:",S175),0) &gt; 0, 
VLOOKUP(SUBSTITUTE(S175,"SS: ",""),vote4SURGE!$A:$C , 3, FALSE) - 2,
VLOOKUP(SUBSTITUTE(S175,"S: ",""),vote4SURGE!$A:$C , 3, FALSE)
)
,
IF(IFERROR(SEARCH("SS:",S175),0) &gt; 0, 
VLOOKUP(A175,vote4SURGE!$A:$C , 3, FALSE) - 2,
VLOOKUP(A175,vote4SURGE!$A:$C , 3, FALSE)
)
))</f>
        <v/>
      </c>
      <c r="U175" s="341"/>
      <c r="V175" s="343" t="str">
        <f>IF(ISBLANK(U175),,IFERROR(
IF(IFERROR(SEARCH("SS:",U175),0) &gt; 0, 
VLOOKUP(SUBSTITUTE(U175,"SS: ",""),vote4SURGE!$A:$C , 3, FALSE) - 2,
VLOOKUP(SUBSTITUTE(U175,"S: ",""),vote4SURGE!$A:$C , 3, FALSE)
)
,
IF(IFERROR(SEARCH("SS:",U175),0) &gt; 0, 
VLOOKUP(A175,vote4SURGE!$A:$C , 3, FALSE) - 2,
VLOOKUP(A175,vote4SURGE!$A:$C , 3, FALSE)
)
))</f>
        <v/>
      </c>
      <c r="W175" s="343">
        <f t="shared" si="1"/>
        <v>1</v>
      </c>
      <c r="X175" s="344">
        <f>IFERROR(__xludf.DUMMYFUNCTION("SWITCH(
LEN(K175) - LEN(SUBSTITUTE(K175,"","","""")),
0 , VLOOKUP(K175, Variables!$A:$C, 3, FALSE),
1 , VLOOKUP(index(split(K175 ,"", "", FALSE),1,1), Variables!$A:$C, 3, FALSE) + VLOOKUP(index(split(K175 ,"", "", FALSE),1,2), Variables!$A:$C, 3, FALSE),
"&amp;"2 , VLOOKUP(index(split(K175 ,"", "", FALSE),1,1), Variables!$A:$C, 3, FALSE) + VLOOKUP(index(split(K175 ,"", "", FALSE),1,2), Variables!$A:$C, 3, FALSE) + VLOOKUP(index(split(K175 ,"", "", FALSE),1,3), Variables!$A:$C, 3, FALSE)
)"),1.0)</f>
        <v>1</v>
      </c>
      <c r="Y175" s="342">
        <f t="shared" si="2"/>
        <v>4.5</v>
      </c>
      <c r="Z175" s="114"/>
      <c r="AA175" s="114"/>
      <c r="AB175" s="114"/>
      <c r="AC175" s="114" t="s">
        <v>2572</v>
      </c>
      <c r="AD175" s="114" t="s">
        <v>2572</v>
      </c>
      <c r="AE175" s="114"/>
      <c r="AF175" s="114"/>
      <c r="AG175" s="114"/>
      <c r="AH175" s="114"/>
      <c r="AI175" s="114"/>
      <c r="AJ175" s="114" t="s">
        <v>2574</v>
      </c>
      <c r="AK175" s="473">
        <v>15.0</v>
      </c>
      <c r="AL175" s="114" t="s">
        <v>2574</v>
      </c>
      <c r="AM175" s="473">
        <v>19.0</v>
      </c>
      <c r="AN175" s="114" t="s">
        <v>2574</v>
      </c>
      <c r="AO175" s="473">
        <v>23.0</v>
      </c>
      <c r="AP175" s="130">
        <f>SUM(
VLOOKUP("Ravage",vote4TRAITS!A:C,3,FALSE)
)</f>
        <v>7.333333333</v>
      </c>
      <c r="AQ175" s="130">
        <f t="shared" si="3"/>
        <v>26.15</v>
      </c>
    </row>
    <row r="176" ht="14.25" customHeight="1">
      <c r="A176" s="137" t="s">
        <v>1433</v>
      </c>
      <c r="B176" s="114" t="s">
        <v>2570</v>
      </c>
      <c r="C176" s="114">
        <v>50.0</v>
      </c>
      <c r="D176" s="114">
        <v>1.0</v>
      </c>
      <c r="E176" s="114">
        <v>1.0</v>
      </c>
      <c r="F176" s="487">
        <v>4.0</v>
      </c>
      <c r="G176" s="488">
        <v>5.0</v>
      </c>
      <c r="H176" s="114" t="s">
        <v>1671</v>
      </c>
      <c r="I176" s="130">
        <f>IFERROR(__xludf.DUMMYFUNCTION("SWITCH(
LEN(H176) - LEN(SUBSTITUTE(H176,"","","""")),
0 , VLOOKUP(H176, Variables!$A:$B, 2, FALSE),
1 , VLOOKUP(index(split(H176 ,"", "", FALSE),1,1), Variables!$A:$B , 2, FALSE) + VLOOKUP(index(split(H176 ,"", "", FALSE),1,2), Variables!$A:$B , 2, FALSE)"&amp;",
2 , VLOOKUP(index(split(H176 ,"", "", FALSE),1,1), Variables!$A:$B , 2, FALSE) + VLOOKUP(index(split(H176 ,"", "", FALSE),1,2), Variables!$A:$B , 2, FALSE) + VLOOKUP(index(split(H176 ,"", "", FALSE),1,3), Variables!$A:$B , 2, FALSE)
)"),2.1666666666666665)</f>
        <v>2.166666667</v>
      </c>
      <c r="J176" s="114" t="s">
        <v>1521</v>
      </c>
      <c r="K176" s="114" t="s">
        <v>1548</v>
      </c>
      <c r="L176" s="130">
        <f>IFERROR(__xludf.DUMMYFUNCTION("SWITCH(
LEN(K176) - LEN(SUBSTITUTE(K176,"","","""")),
0 , VLOOKUP(K176, Variables!$A:$B, 2, FALSE),
1 , VLOOKUP(index(split(K176 ,"", "", FALSE),1,1), Variables!$A:$B , 2, FALSE) + VLOOKUP(index(split(K176 ,"", "", FALSE),1,2), Variables!$A:$B , 2, FALSE)"&amp;",
2 , VLOOKUP(index(split(K176 ,"", "", FALSE),1,1), Variables!$A:$B , 2, FALSE) + VLOOKUP(index(split(K176 ,"", "", FALSE),1,2), Variables!$A:$B , 2, FALSE) + VLOOKUP(index(split(K176 ,"", "", FALSE),1,3), Variables!$A:$B , 2, FALSE)
)
+
IF(J176=""Ranged"&amp;""", 1 , 0)"),2.3333333333333335)</f>
        <v>2.333333333</v>
      </c>
      <c r="M176" s="114" t="s">
        <v>1143</v>
      </c>
      <c r="N176" s="130">
        <f>IFERROR(__xludf.DUMMYFUNCTION("IF(ISBLANK(M176), , 
SWITCH(
LEN(M176)- LEN(SUBSTITUTE(M176,"","","""")), 
0 , VLOOKUP(M176, vote4TRAITS!A:C , 3, FALSE),
1 , VLOOKUP(index(split(M176 ,"", "", FALSE),1,1), vote4TRAITS!A:C , 3, FALSE) + VLOOKUP(index(split(M176 ,"", "", FALSE),1,2), vote4"&amp;"TRAITS!A:C , 3, FALSE),
2 , VLOOKUP(index(split(M176 ,"", "", FALSE),1,1), vote4TRAITS!A:C , 3, FALSE) + VLOOKUP(index(split(M176 ,"", "", FALSE),1,2), vote4TRAITS!A:C , 3, FALSE) + VLOOKUP(index(split(M176 ,"", "", FALSE),1,3), vote4TRAITS!A:C , 3, FALSE"&amp;")
)
)"),3.6666666666666665)</f>
        <v>3.666666667</v>
      </c>
      <c r="O176" s="114" t="s">
        <v>1334</v>
      </c>
      <c r="P176" s="165">
        <f>IFERROR(__xludf.DUMMYFUNCTION("IF(ISBLANK(O176), , 
SWITCH(
LEN(O176)- LEN(SUBSTITUTE(O176,"","","""")), 
0 , VLOOKUP(O176, vote4ACTIONS!A:C , 3, FALSE),
1 , VLOOKUP(index(split(O176 ,"", "", FALSE),1,1), vote4ACTIONS!A:C , 3, FALSE) + VLOOKUP(index(split(O176 ,"", "", FALSE),1,2), vot"&amp;"e4ACTIONS!A:C , 3, FALSE),
2 , VLOOKUP(index(split(O176 ,"", "", FALSE),1,1), vote4ACTIONS!A:C , 3, FALSE) + VLOOKUP(index(split(O176 ,"", "", FALSE),1,2), vote4ACTIONS!A:C , 3, FALSE) + VLOOKUP(index(split(O176 ,"", "", FALSE),1,3), vote4ACTIONS!A:C , 3,"&amp;" FALSE),
3 , VLOOKUP(index(split(O176 ,"", "", FALSE),1,1), vote4ACTIONS!A:C , 3, FALSE) + VLOOKUP(index(split(O176 ,"", "", FALSE),1,2), vote4ACTIONS!A:C , 3, FALSE) + VLOOKUP(index(split(O176 ,"", "", FALSE),1,3), vote4ACTIONS!A:C , 3, FALSE) + VLOOKUP("&amp;"index(split(O176 ,"", "", FALSE),1,4), vote4ACTIONS!A:C , 3, FALSE)
)
)"),4.0)</f>
        <v>4</v>
      </c>
      <c r="Q176" s="169" t="s">
        <v>1524</v>
      </c>
      <c r="R176" s="342">
        <f>IF(ISBLANK(Q176),,IFERROR(
IF(IFERROR(SEARCH("SS:",Q176),0) &gt; 0, 
VLOOKUP(SUBSTITUTE(Q176,"SS: ",""),vote4SURGE!$A:$C , 3, FALSE) - 2,
VLOOKUP(SUBSTITUTE(Q176,"S: ",""),vote4SURGE!$A:$C , 3, FALSE)
)
,
IF(IFERROR(SEARCH("SS:",Q176),0) &gt; 0, 
VLOOKUP(A176,vote4SURGE!$A:$C , 3, FALSE) - 2,
VLOOKUP(A176,vote4SURGE!$A:$C , 3, FALSE)
)
))</f>
        <v>4.5</v>
      </c>
      <c r="S176" s="341"/>
      <c r="T176" s="342" t="str">
        <f>IF(ISBLANK(S176),,IFERROR(
IF(IFERROR(SEARCH("SS:",S176),0) &gt; 0, 
VLOOKUP(SUBSTITUTE(S176,"SS: ",""),vote4SURGE!$A:$C , 3, FALSE) - 2,
VLOOKUP(SUBSTITUTE(S176,"S: ",""),vote4SURGE!$A:$C , 3, FALSE)
)
,
IF(IFERROR(SEARCH("SS:",S176),0) &gt; 0, 
VLOOKUP(A176,vote4SURGE!$A:$C , 3, FALSE) - 2,
VLOOKUP(A176,vote4SURGE!$A:$C , 3, FALSE)
)
))</f>
        <v/>
      </c>
      <c r="U176" s="341"/>
      <c r="V176" s="343" t="str">
        <f>IF(ISBLANK(U176),,IFERROR(
IF(IFERROR(SEARCH("SS:",U176),0) &gt; 0, 
VLOOKUP(SUBSTITUTE(U176,"SS: ",""),vote4SURGE!$A:$C , 3, FALSE) - 2,
VLOOKUP(SUBSTITUTE(U176,"S: ",""),vote4SURGE!$A:$C , 3, FALSE)
)
,
IF(IFERROR(SEARCH("SS:",U176),0) &gt; 0, 
VLOOKUP(A176,vote4SURGE!$A:$C , 3, FALSE) - 2,
VLOOKUP(A176,vote4SURGE!$A:$C , 3, FALSE)
)
))</f>
        <v/>
      </c>
      <c r="W176" s="343">
        <f t="shared" si="1"/>
        <v>1</v>
      </c>
      <c r="X176" s="344">
        <f>IFERROR(__xludf.DUMMYFUNCTION("SWITCH(
LEN(K176) - LEN(SUBSTITUTE(K176,"","","""")),
0 , VLOOKUP(K176, Variables!$A:$C, 3, FALSE),
1 , VLOOKUP(index(split(K176 ,"", "", FALSE),1,1), Variables!$A:$C, 3, FALSE) + VLOOKUP(index(split(K176 ,"", "", FALSE),1,2), Variables!$A:$C, 3, FALSE),
"&amp;"2 , VLOOKUP(index(split(K176 ,"", "", FALSE),1,1), Variables!$A:$C, 3, FALSE) + VLOOKUP(index(split(K176 ,"", "", FALSE),1,2), Variables!$A:$C, 3, FALSE) + VLOOKUP(index(split(K176 ,"", "", FALSE),1,3), Variables!$A:$C, 3, FALSE)
)"),0.8333333333333333)</f>
        <v>0.8333333333</v>
      </c>
      <c r="Y176" s="342">
        <f t="shared" si="2"/>
        <v>3.75</v>
      </c>
      <c r="Z176" s="114"/>
      <c r="AA176" s="114"/>
      <c r="AB176" s="114"/>
      <c r="AC176" s="114" t="s">
        <v>2572</v>
      </c>
      <c r="AD176" s="114" t="s">
        <v>2572</v>
      </c>
      <c r="AE176" s="114"/>
      <c r="AF176" s="114"/>
      <c r="AG176" s="114"/>
      <c r="AH176" s="114"/>
      <c r="AI176" s="114"/>
      <c r="AJ176" s="114" t="s">
        <v>2574</v>
      </c>
      <c r="AK176" s="473">
        <v>9.0</v>
      </c>
      <c r="AL176" s="114" t="s">
        <v>2574</v>
      </c>
      <c r="AM176" s="473">
        <v>11.0</v>
      </c>
      <c r="AN176" s="114" t="s">
        <v>2574</v>
      </c>
      <c r="AO176" s="473">
        <v>13.0</v>
      </c>
      <c r="AP176" s="130">
        <f>SUM(
VLOOKUP("Ravage",vote4TRAITS!A:C,3,FALSE)
)</f>
        <v>7.333333333</v>
      </c>
      <c r="AQ176" s="130">
        <f t="shared" si="3"/>
        <v>18.57</v>
      </c>
    </row>
    <row r="177" ht="14.25" customHeight="1">
      <c r="A177" s="137" t="s">
        <v>1433</v>
      </c>
      <c r="B177" s="114" t="s">
        <v>2576</v>
      </c>
      <c r="C177" s="114">
        <v>50.0</v>
      </c>
      <c r="D177" s="114">
        <v>2.0</v>
      </c>
      <c r="E177" s="114">
        <v>1.0</v>
      </c>
      <c r="F177" s="487">
        <v>5.0</v>
      </c>
      <c r="G177" s="488">
        <v>4.0</v>
      </c>
      <c r="H177" s="114" t="s">
        <v>1671</v>
      </c>
      <c r="I177" s="130">
        <f>IFERROR(__xludf.DUMMYFUNCTION("SWITCH(
LEN(H177) - LEN(SUBSTITUTE(H177,"","","""")),
0 , VLOOKUP(H177, Variables!$A:$B, 2, FALSE),
1 , VLOOKUP(index(split(H177 ,"", "", FALSE),1,1), Variables!$A:$B , 2, FALSE) + VLOOKUP(index(split(H177 ,"", "", FALSE),1,2), Variables!$A:$B , 2, FALSE)"&amp;",
2 , VLOOKUP(index(split(H177 ,"", "", FALSE),1,1), Variables!$A:$B , 2, FALSE) + VLOOKUP(index(split(H177 ,"", "", FALSE),1,2), Variables!$A:$B , 2, FALSE) + VLOOKUP(index(split(H177 ,"", "", FALSE),1,3), Variables!$A:$B , 2, FALSE)
)"),2.1666666666666665)</f>
        <v>2.166666667</v>
      </c>
      <c r="J177" s="114" t="s">
        <v>1521</v>
      </c>
      <c r="K177" s="114" t="s">
        <v>1525</v>
      </c>
      <c r="L177" s="130">
        <f>IFERROR(__xludf.DUMMYFUNCTION("SWITCH(
LEN(K177) - LEN(SUBSTITUTE(K177,"","","""")),
0 , VLOOKUP(K177, Variables!$A:$B, 2, FALSE),
1 , VLOOKUP(index(split(K177 ,"", "", FALSE),1,1), Variables!$A:$B , 2, FALSE) + VLOOKUP(index(split(K177 ,"", "", FALSE),1,2), Variables!$A:$B , 2, FALSE)"&amp;",
2 , VLOOKUP(index(split(K177 ,"", "", FALSE),1,1), Variables!$A:$B , 2, FALSE) + VLOOKUP(index(split(K177 ,"", "", FALSE),1,2), Variables!$A:$B , 2, FALSE) + VLOOKUP(index(split(K177 ,"", "", FALSE),1,3), Variables!$A:$B , 2, FALSE)
)
+
IF(J177=""Ranged"&amp;""", 1 , 0)"),3.333333333333333)</f>
        <v>3.333333333</v>
      </c>
      <c r="M177" s="114" t="s">
        <v>1141</v>
      </c>
      <c r="N177" s="130">
        <f>IFERROR(__xludf.DUMMYFUNCTION("IF(ISBLANK(M177), , 
SWITCH(
LEN(M177)- LEN(SUBSTITUTE(M177,"","","""")), 
0 , VLOOKUP(M177, vote4TRAITS!A:C , 3, FALSE),
1 , VLOOKUP(index(split(M177 ,"", "", FALSE),1,1), vote4TRAITS!A:C , 3, FALSE) + VLOOKUP(index(split(M177 ,"", "", FALSE),1,2), vote4"&amp;"TRAITS!A:C , 3, FALSE),
2 , VLOOKUP(index(split(M177 ,"", "", FALSE),1,1), vote4TRAITS!A:C , 3, FALSE) + VLOOKUP(index(split(M177 ,"", "", FALSE),1,2), vote4TRAITS!A:C , 3, FALSE) + VLOOKUP(index(split(M177 ,"", "", FALSE),1,3), vote4TRAITS!A:C , 3, FALSE"&amp;")
)
)"),4.0)</f>
        <v>4</v>
      </c>
      <c r="O177" s="114" t="s">
        <v>1334</v>
      </c>
      <c r="P177" s="165">
        <f>IFERROR(__xludf.DUMMYFUNCTION("IF(ISBLANK(O177), , 
SWITCH(
LEN(O177)- LEN(SUBSTITUTE(O177,"","","""")), 
0 , VLOOKUP(O177, vote4ACTIONS!A:C , 3, FALSE),
1 , VLOOKUP(index(split(O177 ,"", "", FALSE),1,1), vote4ACTIONS!A:C , 3, FALSE) + VLOOKUP(index(split(O177 ,"", "", FALSE),1,2), vot"&amp;"e4ACTIONS!A:C , 3, FALSE),
2 , VLOOKUP(index(split(O177 ,"", "", FALSE),1,1), vote4ACTIONS!A:C , 3, FALSE) + VLOOKUP(index(split(O177 ,"", "", FALSE),1,2), vote4ACTIONS!A:C , 3, FALSE) + VLOOKUP(index(split(O177 ,"", "", FALSE),1,3), vote4ACTIONS!A:C , 3,"&amp;" FALSE),
3 , VLOOKUP(index(split(O177 ,"", "", FALSE),1,1), vote4ACTIONS!A:C , 3, FALSE) + VLOOKUP(index(split(O177 ,"", "", FALSE),1,2), vote4ACTIONS!A:C , 3, FALSE) + VLOOKUP(index(split(O177 ,"", "", FALSE),1,3), vote4ACTIONS!A:C , 3, FALSE) + VLOOKUP("&amp;"index(split(O177 ,"", "", FALSE),1,4), vote4ACTIONS!A:C , 3, FALSE)
)
)"),4.0)</f>
        <v>4</v>
      </c>
      <c r="Q177" s="169" t="s">
        <v>1564</v>
      </c>
      <c r="R177" s="342">
        <f>IF(ISBLANK(Q177),,IFERROR(
IF(IFERROR(SEARCH("SS:",Q177),0) &gt; 0, 
VLOOKUP(SUBSTITUTE(Q177,"SS: ",""),vote4SURGE!$A:$C , 3, FALSE) - 2,
VLOOKUP(SUBSTITUTE(Q177,"S: ",""),vote4SURGE!$A:$C , 3, FALSE)
)
,
IF(IFERROR(SEARCH("SS:",Q177),0) &gt; 0, 
VLOOKUP(A177,vote4SURGE!$A:$C , 3, FALSE) - 2,
VLOOKUP(A177,vote4SURGE!$A:$C , 3, FALSE)
)
))</f>
        <v>3.5</v>
      </c>
      <c r="S177" s="341"/>
      <c r="T177" s="342" t="str">
        <f>IF(ISBLANK(S177),,IFERROR(
IF(IFERROR(SEARCH("SS:",S177),0) &gt; 0, 
VLOOKUP(SUBSTITUTE(S177,"SS: ",""),vote4SURGE!$A:$C , 3, FALSE) - 2,
VLOOKUP(SUBSTITUTE(S177,"S: ",""),vote4SURGE!$A:$C , 3, FALSE)
)
,
IF(IFERROR(SEARCH("SS:",S177),0) &gt; 0, 
VLOOKUP(A177,vote4SURGE!$A:$C , 3, FALSE) - 2,
VLOOKUP(A177,vote4SURGE!$A:$C , 3, FALSE)
)
))</f>
        <v/>
      </c>
      <c r="U177" s="341"/>
      <c r="V177" s="343" t="str">
        <f>IF(ISBLANK(U177),,IFERROR(
IF(IFERROR(SEARCH("SS:",U177),0) &gt; 0, 
VLOOKUP(SUBSTITUTE(U177,"SS: ",""),vote4SURGE!$A:$C , 3, FALSE) - 2,
VLOOKUP(SUBSTITUTE(U177,"S: ",""),vote4SURGE!$A:$C , 3, FALSE)
)
,
IF(IFERROR(SEARCH("SS:",U177),0) &gt; 0, 
VLOOKUP(A177,vote4SURGE!$A:$C , 3, FALSE) - 2,
VLOOKUP(A177,vote4SURGE!$A:$C , 3, FALSE)
)
))</f>
        <v/>
      </c>
      <c r="W177" s="343">
        <f t="shared" si="1"/>
        <v>1</v>
      </c>
      <c r="X177" s="344">
        <f>IFERROR(__xludf.DUMMYFUNCTION("SWITCH(
LEN(K177) - LEN(SUBSTITUTE(K177,"","","""")),
0 , VLOOKUP(K177, Variables!$A:$C, 3, FALSE),
1 , VLOOKUP(index(split(K177 ,"", "", FALSE),1,1), Variables!$A:$C, 3, FALSE) + VLOOKUP(index(split(K177 ,"", "", FALSE),1,2), Variables!$A:$C, 3, FALSE),
"&amp;"2 , VLOOKUP(index(split(K177 ,"", "", FALSE),1,1), Variables!$A:$C, 3, FALSE) + VLOOKUP(index(split(K177 ,"", "", FALSE),1,2), Variables!$A:$C, 3, FALSE) + VLOOKUP(index(split(K177 ,"", "", FALSE),1,3), Variables!$A:$C, 3, FALSE)
)"),0.5)</f>
        <v>0.5</v>
      </c>
      <c r="Y177" s="342">
        <f t="shared" si="2"/>
        <v>1.75</v>
      </c>
      <c r="Z177" s="114"/>
      <c r="AA177" s="114"/>
      <c r="AB177" s="114"/>
      <c r="AC177" s="114" t="s">
        <v>2572</v>
      </c>
      <c r="AD177" s="114" t="s">
        <v>2572</v>
      </c>
      <c r="AE177" s="114"/>
      <c r="AF177" s="114"/>
      <c r="AG177" s="114"/>
      <c r="AH177" s="114"/>
      <c r="AI177" s="114"/>
      <c r="AJ177" s="114" t="s">
        <v>369</v>
      </c>
      <c r="AK177" s="473">
        <v>15.0</v>
      </c>
      <c r="AL177" s="114" t="s">
        <v>368</v>
      </c>
      <c r="AM177" s="473">
        <v>19.0</v>
      </c>
      <c r="AN177" s="114" t="s">
        <v>2580</v>
      </c>
      <c r="AO177" s="473">
        <v>23.0</v>
      </c>
      <c r="AP177" s="130">
        <f>SUM(
VLOOKUP("Ravage",vote4TRAITS!A:C,3,FALSE)
)</f>
        <v>7.333333333</v>
      </c>
      <c r="AQ177" s="130">
        <f t="shared" si="3"/>
        <v>16.06666667</v>
      </c>
    </row>
    <row r="178" ht="14.25" customHeight="1">
      <c r="A178" s="137" t="s">
        <v>1433</v>
      </c>
      <c r="B178" s="114" t="s">
        <v>2576</v>
      </c>
      <c r="C178" s="114">
        <v>50.0</v>
      </c>
      <c r="D178" s="114">
        <v>1.0</v>
      </c>
      <c r="E178" s="114">
        <v>1.0</v>
      </c>
      <c r="F178" s="487">
        <v>4.0</v>
      </c>
      <c r="G178" s="488">
        <v>2.0</v>
      </c>
      <c r="H178" s="114" t="s">
        <v>1671</v>
      </c>
      <c r="I178" s="130">
        <f>IFERROR(__xludf.DUMMYFUNCTION("SWITCH(
LEN(H178) - LEN(SUBSTITUTE(H178,"","","""")),
0 , VLOOKUP(H178, Variables!$A:$B, 2, FALSE),
1 , VLOOKUP(index(split(H178 ,"", "", FALSE),1,1), Variables!$A:$B , 2, FALSE) + VLOOKUP(index(split(H178 ,"", "", FALSE),1,2), Variables!$A:$B , 2, FALSE)"&amp;",
2 , VLOOKUP(index(split(H178 ,"", "", FALSE),1,1), Variables!$A:$B , 2, FALSE) + VLOOKUP(index(split(H178 ,"", "", FALSE),1,2), Variables!$A:$B , 2, FALSE) + VLOOKUP(index(split(H178 ,"", "", FALSE),1,3), Variables!$A:$B , 2, FALSE)
)"),2.1666666666666665)</f>
        <v>2.166666667</v>
      </c>
      <c r="J178" s="114" t="s">
        <v>1521</v>
      </c>
      <c r="K178" s="114" t="s">
        <v>1548</v>
      </c>
      <c r="L178" s="130">
        <f>IFERROR(__xludf.DUMMYFUNCTION("SWITCH(
LEN(K178) - LEN(SUBSTITUTE(K178,"","","""")),
0 , VLOOKUP(K178, Variables!$A:$B, 2, FALSE),
1 , VLOOKUP(index(split(K178 ,"", "", FALSE),1,1), Variables!$A:$B , 2, FALSE) + VLOOKUP(index(split(K178 ,"", "", FALSE),1,2), Variables!$A:$B , 2, FALSE)"&amp;",
2 , VLOOKUP(index(split(K178 ,"", "", FALSE),1,1), Variables!$A:$B , 2, FALSE) + VLOOKUP(index(split(K178 ,"", "", FALSE),1,2), Variables!$A:$B , 2, FALSE) + VLOOKUP(index(split(K178 ,"", "", FALSE),1,3), Variables!$A:$B , 2, FALSE)
)
+
IF(J178=""Ranged"&amp;""", 1 , 0)"),2.3333333333333335)</f>
        <v>2.333333333</v>
      </c>
      <c r="M178" s="114" t="s">
        <v>1141</v>
      </c>
      <c r="N178" s="130">
        <f>IFERROR(__xludf.DUMMYFUNCTION("IF(ISBLANK(M178), , 
SWITCH(
LEN(M178)- LEN(SUBSTITUTE(M178,"","","""")), 
0 , VLOOKUP(M178, vote4TRAITS!A:C , 3, FALSE),
1 , VLOOKUP(index(split(M178 ,"", "", FALSE),1,1), vote4TRAITS!A:C , 3, FALSE) + VLOOKUP(index(split(M178 ,"", "", FALSE),1,2), vote4"&amp;"TRAITS!A:C , 3, FALSE),
2 , VLOOKUP(index(split(M178 ,"", "", FALSE),1,1), vote4TRAITS!A:C , 3, FALSE) + VLOOKUP(index(split(M178 ,"", "", FALSE),1,2), vote4TRAITS!A:C , 3, FALSE) + VLOOKUP(index(split(M178 ,"", "", FALSE),1,3), vote4TRAITS!A:C , 3, FALSE"&amp;")
)
)"),4.0)</f>
        <v>4</v>
      </c>
      <c r="O178" s="114" t="s">
        <v>1334</v>
      </c>
      <c r="P178" s="165">
        <f>IFERROR(__xludf.DUMMYFUNCTION("IF(ISBLANK(O178), , 
SWITCH(
LEN(O178)- LEN(SUBSTITUTE(O178,"","","""")), 
0 , VLOOKUP(O178, vote4ACTIONS!A:C , 3, FALSE),
1 , VLOOKUP(index(split(O178 ,"", "", FALSE),1,1), vote4ACTIONS!A:C , 3, FALSE) + VLOOKUP(index(split(O178 ,"", "", FALSE),1,2), vot"&amp;"e4ACTIONS!A:C , 3, FALSE),
2 , VLOOKUP(index(split(O178 ,"", "", FALSE),1,1), vote4ACTIONS!A:C , 3, FALSE) + VLOOKUP(index(split(O178 ,"", "", FALSE),1,2), vote4ACTIONS!A:C , 3, FALSE) + VLOOKUP(index(split(O178 ,"", "", FALSE),1,3), vote4ACTIONS!A:C , 3,"&amp;" FALSE),
3 , VLOOKUP(index(split(O178 ,"", "", FALSE),1,1), vote4ACTIONS!A:C , 3, FALSE) + VLOOKUP(index(split(O178 ,"", "", FALSE),1,2), vote4ACTIONS!A:C , 3, FALSE) + VLOOKUP(index(split(O178 ,"", "", FALSE),1,3), vote4ACTIONS!A:C , 3, FALSE) + VLOOKUP("&amp;"index(split(O178 ,"", "", FALSE),1,4), vote4ACTIONS!A:C , 3, FALSE)
)
)"),4.0)</f>
        <v>4</v>
      </c>
      <c r="Q178" s="169" t="s">
        <v>1564</v>
      </c>
      <c r="R178" s="342">
        <f>IF(ISBLANK(Q178),,IFERROR(
IF(IFERROR(SEARCH("SS:",Q178),0) &gt; 0, 
VLOOKUP(SUBSTITUTE(Q178,"SS: ",""),vote4SURGE!$A:$C , 3, FALSE) - 2,
VLOOKUP(SUBSTITUTE(Q178,"S: ",""),vote4SURGE!$A:$C , 3, FALSE)
)
,
IF(IFERROR(SEARCH("SS:",Q178),0) &gt; 0, 
VLOOKUP(A178,vote4SURGE!$A:$C , 3, FALSE) - 2,
VLOOKUP(A178,vote4SURGE!$A:$C , 3, FALSE)
)
))</f>
        <v>3.5</v>
      </c>
      <c r="S178" s="341"/>
      <c r="T178" s="342" t="str">
        <f>IF(ISBLANK(S178),,IFERROR(
IF(IFERROR(SEARCH("SS:",S178),0) &gt; 0, 
VLOOKUP(SUBSTITUTE(S178,"SS: ",""),vote4SURGE!$A:$C , 3, FALSE) - 2,
VLOOKUP(SUBSTITUTE(S178,"S: ",""),vote4SURGE!$A:$C , 3, FALSE)
)
,
IF(IFERROR(SEARCH("SS:",S178),0) &gt; 0, 
VLOOKUP(A178,vote4SURGE!$A:$C , 3, FALSE) - 2,
VLOOKUP(A178,vote4SURGE!$A:$C , 3, FALSE)
)
))</f>
        <v/>
      </c>
      <c r="U178" s="341"/>
      <c r="V178" s="343" t="str">
        <f>IF(ISBLANK(U178),,IFERROR(
IF(IFERROR(SEARCH("SS:",U178),0) &gt; 0, 
VLOOKUP(SUBSTITUTE(U178,"SS: ",""),vote4SURGE!$A:$C , 3, FALSE) - 2,
VLOOKUP(SUBSTITUTE(U178,"S: ",""),vote4SURGE!$A:$C , 3, FALSE)
)
,
IF(IFERROR(SEARCH("SS:",U178),0) &gt; 0, 
VLOOKUP(A178,vote4SURGE!$A:$C , 3, FALSE) - 2,
VLOOKUP(A178,vote4SURGE!$A:$C , 3, FALSE)
)
))</f>
        <v/>
      </c>
      <c r="W178" s="343">
        <f t="shared" si="1"/>
        <v>1</v>
      </c>
      <c r="X178" s="344">
        <f>IFERROR(__xludf.DUMMYFUNCTION("SWITCH(
LEN(K178) - LEN(SUBSTITUTE(K178,"","","""")),
0 , VLOOKUP(K178, Variables!$A:$C, 3, FALSE),
1 , VLOOKUP(index(split(K178 ,"", "", FALSE),1,1), Variables!$A:$C, 3, FALSE) + VLOOKUP(index(split(K178 ,"", "", FALSE),1,2), Variables!$A:$C, 3, FALSE),
"&amp;"2 , VLOOKUP(index(split(K178 ,"", "", FALSE),1,1), Variables!$A:$C, 3, FALSE) + VLOOKUP(index(split(K178 ,"", "", FALSE),1,2), Variables!$A:$C, 3, FALSE) + VLOOKUP(index(split(K178 ,"", "", FALSE),1,3), Variables!$A:$C, 3, FALSE)
)"),0.8333333333333333)</f>
        <v>0.8333333333</v>
      </c>
      <c r="Y178" s="342">
        <f t="shared" si="2"/>
        <v>2.916666667</v>
      </c>
      <c r="Z178" s="114"/>
      <c r="AA178" s="114"/>
      <c r="AB178" s="114"/>
      <c r="AC178" s="114" t="s">
        <v>2572</v>
      </c>
      <c r="AD178" s="114" t="s">
        <v>2572</v>
      </c>
      <c r="AE178" s="114"/>
      <c r="AF178" s="114"/>
      <c r="AG178" s="114"/>
      <c r="AH178" s="114"/>
      <c r="AI178" s="114"/>
      <c r="AJ178" s="114" t="s">
        <v>369</v>
      </c>
      <c r="AK178" s="473">
        <v>9.0</v>
      </c>
      <c r="AL178" s="114" t="s">
        <v>368</v>
      </c>
      <c r="AM178" s="473">
        <v>11.0</v>
      </c>
      <c r="AN178" s="114" t="s">
        <v>2580</v>
      </c>
      <c r="AO178" s="473">
        <v>13.0</v>
      </c>
      <c r="AP178" s="130">
        <f>SUM(
VLOOKUP("Ravage",vote4TRAITS!A:C,3,FALSE)
)</f>
        <v>7.333333333</v>
      </c>
      <c r="AQ178" s="130">
        <f t="shared" si="3"/>
        <v>11.57</v>
      </c>
    </row>
    <row r="179" ht="14.25" customHeight="1">
      <c r="A179" s="137" t="s">
        <v>2638</v>
      </c>
      <c r="B179" s="114" t="s">
        <v>2570</v>
      </c>
      <c r="C179" s="114">
        <v>8.0</v>
      </c>
      <c r="D179" s="114">
        <v>2.0</v>
      </c>
      <c r="E179" s="114">
        <v>6.0</v>
      </c>
      <c r="F179" s="487">
        <v>3.0</v>
      </c>
      <c r="G179" s="488">
        <v>10.0</v>
      </c>
      <c r="H179" s="114" t="s">
        <v>2599</v>
      </c>
      <c r="I179" s="130">
        <f>IFERROR(__xludf.DUMMYFUNCTION("SWITCH(
LEN(H179) - LEN(SUBSTITUTE(H179,"","","""")),
0 , VLOOKUP(H179, Variables!$A:$B, 2, FALSE),
1 , VLOOKUP(index(split(H179 ,"", "", FALSE),1,1), Variables!$A:$B , 2, FALSE) + VLOOKUP(index(split(H179 ,"", "", FALSE),1,2), Variables!$A:$B , 2, FALSE)"&amp;",
2 , VLOOKUP(index(split(H179 ,"", "", FALSE),1,1), Variables!$A:$B , 2, FALSE) + VLOOKUP(index(split(H179 ,"", "", FALSE),1,2), Variables!$A:$B , 2, FALSE) + VLOOKUP(index(split(H179 ,"", "", FALSE),1,3), Variables!$A:$B , 2, FALSE)
)"),3.5)</f>
        <v>3.5</v>
      </c>
      <c r="J179" s="114" t="s">
        <v>1521</v>
      </c>
      <c r="K179" s="114" t="s">
        <v>1528</v>
      </c>
      <c r="L179" s="130">
        <f>IFERROR(__xludf.DUMMYFUNCTION("SWITCH(
LEN(K179) - LEN(SUBSTITUTE(K179,"","","""")),
0 , VLOOKUP(K179, Variables!$A:$B, 2, FALSE),
1 , VLOOKUP(index(split(K179 ,"", "", FALSE),1,1), Variables!$A:$B , 2, FALSE) + VLOOKUP(index(split(K179 ,"", "", FALSE),1,2), Variables!$A:$B , 2, FALSE)"&amp;",
2 , VLOOKUP(index(split(K179 ,"", "", FALSE),1,1), Variables!$A:$B , 2, FALSE) + VLOOKUP(index(split(K179 ,"", "", FALSE),1,2), Variables!$A:$B , 2, FALSE) + VLOOKUP(index(split(K179 ,"", "", FALSE),1,3), Variables!$A:$B , 2, FALSE)
)
+
IF(J179=""Ranged"&amp;""", 1 , 0)"),5.5)</f>
        <v>5.5</v>
      </c>
      <c r="M179" s="114" t="s">
        <v>1120</v>
      </c>
      <c r="N179" s="130">
        <f>IFERROR(__xludf.DUMMYFUNCTION("IF(ISBLANK(M179), , 
SWITCH(
LEN(M179)- LEN(SUBSTITUTE(M179,"","","""")), 
0 , VLOOKUP(M179, vote4TRAITS!A:C , 3, FALSE),
1 , VLOOKUP(index(split(M179 ,"", "", FALSE),1,1), vote4TRAITS!A:C , 3, FALSE) + VLOOKUP(index(split(M179 ,"", "", FALSE),1,2), vote4"&amp;"TRAITS!A:C , 3, FALSE),
2 , VLOOKUP(index(split(M179 ,"", "", FALSE),1,1), vote4TRAITS!A:C , 3, FALSE) + VLOOKUP(index(split(M179 ,"", "", FALSE),1,2), vote4TRAITS!A:C , 3, FALSE) + VLOOKUP(index(split(M179 ,"", "", FALSE),1,3), vote4TRAITS!A:C , 3, FALSE"&amp;")
)
)"),7.0)</f>
        <v>7</v>
      </c>
      <c r="O179" s="490"/>
      <c r="P179" s="165" t="str">
        <f>IFERROR(__xludf.DUMMYFUNCTION("IF(ISBLANK(O179), , 
SWITCH(
LEN(O179)- LEN(SUBSTITUTE(O179,"","","""")), 
0 , VLOOKUP(O179, vote4ACTIONS!A:C , 3, FALSE),
1 , VLOOKUP(index(split(O179 ,"", "", FALSE),1,1), vote4ACTIONS!A:C , 3, FALSE) + VLOOKUP(index(split(O179 ,"", "", FALSE),1,2), vot"&amp;"e4ACTIONS!A:C , 3, FALSE),
2 , VLOOKUP(index(split(O179 ,"", "", FALSE),1,1), vote4ACTIONS!A:C , 3, FALSE) + VLOOKUP(index(split(O179 ,"", "", FALSE),1,2), vote4ACTIONS!A:C , 3, FALSE) + VLOOKUP(index(split(O179 ,"", "", FALSE),1,3), vote4ACTIONS!A:C , 3,"&amp;" FALSE),
3 , VLOOKUP(index(split(O179 ,"", "", FALSE),1,1), vote4ACTIONS!A:C , 3, FALSE) + VLOOKUP(index(split(O179 ,"", "", FALSE),1,2), vote4ACTIONS!A:C , 3, FALSE) + VLOOKUP(index(split(O179 ,"", "", FALSE),1,3), vote4ACTIONS!A:C , 3, FALSE) + VLOOKUP("&amp;"index(split(O179 ,"", "", FALSE),1,4), vote4ACTIONS!A:C , 3, FALSE)
)
)"),"")</f>
        <v/>
      </c>
      <c r="Q179" s="340" t="s">
        <v>1539</v>
      </c>
      <c r="R179" s="342">
        <f>IF(ISBLANK(Q179),,IFERROR(
IF(IFERROR(SEARCH("SS:",Q179),0) &gt; 0, 
VLOOKUP(SUBSTITUTE(Q179,"SS: ",""),vote4SURGE!$A:$C , 3, FALSE) - 2,
VLOOKUP(SUBSTITUTE(Q179,"S: ",""),vote4SURGE!$A:$C , 3, FALSE)
)
,
IF(IFERROR(SEARCH("SS:",Q179),0) &gt; 0, 
VLOOKUP(A179,vote4SURGE!$A:$C , 3, FALSE) - 2,
VLOOKUP(A179,vote4SURGE!$A:$C , 3, FALSE)
)
))</f>
        <v>5</v>
      </c>
      <c r="S179" s="489" t="s">
        <v>2618</v>
      </c>
      <c r="T179" s="342">
        <f>IF(ISBLANK(S179),,IFERROR(
IF(IFERROR(SEARCH("SS:",S179),0) &gt; 0, 
VLOOKUP(SUBSTITUTE(S179,"SS: ",""),vote4SURGE!$A:$C , 3, FALSE) - 2,
VLOOKUP(SUBSTITUTE(S179,"S: ",""),vote4SURGE!$A:$C , 3, FALSE)
)
,
IF(IFERROR(SEARCH("SS:",S179),0) &gt; 0, 
VLOOKUP(A179,vote4SURGE!$A:$C , 3, FALSE) - 2,
VLOOKUP(A179,vote4SURGE!$A:$C , 3, FALSE)
)
))</f>
        <v>7</v>
      </c>
      <c r="U179" s="341"/>
      <c r="V179" s="343" t="str">
        <f>IF(ISBLANK(U179),,IFERROR(
IF(IFERROR(SEARCH("SS:",U179),0) &gt; 0, 
VLOOKUP(SUBSTITUTE(U179,"SS: ",""),vote4SURGE!$A:$C , 3, FALSE) - 2,
VLOOKUP(SUBSTITUTE(U179,"S: ",""),vote4SURGE!$A:$C , 3, FALSE)
)
,
IF(IFERROR(SEARCH("SS:",U179),0) &gt; 0, 
VLOOKUP(A179,vote4SURGE!$A:$C , 3, FALSE) - 2,
VLOOKUP(A179,vote4SURGE!$A:$C , 3, FALSE)
)
))</f>
        <v/>
      </c>
      <c r="W179" s="343">
        <f t="shared" si="1"/>
        <v>2</v>
      </c>
      <c r="X179" s="344">
        <f>IFERROR(__xludf.DUMMYFUNCTION("SWITCH(
LEN(K179) - LEN(SUBSTITUTE(K179,"","","""")),
0 , VLOOKUP(K179, Variables!$A:$C, 3, FALSE),
1 , VLOOKUP(index(split(K179 ,"", "", FALSE),1,1), Variables!$A:$C, 3, FALSE) + VLOOKUP(index(split(K179 ,"", "", FALSE),1,2), Variables!$A:$C, 3, FALSE),
"&amp;"2 , VLOOKUP(index(split(K179 ,"", "", FALSE),1,1), Variables!$A:$C, 3, FALSE) + VLOOKUP(index(split(K179 ,"", "", FALSE),1,2), Variables!$A:$C, 3, FALSE) + VLOOKUP(index(split(K179 ,"", "", FALSE),1,3), Variables!$A:$C, 3, FALSE)
)"),0.6666666666666666)</f>
        <v>0.6666666667</v>
      </c>
      <c r="Y179" s="342">
        <f t="shared" si="2"/>
        <v>8.666666667</v>
      </c>
      <c r="Z179" s="114"/>
      <c r="AA179" s="114" t="s">
        <v>2572</v>
      </c>
      <c r="AB179" s="114"/>
      <c r="AC179" s="114"/>
      <c r="AD179" s="114"/>
      <c r="AE179" s="114" t="s">
        <v>2572</v>
      </c>
      <c r="AF179" s="114"/>
      <c r="AG179" s="114"/>
      <c r="AH179" s="114"/>
      <c r="AI179" s="114"/>
      <c r="AJ179" s="114" t="s">
        <v>2573</v>
      </c>
      <c r="AK179" s="473">
        <v>8.0</v>
      </c>
      <c r="AL179" s="114" t="s">
        <v>2574</v>
      </c>
      <c r="AM179" s="473">
        <v>10.0</v>
      </c>
      <c r="AN179" s="114" t="s">
        <v>2574</v>
      </c>
      <c r="AO179" s="473">
        <v>18.0</v>
      </c>
      <c r="AP179" s="130">
        <f>SUM(
VLOOKUP("Ravage",vote4TRAITS!A:C,3,FALSE)
)</f>
        <v>7.333333333</v>
      </c>
      <c r="AQ179" s="130">
        <f t="shared" si="3"/>
        <v>50.48333333</v>
      </c>
    </row>
    <row r="180" ht="14.25" customHeight="1">
      <c r="A180" s="137" t="s">
        <v>2638</v>
      </c>
      <c r="B180" s="114" t="s">
        <v>2570</v>
      </c>
      <c r="C180" s="114">
        <v>8.0</v>
      </c>
      <c r="D180" s="114">
        <v>1.0</v>
      </c>
      <c r="E180" s="114">
        <v>6.0</v>
      </c>
      <c r="F180" s="487">
        <v>3.0</v>
      </c>
      <c r="G180" s="488">
        <v>9.0</v>
      </c>
      <c r="H180" s="114" t="s">
        <v>2590</v>
      </c>
      <c r="I180" s="130">
        <f>IFERROR(__xludf.DUMMYFUNCTION("SWITCH(
LEN(H180) - LEN(SUBSTITUTE(H180,"","","""")),
0 , VLOOKUP(H180, Variables!$A:$B, 2, FALSE),
1 , VLOOKUP(index(split(H180 ,"", "", FALSE),1,1), Variables!$A:$B , 2, FALSE) + VLOOKUP(index(split(H180 ,"", "", FALSE),1,2), Variables!$A:$B , 2, FALSE)"&amp;",
2 , VLOOKUP(index(split(H180 ,"", "", FALSE),1,1), Variables!$A:$B , 2, FALSE) + VLOOKUP(index(split(H180 ,"", "", FALSE),1,2), Variables!$A:$B , 2, FALSE) + VLOOKUP(index(split(H180 ,"", "", FALSE),1,3), Variables!$A:$B , 2, FALSE)
)"),2.6666666666666665)</f>
        <v>2.666666667</v>
      </c>
      <c r="J180" s="114" t="s">
        <v>1521</v>
      </c>
      <c r="K180" s="114" t="s">
        <v>1525</v>
      </c>
      <c r="L180" s="130">
        <f>IFERROR(__xludf.DUMMYFUNCTION("SWITCH(
LEN(K180) - LEN(SUBSTITUTE(K180,"","","""")),
0 , VLOOKUP(K180, Variables!$A:$B, 2, FALSE),
1 , VLOOKUP(index(split(K180 ,"", "", FALSE),1,1), Variables!$A:$B , 2, FALSE) + VLOOKUP(index(split(K180 ,"", "", FALSE),1,2), Variables!$A:$B , 2, FALSE)"&amp;",
2 , VLOOKUP(index(split(K180 ,"", "", FALSE),1,1), Variables!$A:$B , 2, FALSE) + VLOOKUP(index(split(K180 ,"", "", FALSE),1,2), Variables!$A:$B , 2, FALSE) + VLOOKUP(index(split(K180 ,"", "", FALSE),1,3), Variables!$A:$B , 2, FALSE)
)
+
IF(J180=""Ranged"&amp;""", 1 , 0)"),3.333333333333333)</f>
        <v>3.333333333</v>
      </c>
      <c r="M180" s="114" t="s">
        <v>1120</v>
      </c>
      <c r="N180" s="130">
        <f>IFERROR(__xludf.DUMMYFUNCTION("IF(ISBLANK(M180), , 
SWITCH(
LEN(M180)- LEN(SUBSTITUTE(M180,"","","""")), 
0 , VLOOKUP(M180, vote4TRAITS!A:C , 3, FALSE),
1 , VLOOKUP(index(split(M180 ,"", "", FALSE),1,1), vote4TRAITS!A:C , 3, FALSE) + VLOOKUP(index(split(M180 ,"", "", FALSE),1,2), vote4"&amp;"TRAITS!A:C , 3, FALSE),
2 , VLOOKUP(index(split(M180 ,"", "", FALSE),1,1), vote4TRAITS!A:C , 3, FALSE) + VLOOKUP(index(split(M180 ,"", "", FALSE),1,2), vote4TRAITS!A:C , 3, FALSE) + VLOOKUP(index(split(M180 ,"", "", FALSE),1,3), vote4TRAITS!A:C , 3, FALSE"&amp;")
)
)"),7.0)</f>
        <v>7</v>
      </c>
      <c r="O180" s="490"/>
      <c r="P180" s="165" t="str">
        <f>IFERROR(__xludf.DUMMYFUNCTION("IF(ISBLANK(O180), , 
SWITCH(
LEN(O180)- LEN(SUBSTITUTE(O180,"","","""")), 
0 , VLOOKUP(O180, vote4ACTIONS!A:C , 3, FALSE),
1 , VLOOKUP(index(split(O180 ,"", "", FALSE),1,1), vote4ACTIONS!A:C , 3, FALSE) + VLOOKUP(index(split(O180 ,"", "", FALSE),1,2), vot"&amp;"e4ACTIONS!A:C , 3, FALSE),
2 , VLOOKUP(index(split(O180 ,"", "", FALSE),1,1), vote4ACTIONS!A:C , 3, FALSE) + VLOOKUP(index(split(O180 ,"", "", FALSE),1,2), vote4ACTIONS!A:C , 3, FALSE) + VLOOKUP(index(split(O180 ,"", "", FALSE),1,3), vote4ACTIONS!A:C , 3,"&amp;" FALSE),
3 , VLOOKUP(index(split(O180 ,"", "", FALSE),1,1), vote4ACTIONS!A:C , 3, FALSE) + VLOOKUP(index(split(O180 ,"", "", FALSE),1,2), vote4ACTIONS!A:C , 3, FALSE) + VLOOKUP(index(split(O180 ,"", "", FALSE),1,3), vote4ACTIONS!A:C , 3, FALSE) + VLOOKUP("&amp;"index(split(O180 ,"", "", FALSE),1,4), vote4ACTIONS!A:C , 3, FALSE)
)
)"),"")</f>
        <v/>
      </c>
      <c r="Q180" s="340" t="s">
        <v>1534</v>
      </c>
      <c r="R180" s="342">
        <f>IF(ISBLANK(Q180),,IFERROR(
IF(IFERROR(SEARCH("SS:",Q180),0) &gt; 0, 
VLOOKUP(SUBSTITUTE(Q180,"SS: ",""),vote4SURGE!$A:$C , 3, FALSE) - 2,
VLOOKUP(SUBSTITUTE(Q180,"S: ",""),vote4SURGE!$A:$C , 3, FALSE)
)
,
IF(IFERROR(SEARCH("SS:",Q180),0) &gt; 0, 
VLOOKUP(A180,vote4SURGE!$A:$C , 3, FALSE) - 2,
VLOOKUP(A180,vote4SURGE!$A:$C , 3, FALSE)
)
))</f>
        <v>4.25</v>
      </c>
      <c r="S180" s="489" t="s">
        <v>2618</v>
      </c>
      <c r="T180" s="342">
        <f>IF(ISBLANK(S180),,IFERROR(
IF(IFERROR(SEARCH("SS:",S180),0) &gt; 0, 
VLOOKUP(SUBSTITUTE(S180,"SS: ",""),vote4SURGE!$A:$C , 3, FALSE) - 2,
VLOOKUP(SUBSTITUTE(S180,"S: ",""),vote4SURGE!$A:$C , 3, FALSE)
)
,
IF(IFERROR(SEARCH("SS:",S180),0) &gt; 0, 
VLOOKUP(A180,vote4SURGE!$A:$C , 3, FALSE) - 2,
VLOOKUP(A180,vote4SURGE!$A:$C , 3, FALSE)
)
))</f>
        <v>7</v>
      </c>
      <c r="U180" s="341"/>
      <c r="V180" s="343" t="str">
        <f>IF(ISBLANK(U180),,IFERROR(
IF(IFERROR(SEARCH("SS:",U180),0) &gt; 0, 
VLOOKUP(SUBSTITUTE(U180,"SS: ",""),vote4SURGE!$A:$C , 3, FALSE) - 2,
VLOOKUP(SUBSTITUTE(U180,"S: ",""),vote4SURGE!$A:$C , 3, FALSE)
)
,
IF(IFERROR(SEARCH("SS:",U180),0) &gt; 0, 
VLOOKUP(A180,vote4SURGE!$A:$C , 3, FALSE) - 2,
VLOOKUP(A180,vote4SURGE!$A:$C , 3, FALSE)
)
))</f>
        <v/>
      </c>
      <c r="W180" s="343">
        <f t="shared" si="1"/>
        <v>2</v>
      </c>
      <c r="X180" s="344">
        <f>IFERROR(__xludf.DUMMYFUNCTION("SWITCH(
LEN(K180) - LEN(SUBSTITUTE(K180,"","","""")),
0 , VLOOKUP(K180, Variables!$A:$C, 3, FALSE),
1 , VLOOKUP(index(split(K180 ,"", "", FALSE),1,1), Variables!$A:$C, 3, FALSE) + VLOOKUP(index(split(K180 ,"", "", FALSE),1,2), Variables!$A:$C, 3, FALSE),
"&amp;"2 , VLOOKUP(index(split(K180 ,"", "", FALSE),1,1), Variables!$A:$C, 3, FALSE) + VLOOKUP(index(split(K180 ,"", "", FALSE),1,2), Variables!$A:$C, 3, FALSE) + VLOOKUP(index(split(K180 ,"", "", FALSE),1,3), Variables!$A:$C, 3, FALSE)
)"),0.5)</f>
        <v>0.5</v>
      </c>
      <c r="Y180" s="342">
        <f t="shared" si="2"/>
        <v>8.0625</v>
      </c>
      <c r="Z180" s="114"/>
      <c r="AA180" s="114" t="s">
        <v>2572</v>
      </c>
      <c r="AB180" s="114"/>
      <c r="AC180" s="114"/>
      <c r="AD180" s="114"/>
      <c r="AE180" s="114" t="s">
        <v>2572</v>
      </c>
      <c r="AF180" s="114"/>
      <c r="AG180" s="114"/>
      <c r="AH180" s="114"/>
      <c r="AI180" s="114"/>
      <c r="AJ180" s="114" t="s">
        <v>2573</v>
      </c>
      <c r="AK180" s="473">
        <v>6.0</v>
      </c>
      <c r="AL180" s="114" t="s">
        <v>2574</v>
      </c>
      <c r="AM180" s="473">
        <v>9.0</v>
      </c>
      <c r="AN180" s="114" t="s">
        <v>2574</v>
      </c>
      <c r="AO180" s="473">
        <v>15.0</v>
      </c>
      <c r="AP180" s="130">
        <f>SUM(
VLOOKUP("Ravage",vote4TRAITS!A:C,3,FALSE)
)</f>
        <v>7.333333333</v>
      </c>
      <c r="AQ180" s="130">
        <f t="shared" si="3"/>
        <v>36.7125</v>
      </c>
    </row>
    <row r="181" ht="14.25" customHeight="1">
      <c r="A181" s="137" t="s">
        <v>2638</v>
      </c>
      <c r="B181" s="114" t="s">
        <v>2576</v>
      </c>
      <c r="C181" s="114">
        <v>8.0</v>
      </c>
      <c r="D181" s="114">
        <v>2.0</v>
      </c>
      <c r="E181" s="114">
        <v>6.0</v>
      </c>
      <c r="F181" s="487">
        <v>3.0</v>
      </c>
      <c r="G181" s="488">
        <v>8.0</v>
      </c>
      <c r="H181" s="114" t="s">
        <v>2599</v>
      </c>
      <c r="I181" s="130">
        <f>IFERROR(__xludf.DUMMYFUNCTION("SWITCH(
LEN(H181) - LEN(SUBSTITUTE(H181,"","","""")),
0 , VLOOKUP(H181, Variables!$A:$B, 2, FALSE),
1 , VLOOKUP(index(split(H181 ,"", "", FALSE),1,1), Variables!$A:$B , 2, FALSE) + VLOOKUP(index(split(H181 ,"", "", FALSE),1,2), Variables!$A:$B , 2, FALSE)"&amp;",
2 , VLOOKUP(index(split(H181 ,"", "", FALSE),1,1), Variables!$A:$B , 2, FALSE) + VLOOKUP(index(split(H181 ,"", "", FALSE),1,2), Variables!$A:$B , 2, FALSE) + VLOOKUP(index(split(H181 ,"", "", FALSE),1,3), Variables!$A:$B , 2, FALSE)
)"),3.5)</f>
        <v>3.5</v>
      </c>
      <c r="J181" s="114" t="s">
        <v>1521</v>
      </c>
      <c r="K181" s="114" t="s">
        <v>1528</v>
      </c>
      <c r="L181" s="130">
        <f>IFERROR(__xludf.DUMMYFUNCTION("SWITCH(
LEN(K181) - LEN(SUBSTITUTE(K181,"","","""")),
0 , VLOOKUP(K181, Variables!$A:$B, 2, FALSE),
1 , VLOOKUP(index(split(K181 ,"", "", FALSE),1,1), Variables!$A:$B , 2, FALSE) + VLOOKUP(index(split(K181 ,"", "", FALSE),1,2), Variables!$A:$B , 2, FALSE)"&amp;",
2 , VLOOKUP(index(split(K181 ,"", "", FALSE),1,1), Variables!$A:$B , 2, FALSE) + VLOOKUP(index(split(K181 ,"", "", FALSE),1,2), Variables!$A:$B , 2, FALSE) + VLOOKUP(index(split(K181 ,"", "", FALSE),1,3), Variables!$A:$B , 2, FALSE)
)
+
IF(J181=""Ranged"&amp;""", 1 , 0)"),5.5)</f>
        <v>5.5</v>
      </c>
      <c r="M181" s="114" t="s">
        <v>1120</v>
      </c>
      <c r="N181" s="130">
        <f>IFERROR(__xludf.DUMMYFUNCTION("IF(ISBLANK(M181), , 
SWITCH(
LEN(M181)- LEN(SUBSTITUTE(M181,"","","""")), 
0 , VLOOKUP(M181, vote4TRAITS!A:C , 3, FALSE),
1 , VLOOKUP(index(split(M181 ,"", "", FALSE),1,1), vote4TRAITS!A:C , 3, FALSE) + VLOOKUP(index(split(M181 ,"", "", FALSE),1,2), vote4"&amp;"TRAITS!A:C , 3, FALSE),
2 , VLOOKUP(index(split(M181 ,"", "", FALSE),1,1), vote4TRAITS!A:C , 3, FALSE) + VLOOKUP(index(split(M181 ,"", "", FALSE),1,2), vote4TRAITS!A:C , 3, FALSE) + VLOOKUP(index(split(M181 ,"", "", FALSE),1,3), vote4TRAITS!A:C , 3, FALSE"&amp;")
)
)"),7.0)</f>
        <v>7</v>
      </c>
      <c r="O181" s="490"/>
      <c r="P181" s="165" t="str">
        <f>IFERROR(__xludf.DUMMYFUNCTION("IF(ISBLANK(O181), , 
SWITCH(
LEN(O181)- LEN(SUBSTITUTE(O181,"","","""")), 
0 , VLOOKUP(O181, vote4ACTIONS!A:C , 3, FALSE),
1 , VLOOKUP(index(split(O181 ,"", "", FALSE),1,1), vote4ACTIONS!A:C , 3, FALSE) + VLOOKUP(index(split(O181 ,"", "", FALSE),1,2), vot"&amp;"e4ACTIONS!A:C , 3, FALSE),
2 , VLOOKUP(index(split(O181 ,"", "", FALSE),1,1), vote4ACTIONS!A:C , 3, FALSE) + VLOOKUP(index(split(O181 ,"", "", FALSE),1,2), vote4ACTIONS!A:C , 3, FALSE) + VLOOKUP(index(split(O181 ,"", "", FALSE),1,3), vote4ACTIONS!A:C , 3,"&amp;" FALSE),
3 , VLOOKUP(index(split(O181 ,"", "", FALSE),1,1), vote4ACTIONS!A:C , 3, FALSE) + VLOOKUP(index(split(O181 ,"", "", FALSE),1,2), vote4ACTIONS!A:C , 3, FALSE) + VLOOKUP(index(split(O181 ,"", "", FALSE),1,3), vote4ACTIONS!A:C , 3, FALSE) + VLOOKUP("&amp;"index(split(O181 ,"", "", FALSE),1,4), vote4ACTIONS!A:C , 3, FALSE)
)
)"),"")</f>
        <v/>
      </c>
      <c r="Q181" s="340" t="s">
        <v>1534</v>
      </c>
      <c r="R181" s="342">
        <f>IF(ISBLANK(Q181),,IFERROR(
IF(IFERROR(SEARCH("SS:",Q181),0) &gt; 0, 
VLOOKUP(SUBSTITUTE(Q181,"SS: ",""),vote4SURGE!$A:$C , 3, FALSE) - 2,
VLOOKUP(SUBSTITUTE(Q181,"S: ",""),vote4SURGE!$A:$C , 3, FALSE)
)
,
IF(IFERROR(SEARCH("SS:",Q181),0) &gt; 0, 
VLOOKUP(A181,vote4SURGE!$A:$C , 3, FALSE) - 2,
VLOOKUP(A181,vote4SURGE!$A:$C , 3, FALSE)
)
))</f>
        <v>4.25</v>
      </c>
      <c r="S181" s="341"/>
      <c r="T181" s="342" t="str">
        <f>IF(ISBLANK(S181),,IFERROR(
IF(IFERROR(SEARCH("SS:",S181),0) &gt; 0, 
VLOOKUP(SUBSTITUTE(S181,"SS: ",""),vote4SURGE!$A:$C , 3, FALSE) - 2,
VLOOKUP(SUBSTITUTE(S181,"S: ",""),vote4SURGE!$A:$C , 3, FALSE)
)
,
IF(IFERROR(SEARCH("SS:",S181),0) &gt; 0, 
VLOOKUP(A181,vote4SURGE!$A:$C , 3, FALSE) - 2,
VLOOKUP(A181,vote4SURGE!$A:$C , 3, FALSE)
)
))</f>
        <v/>
      </c>
      <c r="U181" s="341"/>
      <c r="V181" s="343" t="str">
        <f>IF(ISBLANK(U181),,IFERROR(
IF(IFERROR(SEARCH("SS:",U181),0) &gt; 0, 
VLOOKUP(SUBSTITUTE(U181,"SS: ",""),vote4SURGE!$A:$C , 3, FALSE) - 2,
VLOOKUP(SUBSTITUTE(U181,"S: ",""),vote4SURGE!$A:$C , 3, FALSE)
)
,
IF(IFERROR(SEARCH("SS:",U181),0) &gt; 0, 
VLOOKUP(A181,vote4SURGE!$A:$C , 3, FALSE) - 2,
VLOOKUP(A181,vote4SURGE!$A:$C , 3, FALSE)
)
))</f>
        <v/>
      </c>
      <c r="W181" s="343">
        <f t="shared" si="1"/>
        <v>1</v>
      </c>
      <c r="X181" s="344">
        <f>IFERROR(__xludf.DUMMYFUNCTION("SWITCH(
LEN(K181) - LEN(SUBSTITUTE(K181,"","","""")),
0 , VLOOKUP(K181, Variables!$A:$C, 3, FALSE),
1 , VLOOKUP(index(split(K181 ,"", "", FALSE),1,1), Variables!$A:$C, 3, FALSE) + VLOOKUP(index(split(K181 ,"", "", FALSE),1,2), Variables!$A:$C, 3, FALSE),
"&amp;"2 , VLOOKUP(index(split(K181 ,"", "", FALSE),1,1), Variables!$A:$C, 3, FALSE) + VLOOKUP(index(split(K181 ,"", "", FALSE),1,2), Variables!$A:$C, 3, FALSE) + VLOOKUP(index(split(K181 ,"", "", FALSE),1,3), Variables!$A:$C, 3, FALSE)
)"),0.6666666666666666)</f>
        <v>0.6666666667</v>
      </c>
      <c r="Y181" s="342">
        <f t="shared" si="2"/>
        <v>2.833333333</v>
      </c>
      <c r="Z181" s="114"/>
      <c r="AA181" s="114" t="s">
        <v>2572</v>
      </c>
      <c r="AB181" s="114"/>
      <c r="AC181" s="114"/>
      <c r="AD181" s="114"/>
      <c r="AE181" s="114" t="s">
        <v>2572</v>
      </c>
      <c r="AF181" s="114"/>
      <c r="AG181" s="114"/>
      <c r="AH181" s="114"/>
      <c r="AI181" s="114"/>
      <c r="AJ181" s="114" t="s">
        <v>2574</v>
      </c>
      <c r="AK181" s="473">
        <v>8.0</v>
      </c>
      <c r="AL181" s="114" t="s">
        <v>2573</v>
      </c>
      <c r="AM181" s="473">
        <v>10.0</v>
      </c>
      <c r="AN181" s="114" t="s">
        <v>2574</v>
      </c>
      <c r="AO181" s="473">
        <v>18.0</v>
      </c>
      <c r="AP181" s="130">
        <f>SUM(
VLOOKUP("Ravage",vote4TRAITS!A:C,3,FALSE)
)</f>
        <v>7.333333333</v>
      </c>
      <c r="AQ181" s="130">
        <f t="shared" si="3"/>
        <v>37.65</v>
      </c>
    </row>
    <row r="182" ht="14.25" customHeight="1">
      <c r="A182" s="137" t="s">
        <v>2638</v>
      </c>
      <c r="B182" s="114" t="s">
        <v>2576</v>
      </c>
      <c r="C182" s="114">
        <v>8.0</v>
      </c>
      <c r="D182" s="114">
        <v>1.0</v>
      </c>
      <c r="E182" s="114">
        <v>6.0</v>
      </c>
      <c r="F182" s="487">
        <v>3.0</v>
      </c>
      <c r="G182" s="488">
        <v>6.0</v>
      </c>
      <c r="H182" s="114" t="s">
        <v>2590</v>
      </c>
      <c r="I182" s="130">
        <f>IFERROR(__xludf.DUMMYFUNCTION("SWITCH(
LEN(H182) - LEN(SUBSTITUTE(H182,"","","""")),
0 , VLOOKUP(H182, Variables!$A:$B, 2, FALSE),
1 , VLOOKUP(index(split(H182 ,"", "", FALSE),1,1), Variables!$A:$B , 2, FALSE) + VLOOKUP(index(split(H182 ,"", "", FALSE),1,2), Variables!$A:$B , 2, FALSE)"&amp;",
2 , VLOOKUP(index(split(H182 ,"", "", FALSE),1,1), Variables!$A:$B , 2, FALSE) + VLOOKUP(index(split(H182 ,"", "", FALSE),1,2), Variables!$A:$B , 2, FALSE) + VLOOKUP(index(split(H182 ,"", "", FALSE),1,3), Variables!$A:$B , 2, FALSE)
)"),2.6666666666666665)</f>
        <v>2.666666667</v>
      </c>
      <c r="J182" s="114" t="s">
        <v>1521</v>
      </c>
      <c r="K182" s="114" t="s">
        <v>1525</v>
      </c>
      <c r="L182" s="130">
        <f>IFERROR(__xludf.DUMMYFUNCTION("SWITCH(
LEN(K182) - LEN(SUBSTITUTE(K182,"","","""")),
0 , VLOOKUP(K182, Variables!$A:$B, 2, FALSE),
1 , VLOOKUP(index(split(K182 ,"", "", FALSE),1,1), Variables!$A:$B , 2, FALSE) + VLOOKUP(index(split(K182 ,"", "", FALSE),1,2), Variables!$A:$B , 2, FALSE)"&amp;",
2 , VLOOKUP(index(split(K182 ,"", "", FALSE),1,1), Variables!$A:$B , 2, FALSE) + VLOOKUP(index(split(K182 ,"", "", FALSE),1,2), Variables!$A:$B , 2, FALSE) + VLOOKUP(index(split(K182 ,"", "", FALSE),1,3), Variables!$A:$B , 2, FALSE)
)
+
IF(J182=""Ranged"&amp;""", 1 , 0)"),3.333333333333333)</f>
        <v>3.333333333</v>
      </c>
      <c r="M182" s="114" t="s">
        <v>1120</v>
      </c>
      <c r="N182" s="130">
        <f>IFERROR(__xludf.DUMMYFUNCTION("IF(ISBLANK(M182), , 
SWITCH(
LEN(M182)- LEN(SUBSTITUTE(M182,"","","""")), 
0 , VLOOKUP(M182, vote4TRAITS!A:C , 3, FALSE),
1 , VLOOKUP(index(split(M182 ,"", "", FALSE),1,1), vote4TRAITS!A:C , 3, FALSE) + VLOOKUP(index(split(M182 ,"", "", FALSE),1,2), vote4"&amp;"TRAITS!A:C , 3, FALSE),
2 , VLOOKUP(index(split(M182 ,"", "", FALSE),1,1), vote4TRAITS!A:C , 3, FALSE) + VLOOKUP(index(split(M182 ,"", "", FALSE),1,2), vote4TRAITS!A:C , 3, FALSE) + VLOOKUP(index(split(M182 ,"", "", FALSE),1,3), vote4TRAITS!A:C , 3, FALSE"&amp;")
)
)"),7.0)</f>
        <v>7</v>
      </c>
      <c r="O182" s="490"/>
      <c r="P182" s="165" t="str">
        <f>IFERROR(__xludf.DUMMYFUNCTION("IF(ISBLANK(O182), , 
SWITCH(
LEN(O182)- LEN(SUBSTITUTE(O182,"","","""")), 
0 , VLOOKUP(O182, vote4ACTIONS!A:C , 3, FALSE),
1 , VLOOKUP(index(split(O182 ,"", "", FALSE),1,1), vote4ACTIONS!A:C , 3, FALSE) + VLOOKUP(index(split(O182 ,"", "", FALSE),1,2), vot"&amp;"e4ACTIONS!A:C , 3, FALSE),
2 , VLOOKUP(index(split(O182 ,"", "", FALSE),1,1), vote4ACTIONS!A:C , 3, FALSE) + VLOOKUP(index(split(O182 ,"", "", FALSE),1,2), vote4ACTIONS!A:C , 3, FALSE) + VLOOKUP(index(split(O182 ,"", "", FALSE),1,3), vote4ACTIONS!A:C , 3,"&amp;" FALSE),
3 , VLOOKUP(index(split(O182 ,"", "", FALSE),1,1), vote4ACTIONS!A:C , 3, FALSE) + VLOOKUP(index(split(O182 ,"", "", FALSE),1,2), vote4ACTIONS!A:C , 3, FALSE) + VLOOKUP(index(split(O182 ,"", "", FALSE),1,3), vote4ACTIONS!A:C , 3, FALSE) + VLOOKUP("&amp;"index(split(O182 ,"", "", FALSE),1,4), vote4ACTIONS!A:C , 3, FALSE)
)
)"),"")</f>
        <v/>
      </c>
      <c r="Q182" s="340" t="s">
        <v>1562</v>
      </c>
      <c r="R182" s="342">
        <f>IF(ISBLANK(Q182),,IFERROR(
IF(IFERROR(SEARCH("SS:",Q182),0) &gt; 0, 
VLOOKUP(SUBSTITUTE(Q182,"SS: ",""),vote4SURGE!$A:$C , 3, FALSE) - 2,
VLOOKUP(SUBSTITUTE(Q182,"S: ",""),vote4SURGE!$A:$C , 3, FALSE)
)
,
IF(IFERROR(SEARCH("SS:",Q182),0) &gt; 0, 
VLOOKUP(A182,vote4SURGE!$A:$C , 3, FALSE) - 2,
VLOOKUP(A182,vote4SURGE!$A:$C , 3, FALSE)
)
))</f>
        <v>3.5</v>
      </c>
      <c r="S182" s="341"/>
      <c r="T182" s="342" t="str">
        <f>IF(ISBLANK(S182),,IFERROR(
IF(IFERROR(SEARCH("SS:",S182),0) &gt; 0, 
VLOOKUP(SUBSTITUTE(S182,"SS: ",""),vote4SURGE!$A:$C , 3, FALSE) - 2,
VLOOKUP(SUBSTITUTE(S182,"S: ",""),vote4SURGE!$A:$C , 3, FALSE)
)
,
IF(IFERROR(SEARCH("SS:",S182),0) &gt; 0, 
VLOOKUP(A182,vote4SURGE!$A:$C , 3, FALSE) - 2,
VLOOKUP(A182,vote4SURGE!$A:$C , 3, FALSE)
)
))</f>
        <v/>
      </c>
      <c r="U182" s="341"/>
      <c r="V182" s="343" t="str">
        <f>IF(ISBLANK(U182),,IFERROR(
IF(IFERROR(SEARCH("SS:",U182),0) &gt; 0, 
VLOOKUP(SUBSTITUTE(U182,"SS: ",""),vote4SURGE!$A:$C , 3, FALSE) - 2,
VLOOKUP(SUBSTITUTE(U182,"S: ",""),vote4SURGE!$A:$C , 3, FALSE)
)
,
IF(IFERROR(SEARCH("SS:",U182),0) &gt; 0, 
VLOOKUP(A182,vote4SURGE!$A:$C , 3, FALSE) - 2,
VLOOKUP(A182,vote4SURGE!$A:$C , 3, FALSE)
)
))</f>
        <v/>
      </c>
      <c r="W182" s="343">
        <f t="shared" si="1"/>
        <v>1</v>
      </c>
      <c r="X182" s="344">
        <f>IFERROR(__xludf.DUMMYFUNCTION("SWITCH(
LEN(K182) - LEN(SUBSTITUTE(K182,"","","""")),
0 , VLOOKUP(K182, Variables!$A:$C, 3, FALSE),
1 , VLOOKUP(index(split(K182 ,"", "", FALSE),1,1), Variables!$A:$C, 3, FALSE) + VLOOKUP(index(split(K182 ,"", "", FALSE),1,2), Variables!$A:$C, 3, FALSE),
"&amp;"2 , VLOOKUP(index(split(K182 ,"", "", FALSE),1,1), Variables!$A:$C, 3, FALSE) + VLOOKUP(index(split(K182 ,"", "", FALSE),1,2), Variables!$A:$C, 3, FALSE) + VLOOKUP(index(split(K182 ,"", "", FALSE),1,3), Variables!$A:$C, 3, FALSE)
)"),0.5)</f>
        <v>0.5</v>
      </c>
      <c r="Y182" s="342">
        <f t="shared" si="2"/>
        <v>1.75</v>
      </c>
      <c r="Z182" s="114"/>
      <c r="AA182" s="114" t="s">
        <v>2572</v>
      </c>
      <c r="AB182" s="114"/>
      <c r="AC182" s="114"/>
      <c r="AD182" s="114"/>
      <c r="AE182" s="114" t="s">
        <v>2572</v>
      </c>
      <c r="AF182" s="114"/>
      <c r="AG182" s="114"/>
      <c r="AH182" s="114"/>
      <c r="AI182" s="114"/>
      <c r="AJ182" s="114" t="s">
        <v>2574</v>
      </c>
      <c r="AK182" s="473">
        <v>6.0</v>
      </c>
      <c r="AL182" s="114" t="s">
        <v>2573</v>
      </c>
      <c r="AM182" s="473">
        <v>9.0</v>
      </c>
      <c r="AN182" s="114" t="s">
        <v>2574</v>
      </c>
      <c r="AO182" s="473">
        <v>15.0</v>
      </c>
      <c r="AP182" s="130">
        <f>SUM(
VLOOKUP("Ravage",vote4TRAITS!A:C,3,FALSE)
)</f>
        <v>7.333333333</v>
      </c>
      <c r="AQ182" s="130">
        <f t="shared" si="3"/>
        <v>22.4</v>
      </c>
    </row>
    <row r="183" ht="14.25" customHeight="1">
      <c r="A183" s="137" t="s">
        <v>1441</v>
      </c>
      <c r="B183" s="114" t="s">
        <v>2570</v>
      </c>
      <c r="C183" s="114">
        <v>28.0</v>
      </c>
      <c r="D183" s="114">
        <v>2.0</v>
      </c>
      <c r="E183" s="114">
        <v>2.0</v>
      </c>
      <c r="F183" s="487">
        <v>3.0</v>
      </c>
      <c r="G183" s="488">
        <v>9.0</v>
      </c>
      <c r="H183" s="114" t="s">
        <v>1671</v>
      </c>
      <c r="I183" s="130">
        <f>IFERROR(__xludf.DUMMYFUNCTION("SWITCH(
LEN(H183) - LEN(SUBSTITUTE(H183,"","","""")),
0 , VLOOKUP(H183, Variables!$A:$B, 2, FALSE),
1 , VLOOKUP(index(split(H183 ,"", "", FALSE),1,1), Variables!$A:$B , 2, FALSE) + VLOOKUP(index(split(H183 ,"", "", FALSE),1,2), Variables!$A:$B , 2, FALSE)"&amp;",
2 , VLOOKUP(index(split(H183 ,"", "", FALSE),1,1), Variables!$A:$B , 2, FALSE) + VLOOKUP(index(split(H183 ,"", "", FALSE),1,2), Variables!$A:$B , 2, FALSE) + VLOOKUP(index(split(H183 ,"", "", FALSE),1,3), Variables!$A:$B , 2, FALSE)
)"),2.1666666666666665)</f>
        <v>2.166666667</v>
      </c>
      <c r="J183" s="114" t="s">
        <v>1521</v>
      </c>
      <c r="K183" s="114" t="s">
        <v>1537</v>
      </c>
      <c r="L183" s="130">
        <f>IFERROR(__xludf.DUMMYFUNCTION("SWITCH(
LEN(K183) - LEN(SUBSTITUTE(K183,"","","""")),
0 , VLOOKUP(K183, Variables!$A:$B, 2, FALSE),
1 , VLOOKUP(index(split(K183 ,"", "", FALSE),1,1), Variables!$A:$B , 2, FALSE) + VLOOKUP(index(split(K183 ,"", "", FALSE),1,2), Variables!$A:$B , 2, FALSE)"&amp;",
2 , VLOOKUP(index(split(K183 ,"", "", FALSE),1,1), Variables!$A:$B , 2, FALSE) + VLOOKUP(index(split(K183 ,"", "", FALSE),1,2), Variables!$A:$B , 2, FALSE) + VLOOKUP(index(split(K183 ,"", "", FALSE),1,3), Variables!$A:$B , 2, FALSE)
)
+
IF(J183=""Ranged"&amp;""", 1 , 0)"),4.5)</f>
        <v>4.5</v>
      </c>
      <c r="M183" s="114" t="s">
        <v>2639</v>
      </c>
      <c r="N183" s="130">
        <f>IFERROR(__xludf.DUMMYFUNCTION("IF(ISBLANK(M183), , 
SWITCH(
LEN(M183)- LEN(SUBSTITUTE(M183,"","","""")), 
0 , VLOOKUP(M183, vote4TRAITS!A:C , 3, FALSE),
1 , VLOOKUP(index(split(M183 ,"", "", FALSE),1,1), vote4TRAITS!A:C , 3, FALSE) + VLOOKUP(index(split(M183 ,"", "", FALSE),1,2), vote4"&amp;"TRAITS!A:C , 3, FALSE),
2 , VLOOKUP(index(split(M183 ,"", "", FALSE),1,1), vote4TRAITS!A:C , 3, FALSE) + VLOOKUP(index(split(M183 ,"", "", FALSE),1,2), vote4TRAITS!A:C , 3, FALSE) + VLOOKUP(index(split(M183 ,"", "", FALSE),1,3), vote4TRAITS!A:C , 3, FALSE"&amp;")
)
)"),11.333333333333334)</f>
        <v>11.33333333</v>
      </c>
      <c r="O183" s="490"/>
      <c r="P183" s="165" t="str">
        <f>IFERROR(__xludf.DUMMYFUNCTION("IF(ISBLANK(O183), , 
SWITCH(
LEN(O183)- LEN(SUBSTITUTE(O183,"","","""")), 
0 , VLOOKUP(O183, vote4ACTIONS!A:C , 3, FALSE),
1 , VLOOKUP(index(split(O183 ,"", "", FALSE),1,1), vote4ACTIONS!A:C , 3, FALSE) + VLOOKUP(index(split(O183 ,"", "", FALSE),1,2), vot"&amp;"e4ACTIONS!A:C , 3, FALSE),
2 , VLOOKUP(index(split(O183 ,"", "", FALSE),1,1), vote4ACTIONS!A:C , 3, FALSE) + VLOOKUP(index(split(O183 ,"", "", FALSE),1,2), vote4ACTIONS!A:C , 3, FALSE) + VLOOKUP(index(split(O183 ,"", "", FALSE),1,3), vote4ACTIONS!A:C , 3,"&amp;" FALSE),
3 , VLOOKUP(index(split(O183 ,"", "", FALSE),1,1), vote4ACTIONS!A:C , 3, FALSE) + VLOOKUP(index(split(O183 ,"", "", FALSE),1,2), vote4ACTIONS!A:C , 3, FALSE) + VLOOKUP(index(split(O183 ,"", "", FALSE),1,3), vote4ACTIONS!A:C , 3, FALSE) + VLOOKUP("&amp;"index(split(O183 ,"", "", FALSE),1,4), vote4ACTIONS!A:C , 3, FALSE)
)
)"),"")</f>
        <v/>
      </c>
      <c r="Q183" s="340" t="s">
        <v>1534</v>
      </c>
      <c r="R183" s="342">
        <f>IF(ISBLANK(Q183),,IFERROR(
IF(IFERROR(SEARCH("SS:",Q183),0) &gt; 0, 
VLOOKUP(SUBSTITUTE(Q183,"SS: ",""),vote4SURGE!$A:$C , 3, FALSE) - 2,
VLOOKUP(SUBSTITUTE(Q183,"S: ",""),vote4SURGE!$A:$C , 3, FALSE)
)
,
IF(IFERROR(SEARCH("SS:",Q183),0) &gt; 0, 
VLOOKUP(A183,vote4SURGE!$A:$C , 3, FALSE) - 2,
VLOOKUP(A183,vote4SURGE!$A:$C , 3, FALSE)
)
))</f>
        <v>4.25</v>
      </c>
      <c r="S183" s="489"/>
      <c r="T183" s="342" t="str">
        <f>IF(ISBLANK(S183),,IFERROR(
IF(IFERROR(SEARCH("SS:",S183),0) &gt; 0, 
VLOOKUP(SUBSTITUTE(S183,"SS: ",""),vote4SURGE!$A:$C , 3, FALSE) - 2,
VLOOKUP(SUBSTITUTE(S183,"S: ",""),vote4SURGE!$A:$C , 3, FALSE)
)
,
IF(IFERROR(SEARCH("SS:",S183),0) &gt; 0, 
VLOOKUP(A183,vote4SURGE!$A:$C , 3, FALSE) - 2,
VLOOKUP(A183,vote4SURGE!$A:$C , 3, FALSE)
)
))</f>
        <v/>
      </c>
      <c r="U183" s="489"/>
      <c r="V183" s="343" t="str">
        <f>IF(ISBLANK(U183),,IFERROR(
IF(IFERROR(SEARCH("SS:",U183),0) &gt; 0, 
VLOOKUP(SUBSTITUTE(U183,"SS: ",""),vote4SURGE!$A:$C , 3, FALSE) - 2,
VLOOKUP(SUBSTITUTE(U183,"S: ",""),vote4SURGE!$A:$C , 3, FALSE)
)
,
IF(IFERROR(SEARCH("SS:",U183),0) &gt; 0, 
VLOOKUP(A183,vote4SURGE!$A:$C , 3, FALSE) - 2,
VLOOKUP(A183,vote4SURGE!$A:$C , 3, FALSE)
)
))</f>
        <v/>
      </c>
      <c r="W183" s="343">
        <f t="shared" si="1"/>
        <v>1</v>
      </c>
      <c r="X183" s="344">
        <f>IFERROR(__xludf.DUMMYFUNCTION("SWITCH(
LEN(K183) - LEN(SUBSTITUTE(K183,"","","""")),
0 , VLOOKUP(K183, Variables!$A:$C, 3, FALSE),
1 , VLOOKUP(index(split(K183 ,"", "", FALSE),1,1), Variables!$A:$C, 3, FALSE) + VLOOKUP(index(split(K183 ,"", "", FALSE),1,2), Variables!$A:$C, 3, FALSE),
"&amp;"2 , VLOOKUP(index(split(K183 ,"", "", FALSE),1,1), Variables!$A:$C, 3, FALSE) + VLOOKUP(index(split(K183 ,"", "", FALSE),1,2), Variables!$A:$C, 3, FALSE) + VLOOKUP(index(split(K183 ,"", "", FALSE),1,3), Variables!$A:$C, 3, FALSE)
)"),1.0)</f>
        <v>1</v>
      </c>
      <c r="Y183" s="342">
        <f t="shared" si="2"/>
        <v>4.25</v>
      </c>
      <c r="Z183" s="114"/>
      <c r="AA183" s="114"/>
      <c r="AB183" s="114"/>
      <c r="AC183" s="114"/>
      <c r="AD183" s="114" t="s">
        <v>2572</v>
      </c>
      <c r="AE183" s="114"/>
      <c r="AF183" s="114"/>
      <c r="AG183" s="114"/>
      <c r="AH183" s="114"/>
      <c r="AI183" s="114" t="s">
        <v>2572</v>
      </c>
      <c r="AJ183" s="114" t="s">
        <v>2574</v>
      </c>
      <c r="AK183" s="473">
        <v>9.0</v>
      </c>
      <c r="AL183" s="114" t="s">
        <v>2574</v>
      </c>
      <c r="AM183" s="473">
        <v>16.0</v>
      </c>
      <c r="AN183" s="114" t="s">
        <v>2574</v>
      </c>
      <c r="AO183" s="473">
        <v>23.0</v>
      </c>
      <c r="AP183" s="130">
        <f>SUM(
VLOOKUP("Ravage",vote4TRAITS!A:C,3,FALSE)
)</f>
        <v>7.333333333</v>
      </c>
      <c r="AQ183" s="130">
        <f t="shared" si="3"/>
        <v>33.57</v>
      </c>
    </row>
    <row r="184" ht="14.25" customHeight="1">
      <c r="A184" s="137" t="s">
        <v>1441</v>
      </c>
      <c r="B184" s="114" t="s">
        <v>2570</v>
      </c>
      <c r="C184" s="114">
        <v>28.0</v>
      </c>
      <c r="D184" s="114">
        <v>1.0</v>
      </c>
      <c r="E184" s="114">
        <v>2.0</v>
      </c>
      <c r="F184" s="487">
        <v>3.0</v>
      </c>
      <c r="G184" s="488">
        <v>8.0</v>
      </c>
      <c r="H184" s="114" t="s">
        <v>1671</v>
      </c>
      <c r="I184" s="130">
        <f>IFERROR(__xludf.DUMMYFUNCTION("SWITCH(
LEN(H184) - LEN(SUBSTITUTE(H184,"","","""")),
0 , VLOOKUP(H184, Variables!$A:$B, 2, FALSE),
1 , VLOOKUP(index(split(H184 ,"", "", FALSE),1,1), Variables!$A:$B , 2, FALSE) + VLOOKUP(index(split(H184 ,"", "", FALSE),1,2), Variables!$A:$B , 2, FALSE)"&amp;",
2 , VLOOKUP(index(split(H184 ,"", "", FALSE),1,1), Variables!$A:$B , 2, FALSE) + VLOOKUP(index(split(H184 ,"", "", FALSE),1,2), Variables!$A:$B , 2, FALSE) + VLOOKUP(index(split(H184 ,"", "", FALSE),1,3), Variables!$A:$B , 2, FALSE)
)"),2.1666666666666665)</f>
        <v>2.166666667</v>
      </c>
      <c r="J184" s="114" t="s">
        <v>1521</v>
      </c>
      <c r="K184" s="114" t="s">
        <v>1525</v>
      </c>
      <c r="L184" s="130">
        <f>IFERROR(__xludf.DUMMYFUNCTION("SWITCH(
LEN(K184) - LEN(SUBSTITUTE(K184,"","","""")),
0 , VLOOKUP(K184, Variables!$A:$B, 2, FALSE),
1 , VLOOKUP(index(split(K184 ,"", "", FALSE),1,1), Variables!$A:$B , 2, FALSE) + VLOOKUP(index(split(K184 ,"", "", FALSE),1,2), Variables!$A:$B , 2, FALSE)"&amp;",
2 , VLOOKUP(index(split(K184 ,"", "", FALSE),1,1), Variables!$A:$B , 2, FALSE) + VLOOKUP(index(split(K184 ,"", "", FALSE),1,2), Variables!$A:$B , 2, FALSE) + VLOOKUP(index(split(K184 ,"", "", FALSE),1,3), Variables!$A:$B , 2, FALSE)
)
+
IF(J184=""Ranged"&amp;""", 1 , 0)"),3.333333333333333)</f>
        <v>3.333333333</v>
      </c>
      <c r="M184" s="114" t="s">
        <v>2639</v>
      </c>
      <c r="N184" s="130">
        <f>IFERROR(__xludf.DUMMYFUNCTION("IF(ISBLANK(M184), , 
SWITCH(
LEN(M184)- LEN(SUBSTITUTE(M184,"","","""")), 
0 , VLOOKUP(M184, vote4TRAITS!A:C , 3, FALSE),
1 , VLOOKUP(index(split(M184 ,"", "", FALSE),1,1), vote4TRAITS!A:C , 3, FALSE) + VLOOKUP(index(split(M184 ,"", "", FALSE),1,2), vote4"&amp;"TRAITS!A:C , 3, FALSE),
2 , VLOOKUP(index(split(M184 ,"", "", FALSE),1,1), vote4TRAITS!A:C , 3, FALSE) + VLOOKUP(index(split(M184 ,"", "", FALSE),1,2), vote4TRAITS!A:C , 3, FALSE) + VLOOKUP(index(split(M184 ,"", "", FALSE),1,3), vote4TRAITS!A:C , 3, FALSE"&amp;")
)
)"),11.333333333333334)</f>
        <v>11.33333333</v>
      </c>
      <c r="O184" s="490"/>
      <c r="P184" s="165" t="str">
        <f>IFERROR(__xludf.DUMMYFUNCTION("IF(ISBLANK(O184), , 
SWITCH(
LEN(O184)- LEN(SUBSTITUTE(O184,"","","""")), 
0 , VLOOKUP(O184, vote4ACTIONS!A:C , 3, FALSE),
1 , VLOOKUP(index(split(O184 ,"", "", FALSE),1,1), vote4ACTIONS!A:C , 3, FALSE) + VLOOKUP(index(split(O184 ,"", "", FALSE),1,2), vot"&amp;"e4ACTIONS!A:C , 3, FALSE),
2 , VLOOKUP(index(split(O184 ,"", "", FALSE),1,1), vote4ACTIONS!A:C , 3, FALSE) + VLOOKUP(index(split(O184 ,"", "", FALSE),1,2), vote4ACTIONS!A:C , 3, FALSE) + VLOOKUP(index(split(O184 ,"", "", FALSE),1,3), vote4ACTIONS!A:C , 3,"&amp;" FALSE),
3 , VLOOKUP(index(split(O184 ,"", "", FALSE),1,1), vote4ACTIONS!A:C , 3, FALSE) + VLOOKUP(index(split(O184 ,"", "", FALSE),1,2), vote4ACTIONS!A:C , 3, FALSE) + VLOOKUP(index(split(O184 ,"", "", FALSE),1,3), vote4ACTIONS!A:C , 3, FALSE) + VLOOKUP("&amp;"index(split(O184 ,"", "", FALSE),1,4), vote4ACTIONS!A:C , 3, FALSE)
)
)"),"")</f>
        <v/>
      </c>
      <c r="Q184" s="340" t="s">
        <v>1562</v>
      </c>
      <c r="R184" s="342">
        <f>IF(ISBLANK(Q184),,IFERROR(
IF(IFERROR(SEARCH("SS:",Q184),0) &gt; 0, 
VLOOKUP(SUBSTITUTE(Q184,"SS: ",""),vote4SURGE!$A:$C , 3, FALSE) - 2,
VLOOKUP(SUBSTITUTE(Q184,"S: ",""),vote4SURGE!$A:$C , 3, FALSE)
)
,
IF(IFERROR(SEARCH("SS:",Q184),0) &gt; 0, 
VLOOKUP(A184,vote4SURGE!$A:$C , 3, FALSE) - 2,
VLOOKUP(A184,vote4SURGE!$A:$C , 3, FALSE)
)
))</f>
        <v>3.5</v>
      </c>
      <c r="S184" s="489"/>
      <c r="T184" s="342" t="str">
        <f>IF(ISBLANK(S184),,IFERROR(
IF(IFERROR(SEARCH("SS:",S184),0) &gt; 0, 
VLOOKUP(SUBSTITUTE(S184,"SS: ",""),vote4SURGE!$A:$C , 3, FALSE) - 2,
VLOOKUP(SUBSTITUTE(S184,"S: ",""),vote4SURGE!$A:$C , 3, FALSE)
)
,
IF(IFERROR(SEARCH("SS:",S184),0) &gt; 0, 
VLOOKUP(A184,vote4SURGE!$A:$C , 3, FALSE) - 2,
VLOOKUP(A184,vote4SURGE!$A:$C , 3, FALSE)
)
))</f>
        <v/>
      </c>
      <c r="U184" s="341"/>
      <c r="V184" s="343" t="str">
        <f>IF(ISBLANK(U184),,IFERROR(
IF(IFERROR(SEARCH("SS:",U184),0) &gt; 0, 
VLOOKUP(SUBSTITUTE(U184,"SS: ",""),vote4SURGE!$A:$C , 3, FALSE) - 2,
VLOOKUP(SUBSTITUTE(U184,"S: ",""),vote4SURGE!$A:$C , 3, FALSE)
)
,
IF(IFERROR(SEARCH("SS:",U184),0) &gt; 0, 
VLOOKUP(A184,vote4SURGE!$A:$C , 3, FALSE) - 2,
VLOOKUP(A184,vote4SURGE!$A:$C , 3, FALSE)
)
))</f>
        <v/>
      </c>
      <c r="W184" s="343">
        <f t="shared" si="1"/>
        <v>1</v>
      </c>
      <c r="X184" s="344">
        <f>IFERROR(__xludf.DUMMYFUNCTION("SWITCH(
LEN(K184) - LEN(SUBSTITUTE(K184,"","","""")),
0 , VLOOKUP(K184, Variables!$A:$C, 3, FALSE),
1 , VLOOKUP(index(split(K184 ,"", "", FALSE),1,1), Variables!$A:$C, 3, FALSE) + VLOOKUP(index(split(K184 ,"", "", FALSE),1,2), Variables!$A:$C, 3, FALSE),
"&amp;"2 , VLOOKUP(index(split(K184 ,"", "", FALSE),1,1), Variables!$A:$C, 3, FALSE) + VLOOKUP(index(split(K184 ,"", "", FALSE),1,2), Variables!$A:$C, 3, FALSE) + VLOOKUP(index(split(K184 ,"", "", FALSE),1,3), Variables!$A:$C, 3, FALSE)
)"),0.5)</f>
        <v>0.5</v>
      </c>
      <c r="Y184" s="342">
        <f t="shared" si="2"/>
        <v>1.75</v>
      </c>
      <c r="Z184" s="114"/>
      <c r="AA184" s="114"/>
      <c r="AB184" s="114"/>
      <c r="AC184" s="114"/>
      <c r="AD184" s="114" t="s">
        <v>2572</v>
      </c>
      <c r="AE184" s="114"/>
      <c r="AF184" s="114"/>
      <c r="AG184" s="114"/>
      <c r="AH184" s="114"/>
      <c r="AI184" s="114" t="s">
        <v>2572</v>
      </c>
      <c r="AJ184" s="114" t="s">
        <v>2574</v>
      </c>
      <c r="AK184" s="473">
        <v>8.0</v>
      </c>
      <c r="AL184" s="114" t="s">
        <v>2574</v>
      </c>
      <c r="AM184" s="473">
        <v>13.0</v>
      </c>
      <c r="AN184" s="114" t="s">
        <v>2574</v>
      </c>
      <c r="AO184" s="473">
        <v>18.0</v>
      </c>
      <c r="AP184" s="130">
        <f>SUM(
VLOOKUP("Ravage",vote4TRAITS!A:C,3,FALSE)
)</f>
        <v>7.333333333</v>
      </c>
      <c r="AQ184" s="130">
        <f t="shared" si="3"/>
        <v>27.73666667</v>
      </c>
    </row>
    <row r="185" ht="14.25" customHeight="1">
      <c r="A185" s="137" t="s">
        <v>1441</v>
      </c>
      <c r="B185" s="114" t="s">
        <v>2576</v>
      </c>
      <c r="C185" s="114">
        <v>28.0</v>
      </c>
      <c r="D185" s="114">
        <v>2.0</v>
      </c>
      <c r="E185" s="114">
        <v>2.0</v>
      </c>
      <c r="F185" s="487">
        <v>3.0</v>
      </c>
      <c r="G185" s="488">
        <v>7.0</v>
      </c>
      <c r="H185" s="114" t="s">
        <v>1671</v>
      </c>
      <c r="I185" s="130">
        <f>IFERROR(__xludf.DUMMYFUNCTION("SWITCH(
LEN(H185) - LEN(SUBSTITUTE(H185,"","","""")),
0 , VLOOKUP(H185, Variables!$A:$B, 2, FALSE),
1 , VLOOKUP(index(split(H185 ,"", "", FALSE),1,1), Variables!$A:$B , 2, FALSE) + VLOOKUP(index(split(H185 ,"", "", FALSE),1,2), Variables!$A:$B , 2, FALSE)"&amp;",
2 , VLOOKUP(index(split(H185 ,"", "", FALSE),1,1), Variables!$A:$B , 2, FALSE) + VLOOKUP(index(split(H185 ,"", "", FALSE),1,2), Variables!$A:$B , 2, FALSE) + VLOOKUP(index(split(H185 ,"", "", FALSE),1,3), Variables!$A:$B , 2, FALSE)
)"),2.1666666666666665)</f>
        <v>2.166666667</v>
      </c>
      <c r="J185" s="114" t="s">
        <v>1521</v>
      </c>
      <c r="K185" s="114" t="s">
        <v>1525</v>
      </c>
      <c r="L185" s="130">
        <f>IFERROR(__xludf.DUMMYFUNCTION("SWITCH(
LEN(K185) - LEN(SUBSTITUTE(K185,"","","""")),
0 , VLOOKUP(K185, Variables!$A:$B, 2, FALSE),
1 , VLOOKUP(index(split(K185 ,"", "", FALSE),1,1), Variables!$A:$B , 2, FALSE) + VLOOKUP(index(split(K185 ,"", "", FALSE),1,2), Variables!$A:$B , 2, FALSE)"&amp;",
2 , VLOOKUP(index(split(K185 ,"", "", FALSE),1,1), Variables!$A:$B , 2, FALSE) + VLOOKUP(index(split(K185 ,"", "", FALSE),1,2), Variables!$A:$B , 2, FALSE) + VLOOKUP(index(split(K185 ,"", "", FALSE),1,3), Variables!$A:$B , 2, FALSE)
)
+
IF(J185=""Ranged"&amp;""", 1 , 0)"),3.333333333333333)</f>
        <v>3.333333333</v>
      </c>
      <c r="M185" s="114" t="s">
        <v>1089</v>
      </c>
      <c r="N185" s="130">
        <f>IFERROR(__xludf.DUMMYFUNCTION("IF(ISBLANK(M185), , 
SWITCH(
LEN(M185)- LEN(SUBSTITUTE(M185,"","","""")), 
0 , VLOOKUP(M185, vote4TRAITS!A:C , 3, FALSE),
1 , VLOOKUP(index(split(M185 ,"", "", FALSE),1,1), vote4TRAITS!A:C , 3, FALSE) + VLOOKUP(index(split(M185 ,"", "", FALSE),1,2), vote4"&amp;"TRAITS!A:C , 3, FALSE),
2 , VLOOKUP(index(split(M185 ,"", "", FALSE),1,1), vote4TRAITS!A:C , 3, FALSE) + VLOOKUP(index(split(M185 ,"", "", FALSE),1,2), vote4TRAITS!A:C , 3, FALSE) + VLOOKUP(index(split(M185 ,"", "", FALSE),1,3), vote4TRAITS!A:C , 3, FALSE"&amp;")
)
)"),6.666666666666667)</f>
        <v>6.666666667</v>
      </c>
      <c r="O185" s="490"/>
      <c r="P185" s="165" t="str">
        <f>IFERROR(__xludf.DUMMYFUNCTION("IF(ISBLANK(O185), , 
SWITCH(
LEN(O185)- LEN(SUBSTITUTE(O185,"","","""")), 
0 , VLOOKUP(O185, vote4ACTIONS!A:C , 3, FALSE),
1 , VLOOKUP(index(split(O185 ,"", "", FALSE),1,1), vote4ACTIONS!A:C , 3, FALSE) + VLOOKUP(index(split(O185 ,"", "", FALSE),1,2), vot"&amp;"e4ACTIONS!A:C , 3, FALSE),
2 , VLOOKUP(index(split(O185 ,"", "", FALSE),1,1), vote4ACTIONS!A:C , 3, FALSE) + VLOOKUP(index(split(O185 ,"", "", FALSE),1,2), vote4ACTIONS!A:C , 3, FALSE) + VLOOKUP(index(split(O185 ,"", "", FALSE),1,3), vote4ACTIONS!A:C , 3,"&amp;" FALSE),
3 , VLOOKUP(index(split(O185 ,"", "", FALSE),1,1), vote4ACTIONS!A:C , 3, FALSE) + VLOOKUP(index(split(O185 ,"", "", FALSE),1,2), vote4ACTIONS!A:C , 3, FALSE) + VLOOKUP(index(split(O185 ,"", "", FALSE),1,3), vote4ACTIONS!A:C , 3, FALSE) + VLOOKUP("&amp;"index(split(O185 ,"", "", FALSE),1,4), vote4ACTIONS!A:C , 3, FALSE)
)
)"),"")</f>
        <v/>
      </c>
      <c r="Q185" s="340" t="s">
        <v>1534</v>
      </c>
      <c r="R185" s="342">
        <f>IF(ISBLANK(Q185),,IFERROR(
IF(IFERROR(SEARCH("SS:",Q185),0) &gt; 0, 
VLOOKUP(SUBSTITUTE(Q185,"SS: ",""),vote4SURGE!$A:$C , 3, FALSE) - 2,
VLOOKUP(SUBSTITUTE(Q185,"S: ",""),vote4SURGE!$A:$C , 3, FALSE)
)
,
IF(IFERROR(SEARCH("SS:",Q185),0) &gt; 0, 
VLOOKUP(A185,vote4SURGE!$A:$C , 3, FALSE) - 2,
VLOOKUP(A185,vote4SURGE!$A:$C , 3, FALSE)
)
))</f>
        <v>4.25</v>
      </c>
      <c r="S185" s="341"/>
      <c r="T185" s="342" t="str">
        <f>IF(ISBLANK(S185),,IFERROR(
IF(IFERROR(SEARCH("SS:",S185),0) &gt; 0, 
VLOOKUP(SUBSTITUTE(S185,"SS: ",""),vote4SURGE!$A:$C , 3, FALSE) - 2,
VLOOKUP(SUBSTITUTE(S185,"S: ",""),vote4SURGE!$A:$C , 3, FALSE)
)
,
IF(IFERROR(SEARCH("SS:",S185),0) &gt; 0, 
VLOOKUP(A185,vote4SURGE!$A:$C , 3, FALSE) - 2,
VLOOKUP(A185,vote4SURGE!$A:$C , 3, FALSE)
)
))</f>
        <v/>
      </c>
      <c r="U185" s="341"/>
      <c r="V185" s="343" t="str">
        <f>IF(ISBLANK(U185),,IFERROR(
IF(IFERROR(SEARCH("SS:",U185),0) &gt; 0, 
VLOOKUP(SUBSTITUTE(U185,"SS: ",""),vote4SURGE!$A:$C , 3, FALSE) - 2,
VLOOKUP(SUBSTITUTE(U185,"S: ",""),vote4SURGE!$A:$C , 3, FALSE)
)
,
IF(IFERROR(SEARCH("SS:",U185),0) &gt; 0, 
VLOOKUP(A185,vote4SURGE!$A:$C , 3, FALSE) - 2,
VLOOKUP(A185,vote4SURGE!$A:$C , 3, FALSE)
)
))</f>
        <v/>
      </c>
      <c r="W185" s="343">
        <f t="shared" si="1"/>
        <v>1</v>
      </c>
      <c r="X185" s="344">
        <f>IFERROR(__xludf.DUMMYFUNCTION("SWITCH(
LEN(K185) - LEN(SUBSTITUTE(K185,"","","""")),
0 , VLOOKUP(K185, Variables!$A:$C, 3, FALSE),
1 , VLOOKUP(index(split(K185 ,"", "", FALSE),1,1), Variables!$A:$C, 3, FALSE) + VLOOKUP(index(split(K185 ,"", "", FALSE),1,2), Variables!$A:$C, 3, FALSE),
"&amp;"2 , VLOOKUP(index(split(K185 ,"", "", FALSE),1,1), Variables!$A:$C, 3, FALSE) + VLOOKUP(index(split(K185 ,"", "", FALSE),1,2), Variables!$A:$C, 3, FALSE) + VLOOKUP(index(split(K185 ,"", "", FALSE),1,3), Variables!$A:$C, 3, FALSE)
)"),0.5)</f>
        <v>0.5</v>
      </c>
      <c r="Y185" s="342">
        <f t="shared" si="2"/>
        <v>2.125</v>
      </c>
      <c r="Z185" s="114"/>
      <c r="AA185" s="114"/>
      <c r="AB185" s="114"/>
      <c r="AC185" s="114"/>
      <c r="AD185" s="114" t="s">
        <v>2572</v>
      </c>
      <c r="AE185" s="114"/>
      <c r="AF185" s="114"/>
      <c r="AG185" s="114"/>
      <c r="AH185" s="114"/>
      <c r="AI185" s="114" t="s">
        <v>2572</v>
      </c>
      <c r="AJ185" s="114" t="s">
        <v>2573</v>
      </c>
      <c r="AK185" s="473">
        <v>9.0</v>
      </c>
      <c r="AL185" s="114" t="s">
        <v>2574</v>
      </c>
      <c r="AM185" s="473">
        <v>16.0</v>
      </c>
      <c r="AN185" s="114" t="s">
        <v>369</v>
      </c>
      <c r="AO185" s="473">
        <v>23.0</v>
      </c>
      <c r="AP185" s="130">
        <f>SUM(
VLOOKUP("Ravage",vote4TRAITS!A:C,3,FALSE)
)</f>
        <v>7.333333333</v>
      </c>
      <c r="AQ185" s="130">
        <f t="shared" si="3"/>
        <v>21.27833333</v>
      </c>
    </row>
    <row r="186" ht="14.25" customHeight="1">
      <c r="A186" s="137" t="s">
        <v>1441</v>
      </c>
      <c r="B186" s="114" t="s">
        <v>2576</v>
      </c>
      <c r="C186" s="114">
        <v>28.0</v>
      </c>
      <c r="D186" s="114">
        <v>1.0</v>
      </c>
      <c r="E186" s="114">
        <v>2.0</v>
      </c>
      <c r="F186" s="487">
        <v>3.0</v>
      </c>
      <c r="G186" s="488">
        <v>5.0</v>
      </c>
      <c r="H186" s="114" t="s">
        <v>1671</v>
      </c>
      <c r="I186" s="130">
        <f>IFERROR(__xludf.DUMMYFUNCTION("SWITCH(
LEN(H186) - LEN(SUBSTITUTE(H186,"","","""")),
0 , VLOOKUP(H186, Variables!$A:$B, 2, FALSE),
1 , VLOOKUP(index(split(H186 ,"", "", FALSE),1,1), Variables!$A:$B , 2, FALSE) + VLOOKUP(index(split(H186 ,"", "", FALSE),1,2), Variables!$A:$B , 2, FALSE)"&amp;",
2 , VLOOKUP(index(split(H186 ,"", "", FALSE),1,1), Variables!$A:$B , 2, FALSE) + VLOOKUP(index(split(H186 ,"", "", FALSE),1,2), Variables!$A:$B , 2, FALSE) + VLOOKUP(index(split(H186 ,"", "", FALSE),1,3), Variables!$A:$B , 2, FALSE)
)"),2.1666666666666665)</f>
        <v>2.166666667</v>
      </c>
      <c r="J186" s="114" t="s">
        <v>1521</v>
      </c>
      <c r="K186" s="114" t="s">
        <v>1525</v>
      </c>
      <c r="L186" s="130">
        <f>IFERROR(__xludf.DUMMYFUNCTION("SWITCH(
LEN(K186) - LEN(SUBSTITUTE(K186,"","","""")),
0 , VLOOKUP(K186, Variables!$A:$B, 2, FALSE),
1 , VLOOKUP(index(split(K186 ,"", "", FALSE),1,1), Variables!$A:$B , 2, FALSE) + VLOOKUP(index(split(K186 ,"", "", FALSE),1,2), Variables!$A:$B , 2, FALSE)"&amp;",
2 , VLOOKUP(index(split(K186 ,"", "", FALSE),1,1), Variables!$A:$B , 2, FALSE) + VLOOKUP(index(split(K186 ,"", "", FALSE),1,2), Variables!$A:$B , 2, FALSE) + VLOOKUP(index(split(K186 ,"", "", FALSE),1,3), Variables!$A:$B , 2, FALSE)
)
+
IF(J186=""Ranged"&amp;""", 1 , 0)"),3.333333333333333)</f>
        <v>3.333333333</v>
      </c>
      <c r="M186" s="114" t="s">
        <v>1089</v>
      </c>
      <c r="N186" s="130">
        <f>IFERROR(__xludf.DUMMYFUNCTION("IF(ISBLANK(M186), , 
SWITCH(
LEN(M186)- LEN(SUBSTITUTE(M186,"","","""")), 
0 , VLOOKUP(M186, vote4TRAITS!A:C , 3, FALSE),
1 , VLOOKUP(index(split(M186 ,"", "", FALSE),1,1), vote4TRAITS!A:C , 3, FALSE) + VLOOKUP(index(split(M186 ,"", "", FALSE),1,2), vote4"&amp;"TRAITS!A:C , 3, FALSE),
2 , VLOOKUP(index(split(M186 ,"", "", FALSE),1,1), vote4TRAITS!A:C , 3, FALSE) + VLOOKUP(index(split(M186 ,"", "", FALSE),1,2), vote4TRAITS!A:C , 3, FALSE) + VLOOKUP(index(split(M186 ,"", "", FALSE),1,3), vote4TRAITS!A:C , 3, FALSE"&amp;")
)
)"),6.666666666666667)</f>
        <v>6.666666667</v>
      </c>
      <c r="O186" s="490"/>
      <c r="P186" s="165" t="str">
        <f>IFERROR(__xludf.DUMMYFUNCTION("IF(ISBLANK(O186), , 
SWITCH(
LEN(O186)- LEN(SUBSTITUTE(O186,"","","""")), 
0 , VLOOKUP(O186, vote4ACTIONS!A:C , 3, FALSE),
1 , VLOOKUP(index(split(O186 ,"", "", FALSE),1,1), vote4ACTIONS!A:C , 3, FALSE) + VLOOKUP(index(split(O186 ,"", "", FALSE),1,2), vot"&amp;"e4ACTIONS!A:C , 3, FALSE),
2 , VLOOKUP(index(split(O186 ,"", "", FALSE),1,1), vote4ACTIONS!A:C , 3, FALSE) + VLOOKUP(index(split(O186 ,"", "", FALSE),1,2), vote4ACTIONS!A:C , 3, FALSE) + VLOOKUP(index(split(O186 ,"", "", FALSE),1,3), vote4ACTIONS!A:C , 3,"&amp;" FALSE),
3 , VLOOKUP(index(split(O186 ,"", "", FALSE),1,1), vote4ACTIONS!A:C , 3, FALSE) + VLOOKUP(index(split(O186 ,"", "", FALSE),1,2), vote4ACTIONS!A:C , 3, FALSE) + VLOOKUP(index(split(O186 ,"", "", FALSE),1,3), vote4ACTIONS!A:C , 3, FALSE) + VLOOKUP("&amp;"index(split(O186 ,"", "", FALSE),1,4), vote4ACTIONS!A:C , 3, FALSE)
)
)"),"")</f>
        <v/>
      </c>
      <c r="Q186" s="340" t="s">
        <v>1562</v>
      </c>
      <c r="R186" s="342">
        <f>IF(ISBLANK(Q186),,IFERROR(
IF(IFERROR(SEARCH("SS:",Q186),0) &gt; 0, 
VLOOKUP(SUBSTITUTE(Q186,"SS: ",""),vote4SURGE!$A:$C , 3, FALSE) - 2,
VLOOKUP(SUBSTITUTE(Q186,"S: ",""),vote4SURGE!$A:$C , 3, FALSE)
)
,
IF(IFERROR(SEARCH("SS:",Q186),0) &gt; 0, 
VLOOKUP(A186,vote4SURGE!$A:$C , 3, FALSE) - 2,
VLOOKUP(A186,vote4SURGE!$A:$C , 3, FALSE)
)
))</f>
        <v>3.5</v>
      </c>
      <c r="S186" s="341"/>
      <c r="T186" s="342" t="str">
        <f>IF(ISBLANK(S186),,IFERROR(
IF(IFERROR(SEARCH("SS:",S186),0) &gt; 0, 
VLOOKUP(SUBSTITUTE(S186,"SS: ",""),vote4SURGE!$A:$C , 3, FALSE) - 2,
VLOOKUP(SUBSTITUTE(S186,"S: ",""),vote4SURGE!$A:$C , 3, FALSE)
)
,
IF(IFERROR(SEARCH("SS:",S186),0) &gt; 0, 
VLOOKUP(A186,vote4SURGE!$A:$C , 3, FALSE) - 2,
VLOOKUP(A186,vote4SURGE!$A:$C , 3, FALSE)
)
))</f>
        <v/>
      </c>
      <c r="U186" s="341"/>
      <c r="V186" s="343" t="str">
        <f>IF(ISBLANK(U186),,IFERROR(
IF(IFERROR(SEARCH("SS:",U186),0) &gt; 0, 
VLOOKUP(SUBSTITUTE(U186,"SS: ",""),vote4SURGE!$A:$C , 3, FALSE) - 2,
VLOOKUP(SUBSTITUTE(U186,"S: ",""),vote4SURGE!$A:$C , 3, FALSE)
)
,
IF(IFERROR(SEARCH("SS:",U186),0) &gt; 0, 
VLOOKUP(A186,vote4SURGE!$A:$C , 3, FALSE) - 2,
VLOOKUP(A186,vote4SURGE!$A:$C , 3, FALSE)
)
))</f>
        <v/>
      </c>
      <c r="W186" s="343">
        <f t="shared" si="1"/>
        <v>1</v>
      </c>
      <c r="X186" s="344">
        <f>IFERROR(__xludf.DUMMYFUNCTION("SWITCH(
LEN(K186) - LEN(SUBSTITUTE(K186,"","","""")),
0 , VLOOKUP(K186, Variables!$A:$C, 3, FALSE),
1 , VLOOKUP(index(split(K186 ,"", "", FALSE),1,1), Variables!$A:$C, 3, FALSE) + VLOOKUP(index(split(K186 ,"", "", FALSE),1,2), Variables!$A:$C, 3, FALSE),
"&amp;"2 , VLOOKUP(index(split(K186 ,"", "", FALSE),1,1), Variables!$A:$C, 3, FALSE) + VLOOKUP(index(split(K186 ,"", "", FALSE),1,2), Variables!$A:$C, 3, FALSE) + VLOOKUP(index(split(K186 ,"", "", FALSE),1,3), Variables!$A:$C, 3, FALSE)
)"),0.5)</f>
        <v>0.5</v>
      </c>
      <c r="Y186" s="342">
        <f t="shared" si="2"/>
        <v>1.75</v>
      </c>
      <c r="Z186" s="114"/>
      <c r="AA186" s="114"/>
      <c r="AB186" s="114"/>
      <c r="AC186" s="114"/>
      <c r="AD186" s="114" t="s">
        <v>2572</v>
      </c>
      <c r="AE186" s="114"/>
      <c r="AF186" s="114"/>
      <c r="AG186" s="114"/>
      <c r="AH186" s="114"/>
      <c r="AI186" s="114" t="s">
        <v>2572</v>
      </c>
      <c r="AJ186" s="114" t="s">
        <v>2573</v>
      </c>
      <c r="AK186" s="473">
        <v>8.0</v>
      </c>
      <c r="AL186" s="114" t="s">
        <v>2574</v>
      </c>
      <c r="AM186" s="473">
        <v>13.0</v>
      </c>
      <c r="AN186" s="114" t="s">
        <v>369</v>
      </c>
      <c r="AO186" s="473">
        <v>18.0</v>
      </c>
      <c r="AP186" s="130">
        <f>SUM(
VLOOKUP("Ravage",vote4TRAITS!A:C,3,FALSE)
)</f>
        <v>7.333333333</v>
      </c>
      <c r="AQ186" s="130">
        <f t="shared" si="3"/>
        <v>16.57</v>
      </c>
    </row>
    <row r="187" ht="14.25" customHeight="1">
      <c r="A187" s="137" t="s">
        <v>1435</v>
      </c>
      <c r="B187" s="114" t="s">
        <v>2570</v>
      </c>
      <c r="C187" s="114">
        <v>53.0</v>
      </c>
      <c r="D187" s="114">
        <v>2.0</v>
      </c>
      <c r="E187" s="114">
        <v>1.0</v>
      </c>
      <c r="F187" s="487">
        <v>4.0</v>
      </c>
      <c r="G187" s="488">
        <v>8.0</v>
      </c>
      <c r="H187" s="114" t="s">
        <v>1621</v>
      </c>
      <c r="I187" s="130">
        <f>IFERROR(__xludf.DUMMYFUNCTION("SWITCH(
LEN(H187) - LEN(SUBSTITUTE(H187,"","","""")),
0 , VLOOKUP(H187, Variables!$A:$B, 2, FALSE),
1 , VLOOKUP(index(split(H187 ,"", "", FALSE),1,1), Variables!$A:$B , 2, FALSE) + VLOOKUP(index(split(H187 ,"", "", FALSE),1,2), Variables!$A:$B , 2, FALSE)"&amp;",
2 , VLOOKUP(index(split(H187 ,"", "", FALSE),1,1), Variables!$A:$B , 2, FALSE) + VLOOKUP(index(split(H187 ,"", "", FALSE),1,2), Variables!$A:$B , 2, FALSE) + VLOOKUP(index(split(H187 ,"", "", FALSE),1,3), Variables!$A:$B , 2, FALSE)
)"),0.6666666666666666)</f>
        <v>0.6666666667</v>
      </c>
      <c r="J187" s="114" t="s">
        <v>1567</v>
      </c>
      <c r="K187" s="114" t="s">
        <v>1548</v>
      </c>
      <c r="L187" s="130">
        <f>IFERROR(__xludf.DUMMYFUNCTION("SWITCH(
LEN(K187) - LEN(SUBSTITUTE(K187,"","","""")),
0 , VLOOKUP(K187, Variables!$A:$B, 2, FALSE),
1 , VLOOKUP(index(split(K187 ,"", "", FALSE),1,1), Variables!$A:$B , 2, FALSE) + VLOOKUP(index(split(K187 ,"", "", FALSE),1,2), Variables!$A:$B , 2, FALSE)"&amp;",
2 , VLOOKUP(index(split(K187 ,"", "", FALSE),1,1), Variables!$A:$B , 2, FALSE) + VLOOKUP(index(split(K187 ,"", "", FALSE),1,2), Variables!$A:$B , 2, FALSE) + VLOOKUP(index(split(K187 ,"", "", FALSE),1,3), Variables!$A:$B , 2, FALSE)
)
+
IF(J187=""Ranged"&amp;""", 1 , 0)"),3.3333333333333335)</f>
        <v>3.333333333</v>
      </c>
      <c r="M187" s="114" t="s">
        <v>2640</v>
      </c>
      <c r="N187" s="130">
        <f>IFERROR(__xludf.DUMMYFUNCTION("IF(ISBLANK(M187), , 
SWITCH(
LEN(M187)- LEN(SUBSTITUTE(M187,"","","""")), 
0 , VLOOKUP(M187, vote4TRAITS!A:C , 3, FALSE),
1 , VLOOKUP(index(split(M187 ,"", "", FALSE),1,1), vote4TRAITS!A:C , 3, FALSE) + VLOOKUP(index(split(M187 ,"", "", FALSE),1,2), vote4"&amp;"TRAITS!A:C , 3, FALSE),
2 , VLOOKUP(index(split(M187 ,"", "", FALSE),1,1), vote4TRAITS!A:C , 3, FALSE) + VLOOKUP(index(split(M187 ,"", "", FALSE),1,2), vote4TRAITS!A:C , 3, FALSE) + VLOOKUP(index(split(M187 ,"", "", FALSE),1,3), vote4TRAITS!A:C , 3, FALSE"&amp;")
)
)"),11.25)</f>
        <v>11.25</v>
      </c>
      <c r="O187" s="490"/>
      <c r="P187" s="165" t="str">
        <f>IFERROR(__xludf.DUMMYFUNCTION("IF(ISBLANK(O187), , 
SWITCH(
LEN(O187)- LEN(SUBSTITUTE(O187,"","","""")), 
0 , VLOOKUP(O187, vote4ACTIONS!A:C , 3, FALSE),
1 , VLOOKUP(index(split(O187 ,"", "", FALSE),1,1), vote4ACTIONS!A:C , 3, FALSE) + VLOOKUP(index(split(O187 ,"", "", FALSE),1,2), vot"&amp;"e4ACTIONS!A:C , 3, FALSE),
2 , VLOOKUP(index(split(O187 ,"", "", FALSE),1,1), vote4ACTIONS!A:C , 3, FALSE) + VLOOKUP(index(split(O187 ,"", "", FALSE),1,2), vote4ACTIONS!A:C , 3, FALSE) + VLOOKUP(index(split(O187 ,"", "", FALSE),1,3), vote4ACTIONS!A:C , 3,"&amp;" FALSE),
3 , VLOOKUP(index(split(O187 ,"", "", FALSE),1,1), vote4ACTIONS!A:C , 3, FALSE) + VLOOKUP(index(split(O187 ,"", "", FALSE),1,2), vote4ACTIONS!A:C , 3, FALSE) + VLOOKUP(index(split(O187 ,"", "", FALSE),1,3), vote4ACTIONS!A:C , 3, FALSE) + VLOOKUP("&amp;"index(split(O187 ,"", "", FALSE),1,4), vote4ACTIONS!A:C , 3, FALSE)
)
)"),"")</f>
        <v/>
      </c>
      <c r="Q187" s="340" t="s">
        <v>1534</v>
      </c>
      <c r="R187" s="342">
        <f>IF(ISBLANK(Q187),,IFERROR(
IF(IFERROR(SEARCH("SS:",Q187),0) &gt; 0, 
VLOOKUP(SUBSTITUTE(Q187,"SS: ",""),vote4SURGE!$A:$C , 3, FALSE) - 2,
VLOOKUP(SUBSTITUTE(Q187,"S: ",""),vote4SURGE!$A:$C , 3, FALSE)
)
,
IF(IFERROR(SEARCH("SS:",Q187),0) &gt; 0, 
VLOOKUP(A187,vote4SURGE!$A:$C , 3, FALSE) - 2,
VLOOKUP(A187,vote4SURGE!$A:$C , 3, FALSE)
)
))</f>
        <v>4.25</v>
      </c>
      <c r="S187" s="489" t="s">
        <v>1555</v>
      </c>
      <c r="T187" s="342">
        <f>IF(ISBLANK(S187),,IFERROR(
IF(IFERROR(SEARCH("SS:",S187),0) &gt; 0, 
VLOOKUP(SUBSTITUTE(S187,"SS: ",""),vote4SURGE!$A:$C , 3, FALSE) - 2,
VLOOKUP(SUBSTITUTE(S187,"S: ",""),vote4SURGE!$A:$C , 3, FALSE)
)
,
IF(IFERROR(SEARCH("SS:",S187),0) &gt; 0, 
VLOOKUP(A187,vote4SURGE!$A:$C , 3, FALSE) - 2,
VLOOKUP(A187,vote4SURGE!$A:$C , 3, FALSE)
)
))</f>
        <v>3.25</v>
      </c>
      <c r="U187" s="341"/>
      <c r="V187" s="343" t="str">
        <f>IF(ISBLANK(U187),,IFERROR(
IF(IFERROR(SEARCH("SS:",U187),0) &gt; 0, 
VLOOKUP(SUBSTITUTE(U187,"SS: ",""),vote4SURGE!$A:$C , 3, FALSE) - 2,
VLOOKUP(SUBSTITUTE(U187,"S: ",""),vote4SURGE!$A:$C , 3, FALSE)
)
,
IF(IFERROR(SEARCH("SS:",U187),0) &gt; 0, 
VLOOKUP(A187,vote4SURGE!$A:$C , 3, FALSE) - 2,
VLOOKUP(A187,vote4SURGE!$A:$C , 3, FALSE)
)
))</f>
        <v/>
      </c>
      <c r="W187" s="343">
        <f t="shared" si="1"/>
        <v>2</v>
      </c>
      <c r="X187" s="344">
        <f>IFERROR(__xludf.DUMMYFUNCTION("SWITCH(
LEN(K187) - LEN(SUBSTITUTE(K187,"","","""")),
0 , VLOOKUP(K187, Variables!$A:$C, 3, FALSE),
1 , VLOOKUP(index(split(K187 ,"", "", FALSE),1,1), Variables!$A:$C, 3, FALSE) + VLOOKUP(index(split(K187 ,"", "", FALSE),1,2), Variables!$A:$C, 3, FALSE),
"&amp;"2 , VLOOKUP(index(split(K187 ,"", "", FALSE),1,1), Variables!$A:$C, 3, FALSE) + VLOOKUP(index(split(K187 ,"", "", FALSE),1,2), Variables!$A:$C, 3, FALSE) + VLOOKUP(index(split(K187 ,"", "", FALSE),1,3), Variables!$A:$C, 3, FALSE)
)"),0.8333333333333333)</f>
        <v>0.8333333333</v>
      </c>
      <c r="Y187" s="342">
        <f t="shared" si="2"/>
        <v>5.604166667</v>
      </c>
      <c r="Z187" s="114"/>
      <c r="AA187" s="114"/>
      <c r="AB187" s="114" t="s">
        <v>2572</v>
      </c>
      <c r="AC187" s="114"/>
      <c r="AD187" s="114" t="s">
        <v>2572</v>
      </c>
      <c r="AE187" s="114"/>
      <c r="AF187" s="114"/>
      <c r="AG187" s="114"/>
      <c r="AH187" s="114"/>
      <c r="AI187" s="114"/>
      <c r="AJ187" s="114" t="s">
        <v>2574</v>
      </c>
      <c r="AK187" s="473">
        <v>16.0</v>
      </c>
      <c r="AL187" s="114" t="s">
        <v>2574</v>
      </c>
      <c r="AM187" s="473">
        <v>20.0</v>
      </c>
      <c r="AN187" s="114" t="s">
        <v>2574</v>
      </c>
      <c r="AO187" s="473">
        <v>24.0</v>
      </c>
      <c r="AP187" s="130">
        <f>SUM(
VLOOKUP("Ravage",vote4TRAITS!A:C,3,FALSE)
)</f>
        <v>7.333333333</v>
      </c>
      <c r="AQ187" s="130">
        <f t="shared" si="3"/>
        <v>19.5075</v>
      </c>
    </row>
    <row r="188" ht="14.25" customHeight="1">
      <c r="A188" s="137" t="s">
        <v>1435</v>
      </c>
      <c r="B188" s="114" t="s">
        <v>2570</v>
      </c>
      <c r="C188" s="114">
        <v>53.0</v>
      </c>
      <c r="D188" s="114">
        <v>1.0</v>
      </c>
      <c r="E188" s="114">
        <v>1.0</v>
      </c>
      <c r="F188" s="487">
        <v>4.0</v>
      </c>
      <c r="G188" s="488">
        <v>6.0</v>
      </c>
      <c r="H188" s="114" t="s">
        <v>1621</v>
      </c>
      <c r="I188" s="130">
        <f>IFERROR(__xludf.DUMMYFUNCTION("SWITCH(
LEN(H188) - LEN(SUBSTITUTE(H188,"","","""")),
0 , VLOOKUP(H188, Variables!$A:$B, 2, FALSE),
1 , VLOOKUP(index(split(H188 ,"", "", FALSE),1,1), Variables!$A:$B , 2, FALSE) + VLOOKUP(index(split(H188 ,"", "", FALSE),1,2), Variables!$A:$B , 2, FALSE)"&amp;",
2 , VLOOKUP(index(split(H188 ,"", "", FALSE),1,1), Variables!$A:$B , 2, FALSE) + VLOOKUP(index(split(H188 ,"", "", FALSE),1,2), Variables!$A:$B , 2, FALSE) + VLOOKUP(index(split(H188 ,"", "", FALSE),1,3), Variables!$A:$B , 2, FALSE)
)"),0.6666666666666666)</f>
        <v>0.6666666667</v>
      </c>
      <c r="J188" s="114" t="s">
        <v>1567</v>
      </c>
      <c r="K188" s="114" t="s">
        <v>1548</v>
      </c>
      <c r="L188" s="130">
        <f>IFERROR(__xludf.DUMMYFUNCTION("SWITCH(
LEN(K188) - LEN(SUBSTITUTE(K188,"","","""")),
0 , VLOOKUP(K188, Variables!$A:$B, 2, FALSE),
1 , VLOOKUP(index(split(K188 ,"", "", FALSE),1,1), Variables!$A:$B , 2, FALSE) + VLOOKUP(index(split(K188 ,"", "", FALSE),1,2), Variables!$A:$B , 2, FALSE)"&amp;",
2 , VLOOKUP(index(split(K188 ,"", "", FALSE),1,1), Variables!$A:$B , 2, FALSE) + VLOOKUP(index(split(K188 ,"", "", FALSE),1,2), Variables!$A:$B , 2, FALSE) + VLOOKUP(index(split(K188 ,"", "", FALSE),1,3), Variables!$A:$B , 2, FALSE)
)
+
IF(J188=""Ranged"&amp;""", 1 , 0)"),3.3333333333333335)</f>
        <v>3.333333333</v>
      </c>
      <c r="M188" s="114" t="s">
        <v>2641</v>
      </c>
      <c r="N188" s="130">
        <f>IFERROR(__xludf.DUMMYFUNCTION("IF(ISBLANK(M188), , 
SWITCH(
LEN(M188)- LEN(SUBSTITUTE(M188,"","","""")), 
0 , VLOOKUP(M188, vote4TRAITS!A:C , 3, FALSE),
1 , VLOOKUP(index(split(M188 ,"", "", FALSE),1,1), vote4TRAITS!A:C , 3, FALSE) + VLOOKUP(index(split(M188 ,"", "", FALSE),1,2), vote4"&amp;"TRAITS!A:C , 3, FALSE),
2 , VLOOKUP(index(split(M188 ,"", "", FALSE),1,1), vote4TRAITS!A:C , 3, FALSE) + VLOOKUP(index(split(M188 ,"", "", FALSE),1,2), vote4TRAITS!A:C , 3, FALSE) + VLOOKUP(index(split(M188 ,"", "", FALSE),1,3), vote4TRAITS!A:C , 3, FALSE"&amp;")
)
)"),10.5)</f>
        <v>10.5</v>
      </c>
      <c r="O188" s="490"/>
      <c r="P188" s="165" t="str">
        <f>IFERROR(__xludf.DUMMYFUNCTION("IF(ISBLANK(O188), , 
SWITCH(
LEN(O188)- LEN(SUBSTITUTE(O188,"","","""")), 
0 , VLOOKUP(O188, vote4ACTIONS!A:C , 3, FALSE),
1 , VLOOKUP(index(split(O188 ,"", "", FALSE),1,1), vote4ACTIONS!A:C , 3, FALSE) + VLOOKUP(index(split(O188 ,"", "", FALSE),1,2), vot"&amp;"e4ACTIONS!A:C , 3, FALSE),
2 , VLOOKUP(index(split(O188 ,"", "", FALSE),1,1), vote4ACTIONS!A:C , 3, FALSE) + VLOOKUP(index(split(O188 ,"", "", FALSE),1,2), vote4ACTIONS!A:C , 3, FALSE) + VLOOKUP(index(split(O188 ,"", "", FALSE),1,3), vote4ACTIONS!A:C , 3,"&amp;" FALSE),
3 , VLOOKUP(index(split(O188 ,"", "", FALSE),1,1), vote4ACTIONS!A:C , 3, FALSE) + VLOOKUP(index(split(O188 ,"", "", FALSE),1,2), vote4ACTIONS!A:C , 3, FALSE) + VLOOKUP(index(split(O188 ,"", "", FALSE),1,3), vote4ACTIONS!A:C , 3, FALSE) + VLOOKUP("&amp;"index(split(O188 ,"", "", FALSE),1,4), vote4ACTIONS!A:C , 3, FALSE)
)
)"),"")</f>
        <v/>
      </c>
      <c r="Q188" s="340" t="s">
        <v>1562</v>
      </c>
      <c r="R188" s="342">
        <f>IF(ISBLANK(Q188),,IFERROR(
IF(IFERROR(SEARCH("SS:",Q188),0) &gt; 0, 
VLOOKUP(SUBSTITUTE(Q188,"SS: ",""),vote4SURGE!$A:$C , 3, FALSE) - 2,
VLOOKUP(SUBSTITUTE(Q188,"S: ",""),vote4SURGE!$A:$C , 3, FALSE)
)
,
IF(IFERROR(SEARCH("SS:",Q188),0) &gt; 0, 
VLOOKUP(A188,vote4SURGE!$A:$C , 3, FALSE) - 2,
VLOOKUP(A188,vote4SURGE!$A:$C , 3, FALSE)
)
))</f>
        <v>3.5</v>
      </c>
      <c r="S188" s="489" t="s">
        <v>1579</v>
      </c>
      <c r="T188" s="342">
        <f>IF(ISBLANK(S188),,IFERROR(
IF(IFERROR(SEARCH("SS:",S188),0) &gt; 0, 
VLOOKUP(SUBSTITUTE(S188,"SS: ",""),vote4SURGE!$A:$C , 3, FALSE) - 2,
VLOOKUP(SUBSTITUTE(S188,"S: ",""),vote4SURGE!$A:$C , 3, FALSE)
)
,
IF(IFERROR(SEARCH("SS:",S188),0) &gt; 0, 
VLOOKUP(A188,vote4SURGE!$A:$C , 3, FALSE) - 2,
VLOOKUP(A188,vote4SURGE!$A:$C , 3, FALSE)
)
))</f>
        <v>2.5</v>
      </c>
      <c r="U188" s="341"/>
      <c r="V188" s="343" t="str">
        <f>IF(ISBLANK(U188),,IFERROR(
IF(IFERROR(SEARCH("SS:",U188),0) &gt; 0, 
VLOOKUP(SUBSTITUTE(U188,"SS: ",""),vote4SURGE!$A:$C , 3, FALSE) - 2,
VLOOKUP(SUBSTITUTE(U188,"S: ",""),vote4SURGE!$A:$C , 3, FALSE)
)
,
IF(IFERROR(SEARCH("SS:",U188),0) &gt; 0, 
VLOOKUP(A188,vote4SURGE!$A:$C , 3, FALSE) - 2,
VLOOKUP(A188,vote4SURGE!$A:$C , 3, FALSE)
)
))</f>
        <v/>
      </c>
      <c r="W188" s="343">
        <f t="shared" si="1"/>
        <v>2</v>
      </c>
      <c r="X188" s="344">
        <f>IFERROR(__xludf.DUMMYFUNCTION("SWITCH(
LEN(K188) - LEN(SUBSTITUTE(K188,"","","""")),
0 , VLOOKUP(K188, Variables!$A:$C, 3, FALSE),
1 , VLOOKUP(index(split(K188 ,"", "", FALSE),1,1), Variables!$A:$C, 3, FALSE) + VLOOKUP(index(split(K188 ,"", "", FALSE),1,2), Variables!$A:$C, 3, FALSE),
"&amp;"2 , VLOOKUP(index(split(K188 ,"", "", FALSE),1,1), Variables!$A:$C, 3, FALSE) + VLOOKUP(index(split(K188 ,"", "", FALSE),1,2), Variables!$A:$C, 3, FALSE) + VLOOKUP(index(split(K188 ,"", "", FALSE),1,3), Variables!$A:$C, 3, FALSE)
)"),0.8333333333333333)</f>
        <v>0.8333333333</v>
      </c>
      <c r="Y188" s="342">
        <f t="shared" si="2"/>
        <v>4.541666667</v>
      </c>
      <c r="Z188" s="114"/>
      <c r="AA188" s="114"/>
      <c r="AB188" s="114" t="s">
        <v>2572</v>
      </c>
      <c r="AC188" s="114"/>
      <c r="AD188" s="114" t="s">
        <v>2572</v>
      </c>
      <c r="AE188" s="114"/>
      <c r="AF188" s="114"/>
      <c r="AG188" s="114"/>
      <c r="AH188" s="114"/>
      <c r="AI188" s="114"/>
      <c r="AJ188" s="114" t="s">
        <v>2574</v>
      </c>
      <c r="AK188" s="473">
        <v>12.0</v>
      </c>
      <c r="AL188" s="114" t="s">
        <v>2574</v>
      </c>
      <c r="AM188" s="473">
        <v>15.0</v>
      </c>
      <c r="AN188" s="114" t="s">
        <v>2574</v>
      </c>
      <c r="AO188" s="473">
        <v>18.0</v>
      </c>
      <c r="AP188" s="130">
        <f>SUM(
VLOOKUP("Ravage",vote4TRAITS!A:C,3,FALSE)
)</f>
        <v>7.333333333</v>
      </c>
      <c r="AQ188" s="130">
        <f t="shared" si="3"/>
        <v>16.36166667</v>
      </c>
    </row>
    <row r="189" ht="14.25" customHeight="1">
      <c r="A189" s="137" t="s">
        <v>1435</v>
      </c>
      <c r="B189" s="114" t="s">
        <v>2576</v>
      </c>
      <c r="C189" s="114">
        <v>53.0</v>
      </c>
      <c r="D189" s="114">
        <v>2.0</v>
      </c>
      <c r="E189" s="114">
        <v>1.0</v>
      </c>
      <c r="F189" s="487">
        <v>4.0</v>
      </c>
      <c r="G189" s="488">
        <v>4.0</v>
      </c>
      <c r="H189" s="114" t="s">
        <v>1621</v>
      </c>
      <c r="I189" s="130">
        <f>IFERROR(__xludf.DUMMYFUNCTION("SWITCH(
LEN(H189) - LEN(SUBSTITUTE(H189,"","","""")),
0 , VLOOKUP(H189, Variables!$A:$B, 2, FALSE),
1 , VLOOKUP(index(split(H189 ,"", "", FALSE),1,1), Variables!$A:$B , 2, FALSE) + VLOOKUP(index(split(H189 ,"", "", FALSE),1,2), Variables!$A:$B , 2, FALSE)"&amp;",
2 , VLOOKUP(index(split(H189 ,"", "", FALSE),1,1), Variables!$A:$B , 2, FALSE) + VLOOKUP(index(split(H189 ,"", "", FALSE),1,2), Variables!$A:$B , 2, FALSE) + VLOOKUP(index(split(H189 ,"", "", FALSE),1,3), Variables!$A:$B , 2, FALSE)
)"),0.6666666666666666)</f>
        <v>0.6666666667</v>
      </c>
      <c r="J189" s="114" t="s">
        <v>1567</v>
      </c>
      <c r="K189" s="114" t="s">
        <v>1548</v>
      </c>
      <c r="L189" s="130">
        <f>IFERROR(__xludf.DUMMYFUNCTION("SWITCH(
LEN(K189) - LEN(SUBSTITUTE(K189,"","","""")),
0 , VLOOKUP(K189, Variables!$A:$B, 2, FALSE),
1 , VLOOKUP(index(split(K189 ,"", "", FALSE),1,1), Variables!$A:$B , 2, FALSE) + VLOOKUP(index(split(K189 ,"", "", FALSE),1,2), Variables!$A:$B , 2, FALSE)"&amp;",
2 , VLOOKUP(index(split(K189 ,"", "", FALSE),1,1), Variables!$A:$B , 2, FALSE) + VLOOKUP(index(split(K189 ,"", "", FALSE),1,2), Variables!$A:$B , 2, FALSE) + VLOOKUP(index(split(K189 ,"", "", FALSE),1,3), Variables!$A:$B , 2, FALSE)
)
+
IF(J189=""Ranged"&amp;""", 1 , 0)"),3.3333333333333335)</f>
        <v>3.333333333</v>
      </c>
      <c r="M189" s="114" t="s">
        <v>2640</v>
      </c>
      <c r="N189" s="130">
        <f>IFERROR(__xludf.DUMMYFUNCTION("IF(ISBLANK(M189), , 
SWITCH(
LEN(M189)- LEN(SUBSTITUTE(M189,"","","""")), 
0 , VLOOKUP(M189, vote4TRAITS!A:C , 3, FALSE),
1 , VLOOKUP(index(split(M189 ,"", "", FALSE),1,1), vote4TRAITS!A:C , 3, FALSE) + VLOOKUP(index(split(M189 ,"", "", FALSE),1,2), vote4"&amp;"TRAITS!A:C , 3, FALSE),
2 , VLOOKUP(index(split(M189 ,"", "", FALSE),1,1), vote4TRAITS!A:C , 3, FALSE) + VLOOKUP(index(split(M189 ,"", "", FALSE),1,2), vote4TRAITS!A:C , 3, FALSE) + VLOOKUP(index(split(M189 ,"", "", FALSE),1,3), vote4TRAITS!A:C , 3, FALSE"&amp;")
)
)"),11.25)</f>
        <v>11.25</v>
      </c>
      <c r="O189" s="490"/>
      <c r="P189" s="165" t="str">
        <f>IFERROR(__xludf.DUMMYFUNCTION("IF(ISBLANK(O189), , 
SWITCH(
LEN(O189)- LEN(SUBSTITUTE(O189,"","","""")), 
0 , VLOOKUP(O189, vote4ACTIONS!A:C , 3, FALSE),
1 , VLOOKUP(index(split(O189 ,"", "", FALSE),1,1), vote4ACTIONS!A:C , 3, FALSE) + VLOOKUP(index(split(O189 ,"", "", FALSE),1,2), vot"&amp;"e4ACTIONS!A:C , 3, FALSE),
2 , VLOOKUP(index(split(O189 ,"", "", FALSE),1,1), vote4ACTIONS!A:C , 3, FALSE) + VLOOKUP(index(split(O189 ,"", "", FALSE),1,2), vote4ACTIONS!A:C , 3, FALSE) + VLOOKUP(index(split(O189 ,"", "", FALSE),1,3), vote4ACTIONS!A:C , 3,"&amp;" FALSE),
3 , VLOOKUP(index(split(O189 ,"", "", FALSE),1,1), vote4ACTIONS!A:C , 3, FALSE) + VLOOKUP(index(split(O189 ,"", "", FALSE),1,2), vote4ACTIONS!A:C , 3, FALSE) + VLOOKUP(index(split(O189 ,"", "", FALSE),1,3), vote4ACTIONS!A:C , 3, FALSE) + VLOOKUP("&amp;"index(split(O189 ,"", "", FALSE),1,4), vote4ACTIONS!A:C , 3, FALSE)
)
)"),"")</f>
        <v/>
      </c>
      <c r="Q189" s="340" t="s">
        <v>1562</v>
      </c>
      <c r="R189" s="342">
        <f>IF(ISBLANK(Q189),,IFERROR(
IF(IFERROR(SEARCH("SS:",Q189),0) &gt; 0, 
VLOOKUP(SUBSTITUTE(Q189,"SS: ",""),vote4SURGE!$A:$C , 3, FALSE) - 2,
VLOOKUP(SUBSTITUTE(Q189,"S: ",""),vote4SURGE!$A:$C , 3, FALSE)
)
,
IF(IFERROR(SEARCH("SS:",Q189),0) &gt; 0, 
VLOOKUP(A189,vote4SURGE!$A:$C , 3, FALSE) - 2,
VLOOKUP(A189,vote4SURGE!$A:$C , 3, FALSE)
)
))</f>
        <v>3.5</v>
      </c>
      <c r="S189" s="489" t="s">
        <v>1555</v>
      </c>
      <c r="T189" s="342">
        <f>IF(ISBLANK(S189),,IFERROR(
IF(IFERROR(SEARCH("SS:",S189),0) &gt; 0, 
VLOOKUP(SUBSTITUTE(S189,"SS: ",""),vote4SURGE!$A:$C , 3, FALSE) - 2,
VLOOKUP(SUBSTITUTE(S189,"S: ",""),vote4SURGE!$A:$C , 3, FALSE)
)
,
IF(IFERROR(SEARCH("SS:",S189),0) &gt; 0, 
VLOOKUP(A189,vote4SURGE!$A:$C , 3, FALSE) - 2,
VLOOKUP(A189,vote4SURGE!$A:$C , 3, FALSE)
)
))</f>
        <v>3.25</v>
      </c>
      <c r="U189" s="341"/>
      <c r="V189" s="343" t="str">
        <f>IF(ISBLANK(U189),,IFERROR(
IF(IFERROR(SEARCH("SS:",U189),0) &gt; 0, 
VLOOKUP(SUBSTITUTE(U189,"SS: ",""),vote4SURGE!$A:$C , 3, FALSE) - 2,
VLOOKUP(SUBSTITUTE(U189,"S: ",""),vote4SURGE!$A:$C , 3, FALSE)
)
,
IF(IFERROR(SEARCH("SS:",U189),0) &gt; 0, 
VLOOKUP(A189,vote4SURGE!$A:$C , 3, FALSE) - 2,
VLOOKUP(A189,vote4SURGE!$A:$C , 3, FALSE)
)
))</f>
        <v/>
      </c>
      <c r="W189" s="343">
        <f t="shared" si="1"/>
        <v>2</v>
      </c>
      <c r="X189" s="344">
        <f>IFERROR(__xludf.DUMMYFUNCTION("SWITCH(
LEN(K189) - LEN(SUBSTITUTE(K189,"","","""")),
0 , VLOOKUP(K189, Variables!$A:$C, 3, FALSE),
1 , VLOOKUP(index(split(K189 ,"", "", FALSE),1,1), Variables!$A:$C, 3, FALSE) + VLOOKUP(index(split(K189 ,"", "", FALSE),1,2), Variables!$A:$C, 3, FALSE),
"&amp;"2 , VLOOKUP(index(split(K189 ,"", "", FALSE),1,1), Variables!$A:$C, 3, FALSE) + VLOOKUP(index(split(K189 ,"", "", FALSE),1,2), Variables!$A:$C, 3, FALSE) + VLOOKUP(index(split(K189 ,"", "", FALSE),1,3), Variables!$A:$C, 3, FALSE)
)"),0.8333333333333333)</f>
        <v>0.8333333333</v>
      </c>
      <c r="Y189" s="342">
        <f t="shared" si="2"/>
        <v>4.854166667</v>
      </c>
      <c r="Z189" s="114"/>
      <c r="AA189" s="114"/>
      <c r="AB189" s="114" t="s">
        <v>2572</v>
      </c>
      <c r="AC189" s="114"/>
      <c r="AD189" s="114" t="s">
        <v>2572</v>
      </c>
      <c r="AE189" s="114"/>
      <c r="AF189" s="114"/>
      <c r="AG189" s="114"/>
      <c r="AH189" s="114"/>
      <c r="AI189" s="114"/>
      <c r="AJ189" s="114" t="s">
        <v>369</v>
      </c>
      <c r="AK189" s="473">
        <v>16.0</v>
      </c>
      <c r="AL189" s="114" t="s">
        <v>368</v>
      </c>
      <c r="AM189" s="473">
        <v>20.0</v>
      </c>
      <c r="AN189" s="114" t="s">
        <v>2580</v>
      </c>
      <c r="AO189" s="473">
        <v>24.0</v>
      </c>
      <c r="AP189" s="130">
        <f>SUM(
VLOOKUP("Ravage",vote4TRAITS!A:C,3,FALSE)
)</f>
        <v>7.333333333</v>
      </c>
      <c r="AQ189" s="130">
        <f t="shared" si="3"/>
        <v>16.09083333</v>
      </c>
    </row>
    <row r="190" ht="14.25" customHeight="1">
      <c r="A190" s="137" t="s">
        <v>1435</v>
      </c>
      <c r="B190" s="114" t="s">
        <v>2576</v>
      </c>
      <c r="C190" s="114">
        <v>53.0</v>
      </c>
      <c r="D190" s="114">
        <v>1.0</v>
      </c>
      <c r="E190" s="114">
        <v>1.0</v>
      </c>
      <c r="F190" s="487">
        <v>4.0</v>
      </c>
      <c r="G190" s="488">
        <v>3.0</v>
      </c>
      <c r="H190" s="114" t="s">
        <v>1621</v>
      </c>
      <c r="I190" s="130">
        <f>IFERROR(__xludf.DUMMYFUNCTION("SWITCH(
LEN(H190) - LEN(SUBSTITUTE(H190,"","","""")),
0 , VLOOKUP(H190, Variables!$A:$B, 2, FALSE),
1 , VLOOKUP(index(split(H190 ,"", "", FALSE),1,1), Variables!$A:$B , 2, FALSE) + VLOOKUP(index(split(H190 ,"", "", FALSE),1,2), Variables!$A:$B , 2, FALSE)"&amp;",
2 , VLOOKUP(index(split(H190 ,"", "", FALSE),1,1), Variables!$A:$B , 2, FALSE) + VLOOKUP(index(split(H190 ,"", "", FALSE),1,2), Variables!$A:$B , 2, FALSE) + VLOOKUP(index(split(H190 ,"", "", FALSE),1,3), Variables!$A:$B , 2, FALSE)
)"),0.6666666666666666)</f>
        <v>0.6666666667</v>
      </c>
      <c r="J190" s="114" t="s">
        <v>1567</v>
      </c>
      <c r="K190" s="114" t="s">
        <v>1548</v>
      </c>
      <c r="L190" s="130">
        <f>IFERROR(__xludf.DUMMYFUNCTION("SWITCH(
LEN(K190) - LEN(SUBSTITUTE(K190,"","","""")),
0 , VLOOKUP(K190, Variables!$A:$B, 2, FALSE),
1 , VLOOKUP(index(split(K190 ,"", "", FALSE),1,1), Variables!$A:$B , 2, FALSE) + VLOOKUP(index(split(K190 ,"", "", FALSE),1,2), Variables!$A:$B , 2, FALSE)"&amp;",
2 , VLOOKUP(index(split(K190 ,"", "", FALSE),1,1), Variables!$A:$B , 2, FALSE) + VLOOKUP(index(split(K190 ,"", "", FALSE),1,2), Variables!$A:$B , 2, FALSE) + VLOOKUP(index(split(K190 ,"", "", FALSE),1,3), Variables!$A:$B , 2, FALSE)
)
+
IF(J190=""Ranged"&amp;""", 1 , 0)"),3.3333333333333335)</f>
        <v>3.333333333</v>
      </c>
      <c r="M190" s="114" t="s">
        <v>2641</v>
      </c>
      <c r="N190" s="130">
        <f>IFERROR(__xludf.DUMMYFUNCTION("IF(ISBLANK(M190), , 
SWITCH(
LEN(M190)- LEN(SUBSTITUTE(M190,"","","""")), 
0 , VLOOKUP(M190, vote4TRAITS!A:C , 3, FALSE),
1 , VLOOKUP(index(split(M190 ,"", "", FALSE),1,1), vote4TRAITS!A:C , 3, FALSE) + VLOOKUP(index(split(M190 ,"", "", FALSE),1,2), vote4"&amp;"TRAITS!A:C , 3, FALSE),
2 , VLOOKUP(index(split(M190 ,"", "", FALSE),1,1), vote4TRAITS!A:C , 3, FALSE) + VLOOKUP(index(split(M190 ,"", "", FALSE),1,2), vote4TRAITS!A:C , 3, FALSE) + VLOOKUP(index(split(M190 ,"", "", FALSE),1,3), vote4TRAITS!A:C , 3, FALSE"&amp;")
)
)"),10.5)</f>
        <v>10.5</v>
      </c>
      <c r="O190" s="490"/>
      <c r="P190" s="165" t="str">
        <f>IFERROR(__xludf.DUMMYFUNCTION("IF(ISBLANK(O190), , 
SWITCH(
LEN(O190)- LEN(SUBSTITUTE(O190,"","","""")), 
0 , VLOOKUP(O190, vote4ACTIONS!A:C , 3, FALSE),
1 , VLOOKUP(index(split(O190 ,"", "", FALSE),1,1), vote4ACTIONS!A:C , 3, FALSE) + VLOOKUP(index(split(O190 ,"", "", FALSE),1,2), vot"&amp;"e4ACTIONS!A:C , 3, FALSE),
2 , VLOOKUP(index(split(O190 ,"", "", FALSE),1,1), vote4ACTIONS!A:C , 3, FALSE) + VLOOKUP(index(split(O190 ,"", "", FALSE),1,2), vote4ACTIONS!A:C , 3, FALSE) + VLOOKUP(index(split(O190 ,"", "", FALSE),1,3), vote4ACTIONS!A:C , 3,"&amp;" FALSE),
3 , VLOOKUP(index(split(O190 ,"", "", FALSE),1,1), vote4ACTIONS!A:C , 3, FALSE) + VLOOKUP(index(split(O190 ,"", "", FALSE),1,2), vote4ACTIONS!A:C , 3, FALSE) + VLOOKUP(index(split(O190 ,"", "", FALSE),1,3), vote4ACTIONS!A:C , 3, FALSE) + VLOOKUP("&amp;"index(split(O190 ,"", "", FALSE),1,4), vote4ACTIONS!A:C , 3, FALSE)
)
)"),"")</f>
        <v/>
      </c>
      <c r="Q190" s="489" t="s">
        <v>1579</v>
      </c>
      <c r="R190" s="342">
        <f>IF(ISBLANK(Q190),,IFERROR(
IF(IFERROR(SEARCH("SS:",Q190),0) &gt; 0, 
VLOOKUP(SUBSTITUTE(Q190,"SS: ",""),vote4SURGE!$A:$C , 3, FALSE) - 2,
VLOOKUP(SUBSTITUTE(Q190,"S: ",""),vote4SURGE!$A:$C , 3, FALSE)
)
,
IF(IFERROR(SEARCH("SS:",Q190),0) &gt; 0, 
VLOOKUP(A190,vote4SURGE!$A:$C , 3, FALSE) - 2,
VLOOKUP(A190,vote4SURGE!$A:$C , 3, FALSE)
)
))</f>
        <v>2.5</v>
      </c>
      <c r="S190" s="489"/>
      <c r="T190" s="342" t="str">
        <f>IF(ISBLANK(S190),,IFERROR(
IF(IFERROR(SEARCH("SS:",S190),0) &gt; 0, 
VLOOKUP(SUBSTITUTE(S190,"SS: ",""),vote4SURGE!$A:$C , 3, FALSE) - 2,
VLOOKUP(SUBSTITUTE(S190,"S: ",""),vote4SURGE!$A:$C , 3, FALSE)
)
,
IF(IFERROR(SEARCH("SS:",S190),0) &gt; 0, 
VLOOKUP(A190,vote4SURGE!$A:$C , 3, FALSE) - 2,
VLOOKUP(A190,vote4SURGE!$A:$C , 3, FALSE)
)
))</f>
        <v/>
      </c>
      <c r="U190" s="341"/>
      <c r="V190" s="343" t="str">
        <f>IF(ISBLANK(U190),,IFERROR(
IF(IFERROR(SEARCH("SS:",U190),0) &gt; 0, 
VLOOKUP(SUBSTITUTE(U190,"SS: ",""),vote4SURGE!$A:$C , 3, FALSE) - 2,
VLOOKUP(SUBSTITUTE(U190,"S: ",""),vote4SURGE!$A:$C , 3, FALSE)
)
,
IF(IFERROR(SEARCH("SS:",U190),0) &gt; 0, 
VLOOKUP(A190,vote4SURGE!$A:$C , 3, FALSE) - 2,
VLOOKUP(A190,vote4SURGE!$A:$C , 3, FALSE)
)
))</f>
        <v/>
      </c>
      <c r="W190" s="343">
        <f t="shared" si="1"/>
        <v>1</v>
      </c>
      <c r="X190" s="344">
        <f>IFERROR(__xludf.DUMMYFUNCTION("SWITCH(
LEN(K190) - LEN(SUBSTITUTE(K190,"","","""")),
0 , VLOOKUP(K190, Variables!$A:$C, 3, FALSE),
1 , VLOOKUP(index(split(K190 ,"", "", FALSE),1,1), Variables!$A:$C, 3, FALSE) + VLOOKUP(index(split(K190 ,"", "", FALSE),1,2), Variables!$A:$C, 3, FALSE),
"&amp;"2 , VLOOKUP(index(split(K190 ,"", "", FALSE),1,1), Variables!$A:$C, 3, FALSE) + VLOOKUP(index(split(K190 ,"", "", FALSE),1,2), Variables!$A:$C, 3, FALSE) + VLOOKUP(index(split(K190 ,"", "", FALSE),1,3), Variables!$A:$C, 3, FALSE)
)"),0.8333333333333333)</f>
        <v>0.8333333333</v>
      </c>
      <c r="Y190" s="342">
        <f t="shared" si="2"/>
        <v>2.083333333</v>
      </c>
      <c r="Z190" s="114"/>
      <c r="AA190" s="114"/>
      <c r="AB190" s="114" t="s">
        <v>2572</v>
      </c>
      <c r="AC190" s="114"/>
      <c r="AD190" s="114" t="s">
        <v>2572</v>
      </c>
      <c r="AE190" s="114"/>
      <c r="AF190" s="114"/>
      <c r="AG190" s="114"/>
      <c r="AH190" s="114"/>
      <c r="AI190" s="114"/>
      <c r="AJ190" s="114" t="s">
        <v>369</v>
      </c>
      <c r="AK190" s="473">
        <v>12.0</v>
      </c>
      <c r="AL190" s="114" t="s">
        <v>368</v>
      </c>
      <c r="AM190" s="473">
        <v>15.0</v>
      </c>
      <c r="AN190" s="114" t="s">
        <v>2580</v>
      </c>
      <c r="AO190" s="473">
        <v>18.0</v>
      </c>
      <c r="AP190" s="130">
        <f>SUM(
VLOOKUP("Ravage",vote4TRAITS!A:C,3,FALSE)
)</f>
        <v>7.333333333</v>
      </c>
      <c r="AQ190" s="130">
        <f t="shared" si="3"/>
        <v>11.90333333</v>
      </c>
    </row>
    <row r="191" ht="14.25" customHeight="1">
      <c r="A191" s="137" t="s">
        <v>2642</v>
      </c>
      <c r="B191" s="114" t="s">
        <v>2570</v>
      </c>
      <c r="C191" s="114">
        <v>38.0</v>
      </c>
      <c r="D191" s="114">
        <v>2.0</v>
      </c>
      <c r="E191" s="114">
        <v>1.0</v>
      </c>
      <c r="F191" s="487">
        <v>4.0</v>
      </c>
      <c r="G191" s="488">
        <v>8.0</v>
      </c>
      <c r="H191" s="114" t="s">
        <v>1663</v>
      </c>
      <c r="I191" s="130">
        <f>IFERROR(__xludf.DUMMYFUNCTION("SWITCH(
LEN(H191) - LEN(SUBSTITUTE(H191,"","","""")),
0 , VLOOKUP(H191, Variables!$A:$B, 2, FALSE),
1 , VLOOKUP(index(split(H191 ,"", "", FALSE),1,1), Variables!$A:$B , 2, FALSE) + VLOOKUP(index(split(H191 ,"", "", FALSE),1,2), Variables!$A:$B , 2, FALSE)"&amp;",
2 , VLOOKUP(index(split(H191 ,"", "", FALSE),1,1), Variables!$A:$B , 2, FALSE) + VLOOKUP(index(split(H191 ,"", "", FALSE),1,2), Variables!$A:$B , 2, FALSE) + VLOOKUP(index(split(H191 ,"", "", FALSE),1,3), Variables!$A:$B , 2, FALSE)
)"),1.3333333333333333)</f>
        <v>1.333333333</v>
      </c>
      <c r="J191" s="114" t="s">
        <v>1567</v>
      </c>
      <c r="K191" s="114" t="s">
        <v>1525</v>
      </c>
      <c r="L191" s="130">
        <f>IFERROR(__xludf.DUMMYFUNCTION("SWITCH(
LEN(K191) - LEN(SUBSTITUTE(K191,"","","""")),
0 , VLOOKUP(K191, Variables!$A:$B, 2, FALSE),
1 , VLOOKUP(index(split(K191 ,"", "", FALSE),1,1), Variables!$A:$B , 2, FALSE) + VLOOKUP(index(split(K191 ,"", "", FALSE),1,2), Variables!$A:$B , 2, FALSE)"&amp;",
2 , VLOOKUP(index(split(K191 ,"", "", FALSE),1,1), Variables!$A:$B , 2, FALSE) + VLOOKUP(index(split(K191 ,"", "", FALSE),1,2), Variables!$A:$B , 2, FALSE) + VLOOKUP(index(split(K191 ,"", "", FALSE),1,3), Variables!$A:$B , 2, FALSE)
)
+
IF(J191=""Ranged"&amp;""", 1 , 0)"),4.333333333333333)</f>
        <v>4.333333333</v>
      </c>
      <c r="M191" s="114" t="s">
        <v>2643</v>
      </c>
      <c r="N191" s="130">
        <f>IFERROR(__xludf.DUMMYFUNCTION("IF(ISBLANK(M191), , 
SWITCH(
LEN(M191)- LEN(SUBSTITUTE(M191,"","","""")), 
0 , VLOOKUP(M191, vote4TRAITS!A:C , 3, FALSE),
1 , VLOOKUP(index(split(M191 ,"", "", FALSE),1,1), vote4TRAITS!A:C , 3, FALSE) + VLOOKUP(index(split(M191 ,"", "", FALSE),1,2), vote4"&amp;"TRAITS!A:C , 3, FALSE),
2 , VLOOKUP(index(split(M191 ,"", "", FALSE),1,1), vote4TRAITS!A:C , 3, FALSE) + VLOOKUP(index(split(M191 ,"", "", FALSE),1,2), vote4TRAITS!A:C , 3, FALSE) + VLOOKUP(index(split(M191 ,"", "", FALSE),1,3), vote4TRAITS!A:C , 3, FALSE"&amp;")
)
)"),12.25)</f>
        <v>12.25</v>
      </c>
      <c r="O191" s="114" t="s">
        <v>1383</v>
      </c>
      <c r="P191" s="165">
        <f>IFERROR(__xludf.DUMMYFUNCTION("IF(ISBLANK(O191), , 
SWITCH(
LEN(O191)- LEN(SUBSTITUTE(O191,"","","""")), 
0 , VLOOKUP(O191, vote4ACTIONS!A:C , 3, FALSE),
1 , VLOOKUP(index(split(O191 ,"", "", FALSE),1,1), vote4ACTIONS!A:C , 3, FALSE) + VLOOKUP(index(split(O191 ,"", "", FALSE),1,2), vot"&amp;"e4ACTIONS!A:C , 3, FALSE),
2 , VLOOKUP(index(split(O191 ,"", "", FALSE),1,1), vote4ACTIONS!A:C , 3, FALSE) + VLOOKUP(index(split(O191 ,"", "", FALSE),1,2), vote4ACTIONS!A:C , 3, FALSE) + VLOOKUP(index(split(O191 ,"", "", FALSE),1,3), vote4ACTIONS!A:C , 3,"&amp;" FALSE),
3 , VLOOKUP(index(split(O191 ,"", "", FALSE),1,1), vote4ACTIONS!A:C , 3, FALSE) + VLOOKUP(index(split(O191 ,"", "", FALSE),1,2), vote4ACTIONS!A:C , 3, FALSE) + VLOOKUP(index(split(O191 ,"", "", FALSE),1,3), vote4ACTIONS!A:C , 3, FALSE) + VLOOKUP("&amp;"index(split(O191 ,"", "", FALSE),1,4), vote4ACTIONS!A:C , 3, FALSE)
)
)"),0.5)</f>
        <v>0.5</v>
      </c>
      <c r="Q191" s="340"/>
      <c r="R191" s="342" t="str">
        <f>IF(ISBLANK(Q191),,IFERROR(
IF(IFERROR(SEARCH("SS:",Q191),0) &gt; 0, 
VLOOKUP(SUBSTITUTE(Q191,"SS: ",""),vote4SURGE!$A:$C , 3, FALSE) - 2,
VLOOKUP(SUBSTITUTE(Q191,"S: ",""),vote4SURGE!$A:$C , 3, FALSE)
)
,
IF(IFERROR(SEARCH("SS:",Q191),0) &gt; 0, 
VLOOKUP(A191,vote4SURGE!$A:$C , 3, FALSE) - 2,
VLOOKUP(A191,vote4SURGE!$A:$C , 3, FALSE)
)
))</f>
        <v/>
      </c>
      <c r="S191" s="489"/>
      <c r="T191" s="342" t="str">
        <f>IF(ISBLANK(S191),,IFERROR(
IF(IFERROR(SEARCH("SS:",S191),0) &gt; 0, 
VLOOKUP(SUBSTITUTE(S191,"SS: ",""),vote4SURGE!$A:$C , 3, FALSE) - 2,
VLOOKUP(SUBSTITUTE(S191,"S: ",""),vote4SURGE!$A:$C , 3, FALSE)
)
,
IF(IFERROR(SEARCH("SS:",S191),0) &gt; 0, 
VLOOKUP(A191,vote4SURGE!$A:$C , 3, FALSE) - 2,
VLOOKUP(A191,vote4SURGE!$A:$C , 3, FALSE)
)
))</f>
        <v/>
      </c>
      <c r="U191" s="341"/>
      <c r="V191" s="343" t="str">
        <f>IF(ISBLANK(U191),,IFERROR(
IF(IFERROR(SEARCH("SS:",U191),0) &gt; 0, 
VLOOKUP(SUBSTITUTE(U191,"SS: ",""),vote4SURGE!$A:$C , 3, FALSE) - 2,
VLOOKUP(SUBSTITUTE(U191,"S: ",""),vote4SURGE!$A:$C , 3, FALSE)
)
,
IF(IFERROR(SEARCH("SS:",U191),0) &gt; 0, 
VLOOKUP(A191,vote4SURGE!$A:$C , 3, FALSE) - 2,
VLOOKUP(A191,vote4SURGE!$A:$C , 3, FALSE)
)
))</f>
        <v/>
      </c>
      <c r="W191" s="343">
        <f t="shared" si="1"/>
        <v>0</v>
      </c>
      <c r="X191" s="344">
        <f>IFERROR(__xludf.DUMMYFUNCTION("SWITCH(
LEN(K191) - LEN(SUBSTITUTE(K191,"","","""")),
0 , VLOOKUP(K191, Variables!$A:$C, 3, FALSE),
1 , VLOOKUP(index(split(K191 ,"", "", FALSE),1,1), Variables!$A:$C, 3, FALSE) + VLOOKUP(index(split(K191 ,"", "", FALSE),1,2), Variables!$A:$C, 3, FALSE),
"&amp;"2 , VLOOKUP(index(split(K191 ,"", "", FALSE),1,1), Variables!$A:$C, 3, FALSE) + VLOOKUP(index(split(K191 ,"", "", FALSE),1,2), Variables!$A:$C, 3, FALSE) + VLOOKUP(index(split(K191 ,"", "", FALSE),1,3), Variables!$A:$C, 3, FALSE)
)"),0.5)</f>
        <v>0.5</v>
      </c>
      <c r="Y191" s="342">
        <f t="shared" si="2"/>
        <v>0</v>
      </c>
      <c r="Z191" s="114" t="s">
        <v>2572</v>
      </c>
      <c r="AA191" s="114"/>
      <c r="AB191" s="114" t="s">
        <v>2572</v>
      </c>
      <c r="AC191" s="114"/>
      <c r="AD191" s="114"/>
      <c r="AE191" s="114"/>
      <c r="AF191" s="114"/>
      <c r="AG191" s="114"/>
      <c r="AH191" s="114"/>
      <c r="AI191" s="114"/>
      <c r="AJ191" s="114" t="s">
        <v>2574</v>
      </c>
      <c r="AK191" s="473">
        <v>13.0</v>
      </c>
      <c r="AL191" s="114" t="s">
        <v>2574</v>
      </c>
      <c r="AM191" s="473">
        <v>18.0</v>
      </c>
      <c r="AN191" s="114" t="s">
        <v>2574</v>
      </c>
      <c r="AO191" s="473">
        <v>23.0</v>
      </c>
      <c r="AP191" s="130">
        <f>SUM(
VLOOKUP("Ravage",vote4TRAITS!A:C,3,FALSE)
)</f>
        <v>7.333333333</v>
      </c>
      <c r="AQ191" s="130">
        <f t="shared" si="3"/>
        <v>21.73666667</v>
      </c>
    </row>
    <row r="192" ht="14.25" customHeight="1">
      <c r="A192" s="137" t="s">
        <v>2642</v>
      </c>
      <c r="B192" s="114" t="s">
        <v>2570</v>
      </c>
      <c r="C192" s="114">
        <v>38.0</v>
      </c>
      <c r="D192" s="114">
        <v>1.0</v>
      </c>
      <c r="E192" s="114">
        <v>1.0</v>
      </c>
      <c r="F192" s="487">
        <v>4.0</v>
      </c>
      <c r="G192" s="488">
        <v>5.0</v>
      </c>
      <c r="H192" s="114" t="s">
        <v>1663</v>
      </c>
      <c r="I192" s="130">
        <f>IFERROR(__xludf.DUMMYFUNCTION("SWITCH(
LEN(H192) - LEN(SUBSTITUTE(H192,"","","""")),
0 , VLOOKUP(H192, Variables!$A:$B, 2, FALSE),
1 , VLOOKUP(index(split(H192 ,"", "", FALSE),1,1), Variables!$A:$B , 2, FALSE) + VLOOKUP(index(split(H192 ,"", "", FALSE),1,2), Variables!$A:$B , 2, FALSE)"&amp;",
2 , VLOOKUP(index(split(H192 ,"", "", FALSE),1,1), Variables!$A:$B , 2, FALSE) + VLOOKUP(index(split(H192 ,"", "", FALSE),1,2), Variables!$A:$B , 2, FALSE) + VLOOKUP(index(split(H192 ,"", "", FALSE),1,3), Variables!$A:$B , 2, FALSE)
)"),1.3333333333333333)</f>
        <v>1.333333333</v>
      </c>
      <c r="J192" s="114" t="s">
        <v>1567</v>
      </c>
      <c r="K192" s="114" t="s">
        <v>1548</v>
      </c>
      <c r="L192" s="130">
        <f>IFERROR(__xludf.DUMMYFUNCTION("SWITCH(
LEN(K192) - LEN(SUBSTITUTE(K192,"","","""")),
0 , VLOOKUP(K192, Variables!$A:$B, 2, FALSE),
1 , VLOOKUP(index(split(K192 ,"", "", FALSE),1,1), Variables!$A:$B , 2, FALSE) + VLOOKUP(index(split(K192 ,"", "", FALSE),1,2), Variables!$A:$B , 2, FALSE)"&amp;",
2 , VLOOKUP(index(split(K192 ,"", "", FALSE),1,1), Variables!$A:$B , 2, FALSE) + VLOOKUP(index(split(K192 ,"", "", FALSE),1,2), Variables!$A:$B , 2, FALSE) + VLOOKUP(index(split(K192 ,"", "", FALSE),1,3), Variables!$A:$B , 2, FALSE)
)
+
IF(J192=""Ranged"&amp;""", 1 , 0)"),3.3333333333333335)</f>
        <v>3.333333333</v>
      </c>
      <c r="M192" s="114" t="s">
        <v>2643</v>
      </c>
      <c r="N192" s="130">
        <f>IFERROR(__xludf.DUMMYFUNCTION("IF(ISBLANK(M192), , 
SWITCH(
LEN(M192)- LEN(SUBSTITUTE(M192,"","","""")), 
0 , VLOOKUP(M192, vote4TRAITS!A:C , 3, FALSE),
1 , VLOOKUP(index(split(M192 ,"", "", FALSE),1,1), vote4TRAITS!A:C , 3, FALSE) + VLOOKUP(index(split(M192 ,"", "", FALSE),1,2), vote4"&amp;"TRAITS!A:C , 3, FALSE),
2 , VLOOKUP(index(split(M192 ,"", "", FALSE),1,1), vote4TRAITS!A:C , 3, FALSE) + VLOOKUP(index(split(M192 ,"", "", FALSE),1,2), vote4TRAITS!A:C , 3, FALSE) + VLOOKUP(index(split(M192 ,"", "", FALSE),1,3), vote4TRAITS!A:C , 3, FALSE"&amp;")
)
)"),12.25)</f>
        <v>12.25</v>
      </c>
      <c r="O192" s="114" t="s">
        <v>1383</v>
      </c>
      <c r="P192" s="165">
        <f>IFERROR(__xludf.DUMMYFUNCTION("IF(ISBLANK(O192), , 
SWITCH(
LEN(O192)- LEN(SUBSTITUTE(O192,"","","""")), 
0 , VLOOKUP(O192, vote4ACTIONS!A:C , 3, FALSE),
1 , VLOOKUP(index(split(O192 ,"", "", FALSE),1,1), vote4ACTIONS!A:C , 3, FALSE) + VLOOKUP(index(split(O192 ,"", "", FALSE),1,2), vot"&amp;"e4ACTIONS!A:C , 3, FALSE),
2 , VLOOKUP(index(split(O192 ,"", "", FALSE),1,1), vote4ACTIONS!A:C , 3, FALSE) + VLOOKUP(index(split(O192 ,"", "", FALSE),1,2), vote4ACTIONS!A:C , 3, FALSE) + VLOOKUP(index(split(O192 ,"", "", FALSE),1,3), vote4ACTIONS!A:C , 3,"&amp;" FALSE),
3 , VLOOKUP(index(split(O192 ,"", "", FALSE),1,1), vote4ACTIONS!A:C , 3, FALSE) + VLOOKUP(index(split(O192 ,"", "", FALSE),1,2), vote4ACTIONS!A:C , 3, FALSE) + VLOOKUP(index(split(O192 ,"", "", FALSE),1,3), vote4ACTIONS!A:C , 3, FALSE) + VLOOKUP("&amp;"index(split(O192 ,"", "", FALSE),1,4), vote4ACTIONS!A:C , 3, FALSE)
)
)"),0.5)</f>
        <v>0.5</v>
      </c>
      <c r="Q192" s="322"/>
      <c r="R192" s="342" t="str">
        <f>IF(ISBLANK(Q192),,IFERROR(
IF(IFERROR(SEARCH("SS:",Q192),0) &gt; 0, 
VLOOKUP(SUBSTITUTE(Q192,"SS: ",""),vote4SURGE!$A:$C , 3, FALSE) - 2,
VLOOKUP(SUBSTITUTE(Q192,"S: ",""),vote4SURGE!$A:$C , 3, FALSE)
)
,
IF(IFERROR(SEARCH("SS:",Q192),0) &gt; 0, 
VLOOKUP(A192,vote4SURGE!$A:$C , 3, FALSE) - 2,
VLOOKUP(A192,vote4SURGE!$A:$C , 3, FALSE)
)
))</f>
        <v/>
      </c>
      <c r="S192" s="341"/>
      <c r="T192" s="342" t="str">
        <f>IF(ISBLANK(S192),,IFERROR(
IF(IFERROR(SEARCH("SS:",S192),0) &gt; 0, 
VLOOKUP(SUBSTITUTE(S192,"SS: ",""),vote4SURGE!$A:$C , 3, FALSE) - 2,
VLOOKUP(SUBSTITUTE(S192,"S: ",""),vote4SURGE!$A:$C , 3, FALSE)
)
,
IF(IFERROR(SEARCH("SS:",S192),0) &gt; 0, 
VLOOKUP(A192,vote4SURGE!$A:$C , 3, FALSE) - 2,
VLOOKUP(A192,vote4SURGE!$A:$C , 3, FALSE)
)
))</f>
        <v/>
      </c>
      <c r="U192" s="341"/>
      <c r="V192" s="343" t="str">
        <f>IF(ISBLANK(U192),,IFERROR(
IF(IFERROR(SEARCH("SS:",U192),0) &gt; 0, 
VLOOKUP(SUBSTITUTE(U192,"SS: ",""),vote4SURGE!$A:$C , 3, FALSE) - 2,
VLOOKUP(SUBSTITUTE(U192,"S: ",""),vote4SURGE!$A:$C , 3, FALSE)
)
,
IF(IFERROR(SEARCH("SS:",U192),0) &gt; 0, 
VLOOKUP(A192,vote4SURGE!$A:$C , 3, FALSE) - 2,
VLOOKUP(A192,vote4SURGE!$A:$C , 3, FALSE)
)
))</f>
        <v/>
      </c>
      <c r="W192" s="343">
        <f t="shared" si="1"/>
        <v>0</v>
      </c>
      <c r="X192" s="344">
        <f>IFERROR(__xludf.DUMMYFUNCTION("SWITCH(
LEN(K192) - LEN(SUBSTITUTE(K192,"","","""")),
0 , VLOOKUP(K192, Variables!$A:$C, 3, FALSE),
1 , VLOOKUP(index(split(K192 ,"", "", FALSE),1,1), Variables!$A:$C, 3, FALSE) + VLOOKUP(index(split(K192 ,"", "", FALSE),1,2), Variables!$A:$C, 3, FALSE),
"&amp;"2 , VLOOKUP(index(split(K192 ,"", "", FALSE),1,1), Variables!$A:$C, 3, FALSE) + VLOOKUP(index(split(K192 ,"", "", FALSE),1,2), Variables!$A:$C, 3, FALSE) + VLOOKUP(index(split(K192 ,"", "", FALSE),1,3), Variables!$A:$C, 3, FALSE)
)"),0.8333333333333333)</f>
        <v>0.8333333333</v>
      </c>
      <c r="Y192" s="342">
        <f t="shared" si="2"/>
        <v>0</v>
      </c>
      <c r="Z192" s="114" t="s">
        <v>2572</v>
      </c>
      <c r="AA192" s="114"/>
      <c r="AB192" s="114" t="s">
        <v>2572</v>
      </c>
      <c r="AC192" s="114"/>
      <c r="AD192" s="114"/>
      <c r="AE192" s="114"/>
      <c r="AF192" s="114"/>
      <c r="AG192" s="114"/>
      <c r="AH192" s="114"/>
      <c r="AI192" s="114"/>
      <c r="AJ192" s="114" t="s">
        <v>2574</v>
      </c>
      <c r="AK192" s="473">
        <v>8.0</v>
      </c>
      <c r="AL192" s="114" t="s">
        <v>2574</v>
      </c>
      <c r="AM192" s="473">
        <v>11.0</v>
      </c>
      <c r="AN192" s="114" t="s">
        <v>2574</v>
      </c>
      <c r="AO192" s="473">
        <v>14.0</v>
      </c>
      <c r="AP192" s="130">
        <f>SUM(
VLOOKUP("Ravage",vote4TRAITS!A:C,3,FALSE)
)</f>
        <v>7.333333333</v>
      </c>
      <c r="AQ192" s="130">
        <f t="shared" si="3"/>
        <v>16.73666667</v>
      </c>
    </row>
    <row r="193" ht="14.25" customHeight="1">
      <c r="A193" s="137" t="s">
        <v>2642</v>
      </c>
      <c r="B193" s="114" t="s">
        <v>2576</v>
      </c>
      <c r="C193" s="114">
        <v>38.0</v>
      </c>
      <c r="D193" s="114">
        <v>2.0</v>
      </c>
      <c r="E193" s="114">
        <v>1.0</v>
      </c>
      <c r="F193" s="487">
        <v>4.0</v>
      </c>
      <c r="G193" s="488">
        <v>5.0</v>
      </c>
      <c r="H193" s="114" t="s">
        <v>1663</v>
      </c>
      <c r="I193" s="130">
        <f>IFERROR(__xludf.DUMMYFUNCTION("SWITCH(
LEN(H193) - LEN(SUBSTITUTE(H193,"","","""")),
0 , VLOOKUP(H193, Variables!$A:$B, 2, FALSE),
1 , VLOOKUP(index(split(H193 ,"", "", FALSE),1,1), Variables!$A:$B , 2, FALSE) + VLOOKUP(index(split(H193 ,"", "", FALSE),1,2), Variables!$A:$B , 2, FALSE)"&amp;",
2 , VLOOKUP(index(split(H193 ,"", "", FALSE),1,1), Variables!$A:$B , 2, FALSE) + VLOOKUP(index(split(H193 ,"", "", FALSE),1,2), Variables!$A:$B , 2, FALSE) + VLOOKUP(index(split(H193 ,"", "", FALSE),1,3), Variables!$A:$B , 2, FALSE)
)"),1.3333333333333333)</f>
        <v>1.333333333</v>
      </c>
      <c r="J193" s="114" t="s">
        <v>1567</v>
      </c>
      <c r="K193" s="114" t="s">
        <v>1525</v>
      </c>
      <c r="L193" s="130">
        <f>IFERROR(__xludf.DUMMYFUNCTION("SWITCH(
LEN(K193) - LEN(SUBSTITUTE(K193,"","","""")),
0 , VLOOKUP(K193, Variables!$A:$B, 2, FALSE),
1 , VLOOKUP(index(split(K193 ,"", "", FALSE),1,1), Variables!$A:$B , 2, FALSE) + VLOOKUP(index(split(K193 ,"", "", FALSE),1,2), Variables!$A:$B , 2, FALSE)"&amp;",
2 , VLOOKUP(index(split(K193 ,"", "", FALSE),1,1), Variables!$A:$B , 2, FALSE) + VLOOKUP(index(split(K193 ,"", "", FALSE),1,2), Variables!$A:$B , 2, FALSE) + VLOOKUP(index(split(K193 ,"", "", FALSE),1,3), Variables!$A:$B , 2, FALSE)
)
+
IF(J193=""Ranged"&amp;""", 1 , 0)"),4.333333333333333)</f>
        <v>4.333333333</v>
      </c>
      <c r="M193" s="114" t="s">
        <v>1136</v>
      </c>
      <c r="N193" s="130">
        <f>IFERROR(__xludf.DUMMYFUNCTION("IF(ISBLANK(M193), , 
SWITCH(
LEN(M193)- LEN(SUBSTITUTE(M193,"","","""")), 
0 , VLOOKUP(M193, vote4TRAITS!A:C , 3, FALSE),
1 , VLOOKUP(index(split(M193 ,"", "", FALSE),1,1), vote4TRAITS!A:C , 3, FALSE) + VLOOKUP(index(split(M193 ,"", "", FALSE),1,2), vote4"&amp;"TRAITS!A:C , 3, FALSE),
2 , VLOOKUP(index(split(M193 ,"", "", FALSE),1,1), vote4TRAITS!A:C , 3, FALSE) + VLOOKUP(index(split(M193 ,"", "", FALSE),1,2), vote4TRAITS!A:C , 3, FALSE) + VLOOKUP(index(split(M193 ,"", "", FALSE),1,3), vote4TRAITS!A:C , 3, FALSE"&amp;")
)
)"),5.0)</f>
        <v>5</v>
      </c>
      <c r="O193" s="114" t="s">
        <v>1383</v>
      </c>
      <c r="P193" s="165">
        <f>IFERROR(__xludf.DUMMYFUNCTION("IF(ISBLANK(O193), , 
SWITCH(
LEN(O193)- LEN(SUBSTITUTE(O193,"","","""")), 
0 , VLOOKUP(O193, vote4ACTIONS!A:C , 3, FALSE),
1 , VLOOKUP(index(split(O193 ,"", "", FALSE),1,1), vote4ACTIONS!A:C , 3, FALSE) + VLOOKUP(index(split(O193 ,"", "", FALSE),1,2), vot"&amp;"e4ACTIONS!A:C , 3, FALSE),
2 , VLOOKUP(index(split(O193 ,"", "", FALSE),1,1), vote4ACTIONS!A:C , 3, FALSE) + VLOOKUP(index(split(O193 ,"", "", FALSE),1,2), vote4ACTIONS!A:C , 3, FALSE) + VLOOKUP(index(split(O193 ,"", "", FALSE),1,3), vote4ACTIONS!A:C , 3,"&amp;" FALSE),
3 , VLOOKUP(index(split(O193 ,"", "", FALSE),1,1), vote4ACTIONS!A:C , 3, FALSE) + VLOOKUP(index(split(O193 ,"", "", FALSE),1,2), vote4ACTIONS!A:C , 3, FALSE) + VLOOKUP(index(split(O193 ,"", "", FALSE),1,3), vote4ACTIONS!A:C , 3, FALSE) + VLOOKUP("&amp;"index(split(O193 ,"", "", FALSE),1,4), vote4ACTIONS!A:C , 3, FALSE)
)
)"),0.5)</f>
        <v>0.5</v>
      </c>
      <c r="Q193" s="164"/>
      <c r="R193" s="342" t="str">
        <f>IF(ISBLANK(Q193),,IFERROR(
IF(IFERROR(SEARCH("SS:",Q193),0) &gt; 0, 
VLOOKUP(SUBSTITUTE(Q193,"SS: ",""),vote4SURGE!$A:$C , 3, FALSE) - 2,
VLOOKUP(SUBSTITUTE(Q193,"S: ",""),vote4SURGE!$A:$C , 3, FALSE)
)
,
IF(IFERROR(SEARCH("SS:",Q193),0) &gt; 0, 
VLOOKUP(A193,vote4SURGE!$A:$C , 3, FALSE) - 2,
VLOOKUP(A193,vote4SURGE!$A:$C , 3, FALSE)
)
))</f>
        <v/>
      </c>
      <c r="S193" s="164"/>
      <c r="T193" s="342" t="str">
        <f>IF(ISBLANK(S193),,IFERROR(
IF(IFERROR(SEARCH("SS:",S193),0) &gt; 0, 
VLOOKUP(SUBSTITUTE(S193,"SS: ",""),vote4SURGE!$A:$C , 3, FALSE) - 2,
VLOOKUP(SUBSTITUTE(S193,"S: ",""),vote4SURGE!$A:$C , 3, FALSE)
)
,
IF(IFERROR(SEARCH("SS:",S193),0) &gt; 0, 
VLOOKUP(A193,vote4SURGE!$A:$C , 3, FALSE) - 2,
VLOOKUP(A193,vote4SURGE!$A:$C , 3, FALSE)
)
))</f>
        <v/>
      </c>
      <c r="U193" s="164"/>
      <c r="V193" s="343" t="str">
        <f>IF(ISBLANK(U193),,IFERROR(
IF(IFERROR(SEARCH("SS:",U193),0) &gt; 0, 
VLOOKUP(SUBSTITUTE(U193,"SS: ",""),vote4SURGE!$A:$C , 3, FALSE) - 2,
VLOOKUP(SUBSTITUTE(U193,"S: ",""),vote4SURGE!$A:$C , 3, FALSE)
)
,
IF(IFERROR(SEARCH("SS:",U193),0) &gt; 0, 
VLOOKUP(A193,vote4SURGE!$A:$C , 3, FALSE) - 2,
VLOOKUP(A193,vote4SURGE!$A:$C , 3, FALSE)
)
))</f>
        <v/>
      </c>
      <c r="W193" s="343">
        <f t="shared" si="1"/>
        <v>0</v>
      </c>
      <c r="X193" s="344">
        <f>IFERROR(__xludf.DUMMYFUNCTION("SWITCH(
LEN(K193) - LEN(SUBSTITUTE(K193,"","","""")),
0 , VLOOKUP(K193, Variables!$A:$C, 3, FALSE),
1 , VLOOKUP(index(split(K193 ,"", "", FALSE),1,1), Variables!$A:$C, 3, FALSE) + VLOOKUP(index(split(K193 ,"", "", FALSE),1,2), Variables!$A:$C, 3, FALSE),
"&amp;"2 , VLOOKUP(index(split(K193 ,"", "", FALSE),1,1), Variables!$A:$C, 3, FALSE) + VLOOKUP(index(split(K193 ,"", "", FALSE),1,2), Variables!$A:$C, 3, FALSE) + VLOOKUP(index(split(K193 ,"", "", FALSE),1,3), Variables!$A:$C, 3, FALSE)
)"),0.5)</f>
        <v>0.5</v>
      </c>
      <c r="Y193" s="342">
        <f t="shared" si="2"/>
        <v>0</v>
      </c>
      <c r="Z193" s="114" t="s">
        <v>2572</v>
      </c>
      <c r="AA193" s="114"/>
      <c r="AB193" s="114" t="s">
        <v>2572</v>
      </c>
      <c r="AC193" s="114"/>
      <c r="AD193" s="114"/>
      <c r="AE193" s="114"/>
      <c r="AF193" s="114"/>
      <c r="AG193" s="114"/>
      <c r="AH193" s="114"/>
      <c r="AI193" s="114"/>
      <c r="AJ193" s="114" t="s">
        <v>2574</v>
      </c>
      <c r="AK193" s="473">
        <v>13.0</v>
      </c>
      <c r="AL193" s="114" t="s">
        <v>369</v>
      </c>
      <c r="AM193" s="473">
        <v>18.0</v>
      </c>
      <c r="AN193" s="114" t="s">
        <v>368</v>
      </c>
      <c r="AO193" s="473">
        <v>23.0</v>
      </c>
      <c r="AP193" s="130">
        <f>SUM(
VLOOKUP("Ravage",vote4TRAITS!A:C,3,FALSE)
)</f>
        <v>7.333333333</v>
      </c>
      <c r="AQ193" s="130">
        <f t="shared" si="3"/>
        <v>10.48666667</v>
      </c>
    </row>
    <row r="194" ht="14.25" customHeight="1">
      <c r="A194" s="137" t="s">
        <v>2642</v>
      </c>
      <c r="B194" s="114" t="s">
        <v>2576</v>
      </c>
      <c r="C194" s="114">
        <v>38.0</v>
      </c>
      <c r="D194" s="114">
        <v>1.0</v>
      </c>
      <c r="E194" s="114">
        <v>1.0</v>
      </c>
      <c r="F194" s="487">
        <v>4.0</v>
      </c>
      <c r="G194" s="488">
        <v>3.0</v>
      </c>
      <c r="H194" s="114" t="s">
        <v>1663</v>
      </c>
      <c r="I194" s="130">
        <f>IFERROR(__xludf.DUMMYFUNCTION("SWITCH(
LEN(H194) - LEN(SUBSTITUTE(H194,"","","""")),
0 , VLOOKUP(H194, Variables!$A:$B, 2, FALSE),
1 , VLOOKUP(index(split(H194 ,"", "", FALSE),1,1), Variables!$A:$B , 2, FALSE) + VLOOKUP(index(split(H194 ,"", "", FALSE),1,2), Variables!$A:$B , 2, FALSE)"&amp;",
2 , VLOOKUP(index(split(H194 ,"", "", FALSE),1,1), Variables!$A:$B , 2, FALSE) + VLOOKUP(index(split(H194 ,"", "", FALSE),1,2), Variables!$A:$B , 2, FALSE) + VLOOKUP(index(split(H194 ,"", "", FALSE),1,3), Variables!$A:$B , 2, FALSE)
)"),1.3333333333333333)</f>
        <v>1.333333333</v>
      </c>
      <c r="J194" s="114" t="s">
        <v>1567</v>
      </c>
      <c r="K194" s="114" t="s">
        <v>1548</v>
      </c>
      <c r="L194" s="130">
        <f>IFERROR(__xludf.DUMMYFUNCTION("SWITCH(
LEN(K194) - LEN(SUBSTITUTE(K194,"","","""")),
0 , VLOOKUP(K194, Variables!$A:$B, 2, FALSE),
1 , VLOOKUP(index(split(K194 ,"", "", FALSE),1,1), Variables!$A:$B , 2, FALSE) + VLOOKUP(index(split(K194 ,"", "", FALSE),1,2), Variables!$A:$B , 2, FALSE)"&amp;",
2 , VLOOKUP(index(split(K194 ,"", "", FALSE),1,1), Variables!$A:$B , 2, FALSE) + VLOOKUP(index(split(K194 ,"", "", FALSE),1,2), Variables!$A:$B , 2, FALSE) + VLOOKUP(index(split(K194 ,"", "", FALSE),1,3), Variables!$A:$B , 2, FALSE)
)
+
IF(J194=""Ranged"&amp;""", 1 , 0)"),3.3333333333333335)</f>
        <v>3.333333333</v>
      </c>
      <c r="M194" s="114" t="s">
        <v>1136</v>
      </c>
      <c r="N194" s="130">
        <f>IFERROR(__xludf.DUMMYFUNCTION("IF(ISBLANK(M194), , 
SWITCH(
LEN(M194)- LEN(SUBSTITUTE(M194,"","","""")), 
0 , VLOOKUP(M194, vote4TRAITS!A:C , 3, FALSE),
1 , VLOOKUP(index(split(M194 ,"", "", FALSE),1,1), vote4TRAITS!A:C , 3, FALSE) + VLOOKUP(index(split(M194 ,"", "", FALSE),1,2), vote4"&amp;"TRAITS!A:C , 3, FALSE),
2 , VLOOKUP(index(split(M194 ,"", "", FALSE),1,1), vote4TRAITS!A:C , 3, FALSE) + VLOOKUP(index(split(M194 ,"", "", FALSE),1,2), vote4TRAITS!A:C , 3, FALSE) + VLOOKUP(index(split(M194 ,"", "", FALSE),1,3), vote4TRAITS!A:C , 3, FALSE"&amp;")
)
)"),5.0)</f>
        <v>5</v>
      </c>
      <c r="O194" s="114" t="s">
        <v>1383</v>
      </c>
      <c r="P194" s="165">
        <f>IFERROR(__xludf.DUMMYFUNCTION("IF(ISBLANK(O194), , 
SWITCH(
LEN(O194)- LEN(SUBSTITUTE(O194,"","","""")), 
0 , VLOOKUP(O194, vote4ACTIONS!A:C , 3, FALSE),
1 , VLOOKUP(index(split(O194 ,"", "", FALSE),1,1), vote4ACTIONS!A:C , 3, FALSE) + VLOOKUP(index(split(O194 ,"", "", FALSE),1,2), vot"&amp;"e4ACTIONS!A:C , 3, FALSE),
2 , VLOOKUP(index(split(O194 ,"", "", FALSE),1,1), vote4ACTIONS!A:C , 3, FALSE) + VLOOKUP(index(split(O194 ,"", "", FALSE),1,2), vote4ACTIONS!A:C , 3, FALSE) + VLOOKUP(index(split(O194 ,"", "", FALSE),1,3), vote4ACTIONS!A:C , 3,"&amp;" FALSE),
3 , VLOOKUP(index(split(O194 ,"", "", FALSE),1,1), vote4ACTIONS!A:C , 3, FALSE) + VLOOKUP(index(split(O194 ,"", "", FALSE),1,2), vote4ACTIONS!A:C , 3, FALSE) + VLOOKUP(index(split(O194 ,"", "", FALSE),1,3), vote4ACTIONS!A:C , 3, FALSE) + VLOOKUP("&amp;"index(split(O194 ,"", "", FALSE),1,4), vote4ACTIONS!A:C , 3, FALSE)
)
)"),0.5)</f>
        <v>0.5</v>
      </c>
      <c r="Q194" s="164"/>
      <c r="R194" s="342" t="str">
        <f>IF(ISBLANK(Q194),,IFERROR(
IF(IFERROR(SEARCH("SS:",Q194),0) &gt; 0, 
VLOOKUP(SUBSTITUTE(Q194,"SS: ",""),vote4SURGE!$A:$C , 3, FALSE) - 2,
VLOOKUP(SUBSTITUTE(Q194,"S: ",""),vote4SURGE!$A:$C , 3, FALSE)
)
,
IF(IFERROR(SEARCH("SS:",Q194),0) &gt; 0, 
VLOOKUP(A194,vote4SURGE!$A:$C , 3, FALSE) - 2,
VLOOKUP(A194,vote4SURGE!$A:$C , 3, FALSE)
)
))</f>
        <v/>
      </c>
      <c r="S194" s="164"/>
      <c r="T194" s="342" t="str">
        <f>IF(ISBLANK(S194),,IFERROR(
IF(IFERROR(SEARCH("SS:",S194),0) &gt; 0, 
VLOOKUP(SUBSTITUTE(S194,"SS: ",""),vote4SURGE!$A:$C , 3, FALSE) - 2,
VLOOKUP(SUBSTITUTE(S194,"S: ",""),vote4SURGE!$A:$C , 3, FALSE)
)
,
IF(IFERROR(SEARCH("SS:",S194),0) &gt; 0, 
VLOOKUP(A194,vote4SURGE!$A:$C , 3, FALSE) - 2,
VLOOKUP(A194,vote4SURGE!$A:$C , 3, FALSE)
)
))</f>
        <v/>
      </c>
      <c r="U194" s="164"/>
      <c r="V194" s="343" t="str">
        <f>IF(ISBLANK(U194),,IFERROR(
IF(IFERROR(SEARCH("SS:",U194),0) &gt; 0, 
VLOOKUP(SUBSTITUTE(U194,"SS: ",""),vote4SURGE!$A:$C , 3, FALSE) - 2,
VLOOKUP(SUBSTITUTE(U194,"S: ",""),vote4SURGE!$A:$C , 3, FALSE)
)
,
IF(IFERROR(SEARCH("SS:",U194),0) &gt; 0, 
VLOOKUP(A194,vote4SURGE!$A:$C , 3, FALSE) - 2,
VLOOKUP(A194,vote4SURGE!$A:$C , 3, FALSE)
)
))</f>
        <v/>
      </c>
      <c r="W194" s="343">
        <f t="shared" si="1"/>
        <v>0</v>
      </c>
      <c r="X194" s="344">
        <f>IFERROR(__xludf.DUMMYFUNCTION("SWITCH(
LEN(K194) - LEN(SUBSTITUTE(K194,"","","""")),
0 , VLOOKUP(K194, Variables!$A:$C, 3, FALSE),
1 , VLOOKUP(index(split(K194 ,"", "", FALSE),1,1), Variables!$A:$C, 3, FALSE) + VLOOKUP(index(split(K194 ,"", "", FALSE),1,2), Variables!$A:$C, 3, FALSE),
"&amp;"2 , VLOOKUP(index(split(K194 ,"", "", FALSE),1,1), Variables!$A:$C, 3, FALSE) + VLOOKUP(index(split(K194 ,"", "", FALSE),1,2), Variables!$A:$C, 3, FALSE) + VLOOKUP(index(split(K194 ,"", "", FALSE),1,3), Variables!$A:$C, 3, FALSE)
)"),0.8333333333333333)</f>
        <v>0.8333333333</v>
      </c>
      <c r="Y194" s="342">
        <f t="shared" si="2"/>
        <v>0</v>
      </c>
      <c r="Z194" s="114" t="s">
        <v>2572</v>
      </c>
      <c r="AA194" s="114"/>
      <c r="AB194" s="114" t="s">
        <v>2572</v>
      </c>
      <c r="AC194" s="114"/>
      <c r="AD194" s="114"/>
      <c r="AE194" s="114"/>
      <c r="AF194" s="114"/>
      <c r="AG194" s="114"/>
      <c r="AH194" s="114"/>
      <c r="AI194" s="114"/>
      <c r="AJ194" s="114" t="s">
        <v>2574</v>
      </c>
      <c r="AK194" s="473">
        <v>8.0</v>
      </c>
      <c r="AL194" s="114" t="s">
        <v>369</v>
      </c>
      <c r="AM194" s="473">
        <v>11.0</v>
      </c>
      <c r="AN194" s="114" t="s">
        <v>368</v>
      </c>
      <c r="AO194" s="473">
        <v>14.0</v>
      </c>
      <c r="AP194" s="130">
        <f>SUM(
VLOOKUP("Ravage",vote4TRAITS!A:C,3,FALSE)
)</f>
        <v>7.333333333</v>
      </c>
      <c r="AQ194" s="130">
        <f t="shared" si="3"/>
        <v>6.82</v>
      </c>
    </row>
    <row r="195" ht="14.25" customHeight="1">
      <c r="A195" s="137" t="s">
        <v>1455</v>
      </c>
      <c r="B195" s="114" t="s">
        <v>2570</v>
      </c>
      <c r="C195" s="114">
        <v>29.0</v>
      </c>
      <c r="D195" s="114">
        <v>2.0</v>
      </c>
      <c r="E195" s="114">
        <v>1.0</v>
      </c>
      <c r="F195" s="487">
        <v>2.0</v>
      </c>
      <c r="G195" s="488">
        <v>10.0</v>
      </c>
      <c r="H195" s="114" t="s">
        <v>2575</v>
      </c>
      <c r="I195" s="130">
        <f>IFERROR(__xludf.DUMMYFUNCTION("SWITCH(
LEN(H195) - LEN(SUBSTITUTE(H195,"","","""")),
0 , VLOOKUP(H195, Variables!$A:$B, 2, FALSE),
1 , VLOOKUP(index(split(H195 ,"", "", FALSE),1,1), Variables!$A:$B , 2, FALSE) + VLOOKUP(index(split(H195 ,"", "", FALSE),1,2), Variables!$A:$B , 2, FALSE)"&amp;",
2 , VLOOKUP(index(split(H195 ,"", "", FALSE),1,1), Variables!$A:$B , 2, FALSE) + VLOOKUP(index(split(H195 ,"", "", FALSE),1,2), Variables!$A:$B , 2, FALSE) + VLOOKUP(index(split(H195 ,"", "", FALSE),1,3), Variables!$A:$B , 2, FALSE)
)"),2.0)</f>
        <v>2</v>
      </c>
      <c r="J195" s="114" t="s">
        <v>1521</v>
      </c>
      <c r="K195" s="114" t="s">
        <v>1546</v>
      </c>
      <c r="L195" s="130">
        <f>IFERROR(__xludf.DUMMYFUNCTION("SWITCH(
LEN(K195) - LEN(SUBSTITUTE(K195,"","","""")),
0 , VLOOKUP(K195, Variables!$A:$B, 2, FALSE),
1 , VLOOKUP(index(split(K195 ,"", "", FALSE),1,1), Variables!$A:$B , 2, FALSE) + VLOOKUP(index(split(K195 ,"", "", FALSE),1,2), Variables!$A:$B , 2, FALSE)"&amp;",
2 , VLOOKUP(index(split(K195 ,"", "", FALSE),1,1), Variables!$A:$B , 2, FALSE) + VLOOKUP(index(split(K195 ,"", "", FALSE),1,2), Variables!$A:$B , 2, FALSE) + VLOOKUP(index(split(K195 ,"", "", FALSE),1,3), Variables!$A:$B , 2, FALSE)
)
+
IF(J195=""Ranged"&amp;""", 1 , 0)"),3.5)</f>
        <v>3.5</v>
      </c>
      <c r="M195" s="114" t="s">
        <v>1013</v>
      </c>
      <c r="N195" s="130">
        <f>IFERROR(__xludf.DUMMYFUNCTION("IF(ISBLANK(M195), , 
SWITCH(
LEN(M195)- LEN(SUBSTITUTE(M195,"","","""")), 
0 , VLOOKUP(M195, vote4TRAITS!A:C , 3, FALSE),
1 , VLOOKUP(index(split(M195 ,"", "", FALSE),1,1), vote4TRAITS!A:C , 3, FALSE) + VLOOKUP(index(split(M195 ,"", "", FALSE),1,2), vote4"&amp;"TRAITS!A:C , 3, FALSE),
2 , VLOOKUP(index(split(M195 ,"", "", FALSE),1,1), vote4TRAITS!A:C , 3, FALSE) + VLOOKUP(index(split(M195 ,"", "", FALSE),1,2), vote4TRAITS!A:C , 3, FALSE) + VLOOKUP(index(split(M195 ,"", "", FALSE),1,3), vote4TRAITS!A:C , 3, FALSE"&amp;")
)
)"),4.5)</f>
        <v>4.5</v>
      </c>
      <c r="O195" s="114" t="s">
        <v>1329</v>
      </c>
      <c r="P195" s="165">
        <f>IFERROR(__xludf.DUMMYFUNCTION("IF(ISBLANK(O195), , 
SWITCH(
LEN(O195)- LEN(SUBSTITUTE(O195,"","","""")), 
0 , VLOOKUP(O195, vote4ACTIONS!A:C , 3, FALSE),
1 , VLOOKUP(index(split(O195 ,"", "", FALSE),1,1), vote4ACTIONS!A:C , 3, FALSE) + VLOOKUP(index(split(O195 ,"", "", FALSE),1,2), vot"&amp;"e4ACTIONS!A:C , 3, FALSE),
2 , VLOOKUP(index(split(O195 ,"", "", FALSE),1,1), vote4ACTIONS!A:C , 3, FALSE) + VLOOKUP(index(split(O195 ,"", "", FALSE),1,2), vote4ACTIONS!A:C , 3, FALSE) + VLOOKUP(index(split(O195 ,"", "", FALSE),1,3), vote4ACTIONS!A:C , 3,"&amp;" FALSE),
3 , VLOOKUP(index(split(O195 ,"", "", FALSE),1,1), vote4ACTIONS!A:C , 3, FALSE) + VLOOKUP(index(split(O195 ,"", "", FALSE),1,2), vote4ACTIONS!A:C , 3, FALSE) + VLOOKUP(index(split(O195 ,"", "", FALSE),1,3), vote4ACTIONS!A:C , 3, FALSE) + VLOOKUP("&amp;"index(split(O195 ,"", "", FALSE),1,4), vote4ACTIONS!A:C , 3, FALSE)
)
)"),0.25)</f>
        <v>0.25</v>
      </c>
      <c r="Q195" s="164" t="s">
        <v>1183</v>
      </c>
      <c r="R195" s="342">
        <f>IF(ISBLANK(Q195),,IFERROR(
IF(IFERROR(SEARCH("SS:",Q195),0) &gt; 0, 
VLOOKUP(SUBSTITUTE(Q195,"SS: ",""),vote4SURGE!$A:$C , 3, FALSE) - 2,
VLOOKUP(SUBSTITUTE(Q195,"S: ",""),vote4SURGE!$A:$C , 3, FALSE)
)
,
IF(IFERROR(SEARCH("SS:",Q195),0) &gt; 0, 
VLOOKUP(A195,vote4SURGE!$A:$C , 3, FALSE) - 2,
VLOOKUP(A195,vote4SURGE!$A:$C , 3, FALSE)
)
))</f>
        <v>4.25</v>
      </c>
      <c r="S195" s="489" t="s">
        <v>1600</v>
      </c>
      <c r="T195" s="342">
        <f>IF(ISBLANK(S195),,IFERROR(
IF(IFERROR(SEARCH("SS:",S195),0) &gt; 0, 
VLOOKUP(SUBSTITUTE(S195,"SS: ",""),vote4SURGE!$A:$C , 3, FALSE) - 2,
VLOOKUP(SUBSTITUTE(S195,"S: ",""),vote4SURGE!$A:$C , 3, FALSE)
)
,
IF(IFERROR(SEARCH("SS:",S195),0) &gt; 0, 
VLOOKUP(A195,vote4SURGE!$A:$C , 3, FALSE) - 2,
VLOOKUP(A195,vote4SURGE!$A:$C , 3, FALSE)
)
))</f>
        <v>4</v>
      </c>
      <c r="U195" s="341"/>
      <c r="V195" s="343" t="str">
        <f>IF(ISBLANK(U195),,IFERROR(
IF(IFERROR(SEARCH("SS:",U195),0) &gt; 0, 
VLOOKUP(SUBSTITUTE(U195,"SS: ",""),vote4SURGE!$A:$C , 3, FALSE) - 2,
VLOOKUP(SUBSTITUTE(U195,"S: ",""),vote4SURGE!$A:$C , 3, FALSE)
)
,
IF(IFERROR(SEARCH("SS:",U195),0) &gt; 0, 
VLOOKUP(A195,vote4SURGE!$A:$C , 3, FALSE) - 2,
VLOOKUP(A195,vote4SURGE!$A:$C , 3, FALSE)
)
))</f>
        <v/>
      </c>
      <c r="W195" s="343">
        <f t="shared" si="1"/>
        <v>2</v>
      </c>
      <c r="X195" s="344">
        <f>IFERROR(__xludf.DUMMYFUNCTION("SWITCH(
LEN(K195) - LEN(SUBSTITUTE(K195,"","","""")),
0 , VLOOKUP(K195, Variables!$A:$C, 3, FALSE),
1 , VLOOKUP(index(split(K195 ,"", "", FALSE),1,1), Variables!$A:$C, 3, FALSE) + VLOOKUP(index(split(K195 ,"", "", FALSE),1,2), Variables!$A:$C, 3, FALSE),
"&amp;"2 , VLOOKUP(index(split(K195 ,"", "", FALSE),1,1), Variables!$A:$C, 3, FALSE) + VLOOKUP(index(split(K195 ,"", "", FALSE),1,2), Variables!$A:$C, 3, FALSE) + VLOOKUP(index(split(K195 ,"", "", FALSE),1,3), Variables!$A:$C, 3, FALSE)
)"),1.3333333333333333)</f>
        <v>1.333333333</v>
      </c>
      <c r="Y195" s="342">
        <f t="shared" si="2"/>
        <v>6.916666667</v>
      </c>
      <c r="Z195" s="114"/>
      <c r="AA195" s="114"/>
      <c r="AB195" s="114" t="s">
        <v>2572</v>
      </c>
      <c r="AC195" s="114"/>
      <c r="AD195" s="114" t="s">
        <v>2572</v>
      </c>
      <c r="AE195" s="114"/>
      <c r="AF195" s="114"/>
      <c r="AG195" s="114"/>
      <c r="AH195" s="114"/>
      <c r="AI195" s="114"/>
      <c r="AJ195" s="164" t="s">
        <v>2573</v>
      </c>
      <c r="AK195" s="473">
        <v>16.0</v>
      </c>
      <c r="AL195" s="164" t="s">
        <v>2574</v>
      </c>
      <c r="AM195" s="473">
        <v>18.0</v>
      </c>
      <c r="AN195" s="164" t="s">
        <v>2574</v>
      </c>
      <c r="AO195" s="473">
        <v>26.0</v>
      </c>
      <c r="AP195" s="130">
        <f>SUM(
VLOOKUP("Ravage",vote4TRAITS!A:C,3,FALSE)
)</f>
        <v>7.333333333</v>
      </c>
      <c r="AQ195" s="130">
        <f t="shared" si="3"/>
        <v>28.49333333</v>
      </c>
    </row>
    <row r="196" ht="14.25" customHeight="1">
      <c r="A196" s="137" t="s">
        <v>1455</v>
      </c>
      <c r="B196" s="114" t="s">
        <v>2570</v>
      </c>
      <c r="C196" s="114">
        <v>29.0</v>
      </c>
      <c r="D196" s="114">
        <v>1.0</v>
      </c>
      <c r="E196" s="114">
        <v>1.0</v>
      </c>
      <c r="F196" s="487">
        <v>2.0</v>
      </c>
      <c r="G196" s="488">
        <v>8.0</v>
      </c>
      <c r="H196" s="114" t="s">
        <v>1663</v>
      </c>
      <c r="I196" s="130">
        <f>IFERROR(__xludf.DUMMYFUNCTION("SWITCH(
LEN(H196) - LEN(SUBSTITUTE(H196,"","","""")),
0 , VLOOKUP(H196, Variables!$A:$B, 2, FALSE),
1 , VLOOKUP(index(split(H196 ,"", "", FALSE),1,1), Variables!$A:$B , 2, FALSE) + VLOOKUP(index(split(H196 ,"", "", FALSE),1,2), Variables!$A:$B , 2, FALSE)"&amp;",
2 , VLOOKUP(index(split(H196 ,"", "", FALSE),1,1), Variables!$A:$B , 2, FALSE) + VLOOKUP(index(split(H196 ,"", "", FALSE),1,2), Variables!$A:$B , 2, FALSE) + VLOOKUP(index(split(H196 ,"", "", FALSE),1,3), Variables!$A:$B , 2, FALSE)
)"),1.3333333333333333)</f>
        <v>1.333333333</v>
      </c>
      <c r="J196" s="114" t="s">
        <v>1521</v>
      </c>
      <c r="K196" s="114" t="s">
        <v>1548</v>
      </c>
      <c r="L196" s="130">
        <f>IFERROR(__xludf.DUMMYFUNCTION("SWITCH(
LEN(K196) - LEN(SUBSTITUTE(K196,"","","""")),
0 , VLOOKUP(K196, Variables!$A:$B, 2, FALSE),
1 , VLOOKUP(index(split(K196 ,"", "", FALSE),1,1), Variables!$A:$B , 2, FALSE) + VLOOKUP(index(split(K196 ,"", "", FALSE),1,2), Variables!$A:$B , 2, FALSE)"&amp;",
2 , VLOOKUP(index(split(K196 ,"", "", FALSE),1,1), Variables!$A:$B , 2, FALSE) + VLOOKUP(index(split(K196 ,"", "", FALSE),1,2), Variables!$A:$B , 2, FALSE) + VLOOKUP(index(split(K196 ,"", "", FALSE),1,3), Variables!$A:$B , 2, FALSE)
)
+
IF(J196=""Ranged"&amp;""", 1 , 0)"),2.3333333333333335)</f>
        <v>2.333333333</v>
      </c>
      <c r="M196" s="114" t="s">
        <v>1013</v>
      </c>
      <c r="N196" s="130">
        <f>IFERROR(__xludf.DUMMYFUNCTION("IF(ISBLANK(M196), , 
SWITCH(
LEN(M196)- LEN(SUBSTITUTE(M196,"","","""")), 
0 , VLOOKUP(M196, vote4TRAITS!A:C , 3, FALSE),
1 , VLOOKUP(index(split(M196 ,"", "", FALSE),1,1), vote4TRAITS!A:C , 3, FALSE) + VLOOKUP(index(split(M196 ,"", "", FALSE),1,2), vote4"&amp;"TRAITS!A:C , 3, FALSE),
2 , VLOOKUP(index(split(M196 ,"", "", FALSE),1,1), vote4TRAITS!A:C , 3, FALSE) + VLOOKUP(index(split(M196 ,"", "", FALSE),1,2), vote4TRAITS!A:C , 3, FALSE) + VLOOKUP(index(split(M196 ,"", "", FALSE),1,3), vote4TRAITS!A:C , 3, FALSE"&amp;")
)
)"),4.5)</f>
        <v>4.5</v>
      </c>
      <c r="O196" s="114" t="s">
        <v>1329</v>
      </c>
      <c r="P196" s="165">
        <f>IFERROR(__xludf.DUMMYFUNCTION("IF(ISBLANK(O196), , 
SWITCH(
LEN(O196)- LEN(SUBSTITUTE(O196,"","","""")), 
0 , VLOOKUP(O196, vote4ACTIONS!A:C , 3, FALSE),
1 , VLOOKUP(index(split(O196 ,"", "", FALSE),1,1), vote4ACTIONS!A:C , 3, FALSE) + VLOOKUP(index(split(O196 ,"", "", FALSE),1,2), vot"&amp;"e4ACTIONS!A:C , 3, FALSE),
2 , VLOOKUP(index(split(O196 ,"", "", FALSE),1,1), vote4ACTIONS!A:C , 3, FALSE) + VLOOKUP(index(split(O196 ,"", "", FALSE),1,2), vote4ACTIONS!A:C , 3, FALSE) + VLOOKUP(index(split(O196 ,"", "", FALSE),1,3), vote4ACTIONS!A:C , 3,"&amp;" FALSE),
3 , VLOOKUP(index(split(O196 ,"", "", FALSE),1,1), vote4ACTIONS!A:C , 3, FALSE) + VLOOKUP(index(split(O196 ,"", "", FALSE),1,2), vote4ACTIONS!A:C , 3, FALSE) + VLOOKUP(index(split(O196 ,"", "", FALSE),1,3), vote4ACTIONS!A:C , 3, FALSE) + VLOOKUP("&amp;"index(split(O196 ,"", "", FALSE),1,4), vote4ACTIONS!A:C , 3, FALSE)
)
)"),0.25)</f>
        <v>0.25</v>
      </c>
      <c r="Q196" s="164" t="s">
        <v>1177</v>
      </c>
      <c r="R196" s="342">
        <f>IF(ISBLANK(Q196),,IFERROR(
IF(IFERROR(SEARCH("SS:",Q196),0) &gt; 0, 
VLOOKUP(SUBSTITUTE(Q196,"SS: ",""),vote4SURGE!$A:$C , 3, FALSE) - 2,
VLOOKUP(SUBSTITUTE(Q196,"S: ",""),vote4SURGE!$A:$C , 3, FALSE)
)
,
IF(IFERROR(SEARCH("SS:",Q196),0) &gt; 0, 
VLOOKUP(A196,vote4SURGE!$A:$C , 3, FALSE) - 2,
VLOOKUP(A196,vote4SURGE!$A:$C , 3, FALSE)
)
))</f>
        <v>3.5</v>
      </c>
      <c r="S196" s="489" t="s">
        <v>1600</v>
      </c>
      <c r="T196" s="342">
        <f>IF(ISBLANK(S196),,IFERROR(
IF(IFERROR(SEARCH("SS:",S196),0) &gt; 0, 
VLOOKUP(SUBSTITUTE(S196,"SS: ",""),vote4SURGE!$A:$C , 3, FALSE) - 2,
VLOOKUP(SUBSTITUTE(S196,"S: ",""),vote4SURGE!$A:$C , 3, FALSE)
)
,
IF(IFERROR(SEARCH("SS:",S196),0) &gt; 0, 
VLOOKUP(A196,vote4SURGE!$A:$C , 3, FALSE) - 2,
VLOOKUP(A196,vote4SURGE!$A:$C , 3, FALSE)
)
))</f>
        <v>4</v>
      </c>
      <c r="U196" s="341"/>
      <c r="V196" s="343" t="str">
        <f>IF(ISBLANK(U196),,IFERROR(
IF(IFERROR(SEARCH("SS:",U196),0) &gt; 0, 
VLOOKUP(SUBSTITUTE(U196,"SS: ",""),vote4SURGE!$A:$C , 3, FALSE) - 2,
VLOOKUP(SUBSTITUTE(U196,"S: ",""),vote4SURGE!$A:$C , 3, FALSE)
)
,
IF(IFERROR(SEARCH("SS:",U196),0) &gt; 0, 
VLOOKUP(A196,vote4SURGE!$A:$C , 3, FALSE) - 2,
VLOOKUP(A196,vote4SURGE!$A:$C , 3, FALSE)
)
))</f>
        <v/>
      </c>
      <c r="W196" s="343">
        <f t="shared" si="1"/>
        <v>2</v>
      </c>
      <c r="X196" s="344">
        <f>IFERROR(__xludf.DUMMYFUNCTION("SWITCH(
LEN(K196) - LEN(SUBSTITUTE(K196,"","","""")),
0 , VLOOKUP(K196, Variables!$A:$C, 3, FALSE),
1 , VLOOKUP(index(split(K196 ,"", "", FALSE),1,1), Variables!$A:$C, 3, FALSE) + VLOOKUP(index(split(K196 ,"", "", FALSE),1,2), Variables!$A:$C, 3, FALSE),
"&amp;"2 , VLOOKUP(index(split(K196 ,"", "", FALSE),1,1), Variables!$A:$C, 3, FALSE) + VLOOKUP(index(split(K196 ,"", "", FALSE),1,2), Variables!$A:$C, 3, FALSE) + VLOOKUP(index(split(K196 ,"", "", FALSE),1,3), Variables!$A:$C, 3, FALSE)
)"),0.8333333333333333)</f>
        <v>0.8333333333</v>
      </c>
      <c r="Y196" s="342">
        <f t="shared" si="2"/>
        <v>5.458333333</v>
      </c>
      <c r="Z196" s="114"/>
      <c r="AA196" s="114"/>
      <c r="AB196" s="114" t="s">
        <v>2572</v>
      </c>
      <c r="AC196" s="114"/>
      <c r="AD196" s="114" t="s">
        <v>2572</v>
      </c>
      <c r="AE196" s="114"/>
      <c r="AF196" s="114"/>
      <c r="AG196" s="114"/>
      <c r="AH196" s="114"/>
      <c r="AI196" s="114"/>
      <c r="AJ196" s="164" t="s">
        <v>2573</v>
      </c>
      <c r="AK196" s="473">
        <v>12.0</v>
      </c>
      <c r="AL196" s="164" t="s">
        <v>2574</v>
      </c>
      <c r="AM196" s="473">
        <v>14.0</v>
      </c>
      <c r="AN196" s="164" t="s">
        <v>2574</v>
      </c>
      <c r="AO196" s="473">
        <v>20.0</v>
      </c>
      <c r="AP196" s="130">
        <f>SUM(
VLOOKUP("Ravage",vote4TRAITS!A:C,3,FALSE)
)</f>
        <v>7.333333333</v>
      </c>
      <c r="AQ196" s="130">
        <f t="shared" si="3"/>
        <v>16.535</v>
      </c>
    </row>
    <row r="197" ht="14.25" customHeight="1">
      <c r="A197" s="137" t="s">
        <v>1455</v>
      </c>
      <c r="B197" s="114" t="s">
        <v>2576</v>
      </c>
      <c r="C197" s="114">
        <v>29.0</v>
      </c>
      <c r="D197" s="114">
        <v>2.0</v>
      </c>
      <c r="E197" s="114">
        <v>1.0</v>
      </c>
      <c r="F197" s="487">
        <v>2.0</v>
      </c>
      <c r="G197" s="488">
        <v>8.0</v>
      </c>
      <c r="H197" s="114" t="s">
        <v>2575</v>
      </c>
      <c r="I197" s="130">
        <f>IFERROR(__xludf.DUMMYFUNCTION("SWITCH(
LEN(H197) - LEN(SUBSTITUTE(H197,"","","""")),
0 , VLOOKUP(H197, Variables!$A:$B, 2, FALSE),
1 , VLOOKUP(index(split(H197 ,"", "", FALSE),1,1), Variables!$A:$B , 2, FALSE) + VLOOKUP(index(split(H197 ,"", "", FALSE),1,2), Variables!$A:$B , 2, FALSE)"&amp;",
2 , VLOOKUP(index(split(H197 ,"", "", FALSE),1,1), Variables!$A:$B , 2, FALSE) + VLOOKUP(index(split(H197 ,"", "", FALSE),1,2), Variables!$A:$B , 2, FALSE) + VLOOKUP(index(split(H197 ,"", "", FALSE),1,3), Variables!$A:$B , 2, FALSE)
)"),2.0)</f>
        <v>2</v>
      </c>
      <c r="J197" s="114" t="s">
        <v>1521</v>
      </c>
      <c r="K197" s="114" t="s">
        <v>1548</v>
      </c>
      <c r="L197" s="130">
        <f>IFERROR(__xludf.DUMMYFUNCTION("SWITCH(
LEN(K197) - LEN(SUBSTITUTE(K197,"","","""")),
0 , VLOOKUP(K197, Variables!$A:$B, 2, FALSE),
1 , VLOOKUP(index(split(K197 ,"", "", FALSE),1,1), Variables!$A:$B , 2, FALSE) + VLOOKUP(index(split(K197 ,"", "", FALSE),1,2), Variables!$A:$B , 2, FALSE)"&amp;",
2 , VLOOKUP(index(split(K197 ,"", "", FALSE),1,1), Variables!$A:$B , 2, FALSE) + VLOOKUP(index(split(K197 ,"", "", FALSE),1,2), Variables!$A:$B , 2, FALSE) + VLOOKUP(index(split(K197 ,"", "", FALSE),1,3), Variables!$A:$B , 2, FALSE)
)
+
IF(J197=""Ranged"&amp;""", 1 , 0)"),2.3333333333333335)</f>
        <v>2.333333333</v>
      </c>
      <c r="M197" s="114" t="s">
        <v>1013</v>
      </c>
      <c r="N197" s="130">
        <f>IFERROR(__xludf.DUMMYFUNCTION("IF(ISBLANK(M197), , 
SWITCH(
LEN(M197)- LEN(SUBSTITUTE(M197,"","","""")), 
0 , VLOOKUP(M197, vote4TRAITS!A:C , 3, FALSE),
1 , VLOOKUP(index(split(M197 ,"", "", FALSE),1,1), vote4TRAITS!A:C , 3, FALSE) + VLOOKUP(index(split(M197 ,"", "", FALSE),1,2), vote4"&amp;"TRAITS!A:C , 3, FALSE),
2 , VLOOKUP(index(split(M197 ,"", "", FALSE),1,1), vote4TRAITS!A:C , 3, FALSE) + VLOOKUP(index(split(M197 ,"", "", FALSE),1,2), vote4TRAITS!A:C , 3, FALSE) + VLOOKUP(index(split(M197 ,"", "", FALSE),1,3), vote4TRAITS!A:C , 3, FALSE"&amp;")
)
)"),4.5)</f>
        <v>4.5</v>
      </c>
      <c r="O197" s="114" t="s">
        <v>1329</v>
      </c>
      <c r="P197" s="165">
        <f>IFERROR(__xludf.DUMMYFUNCTION("IF(ISBLANK(O197), , 
SWITCH(
LEN(O197)- LEN(SUBSTITUTE(O197,"","","""")), 
0 , VLOOKUP(O197, vote4ACTIONS!A:C , 3, FALSE),
1 , VLOOKUP(index(split(O197 ,"", "", FALSE),1,1), vote4ACTIONS!A:C , 3, FALSE) + VLOOKUP(index(split(O197 ,"", "", FALSE),1,2), vot"&amp;"e4ACTIONS!A:C , 3, FALSE),
2 , VLOOKUP(index(split(O197 ,"", "", FALSE),1,1), vote4ACTIONS!A:C , 3, FALSE) + VLOOKUP(index(split(O197 ,"", "", FALSE),1,2), vote4ACTIONS!A:C , 3, FALSE) + VLOOKUP(index(split(O197 ,"", "", FALSE),1,3), vote4ACTIONS!A:C , 3,"&amp;" FALSE),
3 , VLOOKUP(index(split(O197 ,"", "", FALSE),1,1), vote4ACTIONS!A:C , 3, FALSE) + VLOOKUP(index(split(O197 ,"", "", FALSE),1,2), vote4ACTIONS!A:C , 3, FALSE) + VLOOKUP(index(split(O197 ,"", "", FALSE),1,3), vote4ACTIONS!A:C , 3, FALSE) + VLOOKUP("&amp;"index(split(O197 ,"", "", FALSE),1,4), vote4ACTIONS!A:C , 3, FALSE)
)
)"),0.25)</f>
        <v>0.25</v>
      </c>
      <c r="Q197" s="164" t="s">
        <v>1183</v>
      </c>
      <c r="R197" s="342">
        <f>IF(ISBLANK(Q197),,IFERROR(
IF(IFERROR(SEARCH("SS:",Q197),0) &gt; 0, 
VLOOKUP(SUBSTITUTE(Q197,"SS: ",""),vote4SURGE!$A:$C , 3, FALSE) - 2,
VLOOKUP(SUBSTITUTE(Q197,"S: ",""),vote4SURGE!$A:$C , 3, FALSE)
)
,
IF(IFERROR(SEARCH("SS:",Q197),0) &gt; 0, 
VLOOKUP(A197,vote4SURGE!$A:$C , 3, FALSE) - 2,
VLOOKUP(A197,vote4SURGE!$A:$C , 3, FALSE)
)
))</f>
        <v>4.25</v>
      </c>
      <c r="S197" s="341"/>
      <c r="T197" s="342" t="str">
        <f>IF(ISBLANK(S197),,IFERROR(
IF(IFERROR(SEARCH("SS:",S197),0) &gt; 0, 
VLOOKUP(SUBSTITUTE(S197,"SS: ",""),vote4SURGE!$A:$C , 3, FALSE) - 2,
VLOOKUP(SUBSTITUTE(S197,"S: ",""),vote4SURGE!$A:$C , 3, FALSE)
)
,
IF(IFERROR(SEARCH("SS:",S197),0) &gt; 0, 
VLOOKUP(A197,vote4SURGE!$A:$C , 3, FALSE) - 2,
VLOOKUP(A197,vote4SURGE!$A:$C , 3, FALSE)
)
))</f>
        <v/>
      </c>
      <c r="U197" s="341"/>
      <c r="V197" s="343" t="str">
        <f>IF(ISBLANK(U197),,IFERROR(
IF(IFERROR(SEARCH("SS:",U197),0) &gt; 0, 
VLOOKUP(SUBSTITUTE(U197,"SS: ",""),vote4SURGE!$A:$C , 3, FALSE) - 2,
VLOOKUP(SUBSTITUTE(U197,"S: ",""),vote4SURGE!$A:$C , 3, FALSE)
)
,
IF(IFERROR(SEARCH("SS:",U197),0) &gt; 0, 
VLOOKUP(A197,vote4SURGE!$A:$C , 3, FALSE) - 2,
VLOOKUP(A197,vote4SURGE!$A:$C , 3, FALSE)
)
))</f>
        <v/>
      </c>
      <c r="W197" s="343">
        <f t="shared" si="1"/>
        <v>1</v>
      </c>
      <c r="X197" s="344">
        <f>IFERROR(__xludf.DUMMYFUNCTION("SWITCH(
LEN(K197) - LEN(SUBSTITUTE(K197,"","","""")),
0 , VLOOKUP(K197, Variables!$A:$C, 3, FALSE),
1 , VLOOKUP(index(split(K197 ,"", "", FALSE),1,1), Variables!$A:$C, 3, FALSE) + VLOOKUP(index(split(K197 ,"", "", FALSE),1,2), Variables!$A:$C, 3, FALSE),
"&amp;"2 , VLOOKUP(index(split(K197 ,"", "", FALSE),1,1), Variables!$A:$C, 3, FALSE) + VLOOKUP(index(split(K197 ,"", "", FALSE),1,2), Variables!$A:$C, 3, FALSE) + VLOOKUP(index(split(K197 ,"", "", FALSE),1,3), Variables!$A:$C, 3, FALSE)
)"),0.8333333333333333)</f>
        <v>0.8333333333</v>
      </c>
      <c r="Y197" s="342">
        <f t="shared" si="2"/>
        <v>3.541666667</v>
      </c>
      <c r="Z197" s="114"/>
      <c r="AA197" s="114"/>
      <c r="AB197" s="114" t="s">
        <v>2572</v>
      </c>
      <c r="AC197" s="114"/>
      <c r="AD197" s="114" t="s">
        <v>2572</v>
      </c>
      <c r="AE197" s="114"/>
      <c r="AF197" s="114"/>
      <c r="AG197" s="114"/>
      <c r="AH197" s="114"/>
      <c r="AI197" s="114"/>
      <c r="AJ197" s="164" t="s">
        <v>369</v>
      </c>
      <c r="AK197" s="473">
        <v>16.0</v>
      </c>
      <c r="AL197" s="164" t="s">
        <v>2574</v>
      </c>
      <c r="AM197" s="473">
        <v>18.0</v>
      </c>
      <c r="AN197" s="164" t="s">
        <v>369</v>
      </c>
      <c r="AO197" s="473">
        <v>26.0</v>
      </c>
      <c r="AP197" s="130">
        <f>SUM(
VLOOKUP("Ravage",vote4TRAITS!A:C,3,FALSE)
)</f>
        <v>7.333333333</v>
      </c>
      <c r="AQ197" s="130">
        <f t="shared" si="3"/>
        <v>19.95166667</v>
      </c>
    </row>
    <row r="198" ht="14.25" customHeight="1">
      <c r="A198" s="137" t="s">
        <v>1455</v>
      </c>
      <c r="B198" s="114" t="s">
        <v>2576</v>
      </c>
      <c r="C198" s="114">
        <v>29.0</v>
      </c>
      <c r="D198" s="114">
        <v>1.0</v>
      </c>
      <c r="E198" s="114">
        <v>1.0</v>
      </c>
      <c r="F198" s="487">
        <v>2.0</v>
      </c>
      <c r="G198" s="488">
        <v>6.0</v>
      </c>
      <c r="H198" s="114" t="s">
        <v>1663</v>
      </c>
      <c r="I198" s="130">
        <f>IFERROR(__xludf.DUMMYFUNCTION("SWITCH(
LEN(H198) - LEN(SUBSTITUTE(H198,"","","""")),
0 , VLOOKUP(H198, Variables!$A:$B, 2, FALSE),
1 , VLOOKUP(index(split(H198 ,"", "", FALSE),1,1), Variables!$A:$B , 2, FALSE) + VLOOKUP(index(split(H198 ,"", "", FALSE),1,2), Variables!$A:$B , 2, FALSE)"&amp;",
2 , VLOOKUP(index(split(H198 ,"", "", FALSE),1,1), Variables!$A:$B , 2, FALSE) + VLOOKUP(index(split(H198 ,"", "", FALSE),1,2), Variables!$A:$B , 2, FALSE) + VLOOKUP(index(split(H198 ,"", "", FALSE),1,3), Variables!$A:$B , 2, FALSE)
)"),1.3333333333333333)</f>
        <v>1.333333333</v>
      </c>
      <c r="J198" s="114" t="s">
        <v>1521</v>
      </c>
      <c r="K198" s="114" t="s">
        <v>1548</v>
      </c>
      <c r="L198" s="130">
        <f>IFERROR(__xludf.DUMMYFUNCTION("SWITCH(
LEN(K198) - LEN(SUBSTITUTE(K198,"","","""")),
0 , VLOOKUP(K198, Variables!$A:$B, 2, FALSE),
1 , VLOOKUP(index(split(K198 ,"", "", FALSE),1,1), Variables!$A:$B , 2, FALSE) + VLOOKUP(index(split(K198 ,"", "", FALSE),1,2), Variables!$A:$B , 2, FALSE)"&amp;",
2 , VLOOKUP(index(split(K198 ,"", "", FALSE),1,1), Variables!$A:$B , 2, FALSE) + VLOOKUP(index(split(K198 ,"", "", FALSE),1,2), Variables!$A:$B , 2, FALSE) + VLOOKUP(index(split(K198 ,"", "", FALSE),1,3), Variables!$A:$B , 2, FALSE)
)
+
IF(J198=""Ranged"&amp;""", 1 , 0)"),2.3333333333333335)</f>
        <v>2.333333333</v>
      </c>
      <c r="M198" s="114" t="s">
        <v>1013</v>
      </c>
      <c r="N198" s="130">
        <f>IFERROR(__xludf.DUMMYFUNCTION("IF(ISBLANK(M198), , 
SWITCH(
LEN(M198)- LEN(SUBSTITUTE(M198,"","","""")), 
0 , VLOOKUP(M198, vote4TRAITS!A:C , 3, FALSE),
1 , VLOOKUP(index(split(M198 ,"", "", FALSE),1,1), vote4TRAITS!A:C , 3, FALSE) + VLOOKUP(index(split(M198 ,"", "", FALSE),1,2), vote4"&amp;"TRAITS!A:C , 3, FALSE),
2 , VLOOKUP(index(split(M198 ,"", "", FALSE),1,1), vote4TRAITS!A:C , 3, FALSE) + VLOOKUP(index(split(M198 ,"", "", FALSE),1,2), vote4TRAITS!A:C , 3, FALSE) + VLOOKUP(index(split(M198 ,"", "", FALSE),1,3), vote4TRAITS!A:C , 3, FALSE"&amp;")
)
)"),4.5)</f>
        <v>4.5</v>
      </c>
      <c r="O198" s="114" t="s">
        <v>1329</v>
      </c>
      <c r="P198" s="165">
        <f>IFERROR(__xludf.DUMMYFUNCTION("IF(ISBLANK(O198), , 
SWITCH(
LEN(O198)- LEN(SUBSTITUTE(O198,"","","""")), 
0 , VLOOKUP(O198, vote4ACTIONS!A:C , 3, FALSE),
1 , VLOOKUP(index(split(O198 ,"", "", FALSE),1,1), vote4ACTIONS!A:C , 3, FALSE) + VLOOKUP(index(split(O198 ,"", "", FALSE),1,2), vot"&amp;"e4ACTIONS!A:C , 3, FALSE),
2 , VLOOKUP(index(split(O198 ,"", "", FALSE),1,1), vote4ACTIONS!A:C , 3, FALSE) + VLOOKUP(index(split(O198 ,"", "", FALSE),1,2), vote4ACTIONS!A:C , 3, FALSE) + VLOOKUP(index(split(O198 ,"", "", FALSE),1,3), vote4ACTIONS!A:C , 3,"&amp;" FALSE),
3 , VLOOKUP(index(split(O198 ,"", "", FALSE),1,1), vote4ACTIONS!A:C , 3, FALSE) + VLOOKUP(index(split(O198 ,"", "", FALSE),1,2), vote4ACTIONS!A:C , 3, FALSE) + VLOOKUP(index(split(O198 ,"", "", FALSE),1,3), vote4ACTIONS!A:C , 3, FALSE) + VLOOKUP("&amp;"index(split(O198 ,"", "", FALSE),1,4), vote4ACTIONS!A:C , 3, FALSE)
)
)"),0.25)</f>
        <v>0.25</v>
      </c>
      <c r="Q198" s="164" t="s">
        <v>1177</v>
      </c>
      <c r="R198" s="342">
        <f>IF(ISBLANK(Q198),,IFERROR(
IF(IFERROR(SEARCH("SS:",Q198),0) &gt; 0, 
VLOOKUP(SUBSTITUTE(Q198,"SS: ",""),vote4SURGE!$A:$C , 3, FALSE) - 2,
VLOOKUP(SUBSTITUTE(Q198,"S: ",""),vote4SURGE!$A:$C , 3, FALSE)
)
,
IF(IFERROR(SEARCH("SS:",Q198),0) &gt; 0, 
VLOOKUP(A198,vote4SURGE!$A:$C , 3, FALSE) - 2,
VLOOKUP(A198,vote4SURGE!$A:$C , 3, FALSE)
)
))</f>
        <v>3.5</v>
      </c>
      <c r="S198" s="164"/>
      <c r="T198" s="342" t="str">
        <f>IF(ISBLANK(S198),,IFERROR(
IF(IFERROR(SEARCH("SS:",S198),0) &gt; 0, 
VLOOKUP(SUBSTITUTE(S198,"SS: ",""),vote4SURGE!$A:$C , 3, FALSE) - 2,
VLOOKUP(SUBSTITUTE(S198,"S: ",""),vote4SURGE!$A:$C , 3, FALSE)
)
,
IF(IFERROR(SEARCH("SS:",S198),0) &gt; 0, 
VLOOKUP(A198,vote4SURGE!$A:$C , 3, FALSE) - 2,
VLOOKUP(A198,vote4SURGE!$A:$C , 3, FALSE)
)
))</f>
        <v/>
      </c>
      <c r="U198" s="164"/>
      <c r="V198" s="343" t="str">
        <f>IF(ISBLANK(U198),,IFERROR(
IF(IFERROR(SEARCH("SS:",U198),0) &gt; 0, 
VLOOKUP(SUBSTITUTE(U198,"SS: ",""),vote4SURGE!$A:$C , 3, FALSE) - 2,
VLOOKUP(SUBSTITUTE(U198,"S: ",""),vote4SURGE!$A:$C , 3, FALSE)
)
,
IF(IFERROR(SEARCH("SS:",U198),0) &gt; 0, 
VLOOKUP(A198,vote4SURGE!$A:$C , 3, FALSE) - 2,
VLOOKUP(A198,vote4SURGE!$A:$C , 3, FALSE)
)
))</f>
        <v/>
      </c>
      <c r="W198" s="343">
        <f t="shared" si="1"/>
        <v>1</v>
      </c>
      <c r="X198" s="344">
        <f>IFERROR(__xludf.DUMMYFUNCTION("SWITCH(
LEN(K198) - LEN(SUBSTITUTE(K198,"","","""")),
0 , VLOOKUP(K198, Variables!$A:$C, 3, FALSE),
1 , VLOOKUP(index(split(K198 ,"", "", FALSE),1,1), Variables!$A:$C, 3, FALSE) + VLOOKUP(index(split(K198 ,"", "", FALSE),1,2), Variables!$A:$C, 3, FALSE),
"&amp;"2 , VLOOKUP(index(split(K198 ,"", "", FALSE),1,1), Variables!$A:$C, 3, FALSE) + VLOOKUP(index(split(K198 ,"", "", FALSE),1,2), Variables!$A:$C, 3, FALSE) + VLOOKUP(index(split(K198 ,"", "", FALSE),1,3), Variables!$A:$C, 3, FALSE)
)"),0.8333333333333333)</f>
        <v>0.8333333333</v>
      </c>
      <c r="Y198" s="342">
        <f t="shared" si="2"/>
        <v>2.916666667</v>
      </c>
      <c r="Z198" s="114"/>
      <c r="AA198" s="114"/>
      <c r="AB198" s="114" t="s">
        <v>2572</v>
      </c>
      <c r="AC198" s="114"/>
      <c r="AD198" s="114" t="s">
        <v>2572</v>
      </c>
      <c r="AE198" s="114"/>
      <c r="AF198" s="114"/>
      <c r="AG198" s="114"/>
      <c r="AH198" s="114"/>
      <c r="AI198" s="114"/>
      <c r="AJ198" s="164" t="s">
        <v>369</v>
      </c>
      <c r="AK198" s="473">
        <v>12.0</v>
      </c>
      <c r="AL198" s="164" t="s">
        <v>2574</v>
      </c>
      <c r="AM198" s="473">
        <v>14.0</v>
      </c>
      <c r="AN198" s="164" t="s">
        <v>369</v>
      </c>
      <c r="AO198" s="473">
        <v>20.0</v>
      </c>
      <c r="AP198" s="130">
        <f>SUM(
VLOOKUP("Ravage",vote4TRAITS!A:C,3,FALSE)
)</f>
        <v>7.333333333</v>
      </c>
      <c r="AQ198" s="130">
        <f t="shared" si="3"/>
        <v>11.32666667</v>
      </c>
    </row>
    <row r="199" ht="14.25" customHeight="1">
      <c r="A199" s="137" t="s">
        <v>1466</v>
      </c>
      <c r="B199" s="114" t="s">
        <v>2570</v>
      </c>
      <c r="C199" s="114">
        <v>44.0</v>
      </c>
      <c r="D199" s="114">
        <v>2.0</v>
      </c>
      <c r="E199" s="114">
        <v>4.0</v>
      </c>
      <c r="F199" s="487">
        <v>3.0</v>
      </c>
      <c r="G199" s="488">
        <v>13.0</v>
      </c>
      <c r="H199" s="114" t="s">
        <v>1663</v>
      </c>
      <c r="I199" s="130">
        <f>IFERROR(__xludf.DUMMYFUNCTION("SWITCH(
LEN(H199) - LEN(SUBSTITUTE(H199,"","","""")),
0 , VLOOKUP(H199, Variables!$A:$B, 2, FALSE),
1 , VLOOKUP(index(split(H199 ,"", "", FALSE),1,1), Variables!$A:$B , 2, FALSE) + VLOOKUP(index(split(H199 ,"", "", FALSE),1,2), Variables!$A:$B , 2, FALSE)"&amp;",
2 , VLOOKUP(index(split(H199 ,"", "", FALSE),1,1), Variables!$A:$B , 2, FALSE) + VLOOKUP(index(split(H199 ,"", "", FALSE),1,2), Variables!$A:$B , 2, FALSE) + VLOOKUP(index(split(H199 ,"", "", FALSE),1,3), Variables!$A:$B , 2, FALSE)
)"),1.3333333333333333)</f>
        <v>1.333333333</v>
      </c>
      <c r="J199" s="114" t="s">
        <v>1521</v>
      </c>
      <c r="K199" s="114" t="s">
        <v>1528</v>
      </c>
      <c r="L199" s="130">
        <f>IFERROR(__xludf.DUMMYFUNCTION("SWITCH(
LEN(K199) - LEN(SUBSTITUTE(K199,"","","""")),
0 , VLOOKUP(K199, Variables!$A:$B, 2, FALSE),
1 , VLOOKUP(index(split(K199 ,"", "", FALSE),1,1), Variables!$A:$B , 2, FALSE) + VLOOKUP(index(split(K199 ,"", "", FALSE),1,2), Variables!$A:$B , 2, FALSE)"&amp;",
2 , VLOOKUP(index(split(K199 ,"", "", FALSE),1,1), Variables!$A:$B , 2, FALSE) + VLOOKUP(index(split(K199 ,"", "", FALSE),1,2), Variables!$A:$B , 2, FALSE) + VLOOKUP(index(split(K199 ,"", "", FALSE),1,3), Variables!$A:$B , 2, FALSE)
)
+
IF(J199=""Ranged"&amp;""", 1 , 0)"),5.5)</f>
        <v>5.5</v>
      </c>
      <c r="M199" s="114" t="s">
        <v>2644</v>
      </c>
      <c r="N199" s="130">
        <f>IFERROR(__xludf.DUMMYFUNCTION("IF(ISBLANK(M199), , 
SWITCH(
LEN(M199)- LEN(SUBSTITUTE(M199,"","","""")), 
0 , VLOOKUP(M199, vote4TRAITS!A:C , 3, FALSE),
1 , VLOOKUP(index(split(M199 ,"", "", FALSE),1,1), vote4TRAITS!A:C , 3, FALSE) + VLOOKUP(index(split(M199 ,"", "", FALSE),1,2), vote4"&amp;"TRAITS!A:C , 3, FALSE),
2 , VLOOKUP(index(split(M199 ,"", "", FALSE),1,1), vote4TRAITS!A:C , 3, FALSE) + VLOOKUP(index(split(M199 ,"", "", FALSE),1,2), vote4TRAITS!A:C , 3, FALSE) + VLOOKUP(index(split(M199 ,"", "", FALSE),1,3), vote4TRAITS!A:C , 3, FALSE"&amp;")
)
)"),11.75)</f>
        <v>11.75</v>
      </c>
      <c r="O199" s="114" t="s">
        <v>1385</v>
      </c>
      <c r="P199" s="165">
        <f>IFERROR(__xludf.DUMMYFUNCTION("IF(ISBLANK(O199), , 
SWITCH(
LEN(O199)- LEN(SUBSTITUTE(O199,"","","""")), 
0 , VLOOKUP(O199, vote4ACTIONS!A:C , 3, FALSE),
1 , VLOOKUP(index(split(O199 ,"", "", FALSE),1,1), vote4ACTIONS!A:C , 3, FALSE) + VLOOKUP(index(split(O199 ,"", "", FALSE),1,2), vot"&amp;"e4ACTIONS!A:C , 3, FALSE),
2 , VLOOKUP(index(split(O199 ,"", "", FALSE),1,1), vote4ACTIONS!A:C , 3, FALSE) + VLOOKUP(index(split(O199 ,"", "", FALSE),1,2), vote4ACTIONS!A:C , 3, FALSE) + VLOOKUP(index(split(O199 ,"", "", FALSE),1,3), vote4ACTIONS!A:C , 3,"&amp;" FALSE),
3 , VLOOKUP(index(split(O199 ,"", "", FALSE),1,1), vote4ACTIONS!A:C , 3, FALSE) + VLOOKUP(index(split(O199 ,"", "", FALSE),1,2), vote4ACTIONS!A:C , 3, FALSE) + VLOOKUP(index(split(O199 ,"", "", FALSE),1,3), vote4ACTIONS!A:C , 3, FALSE) + VLOOKUP("&amp;"index(split(O199 ,"", "", FALSE),1,4), vote4ACTIONS!A:C , 3, FALSE)
)
)"),5.0)</f>
        <v>5</v>
      </c>
      <c r="Q199" s="340"/>
      <c r="R199" s="342" t="str">
        <f>IF(ISBLANK(Q199),,IFERROR(
IF(IFERROR(SEARCH("SS:",Q199),0) &gt; 0, 
VLOOKUP(SUBSTITUTE(Q199,"SS: ",""),vote4SURGE!$A:$C , 3, FALSE) - 2,
VLOOKUP(SUBSTITUTE(Q199,"S: ",""),vote4SURGE!$A:$C , 3, FALSE)
)
,
IF(IFERROR(SEARCH("SS:",Q199),0) &gt; 0, 
VLOOKUP(A199,vote4SURGE!$A:$C , 3, FALSE) - 2,
VLOOKUP(A199,vote4SURGE!$A:$C , 3, FALSE)
)
))</f>
        <v/>
      </c>
      <c r="S199" s="489"/>
      <c r="T199" s="342" t="str">
        <f>IF(ISBLANK(S199),,IFERROR(
IF(IFERROR(SEARCH("SS:",S199),0) &gt; 0, 
VLOOKUP(SUBSTITUTE(S199,"SS: ",""),vote4SURGE!$A:$C , 3, FALSE) - 2,
VLOOKUP(SUBSTITUTE(S199,"S: ",""),vote4SURGE!$A:$C , 3, FALSE)
)
,
IF(IFERROR(SEARCH("SS:",S199),0) &gt; 0, 
VLOOKUP(A199,vote4SURGE!$A:$C , 3, FALSE) - 2,
VLOOKUP(A199,vote4SURGE!$A:$C , 3, FALSE)
)
))</f>
        <v/>
      </c>
      <c r="U199" s="341"/>
      <c r="V199" s="343" t="str">
        <f>IF(ISBLANK(U199),,IFERROR(
IF(IFERROR(SEARCH("SS:",U199),0) &gt; 0, 
VLOOKUP(SUBSTITUTE(U199,"SS: ",""),vote4SURGE!$A:$C , 3, FALSE) - 2,
VLOOKUP(SUBSTITUTE(U199,"S: ",""),vote4SURGE!$A:$C , 3, FALSE)
)
,
IF(IFERROR(SEARCH("SS:",U199),0) &gt; 0, 
VLOOKUP(A199,vote4SURGE!$A:$C , 3, FALSE) - 2,
VLOOKUP(A199,vote4SURGE!$A:$C , 3, FALSE)
)
))</f>
        <v/>
      </c>
      <c r="W199" s="343">
        <f t="shared" si="1"/>
        <v>0</v>
      </c>
      <c r="X199" s="344">
        <f>IFERROR(__xludf.DUMMYFUNCTION("SWITCH(
LEN(K199) - LEN(SUBSTITUTE(K199,"","","""")),
0 , VLOOKUP(K199, Variables!$A:$C, 3, FALSE),
1 , VLOOKUP(index(split(K199 ,"", "", FALSE),1,1), Variables!$A:$C, 3, FALSE) + VLOOKUP(index(split(K199 ,"", "", FALSE),1,2), Variables!$A:$C, 3, FALSE),
"&amp;"2 , VLOOKUP(index(split(K199 ,"", "", FALSE),1,1), Variables!$A:$C, 3, FALSE) + VLOOKUP(index(split(K199 ,"", "", FALSE),1,2), Variables!$A:$C, 3, FALSE) + VLOOKUP(index(split(K199 ,"", "", FALSE),1,3), Variables!$A:$C, 3, FALSE)
)"),0.6666666666666666)</f>
        <v>0.6666666667</v>
      </c>
      <c r="Y199" s="342">
        <f t="shared" si="2"/>
        <v>0</v>
      </c>
      <c r="Z199" s="114"/>
      <c r="AA199" s="114" t="s">
        <v>2572</v>
      </c>
      <c r="AB199" s="114"/>
      <c r="AC199" s="114"/>
      <c r="AD199" s="114"/>
      <c r="AE199" s="114"/>
      <c r="AF199" s="114"/>
      <c r="AG199" s="114" t="s">
        <v>2572</v>
      </c>
      <c r="AH199" s="114"/>
      <c r="AI199" s="114"/>
      <c r="AJ199" s="114" t="s">
        <v>2573</v>
      </c>
      <c r="AK199" s="473">
        <v>10.0</v>
      </c>
      <c r="AL199" s="114" t="s">
        <v>2574</v>
      </c>
      <c r="AM199" s="473">
        <v>13.0</v>
      </c>
      <c r="AN199" s="114" t="s">
        <v>2574</v>
      </c>
      <c r="AO199" s="473">
        <v>23.0</v>
      </c>
      <c r="AP199" s="130">
        <f>SUM(
VLOOKUP("Ravage",vote4TRAITS!A:C,3,FALSE)
)</f>
        <v>7.333333333</v>
      </c>
      <c r="AQ199" s="130">
        <f t="shared" si="3"/>
        <v>33.57</v>
      </c>
    </row>
    <row r="200" ht="14.25" customHeight="1">
      <c r="A200" s="137" t="s">
        <v>1466</v>
      </c>
      <c r="B200" s="114" t="s">
        <v>2570</v>
      </c>
      <c r="C200" s="114">
        <v>44.0</v>
      </c>
      <c r="D200" s="114">
        <v>1.0</v>
      </c>
      <c r="E200" s="114">
        <v>4.0</v>
      </c>
      <c r="F200" s="487">
        <v>3.0</v>
      </c>
      <c r="G200" s="488">
        <v>10.0</v>
      </c>
      <c r="H200" s="114" t="s">
        <v>1663</v>
      </c>
      <c r="I200" s="130">
        <f>IFERROR(__xludf.DUMMYFUNCTION("SWITCH(
LEN(H200) - LEN(SUBSTITUTE(H200,"","","""")),
0 , VLOOKUP(H200, Variables!$A:$B, 2, FALSE),
1 , VLOOKUP(index(split(H200 ,"", "", FALSE),1,1), Variables!$A:$B , 2, FALSE) + VLOOKUP(index(split(H200 ,"", "", FALSE),1,2), Variables!$A:$B , 2, FALSE)"&amp;",
2 , VLOOKUP(index(split(H200 ,"", "", FALSE),1,1), Variables!$A:$B , 2, FALSE) + VLOOKUP(index(split(H200 ,"", "", FALSE),1,2), Variables!$A:$B , 2, FALSE) + VLOOKUP(index(split(H200 ,"", "", FALSE),1,3), Variables!$A:$B , 2, FALSE)
)"),1.3333333333333333)</f>
        <v>1.333333333</v>
      </c>
      <c r="J200" s="114" t="s">
        <v>1521</v>
      </c>
      <c r="K200" s="114" t="s">
        <v>1525</v>
      </c>
      <c r="L200" s="130">
        <f>IFERROR(__xludf.DUMMYFUNCTION("SWITCH(
LEN(K200) - LEN(SUBSTITUTE(K200,"","","""")),
0 , VLOOKUP(K200, Variables!$A:$B, 2, FALSE),
1 , VLOOKUP(index(split(K200 ,"", "", FALSE),1,1), Variables!$A:$B , 2, FALSE) + VLOOKUP(index(split(K200 ,"", "", FALSE),1,2), Variables!$A:$B , 2, FALSE)"&amp;",
2 , VLOOKUP(index(split(K200 ,"", "", FALSE),1,1), Variables!$A:$B , 2, FALSE) + VLOOKUP(index(split(K200 ,"", "", FALSE),1,2), Variables!$A:$B , 2, FALSE) + VLOOKUP(index(split(K200 ,"", "", FALSE),1,3), Variables!$A:$B , 2, FALSE)
)
+
IF(J200=""Ranged"&amp;""", 1 , 0)"),3.333333333333333)</f>
        <v>3.333333333</v>
      </c>
      <c r="M200" s="114" t="s">
        <v>2644</v>
      </c>
      <c r="N200" s="130">
        <f>IFERROR(__xludf.DUMMYFUNCTION("IF(ISBLANK(M200), , 
SWITCH(
LEN(M200)- LEN(SUBSTITUTE(M200,"","","""")), 
0 , VLOOKUP(M200, vote4TRAITS!A:C , 3, FALSE),
1 , VLOOKUP(index(split(M200 ,"", "", FALSE),1,1), vote4TRAITS!A:C , 3, FALSE) + VLOOKUP(index(split(M200 ,"", "", FALSE),1,2), vote4"&amp;"TRAITS!A:C , 3, FALSE),
2 , VLOOKUP(index(split(M200 ,"", "", FALSE),1,1), vote4TRAITS!A:C , 3, FALSE) + VLOOKUP(index(split(M200 ,"", "", FALSE),1,2), vote4TRAITS!A:C , 3, FALSE) + VLOOKUP(index(split(M200 ,"", "", FALSE),1,3), vote4TRAITS!A:C , 3, FALSE"&amp;")
)
)"),11.75)</f>
        <v>11.75</v>
      </c>
      <c r="O200" s="114" t="s">
        <v>1385</v>
      </c>
      <c r="P200" s="165">
        <f>IFERROR(__xludf.DUMMYFUNCTION("IF(ISBLANK(O200), , 
SWITCH(
LEN(O200)- LEN(SUBSTITUTE(O200,"","","""")), 
0 , VLOOKUP(O200, vote4ACTIONS!A:C , 3, FALSE),
1 , VLOOKUP(index(split(O200 ,"", "", FALSE),1,1), vote4ACTIONS!A:C , 3, FALSE) + VLOOKUP(index(split(O200 ,"", "", FALSE),1,2), vot"&amp;"e4ACTIONS!A:C , 3, FALSE),
2 , VLOOKUP(index(split(O200 ,"", "", FALSE),1,1), vote4ACTIONS!A:C , 3, FALSE) + VLOOKUP(index(split(O200 ,"", "", FALSE),1,2), vote4ACTIONS!A:C , 3, FALSE) + VLOOKUP(index(split(O200 ,"", "", FALSE),1,3), vote4ACTIONS!A:C , 3,"&amp;" FALSE),
3 , VLOOKUP(index(split(O200 ,"", "", FALSE),1,1), vote4ACTIONS!A:C , 3, FALSE) + VLOOKUP(index(split(O200 ,"", "", FALSE),1,2), vote4ACTIONS!A:C , 3, FALSE) + VLOOKUP(index(split(O200 ,"", "", FALSE),1,3), vote4ACTIONS!A:C , 3, FALSE) + VLOOKUP("&amp;"index(split(O200 ,"", "", FALSE),1,4), vote4ACTIONS!A:C , 3, FALSE)
)
)"),5.0)</f>
        <v>5</v>
      </c>
      <c r="Q200" s="155"/>
      <c r="R200" s="342" t="str">
        <f>IF(ISBLANK(Q200),,IFERROR(
IF(IFERROR(SEARCH("SS:",Q200),0) &gt; 0, 
VLOOKUP(SUBSTITUTE(Q200,"SS: ",""),vote4SURGE!$A:$C , 3, FALSE) - 2,
VLOOKUP(SUBSTITUTE(Q200,"S: ",""),vote4SURGE!$A:$C , 3, FALSE)
)
,
IF(IFERROR(SEARCH("SS:",Q200),0) &gt; 0, 
VLOOKUP(A200,vote4SURGE!$A:$C , 3, FALSE) - 2,
VLOOKUP(A200,vote4SURGE!$A:$C , 3, FALSE)
)
))</f>
        <v/>
      </c>
      <c r="S200" s="489"/>
      <c r="T200" s="342" t="str">
        <f>IF(ISBLANK(S200),,IFERROR(
IF(IFERROR(SEARCH("SS:",S200),0) &gt; 0, 
VLOOKUP(SUBSTITUTE(S200,"SS: ",""),vote4SURGE!$A:$C , 3, FALSE) - 2,
VLOOKUP(SUBSTITUTE(S200,"S: ",""),vote4SURGE!$A:$C , 3, FALSE)
)
,
IF(IFERROR(SEARCH("SS:",S200),0) &gt; 0, 
VLOOKUP(A200,vote4SURGE!$A:$C , 3, FALSE) - 2,
VLOOKUP(A200,vote4SURGE!$A:$C , 3, FALSE)
)
))</f>
        <v/>
      </c>
      <c r="U200" s="489"/>
      <c r="V200" s="343" t="str">
        <f>IF(ISBLANK(U200),,IFERROR(
IF(IFERROR(SEARCH("SS:",U200),0) &gt; 0, 
VLOOKUP(SUBSTITUTE(U200,"SS: ",""),vote4SURGE!$A:$C , 3, FALSE) - 2,
VLOOKUP(SUBSTITUTE(U200,"S: ",""),vote4SURGE!$A:$C , 3, FALSE)
)
,
IF(IFERROR(SEARCH("SS:",U200),0) &gt; 0, 
VLOOKUP(A200,vote4SURGE!$A:$C , 3, FALSE) - 2,
VLOOKUP(A200,vote4SURGE!$A:$C , 3, FALSE)
)
))</f>
        <v/>
      </c>
      <c r="W200" s="343">
        <f t="shared" si="1"/>
        <v>0</v>
      </c>
      <c r="X200" s="344">
        <f>IFERROR(__xludf.DUMMYFUNCTION("SWITCH(
LEN(K200) - LEN(SUBSTITUTE(K200,"","","""")),
0 , VLOOKUP(K200, Variables!$A:$C, 3, FALSE),
1 , VLOOKUP(index(split(K200 ,"", "", FALSE),1,1), Variables!$A:$C, 3, FALSE) + VLOOKUP(index(split(K200 ,"", "", FALSE),1,2), Variables!$A:$C, 3, FALSE),
"&amp;"2 , VLOOKUP(index(split(K200 ,"", "", FALSE),1,1), Variables!$A:$C, 3, FALSE) + VLOOKUP(index(split(K200 ,"", "", FALSE),1,2), Variables!$A:$C, 3, FALSE) + VLOOKUP(index(split(K200 ,"", "", FALSE),1,3), Variables!$A:$C, 3, FALSE)
)"),0.5)</f>
        <v>0.5</v>
      </c>
      <c r="Y200" s="342">
        <f t="shared" si="2"/>
        <v>0</v>
      </c>
      <c r="Z200" s="114"/>
      <c r="AA200" s="114" t="s">
        <v>2572</v>
      </c>
      <c r="AB200" s="114"/>
      <c r="AC200" s="114"/>
      <c r="AD200" s="114"/>
      <c r="AE200" s="114"/>
      <c r="AF200" s="114"/>
      <c r="AG200" s="114" t="s">
        <v>2572</v>
      </c>
      <c r="AH200" s="114"/>
      <c r="AI200" s="114"/>
      <c r="AJ200" s="114" t="s">
        <v>2573</v>
      </c>
      <c r="AK200" s="473">
        <v>8.0</v>
      </c>
      <c r="AL200" s="114" t="s">
        <v>2574</v>
      </c>
      <c r="AM200" s="473">
        <v>10.0</v>
      </c>
      <c r="AN200" s="114" t="s">
        <v>2574</v>
      </c>
      <c r="AO200" s="473">
        <v>18.0</v>
      </c>
      <c r="AP200" s="130">
        <f>SUM(
VLOOKUP("Ravage",vote4TRAITS!A:C,3,FALSE)
)</f>
        <v>7.333333333</v>
      </c>
      <c r="AQ200" s="130">
        <f t="shared" si="3"/>
        <v>27.40333333</v>
      </c>
    </row>
    <row r="201" ht="14.25" customHeight="1">
      <c r="A201" s="137" t="s">
        <v>1466</v>
      </c>
      <c r="B201" s="114" t="s">
        <v>2576</v>
      </c>
      <c r="C201" s="114">
        <v>44.0</v>
      </c>
      <c r="D201" s="114">
        <v>2.0</v>
      </c>
      <c r="E201" s="114">
        <v>4.0</v>
      </c>
      <c r="F201" s="487">
        <v>3.0</v>
      </c>
      <c r="G201" s="488">
        <v>10.0</v>
      </c>
      <c r="H201" s="114" t="s">
        <v>1663</v>
      </c>
      <c r="I201" s="130">
        <f>IFERROR(__xludf.DUMMYFUNCTION("SWITCH(
LEN(H201) - LEN(SUBSTITUTE(H201,"","","""")),
0 , VLOOKUP(H201, Variables!$A:$B, 2, FALSE),
1 , VLOOKUP(index(split(H201 ,"", "", FALSE),1,1), Variables!$A:$B , 2, FALSE) + VLOOKUP(index(split(H201 ,"", "", FALSE),1,2), Variables!$A:$B , 2, FALSE)"&amp;",
2 , VLOOKUP(index(split(H201 ,"", "", FALSE),1,1), Variables!$A:$B , 2, FALSE) + VLOOKUP(index(split(H201 ,"", "", FALSE),1,2), Variables!$A:$B , 2, FALSE) + VLOOKUP(index(split(H201 ,"", "", FALSE),1,3), Variables!$A:$B , 2, FALSE)
)"),1.3333333333333333)</f>
        <v>1.333333333</v>
      </c>
      <c r="J201" s="114" t="s">
        <v>1521</v>
      </c>
      <c r="K201" s="114" t="s">
        <v>1528</v>
      </c>
      <c r="L201" s="130">
        <f>IFERROR(__xludf.DUMMYFUNCTION("SWITCH(
LEN(K201) - LEN(SUBSTITUTE(K201,"","","""")),
0 , VLOOKUP(K201, Variables!$A:$B, 2, FALSE),
1 , VLOOKUP(index(split(K201 ,"", "", FALSE),1,1), Variables!$A:$B , 2, FALSE) + VLOOKUP(index(split(K201 ,"", "", FALSE),1,2), Variables!$A:$B , 2, FALSE)"&amp;",
2 , VLOOKUP(index(split(K201 ,"", "", FALSE),1,1), Variables!$A:$B , 2, FALSE) + VLOOKUP(index(split(K201 ,"", "", FALSE),1,2), Variables!$A:$B , 2, FALSE) + VLOOKUP(index(split(K201 ,"", "", FALSE),1,3), Variables!$A:$B , 2, FALSE)
)
+
IF(J201=""Ranged"&amp;""", 1 , 0)"),5.5)</f>
        <v>5.5</v>
      </c>
      <c r="M201" s="114" t="s">
        <v>2644</v>
      </c>
      <c r="N201" s="130">
        <f>IFERROR(__xludf.DUMMYFUNCTION("IF(ISBLANK(M201), , 
SWITCH(
LEN(M201)- LEN(SUBSTITUTE(M201,"","","""")), 
0 , VLOOKUP(M201, vote4TRAITS!A:C , 3, FALSE),
1 , VLOOKUP(index(split(M201 ,"", "", FALSE),1,1), vote4TRAITS!A:C , 3, FALSE) + VLOOKUP(index(split(M201 ,"", "", FALSE),1,2), vote4"&amp;"TRAITS!A:C , 3, FALSE),
2 , VLOOKUP(index(split(M201 ,"", "", FALSE),1,1), vote4TRAITS!A:C , 3, FALSE) + VLOOKUP(index(split(M201 ,"", "", FALSE),1,2), vote4TRAITS!A:C , 3, FALSE) + VLOOKUP(index(split(M201 ,"", "", FALSE),1,3), vote4TRAITS!A:C , 3, FALSE"&amp;")
)
)"),11.75)</f>
        <v>11.75</v>
      </c>
      <c r="O201" s="114"/>
      <c r="P201" s="165" t="str">
        <f>IFERROR(__xludf.DUMMYFUNCTION("IF(ISBLANK(O201), , 
SWITCH(
LEN(O201)- LEN(SUBSTITUTE(O201,"","","""")), 
0 , VLOOKUP(O201, vote4ACTIONS!A:C , 3, FALSE),
1 , VLOOKUP(index(split(O201 ,"", "", FALSE),1,1), vote4ACTIONS!A:C , 3, FALSE) + VLOOKUP(index(split(O201 ,"", "", FALSE),1,2), vot"&amp;"e4ACTIONS!A:C , 3, FALSE),
2 , VLOOKUP(index(split(O201 ,"", "", FALSE),1,1), vote4ACTIONS!A:C , 3, FALSE) + VLOOKUP(index(split(O201 ,"", "", FALSE),1,2), vote4ACTIONS!A:C , 3, FALSE) + VLOOKUP(index(split(O201 ,"", "", FALSE),1,3), vote4ACTIONS!A:C , 3,"&amp;" FALSE),
3 , VLOOKUP(index(split(O201 ,"", "", FALSE),1,1), vote4ACTIONS!A:C , 3, FALSE) + VLOOKUP(index(split(O201 ,"", "", FALSE),1,2), vote4ACTIONS!A:C , 3, FALSE) + VLOOKUP(index(split(O201 ,"", "", FALSE),1,3), vote4ACTIONS!A:C , 3, FALSE) + VLOOKUP("&amp;"index(split(O201 ,"", "", FALSE),1,4), vote4ACTIONS!A:C , 3, FALSE)
)
)"),"")</f>
        <v/>
      </c>
      <c r="Q201" s="340"/>
      <c r="R201" s="342" t="str">
        <f>IF(ISBLANK(Q201),,IFERROR(
IF(IFERROR(SEARCH("SS:",Q201),0) &gt; 0, 
VLOOKUP(SUBSTITUTE(Q201,"SS: ",""),vote4SURGE!$A:$C , 3, FALSE) - 2,
VLOOKUP(SUBSTITUTE(Q201,"S: ",""),vote4SURGE!$A:$C , 3, FALSE)
)
,
IF(IFERROR(SEARCH("SS:",Q201),0) &gt; 0, 
VLOOKUP(A201,vote4SURGE!$A:$C , 3, FALSE) - 2,
VLOOKUP(A201,vote4SURGE!$A:$C , 3, FALSE)
)
))</f>
        <v/>
      </c>
      <c r="S201" s="341"/>
      <c r="T201" s="342" t="str">
        <f>IF(ISBLANK(S201),,IFERROR(
IF(IFERROR(SEARCH("SS:",S201),0) &gt; 0, 
VLOOKUP(SUBSTITUTE(S201,"SS: ",""),vote4SURGE!$A:$C , 3, FALSE) - 2,
VLOOKUP(SUBSTITUTE(S201,"S: ",""),vote4SURGE!$A:$C , 3, FALSE)
)
,
IF(IFERROR(SEARCH("SS:",S201),0) &gt; 0, 
VLOOKUP(A201,vote4SURGE!$A:$C , 3, FALSE) - 2,
VLOOKUP(A201,vote4SURGE!$A:$C , 3, FALSE)
)
))</f>
        <v/>
      </c>
      <c r="U201" s="341"/>
      <c r="V201" s="343" t="str">
        <f>IF(ISBLANK(U201),,IFERROR(
IF(IFERROR(SEARCH("SS:",U201),0) &gt; 0, 
VLOOKUP(SUBSTITUTE(U201,"SS: ",""),vote4SURGE!$A:$C , 3, FALSE) - 2,
VLOOKUP(SUBSTITUTE(U201,"S: ",""),vote4SURGE!$A:$C , 3, FALSE)
)
,
IF(IFERROR(SEARCH("SS:",U201),0) &gt; 0, 
VLOOKUP(A201,vote4SURGE!$A:$C , 3, FALSE) - 2,
VLOOKUP(A201,vote4SURGE!$A:$C , 3, FALSE)
)
))</f>
        <v/>
      </c>
      <c r="W201" s="343">
        <f t="shared" si="1"/>
        <v>0</v>
      </c>
      <c r="X201" s="344">
        <f>IFERROR(__xludf.DUMMYFUNCTION("SWITCH(
LEN(K201) - LEN(SUBSTITUTE(K201,"","","""")),
0 , VLOOKUP(K201, Variables!$A:$C, 3, FALSE),
1 , VLOOKUP(index(split(K201 ,"", "", FALSE),1,1), Variables!$A:$C, 3, FALSE) + VLOOKUP(index(split(K201 ,"", "", FALSE),1,2), Variables!$A:$C, 3, FALSE),
"&amp;"2 , VLOOKUP(index(split(K201 ,"", "", FALSE),1,1), Variables!$A:$C, 3, FALSE) + VLOOKUP(index(split(K201 ,"", "", FALSE),1,2), Variables!$A:$C, 3, FALSE) + VLOOKUP(index(split(K201 ,"", "", FALSE),1,3), Variables!$A:$C, 3, FALSE)
)"),0.6666666666666666)</f>
        <v>0.6666666667</v>
      </c>
      <c r="Y201" s="342">
        <f t="shared" si="2"/>
        <v>0</v>
      </c>
      <c r="Z201" s="114"/>
      <c r="AA201" s="114" t="s">
        <v>2572</v>
      </c>
      <c r="AB201" s="114"/>
      <c r="AC201" s="114"/>
      <c r="AD201" s="114"/>
      <c r="AE201" s="114"/>
      <c r="AF201" s="114"/>
      <c r="AG201" s="114" t="s">
        <v>2572</v>
      </c>
      <c r="AH201" s="114"/>
      <c r="AI201" s="114"/>
      <c r="AJ201" s="114" t="s">
        <v>2574</v>
      </c>
      <c r="AK201" s="473">
        <v>10.0</v>
      </c>
      <c r="AL201" s="114" t="s">
        <v>2573</v>
      </c>
      <c r="AM201" s="473">
        <v>13.0</v>
      </c>
      <c r="AN201" s="114" t="s">
        <v>2574</v>
      </c>
      <c r="AO201" s="473">
        <v>23.0</v>
      </c>
      <c r="AP201" s="130">
        <f>SUM(
VLOOKUP("Ravage",vote4TRAITS!A:C,3,FALSE)
)</f>
        <v>7.333333333</v>
      </c>
      <c r="AQ201" s="130">
        <f t="shared" si="3"/>
        <v>24.57</v>
      </c>
    </row>
    <row r="202" ht="14.25" customHeight="1">
      <c r="A202" s="137" t="s">
        <v>1466</v>
      </c>
      <c r="B202" s="114" t="s">
        <v>2576</v>
      </c>
      <c r="C202" s="114">
        <v>44.0</v>
      </c>
      <c r="D202" s="114">
        <v>1.0</v>
      </c>
      <c r="E202" s="114">
        <v>4.0</v>
      </c>
      <c r="F202" s="487">
        <v>3.0</v>
      </c>
      <c r="G202" s="488">
        <v>8.0</v>
      </c>
      <c r="H202" s="114" t="s">
        <v>1663</v>
      </c>
      <c r="I202" s="130">
        <f>IFERROR(__xludf.DUMMYFUNCTION("SWITCH(
LEN(H202) - LEN(SUBSTITUTE(H202,"","","""")),
0 , VLOOKUP(H202, Variables!$A:$B, 2, FALSE),
1 , VLOOKUP(index(split(H202 ,"", "", FALSE),1,1), Variables!$A:$B , 2, FALSE) + VLOOKUP(index(split(H202 ,"", "", FALSE),1,2), Variables!$A:$B , 2, FALSE)"&amp;",
2 , VLOOKUP(index(split(H202 ,"", "", FALSE),1,1), Variables!$A:$B , 2, FALSE) + VLOOKUP(index(split(H202 ,"", "", FALSE),1,2), Variables!$A:$B , 2, FALSE) + VLOOKUP(index(split(H202 ,"", "", FALSE),1,3), Variables!$A:$B , 2, FALSE)
)"),1.3333333333333333)</f>
        <v>1.333333333</v>
      </c>
      <c r="J202" s="114" t="s">
        <v>1521</v>
      </c>
      <c r="K202" s="114" t="s">
        <v>1525</v>
      </c>
      <c r="L202" s="130">
        <f>IFERROR(__xludf.DUMMYFUNCTION("SWITCH(
LEN(K202) - LEN(SUBSTITUTE(K202,"","","""")),
0 , VLOOKUP(K202, Variables!$A:$B, 2, FALSE),
1 , VLOOKUP(index(split(K202 ,"", "", FALSE),1,1), Variables!$A:$B , 2, FALSE) + VLOOKUP(index(split(K202 ,"", "", FALSE),1,2), Variables!$A:$B , 2, FALSE)"&amp;",
2 , VLOOKUP(index(split(K202 ,"", "", FALSE),1,1), Variables!$A:$B , 2, FALSE) + VLOOKUP(index(split(K202 ,"", "", FALSE),1,2), Variables!$A:$B , 2, FALSE) + VLOOKUP(index(split(K202 ,"", "", FALSE),1,3), Variables!$A:$B , 2, FALSE)
)
+
IF(J202=""Ranged"&amp;""", 1 , 0)"),3.333333333333333)</f>
        <v>3.333333333</v>
      </c>
      <c r="M202" s="114" t="s">
        <v>2644</v>
      </c>
      <c r="N202" s="130">
        <f>IFERROR(__xludf.DUMMYFUNCTION("IF(ISBLANK(M202), , 
SWITCH(
LEN(M202)- LEN(SUBSTITUTE(M202,"","","""")), 
0 , VLOOKUP(M202, vote4TRAITS!A:C , 3, FALSE),
1 , VLOOKUP(index(split(M202 ,"", "", FALSE),1,1), vote4TRAITS!A:C , 3, FALSE) + VLOOKUP(index(split(M202 ,"", "", FALSE),1,2), vote4"&amp;"TRAITS!A:C , 3, FALSE),
2 , VLOOKUP(index(split(M202 ,"", "", FALSE),1,1), vote4TRAITS!A:C , 3, FALSE) + VLOOKUP(index(split(M202 ,"", "", FALSE),1,2), vote4TRAITS!A:C , 3, FALSE) + VLOOKUP(index(split(M202 ,"", "", FALSE),1,3), vote4TRAITS!A:C , 3, FALSE"&amp;")
)
)"),11.75)</f>
        <v>11.75</v>
      </c>
      <c r="O202" s="114"/>
      <c r="P202" s="165" t="str">
        <f>IFERROR(__xludf.DUMMYFUNCTION("IF(ISBLANK(O202), , 
SWITCH(
LEN(O202)- LEN(SUBSTITUTE(O202,"","","""")), 
0 , VLOOKUP(O202, vote4ACTIONS!A:C , 3, FALSE),
1 , VLOOKUP(index(split(O202 ,"", "", FALSE),1,1), vote4ACTIONS!A:C , 3, FALSE) + VLOOKUP(index(split(O202 ,"", "", FALSE),1,2), vot"&amp;"e4ACTIONS!A:C , 3, FALSE),
2 , VLOOKUP(index(split(O202 ,"", "", FALSE),1,1), vote4ACTIONS!A:C , 3, FALSE) + VLOOKUP(index(split(O202 ,"", "", FALSE),1,2), vote4ACTIONS!A:C , 3, FALSE) + VLOOKUP(index(split(O202 ,"", "", FALSE),1,3), vote4ACTIONS!A:C , 3,"&amp;" FALSE),
3 , VLOOKUP(index(split(O202 ,"", "", FALSE),1,1), vote4ACTIONS!A:C , 3, FALSE) + VLOOKUP(index(split(O202 ,"", "", FALSE),1,2), vote4ACTIONS!A:C , 3, FALSE) + VLOOKUP(index(split(O202 ,"", "", FALSE),1,3), vote4ACTIONS!A:C , 3, FALSE) + VLOOKUP("&amp;"index(split(O202 ,"", "", FALSE),1,4), vote4ACTIONS!A:C , 3, FALSE)
)
)"),"")</f>
        <v/>
      </c>
      <c r="Q202" s="340"/>
      <c r="R202" s="342" t="str">
        <f>IF(ISBLANK(Q202),,IFERROR(
IF(IFERROR(SEARCH("SS:",Q202),0) &gt; 0, 
VLOOKUP(SUBSTITUTE(Q202,"SS: ",""),vote4SURGE!$A:$C , 3, FALSE) - 2,
VLOOKUP(SUBSTITUTE(Q202,"S: ",""),vote4SURGE!$A:$C , 3, FALSE)
)
,
IF(IFERROR(SEARCH("SS:",Q202),0) &gt; 0, 
VLOOKUP(A202,vote4SURGE!$A:$C , 3, FALSE) - 2,
VLOOKUP(A202,vote4SURGE!$A:$C , 3, FALSE)
)
))</f>
        <v/>
      </c>
      <c r="S202" s="340"/>
      <c r="T202" s="342" t="str">
        <f>IF(ISBLANK(S202),,IFERROR(
IF(IFERROR(SEARCH("SS:",S202),0) &gt; 0, 
VLOOKUP(SUBSTITUTE(S202,"SS: ",""),vote4SURGE!$A:$C , 3, FALSE) - 2,
VLOOKUP(SUBSTITUTE(S202,"S: ",""),vote4SURGE!$A:$C , 3, FALSE)
)
,
IF(IFERROR(SEARCH("SS:",S202),0) &gt; 0, 
VLOOKUP(A202,vote4SURGE!$A:$C , 3, FALSE) - 2,
VLOOKUP(A202,vote4SURGE!$A:$C , 3, FALSE)
)
))</f>
        <v/>
      </c>
      <c r="U202" s="341"/>
      <c r="V202" s="343" t="str">
        <f>IF(ISBLANK(U202),,IFERROR(
IF(IFERROR(SEARCH("SS:",U202),0) &gt; 0, 
VLOOKUP(SUBSTITUTE(U202,"SS: ",""),vote4SURGE!$A:$C , 3, FALSE) - 2,
VLOOKUP(SUBSTITUTE(U202,"S: ",""),vote4SURGE!$A:$C , 3, FALSE)
)
,
IF(IFERROR(SEARCH("SS:",U202),0) &gt; 0, 
VLOOKUP(A202,vote4SURGE!$A:$C , 3, FALSE) - 2,
VLOOKUP(A202,vote4SURGE!$A:$C , 3, FALSE)
)
))</f>
        <v/>
      </c>
      <c r="W202" s="343">
        <f t="shared" si="1"/>
        <v>0</v>
      </c>
      <c r="X202" s="344">
        <f>IFERROR(__xludf.DUMMYFUNCTION("SWITCH(
LEN(K202) - LEN(SUBSTITUTE(K202,"","","""")),
0 , VLOOKUP(K202, Variables!$A:$C, 3, FALSE),
1 , VLOOKUP(index(split(K202 ,"", "", FALSE),1,1), Variables!$A:$C, 3, FALSE) + VLOOKUP(index(split(K202 ,"", "", FALSE),1,2), Variables!$A:$C, 3, FALSE),
"&amp;"2 , VLOOKUP(index(split(K202 ,"", "", FALSE),1,1), Variables!$A:$C, 3, FALSE) + VLOOKUP(index(split(K202 ,"", "", FALSE),1,2), Variables!$A:$C, 3, FALSE) + VLOOKUP(index(split(K202 ,"", "", FALSE),1,3), Variables!$A:$C, 3, FALSE)
)"),0.5)</f>
        <v>0.5</v>
      </c>
      <c r="Y202" s="342">
        <f t="shared" si="2"/>
        <v>0</v>
      </c>
      <c r="Z202" s="114"/>
      <c r="AA202" s="114" t="s">
        <v>2572</v>
      </c>
      <c r="AB202" s="114"/>
      <c r="AC202" s="114"/>
      <c r="AD202" s="114"/>
      <c r="AE202" s="114"/>
      <c r="AF202" s="114"/>
      <c r="AG202" s="114" t="s">
        <v>2572</v>
      </c>
      <c r="AH202" s="114"/>
      <c r="AI202" s="114"/>
      <c r="AJ202" s="114" t="s">
        <v>2574</v>
      </c>
      <c r="AK202" s="473">
        <v>8.0</v>
      </c>
      <c r="AL202" s="114" t="s">
        <v>2573</v>
      </c>
      <c r="AM202" s="473">
        <v>10.0</v>
      </c>
      <c r="AN202" s="114" t="s">
        <v>2574</v>
      </c>
      <c r="AO202" s="473">
        <v>18.0</v>
      </c>
      <c r="AP202" s="130">
        <f>SUM(
VLOOKUP("Ravage",vote4TRAITS!A:C,3,FALSE)
)</f>
        <v>7.333333333</v>
      </c>
      <c r="AQ202" s="130">
        <f t="shared" si="3"/>
        <v>19.73666667</v>
      </c>
    </row>
    <row r="203" ht="14.25" customHeight="1">
      <c r="A203" s="137" t="s">
        <v>2645</v>
      </c>
      <c r="B203" s="114" t="s">
        <v>2570</v>
      </c>
      <c r="C203" s="114">
        <v>15.0</v>
      </c>
      <c r="D203" s="114">
        <v>2.0</v>
      </c>
      <c r="E203" s="114">
        <v>1.0</v>
      </c>
      <c r="F203" s="487">
        <v>4.0</v>
      </c>
      <c r="G203" s="488">
        <v>6.0</v>
      </c>
      <c r="H203" s="114" t="s">
        <v>2575</v>
      </c>
      <c r="I203" s="130">
        <f>IFERROR(__xludf.DUMMYFUNCTION("SWITCH(
LEN(H203) - LEN(SUBSTITUTE(H203,"","","""")),
0 , VLOOKUP(H203, Variables!$A:$B, 2, FALSE),
1 , VLOOKUP(index(split(H203 ,"", "", FALSE),1,1), Variables!$A:$B , 2, FALSE) + VLOOKUP(index(split(H203 ,"", "", FALSE),1,2), Variables!$A:$B , 2, FALSE)"&amp;",
2 , VLOOKUP(index(split(H203 ,"", "", FALSE),1,1), Variables!$A:$B , 2, FALSE) + VLOOKUP(index(split(H203 ,"", "", FALSE),1,2), Variables!$A:$B , 2, FALSE) + VLOOKUP(index(split(H203 ,"", "", FALSE),1,3), Variables!$A:$B , 2, FALSE)
)"),2.0)</f>
        <v>2</v>
      </c>
      <c r="J203" s="114" t="s">
        <v>1521</v>
      </c>
      <c r="K203" s="114" t="s">
        <v>1525</v>
      </c>
      <c r="L203" s="130">
        <f>IFERROR(__xludf.DUMMYFUNCTION("SWITCH(
LEN(K203) - LEN(SUBSTITUTE(K203,"","","""")),
0 , VLOOKUP(K203, Variables!$A:$B, 2, FALSE),
1 , VLOOKUP(index(split(K203 ,"", "", FALSE),1,1), Variables!$A:$B , 2, FALSE) + VLOOKUP(index(split(K203 ,"", "", FALSE),1,2), Variables!$A:$B , 2, FALSE)"&amp;",
2 , VLOOKUP(index(split(K203 ,"", "", FALSE),1,1), Variables!$A:$B , 2, FALSE) + VLOOKUP(index(split(K203 ,"", "", FALSE),1,2), Variables!$A:$B , 2, FALSE) + VLOOKUP(index(split(K203 ,"", "", FALSE),1,3), Variables!$A:$B , 2, FALSE)
)
+
IF(J203=""Ranged"&amp;""", 1 , 0)"),3.333333333333333)</f>
        <v>3.333333333</v>
      </c>
      <c r="M203" s="114" t="s">
        <v>1095</v>
      </c>
      <c r="N203" s="130">
        <f>IFERROR(__xludf.DUMMYFUNCTION("IF(ISBLANK(M203), , 
SWITCH(
LEN(M203)- LEN(SUBSTITUTE(M203,"","","""")), 
0 , VLOOKUP(M203, vote4TRAITS!A:C , 3, FALSE),
1 , VLOOKUP(index(split(M203 ,"", "", FALSE),1,1), vote4TRAITS!A:C , 3, FALSE) + VLOOKUP(index(split(M203 ,"", "", FALSE),1,2), vote4"&amp;"TRAITS!A:C , 3, FALSE),
2 , VLOOKUP(index(split(M203 ,"", "", FALSE),1,1), vote4TRAITS!A:C , 3, FALSE) + VLOOKUP(index(split(M203 ,"", "", FALSE),1,2), vote4TRAITS!A:C , 3, FALSE) + VLOOKUP(index(split(M203 ,"", "", FALSE),1,3), vote4TRAITS!A:C , 3, FALSE"&amp;")
)
)"),7.333333333333333)</f>
        <v>7.333333333</v>
      </c>
      <c r="O203" s="114" t="s">
        <v>1379</v>
      </c>
      <c r="P203" s="165">
        <f>IFERROR(__xludf.DUMMYFUNCTION("IF(ISBLANK(O203), , 
SWITCH(
LEN(O203)- LEN(SUBSTITUTE(O203,"","","""")), 
0 , VLOOKUP(O203, vote4ACTIONS!A:C , 3, FALSE),
1 , VLOOKUP(index(split(O203 ,"", "", FALSE),1,1), vote4ACTIONS!A:C , 3, FALSE) + VLOOKUP(index(split(O203 ,"", "", FALSE),1,2), vot"&amp;"e4ACTIONS!A:C , 3, FALSE),
2 , VLOOKUP(index(split(O203 ,"", "", FALSE),1,1), vote4ACTIONS!A:C , 3, FALSE) + VLOOKUP(index(split(O203 ,"", "", FALSE),1,2), vote4ACTIONS!A:C , 3, FALSE) + VLOOKUP(index(split(O203 ,"", "", FALSE),1,3), vote4ACTIONS!A:C , 3,"&amp;" FALSE),
3 , VLOOKUP(index(split(O203 ,"", "", FALSE),1,1), vote4ACTIONS!A:C , 3, FALSE) + VLOOKUP(index(split(O203 ,"", "", FALSE),1,2), vote4ACTIONS!A:C , 3, FALSE) + VLOOKUP(index(split(O203 ,"", "", FALSE),1,3), vote4ACTIONS!A:C , 3, FALSE) + VLOOKUP("&amp;"index(split(O203 ,"", "", FALSE),1,4), vote4ACTIONS!A:C , 3, FALSE)
)
)"),4.5)</f>
        <v>4.5</v>
      </c>
      <c r="Q203" s="164" t="s">
        <v>1183</v>
      </c>
      <c r="R203" s="342">
        <f>IF(ISBLANK(Q203),,IFERROR(
IF(IFERROR(SEARCH("SS:",Q203),0) &gt; 0, 
VLOOKUP(SUBSTITUTE(Q203,"SS: ",""),vote4SURGE!$A:$C , 3, FALSE) - 2,
VLOOKUP(SUBSTITUTE(Q203,"S: ",""),vote4SURGE!$A:$C , 3, FALSE)
)
,
IF(IFERROR(SEARCH("SS:",Q203),0) &gt; 0, 
VLOOKUP(A203,vote4SURGE!$A:$C , 3, FALSE) - 2,
VLOOKUP(A203,vote4SURGE!$A:$C , 3, FALSE)
)
))</f>
        <v>4.25</v>
      </c>
      <c r="S203" s="169" t="s">
        <v>1540</v>
      </c>
      <c r="T203" s="342">
        <f>IF(ISBLANK(S203),,IFERROR(
IF(IFERROR(SEARCH("SS:",S203),0) &gt; 0, 
VLOOKUP(SUBSTITUTE(S203,"SS: ",""),vote4SURGE!$A:$C , 3, FALSE) - 2,
VLOOKUP(SUBSTITUTE(S203,"S: ",""),vote4SURGE!$A:$C , 3, FALSE)
)
,
IF(IFERROR(SEARCH("SS:",S203),0) &gt; 0, 
VLOOKUP(A203,vote4SURGE!$A:$C , 3, FALSE) - 2,
VLOOKUP(A203,vote4SURGE!$A:$C , 3, FALSE)
)
))</f>
        <v>5.25</v>
      </c>
      <c r="U203" s="340"/>
      <c r="V203" s="343" t="str">
        <f>IF(ISBLANK(U203),,IFERROR(
IF(IFERROR(SEARCH("SS:",U203),0) &gt; 0, 
VLOOKUP(SUBSTITUTE(U203,"SS: ",""),vote4SURGE!$A:$C , 3, FALSE) - 2,
VLOOKUP(SUBSTITUTE(U203,"S: ",""),vote4SURGE!$A:$C , 3, FALSE)
)
,
IF(IFERROR(SEARCH("SS:",U203),0) &gt; 0, 
VLOOKUP(A203,vote4SURGE!$A:$C , 3, FALSE) - 2,
VLOOKUP(A203,vote4SURGE!$A:$C , 3, FALSE)
)
))</f>
        <v/>
      </c>
      <c r="W203" s="343">
        <f t="shared" si="1"/>
        <v>2</v>
      </c>
      <c r="X203" s="344">
        <f>IFERROR(__xludf.DUMMYFUNCTION("SWITCH(
LEN(K203) - LEN(SUBSTITUTE(K203,"","","""")),
0 , VLOOKUP(K203, Variables!$A:$C, 3, FALSE),
1 , VLOOKUP(index(split(K203 ,"", "", FALSE),1,1), Variables!$A:$C, 3, FALSE) + VLOOKUP(index(split(K203 ,"", "", FALSE),1,2), Variables!$A:$C, 3, FALSE),
"&amp;"2 , VLOOKUP(index(split(K203 ,"", "", FALSE),1,1), Variables!$A:$C, 3, FALSE) + VLOOKUP(index(split(K203 ,"", "", FALSE),1,2), Variables!$A:$C, 3, FALSE) + VLOOKUP(index(split(K203 ,"", "", FALSE),1,3), Variables!$A:$C, 3, FALSE)
)"),0.5)</f>
        <v>0.5</v>
      </c>
      <c r="Y203" s="342">
        <f t="shared" si="2"/>
        <v>6.3125</v>
      </c>
      <c r="Z203" s="114" t="s">
        <v>2572</v>
      </c>
      <c r="AA203" s="114"/>
      <c r="AB203" s="114"/>
      <c r="AC203" s="114"/>
      <c r="AD203" s="114"/>
      <c r="AE203" s="114"/>
      <c r="AF203" s="114"/>
      <c r="AG203" s="114" t="s">
        <v>2572</v>
      </c>
      <c r="AH203" s="114"/>
      <c r="AI203" s="114"/>
      <c r="AJ203" s="114" t="s">
        <v>2573</v>
      </c>
      <c r="AK203" s="473">
        <v>8.0</v>
      </c>
      <c r="AL203" s="114" t="s">
        <v>2574</v>
      </c>
      <c r="AM203" s="473">
        <v>14.0</v>
      </c>
      <c r="AN203" s="114" t="s">
        <v>2574</v>
      </c>
      <c r="AO203" s="473">
        <v>18.0</v>
      </c>
      <c r="AP203" s="130">
        <f>SUM(
VLOOKUP("Ravage",vote4TRAITS!A:C,3,FALSE)
)</f>
        <v>7.333333333</v>
      </c>
      <c r="AQ203" s="130">
        <f t="shared" si="3"/>
        <v>27.46583333</v>
      </c>
    </row>
    <row r="204" ht="14.25" customHeight="1">
      <c r="A204" s="137" t="s">
        <v>2645</v>
      </c>
      <c r="B204" s="114" t="s">
        <v>2570</v>
      </c>
      <c r="C204" s="114">
        <v>15.0</v>
      </c>
      <c r="D204" s="114">
        <v>1.0</v>
      </c>
      <c r="E204" s="114">
        <v>1.0</v>
      </c>
      <c r="F204" s="487">
        <v>4.0</v>
      </c>
      <c r="G204" s="488">
        <v>5.0</v>
      </c>
      <c r="H204" s="114" t="s">
        <v>1663</v>
      </c>
      <c r="I204" s="130">
        <f>IFERROR(__xludf.DUMMYFUNCTION("SWITCH(
LEN(H204) - LEN(SUBSTITUTE(H204,"","","""")),
0 , VLOOKUP(H204, Variables!$A:$B, 2, FALSE),
1 , VLOOKUP(index(split(H204 ,"", "", FALSE),1,1), Variables!$A:$B , 2, FALSE) + VLOOKUP(index(split(H204 ,"", "", FALSE),1,2), Variables!$A:$B , 2, FALSE)"&amp;",
2 , VLOOKUP(index(split(H204 ,"", "", FALSE),1,1), Variables!$A:$B , 2, FALSE) + VLOOKUP(index(split(H204 ,"", "", FALSE),1,2), Variables!$A:$B , 2, FALSE) + VLOOKUP(index(split(H204 ,"", "", FALSE),1,3), Variables!$A:$B , 2, FALSE)
)"),1.3333333333333333)</f>
        <v>1.333333333</v>
      </c>
      <c r="J204" s="114" t="s">
        <v>1521</v>
      </c>
      <c r="K204" s="114" t="s">
        <v>1548</v>
      </c>
      <c r="L204" s="130">
        <f>IFERROR(__xludf.DUMMYFUNCTION("SWITCH(
LEN(K204) - LEN(SUBSTITUTE(K204,"","","""")),
0 , VLOOKUP(K204, Variables!$A:$B, 2, FALSE),
1 , VLOOKUP(index(split(K204 ,"", "", FALSE),1,1), Variables!$A:$B , 2, FALSE) + VLOOKUP(index(split(K204 ,"", "", FALSE),1,2), Variables!$A:$B , 2, FALSE)"&amp;",
2 , VLOOKUP(index(split(K204 ,"", "", FALSE),1,1), Variables!$A:$B , 2, FALSE) + VLOOKUP(index(split(K204 ,"", "", FALSE),1,2), Variables!$A:$B , 2, FALSE) + VLOOKUP(index(split(K204 ,"", "", FALSE),1,3), Variables!$A:$B , 2, FALSE)
)
+
IF(J204=""Ranged"&amp;""", 1 , 0)"),2.3333333333333335)</f>
        <v>2.333333333</v>
      </c>
      <c r="M204" s="114" t="s">
        <v>1095</v>
      </c>
      <c r="N204" s="130">
        <f>IFERROR(__xludf.DUMMYFUNCTION("IF(ISBLANK(M204), , 
SWITCH(
LEN(M204)- LEN(SUBSTITUTE(M204,"","","""")), 
0 , VLOOKUP(M204, vote4TRAITS!A:C , 3, FALSE),
1 , VLOOKUP(index(split(M204 ,"", "", FALSE),1,1), vote4TRAITS!A:C , 3, FALSE) + VLOOKUP(index(split(M204 ,"", "", FALSE),1,2), vote4"&amp;"TRAITS!A:C , 3, FALSE),
2 , VLOOKUP(index(split(M204 ,"", "", FALSE),1,1), vote4TRAITS!A:C , 3, FALSE) + VLOOKUP(index(split(M204 ,"", "", FALSE),1,2), vote4TRAITS!A:C , 3, FALSE) + VLOOKUP(index(split(M204 ,"", "", FALSE),1,3), vote4TRAITS!A:C , 3, FALSE"&amp;")
)
)"),7.333333333333333)</f>
        <v>7.333333333</v>
      </c>
      <c r="O204" s="114" t="s">
        <v>1379</v>
      </c>
      <c r="P204" s="165">
        <f>IFERROR(__xludf.DUMMYFUNCTION("IF(ISBLANK(O204), , 
SWITCH(
LEN(O204)- LEN(SUBSTITUTE(O204,"","","""")), 
0 , VLOOKUP(O204, vote4ACTIONS!A:C , 3, FALSE),
1 , VLOOKUP(index(split(O204 ,"", "", FALSE),1,1), vote4ACTIONS!A:C , 3, FALSE) + VLOOKUP(index(split(O204 ,"", "", FALSE),1,2), vot"&amp;"e4ACTIONS!A:C , 3, FALSE),
2 , VLOOKUP(index(split(O204 ,"", "", FALSE),1,1), vote4ACTIONS!A:C , 3, FALSE) + VLOOKUP(index(split(O204 ,"", "", FALSE),1,2), vote4ACTIONS!A:C , 3, FALSE) + VLOOKUP(index(split(O204 ,"", "", FALSE),1,3), vote4ACTIONS!A:C , 3,"&amp;" FALSE),
3 , VLOOKUP(index(split(O204 ,"", "", FALSE),1,1), vote4ACTIONS!A:C , 3, FALSE) + VLOOKUP(index(split(O204 ,"", "", FALSE),1,2), vote4ACTIONS!A:C , 3, FALSE) + VLOOKUP(index(split(O204 ,"", "", FALSE),1,3), vote4ACTIONS!A:C , 3, FALSE) + VLOOKUP("&amp;"index(split(O204 ,"", "", FALSE),1,4), vote4ACTIONS!A:C , 3, FALSE)
)
)"),4.5)</f>
        <v>4.5</v>
      </c>
      <c r="Q204" s="154"/>
      <c r="R204" s="342" t="str">
        <f>IF(ISBLANK(Q204),,IFERROR(
IF(IFERROR(SEARCH("SS:",Q204),0) &gt; 0, 
VLOOKUP(SUBSTITUTE(Q204,"SS: ",""),vote4SURGE!$A:$C , 3, FALSE) - 2,
VLOOKUP(SUBSTITUTE(Q204,"S: ",""),vote4SURGE!$A:$C , 3, FALSE)
)
,
IF(IFERROR(SEARCH("SS:",Q204),0) &gt; 0, 
VLOOKUP(A204,vote4SURGE!$A:$C , 3, FALSE) - 2,
VLOOKUP(A204,vote4SURGE!$A:$C , 3, FALSE)
)
))</f>
        <v/>
      </c>
      <c r="S204" s="169" t="s">
        <v>1524</v>
      </c>
      <c r="T204" s="342">
        <f>IF(ISBLANK(S204),,IFERROR(
IF(IFERROR(SEARCH("SS:",S204),0) &gt; 0, 
VLOOKUP(SUBSTITUTE(S204,"SS: ",""),vote4SURGE!$A:$C , 3, FALSE) - 2,
VLOOKUP(SUBSTITUTE(S204,"S: ",""),vote4SURGE!$A:$C , 3, FALSE)
)
,
IF(IFERROR(SEARCH("SS:",S204),0) &gt; 0, 
VLOOKUP(A204,vote4SURGE!$A:$C , 3, FALSE) - 2,
VLOOKUP(A204,vote4SURGE!$A:$C , 3, FALSE)
)
))</f>
        <v>4.5</v>
      </c>
      <c r="U204" s="341"/>
      <c r="V204" s="343" t="str">
        <f>IF(ISBLANK(U204),,IFERROR(
IF(IFERROR(SEARCH("SS:",U204),0) &gt; 0, 
VLOOKUP(SUBSTITUTE(U204,"SS: ",""),vote4SURGE!$A:$C , 3, FALSE) - 2,
VLOOKUP(SUBSTITUTE(U204,"S: ",""),vote4SURGE!$A:$C , 3, FALSE)
)
,
IF(IFERROR(SEARCH("SS:",U204),0) &gt; 0, 
VLOOKUP(A204,vote4SURGE!$A:$C , 3, FALSE) - 2,
VLOOKUP(A204,vote4SURGE!$A:$C , 3, FALSE)
)
))</f>
        <v/>
      </c>
      <c r="W204" s="343">
        <f t="shared" si="1"/>
        <v>1</v>
      </c>
      <c r="X204" s="344">
        <f>IFERROR(__xludf.DUMMYFUNCTION("SWITCH(
LEN(K204) - LEN(SUBSTITUTE(K204,"","","""")),
0 , VLOOKUP(K204, Variables!$A:$C, 3, FALSE),
1 , VLOOKUP(index(split(K204 ,"", "", FALSE),1,1), Variables!$A:$C, 3, FALSE) + VLOOKUP(index(split(K204 ,"", "", FALSE),1,2), Variables!$A:$C, 3, FALSE),
"&amp;"2 , VLOOKUP(index(split(K204 ,"", "", FALSE),1,1), Variables!$A:$C, 3, FALSE) + VLOOKUP(index(split(K204 ,"", "", FALSE),1,2), Variables!$A:$C, 3, FALSE) + VLOOKUP(index(split(K204 ,"", "", FALSE),1,3), Variables!$A:$C, 3, FALSE)
)"),0.8333333333333333)</f>
        <v>0.8333333333</v>
      </c>
      <c r="Y204" s="342">
        <f t="shared" si="2"/>
        <v>3.75</v>
      </c>
      <c r="Z204" s="114" t="s">
        <v>2572</v>
      </c>
      <c r="AA204" s="114"/>
      <c r="AB204" s="114"/>
      <c r="AC204" s="114"/>
      <c r="AD204" s="114"/>
      <c r="AE204" s="114"/>
      <c r="AF204" s="114"/>
      <c r="AG204" s="114" t="s">
        <v>2572</v>
      </c>
      <c r="AH204" s="114"/>
      <c r="AI204" s="114"/>
      <c r="AJ204" s="114" t="s">
        <v>2573</v>
      </c>
      <c r="AK204" s="473">
        <v>6.0</v>
      </c>
      <c r="AL204" s="114" t="s">
        <v>2574</v>
      </c>
      <c r="AM204" s="473">
        <v>11.0</v>
      </c>
      <c r="AN204" s="114" t="s">
        <v>2574</v>
      </c>
      <c r="AO204" s="473">
        <v>14.0</v>
      </c>
      <c r="AP204" s="130">
        <f>SUM(
VLOOKUP("Ravage",vote4TRAITS!A:C,3,FALSE)
)</f>
        <v>7.333333333</v>
      </c>
      <c r="AQ204" s="130">
        <f t="shared" si="3"/>
        <v>18.57</v>
      </c>
    </row>
    <row r="205" ht="14.25" customHeight="1">
      <c r="A205" s="137" t="s">
        <v>2645</v>
      </c>
      <c r="B205" s="114" t="s">
        <v>2576</v>
      </c>
      <c r="C205" s="114">
        <v>15.0</v>
      </c>
      <c r="D205" s="114">
        <v>2.0</v>
      </c>
      <c r="E205" s="114">
        <v>1.0</v>
      </c>
      <c r="F205" s="487">
        <v>4.0</v>
      </c>
      <c r="G205" s="488">
        <v>4.0</v>
      </c>
      <c r="H205" s="114" t="s">
        <v>2575</v>
      </c>
      <c r="I205" s="130">
        <f>IFERROR(__xludf.DUMMYFUNCTION("SWITCH(
LEN(H205) - LEN(SUBSTITUTE(H205,"","","""")),
0 , VLOOKUP(H205, Variables!$A:$B, 2, FALSE),
1 , VLOOKUP(index(split(H205 ,"", "", FALSE),1,1), Variables!$A:$B , 2, FALSE) + VLOOKUP(index(split(H205 ,"", "", FALSE),1,2), Variables!$A:$B , 2, FALSE)"&amp;",
2 , VLOOKUP(index(split(H205 ,"", "", FALSE),1,1), Variables!$A:$B , 2, FALSE) + VLOOKUP(index(split(H205 ,"", "", FALSE),1,2), Variables!$A:$B , 2, FALSE) + VLOOKUP(index(split(H205 ,"", "", FALSE),1,3), Variables!$A:$B , 2, FALSE)
)"),2.0)</f>
        <v>2</v>
      </c>
      <c r="J205" s="114" t="s">
        <v>1521</v>
      </c>
      <c r="K205" s="114" t="s">
        <v>1525</v>
      </c>
      <c r="L205" s="130">
        <f>IFERROR(__xludf.DUMMYFUNCTION("SWITCH(
LEN(K205) - LEN(SUBSTITUTE(K205,"","","""")),
0 , VLOOKUP(K205, Variables!$A:$B, 2, FALSE),
1 , VLOOKUP(index(split(K205 ,"", "", FALSE),1,1), Variables!$A:$B , 2, FALSE) + VLOOKUP(index(split(K205 ,"", "", FALSE),1,2), Variables!$A:$B , 2, FALSE)"&amp;",
2 , VLOOKUP(index(split(K205 ,"", "", FALSE),1,1), Variables!$A:$B , 2, FALSE) + VLOOKUP(index(split(K205 ,"", "", FALSE),1,2), Variables!$A:$B , 2, FALSE) + VLOOKUP(index(split(K205 ,"", "", FALSE),1,3), Variables!$A:$B , 2, FALSE)
)
+
IF(J205=""Ranged"&amp;""", 1 , 0)"),3.333333333333333)</f>
        <v>3.333333333</v>
      </c>
      <c r="M205" s="114"/>
      <c r="N205" s="130" t="str">
        <f>IFERROR(__xludf.DUMMYFUNCTION("IF(ISBLANK(M205), , 
SWITCH(
LEN(M205)- LEN(SUBSTITUTE(M205,"","","""")), 
0 , VLOOKUP(M205, vote4TRAITS!A:C , 3, FALSE),
1 , VLOOKUP(index(split(M205 ,"", "", FALSE),1,1), vote4TRAITS!A:C , 3, FALSE) + VLOOKUP(index(split(M205 ,"", "", FALSE),1,2), vote4"&amp;"TRAITS!A:C , 3, FALSE),
2 , VLOOKUP(index(split(M205 ,"", "", FALSE),1,1), vote4TRAITS!A:C , 3, FALSE) + VLOOKUP(index(split(M205 ,"", "", FALSE),1,2), vote4TRAITS!A:C , 3, FALSE) + VLOOKUP(index(split(M205 ,"", "", FALSE),1,3), vote4TRAITS!A:C , 3, FALSE"&amp;")
)
)"),"")</f>
        <v/>
      </c>
      <c r="O205" s="114" t="s">
        <v>1379</v>
      </c>
      <c r="P205" s="165">
        <f>IFERROR(__xludf.DUMMYFUNCTION("IF(ISBLANK(O205), , 
SWITCH(
LEN(O205)- LEN(SUBSTITUTE(O205,"","","""")), 
0 , VLOOKUP(O205, vote4ACTIONS!A:C , 3, FALSE),
1 , VLOOKUP(index(split(O205 ,"", "", FALSE),1,1), vote4ACTIONS!A:C , 3, FALSE) + VLOOKUP(index(split(O205 ,"", "", FALSE),1,2), vot"&amp;"e4ACTIONS!A:C , 3, FALSE),
2 , VLOOKUP(index(split(O205 ,"", "", FALSE),1,1), vote4ACTIONS!A:C , 3, FALSE) + VLOOKUP(index(split(O205 ,"", "", FALSE),1,2), vote4ACTIONS!A:C , 3, FALSE) + VLOOKUP(index(split(O205 ,"", "", FALSE),1,3), vote4ACTIONS!A:C , 3,"&amp;" FALSE),
3 , VLOOKUP(index(split(O205 ,"", "", FALSE),1,1), vote4ACTIONS!A:C , 3, FALSE) + VLOOKUP(index(split(O205 ,"", "", FALSE),1,2), vote4ACTIONS!A:C , 3, FALSE) + VLOOKUP(index(split(O205 ,"", "", FALSE),1,3), vote4ACTIONS!A:C , 3, FALSE) + VLOOKUP("&amp;"index(split(O205 ,"", "", FALSE),1,4), vote4ACTIONS!A:C , 3, FALSE)
)
)"),4.5)</f>
        <v>4.5</v>
      </c>
      <c r="Q205" s="164"/>
      <c r="R205" s="342" t="str">
        <f>IF(ISBLANK(Q205),,IFERROR(
IF(IFERROR(SEARCH("SS:",Q205),0) &gt; 0, 
VLOOKUP(SUBSTITUTE(Q205,"SS: ",""),vote4SURGE!$A:$C , 3, FALSE) - 2,
VLOOKUP(SUBSTITUTE(Q205,"S: ",""),vote4SURGE!$A:$C , 3, FALSE)
)
,
IF(IFERROR(SEARCH("SS:",Q205),0) &gt; 0, 
VLOOKUP(A205,vote4SURGE!$A:$C , 3, FALSE) - 2,
VLOOKUP(A205,vote4SURGE!$A:$C , 3, FALSE)
)
))</f>
        <v/>
      </c>
      <c r="S205" s="169" t="s">
        <v>1564</v>
      </c>
      <c r="T205" s="342">
        <f>IF(ISBLANK(S205),,IFERROR(
IF(IFERROR(SEARCH("SS:",S205),0) &gt; 0, 
VLOOKUP(SUBSTITUTE(S205,"SS: ",""),vote4SURGE!$A:$C , 3, FALSE) - 2,
VLOOKUP(SUBSTITUTE(S205,"S: ",""),vote4SURGE!$A:$C , 3, FALSE)
)
,
IF(IFERROR(SEARCH("SS:",S205),0) &gt; 0, 
VLOOKUP(A205,vote4SURGE!$A:$C , 3, FALSE) - 2,
VLOOKUP(A205,vote4SURGE!$A:$C , 3, FALSE)
)
))</f>
        <v>3.5</v>
      </c>
      <c r="U205" s="164"/>
      <c r="V205" s="343" t="str">
        <f>IF(ISBLANK(U205),,IFERROR(
IF(IFERROR(SEARCH("SS:",U205),0) &gt; 0, 
VLOOKUP(SUBSTITUTE(U205,"SS: ",""),vote4SURGE!$A:$C , 3, FALSE) - 2,
VLOOKUP(SUBSTITUTE(U205,"S: ",""),vote4SURGE!$A:$C , 3, FALSE)
)
,
IF(IFERROR(SEARCH("SS:",U205),0) &gt; 0, 
VLOOKUP(A205,vote4SURGE!$A:$C , 3, FALSE) - 2,
VLOOKUP(A205,vote4SURGE!$A:$C , 3, FALSE)
)
))</f>
        <v/>
      </c>
      <c r="W205" s="343">
        <f t="shared" si="1"/>
        <v>1</v>
      </c>
      <c r="X205" s="344">
        <f>IFERROR(__xludf.DUMMYFUNCTION("SWITCH(
LEN(K205) - LEN(SUBSTITUTE(K205,"","","""")),
0 , VLOOKUP(K205, Variables!$A:$C, 3, FALSE),
1 , VLOOKUP(index(split(K205 ,"", "", FALSE),1,1), Variables!$A:$C, 3, FALSE) + VLOOKUP(index(split(K205 ,"", "", FALSE),1,2), Variables!$A:$C, 3, FALSE),
"&amp;"2 , VLOOKUP(index(split(K205 ,"", "", FALSE),1,1), Variables!$A:$C, 3, FALSE) + VLOOKUP(index(split(K205 ,"", "", FALSE),1,2), Variables!$A:$C, 3, FALSE) + VLOOKUP(index(split(K205 ,"", "", FALSE),1,3), Variables!$A:$C, 3, FALSE)
)"),0.5)</f>
        <v>0.5</v>
      </c>
      <c r="Y205" s="342">
        <f t="shared" si="2"/>
        <v>1.75</v>
      </c>
      <c r="Z205" s="114" t="s">
        <v>2572</v>
      </c>
      <c r="AA205" s="114"/>
      <c r="AB205" s="114"/>
      <c r="AC205" s="114"/>
      <c r="AD205" s="114"/>
      <c r="AE205" s="114"/>
      <c r="AF205" s="114"/>
      <c r="AG205" s="114" t="s">
        <v>2572</v>
      </c>
      <c r="AH205" s="114"/>
      <c r="AI205" s="114"/>
      <c r="AJ205" s="114" t="s">
        <v>369</v>
      </c>
      <c r="AK205" s="473">
        <v>8.0</v>
      </c>
      <c r="AL205" s="114" t="s">
        <v>369</v>
      </c>
      <c r="AM205" s="473">
        <v>14.0</v>
      </c>
      <c r="AN205" s="114" t="s">
        <v>368</v>
      </c>
      <c r="AO205" s="473">
        <v>18.0</v>
      </c>
      <c r="AP205" s="130">
        <f>SUM(
VLOOKUP("Ravage",vote4TRAITS!A:C,3,FALSE)
)</f>
        <v>7.333333333</v>
      </c>
      <c r="AQ205" s="130">
        <f t="shared" si="3"/>
        <v>11.57</v>
      </c>
    </row>
    <row r="206" ht="14.25" customHeight="1">
      <c r="A206" s="137" t="s">
        <v>2645</v>
      </c>
      <c r="B206" s="114" t="s">
        <v>2576</v>
      </c>
      <c r="C206" s="114">
        <v>15.0</v>
      </c>
      <c r="D206" s="114">
        <v>1.0</v>
      </c>
      <c r="E206" s="114">
        <v>1.0</v>
      </c>
      <c r="F206" s="487">
        <v>4.0</v>
      </c>
      <c r="G206" s="488">
        <v>3.0</v>
      </c>
      <c r="H206" s="114" t="s">
        <v>1663</v>
      </c>
      <c r="I206" s="130">
        <f>IFERROR(__xludf.DUMMYFUNCTION("SWITCH(
LEN(H206) - LEN(SUBSTITUTE(H206,"","","""")),
0 , VLOOKUP(H206, Variables!$A:$B, 2, FALSE),
1 , VLOOKUP(index(split(H206 ,"", "", FALSE),1,1), Variables!$A:$B , 2, FALSE) + VLOOKUP(index(split(H206 ,"", "", FALSE),1,2), Variables!$A:$B , 2, FALSE)"&amp;",
2 , VLOOKUP(index(split(H206 ,"", "", FALSE),1,1), Variables!$A:$B , 2, FALSE) + VLOOKUP(index(split(H206 ,"", "", FALSE),1,2), Variables!$A:$B , 2, FALSE) + VLOOKUP(index(split(H206 ,"", "", FALSE),1,3), Variables!$A:$B , 2, FALSE)
)"),1.3333333333333333)</f>
        <v>1.333333333</v>
      </c>
      <c r="J206" s="114" t="s">
        <v>1521</v>
      </c>
      <c r="K206" s="114" t="s">
        <v>1548</v>
      </c>
      <c r="L206" s="130">
        <f>IFERROR(__xludf.DUMMYFUNCTION("SWITCH(
LEN(K206) - LEN(SUBSTITUTE(K206,"","","""")),
0 , VLOOKUP(K206, Variables!$A:$B, 2, FALSE),
1 , VLOOKUP(index(split(K206 ,"", "", FALSE),1,1), Variables!$A:$B , 2, FALSE) + VLOOKUP(index(split(K206 ,"", "", FALSE),1,2), Variables!$A:$B , 2, FALSE)"&amp;",
2 , VLOOKUP(index(split(K206 ,"", "", FALSE),1,1), Variables!$A:$B , 2, FALSE) + VLOOKUP(index(split(K206 ,"", "", FALSE),1,2), Variables!$A:$B , 2, FALSE) + VLOOKUP(index(split(K206 ,"", "", FALSE),1,3), Variables!$A:$B , 2, FALSE)
)
+
IF(J206=""Ranged"&amp;""", 1 , 0)"),2.3333333333333335)</f>
        <v>2.333333333</v>
      </c>
      <c r="M206" s="114"/>
      <c r="N206" s="130" t="str">
        <f>IFERROR(__xludf.DUMMYFUNCTION("IF(ISBLANK(M206), , 
SWITCH(
LEN(M206)- LEN(SUBSTITUTE(M206,"","","""")), 
0 , VLOOKUP(M206, vote4TRAITS!A:C , 3, FALSE),
1 , VLOOKUP(index(split(M206 ,"", "", FALSE),1,1), vote4TRAITS!A:C , 3, FALSE) + VLOOKUP(index(split(M206 ,"", "", FALSE),1,2), vote4"&amp;"TRAITS!A:C , 3, FALSE),
2 , VLOOKUP(index(split(M206 ,"", "", FALSE),1,1), vote4TRAITS!A:C , 3, FALSE) + VLOOKUP(index(split(M206 ,"", "", FALSE),1,2), vote4TRAITS!A:C , 3, FALSE) + VLOOKUP(index(split(M206 ,"", "", FALSE),1,3), vote4TRAITS!A:C , 3, FALSE"&amp;")
)
)"),"")</f>
        <v/>
      </c>
      <c r="O206" s="114" t="s">
        <v>1379</v>
      </c>
      <c r="P206" s="165">
        <f>IFERROR(__xludf.DUMMYFUNCTION("IF(ISBLANK(O206), , 
SWITCH(
LEN(O206)- LEN(SUBSTITUTE(O206,"","","""")), 
0 , VLOOKUP(O206, vote4ACTIONS!A:C , 3, FALSE),
1 , VLOOKUP(index(split(O206 ,"", "", FALSE),1,1), vote4ACTIONS!A:C , 3, FALSE) + VLOOKUP(index(split(O206 ,"", "", FALSE),1,2), vot"&amp;"e4ACTIONS!A:C , 3, FALSE),
2 , VLOOKUP(index(split(O206 ,"", "", FALSE),1,1), vote4ACTIONS!A:C , 3, FALSE) + VLOOKUP(index(split(O206 ,"", "", FALSE),1,2), vote4ACTIONS!A:C , 3, FALSE) + VLOOKUP(index(split(O206 ,"", "", FALSE),1,3), vote4ACTIONS!A:C , 3,"&amp;" FALSE),
3 , VLOOKUP(index(split(O206 ,"", "", FALSE),1,1), vote4ACTIONS!A:C , 3, FALSE) + VLOOKUP(index(split(O206 ,"", "", FALSE),1,2), vote4ACTIONS!A:C , 3, FALSE) + VLOOKUP(index(split(O206 ,"", "", FALSE),1,3), vote4ACTIONS!A:C , 3, FALSE) + VLOOKUP("&amp;"index(split(O206 ,"", "", FALSE),1,4), vote4ACTIONS!A:C , 3, FALSE)
)
)"),4.5)</f>
        <v>4.5</v>
      </c>
      <c r="Q206" s="164"/>
      <c r="R206" s="342" t="str">
        <f>IF(ISBLANK(Q206),,IFERROR(
IF(IFERROR(SEARCH("SS:",Q206),0) &gt; 0, 
VLOOKUP(SUBSTITUTE(Q206,"SS: ",""),vote4SURGE!$A:$C , 3, FALSE) - 2,
VLOOKUP(SUBSTITUTE(Q206,"S: ",""),vote4SURGE!$A:$C , 3, FALSE)
)
,
IF(IFERROR(SEARCH("SS:",Q206),0) &gt; 0, 
VLOOKUP(A206,vote4SURGE!$A:$C , 3, FALSE) - 2,
VLOOKUP(A206,vote4SURGE!$A:$C , 3, FALSE)
)
))</f>
        <v/>
      </c>
      <c r="S206" s="169" t="s">
        <v>1524</v>
      </c>
      <c r="T206" s="342">
        <f>IF(ISBLANK(S206),,IFERROR(
IF(IFERROR(SEARCH("SS:",S206),0) &gt; 0, 
VLOOKUP(SUBSTITUTE(S206,"SS: ",""),vote4SURGE!$A:$C , 3, FALSE) - 2,
VLOOKUP(SUBSTITUTE(S206,"S: ",""),vote4SURGE!$A:$C , 3, FALSE)
)
,
IF(IFERROR(SEARCH("SS:",S206),0) &gt; 0, 
VLOOKUP(A206,vote4SURGE!$A:$C , 3, FALSE) - 2,
VLOOKUP(A206,vote4SURGE!$A:$C , 3, FALSE)
)
))</f>
        <v>4.5</v>
      </c>
      <c r="U206" s="164"/>
      <c r="V206" s="343" t="str">
        <f>IF(ISBLANK(U206),,IFERROR(
IF(IFERROR(SEARCH("SS:",U206),0) &gt; 0, 
VLOOKUP(SUBSTITUTE(U206,"SS: ",""),vote4SURGE!$A:$C , 3, FALSE) - 2,
VLOOKUP(SUBSTITUTE(U206,"S: ",""),vote4SURGE!$A:$C , 3, FALSE)
)
,
IF(IFERROR(SEARCH("SS:",U206),0) &gt; 0, 
VLOOKUP(A206,vote4SURGE!$A:$C , 3, FALSE) - 2,
VLOOKUP(A206,vote4SURGE!$A:$C , 3, FALSE)
)
))</f>
        <v/>
      </c>
      <c r="W206" s="343">
        <f t="shared" si="1"/>
        <v>1</v>
      </c>
      <c r="X206" s="344">
        <f>IFERROR(__xludf.DUMMYFUNCTION("SWITCH(
LEN(K206) - LEN(SUBSTITUTE(K206,"","","""")),
0 , VLOOKUP(K206, Variables!$A:$C, 3, FALSE),
1 , VLOOKUP(index(split(K206 ,"", "", FALSE),1,1), Variables!$A:$C, 3, FALSE) + VLOOKUP(index(split(K206 ,"", "", FALSE),1,2), Variables!$A:$C, 3, FALSE),
"&amp;"2 , VLOOKUP(index(split(K206 ,"", "", FALSE),1,1), Variables!$A:$C, 3, FALSE) + VLOOKUP(index(split(K206 ,"", "", FALSE),1,2), Variables!$A:$C, 3, FALSE) + VLOOKUP(index(split(K206 ,"", "", FALSE),1,3), Variables!$A:$C, 3, FALSE)
)"),0.8333333333333333)</f>
        <v>0.8333333333</v>
      </c>
      <c r="Y206" s="342">
        <f t="shared" si="2"/>
        <v>3.75</v>
      </c>
      <c r="Z206" s="114" t="s">
        <v>2572</v>
      </c>
      <c r="AA206" s="114"/>
      <c r="AB206" s="114"/>
      <c r="AC206" s="114"/>
      <c r="AD206" s="114"/>
      <c r="AE206" s="114"/>
      <c r="AF206" s="114"/>
      <c r="AG206" s="114" t="s">
        <v>2572</v>
      </c>
      <c r="AH206" s="114"/>
      <c r="AI206" s="114"/>
      <c r="AJ206" s="114" t="s">
        <v>369</v>
      </c>
      <c r="AK206" s="473">
        <v>6.0</v>
      </c>
      <c r="AL206" s="114" t="s">
        <v>369</v>
      </c>
      <c r="AM206" s="473">
        <v>11.0</v>
      </c>
      <c r="AN206" s="114" t="s">
        <v>368</v>
      </c>
      <c r="AO206" s="473">
        <v>14.0</v>
      </c>
      <c r="AP206" s="130">
        <f>SUM(
VLOOKUP("Ravage",vote4TRAITS!A:C,3,FALSE)
)</f>
        <v>7.333333333</v>
      </c>
      <c r="AQ206" s="130">
        <f t="shared" si="3"/>
        <v>8.57</v>
      </c>
    </row>
    <row r="207" ht="14.25" customHeight="1">
      <c r="A207" s="137" t="s">
        <v>1447</v>
      </c>
      <c r="B207" s="114" t="s">
        <v>2570</v>
      </c>
      <c r="C207" s="114">
        <v>41.0</v>
      </c>
      <c r="D207" s="114">
        <v>2.0</v>
      </c>
      <c r="E207" s="114">
        <v>4.0</v>
      </c>
      <c r="F207" s="487">
        <v>4.0</v>
      </c>
      <c r="G207" s="488">
        <v>10.0</v>
      </c>
      <c r="H207" s="114" t="s">
        <v>1663</v>
      </c>
      <c r="I207" s="130">
        <f>IFERROR(__xludf.DUMMYFUNCTION("SWITCH(
LEN(H207) - LEN(SUBSTITUTE(H207,"","","""")),
0 , VLOOKUP(H207, Variables!$A:$B, 2, FALSE),
1 , VLOOKUP(index(split(H207 ,"", "", FALSE),1,1), Variables!$A:$B , 2, FALSE) + VLOOKUP(index(split(H207 ,"", "", FALSE),1,2), Variables!$A:$B , 2, FALSE)"&amp;",
2 , VLOOKUP(index(split(H207 ,"", "", FALSE),1,1), Variables!$A:$B , 2, FALSE) + VLOOKUP(index(split(H207 ,"", "", FALSE),1,2), Variables!$A:$B , 2, FALSE) + VLOOKUP(index(split(H207 ,"", "", FALSE),1,3), Variables!$A:$B , 2, FALSE)
)"),1.3333333333333333)</f>
        <v>1.333333333</v>
      </c>
      <c r="J207" s="114" t="s">
        <v>1521</v>
      </c>
      <c r="K207" s="114" t="s">
        <v>1537</v>
      </c>
      <c r="L207" s="130">
        <f>IFERROR(__xludf.DUMMYFUNCTION("SWITCH(
LEN(K207) - LEN(SUBSTITUTE(K207,"","","""")),
0 , VLOOKUP(K207, Variables!$A:$B, 2, FALSE),
1 , VLOOKUP(index(split(K207 ,"", "", FALSE),1,1), Variables!$A:$B , 2, FALSE) + VLOOKUP(index(split(K207 ,"", "", FALSE),1,2), Variables!$A:$B , 2, FALSE)"&amp;",
2 , VLOOKUP(index(split(K207 ,"", "", FALSE),1,1), Variables!$A:$B , 2, FALSE) + VLOOKUP(index(split(K207 ,"", "", FALSE),1,2), Variables!$A:$B , 2, FALSE) + VLOOKUP(index(split(K207 ,"", "", FALSE),1,3), Variables!$A:$B , 2, FALSE)
)
+
IF(J207=""Ranged"&amp;""", 1 , 0)"),4.5)</f>
        <v>4.5</v>
      </c>
      <c r="M207" s="114" t="s">
        <v>2646</v>
      </c>
      <c r="N207" s="130">
        <f>IFERROR(__xludf.DUMMYFUNCTION("IF(ISBLANK(M207), , 
SWITCH(
LEN(M207)- LEN(SUBSTITUTE(M207,"","","""")), 
0 , VLOOKUP(M207, vote4TRAITS!A:C , 3, FALSE),
1 , VLOOKUP(index(split(M207 ,"", "", FALSE),1,1), vote4TRAITS!A:C , 3, FALSE) + VLOOKUP(index(split(M207 ,"", "", FALSE),1,2), vote4"&amp;"TRAITS!A:C , 3, FALSE),
2 , VLOOKUP(index(split(M207 ,"", "", FALSE),1,1), vote4TRAITS!A:C , 3, FALSE) + VLOOKUP(index(split(M207 ,"", "", FALSE),1,2), vote4TRAITS!A:C , 3, FALSE) + VLOOKUP(index(split(M207 ,"", "", FALSE),1,3), vote4TRAITS!A:C , 3, FALSE"&amp;")
)
)"),16.666666666666664)</f>
        <v>16.66666667</v>
      </c>
      <c r="O207" s="490"/>
      <c r="P207" s="165" t="str">
        <f>IFERROR(__xludf.DUMMYFUNCTION("IF(ISBLANK(O207), , 
SWITCH(
LEN(O207)- LEN(SUBSTITUTE(O207,"","","""")), 
0 , VLOOKUP(O207, vote4ACTIONS!A:C , 3, FALSE),
1 , VLOOKUP(index(split(O207 ,"", "", FALSE),1,1), vote4ACTIONS!A:C , 3, FALSE) + VLOOKUP(index(split(O207 ,"", "", FALSE),1,2), vot"&amp;"e4ACTIONS!A:C , 3, FALSE),
2 , VLOOKUP(index(split(O207 ,"", "", FALSE),1,1), vote4ACTIONS!A:C , 3, FALSE) + VLOOKUP(index(split(O207 ,"", "", FALSE),1,2), vote4ACTIONS!A:C , 3, FALSE) + VLOOKUP(index(split(O207 ,"", "", FALSE),1,3), vote4ACTIONS!A:C , 3,"&amp;" FALSE),
3 , VLOOKUP(index(split(O207 ,"", "", FALSE),1,1), vote4ACTIONS!A:C , 3, FALSE) + VLOOKUP(index(split(O207 ,"", "", FALSE),1,2), vote4ACTIONS!A:C , 3, FALSE) + VLOOKUP(index(split(O207 ,"", "", FALSE),1,3), vote4ACTIONS!A:C , 3, FALSE) + VLOOKUP("&amp;"index(split(O207 ,"", "", FALSE),1,4), vote4ACTIONS!A:C , 3, FALSE)
)
)"),"")</f>
        <v/>
      </c>
      <c r="Q207" s="164" t="s">
        <v>1183</v>
      </c>
      <c r="R207" s="342">
        <f>IF(ISBLANK(Q207),,IFERROR(
IF(IFERROR(SEARCH("SS:",Q207),0) &gt; 0, 
VLOOKUP(SUBSTITUTE(Q207,"SS: ",""),vote4SURGE!$A:$C , 3, FALSE) - 2,
VLOOKUP(SUBSTITUTE(Q207,"S: ",""),vote4SURGE!$A:$C , 3, FALSE)
)
,
IF(IFERROR(SEARCH("SS:",Q207),0) &gt; 0, 
VLOOKUP(A207,vote4SURGE!$A:$C , 3, FALSE) - 2,
VLOOKUP(A207,vote4SURGE!$A:$C , 3, FALSE)
)
))</f>
        <v>4.25</v>
      </c>
      <c r="S207" s="489"/>
      <c r="T207" s="342" t="str">
        <f>IF(ISBLANK(S207),,IFERROR(
IF(IFERROR(SEARCH("SS:",S207),0) &gt; 0, 
VLOOKUP(SUBSTITUTE(S207,"SS: ",""),vote4SURGE!$A:$C , 3, FALSE) - 2,
VLOOKUP(SUBSTITUTE(S207,"S: ",""),vote4SURGE!$A:$C , 3, FALSE)
)
,
IF(IFERROR(SEARCH("SS:",S207),0) &gt; 0, 
VLOOKUP(A207,vote4SURGE!$A:$C , 3, FALSE) - 2,
VLOOKUP(A207,vote4SURGE!$A:$C , 3, FALSE)
)
))</f>
        <v/>
      </c>
      <c r="U207" s="489"/>
      <c r="V207" s="343" t="str">
        <f>IF(ISBLANK(U207),,IFERROR(
IF(IFERROR(SEARCH("SS:",U207),0) &gt; 0, 
VLOOKUP(SUBSTITUTE(U207,"SS: ",""),vote4SURGE!$A:$C , 3, FALSE) - 2,
VLOOKUP(SUBSTITUTE(U207,"S: ",""),vote4SURGE!$A:$C , 3, FALSE)
)
,
IF(IFERROR(SEARCH("SS:",U207),0) &gt; 0, 
VLOOKUP(A207,vote4SURGE!$A:$C , 3, FALSE) - 2,
VLOOKUP(A207,vote4SURGE!$A:$C , 3, FALSE)
)
))</f>
        <v/>
      </c>
      <c r="W207" s="343">
        <f t="shared" si="1"/>
        <v>1</v>
      </c>
      <c r="X207" s="344">
        <f>IFERROR(__xludf.DUMMYFUNCTION("SWITCH(
LEN(K207) - LEN(SUBSTITUTE(K207,"","","""")),
0 , VLOOKUP(K207, Variables!$A:$C, 3, FALSE),
1 , VLOOKUP(index(split(K207 ,"", "", FALSE),1,1), Variables!$A:$C, 3, FALSE) + VLOOKUP(index(split(K207 ,"", "", FALSE),1,2), Variables!$A:$C, 3, FALSE),
"&amp;"2 , VLOOKUP(index(split(K207 ,"", "", FALSE),1,1), Variables!$A:$C, 3, FALSE) + VLOOKUP(index(split(K207 ,"", "", FALSE),1,2), Variables!$A:$C, 3, FALSE) + VLOOKUP(index(split(K207 ,"", "", FALSE),1,3), Variables!$A:$C, 3, FALSE)
)"),1.0)</f>
        <v>1</v>
      </c>
      <c r="Y207" s="342">
        <f t="shared" si="2"/>
        <v>4.25</v>
      </c>
      <c r="Z207" s="114"/>
      <c r="AA207" s="114" t="s">
        <v>2572</v>
      </c>
      <c r="AB207" s="114"/>
      <c r="AC207" s="114" t="s">
        <v>2572</v>
      </c>
      <c r="AD207" s="114"/>
      <c r="AE207" s="114"/>
      <c r="AF207" s="114"/>
      <c r="AG207" s="114"/>
      <c r="AH207" s="114"/>
      <c r="AI207" s="114"/>
      <c r="AJ207" s="114" t="s">
        <v>2574</v>
      </c>
      <c r="AK207" s="473">
        <v>10.0</v>
      </c>
      <c r="AL207" s="114" t="s">
        <v>2574</v>
      </c>
      <c r="AM207" s="473">
        <v>17.0</v>
      </c>
      <c r="AN207" s="114" t="s">
        <v>2574</v>
      </c>
      <c r="AO207" s="473">
        <v>24.0</v>
      </c>
      <c r="AP207" s="130">
        <f>SUM(
VLOOKUP("Ravage",vote4TRAITS!A:C,3,FALSE)
)</f>
        <v>7.333333333</v>
      </c>
      <c r="AQ207" s="130">
        <f t="shared" si="3"/>
        <v>33.06666667</v>
      </c>
    </row>
    <row r="208" ht="14.25" customHeight="1">
      <c r="A208" s="137" t="s">
        <v>1447</v>
      </c>
      <c r="B208" s="114" t="s">
        <v>2570</v>
      </c>
      <c r="C208" s="114">
        <v>41.0</v>
      </c>
      <c r="D208" s="114">
        <v>1.0</v>
      </c>
      <c r="E208" s="114">
        <v>4.0</v>
      </c>
      <c r="F208" s="487">
        <v>4.0</v>
      </c>
      <c r="G208" s="488">
        <v>7.0</v>
      </c>
      <c r="H208" s="114" t="s">
        <v>1663</v>
      </c>
      <c r="I208" s="130">
        <f>IFERROR(__xludf.DUMMYFUNCTION("SWITCH(
LEN(H208) - LEN(SUBSTITUTE(H208,"","","""")),
0 , VLOOKUP(H208, Variables!$A:$B, 2, FALSE),
1 , VLOOKUP(index(split(H208 ,"", "", FALSE),1,1), Variables!$A:$B , 2, FALSE) + VLOOKUP(index(split(H208 ,"", "", FALSE),1,2), Variables!$A:$B , 2, FALSE)"&amp;",
2 , VLOOKUP(index(split(H208 ,"", "", FALSE),1,1), Variables!$A:$B , 2, FALSE) + VLOOKUP(index(split(H208 ,"", "", FALSE),1,2), Variables!$A:$B , 2, FALSE) + VLOOKUP(index(split(H208 ,"", "", FALSE),1,3), Variables!$A:$B , 2, FALSE)
)"),1.3333333333333333)</f>
        <v>1.333333333</v>
      </c>
      <c r="J208" s="114" t="s">
        <v>1521</v>
      </c>
      <c r="K208" s="114" t="s">
        <v>1525</v>
      </c>
      <c r="L208" s="130">
        <f>IFERROR(__xludf.DUMMYFUNCTION("SWITCH(
LEN(K208) - LEN(SUBSTITUTE(K208,"","","""")),
0 , VLOOKUP(K208, Variables!$A:$B, 2, FALSE),
1 , VLOOKUP(index(split(K208 ,"", "", FALSE),1,1), Variables!$A:$B , 2, FALSE) + VLOOKUP(index(split(K208 ,"", "", FALSE),1,2), Variables!$A:$B , 2, FALSE)"&amp;",
2 , VLOOKUP(index(split(K208 ,"", "", FALSE),1,1), Variables!$A:$B , 2, FALSE) + VLOOKUP(index(split(K208 ,"", "", FALSE),1,2), Variables!$A:$B , 2, FALSE) + VLOOKUP(index(split(K208 ,"", "", FALSE),1,3), Variables!$A:$B , 2, FALSE)
)
+
IF(J208=""Ranged"&amp;""", 1 , 0)"),3.333333333333333)</f>
        <v>3.333333333</v>
      </c>
      <c r="M208" s="114" t="s">
        <v>2646</v>
      </c>
      <c r="N208" s="130">
        <f>IFERROR(__xludf.DUMMYFUNCTION("IF(ISBLANK(M208), , 
SWITCH(
LEN(M208)- LEN(SUBSTITUTE(M208,"","","""")), 
0 , VLOOKUP(M208, vote4TRAITS!A:C , 3, FALSE),
1 , VLOOKUP(index(split(M208 ,"", "", FALSE),1,1), vote4TRAITS!A:C , 3, FALSE) + VLOOKUP(index(split(M208 ,"", "", FALSE),1,2), vote4"&amp;"TRAITS!A:C , 3, FALSE),
2 , VLOOKUP(index(split(M208 ,"", "", FALSE),1,1), vote4TRAITS!A:C , 3, FALSE) + VLOOKUP(index(split(M208 ,"", "", FALSE),1,2), vote4TRAITS!A:C , 3, FALSE) + VLOOKUP(index(split(M208 ,"", "", FALSE),1,3), vote4TRAITS!A:C , 3, FALSE"&amp;")
)
)"),16.666666666666664)</f>
        <v>16.66666667</v>
      </c>
      <c r="O208" s="490"/>
      <c r="P208" s="165" t="str">
        <f>IFERROR(__xludf.DUMMYFUNCTION("IF(ISBLANK(O208), , 
SWITCH(
LEN(O208)- LEN(SUBSTITUTE(O208,"","","""")), 
0 , VLOOKUP(O208, vote4ACTIONS!A:C , 3, FALSE),
1 , VLOOKUP(index(split(O208 ,"", "", FALSE),1,1), vote4ACTIONS!A:C , 3, FALSE) + VLOOKUP(index(split(O208 ,"", "", FALSE),1,2), vot"&amp;"e4ACTIONS!A:C , 3, FALSE),
2 , VLOOKUP(index(split(O208 ,"", "", FALSE),1,1), vote4ACTIONS!A:C , 3, FALSE) + VLOOKUP(index(split(O208 ,"", "", FALSE),1,2), vote4ACTIONS!A:C , 3, FALSE) + VLOOKUP(index(split(O208 ,"", "", FALSE),1,3), vote4ACTIONS!A:C , 3,"&amp;" FALSE),
3 , VLOOKUP(index(split(O208 ,"", "", FALSE),1,1), vote4ACTIONS!A:C , 3, FALSE) + VLOOKUP(index(split(O208 ,"", "", FALSE),1,2), vote4ACTIONS!A:C , 3, FALSE) + VLOOKUP(index(split(O208 ,"", "", FALSE),1,3), vote4ACTIONS!A:C , 3, FALSE) + VLOOKUP("&amp;"index(split(O208 ,"", "", FALSE),1,4), vote4ACTIONS!A:C , 3, FALSE)
)
)"),"")</f>
        <v/>
      </c>
      <c r="Q208" s="164" t="s">
        <v>1177</v>
      </c>
      <c r="R208" s="342">
        <f>IF(ISBLANK(Q208),,IFERROR(
IF(IFERROR(SEARCH("SS:",Q208),0) &gt; 0, 
VLOOKUP(SUBSTITUTE(Q208,"SS: ",""),vote4SURGE!$A:$C , 3, FALSE) - 2,
VLOOKUP(SUBSTITUTE(Q208,"S: ",""),vote4SURGE!$A:$C , 3, FALSE)
)
,
IF(IFERROR(SEARCH("SS:",Q208),0) &gt; 0, 
VLOOKUP(A208,vote4SURGE!$A:$C , 3, FALSE) - 2,
VLOOKUP(A208,vote4SURGE!$A:$C , 3, FALSE)
)
))</f>
        <v>3.5</v>
      </c>
      <c r="S208" s="341"/>
      <c r="T208" s="342" t="str">
        <f>IF(ISBLANK(S208),,IFERROR(
IF(IFERROR(SEARCH("SS:",S208),0) &gt; 0, 
VLOOKUP(SUBSTITUTE(S208,"SS: ",""),vote4SURGE!$A:$C , 3, FALSE) - 2,
VLOOKUP(SUBSTITUTE(S208,"S: ",""),vote4SURGE!$A:$C , 3, FALSE)
)
,
IF(IFERROR(SEARCH("SS:",S208),0) &gt; 0, 
VLOOKUP(A208,vote4SURGE!$A:$C , 3, FALSE) - 2,
VLOOKUP(A208,vote4SURGE!$A:$C , 3, FALSE)
)
))</f>
        <v/>
      </c>
      <c r="U208" s="341"/>
      <c r="V208" s="343" t="str">
        <f>IF(ISBLANK(U208),,IFERROR(
IF(IFERROR(SEARCH("SS:",U208),0) &gt; 0, 
VLOOKUP(SUBSTITUTE(U208,"SS: ",""),vote4SURGE!$A:$C , 3, FALSE) - 2,
VLOOKUP(SUBSTITUTE(U208,"S: ",""),vote4SURGE!$A:$C , 3, FALSE)
)
,
IF(IFERROR(SEARCH("SS:",U208),0) &gt; 0, 
VLOOKUP(A208,vote4SURGE!$A:$C , 3, FALSE) - 2,
VLOOKUP(A208,vote4SURGE!$A:$C , 3, FALSE)
)
))</f>
        <v/>
      </c>
      <c r="W208" s="343">
        <f t="shared" si="1"/>
        <v>1</v>
      </c>
      <c r="X208" s="344">
        <f>IFERROR(__xludf.DUMMYFUNCTION("SWITCH(
LEN(K208) - LEN(SUBSTITUTE(K208,"","","""")),
0 , VLOOKUP(K208, Variables!$A:$C, 3, FALSE),
1 , VLOOKUP(index(split(K208 ,"", "", FALSE),1,1), Variables!$A:$C, 3, FALSE) + VLOOKUP(index(split(K208 ,"", "", FALSE),1,2), Variables!$A:$C, 3, FALSE),
"&amp;"2 , VLOOKUP(index(split(K208 ,"", "", FALSE),1,1), Variables!$A:$C, 3, FALSE) + VLOOKUP(index(split(K208 ,"", "", FALSE),1,2), Variables!$A:$C, 3, FALSE) + VLOOKUP(index(split(K208 ,"", "", FALSE),1,3), Variables!$A:$C, 3, FALSE)
)"),0.5)</f>
        <v>0.5</v>
      </c>
      <c r="Y208" s="342">
        <f t="shared" si="2"/>
        <v>1.75</v>
      </c>
      <c r="Z208" s="114"/>
      <c r="AA208" s="114" t="s">
        <v>2572</v>
      </c>
      <c r="AB208" s="114"/>
      <c r="AC208" s="114" t="s">
        <v>2572</v>
      </c>
      <c r="AD208" s="114"/>
      <c r="AE208" s="114"/>
      <c r="AF208" s="114"/>
      <c r="AG208" s="114"/>
      <c r="AH208" s="114"/>
      <c r="AI208" s="114"/>
      <c r="AJ208" s="114" t="s">
        <v>2574</v>
      </c>
      <c r="AK208" s="473">
        <v>7.0</v>
      </c>
      <c r="AL208" s="114" t="s">
        <v>2574</v>
      </c>
      <c r="AM208" s="473">
        <v>12.0</v>
      </c>
      <c r="AN208" s="114" t="s">
        <v>2574</v>
      </c>
      <c r="AO208" s="473">
        <v>17.0</v>
      </c>
      <c r="AP208" s="130">
        <f>SUM(
VLOOKUP("Ravage",vote4TRAITS!A:C,3,FALSE)
)</f>
        <v>7.333333333</v>
      </c>
      <c r="AQ208" s="130">
        <f t="shared" si="3"/>
        <v>25.4</v>
      </c>
    </row>
    <row r="209" ht="14.25" customHeight="1">
      <c r="A209" s="137" t="s">
        <v>1447</v>
      </c>
      <c r="B209" s="114" t="s">
        <v>2576</v>
      </c>
      <c r="C209" s="114">
        <v>41.0</v>
      </c>
      <c r="D209" s="114">
        <v>2.0</v>
      </c>
      <c r="E209" s="114">
        <v>4.0</v>
      </c>
      <c r="F209" s="487">
        <v>4.0</v>
      </c>
      <c r="G209" s="488">
        <v>7.0</v>
      </c>
      <c r="H209" s="114" t="s">
        <v>1663</v>
      </c>
      <c r="I209" s="130">
        <f>IFERROR(__xludf.DUMMYFUNCTION("SWITCH(
LEN(H209) - LEN(SUBSTITUTE(H209,"","","""")),
0 , VLOOKUP(H209, Variables!$A:$B, 2, FALSE),
1 , VLOOKUP(index(split(H209 ,"", "", FALSE),1,1), Variables!$A:$B , 2, FALSE) + VLOOKUP(index(split(H209 ,"", "", FALSE),1,2), Variables!$A:$B , 2, FALSE)"&amp;",
2 , VLOOKUP(index(split(H209 ,"", "", FALSE),1,1), Variables!$A:$B , 2, FALSE) + VLOOKUP(index(split(H209 ,"", "", FALSE),1,2), Variables!$A:$B , 2, FALSE) + VLOOKUP(index(split(H209 ,"", "", FALSE),1,3), Variables!$A:$B , 2, FALSE)
)"),1.3333333333333333)</f>
        <v>1.333333333</v>
      </c>
      <c r="J209" s="114" t="s">
        <v>1521</v>
      </c>
      <c r="K209" s="114" t="s">
        <v>1525</v>
      </c>
      <c r="L209" s="130">
        <f>IFERROR(__xludf.DUMMYFUNCTION("SWITCH(
LEN(K209) - LEN(SUBSTITUTE(K209,"","","""")),
0 , VLOOKUP(K209, Variables!$A:$B, 2, FALSE),
1 , VLOOKUP(index(split(K209 ,"", "", FALSE),1,1), Variables!$A:$B , 2, FALSE) + VLOOKUP(index(split(K209 ,"", "", FALSE),1,2), Variables!$A:$B , 2, FALSE)"&amp;",
2 , VLOOKUP(index(split(K209 ,"", "", FALSE),1,1), Variables!$A:$B , 2, FALSE) + VLOOKUP(index(split(K209 ,"", "", FALSE),1,2), Variables!$A:$B , 2, FALSE) + VLOOKUP(index(split(K209 ,"", "", FALSE),1,3), Variables!$A:$B , 2, FALSE)
)
+
IF(J209=""Ranged"&amp;""", 1 , 0)"),3.333333333333333)</f>
        <v>3.333333333</v>
      </c>
      <c r="M209" s="114" t="s">
        <v>2647</v>
      </c>
      <c r="N209" s="130">
        <f>IFERROR(__xludf.DUMMYFUNCTION("IF(ISBLANK(M209), , 
SWITCH(
LEN(M209)- LEN(SUBSTITUTE(M209,"","","""")), 
0 , VLOOKUP(M209, vote4TRAITS!A:C , 3, FALSE),
1 , VLOOKUP(index(split(M209 ,"", "", FALSE),1,1), vote4TRAITS!A:C , 3, FALSE) + VLOOKUP(index(split(M209 ,"", "", FALSE),1,2), vote4"&amp;"TRAITS!A:C , 3, FALSE),
2 , VLOOKUP(index(split(M209 ,"", "", FALSE),1,1), vote4TRAITS!A:C , 3, FALSE) + VLOOKUP(index(split(M209 ,"", "", FALSE),1,2), vote4TRAITS!A:C , 3, FALSE) + VLOOKUP(index(split(M209 ,"", "", FALSE),1,3), vote4TRAITS!A:C , 3, FALSE"&amp;")
)
)"),11.666666666666666)</f>
        <v>11.66666667</v>
      </c>
      <c r="O209" s="490"/>
      <c r="P209" s="165" t="str">
        <f>IFERROR(__xludf.DUMMYFUNCTION("IF(ISBLANK(O209), , 
SWITCH(
LEN(O209)- LEN(SUBSTITUTE(O209,"","","""")), 
0 , VLOOKUP(O209, vote4ACTIONS!A:C , 3, FALSE),
1 , VLOOKUP(index(split(O209 ,"", "", FALSE),1,1), vote4ACTIONS!A:C , 3, FALSE) + VLOOKUP(index(split(O209 ,"", "", FALSE),1,2), vot"&amp;"e4ACTIONS!A:C , 3, FALSE),
2 , VLOOKUP(index(split(O209 ,"", "", FALSE),1,1), vote4ACTIONS!A:C , 3, FALSE) + VLOOKUP(index(split(O209 ,"", "", FALSE),1,2), vote4ACTIONS!A:C , 3, FALSE) + VLOOKUP(index(split(O209 ,"", "", FALSE),1,3), vote4ACTIONS!A:C , 3,"&amp;" FALSE),
3 , VLOOKUP(index(split(O209 ,"", "", FALSE),1,1), vote4ACTIONS!A:C , 3, FALSE) + VLOOKUP(index(split(O209 ,"", "", FALSE),1,2), vote4ACTIONS!A:C , 3, FALSE) + VLOOKUP(index(split(O209 ,"", "", FALSE),1,3), vote4ACTIONS!A:C , 3, FALSE) + VLOOKUP("&amp;"index(split(O209 ,"", "", FALSE),1,4), vote4ACTIONS!A:C , 3, FALSE)
)
)"),"")</f>
        <v/>
      </c>
      <c r="Q209" s="164" t="s">
        <v>1183</v>
      </c>
      <c r="R209" s="342">
        <f>IF(ISBLANK(Q209),,IFERROR(
IF(IFERROR(SEARCH("SS:",Q209),0) &gt; 0, 
VLOOKUP(SUBSTITUTE(Q209,"SS: ",""),vote4SURGE!$A:$C , 3, FALSE) - 2,
VLOOKUP(SUBSTITUTE(Q209,"S: ",""),vote4SURGE!$A:$C , 3, FALSE)
)
,
IF(IFERROR(SEARCH("SS:",Q209),0) &gt; 0, 
VLOOKUP(A209,vote4SURGE!$A:$C , 3, FALSE) - 2,
VLOOKUP(A209,vote4SURGE!$A:$C , 3, FALSE)
)
))</f>
        <v>4.25</v>
      </c>
      <c r="S209" s="341"/>
      <c r="T209" s="342" t="str">
        <f>IF(ISBLANK(S209),,IFERROR(
IF(IFERROR(SEARCH("SS:",S209),0) &gt; 0, 
VLOOKUP(SUBSTITUTE(S209,"SS: ",""),vote4SURGE!$A:$C , 3, FALSE) - 2,
VLOOKUP(SUBSTITUTE(S209,"S: ",""),vote4SURGE!$A:$C , 3, FALSE)
)
,
IF(IFERROR(SEARCH("SS:",S209),0) &gt; 0, 
VLOOKUP(A209,vote4SURGE!$A:$C , 3, FALSE) - 2,
VLOOKUP(A209,vote4SURGE!$A:$C , 3, FALSE)
)
))</f>
        <v/>
      </c>
      <c r="U209" s="341"/>
      <c r="V209" s="343" t="str">
        <f>IF(ISBLANK(U209),,IFERROR(
IF(IFERROR(SEARCH("SS:",U209),0) &gt; 0, 
VLOOKUP(SUBSTITUTE(U209,"SS: ",""),vote4SURGE!$A:$C , 3, FALSE) - 2,
VLOOKUP(SUBSTITUTE(U209,"S: ",""),vote4SURGE!$A:$C , 3, FALSE)
)
,
IF(IFERROR(SEARCH("SS:",U209),0) &gt; 0, 
VLOOKUP(A209,vote4SURGE!$A:$C , 3, FALSE) - 2,
VLOOKUP(A209,vote4SURGE!$A:$C , 3, FALSE)
)
))</f>
        <v/>
      </c>
      <c r="W209" s="343">
        <f t="shared" si="1"/>
        <v>1</v>
      </c>
      <c r="X209" s="344">
        <f>IFERROR(__xludf.DUMMYFUNCTION("SWITCH(
LEN(K209) - LEN(SUBSTITUTE(K209,"","","""")),
0 , VLOOKUP(K209, Variables!$A:$C, 3, FALSE),
1 , VLOOKUP(index(split(K209 ,"", "", FALSE),1,1), Variables!$A:$C, 3, FALSE) + VLOOKUP(index(split(K209 ,"", "", FALSE),1,2), Variables!$A:$C, 3, FALSE),
"&amp;"2 , VLOOKUP(index(split(K209 ,"", "", FALSE),1,1), Variables!$A:$C, 3, FALSE) + VLOOKUP(index(split(K209 ,"", "", FALSE),1,2), Variables!$A:$C, 3, FALSE) + VLOOKUP(index(split(K209 ,"", "", FALSE),1,3), Variables!$A:$C, 3, FALSE)
)"),0.5)</f>
        <v>0.5</v>
      </c>
      <c r="Y209" s="342">
        <f t="shared" si="2"/>
        <v>2.125</v>
      </c>
      <c r="Z209" s="114"/>
      <c r="AA209" s="114" t="s">
        <v>2572</v>
      </c>
      <c r="AB209" s="114"/>
      <c r="AC209" s="114" t="s">
        <v>2572</v>
      </c>
      <c r="AD209" s="114"/>
      <c r="AE209" s="114"/>
      <c r="AF209" s="114"/>
      <c r="AG209" s="114"/>
      <c r="AH209" s="114"/>
      <c r="AI209" s="114"/>
      <c r="AJ209" s="114" t="s">
        <v>2573</v>
      </c>
      <c r="AK209" s="473">
        <v>10.0</v>
      </c>
      <c r="AL209" s="114" t="s">
        <v>2574</v>
      </c>
      <c r="AM209" s="473">
        <v>17.0</v>
      </c>
      <c r="AN209" s="114" t="s">
        <v>369</v>
      </c>
      <c r="AO209" s="473">
        <v>24.0</v>
      </c>
      <c r="AP209" s="130">
        <f>SUM(
VLOOKUP("Ravage",vote4TRAITS!A:C,3,FALSE)
)</f>
        <v>7.333333333</v>
      </c>
      <c r="AQ209" s="130">
        <f t="shared" si="3"/>
        <v>20.775</v>
      </c>
    </row>
    <row r="210" ht="14.25" customHeight="1">
      <c r="A210" s="137" t="s">
        <v>1447</v>
      </c>
      <c r="B210" s="114" t="s">
        <v>2576</v>
      </c>
      <c r="C210" s="114">
        <v>41.0</v>
      </c>
      <c r="D210" s="114">
        <v>1.0</v>
      </c>
      <c r="E210" s="114">
        <v>4.0</v>
      </c>
      <c r="F210" s="487">
        <v>4.0</v>
      </c>
      <c r="G210" s="488">
        <v>5.0</v>
      </c>
      <c r="H210" s="114" t="s">
        <v>1663</v>
      </c>
      <c r="I210" s="130">
        <f>IFERROR(__xludf.DUMMYFUNCTION("SWITCH(
LEN(H210) - LEN(SUBSTITUTE(H210,"","","""")),
0 , VLOOKUP(H210, Variables!$A:$B, 2, FALSE),
1 , VLOOKUP(index(split(H210 ,"", "", FALSE),1,1), Variables!$A:$B , 2, FALSE) + VLOOKUP(index(split(H210 ,"", "", FALSE),1,2), Variables!$A:$B , 2, FALSE)"&amp;",
2 , VLOOKUP(index(split(H210 ,"", "", FALSE),1,1), Variables!$A:$B , 2, FALSE) + VLOOKUP(index(split(H210 ,"", "", FALSE),1,2), Variables!$A:$B , 2, FALSE) + VLOOKUP(index(split(H210 ,"", "", FALSE),1,3), Variables!$A:$B , 2, FALSE)
)"),1.3333333333333333)</f>
        <v>1.333333333</v>
      </c>
      <c r="J210" s="114" t="s">
        <v>1521</v>
      </c>
      <c r="K210" s="114" t="s">
        <v>1525</v>
      </c>
      <c r="L210" s="130">
        <f>IFERROR(__xludf.DUMMYFUNCTION("SWITCH(
LEN(K210) - LEN(SUBSTITUTE(K210,"","","""")),
0 , VLOOKUP(K210, Variables!$A:$B, 2, FALSE),
1 , VLOOKUP(index(split(K210 ,"", "", FALSE),1,1), Variables!$A:$B , 2, FALSE) + VLOOKUP(index(split(K210 ,"", "", FALSE),1,2), Variables!$A:$B , 2, FALSE)"&amp;",
2 , VLOOKUP(index(split(K210 ,"", "", FALSE),1,1), Variables!$A:$B , 2, FALSE) + VLOOKUP(index(split(K210 ,"", "", FALSE),1,2), Variables!$A:$B , 2, FALSE) + VLOOKUP(index(split(K210 ,"", "", FALSE),1,3), Variables!$A:$B , 2, FALSE)
)
+
IF(J210=""Ranged"&amp;""", 1 , 0)"),3.333333333333333)</f>
        <v>3.333333333</v>
      </c>
      <c r="M210" s="114" t="s">
        <v>2647</v>
      </c>
      <c r="N210" s="130">
        <f>IFERROR(__xludf.DUMMYFUNCTION("IF(ISBLANK(M210), , 
SWITCH(
LEN(M210)- LEN(SUBSTITUTE(M210,"","","""")), 
0 , VLOOKUP(M210, vote4TRAITS!A:C , 3, FALSE),
1 , VLOOKUP(index(split(M210 ,"", "", FALSE),1,1), vote4TRAITS!A:C , 3, FALSE) + VLOOKUP(index(split(M210 ,"", "", FALSE),1,2), vote4"&amp;"TRAITS!A:C , 3, FALSE),
2 , VLOOKUP(index(split(M210 ,"", "", FALSE),1,1), vote4TRAITS!A:C , 3, FALSE) + VLOOKUP(index(split(M210 ,"", "", FALSE),1,2), vote4TRAITS!A:C , 3, FALSE) + VLOOKUP(index(split(M210 ,"", "", FALSE),1,3), vote4TRAITS!A:C , 3, FALSE"&amp;")
)
)"),11.666666666666666)</f>
        <v>11.66666667</v>
      </c>
      <c r="O210" s="490"/>
      <c r="P210" s="165" t="str">
        <f>IFERROR(__xludf.DUMMYFUNCTION("IF(ISBLANK(O210), , 
SWITCH(
LEN(O210)- LEN(SUBSTITUTE(O210,"","","""")), 
0 , VLOOKUP(O210, vote4ACTIONS!A:C , 3, FALSE),
1 , VLOOKUP(index(split(O210 ,"", "", FALSE),1,1), vote4ACTIONS!A:C , 3, FALSE) + VLOOKUP(index(split(O210 ,"", "", FALSE),1,2), vot"&amp;"e4ACTIONS!A:C , 3, FALSE),
2 , VLOOKUP(index(split(O210 ,"", "", FALSE),1,1), vote4ACTIONS!A:C , 3, FALSE) + VLOOKUP(index(split(O210 ,"", "", FALSE),1,2), vote4ACTIONS!A:C , 3, FALSE) + VLOOKUP(index(split(O210 ,"", "", FALSE),1,3), vote4ACTIONS!A:C , 3,"&amp;" FALSE),
3 , VLOOKUP(index(split(O210 ,"", "", FALSE),1,1), vote4ACTIONS!A:C , 3, FALSE) + VLOOKUP(index(split(O210 ,"", "", FALSE),1,2), vote4ACTIONS!A:C , 3, FALSE) + VLOOKUP(index(split(O210 ,"", "", FALSE),1,3), vote4ACTIONS!A:C , 3, FALSE) + VLOOKUP("&amp;"index(split(O210 ,"", "", FALSE),1,4), vote4ACTIONS!A:C , 3, FALSE)
)
)"),"")</f>
        <v/>
      </c>
      <c r="Q210" s="164" t="s">
        <v>1177</v>
      </c>
      <c r="R210" s="342">
        <f>IF(ISBLANK(Q210),,IFERROR(
IF(IFERROR(SEARCH("SS:",Q210),0) &gt; 0, 
VLOOKUP(SUBSTITUTE(Q210,"SS: ",""),vote4SURGE!$A:$C , 3, FALSE) - 2,
VLOOKUP(SUBSTITUTE(Q210,"S: ",""),vote4SURGE!$A:$C , 3, FALSE)
)
,
IF(IFERROR(SEARCH("SS:",Q210),0) &gt; 0, 
VLOOKUP(A210,vote4SURGE!$A:$C , 3, FALSE) - 2,
VLOOKUP(A210,vote4SURGE!$A:$C , 3, FALSE)
)
))</f>
        <v>3.5</v>
      </c>
      <c r="S210" s="341"/>
      <c r="T210" s="342" t="str">
        <f>IF(ISBLANK(S210),,IFERROR(
IF(IFERROR(SEARCH("SS:",S210),0) &gt; 0, 
VLOOKUP(SUBSTITUTE(S210,"SS: ",""),vote4SURGE!$A:$C , 3, FALSE) - 2,
VLOOKUP(SUBSTITUTE(S210,"S: ",""),vote4SURGE!$A:$C , 3, FALSE)
)
,
IF(IFERROR(SEARCH("SS:",S210),0) &gt; 0, 
VLOOKUP(A210,vote4SURGE!$A:$C , 3, FALSE) - 2,
VLOOKUP(A210,vote4SURGE!$A:$C , 3, FALSE)
)
))</f>
        <v/>
      </c>
      <c r="U210" s="341"/>
      <c r="V210" s="343" t="str">
        <f>IF(ISBLANK(U210),,IFERROR(
IF(IFERROR(SEARCH("SS:",U210),0) &gt; 0, 
VLOOKUP(SUBSTITUTE(U210,"SS: ",""),vote4SURGE!$A:$C , 3, FALSE) - 2,
VLOOKUP(SUBSTITUTE(U210,"S: ",""),vote4SURGE!$A:$C , 3, FALSE)
)
,
IF(IFERROR(SEARCH("SS:",U210),0) &gt; 0, 
VLOOKUP(A210,vote4SURGE!$A:$C , 3, FALSE) - 2,
VLOOKUP(A210,vote4SURGE!$A:$C , 3, FALSE)
)
))</f>
        <v/>
      </c>
      <c r="W210" s="343">
        <f t="shared" si="1"/>
        <v>1</v>
      </c>
      <c r="X210" s="344">
        <f>IFERROR(__xludf.DUMMYFUNCTION("SWITCH(
LEN(K210) - LEN(SUBSTITUTE(K210,"","","""")),
0 , VLOOKUP(K210, Variables!$A:$C, 3, FALSE),
1 , VLOOKUP(index(split(K210 ,"", "", FALSE),1,1), Variables!$A:$C, 3, FALSE) + VLOOKUP(index(split(K210 ,"", "", FALSE),1,2), Variables!$A:$C, 3, FALSE),
"&amp;"2 , VLOOKUP(index(split(K210 ,"", "", FALSE),1,1), Variables!$A:$C, 3, FALSE) + VLOOKUP(index(split(K210 ,"", "", FALSE),1,2), Variables!$A:$C, 3, FALSE) + VLOOKUP(index(split(K210 ,"", "", FALSE),1,3), Variables!$A:$C, 3, FALSE)
)"),0.5)</f>
        <v>0.5</v>
      </c>
      <c r="Y210" s="342">
        <f t="shared" si="2"/>
        <v>1.75</v>
      </c>
      <c r="Z210" s="114"/>
      <c r="AA210" s="114" t="s">
        <v>2572</v>
      </c>
      <c r="AB210" s="114"/>
      <c r="AC210" s="114" t="s">
        <v>2572</v>
      </c>
      <c r="AD210" s="114"/>
      <c r="AE210" s="114"/>
      <c r="AF210" s="114"/>
      <c r="AG210" s="114"/>
      <c r="AH210" s="114"/>
      <c r="AI210" s="114"/>
      <c r="AJ210" s="114" t="s">
        <v>2573</v>
      </c>
      <c r="AK210" s="473">
        <v>7.0</v>
      </c>
      <c r="AL210" s="114" t="s">
        <v>2574</v>
      </c>
      <c r="AM210" s="473">
        <v>12.0</v>
      </c>
      <c r="AN210" s="114" t="s">
        <v>369</v>
      </c>
      <c r="AO210" s="473">
        <v>17.0</v>
      </c>
      <c r="AP210" s="130">
        <f>SUM(
VLOOKUP("Ravage",vote4TRAITS!A:C,3,FALSE)
)</f>
        <v>7.333333333</v>
      </c>
      <c r="AQ210" s="130">
        <f t="shared" si="3"/>
        <v>17.73333333</v>
      </c>
    </row>
    <row r="211" ht="14.25" customHeight="1">
      <c r="A211" s="137" t="s">
        <v>1454</v>
      </c>
      <c r="B211" s="114" t="s">
        <v>2570</v>
      </c>
      <c r="C211" s="114">
        <v>23.0</v>
      </c>
      <c r="D211" s="114">
        <v>2.0</v>
      </c>
      <c r="E211" s="114">
        <v>1.0</v>
      </c>
      <c r="F211" s="487">
        <v>5.0</v>
      </c>
      <c r="G211" s="488">
        <v>8.0</v>
      </c>
      <c r="H211" s="114" t="s">
        <v>1671</v>
      </c>
      <c r="I211" s="130">
        <f>IFERROR(__xludf.DUMMYFUNCTION("SWITCH(
LEN(H211) - LEN(SUBSTITUTE(H211,"","","""")),
0 , VLOOKUP(H211, Variables!$A:$B, 2, FALSE),
1 , VLOOKUP(index(split(H211 ,"", "", FALSE),1,1), Variables!$A:$B , 2, FALSE) + VLOOKUP(index(split(H211 ,"", "", FALSE),1,2), Variables!$A:$B , 2, FALSE)"&amp;",
2 , VLOOKUP(index(split(H211 ,"", "", FALSE),1,1), Variables!$A:$B , 2, FALSE) + VLOOKUP(index(split(H211 ,"", "", FALSE),1,2), Variables!$A:$B , 2, FALSE) + VLOOKUP(index(split(H211 ,"", "", FALSE),1,3), Variables!$A:$B , 2, FALSE)
)"),2.1666666666666665)</f>
        <v>2.166666667</v>
      </c>
      <c r="J211" s="114" t="s">
        <v>1567</v>
      </c>
      <c r="K211" s="114" t="s">
        <v>1537</v>
      </c>
      <c r="L211" s="130">
        <f>IFERROR(__xludf.DUMMYFUNCTION("SWITCH(
LEN(K211) - LEN(SUBSTITUTE(K211,"","","""")),
0 , VLOOKUP(K211, Variables!$A:$B, 2, FALSE),
1 , VLOOKUP(index(split(K211 ,"", "", FALSE),1,1), Variables!$A:$B , 2, FALSE) + VLOOKUP(index(split(K211 ,"", "", FALSE),1,2), Variables!$A:$B , 2, FALSE)"&amp;",
2 , VLOOKUP(index(split(K211 ,"", "", FALSE),1,1), Variables!$A:$B , 2, FALSE) + VLOOKUP(index(split(K211 ,"", "", FALSE),1,2), Variables!$A:$B , 2, FALSE) + VLOOKUP(index(split(K211 ,"", "", FALSE),1,3), Variables!$A:$B , 2, FALSE)
)
+
IF(J211=""Ranged"&amp;""", 1 , 0)"),5.5)</f>
        <v>5.5</v>
      </c>
      <c r="M211" s="114" t="s">
        <v>1105</v>
      </c>
      <c r="N211" s="130">
        <f>IFERROR(__xludf.DUMMYFUNCTION("IF(ISBLANK(M211), , 
SWITCH(
LEN(M211)- LEN(SUBSTITUTE(M211,"","","""")), 
0 , VLOOKUP(M211, vote4TRAITS!A:C , 3, FALSE),
1 , VLOOKUP(index(split(M211 ,"", "", FALSE),1,1), vote4TRAITS!A:C , 3, FALSE) + VLOOKUP(index(split(M211 ,"", "", FALSE),1,2), vote4"&amp;"TRAITS!A:C , 3, FALSE),
2 , VLOOKUP(index(split(M211 ,"", "", FALSE),1,1), vote4TRAITS!A:C , 3, FALSE) + VLOOKUP(index(split(M211 ,"", "", FALSE),1,2), vote4TRAITS!A:C , 3, FALSE) + VLOOKUP(index(split(M211 ,"", "", FALSE),1,3), vote4TRAITS!A:C , 3, FALSE"&amp;")
)
)"),6.0)</f>
        <v>6</v>
      </c>
      <c r="O211" s="114" t="s">
        <v>1316</v>
      </c>
      <c r="P211" s="165">
        <f>IFERROR(__xludf.DUMMYFUNCTION("IF(ISBLANK(O211), , 
SWITCH(
LEN(O211)- LEN(SUBSTITUTE(O211,"","","""")), 
0 , VLOOKUP(O211, vote4ACTIONS!A:C , 3, FALSE),
1 , VLOOKUP(index(split(O211 ,"", "", FALSE),1,1), vote4ACTIONS!A:C , 3, FALSE) + VLOOKUP(index(split(O211 ,"", "", FALSE),1,2), vot"&amp;"e4ACTIONS!A:C , 3, FALSE),
2 , VLOOKUP(index(split(O211 ,"", "", FALSE),1,1), vote4ACTIONS!A:C , 3, FALSE) + VLOOKUP(index(split(O211 ,"", "", FALSE),1,2), vote4ACTIONS!A:C , 3, FALSE) + VLOOKUP(index(split(O211 ,"", "", FALSE),1,3), vote4ACTIONS!A:C , 3,"&amp;" FALSE),
3 , VLOOKUP(index(split(O211 ,"", "", FALSE),1,1), vote4ACTIONS!A:C , 3, FALSE) + VLOOKUP(index(split(O211 ,"", "", FALSE),1,2), vote4ACTIONS!A:C , 3, FALSE) + VLOOKUP(index(split(O211 ,"", "", FALSE),1,3), vote4ACTIONS!A:C , 3, FALSE) + VLOOKUP("&amp;"index(split(O211 ,"", "", FALSE),1,4), vote4ACTIONS!A:C , 3, FALSE)
)
)"),1.75)</f>
        <v>1.75</v>
      </c>
      <c r="Q211" s="340" t="s">
        <v>1539</v>
      </c>
      <c r="R211" s="342">
        <f>IF(ISBLANK(Q211),,IFERROR(
IF(IFERROR(SEARCH("SS:",Q211),0) &gt; 0, 
VLOOKUP(SUBSTITUTE(Q211,"SS: ",""),vote4SURGE!$A:$C , 3, FALSE) - 2,
VLOOKUP(SUBSTITUTE(Q211,"S: ",""),vote4SURGE!$A:$C , 3, FALSE)
)
,
IF(IFERROR(SEARCH("SS:",Q211),0) &gt; 0, 
VLOOKUP(A211,vote4SURGE!$A:$C , 3, FALSE) - 2,
VLOOKUP(A211,vote4SURGE!$A:$C , 3, FALSE)
)
))</f>
        <v>5</v>
      </c>
      <c r="S211" s="489" t="s">
        <v>1544</v>
      </c>
      <c r="T211" s="342">
        <f>IF(ISBLANK(S211),,IFERROR(
IF(IFERROR(SEARCH("SS:",S211),0) &gt; 0, 
VLOOKUP(SUBSTITUTE(S211,"SS: ",""),vote4SURGE!$A:$C , 3, FALSE) - 2,
VLOOKUP(SUBSTITUTE(S211,"S: ",""),vote4SURGE!$A:$C , 3, FALSE)
)
,
IF(IFERROR(SEARCH("SS:",S211),0) &gt; 0, 
VLOOKUP(A211,vote4SURGE!$A:$C , 3, FALSE) - 2,
VLOOKUP(A211,vote4SURGE!$A:$C , 3, FALSE)
)
))</f>
        <v>4</v>
      </c>
      <c r="U211" s="341"/>
      <c r="V211" s="343" t="str">
        <f>IF(ISBLANK(U211),,IFERROR(
IF(IFERROR(SEARCH("SS:",U211),0) &gt; 0, 
VLOOKUP(SUBSTITUTE(U211,"SS: ",""),vote4SURGE!$A:$C , 3, FALSE) - 2,
VLOOKUP(SUBSTITUTE(U211,"S: ",""),vote4SURGE!$A:$C , 3, FALSE)
)
,
IF(IFERROR(SEARCH("SS:",U211),0) &gt; 0, 
VLOOKUP(A211,vote4SURGE!$A:$C , 3, FALSE) - 2,
VLOOKUP(A211,vote4SURGE!$A:$C , 3, FALSE)
)
))</f>
        <v/>
      </c>
      <c r="W211" s="343">
        <f t="shared" si="1"/>
        <v>2</v>
      </c>
      <c r="X211" s="344">
        <f>IFERROR(__xludf.DUMMYFUNCTION("SWITCH(
LEN(K211) - LEN(SUBSTITUTE(K211,"","","""")),
0 , VLOOKUP(K211, Variables!$A:$C, 3, FALSE),
1 , VLOOKUP(index(split(K211 ,"", "", FALSE),1,1), Variables!$A:$C, 3, FALSE) + VLOOKUP(index(split(K211 ,"", "", FALSE),1,2), Variables!$A:$C, 3, FALSE),
"&amp;"2 , VLOOKUP(index(split(K211 ,"", "", FALSE),1,1), Variables!$A:$C, 3, FALSE) + VLOOKUP(index(split(K211 ,"", "", FALSE),1,2), Variables!$A:$C, 3, FALSE) + VLOOKUP(index(split(K211 ,"", "", FALSE),1,3), Variables!$A:$C, 3, FALSE)
)"),1.0)</f>
        <v>1</v>
      </c>
      <c r="Y211" s="342">
        <f t="shared" si="2"/>
        <v>7</v>
      </c>
      <c r="Z211" s="114"/>
      <c r="AA211" s="114"/>
      <c r="AB211" s="114" t="s">
        <v>2572</v>
      </c>
      <c r="AC211" s="114"/>
      <c r="AD211" s="114" t="s">
        <v>2572</v>
      </c>
      <c r="AE211" s="114"/>
      <c r="AF211" s="114"/>
      <c r="AG211" s="114"/>
      <c r="AH211" s="114"/>
      <c r="AI211" s="114"/>
      <c r="AJ211" s="114" t="s">
        <v>2574</v>
      </c>
      <c r="AK211" s="473">
        <v>8.0</v>
      </c>
      <c r="AL211" s="114" t="s">
        <v>2574</v>
      </c>
      <c r="AM211" s="473">
        <v>14.0</v>
      </c>
      <c r="AN211" s="114" t="s">
        <v>2574</v>
      </c>
      <c r="AO211" s="473">
        <v>20.0</v>
      </c>
      <c r="AP211" s="130">
        <f>SUM(
VLOOKUP("Ravage",vote4TRAITS!A:C,3,FALSE)
)</f>
        <v>7.333333333</v>
      </c>
      <c r="AQ211" s="130">
        <f t="shared" si="3"/>
        <v>31.9</v>
      </c>
    </row>
    <row r="212" ht="14.25" customHeight="1">
      <c r="A212" s="137" t="s">
        <v>1454</v>
      </c>
      <c r="B212" s="114" t="s">
        <v>2570</v>
      </c>
      <c r="C212" s="114">
        <v>23.0</v>
      </c>
      <c r="D212" s="114">
        <v>1.0</v>
      </c>
      <c r="E212" s="114">
        <v>1.0</v>
      </c>
      <c r="F212" s="487">
        <v>4.0</v>
      </c>
      <c r="G212" s="488">
        <v>7.0</v>
      </c>
      <c r="H212" s="114" t="s">
        <v>1663</v>
      </c>
      <c r="I212" s="130">
        <f>IFERROR(__xludf.DUMMYFUNCTION("SWITCH(
LEN(H212) - LEN(SUBSTITUTE(H212,"","","""")),
0 , VLOOKUP(H212, Variables!$A:$B, 2, FALSE),
1 , VLOOKUP(index(split(H212 ,"", "", FALSE),1,1), Variables!$A:$B , 2, FALSE) + VLOOKUP(index(split(H212 ,"", "", FALSE),1,2), Variables!$A:$B , 2, FALSE)"&amp;",
2 , VLOOKUP(index(split(H212 ,"", "", FALSE),1,1), Variables!$A:$B , 2, FALSE) + VLOOKUP(index(split(H212 ,"", "", FALSE),1,2), Variables!$A:$B , 2, FALSE) + VLOOKUP(index(split(H212 ,"", "", FALSE),1,3), Variables!$A:$B , 2, FALSE)
)"),1.3333333333333333)</f>
        <v>1.333333333</v>
      </c>
      <c r="J212" s="114" t="s">
        <v>1567</v>
      </c>
      <c r="K212" s="114" t="s">
        <v>1548</v>
      </c>
      <c r="L212" s="130">
        <f>IFERROR(__xludf.DUMMYFUNCTION("SWITCH(
LEN(K212) - LEN(SUBSTITUTE(K212,"","","""")),
0 , VLOOKUP(K212, Variables!$A:$B, 2, FALSE),
1 , VLOOKUP(index(split(K212 ,"", "", FALSE),1,1), Variables!$A:$B , 2, FALSE) + VLOOKUP(index(split(K212 ,"", "", FALSE),1,2), Variables!$A:$B , 2, FALSE)"&amp;",
2 , VLOOKUP(index(split(K212 ,"", "", FALSE),1,1), Variables!$A:$B , 2, FALSE) + VLOOKUP(index(split(K212 ,"", "", FALSE),1,2), Variables!$A:$B , 2, FALSE) + VLOOKUP(index(split(K212 ,"", "", FALSE),1,3), Variables!$A:$B , 2, FALSE)
)
+
IF(J212=""Ranged"&amp;""", 1 , 0)"),3.3333333333333335)</f>
        <v>3.333333333</v>
      </c>
      <c r="M212" s="114" t="s">
        <v>1105</v>
      </c>
      <c r="N212" s="130">
        <f>IFERROR(__xludf.DUMMYFUNCTION("IF(ISBLANK(M212), , 
SWITCH(
LEN(M212)- LEN(SUBSTITUTE(M212,"","","""")), 
0 , VLOOKUP(M212, vote4TRAITS!A:C , 3, FALSE),
1 , VLOOKUP(index(split(M212 ,"", "", FALSE),1,1), vote4TRAITS!A:C , 3, FALSE) + VLOOKUP(index(split(M212 ,"", "", FALSE),1,2), vote4"&amp;"TRAITS!A:C , 3, FALSE),
2 , VLOOKUP(index(split(M212 ,"", "", FALSE),1,1), vote4TRAITS!A:C , 3, FALSE) + VLOOKUP(index(split(M212 ,"", "", FALSE),1,2), vote4TRAITS!A:C , 3, FALSE) + VLOOKUP(index(split(M212 ,"", "", FALSE),1,3), vote4TRAITS!A:C , 3, FALSE"&amp;")
)
)"),6.0)</f>
        <v>6</v>
      </c>
      <c r="O212" s="114" t="s">
        <v>1316</v>
      </c>
      <c r="P212" s="165">
        <f>IFERROR(__xludf.DUMMYFUNCTION("IF(ISBLANK(O212), , 
SWITCH(
LEN(O212)- LEN(SUBSTITUTE(O212,"","","""")), 
0 , VLOOKUP(O212, vote4ACTIONS!A:C , 3, FALSE),
1 , VLOOKUP(index(split(O212 ,"", "", FALSE),1,1), vote4ACTIONS!A:C , 3, FALSE) + VLOOKUP(index(split(O212 ,"", "", FALSE),1,2), vot"&amp;"e4ACTIONS!A:C , 3, FALSE),
2 , VLOOKUP(index(split(O212 ,"", "", FALSE),1,1), vote4ACTIONS!A:C , 3, FALSE) + VLOOKUP(index(split(O212 ,"", "", FALSE),1,2), vote4ACTIONS!A:C , 3, FALSE) + VLOOKUP(index(split(O212 ,"", "", FALSE),1,3), vote4ACTIONS!A:C , 3,"&amp;" FALSE),
3 , VLOOKUP(index(split(O212 ,"", "", FALSE),1,1), vote4ACTIONS!A:C , 3, FALSE) + VLOOKUP(index(split(O212 ,"", "", FALSE),1,2), vote4ACTIONS!A:C , 3, FALSE) + VLOOKUP(index(split(O212 ,"", "", FALSE),1,3), vote4ACTIONS!A:C , 3, FALSE) + VLOOKUP("&amp;"index(split(O212 ,"", "", FALSE),1,4), vote4ACTIONS!A:C , 3, FALSE)
)
)"),1.75)</f>
        <v>1.75</v>
      </c>
      <c r="Q212" s="340" t="s">
        <v>1534</v>
      </c>
      <c r="R212" s="342">
        <f>IF(ISBLANK(Q212),,IFERROR(
IF(IFERROR(SEARCH("SS:",Q212),0) &gt; 0, 
VLOOKUP(SUBSTITUTE(Q212,"SS: ",""),vote4SURGE!$A:$C , 3, FALSE) - 2,
VLOOKUP(SUBSTITUTE(Q212,"S: ",""),vote4SURGE!$A:$C , 3, FALSE)
)
,
IF(IFERROR(SEARCH("SS:",Q212),0) &gt; 0, 
VLOOKUP(A212,vote4SURGE!$A:$C , 3, FALSE) - 2,
VLOOKUP(A212,vote4SURGE!$A:$C , 3, FALSE)
)
))</f>
        <v>4.25</v>
      </c>
      <c r="S212" s="489" t="s">
        <v>1544</v>
      </c>
      <c r="T212" s="342">
        <f>IF(ISBLANK(S212),,IFERROR(
IF(IFERROR(SEARCH("SS:",S212),0) &gt; 0, 
VLOOKUP(SUBSTITUTE(S212,"SS: ",""),vote4SURGE!$A:$C , 3, FALSE) - 2,
VLOOKUP(SUBSTITUTE(S212,"S: ",""),vote4SURGE!$A:$C , 3, FALSE)
)
,
IF(IFERROR(SEARCH("SS:",S212),0) &gt; 0, 
VLOOKUP(A212,vote4SURGE!$A:$C , 3, FALSE) - 2,
VLOOKUP(A212,vote4SURGE!$A:$C , 3, FALSE)
)
))</f>
        <v>4</v>
      </c>
      <c r="U212" s="341"/>
      <c r="V212" s="343" t="str">
        <f>IF(ISBLANK(U212),,IFERROR(
IF(IFERROR(SEARCH("SS:",U212),0) &gt; 0, 
VLOOKUP(SUBSTITUTE(U212,"SS: ",""),vote4SURGE!$A:$C , 3, FALSE) - 2,
VLOOKUP(SUBSTITUTE(U212,"S: ",""),vote4SURGE!$A:$C , 3, FALSE)
)
,
IF(IFERROR(SEARCH("SS:",U212),0) &gt; 0, 
VLOOKUP(A212,vote4SURGE!$A:$C , 3, FALSE) - 2,
VLOOKUP(A212,vote4SURGE!$A:$C , 3, FALSE)
)
))</f>
        <v/>
      </c>
      <c r="W212" s="343">
        <f t="shared" si="1"/>
        <v>2</v>
      </c>
      <c r="X212" s="344">
        <f>IFERROR(__xludf.DUMMYFUNCTION("SWITCH(
LEN(K212) - LEN(SUBSTITUTE(K212,"","","""")),
0 , VLOOKUP(K212, Variables!$A:$C, 3, FALSE),
1 , VLOOKUP(index(split(K212 ,"", "", FALSE),1,1), Variables!$A:$C, 3, FALSE) + VLOOKUP(index(split(K212 ,"", "", FALSE),1,2), Variables!$A:$C, 3, FALSE),
"&amp;"2 , VLOOKUP(index(split(K212 ,"", "", FALSE),1,1), Variables!$A:$C, 3, FALSE) + VLOOKUP(index(split(K212 ,"", "", FALSE),1,2), Variables!$A:$C, 3, FALSE) + VLOOKUP(index(split(K212 ,"", "", FALSE),1,3), Variables!$A:$C, 3, FALSE)
)"),0.8333333333333333)</f>
        <v>0.8333333333</v>
      </c>
      <c r="Y212" s="342">
        <f t="shared" si="2"/>
        <v>5.916666667</v>
      </c>
      <c r="Z212" s="114"/>
      <c r="AA212" s="114"/>
      <c r="AB212" s="114" t="s">
        <v>2572</v>
      </c>
      <c r="AC212" s="114"/>
      <c r="AD212" s="114" t="s">
        <v>2572</v>
      </c>
      <c r="AE212" s="114"/>
      <c r="AF212" s="114"/>
      <c r="AG212" s="114"/>
      <c r="AH212" s="114"/>
      <c r="AI212" s="114"/>
      <c r="AJ212" s="114" t="s">
        <v>2574</v>
      </c>
      <c r="AK212" s="473">
        <v>7.0</v>
      </c>
      <c r="AL212" s="114" t="s">
        <v>2574</v>
      </c>
      <c r="AM212" s="473">
        <v>12.0</v>
      </c>
      <c r="AN212" s="114" t="s">
        <v>2574</v>
      </c>
      <c r="AO212" s="473">
        <v>17.0</v>
      </c>
      <c r="AP212" s="130">
        <f>SUM(
VLOOKUP("Ravage",vote4TRAITS!A:C,3,FALSE)
)</f>
        <v>7.333333333</v>
      </c>
      <c r="AQ212" s="130">
        <f t="shared" si="3"/>
        <v>20.32</v>
      </c>
    </row>
    <row r="213" ht="14.25" customHeight="1">
      <c r="A213" s="137" t="s">
        <v>1454</v>
      </c>
      <c r="B213" s="114" t="s">
        <v>2576</v>
      </c>
      <c r="C213" s="114">
        <v>23.0</v>
      </c>
      <c r="D213" s="114">
        <v>2.0</v>
      </c>
      <c r="E213" s="114">
        <v>1.0</v>
      </c>
      <c r="F213" s="487">
        <v>5.0</v>
      </c>
      <c r="G213" s="488">
        <v>6.0</v>
      </c>
      <c r="H213" s="114" t="s">
        <v>1671</v>
      </c>
      <c r="I213" s="130">
        <f>IFERROR(__xludf.DUMMYFUNCTION("SWITCH(
LEN(H213) - LEN(SUBSTITUTE(H213,"","","""")),
0 , VLOOKUP(H213, Variables!$A:$B, 2, FALSE),
1 , VLOOKUP(index(split(H213 ,"", "", FALSE),1,1), Variables!$A:$B , 2, FALSE) + VLOOKUP(index(split(H213 ,"", "", FALSE),1,2), Variables!$A:$B , 2, FALSE)"&amp;",
2 , VLOOKUP(index(split(H213 ,"", "", FALSE),1,1), Variables!$A:$B , 2, FALSE) + VLOOKUP(index(split(H213 ,"", "", FALSE),1,2), Variables!$A:$B , 2, FALSE) + VLOOKUP(index(split(H213 ,"", "", FALSE),1,3), Variables!$A:$B , 2, FALSE)
)"),2.1666666666666665)</f>
        <v>2.166666667</v>
      </c>
      <c r="J213" s="114" t="s">
        <v>1567</v>
      </c>
      <c r="K213" s="114" t="s">
        <v>1548</v>
      </c>
      <c r="L213" s="130">
        <f>IFERROR(__xludf.DUMMYFUNCTION("SWITCH(
LEN(K213) - LEN(SUBSTITUTE(K213,"","","""")),
0 , VLOOKUP(K213, Variables!$A:$B, 2, FALSE),
1 , VLOOKUP(index(split(K213 ,"", "", FALSE),1,1), Variables!$A:$B , 2, FALSE) + VLOOKUP(index(split(K213 ,"", "", FALSE),1,2), Variables!$A:$B , 2, FALSE)"&amp;",
2 , VLOOKUP(index(split(K213 ,"", "", FALSE),1,1), Variables!$A:$B , 2, FALSE) + VLOOKUP(index(split(K213 ,"", "", FALSE),1,2), Variables!$A:$B , 2, FALSE) + VLOOKUP(index(split(K213 ,"", "", FALSE),1,3), Variables!$A:$B , 2, FALSE)
)
+
IF(J213=""Ranged"&amp;""", 1 , 0)"),3.3333333333333335)</f>
        <v>3.333333333</v>
      </c>
      <c r="M213" s="114"/>
      <c r="N213" s="130" t="str">
        <f>IFERROR(__xludf.DUMMYFUNCTION("IF(ISBLANK(M213), , 
SWITCH(
LEN(M213)- LEN(SUBSTITUTE(M213,"","","""")), 
0 , VLOOKUP(M213, vote4TRAITS!A:C , 3, FALSE),
1 , VLOOKUP(index(split(M213 ,"", "", FALSE),1,1), vote4TRAITS!A:C , 3, FALSE) + VLOOKUP(index(split(M213 ,"", "", FALSE),1,2), vote4"&amp;"TRAITS!A:C , 3, FALSE),
2 , VLOOKUP(index(split(M213 ,"", "", FALSE),1,1), vote4TRAITS!A:C , 3, FALSE) + VLOOKUP(index(split(M213 ,"", "", FALSE),1,2), vote4TRAITS!A:C , 3, FALSE) + VLOOKUP(index(split(M213 ,"", "", FALSE),1,3), vote4TRAITS!A:C , 3, FALSE"&amp;")
)
)"),"")</f>
        <v/>
      </c>
      <c r="O213" s="114" t="s">
        <v>1316</v>
      </c>
      <c r="P213" s="165">
        <f>IFERROR(__xludf.DUMMYFUNCTION("IF(ISBLANK(O213), , 
SWITCH(
LEN(O213)- LEN(SUBSTITUTE(O213,"","","""")), 
0 , VLOOKUP(O213, vote4ACTIONS!A:C , 3, FALSE),
1 , VLOOKUP(index(split(O213 ,"", "", FALSE),1,1), vote4ACTIONS!A:C , 3, FALSE) + VLOOKUP(index(split(O213 ,"", "", FALSE),1,2), vot"&amp;"e4ACTIONS!A:C , 3, FALSE),
2 , VLOOKUP(index(split(O213 ,"", "", FALSE),1,1), vote4ACTIONS!A:C , 3, FALSE) + VLOOKUP(index(split(O213 ,"", "", FALSE),1,2), vote4ACTIONS!A:C , 3, FALSE) + VLOOKUP(index(split(O213 ,"", "", FALSE),1,3), vote4ACTIONS!A:C , 3,"&amp;" FALSE),
3 , VLOOKUP(index(split(O213 ,"", "", FALSE),1,1), vote4ACTIONS!A:C , 3, FALSE) + VLOOKUP(index(split(O213 ,"", "", FALSE),1,2), vote4ACTIONS!A:C , 3, FALSE) + VLOOKUP(index(split(O213 ,"", "", FALSE),1,3), vote4ACTIONS!A:C , 3, FALSE) + VLOOKUP("&amp;"index(split(O213 ,"", "", FALSE),1,4), vote4ACTIONS!A:C , 3, FALSE)
)
)"),1.75)</f>
        <v>1.75</v>
      </c>
      <c r="Q213" s="340" t="s">
        <v>1534</v>
      </c>
      <c r="R213" s="342">
        <f>IF(ISBLANK(Q213),,IFERROR(
IF(IFERROR(SEARCH("SS:",Q213),0) &gt; 0, 
VLOOKUP(SUBSTITUTE(Q213,"SS: ",""),vote4SURGE!$A:$C , 3, FALSE) - 2,
VLOOKUP(SUBSTITUTE(Q213,"S: ",""),vote4SURGE!$A:$C , 3, FALSE)
)
,
IF(IFERROR(SEARCH("SS:",Q213),0) &gt; 0, 
VLOOKUP(A213,vote4SURGE!$A:$C , 3, FALSE) - 2,
VLOOKUP(A213,vote4SURGE!$A:$C , 3, FALSE)
)
))</f>
        <v>4.25</v>
      </c>
      <c r="S213" s="489" t="s">
        <v>1544</v>
      </c>
      <c r="T213" s="342">
        <f>IF(ISBLANK(S213),,IFERROR(
IF(IFERROR(SEARCH("SS:",S213),0) &gt; 0, 
VLOOKUP(SUBSTITUTE(S213,"SS: ",""),vote4SURGE!$A:$C , 3, FALSE) - 2,
VLOOKUP(SUBSTITUTE(S213,"S: ",""),vote4SURGE!$A:$C , 3, FALSE)
)
,
IF(IFERROR(SEARCH("SS:",S213),0) &gt; 0, 
VLOOKUP(A213,vote4SURGE!$A:$C , 3, FALSE) - 2,
VLOOKUP(A213,vote4SURGE!$A:$C , 3, FALSE)
)
))</f>
        <v>4</v>
      </c>
      <c r="U213" s="341"/>
      <c r="V213" s="343" t="str">
        <f>IF(ISBLANK(U213),,IFERROR(
IF(IFERROR(SEARCH("SS:",U213),0) &gt; 0, 
VLOOKUP(SUBSTITUTE(U213,"SS: ",""),vote4SURGE!$A:$C , 3, FALSE) - 2,
VLOOKUP(SUBSTITUTE(U213,"S: ",""),vote4SURGE!$A:$C , 3, FALSE)
)
,
IF(IFERROR(SEARCH("SS:",U213),0) &gt; 0, 
VLOOKUP(A213,vote4SURGE!$A:$C , 3, FALSE) - 2,
VLOOKUP(A213,vote4SURGE!$A:$C , 3, FALSE)
)
))</f>
        <v/>
      </c>
      <c r="W213" s="343">
        <f t="shared" si="1"/>
        <v>2</v>
      </c>
      <c r="X213" s="344">
        <f>IFERROR(__xludf.DUMMYFUNCTION("SWITCH(
LEN(K213) - LEN(SUBSTITUTE(K213,"","","""")),
0 , VLOOKUP(K213, Variables!$A:$C, 3, FALSE),
1 , VLOOKUP(index(split(K213 ,"", "", FALSE),1,1), Variables!$A:$C, 3, FALSE) + VLOOKUP(index(split(K213 ,"", "", FALSE),1,2), Variables!$A:$C, 3, FALSE),
"&amp;"2 , VLOOKUP(index(split(K213 ,"", "", FALSE),1,1), Variables!$A:$C, 3, FALSE) + VLOOKUP(index(split(K213 ,"", "", FALSE),1,2), Variables!$A:$C, 3, FALSE) + VLOOKUP(index(split(K213 ,"", "", FALSE),1,3), Variables!$A:$C, 3, FALSE)
)"),0.8333333333333333)</f>
        <v>0.8333333333</v>
      </c>
      <c r="Y213" s="342">
        <f t="shared" si="2"/>
        <v>5.916666667</v>
      </c>
      <c r="Z213" s="114"/>
      <c r="AA213" s="114"/>
      <c r="AB213" s="114" t="s">
        <v>2572</v>
      </c>
      <c r="AC213" s="114"/>
      <c r="AD213" s="114" t="s">
        <v>2572</v>
      </c>
      <c r="AE213" s="114"/>
      <c r="AF213" s="114"/>
      <c r="AG213" s="114"/>
      <c r="AH213" s="114"/>
      <c r="AI213" s="114"/>
      <c r="AJ213" s="114" t="s">
        <v>2573</v>
      </c>
      <c r="AK213" s="473">
        <v>8.0</v>
      </c>
      <c r="AL213" s="114" t="s">
        <v>2574</v>
      </c>
      <c r="AM213" s="473">
        <v>14.0</v>
      </c>
      <c r="AN213" s="114" t="s">
        <v>369</v>
      </c>
      <c r="AO213" s="473">
        <v>20.0</v>
      </c>
      <c r="AP213" s="130">
        <f>SUM(
VLOOKUP("Ravage",vote4TRAITS!A:C,3,FALSE)
)</f>
        <v>7.333333333</v>
      </c>
      <c r="AQ213" s="130">
        <f t="shared" si="3"/>
        <v>18.31666667</v>
      </c>
    </row>
    <row r="214" ht="14.25" customHeight="1">
      <c r="A214" s="137" t="s">
        <v>1454</v>
      </c>
      <c r="B214" s="114" t="s">
        <v>2576</v>
      </c>
      <c r="C214" s="114">
        <v>23.0</v>
      </c>
      <c r="D214" s="114">
        <v>1.0</v>
      </c>
      <c r="E214" s="114">
        <v>1.0</v>
      </c>
      <c r="F214" s="487">
        <v>4.0</v>
      </c>
      <c r="G214" s="488">
        <v>5.0</v>
      </c>
      <c r="H214" s="114" t="s">
        <v>1663</v>
      </c>
      <c r="I214" s="130">
        <f>IFERROR(__xludf.DUMMYFUNCTION("SWITCH(
LEN(H214) - LEN(SUBSTITUTE(H214,"","","""")),
0 , VLOOKUP(H214, Variables!$A:$B, 2, FALSE),
1 , VLOOKUP(index(split(H214 ,"", "", FALSE),1,1), Variables!$A:$B , 2, FALSE) + VLOOKUP(index(split(H214 ,"", "", FALSE),1,2), Variables!$A:$B , 2, FALSE)"&amp;",
2 , VLOOKUP(index(split(H214 ,"", "", FALSE),1,1), Variables!$A:$B , 2, FALSE) + VLOOKUP(index(split(H214 ,"", "", FALSE),1,2), Variables!$A:$B , 2, FALSE) + VLOOKUP(index(split(H214 ,"", "", FALSE),1,3), Variables!$A:$B , 2, FALSE)
)"),1.3333333333333333)</f>
        <v>1.333333333</v>
      </c>
      <c r="J214" s="114" t="s">
        <v>1567</v>
      </c>
      <c r="K214" s="114" t="s">
        <v>1548</v>
      </c>
      <c r="L214" s="130">
        <f>IFERROR(__xludf.DUMMYFUNCTION("SWITCH(
LEN(K214) - LEN(SUBSTITUTE(K214,"","","""")),
0 , VLOOKUP(K214, Variables!$A:$B, 2, FALSE),
1 , VLOOKUP(index(split(K214 ,"", "", FALSE),1,1), Variables!$A:$B , 2, FALSE) + VLOOKUP(index(split(K214 ,"", "", FALSE),1,2), Variables!$A:$B , 2, FALSE)"&amp;",
2 , VLOOKUP(index(split(K214 ,"", "", FALSE),1,1), Variables!$A:$B , 2, FALSE) + VLOOKUP(index(split(K214 ,"", "", FALSE),1,2), Variables!$A:$B , 2, FALSE) + VLOOKUP(index(split(K214 ,"", "", FALSE),1,3), Variables!$A:$B , 2, FALSE)
)
+
IF(J214=""Ranged"&amp;""", 1 , 0)"),3.3333333333333335)</f>
        <v>3.333333333</v>
      </c>
      <c r="M214" s="114"/>
      <c r="N214" s="130" t="str">
        <f>IFERROR(__xludf.DUMMYFUNCTION("IF(ISBLANK(M214), , 
SWITCH(
LEN(M214)- LEN(SUBSTITUTE(M214,"","","""")), 
0 , VLOOKUP(M214, vote4TRAITS!A:C , 3, FALSE),
1 , VLOOKUP(index(split(M214 ,"", "", FALSE),1,1), vote4TRAITS!A:C , 3, FALSE) + VLOOKUP(index(split(M214 ,"", "", FALSE),1,2), vote4"&amp;"TRAITS!A:C , 3, FALSE),
2 , VLOOKUP(index(split(M214 ,"", "", FALSE),1,1), vote4TRAITS!A:C , 3, FALSE) + VLOOKUP(index(split(M214 ,"", "", FALSE),1,2), vote4TRAITS!A:C , 3, FALSE) + VLOOKUP(index(split(M214 ,"", "", FALSE),1,3), vote4TRAITS!A:C , 3, FALSE"&amp;")
)
)"),"")</f>
        <v/>
      </c>
      <c r="O214" s="114" t="s">
        <v>1316</v>
      </c>
      <c r="P214" s="165">
        <f>IFERROR(__xludf.DUMMYFUNCTION("IF(ISBLANK(O214), , 
SWITCH(
LEN(O214)- LEN(SUBSTITUTE(O214,"","","""")), 
0 , VLOOKUP(O214, vote4ACTIONS!A:C , 3, FALSE),
1 , VLOOKUP(index(split(O214 ,"", "", FALSE),1,1), vote4ACTIONS!A:C , 3, FALSE) + VLOOKUP(index(split(O214 ,"", "", FALSE),1,2), vot"&amp;"e4ACTIONS!A:C , 3, FALSE),
2 , VLOOKUP(index(split(O214 ,"", "", FALSE),1,1), vote4ACTIONS!A:C , 3, FALSE) + VLOOKUP(index(split(O214 ,"", "", FALSE),1,2), vote4ACTIONS!A:C , 3, FALSE) + VLOOKUP(index(split(O214 ,"", "", FALSE),1,3), vote4ACTIONS!A:C , 3,"&amp;" FALSE),
3 , VLOOKUP(index(split(O214 ,"", "", FALSE),1,1), vote4ACTIONS!A:C , 3, FALSE) + VLOOKUP(index(split(O214 ,"", "", FALSE),1,2), vote4ACTIONS!A:C , 3, FALSE) + VLOOKUP(index(split(O214 ,"", "", FALSE),1,3), vote4ACTIONS!A:C , 3, FALSE) + VLOOKUP("&amp;"index(split(O214 ,"", "", FALSE),1,4), vote4ACTIONS!A:C , 3, FALSE)
)
)"),1.75)</f>
        <v>1.75</v>
      </c>
      <c r="Q214" s="340" t="s">
        <v>1562</v>
      </c>
      <c r="R214" s="342">
        <f>IF(ISBLANK(Q214),,IFERROR(
IF(IFERROR(SEARCH("SS:",Q214),0) &gt; 0, 
VLOOKUP(SUBSTITUTE(Q214,"SS: ",""),vote4SURGE!$A:$C , 3, FALSE) - 2,
VLOOKUP(SUBSTITUTE(Q214,"S: ",""),vote4SURGE!$A:$C , 3, FALSE)
)
,
IF(IFERROR(SEARCH("SS:",Q214),0) &gt; 0, 
VLOOKUP(A214,vote4SURGE!$A:$C , 3, FALSE) - 2,
VLOOKUP(A214,vote4SURGE!$A:$C , 3, FALSE)
)
))</f>
        <v>3.5</v>
      </c>
      <c r="S214" s="489" t="s">
        <v>1544</v>
      </c>
      <c r="T214" s="342">
        <f>IF(ISBLANK(S214),,IFERROR(
IF(IFERROR(SEARCH("SS:",S214),0) &gt; 0, 
VLOOKUP(SUBSTITUTE(S214,"SS: ",""),vote4SURGE!$A:$C , 3, FALSE) - 2,
VLOOKUP(SUBSTITUTE(S214,"S: ",""),vote4SURGE!$A:$C , 3, FALSE)
)
,
IF(IFERROR(SEARCH("SS:",S214),0) &gt; 0, 
VLOOKUP(A214,vote4SURGE!$A:$C , 3, FALSE) - 2,
VLOOKUP(A214,vote4SURGE!$A:$C , 3, FALSE)
)
))</f>
        <v>4</v>
      </c>
      <c r="U214" s="341"/>
      <c r="V214" s="343" t="str">
        <f>IF(ISBLANK(U214),,IFERROR(
IF(IFERROR(SEARCH("SS:",U214),0) &gt; 0, 
VLOOKUP(SUBSTITUTE(U214,"SS: ",""),vote4SURGE!$A:$C , 3, FALSE) - 2,
VLOOKUP(SUBSTITUTE(U214,"S: ",""),vote4SURGE!$A:$C , 3, FALSE)
)
,
IF(IFERROR(SEARCH("SS:",U214),0) &gt; 0, 
VLOOKUP(A214,vote4SURGE!$A:$C , 3, FALSE) - 2,
VLOOKUP(A214,vote4SURGE!$A:$C , 3, FALSE)
)
))</f>
        <v/>
      </c>
      <c r="W214" s="343">
        <f t="shared" si="1"/>
        <v>2</v>
      </c>
      <c r="X214" s="344">
        <f>IFERROR(__xludf.DUMMYFUNCTION("SWITCH(
LEN(K214) - LEN(SUBSTITUTE(K214,"","","""")),
0 , VLOOKUP(K214, Variables!$A:$C, 3, FALSE),
1 , VLOOKUP(index(split(K214 ,"", "", FALSE),1,1), Variables!$A:$C, 3, FALSE) + VLOOKUP(index(split(K214 ,"", "", FALSE),1,2), Variables!$A:$C, 3, FALSE),
"&amp;"2 , VLOOKUP(index(split(K214 ,"", "", FALSE),1,1), Variables!$A:$C, 3, FALSE) + VLOOKUP(index(split(K214 ,"", "", FALSE),1,2), Variables!$A:$C, 3, FALSE) + VLOOKUP(index(split(K214 ,"", "", FALSE),1,3), Variables!$A:$C, 3, FALSE)
)"),0.8333333333333333)</f>
        <v>0.8333333333</v>
      </c>
      <c r="Y214" s="342">
        <f t="shared" si="2"/>
        <v>5.458333333</v>
      </c>
      <c r="Z214" s="114"/>
      <c r="AA214" s="114"/>
      <c r="AB214" s="114" t="s">
        <v>2572</v>
      </c>
      <c r="AC214" s="114"/>
      <c r="AD214" s="114" t="s">
        <v>2572</v>
      </c>
      <c r="AE214" s="114"/>
      <c r="AF214" s="114"/>
      <c r="AG214" s="114"/>
      <c r="AH214" s="114"/>
      <c r="AI214" s="114"/>
      <c r="AJ214" s="114" t="s">
        <v>2573</v>
      </c>
      <c r="AK214" s="473">
        <v>7.0</v>
      </c>
      <c r="AL214" s="114" t="s">
        <v>2574</v>
      </c>
      <c r="AM214" s="473">
        <v>12.0</v>
      </c>
      <c r="AN214" s="114" t="s">
        <v>369</v>
      </c>
      <c r="AO214" s="473">
        <v>17.0</v>
      </c>
      <c r="AP214" s="130">
        <f>SUM(
VLOOKUP("Ravage",vote4TRAITS!A:C,3,FALSE)
)</f>
        <v>7.333333333</v>
      </c>
      <c r="AQ214" s="130">
        <f t="shared" si="3"/>
        <v>11.195</v>
      </c>
    </row>
    <row r="215" ht="14.25" customHeight="1">
      <c r="A215" s="137" t="s">
        <v>1469</v>
      </c>
      <c r="B215" s="114" t="s">
        <v>2570</v>
      </c>
      <c r="C215" s="114">
        <v>21.0</v>
      </c>
      <c r="D215" s="114">
        <v>2.0</v>
      </c>
      <c r="E215" s="114">
        <v>4.0</v>
      </c>
      <c r="F215" s="487">
        <v>3.0</v>
      </c>
      <c r="G215" s="488">
        <v>10.0</v>
      </c>
      <c r="H215" s="114" t="s">
        <v>1671</v>
      </c>
      <c r="I215" s="130">
        <f>IFERROR(__xludf.DUMMYFUNCTION("SWITCH(
LEN(H215) - LEN(SUBSTITUTE(H215,"","","""")),
0 , VLOOKUP(H215, Variables!$A:$B, 2, FALSE),
1 , VLOOKUP(index(split(H215 ,"", "", FALSE),1,1), Variables!$A:$B , 2, FALSE) + VLOOKUP(index(split(H215 ,"", "", FALSE),1,2), Variables!$A:$B , 2, FALSE)"&amp;",
2 , VLOOKUP(index(split(H215 ,"", "", FALSE),1,1), Variables!$A:$B , 2, FALSE) + VLOOKUP(index(split(H215 ,"", "", FALSE),1,2), Variables!$A:$B , 2, FALSE) + VLOOKUP(index(split(H215 ,"", "", FALSE),1,3), Variables!$A:$B , 2, FALSE)
)"),2.1666666666666665)</f>
        <v>2.166666667</v>
      </c>
      <c r="J215" s="114" t="s">
        <v>1521</v>
      </c>
      <c r="K215" s="114" t="s">
        <v>1537</v>
      </c>
      <c r="L215" s="130">
        <f>IFERROR(__xludf.DUMMYFUNCTION("SWITCH(
LEN(K215) - LEN(SUBSTITUTE(K215,"","","""")),
0 , VLOOKUP(K215, Variables!$A:$B, 2, FALSE),
1 , VLOOKUP(index(split(K215 ,"", "", FALSE),1,1), Variables!$A:$B , 2, FALSE) + VLOOKUP(index(split(K215 ,"", "", FALSE),1,2), Variables!$A:$B , 2, FALSE)"&amp;",
2 , VLOOKUP(index(split(K215 ,"", "", FALSE),1,1), Variables!$A:$B , 2, FALSE) + VLOOKUP(index(split(K215 ,"", "", FALSE),1,2), Variables!$A:$B , 2, FALSE) + VLOOKUP(index(split(K215 ,"", "", FALSE),1,3), Variables!$A:$B , 2, FALSE)
)
+
IF(J215=""Ranged"&amp;""", 1 , 0)"),4.5)</f>
        <v>4.5</v>
      </c>
      <c r="M215" s="114"/>
      <c r="N215" s="130" t="str">
        <f>IFERROR(__xludf.DUMMYFUNCTION("IF(ISBLANK(M215), , 
SWITCH(
LEN(M215)- LEN(SUBSTITUTE(M215,"","","""")), 
0 , VLOOKUP(M215, vote4TRAITS!A:C , 3, FALSE),
1 , VLOOKUP(index(split(M215 ,"", "", FALSE),1,1), vote4TRAITS!A:C , 3, FALSE) + VLOOKUP(index(split(M215 ,"", "", FALSE),1,2), vote4"&amp;"TRAITS!A:C , 3, FALSE),
2 , VLOOKUP(index(split(M215 ,"", "", FALSE),1,1), vote4TRAITS!A:C , 3, FALSE) + VLOOKUP(index(split(M215 ,"", "", FALSE),1,2), vote4TRAITS!A:C , 3, FALSE) + VLOOKUP(index(split(M215 ,"", "", FALSE),1,3), vote4TRAITS!A:C , 3, FALSE"&amp;")
)
)"),"")</f>
        <v/>
      </c>
      <c r="O215" s="114" t="s">
        <v>1298</v>
      </c>
      <c r="P215" s="165">
        <f>IFERROR(__xludf.DUMMYFUNCTION("IF(ISBLANK(O215), , 
SWITCH(
LEN(O215)- LEN(SUBSTITUTE(O215,"","","""")), 
0 , VLOOKUP(O215, vote4ACTIONS!A:C , 3, FALSE),
1 , VLOOKUP(index(split(O215 ,"", "", FALSE),1,1), vote4ACTIONS!A:C , 3, FALSE) + VLOOKUP(index(split(O215 ,"", "", FALSE),1,2), vot"&amp;"e4ACTIONS!A:C , 3, FALSE),
2 , VLOOKUP(index(split(O215 ,"", "", FALSE),1,1), vote4ACTIONS!A:C , 3, FALSE) + VLOOKUP(index(split(O215 ,"", "", FALSE),1,2), vote4ACTIONS!A:C , 3, FALSE) + VLOOKUP(index(split(O215 ,"", "", FALSE),1,3), vote4ACTIONS!A:C , 3,"&amp;" FALSE),
3 , VLOOKUP(index(split(O215 ,"", "", FALSE),1,1), vote4ACTIONS!A:C , 3, FALSE) + VLOOKUP(index(split(O215 ,"", "", FALSE),1,2), vote4ACTIONS!A:C , 3, FALSE) + VLOOKUP(index(split(O215 ,"", "", FALSE),1,3), vote4ACTIONS!A:C , 3, FALSE) + VLOOKUP("&amp;"index(split(O215 ,"", "", FALSE),1,4), vote4ACTIONS!A:C , 3, FALSE)
)
)"),0.5)</f>
        <v>0.5</v>
      </c>
      <c r="Q215" s="340" t="s">
        <v>2648</v>
      </c>
      <c r="R215" s="342">
        <f>IF(ISBLANK(Q215),,IFERROR(
IF(IFERROR(SEARCH("SS:",Q215),0) &gt; 0, 
VLOOKUP(SUBSTITUTE(Q215,"SS: ",""),vote4SURGE!$A:$C , 3, FALSE) - 2,
VLOOKUP(SUBSTITUTE(Q215,"S: ",""),vote4SURGE!$A:$C , 3, FALSE)
)
,
IF(IFERROR(SEARCH("SS:",Q215),0) &gt; 0, 
VLOOKUP(A215,vote4SURGE!$A:$C , 3, FALSE) - 2,
VLOOKUP(A215,vote4SURGE!$A:$C , 3, FALSE)
)
))</f>
        <v>3.25</v>
      </c>
      <c r="S215" s="489" t="s">
        <v>2632</v>
      </c>
      <c r="T215" s="342">
        <f>IF(ISBLANK(S215),,IFERROR(
IF(IFERROR(SEARCH("SS:",S215),0) &gt; 0, 
VLOOKUP(SUBSTITUTE(S215,"SS: ",""),vote4SURGE!$A:$C , 3, FALSE) - 2,
VLOOKUP(SUBSTITUTE(S215,"S: ",""),vote4SURGE!$A:$C , 3, FALSE)
)
,
IF(IFERROR(SEARCH("SS:",S215),0) &gt; 0, 
VLOOKUP(A215,vote4SURGE!$A:$C , 3, FALSE) - 2,
VLOOKUP(A215,vote4SURGE!$A:$C , 3, FALSE)
)
))</f>
        <v>4.25</v>
      </c>
      <c r="U215" s="341"/>
      <c r="V215" s="343" t="str">
        <f>IF(ISBLANK(U215),,IFERROR(
IF(IFERROR(SEARCH("SS:",U215),0) &gt; 0, 
VLOOKUP(SUBSTITUTE(U215,"SS: ",""),vote4SURGE!$A:$C , 3, FALSE) - 2,
VLOOKUP(SUBSTITUTE(U215,"S: ",""),vote4SURGE!$A:$C , 3, FALSE)
)
,
IF(IFERROR(SEARCH("SS:",U215),0) &gt; 0, 
VLOOKUP(A215,vote4SURGE!$A:$C , 3, FALSE) - 2,
VLOOKUP(A215,vote4SURGE!$A:$C , 3, FALSE)
)
))</f>
        <v/>
      </c>
      <c r="W215" s="343">
        <f t="shared" si="1"/>
        <v>2</v>
      </c>
      <c r="X215" s="344">
        <f>IFERROR(__xludf.DUMMYFUNCTION("SWITCH(
LEN(K215) - LEN(SUBSTITUTE(K215,"","","""")),
0 , VLOOKUP(K215, Variables!$A:$C, 3, FALSE),
1 , VLOOKUP(index(split(K215 ,"", "", FALSE),1,1), Variables!$A:$C, 3, FALSE) + VLOOKUP(index(split(K215 ,"", "", FALSE),1,2), Variables!$A:$C, 3, FALSE),
"&amp;"2 , VLOOKUP(index(split(K215 ,"", "", FALSE),1,1), Variables!$A:$C, 3, FALSE) + VLOOKUP(index(split(K215 ,"", "", FALSE),1,2), Variables!$A:$C, 3, FALSE) + VLOOKUP(index(split(K215 ,"", "", FALSE),1,3), Variables!$A:$C, 3, FALSE)
)"),1.0)</f>
        <v>1</v>
      </c>
      <c r="Y215" s="342">
        <f t="shared" si="2"/>
        <v>5.875</v>
      </c>
      <c r="Z215" s="114"/>
      <c r="AA215" s="114"/>
      <c r="AB215" s="114"/>
      <c r="AC215" s="114"/>
      <c r="AD215" s="114" t="s">
        <v>2572</v>
      </c>
      <c r="AE215" s="114"/>
      <c r="AF215" s="114" t="s">
        <v>2572</v>
      </c>
      <c r="AG215" s="114"/>
      <c r="AH215" s="114"/>
      <c r="AI215" s="114"/>
      <c r="AJ215" s="164" t="s">
        <v>2573</v>
      </c>
      <c r="AK215" s="473">
        <v>9.0</v>
      </c>
      <c r="AL215" s="164" t="s">
        <v>2574</v>
      </c>
      <c r="AM215" s="473">
        <v>10.0</v>
      </c>
      <c r="AN215" s="164" t="s">
        <v>2574</v>
      </c>
      <c r="AO215" s="473">
        <v>19.0</v>
      </c>
      <c r="AP215" s="130">
        <f>SUM(
VLOOKUP("Ravage",vote4TRAITS!A:C,3,FALSE)
)</f>
        <v>7.333333333</v>
      </c>
      <c r="AQ215" s="130">
        <f t="shared" si="3"/>
        <v>26.52833333</v>
      </c>
    </row>
    <row r="216" ht="14.25" customHeight="1">
      <c r="A216" s="137" t="s">
        <v>1469</v>
      </c>
      <c r="B216" s="114" t="s">
        <v>2576</v>
      </c>
      <c r="C216" s="114">
        <v>21.0</v>
      </c>
      <c r="D216" s="114">
        <v>2.0</v>
      </c>
      <c r="E216" s="114">
        <v>4.0</v>
      </c>
      <c r="F216" s="487">
        <v>3.0</v>
      </c>
      <c r="G216" s="488">
        <v>9.0</v>
      </c>
      <c r="H216" s="114" t="s">
        <v>1671</v>
      </c>
      <c r="I216" s="130">
        <f>IFERROR(__xludf.DUMMYFUNCTION("SWITCH(
LEN(H216) - LEN(SUBSTITUTE(H216,"","","""")),
0 , VLOOKUP(H216, Variables!$A:$B, 2, FALSE),
1 , VLOOKUP(index(split(H216 ,"", "", FALSE),1,1), Variables!$A:$B , 2, FALSE) + VLOOKUP(index(split(H216 ,"", "", FALSE),1,2), Variables!$A:$B , 2, FALSE)"&amp;",
2 , VLOOKUP(index(split(H216 ,"", "", FALSE),1,1), Variables!$A:$B , 2, FALSE) + VLOOKUP(index(split(H216 ,"", "", FALSE),1,2), Variables!$A:$B , 2, FALSE) + VLOOKUP(index(split(H216 ,"", "", FALSE),1,3), Variables!$A:$B , 2, FALSE)
)"),2.1666666666666665)</f>
        <v>2.166666667</v>
      </c>
      <c r="J216" s="114" t="s">
        <v>1521</v>
      </c>
      <c r="K216" s="114" t="s">
        <v>1537</v>
      </c>
      <c r="L216" s="130">
        <f>IFERROR(__xludf.DUMMYFUNCTION("SWITCH(
LEN(K216) - LEN(SUBSTITUTE(K216,"","","""")),
0 , VLOOKUP(K216, Variables!$A:$B, 2, FALSE),
1 , VLOOKUP(index(split(K216 ,"", "", FALSE),1,1), Variables!$A:$B , 2, FALSE) + VLOOKUP(index(split(K216 ,"", "", FALSE),1,2), Variables!$A:$B , 2, FALSE)"&amp;",
2 , VLOOKUP(index(split(K216 ,"", "", FALSE),1,1), Variables!$A:$B , 2, FALSE) + VLOOKUP(index(split(K216 ,"", "", FALSE),1,2), Variables!$A:$B , 2, FALSE) + VLOOKUP(index(split(K216 ,"", "", FALSE),1,3), Variables!$A:$B , 2, FALSE)
)
+
IF(J216=""Ranged"&amp;""", 1 , 0)"),4.5)</f>
        <v>4.5</v>
      </c>
      <c r="M216" s="114"/>
      <c r="N216" s="130" t="str">
        <f>IFERROR(__xludf.DUMMYFUNCTION("IF(ISBLANK(M216), , 
SWITCH(
LEN(M216)- LEN(SUBSTITUTE(M216,"","","""")), 
0 , VLOOKUP(M216, vote4TRAITS!A:C , 3, FALSE),
1 , VLOOKUP(index(split(M216 ,"", "", FALSE),1,1), vote4TRAITS!A:C , 3, FALSE) + VLOOKUP(index(split(M216 ,"", "", FALSE),1,2), vote4"&amp;"TRAITS!A:C , 3, FALSE),
2 , VLOOKUP(index(split(M216 ,"", "", FALSE),1,1), vote4TRAITS!A:C , 3, FALSE) + VLOOKUP(index(split(M216 ,"", "", FALSE),1,2), vote4TRAITS!A:C , 3, FALSE) + VLOOKUP(index(split(M216 ,"", "", FALSE),1,3), vote4TRAITS!A:C , 3, FALSE"&amp;")
)
)"),"")</f>
        <v/>
      </c>
      <c r="O216" s="114" t="s">
        <v>1298</v>
      </c>
      <c r="P216" s="165">
        <f>IFERROR(__xludf.DUMMYFUNCTION("IF(ISBLANK(O216), , 
SWITCH(
LEN(O216)- LEN(SUBSTITUTE(O216,"","","""")), 
0 , VLOOKUP(O216, vote4ACTIONS!A:C , 3, FALSE),
1 , VLOOKUP(index(split(O216 ,"", "", FALSE),1,1), vote4ACTIONS!A:C , 3, FALSE) + VLOOKUP(index(split(O216 ,"", "", FALSE),1,2), vot"&amp;"e4ACTIONS!A:C , 3, FALSE),
2 , VLOOKUP(index(split(O216 ,"", "", FALSE),1,1), vote4ACTIONS!A:C , 3, FALSE) + VLOOKUP(index(split(O216 ,"", "", FALSE),1,2), vote4ACTIONS!A:C , 3, FALSE) + VLOOKUP(index(split(O216 ,"", "", FALSE),1,3), vote4ACTIONS!A:C , 3,"&amp;" FALSE),
3 , VLOOKUP(index(split(O216 ,"", "", FALSE),1,1), vote4ACTIONS!A:C , 3, FALSE) + VLOOKUP(index(split(O216 ,"", "", FALSE),1,2), vote4ACTIONS!A:C , 3, FALSE) + VLOOKUP(index(split(O216 ,"", "", FALSE),1,3), vote4ACTIONS!A:C , 3, FALSE) + VLOOKUP("&amp;"index(split(O216 ,"", "", FALSE),1,4), vote4ACTIONS!A:C , 3, FALSE)
)
)"),0.5)</f>
        <v>0.5</v>
      </c>
      <c r="Q216" s="154"/>
      <c r="R216" s="342" t="str">
        <f>IF(ISBLANK(Q216),,IFERROR(
IF(IFERROR(SEARCH("SS:",Q216),0) &gt; 0, 
VLOOKUP(SUBSTITUTE(Q216,"SS: ",""),vote4SURGE!$A:$C , 3, FALSE) - 2,
VLOOKUP(SUBSTITUTE(Q216,"S: ",""),vote4SURGE!$A:$C , 3, FALSE)
)
,
IF(IFERROR(SEARCH("SS:",Q216),0) &gt; 0, 
VLOOKUP(A216,vote4SURGE!$A:$C , 3, FALSE) - 2,
VLOOKUP(A216,vote4SURGE!$A:$C , 3, FALSE)
)
))</f>
        <v/>
      </c>
      <c r="S216" s="489" t="s">
        <v>2632</v>
      </c>
      <c r="T216" s="342">
        <f>IF(ISBLANK(S216),,IFERROR(
IF(IFERROR(SEARCH("SS:",S216),0) &gt; 0, 
VLOOKUP(SUBSTITUTE(S216,"SS: ",""),vote4SURGE!$A:$C , 3, FALSE) - 2,
VLOOKUP(SUBSTITUTE(S216,"S: ",""),vote4SURGE!$A:$C , 3, FALSE)
)
,
IF(IFERROR(SEARCH("SS:",S216),0) &gt; 0, 
VLOOKUP(A216,vote4SURGE!$A:$C , 3, FALSE) - 2,
VLOOKUP(A216,vote4SURGE!$A:$C , 3, FALSE)
)
))</f>
        <v>4.25</v>
      </c>
      <c r="U216" s="341"/>
      <c r="V216" s="343" t="str">
        <f>IF(ISBLANK(U216),,IFERROR(
IF(IFERROR(SEARCH("SS:",U216),0) &gt; 0, 
VLOOKUP(SUBSTITUTE(U216,"SS: ",""),vote4SURGE!$A:$C , 3, FALSE) - 2,
VLOOKUP(SUBSTITUTE(U216,"S: ",""),vote4SURGE!$A:$C , 3, FALSE)
)
,
IF(IFERROR(SEARCH("SS:",U216),0) &gt; 0, 
VLOOKUP(A216,vote4SURGE!$A:$C , 3, FALSE) - 2,
VLOOKUP(A216,vote4SURGE!$A:$C , 3, FALSE)
)
))</f>
        <v/>
      </c>
      <c r="W216" s="343">
        <f t="shared" si="1"/>
        <v>1</v>
      </c>
      <c r="X216" s="344">
        <f>IFERROR(__xludf.DUMMYFUNCTION("SWITCH(
LEN(K216) - LEN(SUBSTITUTE(K216,"","","""")),
0 , VLOOKUP(K216, Variables!$A:$C, 3, FALSE),
1 , VLOOKUP(index(split(K216 ,"", "", FALSE),1,1), Variables!$A:$C, 3, FALSE) + VLOOKUP(index(split(K216 ,"", "", FALSE),1,2), Variables!$A:$C, 3, FALSE),
"&amp;"2 , VLOOKUP(index(split(K216 ,"", "", FALSE),1,1), Variables!$A:$C, 3, FALSE) + VLOOKUP(index(split(K216 ,"", "", FALSE),1,2), Variables!$A:$C, 3, FALSE) + VLOOKUP(index(split(K216 ,"", "", FALSE),1,3), Variables!$A:$C, 3, FALSE)
)"),1.0)</f>
        <v>1</v>
      </c>
      <c r="Y216" s="342">
        <f t="shared" si="2"/>
        <v>4.25</v>
      </c>
      <c r="Z216" s="114"/>
      <c r="AA216" s="114"/>
      <c r="AB216" s="114"/>
      <c r="AC216" s="114"/>
      <c r="AD216" s="114" t="s">
        <v>2572</v>
      </c>
      <c r="AE216" s="114"/>
      <c r="AF216" s="114" t="s">
        <v>2572</v>
      </c>
      <c r="AG216" s="114"/>
      <c r="AH216" s="114"/>
      <c r="AI216" s="114"/>
      <c r="AJ216" s="164" t="s">
        <v>2574</v>
      </c>
      <c r="AK216" s="473">
        <v>9.0</v>
      </c>
      <c r="AL216" s="164" t="s">
        <v>2573</v>
      </c>
      <c r="AM216" s="473">
        <v>10.0</v>
      </c>
      <c r="AN216" s="164" t="s">
        <v>2574</v>
      </c>
      <c r="AO216" s="473">
        <v>19.0</v>
      </c>
      <c r="AP216" s="130">
        <f>SUM(
VLOOKUP("Ravage",vote4TRAITS!A:C,3,FALSE)
)</f>
        <v>7.333333333</v>
      </c>
      <c r="AQ216" s="130">
        <f t="shared" si="3"/>
        <v>22.73666667</v>
      </c>
    </row>
    <row r="217" ht="14.25" customHeight="1">
      <c r="A217" s="137" t="s">
        <v>1469</v>
      </c>
      <c r="B217" s="114" t="s">
        <v>2570</v>
      </c>
      <c r="C217" s="114">
        <v>21.0</v>
      </c>
      <c r="D217" s="114">
        <v>1.0</v>
      </c>
      <c r="E217" s="114">
        <v>4.0</v>
      </c>
      <c r="F217" s="487">
        <v>3.0</v>
      </c>
      <c r="G217" s="488">
        <v>9.0</v>
      </c>
      <c r="H217" s="114" t="s">
        <v>1663</v>
      </c>
      <c r="I217" s="130">
        <f>IFERROR(__xludf.DUMMYFUNCTION("SWITCH(
LEN(H217) - LEN(SUBSTITUTE(H217,"","","""")),
0 , VLOOKUP(H217, Variables!$A:$B, 2, FALSE),
1 , VLOOKUP(index(split(H217 ,"", "", FALSE),1,1), Variables!$A:$B , 2, FALSE) + VLOOKUP(index(split(H217 ,"", "", FALSE),1,2), Variables!$A:$B , 2, FALSE)"&amp;",
2 , VLOOKUP(index(split(H217 ,"", "", FALSE),1,1), Variables!$A:$B , 2, FALSE) + VLOOKUP(index(split(H217 ,"", "", FALSE),1,2), Variables!$A:$B , 2, FALSE) + VLOOKUP(index(split(H217 ,"", "", FALSE),1,3), Variables!$A:$B , 2, FALSE)
)"),1.3333333333333333)</f>
        <v>1.333333333</v>
      </c>
      <c r="J217" s="114" t="s">
        <v>1521</v>
      </c>
      <c r="K217" s="114" t="s">
        <v>1525</v>
      </c>
      <c r="L217" s="130">
        <f>IFERROR(__xludf.DUMMYFUNCTION("SWITCH(
LEN(K217) - LEN(SUBSTITUTE(K217,"","","""")),
0 , VLOOKUP(K217, Variables!$A:$B, 2, FALSE),
1 , VLOOKUP(index(split(K217 ,"", "", FALSE),1,1), Variables!$A:$B , 2, FALSE) + VLOOKUP(index(split(K217 ,"", "", FALSE),1,2), Variables!$A:$B , 2, FALSE)"&amp;",
2 , VLOOKUP(index(split(K217 ,"", "", FALSE),1,1), Variables!$A:$B , 2, FALSE) + VLOOKUP(index(split(K217 ,"", "", FALSE),1,2), Variables!$A:$B , 2, FALSE) + VLOOKUP(index(split(K217 ,"", "", FALSE),1,3), Variables!$A:$B , 2, FALSE)
)
+
IF(J217=""Ranged"&amp;""", 1 , 0)"),3.333333333333333)</f>
        <v>3.333333333</v>
      </c>
      <c r="M217" s="114"/>
      <c r="N217" s="130" t="str">
        <f>IFERROR(__xludf.DUMMYFUNCTION("IF(ISBLANK(M217), , 
SWITCH(
LEN(M217)- LEN(SUBSTITUTE(M217,"","","""")), 
0 , VLOOKUP(M217, vote4TRAITS!A:C , 3, FALSE),
1 , VLOOKUP(index(split(M217 ,"", "", FALSE),1,1), vote4TRAITS!A:C , 3, FALSE) + VLOOKUP(index(split(M217 ,"", "", FALSE),1,2), vote4"&amp;"TRAITS!A:C , 3, FALSE),
2 , VLOOKUP(index(split(M217 ,"", "", FALSE),1,1), vote4TRAITS!A:C , 3, FALSE) + VLOOKUP(index(split(M217 ,"", "", FALSE),1,2), vote4TRAITS!A:C , 3, FALSE) + VLOOKUP(index(split(M217 ,"", "", FALSE),1,3), vote4TRAITS!A:C , 3, FALSE"&amp;")
)
)"),"")</f>
        <v/>
      </c>
      <c r="O217" s="114" t="s">
        <v>1298</v>
      </c>
      <c r="P217" s="165">
        <f>IFERROR(__xludf.DUMMYFUNCTION("IF(ISBLANK(O217), , 
SWITCH(
LEN(O217)- LEN(SUBSTITUTE(O217,"","","""")), 
0 , VLOOKUP(O217, vote4ACTIONS!A:C , 3, FALSE),
1 , VLOOKUP(index(split(O217 ,"", "", FALSE),1,1), vote4ACTIONS!A:C , 3, FALSE) + VLOOKUP(index(split(O217 ,"", "", FALSE),1,2), vot"&amp;"e4ACTIONS!A:C , 3, FALSE),
2 , VLOOKUP(index(split(O217 ,"", "", FALSE),1,1), vote4ACTIONS!A:C , 3, FALSE) + VLOOKUP(index(split(O217 ,"", "", FALSE),1,2), vote4ACTIONS!A:C , 3, FALSE) + VLOOKUP(index(split(O217 ,"", "", FALSE),1,3), vote4ACTIONS!A:C , 3,"&amp;" FALSE),
3 , VLOOKUP(index(split(O217 ,"", "", FALSE),1,1), vote4ACTIONS!A:C , 3, FALSE) + VLOOKUP(index(split(O217 ,"", "", FALSE),1,2), vote4ACTIONS!A:C , 3, FALSE) + VLOOKUP(index(split(O217 ,"", "", FALSE),1,3), vote4ACTIONS!A:C , 3, FALSE) + VLOOKUP("&amp;"index(split(O217 ,"", "", FALSE),1,4), vote4ACTIONS!A:C , 3, FALSE)
)
)"),0.5)</f>
        <v>0.5</v>
      </c>
      <c r="Q217" s="340" t="s">
        <v>2648</v>
      </c>
      <c r="R217" s="342">
        <f>IF(ISBLANK(Q217),,IFERROR(
IF(IFERROR(SEARCH("SS:",Q217),0) &gt; 0, 
VLOOKUP(SUBSTITUTE(Q217,"SS: ",""),vote4SURGE!$A:$C , 3, FALSE) - 2,
VLOOKUP(SUBSTITUTE(Q217,"S: ",""),vote4SURGE!$A:$C , 3, FALSE)
)
,
IF(IFERROR(SEARCH("SS:",Q217),0) &gt; 0, 
VLOOKUP(A217,vote4SURGE!$A:$C , 3, FALSE) - 2,
VLOOKUP(A217,vote4SURGE!$A:$C , 3, FALSE)
)
))</f>
        <v>3.25</v>
      </c>
      <c r="S217" s="489" t="s">
        <v>2632</v>
      </c>
      <c r="T217" s="342">
        <f>IF(ISBLANK(S217),,IFERROR(
IF(IFERROR(SEARCH("SS:",S217),0) &gt; 0, 
VLOOKUP(SUBSTITUTE(S217,"SS: ",""),vote4SURGE!$A:$C , 3, FALSE) - 2,
VLOOKUP(SUBSTITUTE(S217,"S: ",""),vote4SURGE!$A:$C , 3, FALSE)
)
,
IF(IFERROR(SEARCH("SS:",S217),0) &gt; 0, 
VLOOKUP(A217,vote4SURGE!$A:$C , 3, FALSE) - 2,
VLOOKUP(A217,vote4SURGE!$A:$C , 3, FALSE)
)
))</f>
        <v>4.25</v>
      </c>
      <c r="U217" s="341"/>
      <c r="V217" s="343" t="str">
        <f>IF(ISBLANK(U217),,IFERROR(
IF(IFERROR(SEARCH("SS:",U217),0) &gt; 0, 
VLOOKUP(SUBSTITUTE(U217,"SS: ",""),vote4SURGE!$A:$C , 3, FALSE) - 2,
VLOOKUP(SUBSTITUTE(U217,"S: ",""),vote4SURGE!$A:$C , 3, FALSE)
)
,
IF(IFERROR(SEARCH("SS:",U217),0) &gt; 0, 
VLOOKUP(A217,vote4SURGE!$A:$C , 3, FALSE) - 2,
VLOOKUP(A217,vote4SURGE!$A:$C , 3, FALSE)
)
))</f>
        <v/>
      </c>
      <c r="W217" s="343">
        <f t="shared" si="1"/>
        <v>2</v>
      </c>
      <c r="X217" s="344">
        <f>IFERROR(__xludf.DUMMYFUNCTION("SWITCH(
LEN(K217) - LEN(SUBSTITUTE(K217,"","","""")),
0 , VLOOKUP(K217, Variables!$A:$C, 3, FALSE),
1 , VLOOKUP(index(split(K217 ,"", "", FALSE),1,1), Variables!$A:$C, 3, FALSE) + VLOOKUP(index(split(K217 ,"", "", FALSE),1,2), Variables!$A:$C, 3, FALSE),
"&amp;"2 , VLOOKUP(index(split(K217 ,"", "", FALSE),1,1), Variables!$A:$C, 3, FALSE) + VLOOKUP(index(split(K217 ,"", "", FALSE),1,2), Variables!$A:$C, 3, FALSE) + VLOOKUP(index(split(K217 ,"", "", FALSE),1,3), Variables!$A:$C, 3, FALSE)
)"),0.5)</f>
        <v>0.5</v>
      </c>
      <c r="Y217" s="342">
        <f t="shared" si="2"/>
        <v>5.0625</v>
      </c>
      <c r="Z217" s="114"/>
      <c r="AA217" s="114"/>
      <c r="AB217" s="114"/>
      <c r="AC217" s="114"/>
      <c r="AD217" s="114" t="s">
        <v>2572</v>
      </c>
      <c r="AE217" s="114"/>
      <c r="AF217" s="114" t="s">
        <v>2572</v>
      </c>
      <c r="AG217" s="114"/>
      <c r="AH217" s="114"/>
      <c r="AI217" s="114"/>
      <c r="AJ217" s="164" t="s">
        <v>2573</v>
      </c>
      <c r="AK217" s="473">
        <v>8.0</v>
      </c>
      <c r="AL217" s="164" t="s">
        <v>2574</v>
      </c>
      <c r="AM217" s="473">
        <v>9.0</v>
      </c>
      <c r="AN217" s="164" t="s">
        <v>2574</v>
      </c>
      <c r="AO217" s="473">
        <v>17.0</v>
      </c>
      <c r="AP217" s="130">
        <f>SUM(
VLOOKUP("Ravage",vote4TRAITS!A:C,3,FALSE)
)</f>
        <v>7.333333333</v>
      </c>
      <c r="AQ217" s="130">
        <f t="shared" si="3"/>
        <v>14.8825</v>
      </c>
    </row>
    <row r="218" ht="14.25" customHeight="1">
      <c r="A218" s="137" t="s">
        <v>1469</v>
      </c>
      <c r="B218" s="114" t="s">
        <v>2576</v>
      </c>
      <c r="C218" s="114">
        <v>21.0</v>
      </c>
      <c r="D218" s="114">
        <v>1.0</v>
      </c>
      <c r="E218" s="114">
        <v>4.0</v>
      </c>
      <c r="F218" s="487">
        <v>3.0</v>
      </c>
      <c r="G218" s="488">
        <v>8.0</v>
      </c>
      <c r="H218" s="114" t="s">
        <v>1663</v>
      </c>
      <c r="I218" s="130">
        <f>IFERROR(__xludf.DUMMYFUNCTION("SWITCH(
LEN(H218) - LEN(SUBSTITUTE(H218,"","","""")),
0 , VLOOKUP(H218, Variables!$A:$B, 2, FALSE),
1 , VLOOKUP(index(split(H218 ,"", "", FALSE),1,1), Variables!$A:$B , 2, FALSE) + VLOOKUP(index(split(H218 ,"", "", FALSE),1,2), Variables!$A:$B , 2, FALSE)"&amp;",
2 , VLOOKUP(index(split(H218 ,"", "", FALSE),1,1), Variables!$A:$B , 2, FALSE) + VLOOKUP(index(split(H218 ,"", "", FALSE),1,2), Variables!$A:$B , 2, FALSE) + VLOOKUP(index(split(H218 ,"", "", FALSE),1,3), Variables!$A:$B , 2, FALSE)
)"),1.3333333333333333)</f>
        <v>1.333333333</v>
      </c>
      <c r="J218" s="114" t="s">
        <v>1521</v>
      </c>
      <c r="K218" s="114" t="s">
        <v>1525</v>
      </c>
      <c r="L218" s="130">
        <f>IFERROR(__xludf.DUMMYFUNCTION("SWITCH(
LEN(K218) - LEN(SUBSTITUTE(K218,"","","""")),
0 , VLOOKUP(K218, Variables!$A:$B, 2, FALSE),
1 , VLOOKUP(index(split(K218 ,"", "", FALSE),1,1), Variables!$A:$B , 2, FALSE) + VLOOKUP(index(split(K218 ,"", "", FALSE),1,2), Variables!$A:$B , 2, FALSE)"&amp;",
2 , VLOOKUP(index(split(K218 ,"", "", FALSE),1,1), Variables!$A:$B , 2, FALSE) + VLOOKUP(index(split(K218 ,"", "", FALSE),1,2), Variables!$A:$B , 2, FALSE) + VLOOKUP(index(split(K218 ,"", "", FALSE),1,3), Variables!$A:$B , 2, FALSE)
)
+
IF(J218=""Ranged"&amp;""", 1 , 0)"),3.333333333333333)</f>
        <v>3.333333333</v>
      </c>
      <c r="M218" s="114"/>
      <c r="N218" s="130" t="str">
        <f>IFERROR(__xludf.DUMMYFUNCTION("IF(ISBLANK(M218), , 
SWITCH(
LEN(M218)- LEN(SUBSTITUTE(M218,"","","""")), 
0 , VLOOKUP(M218, vote4TRAITS!A:C , 3, FALSE),
1 , VLOOKUP(index(split(M218 ,"", "", FALSE),1,1), vote4TRAITS!A:C , 3, FALSE) + VLOOKUP(index(split(M218 ,"", "", FALSE),1,2), vote4"&amp;"TRAITS!A:C , 3, FALSE),
2 , VLOOKUP(index(split(M218 ,"", "", FALSE),1,1), vote4TRAITS!A:C , 3, FALSE) + VLOOKUP(index(split(M218 ,"", "", FALSE),1,2), vote4TRAITS!A:C , 3, FALSE) + VLOOKUP(index(split(M218 ,"", "", FALSE),1,3), vote4TRAITS!A:C , 3, FALSE"&amp;")
)
)"),"")</f>
        <v/>
      </c>
      <c r="O218" s="114" t="s">
        <v>1298</v>
      </c>
      <c r="P218" s="165">
        <f>IFERROR(__xludf.DUMMYFUNCTION("IF(ISBLANK(O218), , 
SWITCH(
LEN(O218)- LEN(SUBSTITUTE(O218,"","","""")), 
0 , VLOOKUP(O218, vote4ACTIONS!A:C , 3, FALSE),
1 , VLOOKUP(index(split(O218 ,"", "", FALSE),1,1), vote4ACTIONS!A:C , 3, FALSE) + VLOOKUP(index(split(O218 ,"", "", FALSE),1,2), vot"&amp;"e4ACTIONS!A:C , 3, FALSE),
2 , VLOOKUP(index(split(O218 ,"", "", FALSE),1,1), vote4ACTIONS!A:C , 3, FALSE) + VLOOKUP(index(split(O218 ,"", "", FALSE),1,2), vote4ACTIONS!A:C , 3, FALSE) + VLOOKUP(index(split(O218 ,"", "", FALSE),1,3), vote4ACTIONS!A:C , 3,"&amp;" FALSE),
3 , VLOOKUP(index(split(O218 ,"", "", FALSE),1,1), vote4ACTIONS!A:C , 3, FALSE) + VLOOKUP(index(split(O218 ,"", "", FALSE),1,2), vote4ACTIONS!A:C , 3, FALSE) + VLOOKUP(index(split(O218 ,"", "", FALSE),1,3), vote4ACTIONS!A:C , 3, FALSE) + VLOOKUP("&amp;"index(split(O218 ,"", "", FALSE),1,4), vote4ACTIONS!A:C , 3, FALSE)
)
)"),0.5)</f>
        <v>0.5</v>
      </c>
      <c r="Q218" s="164"/>
      <c r="R218" s="342" t="str">
        <f>IF(ISBLANK(Q218),,IFERROR(
IF(IFERROR(SEARCH("SS:",Q218),0) &gt; 0, 
VLOOKUP(SUBSTITUTE(Q218,"SS: ",""),vote4SURGE!$A:$C , 3, FALSE) - 2,
VLOOKUP(SUBSTITUTE(Q218,"S: ",""),vote4SURGE!$A:$C , 3, FALSE)
)
,
IF(IFERROR(SEARCH("SS:",Q218),0) &gt; 0, 
VLOOKUP(A218,vote4SURGE!$A:$C , 3, FALSE) - 2,
VLOOKUP(A218,vote4SURGE!$A:$C , 3, FALSE)
)
))</f>
        <v/>
      </c>
      <c r="S218" s="489" t="s">
        <v>2632</v>
      </c>
      <c r="T218" s="342">
        <f>IF(ISBLANK(S218),,IFERROR(
IF(IFERROR(SEARCH("SS:",S218),0) &gt; 0, 
VLOOKUP(SUBSTITUTE(S218,"SS: ",""),vote4SURGE!$A:$C , 3, FALSE) - 2,
VLOOKUP(SUBSTITUTE(S218,"S: ",""),vote4SURGE!$A:$C , 3, FALSE)
)
,
IF(IFERROR(SEARCH("SS:",S218),0) &gt; 0, 
VLOOKUP(A218,vote4SURGE!$A:$C , 3, FALSE) - 2,
VLOOKUP(A218,vote4SURGE!$A:$C , 3, FALSE)
)
))</f>
        <v>4.25</v>
      </c>
      <c r="U218" s="164"/>
      <c r="V218" s="343" t="str">
        <f>IF(ISBLANK(U218),,IFERROR(
IF(IFERROR(SEARCH("SS:",U218),0) &gt; 0, 
VLOOKUP(SUBSTITUTE(U218,"SS: ",""),vote4SURGE!$A:$C , 3, FALSE) - 2,
VLOOKUP(SUBSTITUTE(U218,"S: ",""),vote4SURGE!$A:$C , 3, FALSE)
)
,
IF(IFERROR(SEARCH("SS:",U218),0) &gt; 0, 
VLOOKUP(A218,vote4SURGE!$A:$C , 3, FALSE) - 2,
VLOOKUP(A218,vote4SURGE!$A:$C , 3, FALSE)
)
))</f>
        <v/>
      </c>
      <c r="W218" s="343">
        <f t="shared" si="1"/>
        <v>1</v>
      </c>
      <c r="X218" s="344">
        <f>IFERROR(__xludf.DUMMYFUNCTION("SWITCH(
LEN(K218) - LEN(SUBSTITUTE(K218,"","","""")),
0 , VLOOKUP(K218, Variables!$A:$C, 3, FALSE),
1 , VLOOKUP(index(split(K218 ,"", "", FALSE),1,1), Variables!$A:$C, 3, FALSE) + VLOOKUP(index(split(K218 ,"", "", FALSE),1,2), Variables!$A:$C, 3, FALSE),
"&amp;"2 , VLOOKUP(index(split(K218 ,"", "", FALSE),1,1), Variables!$A:$C, 3, FALSE) + VLOOKUP(index(split(K218 ,"", "", FALSE),1,2), Variables!$A:$C, 3, FALSE) + VLOOKUP(index(split(K218 ,"", "", FALSE),1,3), Variables!$A:$C, 3, FALSE)
)"),0.5)</f>
        <v>0.5</v>
      </c>
      <c r="Y218" s="342">
        <f t="shared" si="2"/>
        <v>2.125</v>
      </c>
      <c r="Z218" s="114"/>
      <c r="AA218" s="114"/>
      <c r="AB218" s="114"/>
      <c r="AC218" s="114"/>
      <c r="AD218" s="114" t="s">
        <v>2572</v>
      </c>
      <c r="AE218" s="114"/>
      <c r="AF218" s="114" t="s">
        <v>2572</v>
      </c>
      <c r="AG218" s="114"/>
      <c r="AH218" s="114"/>
      <c r="AI218" s="114"/>
      <c r="AJ218" s="164" t="s">
        <v>2574</v>
      </c>
      <c r="AK218" s="473">
        <v>8.0</v>
      </c>
      <c r="AL218" s="164" t="s">
        <v>2573</v>
      </c>
      <c r="AM218" s="473">
        <v>9.0</v>
      </c>
      <c r="AN218" s="164" t="s">
        <v>2574</v>
      </c>
      <c r="AO218" s="473">
        <v>17.0</v>
      </c>
      <c r="AP218" s="130">
        <f>SUM(
VLOOKUP("Ravage",vote4TRAITS!A:C,3,FALSE)
)</f>
        <v>7.333333333</v>
      </c>
      <c r="AQ218" s="130">
        <f t="shared" si="3"/>
        <v>10.61166667</v>
      </c>
    </row>
    <row r="219" ht="14.25" customHeight="1">
      <c r="A219" s="137" t="s">
        <v>1475</v>
      </c>
      <c r="B219" s="114" t="s">
        <v>2570</v>
      </c>
      <c r="C219" s="114">
        <v>9.0</v>
      </c>
      <c r="D219" s="114">
        <v>2.0</v>
      </c>
      <c r="E219" s="114">
        <v>1.0</v>
      </c>
      <c r="F219" s="487">
        <v>3.0</v>
      </c>
      <c r="G219" s="488">
        <v>9.0</v>
      </c>
      <c r="H219" s="114" t="s">
        <v>1621</v>
      </c>
      <c r="I219" s="130">
        <f>IFERROR(__xludf.DUMMYFUNCTION("SWITCH(
LEN(H219) - LEN(SUBSTITUTE(H219,"","","""")),
0 , VLOOKUP(H219, Variables!$A:$B, 2, FALSE),
1 , VLOOKUP(index(split(H219 ,"", "", FALSE),1,1), Variables!$A:$B , 2, FALSE) + VLOOKUP(index(split(H219 ,"", "", FALSE),1,2), Variables!$A:$B , 2, FALSE)"&amp;",
2 , VLOOKUP(index(split(H219 ,"", "", FALSE),1,1), Variables!$A:$B , 2, FALSE) + VLOOKUP(index(split(H219 ,"", "", FALSE),1,2), Variables!$A:$B , 2, FALSE) + VLOOKUP(index(split(H219 ,"", "", FALSE),1,3), Variables!$A:$B , 2, FALSE)
)"),0.6666666666666666)</f>
        <v>0.6666666667</v>
      </c>
      <c r="J219" s="114" t="s">
        <v>1521</v>
      </c>
      <c r="K219" s="114" t="s">
        <v>1537</v>
      </c>
      <c r="L219" s="130">
        <f>IFERROR(__xludf.DUMMYFUNCTION("SWITCH(
LEN(K219) - LEN(SUBSTITUTE(K219,"","","""")),
0 , VLOOKUP(K219, Variables!$A:$B, 2, FALSE),
1 , VLOOKUP(index(split(K219 ,"", "", FALSE),1,1), Variables!$A:$B , 2, FALSE) + VLOOKUP(index(split(K219 ,"", "", FALSE),1,2), Variables!$A:$B , 2, FALSE)"&amp;",
2 , VLOOKUP(index(split(K219 ,"", "", FALSE),1,1), Variables!$A:$B , 2, FALSE) + VLOOKUP(index(split(K219 ,"", "", FALSE),1,2), Variables!$A:$B , 2, FALSE) + VLOOKUP(index(split(K219 ,"", "", FALSE),1,3), Variables!$A:$B , 2, FALSE)
)
+
IF(J219=""Ranged"&amp;""", 1 , 0)"),4.5)</f>
        <v>4.5</v>
      </c>
      <c r="M219" s="114" t="s">
        <v>1126</v>
      </c>
      <c r="N219" s="130">
        <f>IFERROR(__xludf.DUMMYFUNCTION("IF(ISBLANK(M219), , 
SWITCH(
LEN(M219)- LEN(SUBSTITUTE(M219,"","","""")), 
0 , VLOOKUP(M219, vote4TRAITS!A:C , 3, FALSE),
1 , VLOOKUP(index(split(M219 ,"", "", FALSE),1,1), vote4TRAITS!A:C , 3, FALSE) + VLOOKUP(index(split(M219 ,"", "", FALSE),1,2), vote4"&amp;"TRAITS!A:C , 3, FALSE),
2 , VLOOKUP(index(split(M219 ,"", "", FALSE),1,1), vote4TRAITS!A:C , 3, FALSE) + VLOOKUP(index(split(M219 ,"", "", FALSE),1,2), vote4TRAITS!A:C , 3, FALSE) + VLOOKUP(index(split(M219 ,"", "", FALSE),1,3), vote4TRAITS!A:C , 3, FALSE"&amp;")
)
)"),-2.0)</f>
        <v>-2</v>
      </c>
      <c r="O219" s="114" t="s">
        <v>1338</v>
      </c>
      <c r="P219" s="165">
        <f>IFERROR(__xludf.DUMMYFUNCTION("IF(ISBLANK(O219), , 
SWITCH(
LEN(O219)- LEN(SUBSTITUTE(O219,"","","""")), 
0 , VLOOKUP(O219, vote4ACTIONS!A:C , 3, FALSE),
1 , VLOOKUP(index(split(O219 ,"", "", FALSE),1,1), vote4ACTIONS!A:C , 3, FALSE) + VLOOKUP(index(split(O219 ,"", "", FALSE),1,2), vot"&amp;"e4ACTIONS!A:C , 3, FALSE),
2 , VLOOKUP(index(split(O219 ,"", "", FALSE),1,1), vote4ACTIONS!A:C , 3, FALSE) + VLOOKUP(index(split(O219 ,"", "", FALSE),1,2), vote4ACTIONS!A:C , 3, FALSE) + VLOOKUP(index(split(O219 ,"", "", FALSE),1,3), vote4ACTIONS!A:C , 3,"&amp;" FALSE),
3 , VLOOKUP(index(split(O219 ,"", "", FALSE),1,1), vote4ACTIONS!A:C , 3, FALSE) + VLOOKUP(index(split(O219 ,"", "", FALSE),1,2), vote4ACTIONS!A:C , 3, FALSE) + VLOOKUP(index(split(O219 ,"", "", FALSE),1,3), vote4ACTIONS!A:C , 3, FALSE) + VLOOKUP("&amp;"index(split(O219 ,"", "", FALSE),1,4), vote4ACTIONS!A:C , 3, FALSE)
)
)"),2.0)</f>
        <v>2</v>
      </c>
      <c r="Q219" s="340" t="s">
        <v>1534</v>
      </c>
      <c r="R219" s="342">
        <f>IF(ISBLANK(Q219),,IFERROR(
IF(IFERROR(SEARCH("SS:",Q219),0) &gt; 0, 
VLOOKUP(SUBSTITUTE(Q219,"SS: ",""),vote4SURGE!$A:$C , 3, FALSE) - 2,
VLOOKUP(SUBSTITUTE(Q219,"S: ",""),vote4SURGE!$A:$C , 3, FALSE)
)
,
IF(IFERROR(SEARCH("SS:",Q219),0) &gt; 0, 
VLOOKUP(A219,vote4SURGE!$A:$C , 3, FALSE) - 2,
VLOOKUP(A219,vote4SURGE!$A:$C , 3, FALSE)
)
))</f>
        <v>4.25</v>
      </c>
      <c r="S219" s="489" t="s">
        <v>1553</v>
      </c>
      <c r="T219" s="342">
        <f>IF(ISBLANK(S219),,IFERROR(
IF(IFERROR(SEARCH("SS:",S219),0) &gt; 0, 
VLOOKUP(SUBSTITUTE(S219,"SS: ",""),vote4SURGE!$A:$C , 3, FALSE) - 2,
VLOOKUP(SUBSTITUTE(S219,"S: ",""),vote4SURGE!$A:$C , 3, FALSE)
)
,
IF(IFERROR(SEARCH("SS:",S219),0) &gt; 0, 
VLOOKUP(A219,vote4SURGE!$A:$C , 3, FALSE) - 2,
VLOOKUP(A219,vote4SURGE!$A:$C , 3, FALSE)
)
))</f>
        <v>4</v>
      </c>
      <c r="U219" s="341"/>
      <c r="V219" s="343" t="str">
        <f>IF(ISBLANK(U219),,IFERROR(
IF(IFERROR(SEARCH("SS:",U219),0) &gt; 0, 
VLOOKUP(SUBSTITUTE(U219,"SS: ",""),vote4SURGE!$A:$C , 3, FALSE) - 2,
VLOOKUP(SUBSTITUTE(U219,"S: ",""),vote4SURGE!$A:$C , 3, FALSE)
)
,
IF(IFERROR(SEARCH("SS:",U219),0) &gt; 0, 
VLOOKUP(A219,vote4SURGE!$A:$C , 3, FALSE) - 2,
VLOOKUP(A219,vote4SURGE!$A:$C , 3, FALSE)
)
))</f>
        <v/>
      </c>
      <c r="W219" s="343">
        <f t="shared" si="1"/>
        <v>2</v>
      </c>
      <c r="X219" s="344">
        <f>IFERROR(__xludf.DUMMYFUNCTION("SWITCH(
LEN(K219) - LEN(SUBSTITUTE(K219,"","","""")),
0 , VLOOKUP(K219, Variables!$A:$C, 3, FALSE),
1 , VLOOKUP(index(split(K219 ,"", "", FALSE),1,1), Variables!$A:$C, 3, FALSE) + VLOOKUP(index(split(K219 ,"", "", FALSE),1,2), Variables!$A:$C, 3, FALSE),
"&amp;"2 , VLOOKUP(index(split(K219 ,"", "", FALSE),1,1), Variables!$A:$C, 3, FALSE) + VLOOKUP(index(split(K219 ,"", "", FALSE),1,2), Variables!$A:$C, 3, FALSE) + VLOOKUP(index(split(K219 ,"", "", FALSE),1,3), Variables!$A:$C, 3, FALSE)
)"),1.0)</f>
        <v>1</v>
      </c>
      <c r="Y219" s="342">
        <f t="shared" si="2"/>
        <v>6.25</v>
      </c>
      <c r="Z219" s="114" t="s">
        <v>2572</v>
      </c>
      <c r="AA219" s="114"/>
      <c r="AB219" s="114"/>
      <c r="AC219" s="114"/>
      <c r="AD219" s="114" t="s">
        <v>2572</v>
      </c>
      <c r="AE219" s="114"/>
      <c r="AF219" s="114"/>
      <c r="AG219" s="114"/>
      <c r="AH219" s="114"/>
      <c r="AI219" s="114"/>
      <c r="AJ219" s="114" t="s">
        <v>2574</v>
      </c>
      <c r="AK219" s="473">
        <v>19.0</v>
      </c>
      <c r="AL219" s="114" t="s">
        <v>2574</v>
      </c>
      <c r="AM219" s="473">
        <v>24.0</v>
      </c>
      <c r="AN219" s="114" t="s">
        <v>2574</v>
      </c>
      <c r="AO219" s="473">
        <v>29.0</v>
      </c>
      <c r="AP219" s="130">
        <f>SUM(
VLOOKUP("Ravage",vote4TRAITS!A:C,3,FALSE)
)</f>
        <v>7.333333333</v>
      </c>
      <c r="AQ219" s="130">
        <f t="shared" si="3"/>
        <v>10.40666667</v>
      </c>
    </row>
    <row r="220" ht="14.25" customHeight="1">
      <c r="A220" s="137" t="s">
        <v>1475</v>
      </c>
      <c r="B220" s="114" t="s">
        <v>2570</v>
      </c>
      <c r="C220" s="114">
        <v>9.0</v>
      </c>
      <c r="D220" s="114">
        <v>1.0</v>
      </c>
      <c r="E220" s="114">
        <v>1.0</v>
      </c>
      <c r="F220" s="487">
        <v>3.0</v>
      </c>
      <c r="G220" s="488">
        <v>6.0</v>
      </c>
      <c r="H220" s="114" t="s">
        <v>1621</v>
      </c>
      <c r="I220" s="130">
        <f>IFERROR(__xludf.DUMMYFUNCTION("SWITCH(
LEN(H220) - LEN(SUBSTITUTE(H220,"","","""")),
0 , VLOOKUP(H220, Variables!$A:$B, 2, FALSE),
1 , VLOOKUP(index(split(H220 ,"", "", FALSE),1,1), Variables!$A:$B , 2, FALSE) + VLOOKUP(index(split(H220 ,"", "", FALSE),1,2), Variables!$A:$B , 2, FALSE)"&amp;",
2 , VLOOKUP(index(split(H220 ,"", "", FALSE),1,1), Variables!$A:$B , 2, FALSE) + VLOOKUP(index(split(H220 ,"", "", FALSE),1,2), Variables!$A:$B , 2, FALSE) + VLOOKUP(index(split(H220 ,"", "", FALSE),1,3), Variables!$A:$B , 2, FALSE)
)"),0.6666666666666666)</f>
        <v>0.6666666667</v>
      </c>
      <c r="J220" s="114" t="s">
        <v>1521</v>
      </c>
      <c r="K220" s="114" t="s">
        <v>1548</v>
      </c>
      <c r="L220" s="130">
        <f>IFERROR(__xludf.DUMMYFUNCTION("SWITCH(
LEN(K220) - LEN(SUBSTITUTE(K220,"","","""")),
0 , VLOOKUP(K220, Variables!$A:$B, 2, FALSE),
1 , VLOOKUP(index(split(K220 ,"", "", FALSE),1,1), Variables!$A:$B , 2, FALSE) + VLOOKUP(index(split(K220 ,"", "", FALSE),1,2), Variables!$A:$B , 2, FALSE)"&amp;",
2 , VLOOKUP(index(split(K220 ,"", "", FALSE),1,1), Variables!$A:$B , 2, FALSE) + VLOOKUP(index(split(K220 ,"", "", FALSE),1,2), Variables!$A:$B , 2, FALSE) + VLOOKUP(index(split(K220 ,"", "", FALSE),1,3), Variables!$A:$B , 2, FALSE)
)
+
IF(J220=""Ranged"&amp;""", 1 , 0)"),2.3333333333333335)</f>
        <v>2.333333333</v>
      </c>
      <c r="M220" s="114" t="s">
        <v>1126</v>
      </c>
      <c r="N220" s="130">
        <f>IFERROR(__xludf.DUMMYFUNCTION("IF(ISBLANK(M220), , 
SWITCH(
LEN(M220)- LEN(SUBSTITUTE(M220,"","","""")), 
0 , VLOOKUP(M220, vote4TRAITS!A:C , 3, FALSE),
1 , VLOOKUP(index(split(M220 ,"", "", FALSE),1,1), vote4TRAITS!A:C , 3, FALSE) + VLOOKUP(index(split(M220 ,"", "", FALSE),1,2), vote4"&amp;"TRAITS!A:C , 3, FALSE),
2 , VLOOKUP(index(split(M220 ,"", "", FALSE),1,1), vote4TRAITS!A:C , 3, FALSE) + VLOOKUP(index(split(M220 ,"", "", FALSE),1,2), vote4TRAITS!A:C , 3, FALSE) + VLOOKUP(index(split(M220 ,"", "", FALSE),1,3), vote4TRAITS!A:C , 3, FALSE"&amp;")
)
)"),-2.0)</f>
        <v>-2</v>
      </c>
      <c r="O220" s="114" t="s">
        <v>1338</v>
      </c>
      <c r="P220" s="165">
        <f>IFERROR(__xludf.DUMMYFUNCTION("IF(ISBLANK(O220), , 
SWITCH(
LEN(O220)- LEN(SUBSTITUTE(O220,"","","""")), 
0 , VLOOKUP(O220, vote4ACTIONS!A:C , 3, FALSE),
1 , VLOOKUP(index(split(O220 ,"", "", FALSE),1,1), vote4ACTIONS!A:C , 3, FALSE) + VLOOKUP(index(split(O220 ,"", "", FALSE),1,2), vot"&amp;"e4ACTIONS!A:C , 3, FALSE),
2 , VLOOKUP(index(split(O220 ,"", "", FALSE),1,1), vote4ACTIONS!A:C , 3, FALSE) + VLOOKUP(index(split(O220 ,"", "", FALSE),1,2), vote4ACTIONS!A:C , 3, FALSE) + VLOOKUP(index(split(O220 ,"", "", FALSE),1,3), vote4ACTIONS!A:C , 3,"&amp;" FALSE),
3 , VLOOKUP(index(split(O220 ,"", "", FALSE),1,1), vote4ACTIONS!A:C , 3, FALSE) + VLOOKUP(index(split(O220 ,"", "", FALSE),1,2), vote4ACTIONS!A:C , 3, FALSE) + VLOOKUP(index(split(O220 ,"", "", FALSE),1,3), vote4ACTIONS!A:C , 3, FALSE) + VLOOKUP("&amp;"index(split(O220 ,"", "", FALSE),1,4), vote4ACTIONS!A:C , 3, FALSE)
)
)"),2.0)</f>
        <v>2</v>
      </c>
      <c r="Q220" s="340" t="s">
        <v>1562</v>
      </c>
      <c r="R220" s="342">
        <f>IF(ISBLANK(Q220),,IFERROR(
IF(IFERROR(SEARCH("SS:",Q220),0) &gt; 0, 
VLOOKUP(SUBSTITUTE(Q220,"SS: ",""),vote4SURGE!$A:$C , 3, FALSE) - 2,
VLOOKUP(SUBSTITUTE(Q220,"S: ",""),vote4SURGE!$A:$C , 3, FALSE)
)
,
IF(IFERROR(SEARCH("SS:",Q220),0) &gt; 0, 
VLOOKUP(A220,vote4SURGE!$A:$C , 3, FALSE) - 2,
VLOOKUP(A220,vote4SURGE!$A:$C , 3, FALSE)
)
))</f>
        <v>3.5</v>
      </c>
      <c r="S220" s="489" t="s">
        <v>1553</v>
      </c>
      <c r="T220" s="342">
        <f>IF(ISBLANK(S220),,IFERROR(
IF(IFERROR(SEARCH("SS:",S220),0) &gt; 0, 
VLOOKUP(SUBSTITUTE(S220,"SS: ",""),vote4SURGE!$A:$C , 3, FALSE) - 2,
VLOOKUP(SUBSTITUTE(S220,"S: ",""),vote4SURGE!$A:$C , 3, FALSE)
)
,
IF(IFERROR(SEARCH("SS:",S220),0) &gt; 0, 
VLOOKUP(A220,vote4SURGE!$A:$C , 3, FALSE) - 2,
VLOOKUP(A220,vote4SURGE!$A:$C , 3, FALSE)
)
))</f>
        <v>4</v>
      </c>
      <c r="U220" s="164"/>
      <c r="V220" s="343" t="str">
        <f>IF(ISBLANK(U220),,IFERROR(
IF(IFERROR(SEARCH("SS:",U220),0) &gt; 0, 
VLOOKUP(SUBSTITUTE(U220,"SS: ",""),vote4SURGE!$A:$C , 3, FALSE) - 2,
VLOOKUP(SUBSTITUTE(U220,"S: ",""),vote4SURGE!$A:$C , 3, FALSE)
)
,
IF(IFERROR(SEARCH("SS:",U220),0) &gt; 0, 
VLOOKUP(A220,vote4SURGE!$A:$C , 3, FALSE) - 2,
VLOOKUP(A220,vote4SURGE!$A:$C , 3, FALSE)
)
))</f>
        <v/>
      </c>
      <c r="W220" s="343">
        <f t="shared" si="1"/>
        <v>2</v>
      </c>
      <c r="X220" s="344">
        <f>IFERROR(__xludf.DUMMYFUNCTION("SWITCH(
LEN(K220) - LEN(SUBSTITUTE(K220,"","","""")),
0 , VLOOKUP(K220, Variables!$A:$C, 3, FALSE),
1 , VLOOKUP(index(split(K220 ,"", "", FALSE),1,1), Variables!$A:$C, 3, FALSE) + VLOOKUP(index(split(K220 ,"", "", FALSE),1,2), Variables!$A:$C, 3, FALSE),
"&amp;"2 , VLOOKUP(index(split(K220 ,"", "", FALSE),1,1), Variables!$A:$C, 3, FALSE) + VLOOKUP(index(split(K220 ,"", "", FALSE),1,2), Variables!$A:$C, 3, FALSE) + VLOOKUP(index(split(K220 ,"", "", FALSE),1,3), Variables!$A:$C, 3, FALSE)
)"),0.8333333333333333)</f>
        <v>0.8333333333</v>
      </c>
      <c r="Y220" s="342">
        <f t="shared" si="2"/>
        <v>5.458333333</v>
      </c>
      <c r="Z220" s="114" t="s">
        <v>2572</v>
      </c>
      <c r="AA220" s="114"/>
      <c r="AB220" s="114"/>
      <c r="AC220" s="114"/>
      <c r="AD220" s="114" t="s">
        <v>2572</v>
      </c>
      <c r="AE220" s="114"/>
      <c r="AF220" s="114"/>
      <c r="AG220" s="114"/>
      <c r="AH220" s="114"/>
      <c r="AI220" s="114"/>
      <c r="AJ220" s="114" t="s">
        <v>2574</v>
      </c>
      <c r="AK220" s="473">
        <v>12.0</v>
      </c>
      <c r="AL220" s="114" t="s">
        <v>2574</v>
      </c>
      <c r="AM220" s="473">
        <v>15.0</v>
      </c>
      <c r="AN220" s="114" t="s">
        <v>2574</v>
      </c>
      <c r="AO220" s="473">
        <v>18.0</v>
      </c>
      <c r="AP220" s="130">
        <f>SUM(
VLOOKUP("Ravage",vote4TRAITS!A:C,3,FALSE)
)</f>
        <v>7.333333333</v>
      </c>
      <c r="AQ220" s="130">
        <f t="shared" si="3"/>
        <v>5.448333333</v>
      </c>
    </row>
    <row r="221" ht="14.25" customHeight="1">
      <c r="A221" s="137" t="s">
        <v>1475</v>
      </c>
      <c r="B221" s="114" t="s">
        <v>2576</v>
      </c>
      <c r="C221" s="114">
        <v>9.0</v>
      </c>
      <c r="D221" s="114">
        <v>2.0</v>
      </c>
      <c r="E221" s="114">
        <v>1.0</v>
      </c>
      <c r="F221" s="487">
        <v>3.0</v>
      </c>
      <c r="G221" s="488">
        <v>5.0</v>
      </c>
      <c r="H221" s="114" t="s">
        <v>1621</v>
      </c>
      <c r="I221" s="130">
        <f>IFERROR(__xludf.DUMMYFUNCTION("SWITCH(
LEN(H221) - LEN(SUBSTITUTE(H221,"","","""")),
0 , VLOOKUP(H221, Variables!$A:$B, 2, FALSE),
1 , VLOOKUP(index(split(H221 ,"", "", FALSE),1,1), Variables!$A:$B , 2, FALSE) + VLOOKUP(index(split(H221 ,"", "", FALSE),1,2), Variables!$A:$B , 2, FALSE)"&amp;",
2 , VLOOKUP(index(split(H221 ,"", "", FALSE),1,1), Variables!$A:$B , 2, FALSE) + VLOOKUP(index(split(H221 ,"", "", FALSE),1,2), Variables!$A:$B , 2, FALSE) + VLOOKUP(index(split(H221 ,"", "", FALSE),1,3), Variables!$A:$B , 2, FALSE)
)"),0.6666666666666666)</f>
        <v>0.6666666667</v>
      </c>
      <c r="J221" s="114" t="s">
        <v>1521</v>
      </c>
      <c r="K221" s="114" t="s">
        <v>1548</v>
      </c>
      <c r="L221" s="130">
        <f>IFERROR(__xludf.DUMMYFUNCTION("SWITCH(
LEN(K221) - LEN(SUBSTITUTE(K221,"","","""")),
0 , VLOOKUP(K221, Variables!$A:$B, 2, FALSE),
1 , VLOOKUP(index(split(K221 ,"", "", FALSE),1,1), Variables!$A:$B , 2, FALSE) + VLOOKUP(index(split(K221 ,"", "", FALSE),1,2), Variables!$A:$B , 2, FALSE)"&amp;",
2 , VLOOKUP(index(split(K221 ,"", "", FALSE),1,1), Variables!$A:$B , 2, FALSE) + VLOOKUP(index(split(K221 ,"", "", FALSE),1,2), Variables!$A:$B , 2, FALSE) + VLOOKUP(index(split(K221 ,"", "", FALSE),1,3), Variables!$A:$B , 2, FALSE)
)
+
IF(J221=""Ranged"&amp;""", 1 , 0)"),2.3333333333333335)</f>
        <v>2.333333333</v>
      </c>
      <c r="M221" s="114" t="s">
        <v>1126</v>
      </c>
      <c r="N221" s="130">
        <f>IFERROR(__xludf.DUMMYFUNCTION("IF(ISBLANK(M221), , 
SWITCH(
LEN(M221)- LEN(SUBSTITUTE(M221,"","","""")), 
0 , VLOOKUP(M221, vote4TRAITS!A:C , 3, FALSE),
1 , VLOOKUP(index(split(M221 ,"", "", FALSE),1,1), vote4TRAITS!A:C , 3, FALSE) + VLOOKUP(index(split(M221 ,"", "", FALSE),1,2), vote4"&amp;"TRAITS!A:C , 3, FALSE),
2 , VLOOKUP(index(split(M221 ,"", "", FALSE),1,1), vote4TRAITS!A:C , 3, FALSE) + VLOOKUP(index(split(M221 ,"", "", FALSE),1,2), vote4TRAITS!A:C , 3, FALSE) + VLOOKUP(index(split(M221 ,"", "", FALSE),1,3), vote4TRAITS!A:C , 3, FALSE"&amp;")
)
)"),-2.0)</f>
        <v>-2</v>
      </c>
      <c r="O221" s="490"/>
      <c r="P221" s="165" t="str">
        <f>IFERROR(__xludf.DUMMYFUNCTION("IF(ISBLANK(O221), , 
SWITCH(
LEN(O221)- LEN(SUBSTITUTE(O221,"","","""")), 
0 , VLOOKUP(O221, vote4ACTIONS!A:C , 3, FALSE),
1 , VLOOKUP(index(split(O221 ,"", "", FALSE),1,1), vote4ACTIONS!A:C , 3, FALSE) + VLOOKUP(index(split(O221 ,"", "", FALSE),1,2), vot"&amp;"e4ACTIONS!A:C , 3, FALSE),
2 , VLOOKUP(index(split(O221 ,"", "", FALSE),1,1), vote4ACTIONS!A:C , 3, FALSE) + VLOOKUP(index(split(O221 ,"", "", FALSE),1,2), vote4ACTIONS!A:C , 3, FALSE) + VLOOKUP(index(split(O221 ,"", "", FALSE),1,3), vote4ACTIONS!A:C , 3,"&amp;" FALSE),
3 , VLOOKUP(index(split(O221 ,"", "", FALSE),1,1), vote4ACTIONS!A:C , 3, FALSE) + VLOOKUP(index(split(O221 ,"", "", FALSE),1,2), vote4ACTIONS!A:C , 3, FALSE) + VLOOKUP(index(split(O221 ,"", "", FALSE),1,3), vote4ACTIONS!A:C , 3, FALSE) + VLOOKUP("&amp;"index(split(O221 ,"", "", FALSE),1,4), vote4ACTIONS!A:C , 3, FALSE)
)
)"),"")</f>
        <v/>
      </c>
      <c r="Q221" s="340" t="s">
        <v>1534</v>
      </c>
      <c r="R221" s="342">
        <f>IF(ISBLANK(Q221),,IFERROR(
IF(IFERROR(SEARCH("SS:",Q221),0) &gt; 0, 
VLOOKUP(SUBSTITUTE(Q221,"SS: ",""),vote4SURGE!$A:$C , 3, FALSE) - 2,
VLOOKUP(SUBSTITUTE(Q221,"S: ",""),vote4SURGE!$A:$C , 3, FALSE)
)
,
IF(IFERROR(SEARCH("SS:",Q221),0) &gt; 0, 
VLOOKUP(A221,vote4SURGE!$A:$C , 3, FALSE) - 2,
VLOOKUP(A221,vote4SURGE!$A:$C , 3, FALSE)
)
))</f>
        <v>4.25</v>
      </c>
      <c r="S221" s="489" t="s">
        <v>1553</v>
      </c>
      <c r="T221" s="342">
        <f>IF(ISBLANK(S221),,IFERROR(
IF(IFERROR(SEARCH("SS:",S221),0) &gt; 0, 
VLOOKUP(SUBSTITUTE(S221,"SS: ",""),vote4SURGE!$A:$C , 3, FALSE) - 2,
VLOOKUP(SUBSTITUTE(S221,"S: ",""),vote4SURGE!$A:$C , 3, FALSE)
)
,
IF(IFERROR(SEARCH("SS:",S221),0) &gt; 0, 
VLOOKUP(A221,vote4SURGE!$A:$C , 3, FALSE) - 2,
VLOOKUP(A221,vote4SURGE!$A:$C , 3, FALSE)
)
))</f>
        <v>4</v>
      </c>
      <c r="U221" s="164"/>
      <c r="V221" s="343" t="str">
        <f>IF(ISBLANK(U221),,IFERROR(
IF(IFERROR(SEARCH("SS:",U221),0) &gt; 0, 
VLOOKUP(SUBSTITUTE(U221,"SS: ",""),vote4SURGE!$A:$C , 3, FALSE) - 2,
VLOOKUP(SUBSTITUTE(U221,"S: ",""),vote4SURGE!$A:$C , 3, FALSE)
)
,
IF(IFERROR(SEARCH("SS:",U221),0) &gt; 0, 
VLOOKUP(A221,vote4SURGE!$A:$C , 3, FALSE) - 2,
VLOOKUP(A221,vote4SURGE!$A:$C , 3, FALSE)
)
))</f>
        <v/>
      </c>
      <c r="W221" s="343">
        <f t="shared" si="1"/>
        <v>2</v>
      </c>
      <c r="X221" s="344">
        <f>IFERROR(__xludf.DUMMYFUNCTION("SWITCH(
LEN(K221) - LEN(SUBSTITUTE(K221,"","","""")),
0 , VLOOKUP(K221, Variables!$A:$C, 3, FALSE),
1 , VLOOKUP(index(split(K221 ,"", "", FALSE),1,1), Variables!$A:$C, 3, FALSE) + VLOOKUP(index(split(K221 ,"", "", FALSE),1,2), Variables!$A:$C, 3, FALSE),
"&amp;"2 , VLOOKUP(index(split(K221 ,"", "", FALSE),1,1), Variables!$A:$C, 3, FALSE) + VLOOKUP(index(split(K221 ,"", "", FALSE),1,2), Variables!$A:$C, 3, FALSE) + VLOOKUP(index(split(K221 ,"", "", FALSE),1,3), Variables!$A:$C, 3, FALSE)
)"),0.8333333333333333)</f>
        <v>0.8333333333</v>
      </c>
      <c r="Y221" s="342">
        <f t="shared" si="2"/>
        <v>5.916666667</v>
      </c>
      <c r="Z221" s="114" t="s">
        <v>2572</v>
      </c>
      <c r="AA221" s="114"/>
      <c r="AB221" s="114"/>
      <c r="AC221" s="114"/>
      <c r="AD221" s="114" t="s">
        <v>2572</v>
      </c>
      <c r="AE221" s="114"/>
      <c r="AF221" s="114"/>
      <c r="AG221" s="114"/>
      <c r="AH221" s="114"/>
      <c r="AI221" s="114"/>
      <c r="AJ221" s="114" t="s">
        <v>369</v>
      </c>
      <c r="AK221" s="473">
        <v>19.0</v>
      </c>
      <c r="AL221" s="114" t="s">
        <v>368</v>
      </c>
      <c r="AM221" s="473">
        <v>24.0</v>
      </c>
      <c r="AN221" s="114" t="s">
        <v>2580</v>
      </c>
      <c r="AO221" s="473">
        <v>29.0</v>
      </c>
      <c r="AP221" s="130">
        <f>SUM(
VLOOKUP("Ravage",vote4TRAITS!A:C,3,FALSE)
)</f>
        <v>7.333333333</v>
      </c>
      <c r="AQ221" s="130">
        <f t="shared" si="3"/>
        <v>3.24</v>
      </c>
    </row>
    <row r="222" ht="14.25" customHeight="1">
      <c r="A222" s="137" t="s">
        <v>1475</v>
      </c>
      <c r="B222" s="114" t="s">
        <v>2576</v>
      </c>
      <c r="C222" s="114">
        <v>9.0</v>
      </c>
      <c r="D222" s="114">
        <v>1.0</v>
      </c>
      <c r="E222" s="114">
        <v>1.0</v>
      </c>
      <c r="F222" s="487">
        <v>3.0</v>
      </c>
      <c r="G222" s="488">
        <v>3.0</v>
      </c>
      <c r="H222" s="114" t="s">
        <v>1621</v>
      </c>
      <c r="I222" s="130">
        <f>IFERROR(__xludf.DUMMYFUNCTION("SWITCH(
LEN(H222) - LEN(SUBSTITUTE(H222,"","","""")),
0 , VLOOKUP(H222, Variables!$A:$B, 2, FALSE),
1 , VLOOKUP(index(split(H222 ,"", "", FALSE),1,1), Variables!$A:$B , 2, FALSE) + VLOOKUP(index(split(H222 ,"", "", FALSE),1,2), Variables!$A:$B , 2, FALSE)"&amp;",
2 , VLOOKUP(index(split(H222 ,"", "", FALSE),1,1), Variables!$A:$B , 2, FALSE) + VLOOKUP(index(split(H222 ,"", "", FALSE),1,2), Variables!$A:$B , 2, FALSE) + VLOOKUP(index(split(H222 ,"", "", FALSE),1,3), Variables!$A:$B , 2, FALSE)
)"),0.6666666666666666)</f>
        <v>0.6666666667</v>
      </c>
      <c r="J222" s="114" t="s">
        <v>1521</v>
      </c>
      <c r="K222" s="114" t="s">
        <v>1548</v>
      </c>
      <c r="L222" s="130">
        <f>IFERROR(__xludf.DUMMYFUNCTION("SWITCH(
LEN(K222) - LEN(SUBSTITUTE(K222,"","","""")),
0 , VLOOKUP(K222, Variables!$A:$B, 2, FALSE),
1 , VLOOKUP(index(split(K222 ,"", "", FALSE),1,1), Variables!$A:$B , 2, FALSE) + VLOOKUP(index(split(K222 ,"", "", FALSE),1,2), Variables!$A:$B , 2, FALSE)"&amp;",
2 , VLOOKUP(index(split(K222 ,"", "", FALSE),1,1), Variables!$A:$B , 2, FALSE) + VLOOKUP(index(split(K222 ,"", "", FALSE),1,2), Variables!$A:$B , 2, FALSE) + VLOOKUP(index(split(K222 ,"", "", FALSE),1,3), Variables!$A:$B , 2, FALSE)
)
+
IF(J222=""Ranged"&amp;""", 1 , 0)"),2.3333333333333335)</f>
        <v>2.333333333</v>
      </c>
      <c r="M222" s="114" t="s">
        <v>1126</v>
      </c>
      <c r="N222" s="130">
        <f>IFERROR(__xludf.DUMMYFUNCTION("IF(ISBLANK(M222), , 
SWITCH(
LEN(M222)- LEN(SUBSTITUTE(M222,"","","""")), 
0 , VLOOKUP(M222, vote4TRAITS!A:C , 3, FALSE),
1 , VLOOKUP(index(split(M222 ,"", "", FALSE),1,1), vote4TRAITS!A:C , 3, FALSE) + VLOOKUP(index(split(M222 ,"", "", FALSE),1,2), vote4"&amp;"TRAITS!A:C , 3, FALSE),
2 , VLOOKUP(index(split(M222 ,"", "", FALSE),1,1), vote4TRAITS!A:C , 3, FALSE) + VLOOKUP(index(split(M222 ,"", "", FALSE),1,2), vote4TRAITS!A:C , 3, FALSE) + VLOOKUP(index(split(M222 ,"", "", FALSE),1,3), vote4TRAITS!A:C , 3, FALSE"&amp;")
)
)"),-2.0)</f>
        <v>-2</v>
      </c>
      <c r="O222" s="490"/>
      <c r="P222" s="165" t="str">
        <f>IFERROR(__xludf.DUMMYFUNCTION("IF(ISBLANK(O222), , 
SWITCH(
LEN(O222)- LEN(SUBSTITUTE(O222,"","","""")), 
0 , VLOOKUP(O222, vote4ACTIONS!A:C , 3, FALSE),
1 , VLOOKUP(index(split(O222 ,"", "", FALSE),1,1), vote4ACTIONS!A:C , 3, FALSE) + VLOOKUP(index(split(O222 ,"", "", FALSE),1,2), vot"&amp;"e4ACTIONS!A:C , 3, FALSE),
2 , VLOOKUP(index(split(O222 ,"", "", FALSE),1,1), vote4ACTIONS!A:C , 3, FALSE) + VLOOKUP(index(split(O222 ,"", "", FALSE),1,2), vote4ACTIONS!A:C , 3, FALSE) + VLOOKUP(index(split(O222 ,"", "", FALSE),1,3), vote4ACTIONS!A:C , 3,"&amp;" FALSE),
3 , VLOOKUP(index(split(O222 ,"", "", FALSE),1,1), vote4ACTIONS!A:C , 3, FALSE) + VLOOKUP(index(split(O222 ,"", "", FALSE),1,2), vote4ACTIONS!A:C , 3, FALSE) + VLOOKUP(index(split(O222 ,"", "", FALSE),1,3), vote4ACTIONS!A:C , 3, FALSE) + VLOOKUP("&amp;"index(split(O222 ,"", "", FALSE),1,4), vote4ACTIONS!A:C , 3, FALSE)
)
)"),"")</f>
        <v/>
      </c>
      <c r="Q222" s="340" t="s">
        <v>1562</v>
      </c>
      <c r="R222" s="342">
        <f>IF(ISBLANK(Q222),,IFERROR(
IF(IFERROR(SEARCH("SS:",Q222),0) &gt; 0, 
VLOOKUP(SUBSTITUTE(Q222,"SS: ",""),vote4SURGE!$A:$C , 3, FALSE) - 2,
VLOOKUP(SUBSTITUTE(Q222,"S: ",""),vote4SURGE!$A:$C , 3, FALSE)
)
,
IF(IFERROR(SEARCH("SS:",Q222),0) &gt; 0, 
VLOOKUP(A222,vote4SURGE!$A:$C , 3, FALSE) - 2,
VLOOKUP(A222,vote4SURGE!$A:$C , 3, FALSE)
)
))</f>
        <v>3.5</v>
      </c>
      <c r="S222" s="489" t="s">
        <v>1553</v>
      </c>
      <c r="T222" s="342">
        <f>IF(ISBLANK(S222),,IFERROR(
IF(IFERROR(SEARCH("SS:",S222),0) &gt; 0, 
VLOOKUP(SUBSTITUTE(S222,"SS: ",""),vote4SURGE!$A:$C , 3, FALSE) - 2,
VLOOKUP(SUBSTITUTE(S222,"S: ",""),vote4SURGE!$A:$C , 3, FALSE)
)
,
IF(IFERROR(SEARCH("SS:",S222),0) &gt; 0, 
VLOOKUP(A222,vote4SURGE!$A:$C , 3, FALSE) - 2,
VLOOKUP(A222,vote4SURGE!$A:$C , 3, FALSE)
)
))</f>
        <v>4</v>
      </c>
      <c r="U222" s="164"/>
      <c r="V222" s="343" t="str">
        <f>IF(ISBLANK(U222),,IFERROR(
IF(IFERROR(SEARCH("SS:",U222),0) &gt; 0, 
VLOOKUP(SUBSTITUTE(U222,"SS: ",""),vote4SURGE!$A:$C , 3, FALSE) - 2,
VLOOKUP(SUBSTITUTE(U222,"S: ",""),vote4SURGE!$A:$C , 3, FALSE)
)
,
IF(IFERROR(SEARCH("SS:",U222),0) &gt; 0, 
VLOOKUP(A222,vote4SURGE!$A:$C , 3, FALSE) - 2,
VLOOKUP(A222,vote4SURGE!$A:$C , 3, FALSE)
)
))</f>
        <v/>
      </c>
      <c r="W222" s="343">
        <f t="shared" si="1"/>
        <v>2</v>
      </c>
      <c r="X222" s="344">
        <f>IFERROR(__xludf.DUMMYFUNCTION("SWITCH(
LEN(K222) - LEN(SUBSTITUTE(K222,"","","""")),
0 , VLOOKUP(K222, Variables!$A:$C, 3, FALSE),
1 , VLOOKUP(index(split(K222 ,"", "", FALSE),1,1), Variables!$A:$C, 3, FALSE) + VLOOKUP(index(split(K222 ,"", "", FALSE),1,2), Variables!$A:$C, 3, FALSE),
"&amp;"2 , VLOOKUP(index(split(K222 ,"", "", FALSE),1,1), Variables!$A:$C, 3, FALSE) + VLOOKUP(index(split(K222 ,"", "", FALSE),1,2), Variables!$A:$C, 3, FALSE) + VLOOKUP(index(split(K222 ,"", "", FALSE),1,3), Variables!$A:$C, 3, FALSE)
)"),0.8333333333333333)</f>
        <v>0.8333333333</v>
      </c>
      <c r="Y222" s="342">
        <f t="shared" si="2"/>
        <v>5.458333333</v>
      </c>
      <c r="Z222" s="114" t="s">
        <v>2572</v>
      </c>
      <c r="AA222" s="114"/>
      <c r="AB222" s="114"/>
      <c r="AC222" s="114"/>
      <c r="AD222" s="114" t="s">
        <v>2572</v>
      </c>
      <c r="AE222" s="114"/>
      <c r="AF222" s="114"/>
      <c r="AG222" s="114"/>
      <c r="AH222" s="114"/>
      <c r="AI222" s="114"/>
      <c r="AJ222" s="114" t="s">
        <v>369</v>
      </c>
      <c r="AK222" s="473">
        <v>12.0</v>
      </c>
      <c r="AL222" s="114" t="s">
        <v>368</v>
      </c>
      <c r="AM222" s="473">
        <v>15.0</v>
      </c>
      <c r="AN222" s="114" t="s">
        <v>2580</v>
      </c>
      <c r="AO222" s="473">
        <v>18.0</v>
      </c>
      <c r="AP222" s="130">
        <f>SUM(
VLOOKUP("Ravage",vote4TRAITS!A:C,3,FALSE)
)</f>
        <v>7.333333333</v>
      </c>
      <c r="AQ222" s="130">
        <f t="shared" si="3"/>
        <v>1.448333333</v>
      </c>
    </row>
    <row r="223" ht="15.75" customHeight="1">
      <c r="A223" s="114"/>
      <c r="B223" s="114"/>
      <c r="C223" s="114"/>
      <c r="D223" s="114"/>
      <c r="E223" s="114"/>
      <c r="F223" s="114"/>
      <c r="G223" s="322"/>
      <c r="H223" s="114"/>
      <c r="I223" s="130"/>
      <c r="J223" s="114"/>
      <c r="K223" s="114"/>
      <c r="L223" s="130"/>
      <c r="M223" s="114"/>
      <c r="N223" s="130"/>
      <c r="O223" s="114"/>
      <c r="P223" s="165"/>
      <c r="Q223" s="114"/>
      <c r="R223" s="114"/>
      <c r="S223" s="114"/>
      <c r="T223" s="114"/>
      <c r="U223" s="114"/>
      <c r="V223" s="114"/>
      <c r="W223" s="343"/>
      <c r="X223" s="130"/>
      <c r="Y223" s="130"/>
      <c r="Z223" s="114"/>
      <c r="AA223" s="114"/>
      <c r="AB223" s="114"/>
      <c r="AC223" s="114"/>
      <c r="AD223" s="114"/>
      <c r="AE223" s="114"/>
      <c r="AF223" s="114"/>
      <c r="AG223" s="114"/>
      <c r="AH223" s="114"/>
      <c r="AI223" s="114"/>
      <c r="AJ223" s="114"/>
      <c r="AK223" s="114"/>
      <c r="AL223" s="114"/>
      <c r="AM223" s="114"/>
      <c r="AN223" s="114"/>
      <c r="AO223" s="114"/>
      <c r="AP223" s="130"/>
      <c r="AQ223" s="130"/>
    </row>
    <row r="224" ht="15.75" customHeight="1">
      <c r="A224" s="114"/>
      <c r="B224" s="114"/>
      <c r="C224" s="114"/>
      <c r="D224" s="114"/>
      <c r="E224" s="114"/>
      <c r="F224" s="114"/>
      <c r="G224" s="322"/>
      <c r="H224" s="114"/>
      <c r="I224" s="130"/>
      <c r="J224" s="114"/>
      <c r="K224" s="114"/>
      <c r="L224" s="130"/>
      <c r="M224" s="114"/>
      <c r="N224" s="130"/>
      <c r="O224" s="114"/>
      <c r="P224" s="165"/>
      <c r="Q224" s="114"/>
      <c r="R224" s="114"/>
      <c r="S224" s="114"/>
      <c r="T224" s="114"/>
      <c r="U224" s="114"/>
      <c r="V224" s="114"/>
      <c r="W224" s="343"/>
      <c r="X224" s="130"/>
      <c r="Y224" s="130"/>
      <c r="Z224" s="114"/>
      <c r="AA224" s="114"/>
      <c r="AB224" s="114"/>
      <c r="AC224" s="114"/>
      <c r="AD224" s="114"/>
      <c r="AE224" s="114"/>
      <c r="AF224" s="114"/>
      <c r="AG224" s="114"/>
      <c r="AH224" s="114"/>
      <c r="AI224" s="114"/>
      <c r="AJ224" s="114"/>
      <c r="AK224" s="114"/>
      <c r="AL224" s="114"/>
      <c r="AM224" s="114"/>
      <c r="AN224" s="114"/>
      <c r="AO224" s="114"/>
      <c r="AP224" s="130"/>
      <c r="AQ224" s="130"/>
    </row>
    <row r="225" ht="15.75" customHeight="1">
      <c r="A225" s="114"/>
      <c r="B225" s="114"/>
      <c r="C225" s="114"/>
      <c r="D225" s="114"/>
      <c r="E225" s="114"/>
      <c r="F225" s="114"/>
      <c r="G225" s="322"/>
      <c r="H225" s="114"/>
      <c r="I225" s="130"/>
      <c r="J225" s="114"/>
      <c r="K225" s="114"/>
      <c r="L225" s="130"/>
      <c r="M225" s="114"/>
      <c r="N225" s="130"/>
      <c r="O225" s="114"/>
      <c r="P225" s="165"/>
      <c r="Q225" s="114"/>
      <c r="R225" s="114"/>
      <c r="S225" s="114"/>
      <c r="T225" s="114"/>
      <c r="U225" s="114"/>
      <c r="V225" s="114"/>
      <c r="W225" s="343"/>
      <c r="X225" s="130"/>
      <c r="Y225" s="130"/>
      <c r="Z225" s="114"/>
      <c r="AA225" s="114"/>
      <c r="AB225" s="114"/>
      <c r="AC225" s="114"/>
      <c r="AD225" s="114"/>
      <c r="AE225" s="114"/>
      <c r="AF225" s="114"/>
      <c r="AG225" s="114"/>
      <c r="AH225" s="114"/>
      <c r="AI225" s="114"/>
      <c r="AJ225" s="114"/>
      <c r="AK225" s="114"/>
      <c r="AL225" s="114"/>
      <c r="AM225" s="114"/>
      <c r="AN225" s="114"/>
      <c r="AO225" s="114"/>
      <c r="AP225" s="130"/>
      <c r="AQ225" s="130"/>
    </row>
    <row r="226" ht="15.75" customHeight="1">
      <c r="A226" s="114"/>
      <c r="B226" s="114"/>
      <c r="C226" s="114"/>
      <c r="D226" s="114"/>
      <c r="E226" s="114"/>
      <c r="F226" s="114"/>
      <c r="G226" s="322"/>
      <c r="H226" s="114"/>
      <c r="I226" s="130"/>
      <c r="J226" s="114"/>
      <c r="K226" s="114"/>
      <c r="L226" s="130"/>
      <c r="M226" s="114"/>
      <c r="N226" s="130"/>
      <c r="O226" s="114"/>
      <c r="P226" s="165"/>
      <c r="Q226" s="114"/>
      <c r="R226" s="114"/>
      <c r="S226" s="114"/>
      <c r="T226" s="114"/>
      <c r="U226" s="114"/>
      <c r="V226" s="114"/>
      <c r="W226" s="343"/>
      <c r="X226" s="130"/>
      <c r="Y226" s="130"/>
      <c r="Z226" s="114"/>
      <c r="AA226" s="114"/>
      <c r="AB226" s="114"/>
      <c r="AC226" s="114"/>
      <c r="AD226" s="114"/>
      <c r="AE226" s="114"/>
      <c r="AF226" s="114"/>
      <c r="AG226" s="114"/>
      <c r="AH226" s="114"/>
      <c r="AI226" s="114"/>
      <c r="AJ226" s="114"/>
      <c r="AK226" s="114"/>
      <c r="AL226" s="114"/>
      <c r="AM226" s="114"/>
      <c r="AN226" s="114"/>
      <c r="AO226" s="114"/>
      <c r="AP226" s="130"/>
      <c r="AQ226" s="130"/>
    </row>
    <row r="227" ht="15.75" customHeight="1">
      <c r="A227" s="114"/>
      <c r="B227" s="114"/>
      <c r="C227" s="114"/>
      <c r="D227" s="114"/>
      <c r="E227" s="114"/>
      <c r="F227" s="114"/>
      <c r="G227" s="322"/>
      <c r="H227" s="114"/>
      <c r="I227" s="130"/>
      <c r="J227" s="114"/>
      <c r="K227" s="114"/>
      <c r="L227" s="130"/>
      <c r="M227" s="114"/>
      <c r="N227" s="130"/>
      <c r="O227" s="114"/>
      <c r="P227" s="165"/>
      <c r="Q227" s="114"/>
      <c r="R227" s="114"/>
      <c r="S227" s="114"/>
      <c r="T227" s="114"/>
      <c r="U227" s="114"/>
      <c r="V227" s="114"/>
      <c r="W227" s="343"/>
      <c r="X227" s="130"/>
      <c r="Y227" s="130"/>
      <c r="Z227" s="114"/>
      <c r="AA227" s="114"/>
      <c r="AB227" s="114"/>
      <c r="AC227" s="114"/>
      <c r="AD227" s="114"/>
      <c r="AE227" s="114"/>
      <c r="AF227" s="114"/>
      <c r="AG227" s="114"/>
      <c r="AH227" s="114"/>
      <c r="AI227" s="114"/>
      <c r="AJ227" s="114"/>
      <c r="AK227" s="114"/>
      <c r="AL227" s="114"/>
      <c r="AM227" s="114"/>
      <c r="AN227" s="114"/>
      <c r="AO227" s="114"/>
      <c r="AP227" s="130"/>
      <c r="AQ227" s="130"/>
    </row>
    <row r="228" ht="15.75" customHeight="1">
      <c r="A228" s="114"/>
      <c r="B228" s="114"/>
      <c r="C228" s="114"/>
      <c r="D228" s="114"/>
      <c r="E228" s="114"/>
      <c r="F228" s="114"/>
      <c r="G228" s="322"/>
      <c r="H228" s="114"/>
      <c r="I228" s="130"/>
      <c r="J228" s="114"/>
      <c r="K228" s="114"/>
      <c r="L228" s="130"/>
      <c r="M228" s="114"/>
      <c r="N228" s="130"/>
      <c r="O228" s="114"/>
      <c r="P228" s="165"/>
      <c r="Q228" s="114"/>
      <c r="R228" s="114"/>
      <c r="S228" s="114"/>
      <c r="T228" s="114"/>
      <c r="U228" s="114"/>
      <c r="V228" s="114"/>
      <c r="W228" s="343"/>
      <c r="X228" s="130"/>
      <c r="Y228" s="130"/>
      <c r="Z228" s="114"/>
      <c r="AA228" s="114"/>
      <c r="AB228" s="114"/>
      <c r="AC228" s="114"/>
      <c r="AD228" s="114"/>
      <c r="AE228" s="114"/>
      <c r="AF228" s="114"/>
      <c r="AG228" s="114"/>
      <c r="AH228" s="114"/>
      <c r="AI228" s="114"/>
      <c r="AJ228" s="114"/>
      <c r="AK228" s="114"/>
      <c r="AL228" s="114"/>
      <c r="AM228" s="114"/>
      <c r="AN228" s="114"/>
      <c r="AO228" s="114"/>
      <c r="AP228" s="130"/>
      <c r="AQ228" s="130"/>
    </row>
    <row r="229" ht="15.75" customHeight="1">
      <c r="A229" s="114"/>
      <c r="B229" s="114"/>
      <c r="C229" s="114"/>
      <c r="D229" s="114"/>
      <c r="E229" s="114"/>
      <c r="F229" s="114"/>
      <c r="G229" s="322"/>
      <c r="H229" s="114"/>
      <c r="I229" s="130"/>
      <c r="J229" s="114"/>
      <c r="K229" s="114"/>
      <c r="L229" s="130"/>
      <c r="M229" s="114"/>
      <c r="N229" s="130"/>
      <c r="O229" s="114"/>
      <c r="P229" s="165"/>
      <c r="Q229" s="114"/>
      <c r="R229" s="114"/>
      <c r="S229" s="114"/>
      <c r="T229" s="114"/>
      <c r="U229" s="114"/>
      <c r="V229" s="114"/>
      <c r="W229" s="343"/>
      <c r="X229" s="130"/>
      <c r="Y229" s="130"/>
      <c r="Z229" s="114"/>
      <c r="AA229" s="114"/>
      <c r="AB229" s="114"/>
      <c r="AC229" s="114"/>
      <c r="AD229" s="114"/>
      <c r="AE229" s="114"/>
      <c r="AF229" s="114"/>
      <c r="AG229" s="114"/>
      <c r="AH229" s="114"/>
      <c r="AI229" s="114"/>
      <c r="AJ229" s="114"/>
      <c r="AK229" s="114"/>
      <c r="AL229" s="114"/>
      <c r="AM229" s="114"/>
      <c r="AN229" s="114"/>
      <c r="AO229" s="114"/>
      <c r="AP229" s="130"/>
      <c r="AQ229" s="130"/>
    </row>
    <row r="230" ht="15.75" customHeight="1">
      <c r="A230" s="114"/>
      <c r="B230" s="114"/>
      <c r="C230" s="114"/>
      <c r="D230" s="114"/>
      <c r="E230" s="114"/>
      <c r="F230" s="114"/>
      <c r="G230" s="322"/>
      <c r="H230" s="114"/>
      <c r="I230" s="130"/>
      <c r="J230" s="114"/>
      <c r="K230" s="114"/>
      <c r="L230" s="130"/>
      <c r="M230" s="114"/>
      <c r="N230" s="130"/>
      <c r="O230" s="114"/>
      <c r="P230" s="165"/>
      <c r="Q230" s="114"/>
      <c r="R230" s="114"/>
      <c r="S230" s="114"/>
      <c r="T230" s="114"/>
      <c r="U230" s="114"/>
      <c r="V230" s="114"/>
      <c r="W230" s="343"/>
      <c r="X230" s="130"/>
      <c r="Y230" s="130"/>
      <c r="Z230" s="114"/>
      <c r="AA230" s="114"/>
      <c r="AB230" s="114"/>
      <c r="AC230" s="114"/>
      <c r="AD230" s="114"/>
      <c r="AE230" s="114"/>
      <c r="AF230" s="114"/>
      <c r="AG230" s="114"/>
      <c r="AH230" s="114"/>
      <c r="AI230" s="114"/>
      <c r="AJ230" s="114"/>
      <c r="AK230" s="114"/>
      <c r="AL230" s="114"/>
      <c r="AM230" s="114"/>
      <c r="AN230" s="114"/>
      <c r="AO230" s="114"/>
      <c r="AP230" s="130"/>
      <c r="AQ230" s="130"/>
    </row>
    <row r="231" ht="15.75" customHeight="1">
      <c r="A231" s="114"/>
      <c r="B231" s="114"/>
      <c r="C231" s="114"/>
      <c r="D231" s="114"/>
      <c r="E231" s="114"/>
      <c r="F231" s="114"/>
      <c r="G231" s="322"/>
      <c r="H231" s="114"/>
      <c r="I231" s="130"/>
      <c r="J231" s="114"/>
      <c r="K231" s="114"/>
      <c r="L231" s="130"/>
      <c r="M231" s="114"/>
      <c r="N231" s="130"/>
      <c r="O231" s="114"/>
      <c r="P231" s="165"/>
      <c r="Q231" s="114"/>
      <c r="R231" s="114"/>
      <c r="S231" s="114"/>
      <c r="T231" s="114"/>
      <c r="U231" s="114"/>
      <c r="V231" s="114"/>
      <c r="W231" s="343"/>
      <c r="X231" s="130"/>
      <c r="Y231" s="130"/>
      <c r="Z231" s="114"/>
      <c r="AA231" s="114"/>
      <c r="AB231" s="114"/>
      <c r="AC231" s="114"/>
      <c r="AD231" s="114"/>
      <c r="AE231" s="114"/>
      <c r="AF231" s="114"/>
      <c r="AG231" s="114"/>
      <c r="AH231" s="114"/>
      <c r="AI231" s="114"/>
      <c r="AJ231" s="114"/>
      <c r="AK231" s="114"/>
      <c r="AL231" s="114"/>
      <c r="AM231" s="114"/>
      <c r="AN231" s="114"/>
      <c r="AO231" s="114"/>
      <c r="AP231" s="130"/>
      <c r="AQ231" s="130"/>
    </row>
    <row r="232" ht="15.75" customHeight="1">
      <c r="A232" s="114"/>
      <c r="B232" s="114"/>
      <c r="C232" s="114"/>
      <c r="D232" s="114"/>
      <c r="E232" s="114"/>
      <c r="F232" s="114"/>
      <c r="G232" s="322"/>
      <c r="H232" s="114"/>
      <c r="I232" s="130"/>
      <c r="J232" s="114"/>
      <c r="K232" s="114"/>
      <c r="L232" s="130"/>
      <c r="M232" s="114"/>
      <c r="N232" s="130"/>
      <c r="O232" s="114"/>
      <c r="P232" s="165"/>
      <c r="Q232" s="114"/>
      <c r="R232" s="114"/>
      <c r="S232" s="114"/>
      <c r="T232" s="114"/>
      <c r="U232" s="114"/>
      <c r="V232" s="114"/>
      <c r="W232" s="343"/>
      <c r="X232" s="130"/>
      <c r="Y232" s="130"/>
      <c r="Z232" s="114"/>
      <c r="AA232" s="114"/>
      <c r="AB232" s="114"/>
      <c r="AC232" s="114"/>
      <c r="AD232" s="114"/>
      <c r="AE232" s="114"/>
      <c r="AF232" s="114"/>
      <c r="AG232" s="114"/>
      <c r="AH232" s="114"/>
      <c r="AI232" s="114"/>
      <c r="AJ232" s="114"/>
      <c r="AK232" s="114"/>
      <c r="AL232" s="114"/>
      <c r="AM232" s="114"/>
      <c r="AN232" s="114"/>
      <c r="AO232" s="114"/>
      <c r="AP232" s="130"/>
      <c r="AQ232" s="130"/>
    </row>
    <row r="233" ht="15.75" customHeight="1">
      <c r="A233" s="114"/>
      <c r="B233" s="114"/>
      <c r="C233" s="114"/>
      <c r="D233" s="114"/>
      <c r="E233" s="114"/>
      <c r="F233" s="114"/>
      <c r="G233" s="322"/>
      <c r="H233" s="114"/>
      <c r="I233" s="130"/>
      <c r="J233" s="114"/>
      <c r="K233" s="114"/>
      <c r="L233" s="130"/>
      <c r="M233" s="114"/>
      <c r="N233" s="130"/>
      <c r="O233" s="114"/>
      <c r="P233" s="165"/>
      <c r="Q233" s="114"/>
      <c r="R233" s="114"/>
      <c r="S233" s="114"/>
      <c r="T233" s="114"/>
      <c r="U233" s="114"/>
      <c r="V233" s="114"/>
      <c r="W233" s="343"/>
      <c r="X233" s="130"/>
      <c r="Y233" s="130"/>
      <c r="Z233" s="114"/>
      <c r="AA233" s="114"/>
      <c r="AB233" s="114"/>
      <c r="AC233" s="114"/>
      <c r="AD233" s="114"/>
      <c r="AE233" s="114"/>
      <c r="AF233" s="114"/>
      <c r="AG233" s="114"/>
      <c r="AH233" s="114"/>
      <c r="AI233" s="114"/>
      <c r="AJ233" s="114"/>
      <c r="AK233" s="114"/>
      <c r="AL233" s="114"/>
      <c r="AM233" s="114"/>
      <c r="AN233" s="114"/>
      <c r="AO233" s="114"/>
      <c r="AP233" s="130"/>
      <c r="AQ233" s="130"/>
    </row>
    <row r="234" ht="15.75" customHeight="1">
      <c r="A234" s="114"/>
      <c r="B234" s="114"/>
      <c r="C234" s="114"/>
      <c r="D234" s="114"/>
      <c r="E234" s="114"/>
      <c r="F234" s="114"/>
      <c r="G234" s="322"/>
      <c r="H234" s="114"/>
      <c r="I234" s="130"/>
      <c r="J234" s="114"/>
      <c r="K234" s="114"/>
      <c r="L234" s="130"/>
      <c r="M234" s="114"/>
      <c r="N234" s="130"/>
      <c r="O234" s="114"/>
      <c r="P234" s="165"/>
      <c r="Q234" s="114"/>
      <c r="R234" s="114"/>
      <c r="S234" s="114"/>
      <c r="T234" s="114"/>
      <c r="U234" s="114"/>
      <c r="V234" s="114"/>
      <c r="W234" s="343"/>
      <c r="X234" s="130"/>
      <c r="Y234" s="130"/>
      <c r="Z234" s="114"/>
      <c r="AA234" s="114"/>
      <c r="AB234" s="114"/>
      <c r="AC234" s="114"/>
      <c r="AD234" s="114"/>
      <c r="AE234" s="114"/>
      <c r="AF234" s="114"/>
      <c r="AG234" s="114"/>
      <c r="AH234" s="114"/>
      <c r="AI234" s="114"/>
      <c r="AJ234" s="114"/>
      <c r="AK234" s="114"/>
      <c r="AL234" s="114"/>
      <c r="AM234" s="114"/>
      <c r="AN234" s="114"/>
      <c r="AO234" s="114"/>
      <c r="AP234" s="130"/>
      <c r="AQ234" s="130"/>
    </row>
    <row r="235" ht="15.75" customHeight="1">
      <c r="A235" s="114"/>
      <c r="B235" s="114"/>
      <c r="C235" s="114"/>
      <c r="D235" s="114"/>
      <c r="E235" s="114"/>
      <c r="F235" s="114"/>
      <c r="G235" s="322"/>
      <c r="H235" s="114"/>
      <c r="I235" s="130"/>
      <c r="J235" s="114"/>
      <c r="K235" s="114"/>
      <c r="L235" s="130"/>
      <c r="M235" s="114"/>
      <c r="N235" s="130"/>
      <c r="O235" s="114"/>
      <c r="P235" s="165"/>
      <c r="Q235" s="114"/>
      <c r="R235" s="114"/>
      <c r="S235" s="114"/>
      <c r="T235" s="114"/>
      <c r="U235" s="114"/>
      <c r="V235" s="114"/>
      <c r="W235" s="343"/>
      <c r="X235" s="130"/>
      <c r="Y235" s="130"/>
      <c r="Z235" s="114"/>
      <c r="AA235" s="114"/>
      <c r="AB235" s="114"/>
      <c r="AC235" s="114"/>
      <c r="AD235" s="114"/>
      <c r="AE235" s="114"/>
      <c r="AF235" s="114"/>
      <c r="AG235" s="114"/>
      <c r="AH235" s="114"/>
      <c r="AI235" s="114"/>
      <c r="AJ235" s="114"/>
      <c r="AK235" s="114"/>
      <c r="AL235" s="114"/>
      <c r="AM235" s="114"/>
      <c r="AN235" s="114"/>
      <c r="AO235" s="114"/>
      <c r="AP235" s="130"/>
      <c r="AQ235" s="130"/>
    </row>
    <row r="236" ht="15.75" customHeight="1">
      <c r="A236" s="114"/>
      <c r="B236" s="114"/>
      <c r="C236" s="114"/>
      <c r="D236" s="114"/>
      <c r="E236" s="114"/>
      <c r="F236" s="114"/>
      <c r="G236" s="322"/>
      <c r="H236" s="114"/>
      <c r="I236" s="130"/>
      <c r="J236" s="114"/>
      <c r="K236" s="114"/>
      <c r="L236" s="130"/>
      <c r="M236" s="114"/>
      <c r="N236" s="130"/>
      <c r="O236" s="114"/>
      <c r="P236" s="165"/>
      <c r="Q236" s="114"/>
      <c r="R236" s="114"/>
      <c r="S236" s="114"/>
      <c r="T236" s="114"/>
      <c r="U236" s="114"/>
      <c r="V236" s="114"/>
      <c r="W236" s="343"/>
      <c r="X236" s="130"/>
      <c r="Y236" s="130"/>
      <c r="Z236" s="114"/>
      <c r="AA236" s="114"/>
      <c r="AB236" s="114"/>
      <c r="AC236" s="114"/>
      <c r="AD236" s="114"/>
      <c r="AE236" s="114"/>
      <c r="AF236" s="114"/>
      <c r="AG236" s="114"/>
      <c r="AH236" s="114"/>
      <c r="AI236" s="114"/>
      <c r="AJ236" s="114"/>
      <c r="AK236" s="114"/>
      <c r="AL236" s="114"/>
      <c r="AM236" s="114"/>
      <c r="AN236" s="114"/>
      <c r="AO236" s="114"/>
      <c r="AP236" s="130"/>
      <c r="AQ236" s="130"/>
    </row>
    <row r="237" ht="15.75" customHeight="1">
      <c r="A237" s="114"/>
      <c r="B237" s="114"/>
      <c r="C237" s="114"/>
      <c r="D237" s="114"/>
      <c r="E237" s="114"/>
      <c r="F237" s="114"/>
      <c r="G237" s="322"/>
      <c r="H237" s="114"/>
      <c r="I237" s="130"/>
      <c r="J237" s="114"/>
      <c r="K237" s="114"/>
      <c r="L237" s="130"/>
      <c r="M237" s="114"/>
      <c r="N237" s="130"/>
      <c r="O237" s="114"/>
      <c r="P237" s="165"/>
      <c r="Q237" s="114"/>
      <c r="R237" s="114"/>
      <c r="S237" s="114"/>
      <c r="T237" s="114"/>
      <c r="U237" s="114"/>
      <c r="V237" s="114"/>
      <c r="W237" s="343"/>
      <c r="X237" s="130"/>
      <c r="Y237" s="130"/>
      <c r="Z237" s="114"/>
      <c r="AA237" s="114"/>
      <c r="AB237" s="114"/>
      <c r="AC237" s="114"/>
      <c r="AD237" s="114"/>
      <c r="AE237" s="114"/>
      <c r="AF237" s="114"/>
      <c r="AG237" s="114"/>
      <c r="AH237" s="114"/>
      <c r="AI237" s="114"/>
      <c r="AJ237" s="114"/>
      <c r="AK237" s="114"/>
      <c r="AL237" s="114"/>
      <c r="AM237" s="114"/>
      <c r="AN237" s="114"/>
      <c r="AO237" s="114"/>
      <c r="AP237" s="130"/>
      <c r="AQ237" s="130"/>
    </row>
    <row r="238" ht="15.75" customHeight="1">
      <c r="A238" s="114"/>
      <c r="B238" s="114"/>
      <c r="C238" s="114"/>
      <c r="D238" s="114"/>
      <c r="E238" s="114"/>
      <c r="F238" s="114"/>
      <c r="G238" s="322"/>
      <c r="H238" s="114"/>
      <c r="I238" s="130"/>
      <c r="J238" s="114"/>
      <c r="K238" s="114"/>
      <c r="L238" s="130"/>
      <c r="M238" s="114"/>
      <c r="N238" s="130"/>
      <c r="O238" s="114"/>
      <c r="P238" s="165"/>
      <c r="Q238" s="114"/>
      <c r="R238" s="114"/>
      <c r="S238" s="114"/>
      <c r="T238" s="114"/>
      <c r="U238" s="114"/>
      <c r="V238" s="114"/>
      <c r="W238" s="130"/>
      <c r="X238" s="130"/>
      <c r="Y238" s="130"/>
      <c r="Z238" s="114"/>
      <c r="AA238" s="114"/>
      <c r="AB238" s="114"/>
      <c r="AC238" s="114"/>
      <c r="AD238" s="114"/>
      <c r="AE238" s="114"/>
      <c r="AF238" s="114"/>
      <c r="AG238" s="114"/>
      <c r="AH238" s="114"/>
      <c r="AI238" s="114"/>
      <c r="AJ238" s="114"/>
      <c r="AK238" s="114"/>
      <c r="AL238" s="114"/>
      <c r="AM238" s="114"/>
      <c r="AN238" s="114"/>
      <c r="AO238" s="114"/>
      <c r="AP238" s="130"/>
      <c r="AQ238" s="130"/>
    </row>
    <row r="239" ht="15.75" customHeight="1">
      <c r="A239" s="114"/>
      <c r="B239" s="114"/>
      <c r="C239" s="114"/>
      <c r="D239" s="114"/>
      <c r="E239" s="114"/>
      <c r="F239" s="114"/>
      <c r="G239" s="322"/>
      <c r="H239" s="114"/>
      <c r="I239" s="130"/>
      <c r="J239" s="114"/>
      <c r="K239" s="114"/>
      <c r="L239" s="130"/>
      <c r="M239" s="114"/>
      <c r="N239" s="130"/>
      <c r="O239" s="114"/>
      <c r="P239" s="165"/>
      <c r="Q239" s="114"/>
      <c r="R239" s="114"/>
      <c r="S239" s="114"/>
      <c r="T239" s="114"/>
      <c r="U239" s="114"/>
      <c r="V239" s="114"/>
      <c r="W239" s="130"/>
      <c r="X239" s="130"/>
      <c r="Y239" s="130"/>
      <c r="Z239" s="114"/>
      <c r="AA239" s="114"/>
      <c r="AB239" s="114"/>
      <c r="AC239" s="114"/>
      <c r="AD239" s="114"/>
      <c r="AE239" s="114"/>
      <c r="AF239" s="114"/>
      <c r="AG239" s="114"/>
      <c r="AH239" s="114"/>
      <c r="AI239" s="114"/>
      <c r="AJ239" s="114"/>
      <c r="AK239" s="114"/>
      <c r="AL239" s="114"/>
      <c r="AM239" s="114"/>
      <c r="AN239" s="114"/>
      <c r="AO239" s="114"/>
      <c r="AP239" s="130"/>
      <c r="AQ239" s="130"/>
    </row>
    <row r="240" ht="15.75" customHeight="1">
      <c r="A240" s="114"/>
      <c r="B240" s="114"/>
      <c r="C240" s="114"/>
      <c r="D240" s="114"/>
      <c r="E240" s="114"/>
      <c r="F240" s="114"/>
      <c r="G240" s="322"/>
      <c r="H240" s="114"/>
      <c r="I240" s="130"/>
      <c r="J240" s="114"/>
      <c r="K240" s="114"/>
      <c r="L240" s="130"/>
      <c r="M240" s="114"/>
      <c r="N240" s="130"/>
      <c r="O240" s="114"/>
      <c r="P240" s="165"/>
      <c r="Q240" s="114"/>
      <c r="R240" s="114"/>
      <c r="S240" s="114"/>
      <c r="T240" s="114"/>
      <c r="U240" s="114"/>
      <c r="V240" s="114"/>
      <c r="W240" s="130"/>
      <c r="X240" s="130"/>
      <c r="Y240" s="130"/>
      <c r="Z240" s="114"/>
      <c r="AA240" s="114"/>
      <c r="AB240" s="114"/>
      <c r="AC240" s="114"/>
      <c r="AD240" s="114"/>
      <c r="AE240" s="114"/>
      <c r="AF240" s="114"/>
      <c r="AG240" s="114"/>
      <c r="AH240" s="114"/>
      <c r="AI240" s="114"/>
      <c r="AJ240" s="114"/>
      <c r="AK240" s="114"/>
      <c r="AL240" s="114"/>
      <c r="AM240" s="114"/>
      <c r="AN240" s="114"/>
      <c r="AO240" s="114"/>
      <c r="AP240" s="130"/>
      <c r="AQ240" s="130"/>
    </row>
    <row r="241" ht="15.75" customHeight="1">
      <c r="A241" s="114"/>
      <c r="B241" s="114"/>
      <c r="C241" s="114"/>
      <c r="D241" s="114"/>
      <c r="E241" s="114"/>
      <c r="F241" s="114"/>
      <c r="G241" s="322"/>
      <c r="H241" s="114"/>
      <c r="I241" s="130"/>
      <c r="J241" s="114"/>
      <c r="K241" s="114"/>
      <c r="L241" s="130"/>
      <c r="M241" s="114"/>
      <c r="N241" s="130"/>
      <c r="O241" s="114"/>
      <c r="P241" s="165"/>
      <c r="Q241" s="114"/>
      <c r="R241" s="114"/>
      <c r="S241" s="114"/>
      <c r="T241" s="114"/>
      <c r="U241" s="114"/>
      <c r="V241" s="114"/>
      <c r="W241" s="130"/>
      <c r="X241" s="130"/>
      <c r="Y241" s="130"/>
      <c r="Z241" s="114"/>
      <c r="AA241" s="114"/>
      <c r="AB241" s="114"/>
      <c r="AC241" s="114"/>
      <c r="AD241" s="114"/>
      <c r="AE241" s="114"/>
      <c r="AF241" s="114"/>
      <c r="AG241" s="114"/>
      <c r="AH241" s="114"/>
      <c r="AI241" s="114"/>
      <c r="AJ241" s="114"/>
      <c r="AK241" s="114"/>
      <c r="AL241" s="114"/>
      <c r="AM241" s="114"/>
      <c r="AN241" s="114"/>
      <c r="AO241" s="114"/>
      <c r="AP241" s="130"/>
      <c r="AQ241" s="130"/>
    </row>
    <row r="242" ht="15.75" customHeight="1">
      <c r="A242" s="114"/>
      <c r="B242" s="114"/>
      <c r="C242" s="114"/>
      <c r="D242" s="114"/>
      <c r="E242" s="114"/>
      <c r="F242" s="114"/>
      <c r="G242" s="322"/>
      <c r="H242" s="114"/>
      <c r="I242" s="130"/>
      <c r="J242" s="114"/>
      <c r="K242" s="114"/>
      <c r="L242" s="130"/>
      <c r="M242" s="114"/>
      <c r="N242" s="130"/>
      <c r="O242" s="114"/>
      <c r="P242" s="165"/>
      <c r="Q242" s="114"/>
      <c r="R242" s="114"/>
      <c r="S242" s="114"/>
      <c r="T242" s="114"/>
      <c r="U242" s="114"/>
      <c r="V242" s="114"/>
      <c r="W242" s="130"/>
      <c r="X242" s="130"/>
      <c r="Y242" s="130"/>
      <c r="Z242" s="114"/>
      <c r="AA242" s="114"/>
      <c r="AB242" s="114"/>
      <c r="AC242" s="114"/>
      <c r="AD242" s="114"/>
      <c r="AE242" s="114"/>
      <c r="AF242" s="114"/>
      <c r="AG242" s="114"/>
      <c r="AH242" s="114"/>
      <c r="AI242" s="114"/>
      <c r="AJ242" s="114"/>
      <c r="AK242" s="114"/>
      <c r="AL242" s="114"/>
      <c r="AM242" s="114"/>
      <c r="AN242" s="114"/>
      <c r="AO242" s="114"/>
      <c r="AP242" s="130"/>
      <c r="AQ242" s="130"/>
    </row>
    <row r="243" ht="15.75" customHeight="1">
      <c r="A243" s="114"/>
      <c r="B243" s="114"/>
      <c r="C243" s="114"/>
      <c r="D243" s="114"/>
      <c r="E243" s="114"/>
      <c r="F243" s="114"/>
      <c r="G243" s="322"/>
      <c r="H243" s="114"/>
      <c r="I243" s="130"/>
      <c r="J243" s="114"/>
      <c r="K243" s="114"/>
      <c r="L243" s="130"/>
      <c r="M243" s="114"/>
      <c r="N243" s="130"/>
      <c r="O243" s="114"/>
      <c r="P243" s="165"/>
      <c r="Q243" s="114"/>
      <c r="R243" s="114"/>
      <c r="S243" s="114"/>
      <c r="T243" s="114"/>
      <c r="U243" s="114"/>
      <c r="V243" s="114"/>
      <c r="W243" s="130"/>
      <c r="X243" s="130"/>
      <c r="Y243" s="130"/>
      <c r="Z243" s="114"/>
      <c r="AA243" s="114"/>
      <c r="AB243" s="114"/>
      <c r="AC243" s="114"/>
      <c r="AD243" s="114"/>
      <c r="AE243" s="114"/>
      <c r="AF243" s="114"/>
      <c r="AG243" s="114"/>
      <c r="AH243" s="114"/>
      <c r="AI243" s="114"/>
      <c r="AJ243" s="114"/>
      <c r="AK243" s="114"/>
      <c r="AL243" s="114"/>
      <c r="AM243" s="114"/>
      <c r="AN243" s="114"/>
      <c r="AO243" s="114"/>
      <c r="AP243" s="130"/>
      <c r="AQ243" s="130"/>
    </row>
    <row r="244" ht="15.75" customHeight="1">
      <c r="A244" s="114"/>
      <c r="B244" s="114"/>
      <c r="C244" s="114"/>
      <c r="D244" s="114"/>
      <c r="E244" s="114"/>
      <c r="F244" s="114"/>
      <c r="G244" s="322"/>
      <c r="H244" s="114"/>
      <c r="I244" s="130"/>
      <c r="J244" s="114"/>
      <c r="K244" s="114"/>
      <c r="L244" s="130"/>
      <c r="M244" s="114"/>
      <c r="N244" s="130"/>
      <c r="O244" s="114"/>
      <c r="P244" s="165"/>
      <c r="Q244" s="114"/>
      <c r="R244" s="114"/>
      <c r="S244" s="114"/>
      <c r="T244" s="114"/>
      <c r="U244" s="114"/>
      <c r="V244" s="114"/>
      <c r="W244" s="130"/>
      <c r="X244" s="130"/>
      <c r="Y244" s="130"/>
      <c r="Z244" s="114"/>
      <c r="AA244" s="114"/>
      <c r="AB244" s="114"/>
      <c r="AC244" s="114"/>
      <c r="AD244" s="114"/>
      <c r="AE244" s="114"/>
      <c r="AF244" s="114"/>
      <c r="AG244" s="114"/>
      <c r="AH244" s="114"/>
      <c r="AI244" s="114"/>
      <c r="AJ244" s="114"/>
      <c r="AK244" s="114"/>
      <c r="AL244" s="114"/>
      <c r="AM244" s="114"/>
      <c r="AN244" s="114"/>
      <c r="AO244" s="114"/>
      <c r="AP244" s="130"/>
      <c r="AQ244" s="130"/>
    </row>
    <row r="245" ht="15.75" customHeight="1">
      <c r="A245" s="114"/>
      <c r="B245" s="114"/>
      <c r="C245" s="114"/>
      <c r="D245" s="114"/>
      <c r="E245" s="114"/>
      <c r="F245" s="114"/>
      <c r="G245" s="322"/>
      <c r="H245" s="114"/>
      <c r="I245" s="130"/>
      <c r="J245" s="114"/>
      <c r="K245" s="114"/>
      <c r="L245" s="130"/>
      <c r="M245" s="114"/>
      <c r="N245" s="130"/>
      <c r="O245" s="114"/>
      <c r="P245" s="165"/>
      <c r="Q245" s="114"/>
      <c r="R245" s="114"/>
      <c r="S245" s="114"/>
      <c r="T245" s="114"/>
      <c r="U245" s="114"/>
      <c r="V245" s="114"/>
      <c r="W245" s="130"/>
      <c r="X245" s="130"/>
      <c r="Y245" s="130"/>
      <c r="Z245" s="114"/>
      <c r="AA245" s="114"/>
      <c r="AB245" s="114"/>
      <c r="AC245" s="114"/>
      <c r="AD245" s="114"/>
      <c r="AE245" s="114"/>
      <c r="AF245" s="114"/>
      <c r="AG245" s="114"/>
      <c r="AH245" s="114"/>
      <c r="AI245" s="114"/>
      <c r="AJ245" s="114"/>
      <c r="AK245" s="114"/>
      <c r="AL245" s="114"/>
      <c r="AM245" s="114"/>
      <c r="AN245" s="114"/>
      <c r="AO245" s="114"/>
      <c r="AP245" s="130"/>
      <c r="AQ245" s="130"/>
    </row>
    <row r="246" ht="15.75" customHeight="1">
      <c r="A246" s="114"/>
      <c r="B246" s="114"/>
      <c r="C246" s="114"/>
      <c r="D246" s="114"/>
      <c r="E246" s="114"/>
      <c r="F246" s="114"/>
      <c r="G246" s="322"/>
      <c r="H246" s="114"/>
      <c r="I246" s="130"/>
      <c r="J246" s="114"/>
      <c r="K246" s="114"/>
      <c r="L246" s="130"/>
      <c r="M246" s="114"/>
      <c r="N246" s="130"/>
      <c r="O246" s="114"/>
      <c r="P246" s="165"/>
      <c r="Q246" s="114"/>
      <c r="R246" s="114"/>
      <c r="S246" s="114"/>
      <c r="T246" s="114"/>
      <c r="U246" s="114"/>
      <c r="V246" s="114"/>
      <c r="W246" s="130"/>
      <c r="X246" s="130"/>
      <c r="Y246" s="130"/>
      <c r="Z246" s="114"/>
      <c r="AA246" s="114"/>
      <c r="AB246" s="114"/>
      <c r="AC246" s="114"/>
      <c r="AD246" s="114"/>
      <c r="AE246" s="114"/>
      <c r="AF246" s="114"/>
      <c r="AG246" s="114"/>
      <c r="AH246" s="114"/>
      <c r="AI246" s="114"/>
      <c r="AJ246" s="114"/>
      <c r="AK246" s="114"/>
      <c r="AL246" s="114"/>
      <c r="AM246" s="114"/>
      <c r="AN246" s="114"/>
      <c r="AO246" s="114"/>
      <c r="AP246" s="130"/>
      <c r="AQ246" s="130"/>
    </row>
    <row r="247" ht="15.75" customHeight="1">
      <c r="A247" s="114"/>
      <c r="B247" s="114"/>
      <c r="C247" s="114"/>
      <c r="D247" s="114"/>
      <c r="E247" s="114"/>
      <c r="F247" s="114"/>
      <c r="G247" s="322"/>
      <c r="H247" s="114"/>
      <c r="I247" s="130"/>
      <c r="J247" s="114"/>
      <c r="K247" s="114"/>
      <c r="L247" s="130"/>
      <c r="M247" s="114"/>
      <c r="N247" s="130"/>
      <c r="O247" s="114"/>
      <c r="P247" s="165"/>
      <c r="Q247" s="114"/>
      <c r="R247" s="114"/>
      <c r="S247" s="114"/>
      <c r="T247" s="114"/>
      <c r="U247" s="114"/>
      <c r="V247" s="114"/>
      <c r="W247" s="130"/>
      <c r="X247" s="130"/>
      <c r="Y247" s="130"/>
      <c r="Z247" s="114"/>
      <c r="AA247" s="114"/>
      <c r="AB247" s="114"/>
      <c r="AC247" s="114"/>
      <c r="AD247" s="114"/>
      <c r="AE247" s="114"/>
      <c r="AF247" s="114"/>
      <c r="AG247" s="114"/>
      <c r="AH247" s="114"/>
      <c r="AI247" s="114"/>
      <c r="AJ247" s="114"/>
      <c r="AK247" s="114"/>
      <c r="AL247" s="114"/>
      <c r="AM247" s="114"/>
      <c r="AN247" s="114"/>
      <c r="AO247" s="114"/>
      <c r="AP247" s="130"/>
      <c r="AQ247" s="130"/>
    </row>
    <row r="248" ht="15.75" customHeight="1">
      <c r="A248" s="114"/>
      <c r="B248" s="114"/>
      <c r="C248" s="114"/>
      <c r="D248" s="114"/>
      <c r="E248" s="114"/>
      <c r="F248" s="114"/>
      <c r="G248" s="322"/>
      <c r="H248" s="114"/>
      <c r="I248" s="130"/>
      <c r="J248" s="114"/>
      <c r="K248" s="114"/>
      <c r="L248" s="130"/>
      <c r="M248" s="114"/>
      <c r="N248" s="130"/>
      <c r="O248" s="114"/>
      <c r="P248" s="165"/>
      <c r="Q248" s="114"/>
      <c r="R248" s="114"/>
      <c r="S248" s="114"/>
      <c r="T248" s="114"/>
      <c r="U248" s="114"/>
      <c r="V248" s="114"/>
      <c r="W248" s="130"/>
      <c r="X248" s="130"/>
      <c r="Y248" s="130"/>
      <c r="Z248" s="114"/>
      <c r="AA248" s="114"/>
      <c r="AB248" s="114"/>
      <c r="AC248" s="114"/>
      <c r="AD248" s="114"/>
      <c r="AE248" s="114"/>
      <c r="AF248" s="114"/>
      <c r="AG248" s="114"/>
      <c r="AH248" s="114"/>
      <c r="AI248" s="114"/>
      <c r="AJ248" s="114"/>
      <c r="AK248" s="114"/>
      <c r="AL248" s="114"/>
      <c r="AM248" s="114"/>
      <c r="AN248" s="114"/>
      <c r="AO248" s="114"/>
      <c r="AP248" s="130"/>
      <c r="AQ248" s="130"/>
    </row>
    <row r="249" ht="15.75" customHeight="1">
      <c r="A249" s="114"/>
      <c r="B249" s="114"/>
      <c r="C249" s="114"/>
      <c r="D249" s="114"/>
      <c r="E249" s="114"/>
      <c r="F249" s="114"/>
      <c r="G249" s="322"/>
      <c r="H249" s="114"/>
      <c r="I249" s="130"/>
      <c r="J249" s="114"/>
      <c r="K249" s="114"/>
      <c r="L249" s="130"/>
      <c r="M249" s="114"/>
      <c r="N249" s="130"/>
      <c r="O249" s="114"/>
      <c r="P249" s="165"/>
      <c r="Q249" s="114"/>
      <c r="R249" s="114"/>
      <c r="S249" s="114"/>
      <c r="T249" s="114"/>
      <c r="U249" s="114"/>
      <c r="V249" s="114"/>
      <c r="W249" s="130"/>
      <c r="X249" s="130"/>
      <c r="Y249" s="130"/>
      <c r="Z249" s="114"/>
      <c r="AA249" s="114"/>
      <c r="AB249" s="114"/>
      <c r="AC249" s="114"/>
      <c r="AD249" s="114"/>
      <c r="AE249" s="114"/>
      <c r="AF249" s="114"/>
      <c r="AG249" s="114"/>
      <c r="AH249" s="114"/>
      <c r="AI249" s="114"/>
      <c r="AJ249" s="114"/>
      <c r="AK249" s="114"/>
      <c r="AL249" s="114"/>
      <c r="AM249" s="114"/>
      <c r="AN249" s="114"/>
      <c r="AO249" s="114"/>
      <c r="AP249" s="130"/>
      <c r="AQ249" s="130"/>
    </row>
    <row r="250" ht="15.75" customHeight="1">
      <c r="A250" s="114"/>
      <c r="B250" s="114"/>
      <c r="C250" s="114"/>
      <c r="D250" s="114"/>
      <c r="E250" s="114"/>
      <c r="F250" s="114"/>
      <c r="G250" s="322"/>
      <c r="H250" s="114"/>
      <c r="I250" s="130"/>
      <c r="J250" s="114"/>
      <c r="K250" s="114"/>
      <c r="L250" s="130"/>
      <c r="M250" s="114"/>
      <c r="N250" s="130"/>
      <c r="O250" s="114"/>
      <c r="P250" s="165"/>
      <c r="Q250" s="114"/>
      <c r="R250" s="114"/>
      <c r="S250" s="114"/>
      <c r="T250" s="114"/>
      <c r="U250" s="114"/>
      <c r="V250" s="114"/>
      <c r="W250" s="130"/>
      <c r="X250" s="130"/>
      <c r="Y250" s="130"/>
      <c r="Z250" s="114"/>
      <c r="AA250" s="114"/>
      <c r="AB250" s="114"/>
      <c r="AC250" s="114"/>
      <c r="AD250" s="114"/>
      <c r="AE250" s="114"/>
      <c r="AF250" s="114"/>
      <c r="AG250" s="114"/>
      <c r="AH250" s="114"/>
      <c r="AI250" s="114"/>
      <c r="AJ250" s="114"/>
      <c r="AK250" s="114"/>
      <c r="AL250" s="114"/>
      <c r="AM250" s="114"/>
      <c r="AN250" s="114"/>
      <c r="AO250" s="114"/>
      <c r="AP250" s="130"/>
      <c r="AQ250" s="130"/>
    </row>
    <row r="251" ht="15.75" customHeight="1">
      <c r="A251" s="114"/>
      <c r="B251" s="114"/>
      <c r="C251" s="114"/>
      <c r="D251" s="114"/>
      <c r="E251" s="114"/>
      <c r="F251" s="114"/>
      <c r="G251" s="322"/>
      <c r="H251" s="114"/>
      <c r="I251" s="130"/>
      <c r="J251" s="114"/>
      <c r="K251" s="114"/>
      <c r="L251" s="130"/>
      <c r="M251" s="114"/>
      <c r="N251" s="130"/>
      <c r="O251" s="114"/>
      <c r="P251" s="165"/>
      <c r="Q251" s="114"/>
      <c r="R251" s="114"/>
      <c r="S251" s="114"/>
      <c r="T251" s="114"/>
      <c r="U251" s="114"/>
      <c r="V251" s="114"/>
      <c r="W251" s="130"/>
      <c r="X251" s="130"/>
      <c r="Y251" s="130"/>
      <c r="Z251" s="114"/>
      <c r="AA251" s="114"/>
      <c r="AB251" s="114"/>
      <c r="AC251" s="114"/>
      <c r="AD251" s="114"/>
      <c r="AE251" s="114"/>
      <c r="AF251" s="114"/>
      <c r="AG251" s="114"/>
      <c r="AH251" s="114"/>
      <c r="AI251" s="114"/>
      <c r="AJ251" s="114"/>
      <c r="AK251" s="114"/>
      <c r="AL251" s="114"/>
      <c r="AM251" s="114"/>
      <c r="AN251" s="114"/>
      <c r="AO251" s="114"/>
      <c r="AP251" s="130"/>
      <c r="AQ251" s="130"/>
    </row>
    <row r="252" ht="15.75" customHeight="1">
      <c r="A252" s="114"/>
      <c r="B252" s="114"/>
      <c r="C252" s="114"/>
      <c r="D252" s="114"/>
      <c r="E252" s="114"/>
      <c r="F252" s="114"/>
      <c r="G252" s="322"/>
      <c r="H252" s="114"/>
      <c r="I252" s="130"/>
      <c r="J252" s="114"/>
      <c r="K252" s="114"/>
      <c r="L252" s="130"/>
      <c r="M252" s="114"/>
      <c r="N252" s="130"/>
      <c r="O252" s="114"/>
      <c r="P252" s="165"/>
      <c r="Q252" s="114"/>
      <c r="R252" s="114"/>
      <c r="S252" s="114"/>
      <c r="T252" s="114"/>
      <c r="U252" s="114"/>
      <c r="V252" s="114"/>
      <c r="W252" s="130"/>
      <c r="X252" s="130"/>
      <c r="Y252" s="130"/>
      <c r="Z252" s="114"/>
      <c r="AA252" s="114"/>
      <c r="AB252" s="114"/>
      <c r="AC252" s="114"/>
      <c r="AD252" s="114"/>
      <c r="AE252" s="114"/>
      <c r="AF252" s="114"/>
      <c r="AG252" s="114"/>
      <c r="AH252" s="114"/>
      <c r="AI252" s="114"/>
      <c r="AJ252" s="114"/>
      <c r="AK252" s="114"/>
      <c r="AL252" s="114"/>
      <c r="AM252" s="114"/>
      <c r="AN252" s="114"/>
      <c r="AO252" s="114"/>
      <c r="AP252" s="130"/>
      <c r="AQ252" s="130"/>
    </row>
    <row r="253" ht="15.75" customHeight="1">
      <c r="A253" s="114"/>
      <c r="B253" s="114"/>
      <c r="C253" s="114"/>
      <c r="D253" s="114"/>
      <c r="E253" s="114"/>
      <c r="F253" s="114"/>
      <c r="G253" s="322"/>
      <c r="H253" s="114"/>
      <c r="I253" s="130"/>
      <c r="J253" s="114"/>
      <c r="K253" s="114"/>
      <c r="L253" s="130"/>
      <c r="M253" s="114"/>
      <c r="N253" s="130"/>
      <c r="O253" s="114"/>
      <c r="P253" s="165"/>
      <c r="Q253" s="114"/>
      <c r="R253" s="114"/>
      <c r="S253" s="114"/>
      <c r="T253" s="114"/>
      <c r="U253" s="114"/>
      <c r="V253" s="114"/>
      <c r="W253" s="130"/>
      <c r="X253" s="130"/>
      <c r="Y253" s="130"/>
      <c r="Z253" s="114"/>
      <c r="AA253" s="114"/>
      <c r="AB253" s="114"/>
      <c r="AC253" s="114"/>
      <c r="AD253" s="114"/>
      <c r="AE253" s="114"/>
      <c r="AF253" s="114"/>
      <c r="AG253" s="114"/>
      <c r="AH253" s="114"/>
      <c r="AI253" s="114"/>
      <c r="AJ253" s="114"/>
      <c r="AK253" s="114"/>
      <c r="AL253" s="114"/>
      <c r="AM253" s="114"/>
      <c r="AN253" s="114"/>
      <c r="AO253" s="114"/>
      <c r="AP253" s="130"/>
      <c r="AQ253" s="130"/>
    </row>
    <row r="254" ht="15.75" customHeight="1">
      <c r="A254" s="114"/>
      <c r="B254" s="114"/>
      <c r="C254" s="114"/>
      <c r="D254" s="114"/>
      <c r="E254" s="114"/>
      <c r="F254" s="114"/>
      <c r="G254" s="322"/>
      <c r="H254" s="114"/>
      <c r="I254" s="130"/>
      <c r="J254" s="114"/>
      <c r="K254" s="114"/>
      <c r="L254" s="130"/>
      <c r="M254" s="114"/>
      <c r="N254" s="130"/>
      <c r="O254" s="114"/>
      <c r="P254" s="165"/>
      <c r="Q254" s="114"/>
      <c r="R254" s="114"/>
      <c r="S254" s="114"/>
      <c r="T254" s="114"/>
      <c r="U254" s="114"/>
      <c r="V254" s="114"/>
      <c r="W254" s="130"/>
      <c r="X254" s="130"/>
      <c r="Y254" s="130"/>
      <c r="Z254" s="114"/>
      <c r="AA254" s="114"/>
      <c r="AB254" s="114"/>
      <c r="AC254" s="114"/>
      <c r="AD254" s="114"/>
      <c r="AE254" s="114"/>
      <c r="AF254" s="114"/>
      <c r="AG254" s="114"/>
      <c r="AH254" s="114"/>
      <c r="AI254" s="114"/>
      <c r="AJ254" s="114"/>
      <c r="AK254" s="114"/>
      <c r="AL254" s="114"/>
      <c r="AM254" s="114"/>
      <c r="AN254" s="114"/>
      <c r="AO254" s="114"/>
      <c r="AP254" s="130"/>
      <c r="AQ254" s="130"/>
    </row>
    <row r="255" ht="15.75" customHeight="1">
      <c r="A255" s="114"/>
      <c r="B255" s="114"/>
      <c r="C255" s="114"/>
      <c r="D255" s="114"/>
      <c r="E255" s="114"/>
      <c r="F255" s="114"/>
      <c r="G255" s="322"/>
      <c r="H255" s="114"/>
      <c r="I255" s="130"/>
      <c r="J255" s="114"/>
      <c r="K255" s="114"/>
      <c r="L255" s="130"/>
      <c r="M255" s="114"/>
      <c r="N255" s="130"/>
      <c r="O255" s="114"/>
      <c r="P255" s="165"/>
      <c r="Q255" s="114"/>
      <c r="R255" s="114"/>
      <c r="S255" s="114"/>
      <c r="T255" s="114"/>
      <c r="U255" s="114"/>
      <c r="V255" s="114"/>
      <c r="W255" s="130"/>
      <c r="X255" s="130"/>
      <c r="Y255" s="130"/>
      <c r="Z255" s="114"/>
      <c r="AA255" s="114"/>
      <c r="AB255" s="114"/>
      <c r="AC255" s="114"/>
      <c r="AD255" s="114"/>
      <c r="AE255" s="114"/>
      <c r="AF255" s="114"/>
      <c r="AG255" s="114"/>
      <c r="AH255" s="114"/>
      <c r="AI255" s="114"/>
      <c r="AJ255" s="114"/>
      <c r="AK255" s="114"/>
      <c r="AL255" s="114"/>
      <c r="AM255" s="114"/>
      <c r="AN255" s="114"/>
      <c r="AO255" s="114"/>
      <c r="AP255" s="130"/>
      <c r="AQ255" s="130"/>
    </row>
    <row r="256" ht="15.75" customHeight="1">
      <c r="A256" s="114"/>
      <c r="B256" s="114"/>
      <c r="C256" s="114"/>
      <c r="D256" s="114"/>
      <c r="E256" s="114"/>
      <c r="F256" s="114"/>
      <c r="G256" s="322"/>
      <c r="H256" s="114"/>
      <c r="I256" s="130"/>
      <c r="J256" s="114"/>
      <c r="K256" s="114"/>
      <c r="L256" s="130"/>
      <c r="M256" s="114"/>
      <c r="N256" s="130"/>
      <c r="O256" s="114"/>
      <c r="P256" s="165"/>
      <c r="Q256" s="114"/>
      <c r="R256" s="114"/>
      <c r="S256" s="114"/>
      <c r="T256" s="114"/>
      <c r="U256" s="114"/>
      <c r="V256" s="114"/>
      <c r="W256" s="130"/>
      <c r="X256" s="130"/>
      <c r="Y256" s="130"/>
      <c r="Z256" s="114"/>
      <c r="AA256" s="114"/>
      <c r="AB256" s="114"/>
      <c r="AC256" s="114"/>
      <c r="AD256" s="114"/>
      <c r="AE256" s="114"/>
      <c r="AF256" s="114"/>
      <c r="AG256" s="114"/>
      <c r="AH256" s="114"/>
      <c r="AI256" s="114"/>
      <c r="AJ256" s="114"/>
      <c r="AK256" s="114"/>
      <c r="AL256" s="114"/>
      <c r="AM256" s="114"/>
      <c r="AN256" s="114"/>
      <c r="AO256" s="114"/>
      <c r="AP256" s="130"/>
      <c r="AQ256" s="130"/>
    </row>
    <row r="257" ht="15.75" customHeight="1">
      <c r="A257" s="114"/>
      <c r="B257" s="114"/>
      <c r="C257" s="114"/>
      <c r="D257" s="114"/>
      <c r="E257" s="114"/>
      <c r="F257" s="114"/>
      <c r="G257" s="322"/>
      <c r="H257" s="114"/>
      <c r="I257" s="130"/>
      <c r="J257" s="114"/>
      <c r="K257" s="114"/>
      <c r="L257" s="130"/>
      <c r="M257" s="114"/>
      <c r="N257" s="130"/>
      <c r="O257" s="114"/>
      <c r="P257" s="165"/>
      <c r="Q257" s="114"/>
      <c r="R257" s="114"/>
      <c r="S257" s="114"/>
      <c r="T257" s="114"/>
      <c r="U257" s="114"/>
      <c r="V257" s="114"/>
      <c r="W257" s="130"/>
      <c r="X257" s="130"/>
      <c r="Y257" s="130"/>
      <c r="Z257" s="114"/>
      <c r="AA257" s="114"/>
      <c r="AB257" s="114"/>
      <c r="AC257" s="114"/>
      <c r="AD257" s="114"/>
      <c r="AE257" s="114"/>
      <c r="AF257" s="114"/>
      <c r="AG257" s="114"/>
      <c r="AH257" s="114"/>
      <c r="AI257" s="114"/>
      <c r="AJ257" s="114"/>
      <c r="AK257" s="114"/>
      <c r="AL257" s="114"/>
      <c r="AM257" s="114"/>
      <c r="AN257" s="114"/>
      <c r="AO257" s="114"/>
      <c r="AP257" s="130"/>
      <c r="AQ257" s="130"/>
    </row>
    <row r="258" ht="15.75" customHeight="1">
      <c r="A258" s="114"/>
      <c r="B258" s="114"/>
      <c r="C258" s="114"/>
      <c r="D258" s="114"/>
      <c r="E258" s="114"/>
      <c r="F258" s="114"/>
      <c r="G258" s="322"/>
      <c r="H258" s="114"/>
      <c r="I258" s="130"/>
      <c r="J258" s="114"/>
      <c r="K258" s="114"/>
      <c r="L258" s="130"/>
      <c r="M258" s="114"/>
      <c r="N258" s="130"/>
      <c r="O258" s="114"/>
      <c r="P258" s="165"/>
      <c r="Q258" s="114"/>
      <c r="R258" s="114"/>
      <c r="S258" s="114"/>
      <c r="T258" s="114"/>
      <c r="U258" s="114"/>
      <c r="V258" s="114"/>
      <c r="W258" s="130"/>
      <c r="X258" s="130"/>
      <c r="Y258" s="130"/>
      <c r="Z258" s="114"/>
      <c r="AA258" s="114"/>
      <c r="AB258" s="114"/>
      <c r="AC258" s="114"/>
      <c r="AD258" s="114"/>
      <c r="AE258" s="114"/>
      <c r="AF258" s="114"/>
      <c r="AG258" s="114"/>
      <c r="AH258" s="114"/>
      <c r="AI258" s="114"/>
      <c r="AJ258" s="114"/>
      <c r="AK258" s="114"/>
      <c r="AL258" s="114"/>
      <c r="AM258" s="114"/>
      <c r="AN258" s="114"/>
      <c r="AO258" s="114"/>
      <c r="AP258" s="130"/>
      <c r="AQ258" s="130"/>
    </row>
    <row r="259" ht="15.75" customHeight="1">
      <c r="A259" s="114"/>
      <c r="B259" s="114"/>
      <c r="C259" s="114"/>
      <c r="D259" s="114"/>
      <c r="E259" s="114"/>
      <c r="F259" s="114"/>
      <c r="G259" s="322"/>
      <c r="H259" s="114"/>
      <c r="I259" s="130"/>
      <c r="J259" s="114"/>
      <c r="K259" s="114"/>
      <c r="L259" s="130"/>
      <c r="M259" s="114"/>
      <c r="N259" s="130"/>
      <c r="O259" s="114"/>
      <c r="P259" s="165"/>
      <c r="Q259" s="114"/>
      <c r="R259" s="114"/>
      <c r="S259" s="114"/>
      <c r="T259" s="114"/>
      <c r="U259" s="114"/>
      <c r="V259" s="114"/>
      <c r="W259" s="130"/>
      <c r="X259" s="130"/>
      <c r="Y259" s="130"/>
      <c r="Z259" s="114"/>
      <c r="AA259" s="114"/>
      <c r="AB259" s="114"/>
      <c r="AC259" s="114"/>
      <c r="AD259" s="114"/>
      <c r="AE259" s="114"/>
      <c r="AF259" s="114"/>
      <c r="AG259" s="114"/>
      <c r="AH259" s="114"/>
      <c r="AI259" s="114"/>
      <c r="AJ259" s="114"/>
      <c r="AK259" s="114"/>
      <c r="AL259" s="114"/>
      <c r="AM259" s="114"/>
      <c r="AN259" s="114"/>
      <c r="AO259" s="114"/>
      <c r="AP259" s="130"/>
      <c r="AQ259" s="130"/>
    </row>
    <row r="260" ht="15.75" customHeight="1">
      <c r="A260" s="114"/>
      <c r="B260" s="114"/>
      <c r="C260" s="114"/>
      <c r="D260" s="114"/>
      <c r="E260" s="114"/>
      <c r="F260" s="114"/>
      <c r="G260" s="322"/>
      <c r="H260" s="114"/>
      <c r="I260" s="130"/>
      <c r="J260" s="114"/>
      <c r="K260" s="114"/>
      <c r="L260" s="130"/>
      <c r="M260" s="114"/>
      <c r="N260" s="130"/>
      <c r="O260" s="114"/>
      <c r="P260" s="165"/>
      <c r="Q260" s="114"/>
      <c r="R260" s="114"/>
      <c r="S260" s="114"/>
      <c r="T260" s="114"/>
      <c r="U260" s="114"/>
      <c r="V260" s="114"/>
      <c r="W260" s="130"/>
      <c r="X260" s="130"/>
      <c r="Y260" s="130"/>
      <c r="Z260" s="114"/>
      <c r="AA260" s="114"/>
      <c r="AB260" s="114"/>
      <c r="AC260" s="114"/>
      <c r="AD260" s="114"/>
      <c r="AE260" s="114"/>
      <c r="AF260" s="114"/>
      <c r="AG260" s="114"/>
      <c r="AH260" s="114"/>
      <c r="AI260" s="114"/>
      <c r="AJ260" s="114"/>
      <c r="AK260" s="114"/>
      <c r="AL260" s="114"/>
      <c r="AM260" s="114"/>
      <c r="AN260" s="114"/>
      <c r="AO260" s="114"/>
      <c r="AP260" s="130"/>
      <c r="AQ260" s="130"/>
    </row>
    <row r="261" ht="15.75" customHeight="1">
      <c r="A261" s="114"/>
      <c r="B261" s="114"/>
      <c r="C261" s="114"/>
      <c r="D261" s="114"/>
      <c r="E261" s="114"/>
      <c r="F261" s="114"/>
      <c r="G261" s="322"/>
      <c r="H261" s="114"/>
      <c r="I261" s="130"/>
      <c r="J261" s="114"/>
      <c r="K261" s="114"/>
      <c r="L261" s="130"/>
      <c r="M261" s="114"/>
      <c r="N261" s="130"/>
      <c r="O261" s="114"/>
      <c r="P261" s="165"/>
      <c r="Q261" s="114"/>
      <c r="R261" s="114"/>
      <c r="S261" s="114"/>
      <c r="T261" s="114"/>
      <c r="U261" s="114"/>
      <c r="V261" s="114"/>
      <c r="W261" s="130"/>
      <c r="X261" s="130"/>
      <c r="Y261" s="130"/>
      <c r="Z261" s="114"/>
      <c r="AA261" s="114"/>
      <c r="AB261" s="114"/>
      <c r="AC261" s="114"/>
      <c r="AD261" s="114"/>
      <c r="AE261" s="114"/>
      <c r="AF261" s="114"/>
      <c r="AG261" s="114"/>
      <c r="AH261" s="114"/>
      <c r="AI261" s="114"/>
      <c r="AJ261" s="114"/>
      <c r="AK261" s="114"/>
      <c r="AL261" s="114"/>
      <c r="AM261" s="114"/>
      <c r="AN261" s="114"/>
      <c r="AO261" s="114"/>
      <c r="AP261" s="130"/>
      <c r="AQ261" s="130"/>
    </row>
    <row r="262" ht="15.75" customHeight="1">
      <c r="A262" s="114"/>
      <c r="B262" s="114"/>
      <c r="C262" s="114"/>
      <c r="D262" s="114"/>
      <c r="E262" s="114"/>
      <c r="F262" s="114"/>
      <c r="G262" s="322"/>
      <c r="H262" s="114"/>
      <c r="I262" s="130"/>
      <c r="J262" s="114"/>
      <c r="K262" s="114"/>
      <c r="L262" s="130"/>
      <c r="M262" s="114"/>
      <c r="N262" s="130"/>
      <c r="O262" s="114"/>
      <c r="P262" s="165"/>
      <c r="Q262" s="114"/>
      <c r="R262" s="114"/>
      <c r="S262" s="114"/>
      <c r="T262" s="114"/>
      <c r="U262" s="114"/>
      <c r="V262" s="114"/>
      <c r="W262" s="130"/>
      <c r="X262" s="130"/>
      <c r="Y262" s="130"/>
      <c r="Z262" s="114"/>
      <c r="AA262" s="114"/>
      <c r="AB262" s="114"/>
      <c r="AC262" s="114"/>
      <c r="AD262" s="114"/>
      <c r="AE262" s="114"/>
      <c r="AF262" s="114"/>
      <c r="AG262" s="114"/>
      <c r="AH262" s="114"/>
      <c r="AI262" s="114"/>
      <c r="AJ262" s="114"/>
      <c r="AK262" s="114"/>
      <c r="AL262" s="114"/>
      <c r="AM262" s="114"/>
      <c r="AN262" s="114"/>
      <c r="AO262" s="114"/>
      <c r="AP262" s="130"/>
      <c r="AQ262" s="130"/>
    </row>
    <row r="263" ht="15.75" customHeight="1">
      <c r="A263" s="114"/>
      <c r="B263" s="114"/>
      <c r="C263" s="114"/>
      <c r="D263" s="114"/>
      <c r="E263" s="114"/>
      <c r="F263" s="114"/>
      <c r="G263" s="322"/>
      <c r="H263" s="114"/>
      <c r="I263" s="130"/>
      <c r="J263" s="114"/>
      <c r="K263" s="114"/>
      <c r="L263" s="130"/>
      <c r="M263" s="114"/>
      <c r="N263" s="130"/>
      <c r="O263" s="114"/>
      <c r="P263" s="165"/>
      <c r="Q263" s="114"/>
      <c r="R263" s="114"/>
      <c r="S263" s="114"/>
      <c r="T263" s="114"/>
      <c r="U263" s="114"/>
      <c r="V263" s="114"/>
      <c r="W263" s="130"/>
      <c r="X263" s="130"/>
      <c r="Y263" s="130"/>
      <c r="Z263" s="114"/>
      <c r="AA263" s="114"/>
      <c r="AB263" s="114"/>
      <c r="AC263" s="114"/>
      <c r="AD263" s="114"/>
      <c r="AE263" s="114"/>
      <c r="AF263" s="114"/>
      <c r="AG263" s="114"/>
      <c r="AH263" s="114"/>
      <c r="AI263" s="114"/>
      <c r="AJ263" s="114"/>
      <c r="AK263" s="114"/>
      <c r="AL263" s="114"/>
      <c r="AM263" s="114"/>
      <c r="AN263" s="114"/>
      <c r="AO263" s="114"/>
      <c r="AP263" s="130"/>
      <c r="AQ263" s="130"/>
    </row>
    <row r="264" ht="15.75" customHeight="1">
      <c r="A264" s="114"/>
      <c r="B264" s="114"/>
      <c r="C264" s="114"/>
      <c r="D264" s="114"/>
      <c r="E264" s="114"/>
      <c r="F264" s="114"/>
      <c r="G264" s="322"/>
      <c r="H264" s="114"/>
      <c r="I264" s="130"/>
      <c r="J264" s="114"/>
      <c r="K264" s="114"/>
      <c r="L264" s="130"/>
      <c r="M264" s="114"/>
      <c r="N264" s="130"/>
      <c r="O264" s="114"/>
      <c r="P264" s="165"/>
      <c r="Q264" s="114"/>
      <c r="R264" s="114"/>
      <c r="S264" s="114"/>
      <c r="T264" s="114"/>
      <c r="U264" s="114"/>
      <c r="V264" s="114"/>
      <c r="W264" s="130"/>
      <c r="X264" s="130"/>
      <c r="Y264" s="130"/>
      <c r="Z264" s="114"/>
      <c r="AA264" s="114"/>
      <c r="AB264" s="114"/>
      <c r="AC264" s="114"/>
      <c r="AD264" s="114"/>
      <c r="AE264" s="114"/>
      <c r="AF264" s="114"/>
      <c r="AG264" s="114"/>
      <c r="AH264" s="114"/>
      <c r="AI264" s="114"/>
      <c r="AJ264" s="114"/>
      <c r="AK264" s="114"/>
      <c r="AL264" s="114"/>
      <c r="AM264" s="114"/>
      <c r="AN264" s="114"/>
      <c r="AO264" s="114"/>
      <c r="AP264" s="130"/>
      <c r="AQ264" s="130"/>
    </row>
    <row r="265" ht="15.75" customHeight="1">
      <c r="A265" s="114"/>
      <c r="B265" s="114"/>
      <c r="C265" s="114"/>
      <c r="D265" s="114"/>
      <c r="E265" s="114"/>
      <c r="F265" s="114"/>
      <c r="G265" s="322"/>
      <c r="H265" s="114"/>
      <c r="I265" s="130"/>
      <c r="J265" s="114"/>
      <c r="K265" s="114"/>
      <c r="L265" s="130"/>
      <c r="M265" s="114"/>
      <c r="N265" s="130"/>
      <c r="O265" s="114"/>
      <c r="P265" s="165"/>
      <c r="Q265" s="114"/>
      <c r="R265" s="114"/>
      <c r="S265" s="114"/>
      <c r="T265" s="114"/>
      <c r="U265" s="114"/>
      <c r="V265" s="114"/>
      <c r="W265" s="130"/>
      <c r="X265" s="130"/>
      <c r="Y265" s="130"/>
      <c r="Z265" s="114"/>
      <c r="AA265" s="114"/>
      <c r="AB265" s="114"/>
      <c r="AC265" s="114"/>
      <c r="AD265" s="114"/>
      <c r="AE265" s="114"/>
      <c r="AF265" s="114"/>
      <c r="AG265" s="114"/>
      <c r="AH265" s="114"/>
      <c r="AI265" s="114"/>
      <c r="AJ265" s="114"/>
      <c r="AK265" s="114"/>
      <c r="AL265" s="114"/>
      <c r="AM265" s="114"/>
      <c r="AN265" s="114"/>
      <c r="AO265" s="114"/>
      <c r="AP265" s="130"/>
      <c r="AQ265" s="130"/>
    </row>
    <row r="266" ht="15.75" customHeight="1">
      <c r="A266" s="114"/>
      <c r="B266" s="114"/>
      <c r="C266" s="114"/>
      <c r="D266" s="114"/>
      <c r="E266" s="114"/>
      <c r="F266" s="114"/>
      <c r="G266" s="322"/>
      <c r="H266" s="114"/>
      <c r="I266" s="130"/>
      <c r="J266" s="114"/>
      <c r="K266" s="114"/>
      <c r="L266" s="130"/>
      <c r="M266" s="114"/>
      <c r="N266" s="130"/>
      <c r="O266" s="114"/>
      <c r="P266" s="165"/>
      <c r="Q266" s="114"/>
      <c r="R266" s="114"/>
      <c r="S266" s="114"/>
      <c r="T266" s="114"/>
      <c r="U266" s="114"/>
      <c r="V266" s="114"/>
      <c r="W266" s="130"/>
      <c r="X266" s="130"/>
      <c r="Y266" s="130"/>
      <c r="Z266" s="114"/>
      <c r="AA266" s="114"/>
      <c r="AB266" s="114"/>
      <c r="AC266" s="114"/>
      <c r="AD266" s="114"/>
      <c r="AE266" s="114"/>
      <c r="AF266" s="114"/>
      <c r="AG266" s="114"/>
      <c r="AH266" s="114"/>
      <c r="AI266" s="114"/>
      <c r="AJ266" s="114"/>
      <c r="AK266" s="114"/>
      <c r="AL266" s="114"/>
      <c r="AM266" s="114"/>
      <c r="AN266" s="114"/>
      <c r="AO266" s="114"/>
      <c r="AP266" s="130"/>
      <c r="AQ266" s="130"/>
    </row>
    <row r="267" ht="15.75" customHeight="1">
      <c r="A267" s="114"/>
      <c r="B267" s="114"/>
      <c r="C267" s="114"/>
      <c r="D267" s="114"/>
      <c r="E267" s="114"/>
      <c r="F267" s="114"/>
      <c r="G267" s="322"/>
      <c r="H267" s="114"/>
      <c r="I267" s="130"/>
      <c r="J267" s="114"/>
      <c r="K267" s="114"/>
      <c r="L267" s="130"/>
      <c r="M267" s="114"/>
      <c r="N267" s="130"/>
      <c r="O267" s="114"/>
      <c r="P267" s="165"/>
      <c r="Q267" s="114"/>
      <c r="R267" s="114"/>
      <c r="S267" s="114"/>
      <c r="T267" s="114"/>
      <c r="U267" s="114"/>
      <c r="V267" s="114"/>
      <c r="W267" s="130"/>
      <c r="X267" s="130"/>
      <c r="Y267" s="130"/>
      <c r="Z267" s="114"/>
      <c r="AA267" s="114"/>
      <c r="AB267" s="114"/>
      <c r="AC267" s="114"/>
      <c r="AD267" s="114"/>
      <c r="AE267" s="114"/>
      <c r="AF267" s="114"/>
      <c r="AG267" s="114"/>
      <c r="AH267" s="114"/>
      <c r="AI267" s="114"/>
      <c r="AJ267" s="114"/>
      <c r="AK267" s="114"/>
      <c r="AL267" s="114"/>
      <c r="AM267" s="114"/>
      <c r="AN267" s="114"/>
      <c r="AO267" s="114"/>
      <c r="AP267" s="130"/>
      <c r="AQ267" s="130"/>
    </row>
    <row r="268" ht="15.75" customHeight="1">
      <c r="A268" s="114"/>
      <c r="B268" s="114"/>
      <c r="C268" s="114"/>
      <c r="D268" s="114"/>
      <c r="E268" s="114"/>
      <c r="F268" s="114"/>
      <c r="G268" s="322"/>
      <c r="H268" s="114"/>
      <c r="I268" s="130"/>
      <c r="J268" s="114"/>
      <c r="K268" s="114"/>
      <c r="L268" s="130"/>
      <c r="M268" s="114"/>
      <c r="N268" s="130"/>
      <c r="O268" s="114"/>
      <c r="P268" s="165"/>
      <c r="Q268" s="114"/>
      <c r="R268" s="114"/>
      <c r="S268" s="114"/>
      <c r="T268" s="114"/>
      <c r="U268" s="114"/>
      <c r="V268" s="114"/>
      <c r="W268" s="130"/>
      <c r="X268" s="130"/>
      <c r="Y268" s="130"/>
      <c r="Z268" s="114"/>
      <c r="AA268" s="114"/>
      <c r="AB268" s="114"/>
      <c r="AC268" s="114"/>
      <c r="AD268" s="114"/>
      <c r="AE268" s="114"/>
      <c r="AF268" s="114"/>
      <c r="AG268" s="114"/>
      <c r="AH268" s="114"/>
      <c r="AI268" s="114"/>
      <c r="AJ268" s="114"/>
      <c r="AK268" s="114"/>
      <c r="AL268" s="114"/>
      <c r="AM268" s="114"/>
      <c r="AN268" s="114"/>
      <c r="AO268" s="114"/>
      <c r="AP268" s="130"/>
      <c r="AQ268" s="130"/>
    </row>
    <row r="269" ht="15.75" customHeight="1">
      <c r="A269" s="114"/>
      <c r="B269" s="114"/>
      <c r="C269" s="114"/>
      <c r="D269" s="114"/>
      <c r="E269" s="114"/>
      <c r="F269" s="114"/>
      <c r="G269" s="322"/>
      <c r="H269" s="114"/>
      <c r="I269" s="130"/>
      <c r="J269" s="114"/>
      <c r="K269" s="114"/>
      <c r="L269" s="130"/>
      <c r="M269" s="114"/>
      <c r="N269" s="130"/>
      <c r="O269" s="114"/>
      <c r="P269" s="165"/>
      <c r="Q269" s="114"/>
      <c r="R269" s="114"/>
      <c r="S269" s="114"/>
      <c r="T269" s="114"/>
      <c r="U269" s="114"/>
      <c r="V269" s="114"/>
      <c r="W269" s="130"/>
      <c r="X269" s="130"/>
      <c r="Y269" s="130"/>
      <c r="Z269" s="114"/>
      <c r="AA269" s="114"/>
      <c r="AB269" s="114"/>
      <c r="AC269" s="114"/>
      <c r="AD269" s="114"/>
      <c r="AE269" s="114"/>
      <c r="AF269" s="114"/>
      <c r="AG269" s="114"/>
      <c r="AH269" s="114"/>
      <c r="AI269" s="114"/>
      <c r="AJ269" s="114"/>
      <c r="AK269" s="114"/>
      <c r="AL269" s="114"/>
      <c r="AM269" s="114"/>
      <c r="AN269" s="114"/>
      <c r="AO269" s="114"/>
      <c r="AP269" s="130"/>
      <c r="AQ269" s="130"/>
    </row>
    <row r="270" ht="15.75" customHeight="1">
      <c r="A270" s="114"/>
      <c r="B270" s="114"/>
      <c r="C270" s="114"/>
      <c r="D270" s="114"/>
      <c r="E270" s="114"/>
      <c r="F270" s="114"/>
      <c r="G270" s="322"/>
      <c r="H270" s="114"/>
      <c r="I270" s="130"/>
      <c r="J270" s="114"/>
      <c r="K270" s="114"/>
      <c r="L270" s="130"/>
      <c r="M270" s="114"/>
      <c r="N270" s="130"/>
      <c r="O270" s="114"/>
      <c r="P270" s="165"/>
      <c r="Q270" s="114"/>
      <c r="R270" s="114"/>
      <c r="S270" s="114"/>
      <c r="T270" s="114"/>
      <c r="U270" s="114"/>
      <c r="V270" s="114"/>
      <c r="W270" s="130"/>
      <c r="X270" s="130"/>
      <c r="Y270" s="130"/>
      <c r="Z270" s="114"/>
      <c r="AA270" s="114"/>
      <c r="AB270" s="114"/>
      <c r="AC270" s="114"/>
      <c r="AD270" s="114"/>
      <c r="AE270" s="114"/>
      <c r="AF270" s="114"/>
      <c r="AG270" s="114"/>
      <c r="AH270" s="114"/>
      <c r="AI270" s="114"/>
      <c r="AJ270" s="114"/>
      <c r="AK270" s="114"/>
      <c r="AL270" s="114"/>
      <c r="AM270" s="114"/>
      <c r="AN270" s="114"/>
      <c r="AO270" s="114"/>
      <c r="AP270" s="130"/>
      <c r="AQ270" s="130"/>
    </row>
    <row r="271" ht="15.75" customHeight="1">
      <c r="A271" s="114"/>
      <c r="B271" s="114"/>
      <c r="C271" s="114"/>
      <c r="D271" s="114"/>
      <c r="E271" s="114"/>
      <c r="F271" s="114"/>
      <c r="G271" s="322"/>
      <c r="H271" s="114"/>
      <c r="I271" s="130"/>
      <c r="J271" s="114"/>
      <c r="K271" s="114"/>
      <c r="L271" s="130"/>
      <c r="M271" s="114"/>
      <c r="N271" s="130"/>
      <c r="O271" s="114"/>
      <c r="P271" s="165"/>
      <c r="Q271" s="114"/>
      <c r="R271" s="114"/>
      <c r="S271" s="114"/>
      <c r="T271" s="114"/>
      <c r="U271" s="114"/>
      <c r="V271" s="114"/>
      <c r="W271" s="130"/>
      <c r="X271" s="130"/>
      <c r="Y271" s="130"/>
      <c r="Z271" s="114"/>
      <c r="AA271" s="114"/>
      <c r="AB271" s="114"/>
      <c r="AC271" s="114"/>
      <c r="AD271" s="114"/>
      <c r="AE271" s="114"/>
      <c r="AF271" s="114"/>
      <c r="AG271" s="114"/>
      <c r="AH271" s="114"/>
      <c r="AI271" s="114"/>
      <c r="AJ271" s="114"/>
      <c r="AK271" s="114"/>
      <c r="AL271" s="114"/>
      <c r="AM271" s="114"/>
      <c r="AN271" s="114"/>
      <c r="AO271" s="114"/>
      <c r="AP271" s="130"/>
      <c r="AQ271" s="130"/>
    </row>
    <row r="272" ht="15.75" customHeight="1">
      <c r="A272" s="114"/>
      <c r="B272" s="114"/>
      <c r="C272" s="114"/>
      <c r="D272" s="114"/>
      <c r="E272" s="114"/>
      <c r="F272" s="114"/>
      <c r="G272" s="322"/>
      <c r="H272" s="114"/>
      <c r="I272" s="130"/>
      <c r="J272" s="114"/>
      <c r="K272" s="114"/>
      <c r="L272" s="130"/>
      <c r="M272" s="114"/>
      <c r="N272" s="130"/>
      <c r="O272" s="114"/>
      <c r="P272" s="165"/>
      <c r="Q272" s="114"/>
      <c r="R272" s="114"/>
      <c r="S272" s="114"/>
      <c r="T272" s="114"/>
      <c r="U272" s="114"/>
      <c r="V272" s="114"/>
      <c r="W272" s="130"/>
      <c r="X272" s="130"/>
      <c r="Y272" s="130"/>
      <c r="Z272" s="114"/>
      <c r="AA272" s="114"/>
      <c r="AB272" s="114"/>
      <c r="AC272" s="114"/>
      <c r="AD272" s="114"/>
      <c r="AE272" s="114"/>
      <c r="AF272" s="114"/>
      <c r="AG272" s="114"/>
      <c r="AH272" s="114"/>
      <c r="AI272" s="114"/>
      <c r="AJ272" s="114"/>
      <c r="AK272" s="114"/>
      <c r="AL272" s="114"/>
      <c r="AM272" s="114"/>
      <c r="AN272" s="114"/>
      <c r="AO272" s="114"/>
      <c r="AP272" s="130"/>
      <c r="AQ272" s="130"/>
    </row>
    <row r="273" ht="15.75" customHeight="1">
      <c r="A273" s="114"/>
      <c r="B273" s="114"/>
      <c r="C273" s="114"/>
      <c r="D273" s="114"/>
      <c r="E273" s="114"/>
      <c r="F273" s="114"/>
      <c r="G273" s="322"/>
      <c r="H273" s="114"/>
      <c r="I273" s="130"/>
      <c r="J273" s="114"/>
      <c r="K273" s="114"/>
      <c r="L273" s="130"/>
      <c r="M273" s="114"/>
      <c r="N273" s="130"/>
      <c r="O273" s="114"/>
      <c r="P273" s="165"/>
      <c r="Q273" s="114"/>
      <c r="R273" s="114"/>
      <c r="S273" s="114"/>
      <c r="T273" s="114"/>
      <c r="U273" s="114"/>
      <c r="V273" s="114"/>
      <c r="W273" s="130"/>
      <c r="X273" s="130"/>
      <c r="Y273" s="130"/>
      <c r="Z273" s="114"/>
      <c r="AA273" s="114"/>
      <c r="AB273" s="114"/>
      <c r="AC273" s="114"/>
      <c r="AD273" s="114"/>
      <c r="AE273" s="114"/>
      <c r="AF273" s="114"/>
      <c r="AG273" s="114"/>
      <c r="AH273" s="114"/>
      <c r="AI273" s="114"/>
      <c r="AJ273" s="114"/>
      <c r="AK273" s="114"/>
      <c r="AL273" s="114"/>
      <c r="AM273" s="114"/>
      <c r="AN273" s="114"/>
      <c r="AO273" s="114"/>
      <c r="AP273" s="130"/>
      <c r="AQ273" s="130"/>
    </row>
    <row r="274" ht="15.75" customHeight="1">
      <c r="A274" s="114"/>
      <c r="B274" s="114"/>
      <c r="C274" s="114"/>
      <c r="D274" s="114"/>
      <c r="E274" s="114"/>
      <c r="F274" s="114"/>
      <c r="G274" s="322"/>
      <c r="H274" s="114"/>
      <c r="I274" s="130"/>
      <c r="J274" s="114"/>
      <c r="K274" s="114"/>
      <c r="L274" s="130"/>
      <c r="M274" s="114"/>
      <c r="N274" s="130"/>
      <c r="O274" s="114"/>
      <c r="P274" s="165"/>
      <c r="Q274" s="114"/>
      <c r="R274" s="114"/>
      <c r="S274" s="114"/>
      <c r="T274" s="114"/>
      <c r="U274" s="114"/>
      <c r="V274" s="114"/>
      <c r="W274" s="130"/>
      <c r="X274" s="130"/>
      <c r="Y274" s="130"/>
      <c r="Z274" s="114"/>
      <c r="AA274" s="114"/>
      <c r="AB274" s="114"/>
      <c r="AC274" s="114"/>
      <c r="AD274" s="114"/>
      <c r="AE274" s="114"/>
      <c r="AF274" s="114"/>
      <c r="AG274" s="114"/>
      <c r="AH274" s="114"/>
      <c r="AI274" s="114"/>
      <c r="AJ274" s="114"/>
      <c r="AK274" s="114"/>
      <c r="AL274" s="114"/>
      <c r="AM274" s="114"/>
      <c r="AN274" s="114"/>
      <c r="AO274" s="114"/>
      <c r="AP274" s="130"/>
      <c r="AQ274" s="130"/>
    </row>
    <row r="275" ht="15.75" customHeight="1">
      <c r="A275" s="114"/>
      <c r="B275" s="114"/>
      <c r="C275" s="114"/>
      <c r="D275" s="114"/>
      <c r="E275" s="114"/>
      <c r="F275" s="114"/>
      <c r="G275" s="322"/>
      <c r="H275" s="114"/>
      <c r="I275" s="130"/>
      <c r="J275" s="114"/>
      <c r="K275" s="114"/>
      <c r="L275" s="130"/>
      <c r="M275" s="114"/>
      <c r="N275" s="130"/>
      <c r="O275" s="114"/>
      <c r="P275" s="165"/>
      <c r="Q275" s="114"/>
      <c r="R275" s="114"/>
      <c r="S275" s="114"/>
      <c r="T275" s="114"/>
      <c r="U275" s="114"/>
      <c r="V275" s="114"/>
      <c r="W275" s="130"/>
      <c r="X275" s="130"/>
      <c r="Y275" s="130"/>
      <c r="Z275" s="114"/>
      <c r="AA275" s="114"/>
      <c r="AB275" s="114"/>
      <c r="AC275" s="114"/>
      <c r="AD275" s="114"/>
      <c r="AE275" s="114"/>
      <c r="AF275" s="114"/>
      <c r="AG275" s="114"/>
      <c r="AH275" s="114"/>
      <c r="AI275" s="114"/>
      <c r="AJ275" s="114"/>
      <c r="AK275" s="114"/>
      <c r="AL275" s="114"/>
      <c r="AM275" s="114"/>
      <c r="AN275" s="114"/>
      <c r="AO275" s="114"/>
      <c r="AP275" s="130"/>
      <c r="AQ275" s="130"/>
    </row>
    <row r="276" ht="15.75" customHeight="1">
      <c r="A276" s="114"/>
      <c r="B276" s="114"/>
      <c r="C276" s="114"/>
      <c r="D276" s="114"/>
      <c r="E276" s="114"/>
      <c r="F276" s="114"/>
      <c r="G276" s="322"/>
      <c r="H276" s="114"/>
      <c r="I276" s="130"/>
      <c r="J276" s="114"/>
      <c r="K276" s="114"/>
      <c r="L276" s="130"/>
      <c r="M276" s="114"/>
      <c r="N276" s="130"/>
      <c r="O276" s="114"/>
      <c r="P276" s="165"/>
      <c r="Q276" s="114"/>
      <c r="R276" s="114"/>
      <c r="S276" s="114"/>
      <c r="T276" s="114"/>
      <c r="U276" s="114"/>
      <c r="V276" s="114"/>
      <c r="W276" s="130"/>
      <c r="X276" s="130"/>
      <c r="Y276" s="130"/>
      <c r="Z276" s="114"/>
      <c r="AA276" s="114"/>
      <c r="AB276" s="114"/>
      <c r="AC276" s="114"/>
      <c r="AD276" s="114"/>
      <c r="AE276" s="114"/>
      <c r="AF276" s="114"/>
      <c r="AG276" s="114"/>
      <c r="AH276" s="114"/>
      <c r="AI276" s="114"/>
      <c r="AJ276" s="114"/>
      <c r="AK276" s="114"/>
      <c r="AL276" s="114"/>
      <c r="AM276" s="114"/>
      <c r="AN276" s="114"/>
      <c r="AO276" s="114"/>
      <c r="AP276" s="130"/>
      <c r="AQ276" s="130"/>
    </row>
    <row r="277" ht="15.75" customHeight="1">
      <c r="A277" s="114"/>
      <c r="B277" s="114"/>
      <c r="C277" s="114"/>
      <c r="D277" s="114"/>
      <c r="E277" s="114"/>
      <c r="F277" s="114"/>
      <c r="G277" s="322"/>
      <c r="H277" s="114"/>
      <c r="I277" s="130"/>
      <c r="J277" s="114"/>
      <c r="K277" s="114"/>
      <c r="L277" s="130"/>
      <c r="M277" s="114"/>
      <c r="N277" s="130"/>
      <c r="O277" s="114"/>
      <c r="P277" s="165"/>
      <c r="Q277" s="114"/>
      <c r="R277" s="114"/>
      <c r="S277" s="114"/>
      <c r="T277" s="114"/>
      <c r="U277" s="114"/>
      <c r="V277" s="114"/>
      <c r="W277" s="130"/>
      <c r="X277" s="130"/>
      <c r="Y277" s="130"/>
      <c r="Z277" s="114"/>
      <c r="AA277" s="114"/>
      <c r="AB277" s="114"/>
      <c r="AC277" s="114"/>
      <c r="AD277" s="114"/>
      <c r="AE277" s="114"/>
      <c r="AF277" s="114"/>
      <c r="AG277" s="114"/>
      <c r="AH277" s="114"/>
      <c r="AI277" s="114"/>
      <c r="AJ277" s="114"/>
      <c r="AK277" s="114"/>
      <c r="AL277" s="114"/>
      <c r="AM277" s="114"/>
      <c r="AN277" s="114"/>
      <c r="AO277" s="114"/>
      <c r="AP277" s="130"/>
      <c r="AQ277" s="130"/>
    </row>
    <row r="278" ht="15.75" customHeight="1">
      <c r="A278" s="114"/>
      <c r="B278" s="114"/>
      <c r="C278" s="114"/>
      <c r="D278" s="114"/>
      <c r="E278" s="114"/>
      <c r="F278" s="114"/>
      <c r="G278" s="322"/>
      <c r="H278" s="114"/>
      <c r="I278" s="130"/>
      <c r="J278" s="114"/>
      <c r="K278" s="114"/>
      <c r="L278" s="130"/>
      <c r="M278" s="114"/>
      <c r="N278" s="130"/>
      <c r="O278" s="114"/>
      <c r="P278" s="165"/>
      <c r="Q278" s="114"/>
      <c r="R278" s="114"/>
      <c r="S278" s="114"/>
      <c r="T278" s="114"/>
      <c r="U278" s="114"/>
      <c r="V278" s="114"/>
      <c r="W278" s="130"/>
      <c r="X278" s="130"/>
      <c r="Y278" s="130"/>
      <c r="Z278" s="114"/>
      <c r="AA278" s="114"/>
      <c r="AB278" s="114"/>
      <c r="AC278" s="114"/>
      <c r="AD278" s="114"/>
      <c r="AE278" s="114"/>
      <c r="AF278" s="114"/>
      <c r="AG278" s="114"/>
      <c r="AH278" s="114"/>
      <c r="AI278" s="114"/>
      <c r="AJ278" s="114"/>
      <c r="AK278" s="114"/>
      <c r="AL278" s="114"/>
      <c r="AM278" s="114"/>
      <c r="AN278" s="114"/>
      <c r="AO278" s="114"/>
      <c r="AP278" s="130"/>
      <c r="AQ278" s="130"/>
    </row>
    <row r="279" ht="15.75" customHeight="1">
      <c r="A279" s="114"/>
      <c r="B279" s="114"/>
      <c r="C279" s="114"/>
      <c r="D279" s="114"/>
      <c r="E279" s="114"/>
      <c r="F279" s="114"/>
      <c r="G279" s="322"/>
      <c r="H279" s="114"/>
      <c r="I279" s="130"/>
      <c r="J279" s="114"/>
      <c r="K279" s="114"/>
      <c r="L279" s="130"/>
      <c r="M279" s="114"/>
      <c r="N279" s="130"/>
      <c r="O279" s="114"/>
      <c r="P279" s="165"/>
      <c r="Q279" s="114"/>
      <c r="R279" s="114"/>
      <c r="S279" s="114"/>
      <c r="T279" s="114"/>
      <c r="U279" s="114"/>
      <c r="V279" s="114"/>
      <c r="W279" s="130"/>
      <c r="X279" s="130"/>
      <c r="Y279" s="130"/>
      <c r="Z279" s="114"/>
      <c r="AA279" s="114"/>
      <c r="AB279" s="114"/>
      <c r="AC279" s="114"/>
      <c r="AD279" s="114"/>
      <c r="AE279" s="114"/>
      <c r="AF279" s="114"/>
      <c r="AG279" s="114"/>
      <c r="AH279" s="114"/>
      <c r="AI279" s="114"/>
      <c r="AJ279" s="114"/>
      <c r="AK279" s="114"/>
      <c r="AL279" s="114"/>
      <c r="AM279" s="114"/>
      <c r="AN279" s="114"/>
      <c r="AO279" s="114"/>
      <c r="AP279" s="130"/>
      <c r="AQ279" s="130"/>
    </row>
    <row r="280" ht="15.75" customHeight="1">
      <c r="A280" s="114"/>
      <c r="B280" s="114"/>
      <c r="C280" s="114"/>
      <c r="D280" s="114"/>
      <c r="E280" s="114"/>
      <c r="F280" s="114"/>
      <c r="G280" s="322"/>
      <c r="H280" s="114"/>
      <c r="I280" s="130"/>
      <c r="J280" s="114"/>
      <c r="K280" s="114"/>
      <c r="L280" s="130"/>
      <c r="M280" s="114"/>
      <c r="N280" s="130"/>
      <c r="O280" s="114"/>
      <c r="P280" s="165"/>
      <c r="Q280" s="114"/>
      <c r="R280" s="114"/>
      <c r="S280" s="114"/>
      <c r="T280" s="114"/>
      <c r="U280" s="114"/>
      <c r="V280" s="114"/>
      <c r="W280" s="130"/>
      <c r="X280" s="130"/>
      <c r="Y280" s="130"/>
      <c r="Z280" s="114"/>
      <c r="AA280" s="114"/>
      <c r="AB280" s="114"/>
      <c r="AC280" s="114"/>
      <c r="AD280" s="114"/>
      <c r="AE280" s="114"/>
      <c r="AF280" s="114"/>
      <c r="AG280" s="114"/>
      <c r="AH280" s="114"/>
      <c r="AI280" s="114"/>
      <c r="AJ280" s="114"/>
      <c r="AK280" s="114"/>
      <c r="AL280" s="114"/>
      <c r="AM280" s="114"/>
      <c r="AN280" s="114"/>
      <c r="AO280" s="114"/>
      <c r="AP280" s="130"/>
      <c r="AQ280" s="130"/>
    </row>
    <row r="281" ht="15.75" customHeight="1">
      <c r="A281" s="114"/>
      <c r="B281" s="114"/>
      <c r="C281" s="114"/>
      <c r="D281" s="114"/>
      <c r="E281" s="114"/>
      <c r="F281" s="114"/>
      <c r="G281" s="322"/>
      <c r="H281" s="114"/>
      <c r="I281" s="130"/>
      <c r="J281" s="114"/>
      <c r="K281" s="114"/>
      <c r="L281" s="130"/>
      <c r="M281" s="114"/>
      <c r="N281" s="130"/>
      <c r="O281" s="114"/>
      <c r="P281" s="165"/>
      <c r="Q281" s="114"/>
      <c r="R281" s="114"/>
      <c r="S281" s="114"/>
      <c r="T281" s="114"/>
      <c r="U281" s="114"/>
      <c r="V281" s="114"/>
      <c r="W281" s="130"/>
      <c r="X281" s="130"/>
      <c r="Y281" s="130"/>
      <c r="Z281" s="114"/>
      <c r="AA281" s="114"/>
      <c r="AB281" s="114"/>
      <c r="AC281" s="114"/>
      <c r="AD281" s="114"/>
      <c r="AE281" s="114"/>
      <c r="AF281" s="114"/>
      <c r="AG281" s="114"/>
      <c r="AH281" s="114"/>
      <c r="AI281" s="114"/>
      <c r="AJ281" s="114"/>
      <c r="AK281" s="114"/>
      <c r="AL281" s="114"/>
      <c r="AM281" s="114"/>
      <c r="AN281" s="114"/>
      <c r="AO281" s="114"/>
      <c r="AP281" s="130"/>
      <c r="AQ281" s="130"/>
    </row>
    <row r="282" ht="15.75" customHeight="1">
      <c r="A282" s="114"/>
      <c r="B282" s="114"/>
      <c r="C282" s="114"/>
      <c r="D282" s="114"/>
      <c r="E282" s="114"/>
      <c r="F282" s="114"/>
      <c r="G282" s="322"/>
      <c r="H282" s="114"/>
      <c r="I282" s="130"/>
      <c r="J282" s="114"/>
      <c r="K282" s="114"/>
      <c r="L282" s="130"/>
      <c r="M282" s="114"/>
      <c r="N282" s="130"/>
      <c r="O282" s="114"/>
      <c r="P282" s="165"/>
      <c r="Q282" s="114"/>
      <c r="R282" s="114"/>
      <c r="S282" s="114"/>
      <c r="T282" s="114"/>
      <c r="U282" s="114"/>
      <c r="V282" s="114"/>
      <c r="W282" s="130"/>
      <c r="X282" s="130"/>
      <c r="Y282" s="130"/>
      <c r="Z282" s="114"/>
      <c r="AA282" s="114"/>
      <c r="AB282" s="114"/>
      <c r="AC282" s="114"/>
      <c r="AD282" s="114"/>
      <c r="AE282" s="114"/>
      <c r="AF282" s="114"/>
      <c r="AG282" s="114"/>
      <c r="AH282" s="114"/>
      <c r="AI282" s="114"/>
      <c r="AJ282" s="114"/>
      <c r="AK282" s="114"/>
      <c r="AL282" s="114"/>
      <c r="AM282" s="114"/>
      <c r="AN282" s="114"/>
      <c r="AO282" s="114"/>
      <c r="AP282" s="130"/>
      <c r="AQ282" s="130"/>
    </row>
    <row r="283" ht="15.75" customHeight="1">
      <c r="A283" s="114"/>
      <c r="B283" s="114"/>
      <c r="C283" s="114"/>
      <c r="D283" s="114"/>
      <c r="E283" s="114"/>
      <c r="F283" s="114"/>
      <c r="G283" s="322"/>
      <c r="H283" s="114"/>
      <c r="I283" s="130"/>
      <c r="J283" s="114"/>
      <c r="K283" s="114"/>
      <c r="L283" s="130"/>
      <c r="M283" s="114"/>
      <c r="N283" s="130"/>
      <c r="O283" s="114"/>
      <c r="P283" s="165"/>
      <c r="Q283" s="114"/>
      <c r="R283" s="114"/>
      <c r="S283" s="114"/>
      <c r="T283" s="114"/>
      <c r="U283" s="114"/>
      <c r="V283" s="114"/>
      <c r="W283" s="130"/>
      <c r="X283" s="130"/>
      <c r="Y283" s="130"/>
      <c r="Z283" s="114"/>
      <c r="AA283" s="114"/>
      <c r="AB283" s="114"/>
      <c r="AC283" s="114"/>
      <c r="AD283" s="114"/>
      <c r="AE283" s="114"/>
      <c r="AF283" s="114"/>
      <c r="AG283" s="114"/>
      <c r="AH283" s="114"/>
      <c r="AI283" s="114"/>
      <c r="AJ283" s="114"/>
      <c r="AK283" s="114"/>
      <c r="AL283" s="114"/>
      <c r="AM283" s="114"/>
      <c r="AN283" s="114"/>
      <c r="AO283" s="114"/>
      <c r="AP283" s="130"/>
      <c r="AQ283" s="130"/>
    </row>
    <row r="284" ht="15.75" customHeight="1">
      <c r="A284" s="114"/>
      <c r="B284" s="114"/>
      <c r="C284" s="114"/>
      <c r="D284" s="114"/>
      <c r="E284" s="114"/>
      <c r="F284" s="114"/>
      <c r="G284" s="322"/>
      <c r="H284" s="114"/>
      <c r="I284" s="130"/>
      <c r="J284" s="114"/>
      <c r="K284" s="114"/>
      <c r="L284" s="130"/>
      <c r="M284" s="114"/>
      <c r="N284" s="130"/>
      <c r="O284" s="114"/>
      <c r="P284" s="165"/>
      <c r="Q284" s="114"/>
      <c r="R284" s="114"/>
      <c r="S284" s="114"/>
      <c r="T284" s="114"/>
      <c r="U284" s="114"/>
      <c r="V284" s="114"/>
      <c r="W284" s="130"/>
      <c r="X284" s="130"/>
      <c r="Y284" s="130"/>
      <c r="Z284" s="114"/>
      <c r="AA284" s="114"/>
      <c r="AB284" s="114"/>
      <c r="AC284" s="114"/>
      <c r="AD284" s="114"/>
      <c r="AE284" s="114"/>
      <c r="AF284" s="114"/>
      <c r="AG284" s="114"/>
      <c r="AH284" s="114"/>
      <c r="AI284" s="114"/>
      <c r="AJ284" s="114"/>
      <c r="AK284" s="114"/>
      <c r="AL284" s="114"/>
      <c r="AM284" s="114"/>
      <c r="AN284" s="114"/>
      <c r="AO284" s="114"/>
      <c r="AP284" s="130"/>
      <c r="AQ284" s="130"/>
    </row>
    <row r="285" ht="15.75" customHeight="1">
      <c r="A285" s="114"/>
      <c r="B285" s="114"/>
      <c r="C285" s="114"/>
      <c r="D285" s="114"/>
      <c r="E285" s="114"/>
      <c r="F285" s="114"/>
      <c r="G285" s="322"/>
      <c r="H285" s="114"/>
      <c r="I285" s="130"/>
      <c r="J285" s="114"/>
      <c r="K285" s="114"/>
      <c r="L285" s="130"/>
      <c r="M285" s="114"/>
      <c r="N285" s="130"/>
      <c r="O285" s="114"/>
      <c r="P285" s="165"/>
      <c r="Q285" s="114"/>
      <c r="R285" s="114"/>
      <c r="S285" s="114"/>
      <c r="T285" s="114"/>
      <c r="U285" s="114"/>
      <c r="V285" s="114"/>
      <c r="W285" s="130"/>
      <c r="X285" s="130"/>
      <c r="Y285" s="130"/>
      <c r="Z285" s="114"/>
      <c r="AA285" s="114"/>
      <c r="AB285" s="114"/>
      <c r="AC285" s="114"/>
      <c r="AD285" s="114"/>
      <c r="AE285" s="114"/>
      <c r="AF285" s="114"/>
      <c r="AG285" s="114"/>
      <c r="AH285" s="114"/>
      <c r="AI285" s="114"/>
      <c r="AJ285" s="114"/>
      <c r="AK285" s="114"/>
      <c r="AL285" s="114"/>
      <c r="AM285" s="114"/>
      <c r="AN285" s="114"/>
      <c r="AO285" s="114"/>
      <c r="AP285" s="130"/>
      <c r="AQ285" s="130"/>
    </row>
    <row r="286" ht="15.75" customHeight="1">
      <c r="A286" s="114"/>
      <c r="B286" s="114"/>
      <c r="C286" s="114"/>
      <c r="D286" s="114"/>
      <c r="E286" s="114"/>
      <c r="F286" s="114"/>
      <c r="G286" s="322"/>
      <c r="H286" s="114"/>
      <c r="I286" s="130"/>
      <c r="J286" s="114"/>
      <c r="K286" s="114"/>
      <c r="L286" s="130"/>
      <c r="M286" s="114"/>
      <c r="N286" s="130"/>
      <c r="O286" s="114"/>
      <c r="P286" s="165"/>
      <c r="Q286" s="114"/>
      <c r="R286" s="114"/>
      <c r="S286" s="114"/>
      <c r="T286" s="114"/>
      <c r="U286" s="114"/>
      <c r="V286" s="114"/>
      <c r="W286" s="130"/>
      <c r="X286" s="130"/>
      <c r="Y286" s="130"/>
      <c r="Z286" s="114"/>
      <c r="AA286" s="114"/>
      <c r="AB286" s="114"/>
      <c r="AC286" s="114"/>
      <c r="AD286" s="114"/>
      <c r="AE286" s="114"/>
      <c r="AF286" s="114"/>
      <c r="AG286" s="114"/>
      <c r="AH286" s="114"/>
      <c r="AI286" s="114"/>
      <c r="AJ286" s="114"/>
      <c r="AK286" s="114"/>
      <c r="AL286" s="114"/>
      <c r="AM286" s="114"/>
      <c r="AN286" s="114"/>
      <c r="AO286" s="114"/>
      <c r="AP286" s="130"/>
      <c r="AQ286" s="130"/>
    </row>
    <row r="287" ht="15.75" customHeight="1">
      <c r="A287" s="114"/>
      <c r="B287" s="114"/>
      <c r="C287" s="114"/>
      <c r="D287" s="114"/>
      <c r="E287" s="114"/>
      <c r="F287" s="114"/>
      <c r="G287" s="322"/>
      <c r="H287" s="114"/>
      <c r="I287" s="130"/>
      <c r="J287" s="114"/>
      <c r="K287" s="114"/>
      <c r="L287" s="130"/>
      <c r="M287" s="114"/>
      <c r="N287" s="130"/>
      <c r="O287" s="114"/>
      <c r="P287" s="165"/>
      <c r="Q287" s="114"/>
      <c r="R287" s="114"/>
      <c r="S287" s="114"/>
      <c r="T287" s="114"/>
      <c r="U287" s="114"/>
      <c r="V287" s="114"/>
      <c r="W287" s="130"/>
      <c r="X287" s="130"/>
      <c r="Y287" s="130"/>
      <c r="Z287" s="114"/>
      <c r="AA287" s="114"/>
      <c r="AB287" s="114"/>
      <c r="AC287" s="114"/>
      <c r="AD287" s="114"/>
      <c r="AE287" s="114"/>
      <c r="AF287" s="114"/>
      <c r="AG287" s="114"/>
      <c r="AH287" s="114"/>
      <c r="AI287" s="114"/>
      <c r="AJ287" s="114"/>
      <c r="AK287" s="114"/>
      <c r="AL287" s="114"/>
      <c r="AM287" s="114"/>
      <c r="AN287" s="114"/>
      <c r="AO287" s="114"/>
      <c r="AP287" s="130"/>
      <c r="AQ287" s="130"/>
    </row>
    <row r="288" ht="15.75" customHeight="1">
      <c r="A288" s="114"/>
      <c r="B288" s="114"/>
      <c r="C288" s="114"/>
      <c r="D288" s="114"/>
      <c r="E288" s="114"/>
      <c r="F288" s="114"/>
      <c r="G288" s="322"/>
      <c r="H288" s="114"/>
      <c r="I288" s="130"/>
      <c r="J288" s="114"/>
      <c r="K288" s="114"/>
      <c r="L288" s="130"/>
      <c r="M288" s="114"/>
      <c r="N288" s="130"/>
      <c r="O288" s="114"/>
      <c r="P288" s="165"/>
      <c r="Q288" s="114"/>
      <c r="R288" s="114"/>
      <c r="S288" s="114"/>
      <c r="T288" s="114"/>
      <c r="U288" s="114"/>
      <c r="V288" s="114"/>
      <c r="W288" s="130"/>
      <c r="X288" s="130"/>
      <c r="Y288" s="130"/>
      <c r="Z288" s="114"/>
      <c r="AA288" s="114"/>
      <c r="AB288" s="114"/>
      <c r="AC288" s="114"/>
      <c r="AD288" s="114"/>
      <c r="AE288" s="114"/>
      <c r="AF288" s="114"/>
      <c r="AG288" s="114"/>
      <c r="AH288" s="114"/>
      <c r="AI288" s="114"/>
      <c r="AJ288" s="114"/>
      <c r="AK288" s="114"/>
      <c r="AL288" s="114"/>
      <c r="AM288" s="114"/>
      <c r="AN288" s="114"/>
      <c r="AO288" s="114"/>
      <c r="AP288" s="130"/>
      <c r="AQ288" s="130"/>
    </row>
    <row r="289" ht="15.75" customHeight="1">
      <c r="A289" s="114"/>
      <c r="B289" s="114"/>
      <c r="C289" s="114"/>
      <c r="D289" s="114"/>
      <c r="E289" s="114"/>
      <c r="F289" s="114"/>
      <c r="G289" s="322"/>
      <c r="H289" s="114"/>
      <c r="I289" s="130"/>
      <c r="J289" s="114"/>
      <c r="K289" s="114"/>
      <c r="L289" s="130"/>
      <c r="M289" s="114"/>
      <c r="N289" s="130"/>
      <c r="O289" s="114"/>
      <c r="P289" s="165"/>
      <c r="Q289" s="114"/>
      <c r="R289" s="114"/>
      <c r="S289" s="114"/>
      <c r="T289" s="114"/>
      <c r="U289" s="114"/>
      <c r="V289" s="114"/>
      <c r="W289" s="130"/>
      <c r="X289" s="130"/>
      <c r="Y289" s="130"/>
      <c r="Z289" s="114"/>
      <c r="AA289" s="114"/>
      <c r="AB289" s="114"/>
      <c r="AC289" s="114"/>
      <c r="AD289" s="114"/>
      <c r="AE289" s="114"/>
      <c r="AF289" s="114"/>
      <c r="AG289" s="114"/>
      <c r="AH289" s="114"/>
      <c r="AI289" s="114"/>
      <c r="AJ289" s="114"/>
      <c r="AK289" s="114"/>
      <c r="AL289" s="114"/>
      <c r="AM289" s="114"/>
      <c r="AN289" s="114"/>
      <c r="AO289" s="114"/>
      <c r="AP289" s="130"/>
      <c r="AQ289" s="130"/>
    </row>
    <row r="290" ht="15.75" customHeight="1">
      <c r="A290" s="114"/>
      <c r="B290" s="114"/>
      <c r="C290" s="114"/>
      <c r="D290" s="114"/>
      <c r="E290" s="114"/>
      <c r="F290" s="114"/>
      <c r="G290" s="322"/>
      <c r="H290" s="114"/>
      <c r="I290" s="130"/>
      <c r="J290" s="114"/>
      <c r="K290" s="114"/>
      <c r="L290" s="130"/>
      <c r="M290" s="114"/>
      <c r="N290" s="130"/>
      <c r="O290" s="114"/>
      <c r="P290" s="165"/>
      <c r="Q290" s="114"/>
      <c r="R290" s="114"/>
      <c r="S290" s="114"/>
      <c r="T290" s="114"/>
      <c r="U290" s="114"/>
      <c r="V290" s="114"/>
      <c r="W290" s="130"/>
      <c r="X290" s="130"/>
      <c r="Y290" s="130"/>
      <c r="Z290" s="114"/>
      <c r="AA290" s="114"/>
      <c r="AB290" s="114"/>
      <c r="AC290" s="114"/>
      <c r="AD290" s="114"/>
      <c r="AE290" s="114"/>
      <c r="AF290" s="114"/>
      <c r="AG290" s="114"/>
      <c r="AH290" s="114"/>
      <c r="AI290" s="114"/>
      <c r="AJ290" s="114"/>
      <c r="AK290" s="114"/>
      <c r="AL290" s="114"/>
      <c r="AM290" s="114"/>
      <c r="AN290" s="114"/>
      <c r="AO290" s="114"/>
      <c r="AP290" s="130"/>
      <c r="AQ290" s="130"/>
    </row>
    <row r="291" ht="15.75" customHeight="1">
      <c r="A291" s="114"/>
      <c r="B291" s="114"/>
      <c r="C291" s="114"/>
      <c r="D291" s="114"/>
      <c r="E291" s="114"/>
      <c r="F291" s="114"/>
      <c r="G291" s="322"/>
      <c r="H291" s="114"/>
      <c r="I291" s="130"/>
      <c r="J291" s="114"/>
      <c r="K291" s="114"/>
      <c r="L291" s="130"/>
      <c r="M291" s="114"/>
      <c r="N291" s="130"/>
      <c r="O291" s="114"/>
      <c r="P291" s="165"/>
      <c r="Q291" s="114"/>
      <c r="R291" s="114"/>
      <c r="S291" s="114"/>
      <c r="T291" s="114"/>
      <c r="U291" s="114"/>
      <c r="V291" s="114"/>
      <c r="W291" s="130"/>
      <c r="X291" s="130"/>
      <c r="Y291" s="130"/>
      <c r="Z291" s="114"/>
      <c r="AA291" s="114"/>
      <c r="AB291" s="114"/>
      <c r="AC291" s="114"/>
      <c r="AD291" s="114"/>
      <c r="AE291" s="114"/>
      <c r="AF291" s="114"/>
      <c r="AG291" s="114"/>
      <c r="AH291" s="114"/>
      <c r="AI291" s="114"/>
      <c r="AJ291" s="114"/>
      <c r="AK291" s="114"/>
      <c r="AL291" s="114"/>
      <c r="AM291" s="114"/>
      <c r="AN291" s="114"/>
      <c r="AO291" s="114"/>
      <c r="AP291" s="130"/>
      <c r="AQ291" s="130"/>
    </row>
    <row r="292" ht="15.75" customHeight="1">
      <c r="A292" s="114"/>
      <c r="B292" s="114"/>
      <c r="C292" s="114"/>
      <c r="D292" s="114"/>
      <c r="E292" s="114"/>
      <c r="F292" s="114"/>
      <c r="G292" s="322"/>
      <c r="H292" s="114"/>
      <c r="I292" s="130"/>
      <c r="J292" s="114"/>
      <c r="K292" s="114"/>
      <c r="L292" s="130"/>
      <c r="M292" s="114"/>
      <c r="N292" s="130"/>
      <c r="O292" s="114"/>
      <c r="P292" s="165"/>
      <c r="Q292" s="114"/>
      <c r="R292" s="114"/>
      <c r="S292" s="114"/>
      <c r="T292" s="114"/>
      <c r="U292" s="114"/>
      <c r="V292" s="114"/>
      <c r="W292" s="130"/>
      <c r="X292" s="130"/>
      <c r="Y292" s="130"/>
      <c r="Z292" s="114"/>
      <c r="AA292" s="114"/>
      <c r="AB292" s="114"/>
      <c r="AC292" s="114"/>
      <c r="AD292" s="114"/>
      <c r="AE292" s="114"/>
      <c r="AF292" s="114"/>
      <c r="AG292" s="114"/>
      <c r="AH292" s="114"/>
      <c r="AI292" s="114"/>
      <c r="AJ292" s="114"/>
      <c r="AK292" s="114"/>
      <c r="AL292" s="114"/>
      <c r="AM292" s="114"/>
      <c r="AN292" s="114"/>
      <c r="AO292" s="114"/>
      <c r="AP292" s="130"/>
      <c r="AQ292" s="130"/>
    </row>
    <row r="293" ht="15.75" customHeight="1">
      <c r="A293" s="114"/>
      <c r="B293" s="114"/>
      <c r="C293" s="114"/>
      <c r="D293" s="114"/>
      <c r="E293" s="114"/>
      <c r="F293" s="114"/>
      <c r="G293" s="322"/>
      <c r="H293" s="114"/>
      <c r="I293" s="130"/>
      <c r="J293" s="114"/>
      <c r="K293" s="114"/>
      <c r="L293" s="130"/>
      <c r="M293" s="114"/>
      <c r="N293" s="130"/>
      <c r="O293" s="114"/>
      <c r="P293" s="165"/>
      <c r="Q293" s="114"/>
      <c r="R293" s="114"/>
      <c r="S293" s="114"/>
      <c r="T293" s="114"/>
      <c r="U293" s="114"/>
      <c r="V293" s="114"/>
      <c r="W293" s="130"/>
      <c r="X293" s="130"/>
      <c r="Y293" s="130"/>
      <c r="Z293" s="114"/>
      <c r="AA293" s="114"/>
      <c r="AB293" s="114"/>
      <c r="AC293" s="114"/>
      <c r="AD293" s="114"/>
      <c r="AE293" s="114"/>
      <c r="AF293" s="114"/>
      <c r="AG293" s="114"/>
      <c r="AH293" s="114"/>
      <c r="AI293" s="114"/>
      <c r="AJ293" s="114"/>
      <c r="AK293" s="114"/>
      <c r="AL293" s="114"/>
      <c r="AM293" s="114"/>
      <c r="AN293" s="114"/>
      <c r="AO293" s="114"/>
      <c r="AP293" s="130"/>
      <c r="AQ293" s="130"/>
    </row>
    <row r="294" ht="15.75" customHeight="1">
      <c r="A294" s="114"/>
      <c r="B294" s="114"/>
      <c r="C294" s="114"/>
      <c r="D294" s="114"/>
      <c r="E294" s="114"/>
      <c r="F294" s="114"/>
      <c r="G294" s="322"/>
      <c r="H294" s="114"/>
      <c r="I294" s="130"/>
      <c r="J294" s="114"/>
      <c r="K294" s="114"/>
      <c r="L294" s="130"/>
      <c r="M294" s="114"/>
      <c r="N294" s="130"/>
      <c r="O294" s="114"/>
      <c r="P294" s="165"/>
      <c r="Q294" s="114"/>
      <c r="R294" s="114"/>
      <c r="S294" s="114"/>
      <c r="T294" s="114"/>
      <c r="U294" s="114"/>
      <c r="V294" s="114"/>
      <c r="W294" s="130"/>
      <c r="X294" s="130"/>
      <c r="Y294" s="130"/>
      <c r="Z294" s="114"/>
      <c r="AA294" s="114"/>
      <c r="AB294" s="114"/>
      <c r="AC294" s="114"/>
      <c r="AD294" s="114"/>
      <c r="AE294" s="114"/>
      <c r="AF294" s="114"/>
      <c r="AG294" s="114"/>
      <c r="AH294" s="114"/>
      <c r="AI294" s="114"/>
      <c r="AJ294" s="114"/>
      <c r="AK294" s="114"/>
      <c r="AL294" s="114"/>
      <c r="AM294" s="114"/>
      <c r="AN294" s="114"/>
      <c r="AO294" s="114"/>
      <c r="AP294" s="130"/>
      <c r="AQ294" s="130"/>
    </row>
    <row r="295" ht="15.75" customHeight="1">
      <c r="A295" s="114"/>
      <c r="B295" s="114"/>
      <c r="C295" s="114"/>
      <c r="D295" s="114"/>
      <c r="E295" s="114"/>
      <c r="F295" s="114"/>
      <c r="G295" s="322"/>
      <c r="H295" s="114"/>
      <c r="I295" s="130"/>
      <c r="J295" s="114"/>
      <c r="K295" s="114"/>
      <c r="L295" s="130"/>
      <c r="M295" s="114"/>
      <c r="N295" s="130"/>
      <c r="O295" s="114"/>
      <c r="P295" s="165"/>
      <c r="Q295" s="114"/>
      <c r="R295" s="114"/>
      <c r="S295" s="114"/>
      <c r="T295" s="114"/>
      <c r="U295" s="114"/>
      <c r="V295" s="114"/>
      <c r="W295" s="130"/>
      <c r="X295" s="130"/>
      <c r="Y295" s="130"/>
      <c r="Z295" s="114"/>
      <c r="AA295" s="114"/>
      <c r="AB295" s="114"/>
      <c r="AC295" s="114"/>
      <c r="AD295" s="114"/>
      <c r="AE295" s="114"/>
      <c r="AF295" s="114"/>
      <c r="AG295" s="114"/>
      <c r="AH295" s="114"/>
      <c r="AI295" s="114"/>
      <c r="AJ295" s="114"/>
      <c r="AK295" s="114"/>
      <c r="AL295" s="114"/>
      <c r="AM295" s="114"/>
      <c r="AN295" s="114"/>
      <c r="AO295" s="114"/>
      <c r="AP295" s="130"/>
      <c r="AQ295" s="130"/>
    </row>
    <row r="296" ht="15.75" customHeight="1">
      <c r="A296" s="114"/>
      <c r="B296" s="114"/>
      <c r="C296" s="114"/>
      <c r="D296" s="114"/>
      <c r="E296" s="114"/>
      <c r="F296" s="114"/>
      <c r="G296" s="322"/>
      <c r="H296" s="114"/>
      <c r="I296" s="130"/>
      <c r="J296" s="114"/>
      <c r="K296" s="114"/>
      <c r="L296" s="130"/>
      <c r="M296" s="114"/>
      <c r="N296" s="130"/>
      <c r="O296" s="114"/>
      <c r="P296" s="165"/>
      <c r="Q296" s="114"/>
      <c r="R296" s="114"/>
      <c r="S296" s="114"/>
      <c r="T296" s="114"/>
      <c r="U296" s="114"/>
      <c r="V296" s="114"/>
      <c r="W296" s="130"/>
      <c r="X296" s="130"/>
      <c r="Y296" s="130"/>
      <c r="Z296" s="114"/>
      <c r="AA296" s="114"/>
      <c r="AB296" s="114"/>
      <c r="AC296" s="114"/>
      <c r="AD296" s="114"/>
      <c r="AE296" s="114"/>
      <c r="AF296" s="114"/>
      <c r="AG296" s="114"/>
      <c r="AH296" s="114"/>
      <c r="AI296" s="114"/>
      <c r="AJ296" s="114"/>
      <c r="AK296" s="114"/>
      <c r="AL296" s="114"/>
      <c r="AM296" s="114"/>
      <c r="AN296" s="114"/>
      <c r="AO296" s="114"/>
      <c r="AP296" s="130"/>
      <c r="AQ296" s="130"/>
    </row>
    <row r="297" ht="15.75" customHeight="1">
      <c r="A297" s="114"/>
      <c r="B297" s="114"/>
      <c r="C297" s="114"/>
      <c r="D297" s="114"/>
      <c r="E297" s="114"/>
      <c r="F297" s="114"/>
      <c r="G297" s="322"/>
      <c r="H297" s="114"/>
      <c r="I297" s="130"/>
      <c r="J297" s="114"/>
      <c r="K297" s="114"/>
      <c r="L297" s="130"/>
      <c r="M297" s="114"/>
      <c r="N297" s="130"/>
      <c r="O297" s="114"/>
      <c r="P297" s="165"/>
      <c r="Q297" s="114"/>
      <c r="R297" s="114"/>
      <c r="S297" s="114"/>
      <c r="T297" s="114"/>
      <c r="U297" s="114"/>
      <c r="V297" s="114"/>
      <c r="W297" s="130"/>
      <c r="X297" s="130"/>
      <c r="Y297" s="130"/>
      <c r="Z297" s="114"/>
      <c r="AA297" s="114"/>
      <c r="AB297" s="114"/>
      <c r="AC297" s="114"/>
      <c r="AD297" s="114"/>
      <c r="AE297" s="114"/>
      <c r="AF297" s="114"/>
      <c r="AG297" s="114"/>
      <c r="AH297" s="114"/>
      <c r="AI297" s="114"/>
      <c r="AJ297" s="114"/>
      <c r="AK297" s="114"/>
      <c r="AL297" s="114"/>
      <c r="AM297" s="114"/>
      <c r="AN297" s="114"/>
      <c r="AO297" s="114"/>
      <c r="AP297" s="130"/>
      <c r="AQ297" s="130"/>
    </row>
    <row r="298" ht="15.75" customHeight="1">
      <c r="A298" s="114"/>
      <c r="B298" s="114"/>
      <c r="C298" s="114"/>
      <c r="D298" s="114"/>
      <c r="E298" s="114"/>
      <c r="F298" s="114"/>
      <c r="G298" s="322"/>
      <c r="H298" s="114"/>
      <c r="I298" s="130"/>
      <c r="J298" s="114"/>
      <c r="K298" s="114"/>
      <c r="L298" s="130"/>
      <c r="M298" s="114"/>
      <c r="N298" s="130"/>
      <c r="O298" s="114"/>
      <c r="P298" s="165"/>
      <c r="Q298" s="114"/>
      <c r="R298" s="114"/>
      <c r="S298" s="114"/>
      <c r="T298" s="114"/>
      <c r="U298" s="114"/>
      <c r="V298" s="114"/>
      <c r="W298" s="130"/>
      <c r="X298" s="130"/>
      <c r="Y298" s="130"/>
      <c r="Z298" s="114"/>
      <c r="AA298" s="114"/>
      <c r="AB298" s="114"/>
      <c r="AC298" s="114"/>
      <c r="AD298" s="114"/>
      <c r="AE298" s="114"/>
      <c r="AF298" s="114"/>
      <c r="AG298" s="114"/>
      <c r="AH298" s="114"/>
      <c r="AI298" s="114"/>
      <c r="AJ298" s="114"/>
      <c r="AK298" s="114"/>
      <c r="AL298" s="114"/>
      <c r="AM298" s="114"/>
      <c r="AN298" s="114"/>
      <c r="AO298" s="114"/>
      <c r="AP298" s="130"/>
      <c r="AQ298" s="130"/>
    </row>
    <row r="299" ht="15.75" customHeight="1">
      <c r="A299" s="114"/>
      <c r="B299" s="114"/>
      <c r="C299" s="114"/>
      <c r="D299" s="114"/>
      <c r="E299" s="114"/>
      <c r="F299" s="114"/>
      <c r="G299" s="322"/>
      <c r="H299" s="114"/>
      <c r="I299" s="130"/>
      <c r="J299" s="114"/>
      <c r="K299" s="114"/>
      <c r="L299" s="130"/>
      <c r="M299" s="114"/>
      <c r="N299" s="130"/>
      <c r="O299" s="114"/>
      <c r="P299" s="165"/>
      <c r="Q299" s="114"/>
      <c r="R299" s="114"/>
      <c r="S299" s="114"/>
      <c r="T299" s="114"/>
      <c r="U299" s="114"/>
      <c r="V299" s="114"/>
      <c r="W299" s="130"/>
      <c r="X299" s="130"/>
      <c r="Y299" s="130"/>
      <c r="Z299" s="114"/>
      <c r="AA299" s="114"/>
      <c r="AB299" s="114"/>
      <c r="AC299" s="114"/>
      <c r="AD299" s="114"/>
      <c r="AE299" s="114"/>
      <c r="AF299" s="114"/>
      <c r="AG299" s="114"/>
      <c r="AH299" s="114"/>
      <c r="AI299" s="114"/>
      <c r="AJ299" s="114"/>
      <c r="AK299" s="114"/>
      <c r="AL299" s="114"/>
      <c r="AM299" s="114"/>
      <c r="AN299" s="114"/>
      <c r="AO299" s="114"/>
      <c r="AP299" s="130"/>
      <c r="AQ299" s="130"/>
    </row>
    <row r="300" ht="15.75" customHeight="1">
      <c r="A300" s="114"/>
      <c r="B300" s="114"/>
      <c r="C300" s="114"/>
      <c r="D300" s="114"/>
      <c r="E300" s="114"/>
      <c r="F300" s="114"/>
      <c r="G300" s="322"/>
      <c r="H300" s="114"/>
      <c r="I300" s="130"/>
      <c r="J300" s="114"/>
      <c r="K300" s="114"/>
      <c r="L300" s="130"/>
      <c r="M300" s="114"/>
      <c r="N300" s="130"/>
      <c r="O300" s="114"/>
      <c r="P300" s="165"/>
      <c r="Q300" s="114"/>
      <c r="R300" s="114"/>
      <c r="S300" s="114"/>
      <c r="T300" s="114"/>
      <c r="U300" s="114"/>
      <c r="V300" s="114"/>
      <c r="W300" s="130"/>
      <c r="X300" s="130"/>
      <c r="Y300" s="130"/>
      <c r="Z300" s="114"/>
      <c r="AA300" s="114"/>
      <c r="AB300" s="114"/>
      <c r="AC300" s="114"/>
      <c r="AD300" s="114"/>
      <c r="AE300" s="114"/>
      <c r="AF300" s="114"/>
      <c r="AG300" s="114"/>
      <c r="AH300" s="114"/>
      <c r="AI300" s="114"/>
      <c r="AJ300" s="114"/>
      <c r="AK300" s="114"/>
      <c r="AL300" s="114"/>
      <c r="AM300" s="114"/>
      <c r="AN300" s="114"/>
      <c r="AO300" s="114"/>
      <c r="AP300" s="130"/>
      <c r="AQ300" s="130"/>
    </row>
    <row r="301" ht="15.75" customHeight="1">
      <c r="A301" s="114"/>
      <c r="B301" s="114"/>
      <c r="C301" s="114"/>
      <c r="D301" s="114"/>
      <c r="E301" s="114"/>
      <c r="F301" s="114"/>
      <c r="G301" s="322"/>
      <c r="H301" s="114"/>
      <c r="I301" s="130"/>
      <c r="J301" s="114"/>
      <c r="K301" s="114"/>
      <c r="L301" s="130"/>
      <c r="M301" s="114"/>
      <c r="N301" s="130"/>
      <c r="O301" s="114"/>
      <c r="P301" s="165"/>
      <c r="Q301" s="114"/>
      <c r="R301" s="114"/>
      <c r="S301" s="114"/>
      <c r="T301" s="114"/>
      <c r="U301" s="114"/>
      <c r="V301" s="114"/>
      <c r="W301" s="130"/>
      <c r="X301" s="130"/>
      <c r="Y301" s="130"/>
      <c r="Z301" s="114"/>
      <c r="AA301" s="114"/>
      <c r="AB301" s="114"/>
      <c r="AC301" s="114"/>
      <c r="AD301" s="114"/>
      <c r="AE301" s="114"/>
      <c r="AF301" s="114"/>
      <c r="AG301" s="114"/>
      <c r="AH301" s="114"/>
      <c r="AI301" s="114"/>
      <c r="AJ301" s="114"/>
      <c r="AK301" s="114"/>
      <c r="AL301" s="114"/>
      <c r="AM301" s="114"/>
      <c r="AN301" s="114"/>
      <c r="AO301" s="114"/>
      <c r="AP301" s="130"/>
      <c r="AQ301" s="130"/>
    </row>
    <row r="302" ht="15.75" customHeight="1">
      <c r="A302" s="114"/>
      <c r="B302" s="114"/>
      <c r="C302" s="114"/>
      <c r="D302" s="114"/>
      <c r="E302" s="114"/>
      <c r="F302" s="114"/>
      <c r="G302" s="322"/>
      <c r="H302" s="114"/>
      <c r="I302" s="130"/>
      <c r="J302" s="114"/>
      <c r="K302" s="114"/>
      <c r="L302" s="130"/>
      <c r="M302" s="114"/>
      <c r="N302" s="130"/>
      <c r="O302" s="114"/>
      <c r="P302" s="165"/>
      <c r="Q302" s="114"/>
      <c r="R302" s="114"/>
      <c r="S302" s="114"/>
      <c r="T302" s="114"/>
      <c r="U302" s="114"/>
      <c r="V302" s="114"/>
      <c r="W302" s="130"/>
      <c r="X302" s="130"/>
      <c r="Y302" s="130"/>
      <c r="Z302" s="114"/>
      <c r="AA302" s="114"/>
      <c r="AB302" s="114"/>
      <c r="AC302" s="114"/>
      <c r="AD302" s="114"/>
      <c r="AE302" s="114"/>
      <c r="AF302" s="114"/>
      <c r="AG302" s="114"/>
      <c r="AH302" s="114"/>
      <c r="AI302" s="114"/>
      <c r="AJ302" s="114"/>
      <c r="AK302" s="114"/>
      <c r="AL302" s="114"/>
      <c r="AM302" s="114"/>
      <c r="AN302" s="114"/>
      <c r="AO302" s="114"/>
      <c r="AP302" s="130"/>
      <c r="AQ302" s="130"/>
    </row>
    <row r="303" ht="15.75" customHeight="1">
      <c r="A303" s="114"/>
      <c r="B303" s="114"/>
      <c r="C303" s="114"/>
      <c r="D303" s="114"/>
      <c r="E303" s="114"/>
      <c r="F303" s="114"/>
      <c r="G303" s="322"/>
      <c r="H303" s="114"/>
      <c r="I303" s="130"/>
      <c r="J303" s="114"/>
      <c r="K303" s="114"/>
      <c r="L303" s="130"/>
      <c r="M303" s="114"/>
      <c r="N303" s="130"/>
      <c r="O303" s="114"/>
      <c r="P303" s="165"/>
      <c r="Q303" s="114"/>
      <c r="R303" s="114"/>
      <c r="S303" s="114"/>
      <c r="T303" s="114"/>
      <c r="U303" s="114"/>
      <c r="V303" s="114"/>
      <c r="W303" s="130"/>
      <c r="X303" s="130"/>
      <c r="Y303" s="130"/>
      <c r="Z303" s="114"/>
      <c r="AA303" s="114"/>
      <c r="AB303" s="114"/>
      <c r="AC303" s="114"/>
      <c r="AD303" s="114"/>
      <c r="AE303" s="114"/>
      <c r="AF303" s="114"/>
      <c r="AG303" s="114"/>
      <c r="AH303" s="114"/>
      <c r="AI303" s="114"/>
      <c r="AJ303" s="114"/>
      <c r="AK303" s="114"/>
      <c r="AL303" s="114"/>
      <c r="AM303" s="114"/>
      <c r="AN303" s="114"/>
      <c r="AO303" s="114"/>
      <c r="AP303" s="130"/>
      <c r="AQ303" s="130"/>
    </row>
    <row r="304" ht="15.75" customHeight="1">
      <c r="A304" s="114"/>
      <c r="B304" s="114"/>
      <c r="C304" s="114"/>
      <c r="D304" s="114"/>
      <c r="E304" s="114"/>
      <c r="F304" s="114"/>
      <c r="G304" s="322"/>
      <c r="H304" s="114"/>
      <c r="I304" s="130"/>
      <c r="J304" s="114"/>
      <c r="K304" s="114"/>
      <c r="L304" s="130"/>
      <c r="M304" s="114"/>
      <c r="N304" s="130"/>
      <c r="O304" s="114"/>
      <c r="P304" s="165"/>
      <c r="Q304" s="114"/>
      <c r="R304" s="114"/>
      <c r="S304" s="114"/>
      <c r="T304" s="114"/>
      <c r="U304" s="114"/>
      <c r="V304" s="114"/>
      <c r="W304" s="130"/>
      <c r="X304" s="130"/>
      <c r="Y304" s="130"/>
      <c r="Z304" s="114"/>
      <c r="AA304" s="114"/>
      <c r="AB304" s="114"/>
      <c r="AC304" s="114"/>
      <c r="AD304" s="114"/>
      <c r="AE304" s="114"/>
      <c r="AF304" s="114"/>
      <c r="AG304" s="114"/>
      <c r="AH304" s="114"/>
      <c r="AI304" s="114"/>
      <c r="AJ304" s="114"/>
      <c r="AK304" s="114"/>
      <c r="AL304" s="114"/>
      <c r="AM304" s="114"/>
      <c r="AN304" s="114"/>
      <c r="AO304" s="114"/>
      <c r="AP304" s="130"/>
      <c r="AQ304" s="130"/>
    </row>
    <row r="305" ht="15.75" customHeight="1">
      <c r="A305" s="114"/>
      <c r="B305" s="114"/>
      <c r="C305" s="114"/>
      <c r="D305" s="114"/>
      <c r="E305" s="114"/>
      <c r="F305" s="114"/>
      <c r="G305" s="322"/>
      <c r="H305" s="114"/>
      <c r="I305" s="130"/>
      <c r="J305" s="114"/>
      <c r="K305" s="114"/>
      <c r="L305" s="130"/>
      <c r="M305" s="114"/>
      <c r="N305" s="130"/>
      <c r="O305" s="114"/>
      <c r="P305" s="165"/>
      <c r="Q305" s="114"/>
      <c r="R305" s="114"/>
      <c r="S305" s="114"/>
      <c r="T305" s="114"/>
      <c r="U305" s="114"/>
      <c r="V305" s="114"/>
      <c r="W305" s="130"/>
      <c r="X305" s="130"/>
      <c r="Y305" s="130"/>
      <c r="Z305" s="114"/>
      <c r="AA305" s="114"/>
      <c r="AB305" s="114"/>
      <c r="AC305" s="114"/>
      <c r="AD305" s="114"/>
      <c r="AE305" s="114"/>
      <c r="AF305" s="114"/>
      <c r="AG305" s="114"/>
      <c r="AH305" s="114"/>
      <c r="AI305" s="114"/>
      <c r="AJ305" s="114"/>
      <c r="AK305" s="114"/>
      <c r="AL305" s="114"/>
      <c r="AM305" s="114"/>
      <c r="AN305" s="114"/>
      <c r="AO305" s="114"/>
      <c r="AP305" s="130"/>
      <c r="AQ305" s="130"/>
    </row>
    <row r="306" ht="15.75" customHeight="1">
      <c r="A306" s="114"/>
      <c r="B306" s="114"/>
      <c r="C306" s="114"/>
      <c r="D306" s="114"/>
      <c r="E306" s="114"/>
      <c r="F306" s="114"/>
      <c r="G306" s="322"/>
      <c r="H306" s="114"/>
      <c r="I306" s="130"/>
      <c r="J306" s="114"/>
      <c r="K306" s="114"/>
      <c r="L306" s="130"/>
      <c r="M306" s="114"/>
      <c r="N306" s="130"/>
      <c r="O306" s="114"/>
      <c r="P306" s="165"/>
      <c r="Q306" s="114"/>
      <c r="R306" s="114"/>
      <c r="S306" s="114"/>
      <c r="T306" s="114"/>
      <c r="U306" s="114"/>
      <c r="V306" s="114"/>
      <c r="W306" s="130"/>
      <c r="X306" s="130"/>
      <c r="Y306" s="130"/>
      <c r="Z306" s="114"/>
      <c r="AA306" s="114"/>
      <c r="AB306" s="114"/>
      <c r="AC306" s="114"/>
      <c r="AD306" s="114"/>
      <c r="AE306" s="114"/>
      <c r="AF306" s="114"/>
      <c r="AG306" s="114"/>
      <c r="AH306" s="114"/>
      <c r="AI306" s="114"/>
      <c r="AJ306" s="114"/>
      <c r="AK306" s="114"/>
      <c r="AL306" s="114"/>
      <c r="AM306" s="114"/>
      <c r="AN306" s="114"/>
      <c r="AO306" s="114"/>
      <c r="AP306" s="130"/>
      <c r="AQ306" s="130"/>
    </row>
    <row r="307" ht="15.75" customHeight="1">
      <c r="A307" s="114"/>
      <c r="B307" s="114"/>
      <c r="C307" s="114"/>
      <c r="D307" s="114"/>
      <c r="E307" s="114"/>
      <c r="F307" s="114"/>
      <c r="G307" s="322"/>
      <c r="H307" s="114"/>
      <c r="I307" s="130"/>
      <c r="J307" s="114"/>
      <c r="K307" s="114"/>
      <c r="L307" s="130"/>
      <c r="M307" s="114"/>
      <c r="N307" s="130"/>
      <c r="O307" s="114"/>
      <c r="P307" s="165"/>
      <c r="Q307" s="114"/>
      <c r="R307" s="114"/>
      <c r="S307" s="114"/>
      <c r="T307" s="114"/>
      <c r="U307" s="114"/>
      <c r="V307" s="114"/>
      <c r="W307" s="130"/>
      <c r="X307" s="130"/>
      <c r="Y307" s="130"/>
      <c r="Z307" s="114"/>
      <c r="AA307" s="114"/>
      <c r="AB307" s="114"/>
      <c r="AC307" s="114"/>
      <c r="AD307" s="114"/>
      <c r="AE307" s="114"/>
      <c r="AF307" s="114"/>
      <c r="AG307" s="114"/>
      <c r="AH307" s="114"/>
      <c r="AI307" s="114"/>
      <c r="AJ307" s="114"/>
      <c r="AK307" s="114"/>
      <c r="AL307" s="114"/>
      <c r="AM307" s="114"/>
      <c r="AN307" s="114"/>
      <c r="AO307" s="114"/>
      <c r="AP307" s="130"/>
      <c r="AQ307" s="130"/>
    </row>
    <row r="308" ht="15.75" customHeight="1">
      <c r="A308" s="114"/>
      <c r="B308" s="114"/>
      <c r="C308" s="114"/>
      <c r="D308" s="114"/>
      <c r="E308" s="114"/>
      <c r="F308" s="114"/>
      <c r="G308" s="322"/>
      <c r="H308" s="114"/>
      <c r="I308" s="130"/>
      <c r="J308" s="114"/>
      <c r="K308" s="114"/>
      <c r="L308" s="130"/>
      <c r="M308" s="114"/>
      <c r="N308" s="130"/>
      <c r="O308" s="114"/>
      <c r="P308" s="165"/>
      <c r="Q308" s="114"/>
      <c r="R308" s="114"/>
      <c r="S308" s="114"/>
      <c r="T308" s="114"/>
      <c r="U308" s="114"/>
      <c r="V308" s="114"/>
      <c r="W308" s="130"/>
      <c r="X308" s="130"/>
      <c r="Y308" s="130"/>
      <c r="Z308" s="114"/>
      <c r="AA308" s="114"/>
      <c r="AB308" s="114"/>
      <c r="AC308" s="114"/>
      <c r="AD308" s="114"/>
      <c r="AE308" s="114"/>
      <c r="AF308" s="114"/>
      <c r="AG308" s="114"/>
      <c r="AH308" s="114"/>
      <c r="AI308" s="114"/>
      <c r="AJ308" s="114"/>
      <c r="AK308" s="114"/>
      <c r="AL308" s="114"/>
      <c r="AM308" s="114"/>
      <c r="AN308" s="114"/>
      <c r="AO308" s="114"/>
      <c r="AP308" s="130"/>
      <c r="AQ308" s="130"/>
    </row>
    <row r="309" ht="15.75" customHeight="1">
      <c r="A309" s="114"/>
      <c r="B309" s="114"/>
      <c r="C309" s="114"/>
      <c r="D309" s="114"/>
      <c r="E309" s="114"/>
      <c r="F309" s="114"/>
      <c r="G309" s="322"/>
      <c r="H309" s="114"/>
      <c r="I309" s="130"/>
      <c r="J309" s="114"/>
      <c r="K309" s="114"/>
      <c r="L309" s="130"/>
      <c r="M309" s="114"/>
      <c r="N309" s="130"/>
      <c r="O309" s="114"/>
      <c r="P309" s="165"/>
      <c r="Q309" s="114"/>
      <c r="R309" s="114"/>
      <c r="S309" s="114"/>
      <c r="T309" s="114"/>
      <c r="U309" s="114"/>
      <c r="V309" s="114"/>
      <c r="W309" s="130"/>
      <c r="X309" s="130"/>
      <c r="Y309" s="130"/>
      <c r="Z309" s="114"/>
      <c r="AA309" s="114"/>
      <c r="AB309" s="114"/>
      <c r="AC309" s="114"/>
      <c r="AD309" s="114"/>
      <c r="AE309" s="114"/>
      <c r="AF309" s="114"/>
      <c r="AG309" s="114"/>
      <c r="AH309" s="114"/>
      <c r="AI309" s="114"/>
      <c r="AJ309" s="114"/>
      <c r="AK309" s="114"/>
      <c r="AL309" s="114"/>
      <c r="AM309" s="114"/>
      <c r="AN309" s="114"/>
      <c r="AO309" s="114"/>
      <c r="AP309" s="130"/>
      <c r="AQ309" s="130"/>
    </row>
    <row r="310" ht="15.75" customHeight="1">
      <c r="A310" s="114"/>
      <c r="B310" s="114"/>
      <c r="C310" s="114"/>
      <c r="D310" s="114"/>
      <c r="E310" s="114"/>
      <c r="F310" s="114"/>
      <c r="G310" s="322"/>
      <c r="H310" s="114"/>
      <c r="I310" s="130"/>
      <c r="J310" s="114"/>
      <c r="K310" s="114"/>
      <c r="L310" s="130"/>
      <c r="M310" s="114"/>
      <c r="N310" s="130"/>
      <c r="O310" s="114"/>
      <c r="P310" s="165"/>
      <c r="Q310" s="114"/>
      <c r="R310" s="114"/>
      <c r="S310" s="114"/>
      <c r="T310" s="114"/>
      <c r="U310" s="114"/>
      <c r="V310" s="114"/>
      <c r="W310" s="130"/>
      <c r="X310" s="130"/>
      <c r="Y310" s="130"/>
      <c r="Z310" s="114"/>
      <c r="AA310" s="114"/>
      <c r="AB310" s="114"/>
      <c r="AC310" s="114"/>
      <c r="AD310" s="114"/>
      <c r="AE310" s="114"/>
      <c r="AF310" s="114"/>
      <c r="AG310" s="114"/>
      <c r="AH310" s="114"/>
      <c r="AI310" s="114"/>
      <c r="AJ310" s="114"/>
      <c r="AK310" s="114"/>
      <c r="AL310" s="114"/>
      <c r="AM310" s="114"/>
      <c r="AN310" s="114"/>
      <c r="AO310" s="114"/>
      <c r="AP310" s="130"/>
      <c r="AQ310" s="130"/>
    </row>
    <row r="311" ht="15.75" customHeight="1">
      <c r="A311" s="114"/>
      <c r="B311" s="114"/>
      <c r="C311" s="114"/>
      <c r="D311" s="114"/>
      <c r="E311" s="114"/>
      <c r="F311" s="114"/>
      <c r="G311" s="322"/>
      <c r="H311" s="114"/>
      <c r="I311" s="130"/>
      <c r="J311" s="114"/>
      <c r="K311" s="114"/>
      <c r="L311" s="130"/>
      <c r="M311" s="114"/>
      <c r="N311" s="130"/>
      <c r="O311" s="114"/>
      <c r="P311" s="165"/>
      <c r="Q311" s="114"/>
      <c r="R311" s="114"/>
      <c r="S311" s="114"/>
      <c r="T311" s="114"/>
      <c r="U311" s="114"/>
      <c r="V311" s="114"/>
      <c r="W311" s="130"/>
      <c r="X311" s="130"/>
      <c r="Y311" s="130"/>
      <c r="Z311" s="114"/>
      <c r="AA311" s="114"/>
      <c r="AB311" s="114"/>
      <c r="AC311" s="114"/>
      <c r="AD311" s="114"/>
      <c r="AE311" s="114"/>
      <c r="AF311" s="114"/>
      <c r="AG311" s="114"/>
      <c r="AH311" s="114"/>
      <c r="AI311" s="114"/>
      <c r="AJ311" s="114"/>
      <c r="AK311" s="114"/>
      <c r="AL311" s="114"/>
      <c r="AM311" s="114"/>
      <c r="AN311" s="114"/>
      <c r="AO311" s="114"/>
      <c r="AP311" s="130"/>
      <c r="AQ311" s="130"/>
    </row>
    <row r="312" ht="15.75" customHeight="1">
      <c r="A312" s="114"/>
      <c r="B312" s="114"/>
      <c r="C312" s="114"/>
      <c r="D312" s="114"/>
      <c r="E312" s="114"/>
      <c r="F312" s="114"/>
      <c r="G312" s="322"/>
      <c r="H312" s="114"/>
      <c r="I312" s="130"/>
      <c r="J312" s="114"/>
      <c r="K312" s="114"/>
      <c r="L312" s="130"/>
      <c r="M312" s="114"/>
      <c r="N312" s="130"/>
      <c r="O312" s="114"/>
      <c r="P312" s="165"/>
      <c r="Q312" s="114"/>
      <c r="R312" s="114"/>
      <c r="S312" s="114"/>
      <c r="T312" s="114"/>
      <c r="U312" s="114"/>
      <c r="V312" s="114"/>
      <c r="W312" s="130"/>
      <c r="X312" s="130"/>
      <c r="Y312" s="130"/>
      <c r="Z312" s="114"/>
      <c r="AA312" s="114"/>
      <c r="AB312" s="114"/>
      <c r="AC312" s="114"/>
      <c r="AD312" s="114"/>
      <c r="AE312" s="114"/>
      <c r="AF312" s="114"/>
      <c r="AG312" s="114"/>
      <c r="AH312" s="114"/>
      <c r="AI312" s="114"/>
      <c r="AJ312" s="114"/>
      <c r="AK312" s="114"/>
      <c r="AL312" s="114"/>
      <c r="AM312" s="114"/>
      <c r="AN312" s="114"/>
      <c r="AO312" s="114"/>
      <c r="AP312" s="130"/>
      <c r="AQ312" s="130"/>
    </row>
    <row r="313" ht="15.75" customHeight="1">
      <c r="A313" s="114"/>
      <c r="B313" s="114"/>
      <c r="C313" s="114"/>
      <c r="D313" s="114"/>
      <c r="E313" s="114"/>
      <c r="F313" s="114"/>
      <c r="G313" s="322"/>
      <c r="H313" s="114"/>
      <c r="I313" s="130"/>
      <c r="J313" s="114"/>
      <c r="K313" s="114"/>
      <c r="L313" s="130"/>
      <c r="M313" s="114"/>
      <c r="N313" s="130"/>
      <c r="O313" s="114"/>
      <c r="P313" s="165"/>
      <c r="Q313" s="114"/>
      <c r="R313" s="114"/>
      <c r="S313" s="114"/>
      <c r="T313" s="114"/>
      <c r="U313" s="114"/>
      <c r="V313" s="114"/>
      <c r="W313" s="130"/>
      <c r="X313" s="130"/>
      <c r="Y313" s="130"/>
      <c r="Z313" s="114"/>
      <c r="AA313" s="114"/>
      <c r="AB313" s="114"/>
      <c r="AC313" s="114"/>
      <c r="AD313" s="114"/>
      <c r="AE313" s="114"/>
      <c r="AF313" s="114"/>
      <c r="AG313" s="114"/>
      <c r="AH313" s="114"/>
      <c r="AI313" s="114"/>
      <c r="AJ313" s="114"/>
      <c r="AK313" s="114"/>
      <c r="AL313" s="114"/>
      <c r="AM313" s="114"/>
      <c r="AN313" s="114"/>
      <c r="AO313" s="114"/>
      <c r="AP313" s="130"/>
      <c r="AQ313" s="130"/>
    </row>
    <row r="314" ht="15.75" customHeight="1">
      <c r="A314" s="114"/>
      <c r="B314" s="114"/>
      <c r="C314" s="114"/>
      <c r="D314" s="114"/>
      <c r="E314" s="114"/>
      <c r="F314" s="114"/>
      <c r="G314" s="322"/>
      <c r="H314" s="114"/>
      <c r="I314" s="130"/>
      <c r="J314" s="114"/>
      <c r="K314" s="114"/>
      <c r="L314" s="130"/>
      <c r="M314" s="114"/>
      <c r="N314" s="130"/>
      <c r="O314" s="114"/>
      <c r="P314" s="165"/>
      <c r="Q314" s="114"/>
      <c r="R314" s="114"/>
      <c r="S314" s="114"/>
      <c r="T314" s="114"/>
      <c r="U314" s="114"/>
      <c r="V314" s="114"/>
      <c r="W314" s="130"/>
      <c r="X314" s="130"/>
      <c r="Y314" s="130"/>
      <c r="Z314" s="114"/>
      <c r="AA314" s="114"/>
      <c r="AB314" s="114"/>
      <c r="AC314" s="114"/>
      <c r="AD314" s="114"/>
      <c r="AE314" s="114"/>
      <c r="AF314" s="114"/>
      <c r="AG314" s="114"/>
      <c r="AH314" s="114"/>
      <c r="AI314" s="114"/>
      <c r="AJ314" s="114"/>
      <c r="AK314" s="114"/>
      <c r="AL314" s="114"/>
      <c r="AM314" s="114"/>
      <c r="AN314" s="114"/>
      <c r="AO314" s="114"/>
      <c r="AP314" s="130"/>
      <c r="AQ314" s="130"/>
    </row>
    <row r="315" ht="15.75" customHeight="1">
      <c r="A315" s="114"/>
      <c r="B315" s="114"/>
      <c r="C315" s="114"/>
      <c r="D315" s="114"/>
      <c r="E315" s="114"/>
      <c r="F315" s="114"/>
      <c r="G315" s="322"/>
      <c r="H315" s="114"/>
      <c r="I315" s="130"/>
      <c r="J315" s="114"/>
      <c r="K315" s="114"/>
      <c r="L315" s="130"/>
      <c r="M315" s="114"/>
      <c r="N315" s="130"/>
      <c r="O315" s="114"/>
      <c r="P315" s="165"/>
      <c r="Q315" s="114"/>
      <c r="R315" s="114"/>
      <c r="S315" s="114"/>
      <c r="T315" s="114"/>
      <c r="U315" s="114"/>
      <c r="V315" s="114"/>
      <c r="W315" s="130"/>
      <c r="X315" s="130"/>
      <c r="Y315" s="130"/>
      <c r="Z315" s="114"/>
      <c r="AA315" s="114"/>
      <c r="AB315" s="114"/>
      <c r="AC315" s="114"/>
      <c r="AD315" s="114"/>
      <c r="AE315" s="114"/>
      <c r="AF315" s="114"/>
      <c r="AG315" s="114"/>
      <c r="AH315" s="114"/>
      <c r="AI315" s="114"/>
      <c r="AJ315" s="114"/>
      <c r="AK315" s="114"/>
      <c r="AL315" s="114"/>
      <c r="AM315" s="114"/>
      <c r="AN315" s="114"/>
      <c r="AO315" s="114"/>
      <c r="AP315" s="130"/>
      <c r="AQ315" s="130"/>
    </row>
    <row r="316" ht="15.75" customHeight="1">
      <c r="A316" s="114"/>
      <c r="B316" s="114"/>
      <c r="C316" s="114"/>
      <c r="D316" s="114"/>
      <c r="E316" s="114"/>
      <c r="F316" s="114"/>
      <c r="G316" s="322"/>
      <c r="H316" s="114"/>
      <c r="I316" s="130"/>
      <c r="J316" s="114"/>
      <c r="K316" s="114"/>
      <c r="L316" s="130"/>
      <c r="M316" s="114"/>
      <c r="N316" s="130"/>
      <c r="O316" s="114"/>
      <c r="P316" s="165"/>
      <c r="Q316" s="114"/>
      <c r="R316" s="114"/>
      <c r="S316" s="114"/>
      <c r="T316" s="114"/>
      <c r="U316" s="114"/>
      <c r="V316" s="114"/>
      <c r="W316" s="130"/>
      <c r="X316" s="130"/>
      <c r="Y316" s="130"/>
      <c r="Z316" s="114"/>
      <c r="AA316" s="114"/>
      <c r="AB316" s="114"/>
      <c r="AC316" s="114"/>
      <c r="AD316" s="114"/>
      <c r="AE316" s="114"/>
      <c r="AF316" s="114"/>
      <c r="AG316" s="114"/>
      <c r="AH316" s="114"/>
      <c r="AI316" s="114"/>
      <c r="AJ316" s="114"/>
      <c r="AK316" s="114"/>
      <c r="AL316" s="114"/>
      <c r="AM316" s="114"/>
      <c r="AN316" s="114"/>
      <c r="AO316" s="114"/>
      <c r="AP316" s="130"/>
      <c r="AQ316" s="130"/>
    </row>
    <row r="317" ht="15.75" customHeight="1">
      <c r="A317" s="114"/>
      <c r="B317" s="114"/>
      <c r="C317" s="114"/>
      <c r="D317" s="114"/>
      <c r="E317" s="114"/>
      <c r="F317" s="114"/>
      <c r="G317" s="322"/>
      <c r="H317" s="114"/>
      <c r="I317" s="130"/>
      <c r="J317" s="114"/>
      <c r="K317" s="114"/>
      <c r="L317" s="130"/>
      <c r="M317" s="114"/>
      <c r="N317" s="130"/>
      <c r="O317" s="114"/>
      <c r="P317" s="165"/>
      <c r="Q317" s="114"/>
      <c r="R317" s="114"/>
      <c r="S317" s="114"/>
      <c r="T317" s="114"/>
      <c r="U317" s="114"/>
      <c r="V317" s="114"/>
      <c r="W317" s="130"/>
      <c r="X317" s="130"/>
      <c r="Y317" s="130"/>
      <c r="Z317" s="114"/>
      <c r="AA317" s="114"/>
      <c r="AB317" s="114"/>
      <c r="AC317" s="114"/>
      <c r="AD317" s="114"/>
      <c r="AE317" s="114"/>
      <c r="AF317" s="114"/>
      <c r="AG317" s="114"/>
      <c r="AH317" s="114"/>
      <c r="AI317" s="114"/>
      <c r="AJ317" s="114"/>
      <c r="AK317" s="114"/>
      <c r="AL317" s="114"/>
      <c r="AM317" s="114"/>
      <c r="AN317" s="114"/>
      <c r="AO317" s="114"/>
      <c r="AP317" s="130"/>
      <c r="AQ317" s="130"/>
    </row>
    <row r="318" ht="15.75" customHeight="1">
      <c r="A318" s="114"/>
      <c r="B318" s="114"/>
      <c r="C318" s="114"/>
      <c r="D318" s="114"/>
      <c r="E318" s="114"/>
      <c r="F318" s="114"/>
      <c r="G318" s="322"/>
      <c r="H318" s="114"/>
      <c r="I318" s="130"/>
      <c r="J318" s="114"/>
      <c r="K318" s="114"/>
      <c r="L318" s="130"/>
      <c r="M318" s="114"/>
      <c r="N318" s="130"/>
      <c r="O318" s="114"/>
      <c r="P318" s="165"/>
      <c r="Q318" s="114"/>
      <c r="R318" s="114"/>
      <c r="S318" s="114"/>
      <c r="T318" s="114"/>
      <c r="U318" s="114"/>
      <c r="V318" s="114"/>
      <c r="W318" s="130"/>
      <c r="X318" s="130"/>
      <c r="Y318" s="130"/>
      <c r="Z318" s="114"/>
      <c r="AA318" s="114"/>
      <c r="AB318" s="114"/>
      <c r="AC318" s="114"/>
      <c r="AD318" s="114"/>
      <c r="AE318" s="114"/>
      <c r="AF318" s="114"/>
      <c r="AG318" s="114"/>
      <c r="AH318" s="114"/>
      <c r="AI318" s="114"/>
      <c r="AJ318" s="114"/>
      <c r="AK318" s="114"/>
      <c r="AL318" s="114"/>
      <c r="AM318" s="114"/>
      <c r="AN318" s="114"/>
      <c r="AO318" s="114"/>
      <c r="AP318" s="130"/>
      <c r="AQ318" s="130"/>
    </row>
    <row r="319" ht="15.75" customHeight="1">
      <c r="A319" s="114"/>
      <c r="B319" s="114"/>
      <c r="C319" s="114"/>
      <c r="D319" s="114"/>
      <c r="E319" s="114"/>
      <c r="F319" s="114"/>
      <c r="G319" s="322"/>
      <c r="H319" s="114"/>
      <c r="I319" s="130"/>
      <c r="J319" s="114"/>
      <c r="K319" s="114"/>
      <c r="L319" s="130"/>
      <c r="M319" s="114"/>
      <c r="N319" s="130"/>
      <c r="O319" s="114"/>
      <c r="P319" s="165"/>
      <c r="Q319" s="114"/>
      <c r="R319" s="114"/>
      <c r="S319" s="114"/>
      <c r="T319" s="114"/>
      <c r="U319" s="114"/>
      <c r="V319" s="114"/>
      <c r="W319" s="130"/>
      <c r="X319" s="130"/>
      <c r="Y319" s="130"/>
      <c r="Z319" s="114"/>
      <c r="AA319" s="114"/>
      <c r="AB319" s="114"/>
      <c r="AC319" s="114"/>
      <c r="AD319" s="114"/>
      <c r="AE319" s="114"/>
      <c r="AF319" s="114"/>
      <c r="AG319" s="114"/>
      <c r="AH319" s="114"/>
      <c r="AI319" s="114"/>
      <c r="AJ319" s="114"/>
      <c r="AK319" s="114"/>
      <c r="AL319" s="114"/>
      <c r="AM319" s="114"/>
      <c r="AN319" s="114"/>
      <c r="AO319" s="114"/>
      <c r="AP319" s="130"/>
      <c r="AQ319" s="130"/>
    </row>
    <row r="320" ht="15.75" customHeight="1">
      <c r="A320" s="114"/>
      <c r="B320" s="114"/>
      <c r="C320" s="114"/>
      <c r="D320" s="114"/>
      <c r="E320" s="114"/>
      <c r="F320" s="114"/>
      <c r="G320" s="322"/>
      <c r="H320" s="114"/>
      <c r="I320" s="130"/>
      <c r="J320" s="114"/>
      <c r="K320" s="114"/>
      <c r="L320" s="130"/>
      <c r="M320" s="114"/>
      <c r="N320" s="130"/>
      <c r="O320" s="114"/>
      <c r="P320" s="165"/>
      <c r="Q320" s="114"/>
      <c r="R320" s="114"/>
      <c r="S320" s="114"/>
      <c r="T320" s="114"/>
      <c r="U320" s="114"/>
      <c r="V320" s="114"/>
      <c r="W320" s="130"/>
      <c r="X320" s="130"/>
      <c r="Y320" s="130"/>
      <c r="Z320" s="114"/>
      <c r="AA320" s="114"/>
      <c r="AB320" s="114"/>
      <c r="AC320" s="114"/>
      <c r="AD320" s="114"/>
      <c r="AE320" s="114"/>
      <c r="AF320" s="114"/>
      <c r="AG320" s="114"/>
      <c r="AH320" s="114"/>
      <c r="AI320" s="114"/>
      <c r="AJ320" s="114"/>
      <c r="AK320" s="114"/>
      <c r="AL320" s="114"/>
      <c r="AM320" s="114"/>
      <c r="AN320" s="114"/>
      <c r="AO320" s="114"/>
      <c r="AP320" s="130"/>
      <c r="AQ320" s="130"/>
    </row>
    <row r="321" ht="15.75" customHeight="1">
      <c r="A321" s="114"/>
      <c r="B321" s="114"/>
      <c r="C321" s="114"/>
      <c r="D321" s="114"/>
      <c r="E321" s="114"/>
      <c r="F321" s="114"/>
      <c r="G321" s="322"/>
      <c r="H321" s="114"/>
      <c r="I321" s="130"/>
      <c r="J321" s="114"/>
      <c r="K321" s="114"/>
      <c r="L321" s="130"/>
      <c r="M321" s="114"/>
      <c r="N321" s="130"/>
      <c r="O321" s="114"/>
      <c r="P321" s="165"/>
      <c r="Q321" s="114"/>
      <c r="R321" s="114"/>
      <c r="S321" s="114"/>
      <c r="T321" s="114"/>
      <c r="U321" s="114"/>
      <c r="V321" s="114"/>
      <c r="W321" s="130"/>
      <c r="X321" s="130"/>
      <c r="Y321" s="130"/>
      <c r="Z321" s="114"/>
      <c r="AA321" s="114"/>
      <c r="AB321" s="114"/>
      <c r="AC321" s="114"/>
      <c r="AD321" s="114"/>
      <c r="AE321" s="114"/>
      <c r="AF321" s="114"/>
      <c r="AG321" s="114"/>
      <c r="AH321" s="114"/>
      <c r="AI321" s="114"/>
      <c r="AJ321" s="114"/>
      <c r="AK321" s="114"/>
      <c r="AL321" s="114"/>
      <c r="AM321" s="114"/>
      <c r="AN321" s="114"/>
      <c r="AO321" s="114"/>
      <c r="AP321" s="130"/>
      <c r="AQ321" s="130"/>
    </row>
    <row r="322" ht="15.75" customHeight="1">
      <c r="A322" s="114"/>
      <c r="B322" s="114"/>
      <c r="C322" s="114"/>
      <c r="D322" s="114"/>
      <c r="E322" s="114"/>
      <c r="F322" s="114"/>
      <c r="G322" s="322"/>
      <c r="H322" s="114"/>
      <c r="I322" s="130"/>
      <c r="J322" s="114"/>
      <c r="K322" s="114"/>
      <c r="L322" s="130"/>
      <c r="M322" s="114"/>
      <c r="N322" s="130"/>
      <c r="O322" s="114"/>
      <c r="P322" s="165"/>
      <c r="Q322" s="114"/>
      <c r="R322" s="114"/>
      <c r="S322" s="114"/>
      <c r="T322" s="114"/>
      <c r="U322" s="114"/>
      <c r="V322" s="114"/>
      <c r="W322" s="130"/>
      <c r="X322" s="130"/>
      <c r="Y322" s="130"/>
      <c r="Z322" s="114"/>
      <c r="AA322" s="114"/>
      <c r="AB322" s="114"/>
      <c r="AC322" s="114"/>
      <c r="AD322" s="114"/>
      <c r="AE322" s="114"/>
      <c r="AF322" s="114"/>
      <c r="AG322" s="114"/>
      <c r="AH322" s="114"/>
      <c r="AI322" s="114"/>
      <c r="AJ322" s="114"/>
      <c r="AK322" s="114"/>
      <c r="AL322" s="114"/>
      <c r="AM322" s="114"/>
      <c r="AN322" s="114"/>
      <c r="AO322" s="114"/>
      <c r="AP322" s="130"/>
      <c r="AQ322" s="130"/>
    </row>
    <row r="323" ht="15.75" customHeight="1">
      <c r="A323" s="114"/>
      <c r="B323" s="114"/>
      <c r="C323" s="114"/>
      <c r="D323" s="114"/>
      <c r="E323" s="114"/>
      <c r="F323" s="114"/>
      <c r="G323" s="322"/>
      <c r="H323" s="114"/>
      <c r="I323" s="130"/>
      <c r="J323" s="114"/>
      <c r="K323" s="114"/>
      <c r="L323" s="130"/>
      <c r="M323" s="114"/>
      <c r="N323" s="130"/>
      <c r="O323" s="114"/>
      <c r="P323" s="165"/>
      <c r="Q323" s="114"/>
      <c r="R323" s="114"/>
      <c r="S323" s="114"/>
      <c r="T323" s="114"/>
      <c r="U323" s="114"/>
      <c r="V323" s="114"/>
      <c r="W323" s="130"/>
      <c r="X323" s="130"/>
      <c r="Y323" s="130"/>
      <c r="Z323" s="114"/>
      <c r="AA323" s="114"/>
      <c r="AB323" s="114"/>
      <c r="AC323" s="114"/>
      <c r="AD323" s="114"/>
      <c r="AE323" s="114"/>
      <c r="AF323" s="114"/>
      <c r="AG323" s="114"/>
      <c r="AH323" s="114"/>
      <c r="AI323" s="114"/>
      <c r="AJ323" s="114"/>
      <c r="AK323" s="114"/>
      <c r="AL323" s="114"/>
      <c r="AM323" s="114"/>
      <c r="AN323" s="114"/>
      <c r="AO323" s="114"/>
      <c r="AP323" s="130"/>
      <c r="AQ323" s="130"/>
    </row>
    <row r="324" ht="15.75" customHeight="1">
      <c r="A324" s="114"/>
      <c r="B324" s="114"/>
      <c r="C324" s="114"/>
      <c r="D324" s="114"/>
      <c r="E324" s="114"/>
      <c r="F324" s="114"/>
      <c r="G324" s="322"/>
      <c r="H324" s="114"/>
      <c r="I324" s="130"/>
      <c r="J324" s="114"/>
      <c r="K324" s="114"/>
      <c r="L324" s="130"/>
      <c r="M324" s="114"/>
      <c r="N324" s="130"/>
      <c r="O324" s="114"/>
      <c r="P324" s="165"/>
      <c r="Q324" s="114"/>
      <c r="R324" s="114"/>
      <c r="S324" s="114"/>
      <c r="T324" s="114"/>
      <c r="U324" s="114"/>
      <c r="V324" s="114"/>
      <c r="W324" s="130"/>
      <c r="X324" s="130"/>
      <c r="Y324" s="130"/>
      <c r="Z324" s="114"/>
      <c r="AA324" s="114"/>
      <c r="AB324" s="114"/>
      <c r="AC324" s="114"/>
      <c r="AD324" s="114"/>
      <c r="AE324" s="114"/>
      <c r="AF324" s="114"/>
      <c r="AG324" s="114"/>
      <c r="AH324" s="114"/>
      <c r="AI324" s="114"/>
      <c r="AJ324" s="114"/>
      <c r="AK324" s="114"/>
      <c r="AL324" s="114"/>
      <c r="AM324" s="114"/>
      <c r="AN324" s="114"/>
      <c r="AO324" s="114"/>
      <c r="AP324" s="130"/>
      <c r="AQ324" s="130"/>
    </row>
    <row r="325" ht="15.75" customHeight="1">
      <c r="A325" s="114"/>
      <c r="B325" s="114"/>
      <c r="C325" s="114"/>
      <c r="D325" s="114"/>
      <c r="E325" s="114"/>
      <c r="F325" s="114"/>
      <c r="G325" s="322"/>
      <c r="H325" s="114"/>
      <c r="I325" s="130"/>
      <c r="J325" s="114"/>
      <c r="K325" s="114"/>
      <c r="L325" s="130"/>
      <c r="M325" s="114"/>
      <c r="N325" s="130"/>
      <c r="O325" s="114"/>
      <c r="P325" s="165"/>
      <c r="Q325" s="114"/>
      <c r="R325" s="114"/>
      <c r="S325" s="114"/>
      <c r="T325" s="114"/>
      <c r="U325" s="114"/>
      <c r="V325" s="114"/>
      <c r="W325" s="130"/>
      <c r="X325" s="130"/>
      <c r="Y325" s="130"/>
      <c r="Z325" s="114"/>
      <c r="AA325" s="114"/>
      <c r="AB325" s="114"/>
      <c r="AC325" s="114"/>
      <c r="AD325" s="114"/>
      <c r="AE325" s="114"/>
      <c r="AF325" s="114"/>
      <c r="AG325" s="114"/>
      <c r="AH325" s="114"/>
      <c r="AI325" s="114"/>
      <c r="AJ325" s="114"/>
      <c r="AK325" s="114"/>
      <c r="AL325" s="114"/>
      <c r="AM325" s="114"/>
      <c r="AN325" s="114"/>
      <c r="AO325" s="114"/>
      <c r="AP325" s="130"/>
      <c r="AQ325" s="130"/>
    </row>
    <row r="326" ht="15.75" customHeight="1">
      <c r="A326" s="114"/>
      <c r="B326" s="114"/>
      <c r="C326" s="114"/>
      <c r="D326" s="114"/>
      <c r="E326" s="114"/>
      <c r="F326" s="114"/>
      <c r="G326" s="322"/>
      <c r="H326" s="114"/>
      <c r="I326" s="130"/>
      <c r="J326" s="114"/>
      <c r="K326" s="114"/>
      <c r="L326" s="130"/>
      <c r="M326" s="114"/>
      <c r="N326" s="130"/>
      <c r="O326" s="114"/>
      <c r="P326" s="165"/>
      <c r="Q326" s="114"/>
      <c r="R326" s="114"/>
      <c r="S326" s="114"/>
      <c r="T326" s="114"/>
      <c r="U326" s="114"/>
      <c r="V326" s="114"/>
      <c r="W326" s="130"/>
      <c r="X326" s="130"/>
      <c r="Y326" s="130"/>
      <c r="Z326" s="114"/>
      <c r="AA326" s="114"/>
      <c r="AB326" s="114"/>
      <c r="AC326" s="114"/>
      <c r="AD326" s="114"/>
      <c r="AE326" s="114"/>
      <c r="AF326" s="114"/>
      <c r="AG326" s="114"/>
      <c r="AH326" s="114"/>
      <c r="AI326" s="114"/>
      <c r="AJ326" s="114"/>
      <c r="AK326" s="114"/>
      <c r="AL326" s="114"/>
      <c r="AM326" s="114"/>
      <c r="AN326" s="114"/>
      <c r="AO326" s="114"/>
      <c r="AP326" s="130"/>
      <c r="AQ326" s="130"/>
    </row>
    <row r="327" ht="15.75" customHeight="1">
      <c r="A327" s="114"/>
      <c r="B327" s="114"/>
      <c r="C327" s="114"/>
      <c r="D327" s="114"/>
      <c r="E327" s="114"/>
      <c r="F327" s="114"/>
      <c r="G327" s="322"/>
      <c r="H327" s="114"/>
      <c r="I327" s="130"/>
      <c r="J327" s="114"/>
      <c r="K327" s="114"/>
      <c r="L327" s="130"/>
      <c r="M327" s="114"/>
      <c r="N327" s="130"/>
      <c r="O327" s="114"/>
      <c r="P327" s="165"/>
      <c r="Q327" s="114"/>
      <c r="R327" s="114"/>
      <c r="S327" s="114"/>
      <c r="T327" s="114"/>
      <c r="U327" s="114"/>
      <c r="V327" s="114"/>
      <c r="W327" s="130"/>
      <c r="X327" s="130"/>
      <c r="Y327" s="130"/>
      <c r="Z327" s="114"/>
      <c r="AA327" s="114"/>
      <c r="AB327" s="114"/>
      <c r="AC327" s="114"/>
      <c r="AD327" s="114"/>
      <c r="AE327" s="114"/>
      <c r="AF327" s="114"/>
      <c r="AG327" s="114"/>
      <c r="AH327" s="114"/>
      <c r="AI327" s="114"/>
      <c r="AJ327" s="114"/>
      <c r="AK327" s="114"/>
      <c r="AL327" s="114"/>
      <c r="AM327" s="114"/>
      <c r="AN327" s="114"/>
      <c r="AO327" s="114"/>
      <c r="AP327" s="130"/>
      <c r="AQ327" s="130"/>
    </row>
    <row r="328" ht="15.75" customHeight="1">
      <c r="A328" s="114"/>
      <c r="B328" s="114"/>
      <c r="C328" s="114"/>
      <c r="D328" s="114"/>
      <c r="E328" s="114"/>
      <c r="F328" s="114"/>
      <c r="G328" s="322"/>
      <c r="H328" s="114"/>
      <c r="I328" s="130"/>
      <c r="J328" s="114"/>
      <c r="K328" s="114"/>
      <c r="L328" s="130"/>
      <c r="M328" s="114"/>
      <c r="N328" s="130"/>
      <c r="O328" s="114"/>
      <c r="P328" s="165"/>
      <c r="Q328" s="114"/>
      <c r="R328" s="114"/>
      <c r="S328" s="114"/>
      <c r="T328" s="114"/>
      <c r="U328" s="114"/>
      <c r="V328" s="114"/>
      <c r="W328" s="130"/>
      <c r="X328" s="130"/>
      <c r="Y328" s="130"/>
      <c r="Z328" s="114"/>
      <c r="AA328" s="114"/>
      <c r="AB328" s="114"/>
      <c r="AC328" s="114"/>
      <c r="AD328" s="114"/>
      <c r="AE328" s="114"/>
      <c r="AF328" s="114"/>
      <c r="AG328" s="114"/>
      <c r="AH328" s="114"/>
      <c r="AI328" s="114"/>
      <c r="AJ328" s="114"/>
      <c r="AK328" s="114"/>
      <c r="AL328" s="114"/>
      <c r="AM328" s="114"/>
      <c r="AN328" s="114"/>
      <c r="AO328" s="114"/>
      <c r="AP328" s="130"/>
      <c r="AQ328" s="130"/>
    </row>
    <row r="329" ht="15.75" customHeight="1">
      <c r="A329" s="114"/>
      <c r="B329" s="114"/>
      <c r="C329" s="114"/>
      <c r="D329" s="114"/>
      <c r="E329" s="114"/>
      <c r="F329" s="114"/>
      <c r="G329" s="322"/>
      <c r="H329" s="114"/>
      <c r="I329" s="130"/>
      <c r="J329" s="114"/>
      <c r="K329" s="114"/>
      <c r="L329" s="130"/>
      <c r="M329" s="114"/>
      <c r="N329" s="130"/>
      <c r="O329" s="114"/>
      <c r="P329" s="165"/>
      <c r="Q329" s="114"/>
      <c r="R329" s="114"/>
      <c r="S329" s="114"/>
      <c r="T329" s="114"/>
      <c r="U329" s="114"/>
      <c r="V329" s="114"/>
      <c r="W329" s="130"/>
      <c r="X329" s="130"/>
      <c r="Y329" s="130"/>
      <c r="Z329" s="114"/>
      <c r="AA329" s="114"/>
      <c r="AB329" s="114"/>
      <c r="AC329" s="114"/>
      <c r="AD329" s="114"/>
      <c r="AE329" s="114"/>
      <c r="AF329" s="114"/>
      <c r="AG329" s="114"/>
      <c r="AH329" s="114"/>
      <c r="AI329" s="114"/>
      <c r="AJ329" s="114"/>
      <c r="AK329" s="114"/>
      <c r="AL329" s="114"/>
      <c r="AM329" s="114"/>
      <c r="AN329" s="114"/>
      <c r="AO329" s="114"/>
      <c r="AP329" s="130"/>
      <c r="AQ329" s="130"/>
    </row>
    <row r="330" ht="15.75" customHeight="1">
      <c r="A330" s="114"/>
      <c r="B330" s="114"/>
      <c r="C330" s="114"/>
      <c r="D330" s="114"/>
      <c r="E330" s="114"/>
      <c r="F330" s="114"/>
      <c r="G330" s="322"/>
      <c r="H330" s="114"/>
      <c r="I330" s="130"/>
      <c r="J330" s="114"/>
      <c r="K330" s="114"/>
      <c r="L330" s="130"/>
      <c r="M330" s="114"/>
      <c r="N330" s="130"/>
      <c r="O330" s="114"/>
      <c r="P330" s="165"/>
      <c r="Q330" s="114"/>
      <c r="R330" s="114"/>
      <c r="S330" s="114"/>
      <c r="T330" s="114"/>
      <c r="U330" s="114"/>
      <c r="V330" s="114"/>
      <c r="W330" s="130"/>
      <c r="X330" s="130"/>
      <c r="Y330" s="130"/>
      <c r="Z330" s="114"/>
      <c r="AA330" s="114"/>
      <c r="AB330" s="114"/>
      <c r="AC330" s="114"/>
      <c r="AD330" s="114"/>
      <c r="AE330" s="114"/>
      <c r="AF330" s="114"/>
      <c r="AG330" s="114"/>
      <c r="AH330" s="114"/>
      <c r="AI330" s="114"/>
      <c r="AJ330" s="114"/>
      <c r="AK330" s="114"/>
      <c r="AL330" s="114"/>
      <c r="AM330" s="114"/>
      <c r="AN330" s="114"/>
      <c r="AO330" s="114"/>
      <c r="AP330" s="130"/>
      <c r="AQ330" s="130"/>
    </row>
    <row r="331" ht="15.75" customHeight="1">
      <c r="A331" s="114"/>
      <c r="B331" s="114"/>
      <c r="C331" s="114"/>
      <c r="D331" s="114"/>
      <c r="E331" s="114"/>
      <c r="F331" s="114"/>
      <c r="G331" s="322"/>
      <c r="H331" s="114"/>
      <c r="I331" s="130"/>
      <c r="J331" s="114"/>
      <c r="K331" s="114"/>
      <c r="L331" s="130"/>
      <c r="M331" s="114"/>
      <c r="N331" s="130"/>
      <c r="O331" s="114"/>
      <c r="P331" s="165"/>
      <c r="Q331" s="114"/>
      <c r="R331" s="114"/>
      <c r="S331" s="114"/>
      <c r="T331" s="114"/>
      <c r="U331" s="114"/>
      <c r="V331" s="114"/>
      <c r="W331" s="130"/>
      <c r="X331" s="130"/>
      <c r="Y331" s="130"/>
      <c r="Z331" s="114"/>
      <c r="AA331" s="114"/>
      <c r="AB331" s="114"/>
      <c r="AC331" s="114"/>
      <c r="AD331" s="114"/>
      <c r="AE331" s="114"/>
      <c r="AF331" s="114"/>
      <c r="AG331" s="114"/>
      <c r="AH331" s="114"/>
      <c r="AI331" s="114"/>
      <c r="AJ331" s="114"/>
      <c r="AK331" s="114"/>
      <c r="AL331" s="114"/>
      <c r="AM331" s="114"/>
      <c r="AN331" s="114"/>
      <c r="AO331" s="114"/>
      <c r="AP331" s="130"/>
      <c r="AQ331" s="130"/>
    </row>
    <row r="332" ht="15.75" customHeight="1">
      <c r="A332" s="114"/>
      <c r="B332" s="114"/>
      <c r="C332" s="114"/>
      <c r="D332" s="114"/>
      <c r="E332" s="114"/>
      <c r="F332" s="114"/>
      <c r="G332" s="322"/>
      <c r="H332" s="114"/>
      <c r="I332" s="130"/>
      <c r="J332" s="114"/>
      <c r="K332" s="114"/>
      <c r="L332" s="130"/>
      <c r="M332" s="114"/>
      <c r="N332" s="130"/>
      <c r="O332" s="114"/>
      <c r="P332" s="165"/>
      <c r="Q332" s="114"/>
      <c r="R332" s="114"/>
      <c r="S332" s="114"/>
      <c r="T332" s="114"/>
      <c r="U332" s="114"/>
      <c r="V332" s="114"/>
      <c r="W332" s="130"/>
      <c r="X332" s="130"/>
      <c r="Y332" s="130"/>
      <c r="Z332" s="114"/>
      <c r="AA332" s="114"/>
      <c r="AB332" s="114"/>
      <c r="AC332" s="114"/>
      <c r="AD332" s="114"/>
      <c r="AE332" s="114"/>
      <c r="AF332" s="114"/>
      <c r="AG332" s="114"/>
      <c r="AH332" s="114"/>
      <c r="AI332" s="114"/>
      <c r="AJ332" s="114"/>
      <c r="AK332" s="114"/>
      <c r="AL332" s="114"/>
      <c r="AM332" s="114"/>
      <c r="AN332" s="114"/>
      <c r="AO332" s="114"/>
      <c r="AP332" s="130"/>
      <c r="AQ332" s="130"/>
    </row>
    <row r="333" ht="15.75" customHeight="1">
      <c r="A333" s="114"/>
      <c r="B333" s="114"/>
      <c r="C333" s="114"/>
      <c r="D333" s="114"/>
      <c r="E333" s="114"/>
      <c r="F333" s="114"/>
      <c r="G333" s="322"/>
      <c r="H333" s="114"/>
      <c r="I333" s="130"/>
      <c r="J333" s="114"/>
      <c r="K333" s="114"/>
      <c r="L333" s="130"/>
      <c r="M333" s="114"/>
      <c r="N333" s="130"/>
      <c r="O333" s="114"/>
      <c r="P333" s="165"/>
      <c r="Q333" s="114"/>
      <c r="R333" s="114"/>
      <c r="S333" s="114"/>
      <c r="T333" s="114"/>
      <c r="U333" s="114"/>
      <c r="V333" s="114"/>
      <c r="W333" s="130"/>
      <c r="X333" s="130"/>
      <c r="Y333" s="130"/>
      <c r="Z333" s="114"/>
      <c r="AA333" s="114"/>
      <c r="AB333" s="114"/>
      <c r="AC333" s="114"/>
      <c r="AD333" s="114"/>
      <c r="AE333" s="114"/>
      <c r="AF333" s="114"/>
      <c r="AG333" s="114"/>
      <c r="AH333" s="114"/>
      <c r="AI333" s="114"/>
      <c r="AJ333" s="114"/>
      <c r="AK333" s="114"/>
      <c r="AL333" s="114"/>
      <c r="AM333" s="114"/>
      <c r="AN333" s="114"/>
      <c r="AO333" s="114"/>
      <c r="AP333" s="130"/>
      <c r="AQ333" s="130"/>
    </row>
    <row r="334" ht="15.75" customHeight="1">
      <c r="A334" s="114"/>
      <c r="B334" s="114"/>
      <c r="C334" s="114"/>
      <c r="D334" s="114"/>
      <c r="E334" s="114"/>
      <c r="F334" s="114"/>
      <c r="G334" s="322"/>
      <c r="H334" s="114"/>
      <c r="I334" s="130"/>
      <c r="J334" s="114"/>
      <c r="K334" s="114"/>
      <c r="L334" s="130"/>
      <c r="M334" s="114"/>
      <c r="N334" s="130"/>
      <c r="O334" s="114"/>
      <c r="P334" s="165"/>
      <c r="Q334" s="114"/>
      <c r="R334" s="114"/>
      <c r="S334" s="114"/>
      <c r="T334" s="114"/>
      <c r="U334" s="114"/>
      <c r="V334" s="114"/>
      <c r="W334" s="130"/>
      <c r="X334" s="130"/>
      <c r="Y334" s="130"/>
      <c r="Z334" s="114"/>
      <c r="AA334" s="114"/>
      <c r="AB334" s="114"/>
      <c r="AC334" s="114"/>
      <c r="AD334" s="114"/>
      <c r="AE334" s="114"/>
      <c r="AF334" s="114"/>
      <c r="AG334" s="114"/>
      <c r="AH334" s="114"/>
      <c r="AI334" s="114"/>
      <c r="AJ334" s="114"/>
      <c r="AK334" s="114"/>
      <c r="AL334" s="114"/>
      <c r="AM334" s="114"/>
      <c r="AN334" s="114"/>
      <c r="AO334" s="114"/>
      <c r="AP334" s="130"/>
      <c r="AQ334" s="130"/>
    </row>
    <row r="335" ht="15.75" customHeight="1">
      <c r="A335" s="114"/>
      <c r="B335" s="114"/>
      <c r="C335" s="114"/>
      <c r="D335" s="114"/>
      <c r="E335" s="114"/>
      <c r="F335" s="114"/>
      <c r="G335" s="322"/>
      <c r="H335" s="114"/>
      <c r="I335" s="130"/>
      <c r="J335" s="114"/>
      <c r="K335" s="114"/>
      <c r="L335" s="130"/>
      <c r="M335" s="114"/>
      <c r="N335" s="130"/>
      <c r="O335" s="114"/>
      <c r="P335" s="165"/>
      <c r="Q335" s="114"/>
      <c r="R335" s="114"/>
      <c r="S335" s="114"/>
      <c r="T335" s="114"/>
      <c r="U335" s="114"/>
      <c r="V335" s="114"/>
      <c r="W335" s="130"/>
      <c r="X335" s="130"/>
      <c r="Y335" s="130"/>
      <c r="Z335" s="114"/>
      <c r="AA335" s="114"/>
      <c r="AB335" s="114"/>
      <c r="AC335" s="114"/>
      <c r="AD335" s="114"/>
      <c r="AE335" s="114"/>
      <c r="AF335" s="114"/>
      <c r="AG335" s="114"/>
      <c r="AH335" s="114"/>
      <c r="AI335" s="114"/>
      <c r="AJ335" s="114"/>
      <c r="AK335" s="114"/>
      <c r="AL335" s="114"/>
      <c r="AM335" s="114"/>
      <c r="AN335" s="114"/>
      <c r="AO335" s="114"/>
      <c r="AP335" s="130"/>
      <c r="AQ335" s="130"/>
    </row>
    <row r="336" ht="15.75" customHeight="1">
      <c r="A336" s="114"/>
      <c r="B336" s="114"/>
      <c r="C336" s="114"/>
      <c r="D336" s="114"/>
      <c r="E336" s="114"/>
      <c r="F336" s="114"/>
      <c r="G336" s="322"/>
      <c r="H336" s="114"/>
      <c r="I336" s="130"/>
      <c r="J336" s="114"/>
      <c r="K336" s="114"/>
      <c r="L336" s="130"/>
      <c r="M336" s="114"/>
      <c r="N336" s="130"/>
      <c r="O336" s="114"/>
      <c r="P336" s="165"/>
      <c r="Q336" s="114"/>
      <c r="R336" s="114"/>
      <c r="S336" s="114"/>
      <c r="T336" s="114"/>
      <c r="U336" s="114"/>
      <c r="V336" s="114"/>
      <c r="W336" s="130"/>
      <c r="X336" s="130"/>
      <c r="Y336" s="130"/>
      <c r="Z336" s="114"/>
      <c r="AA336" s="114"/>
      <c r="AB336" s="114"/>
      <c r="AC336" s="114"/>
      <c r="AD336" s="114"/>
      <c r="AE336" s="114"/>
      <c r="AF336" s="114"/>
      <c r="AG336" s="114"/>
      <c r="AH336" s="114"/>
      <c r="AI336" s="114"/>
      <c r="AJ336" s="114"/>
      <c r="AK336" s="114"/>
      <c r="AL336" s="114"/>
      <c r="AM336" s="114"/>
      <c r="AN336" s="114"/>
      <c r="AO336" s="114"/>
      <c r="AP336" s="130"/>
      <c r="AQ336" s="130"/>
    </row>
    <row r="337" ht="15.75" customHeight="1">
      <c r="A337" s="114"/>
      <c r="B337" s="114"/>
      <c r="C337" s="114"/>
      <c r="D337" s="114"/>
      <c r="E337" s="114"/>
      <c r="F337" s="114"/>
      <c r="G337" s="322"/>
      <c r="H337" s="114"/>
      <c r="I337" s="130"/>
      <c r="J337" s="114"/>
      <c r="K337" s="114"/>
      <c r="L337" s="130"/>
      <c r="M337" s="114"/>
      <c r="N337" s="130"/>
      <c r="O337" s="114"/>
      <c r="P337" s="165"/>
      <c r="Q337" s="114"/>
      <c r="R337" s="114"/>
      <c r="S337" s="114"/>
      <c r="T337" s="114"/>
      <c r="U337" s="114"/>
      <c r="V337" s="114"/>
      <c r="W337" s="130"/>
      <c r="X337" s="130"/>
      <c r="Y337" s="130"/>
      <c r="Z337" s="114"/>
      <c r="AA337" s="114"/>
      <c r="AB337" s="114"/>
      <c r="AC337" s="114"/>
      <c r="AD337" s="114"/>
      <c r="AE337" s="114"/>
      <c r="AF337" s="114"/>
      <c r="AG337" s="114"/>
      <c r="AH337" s="114"/>
      <c r="AI337" s="114"/>
      <c r="AJ337" s="114"/>
      <c r="AK337" s="114"/>
      <c r="AL337" s="114"/>
      <c r="AM337" s="114"/>
      <c r="AN337" s="114"/>
      <c r="AO337" s="114"/>
      <c r="AP337" s="130"/>
      <c r="AQ337" s="130"/>
    </row>
    <row r="338" ht="15.75" customHeight="1">
      <c r="A338" s="114"/>
      <c r="B338" s="114"/>
      <c r="C338" s="114"/>
      <c r="D338" s="114"/>
      <c r="E338" s="114"/>
      <c r="F338" s="114"/>
      <c r="G338" s="322"/>
      <c r="H338" s="114"/>
      <c r="I338" s="130"/>
      <c r="J338" s="114"/>
      <c r="K338" s="114"/>
      <c r="L338" s="130"/>
      <c r="M338" s="114"/>
      <c r="N338" s="130"/>
      <c r="O338" s="114"/>
      <c r="P338" s="165"/>
      <c r="Q338" s="114"/>
      <c r="R338" s="114"/>
      <c r="S338" s="114"/>
      <c r="T338" s="114"/>
      <c r="U338" s="114"/>
      <c r="V338" s="114"/>
      <c r="W338" s="130"/>
      <c r="X338" s="130"/>
      <c r="Y338" s="130"/>
      <c r="Z338" s="114"/>
      <c r="AA338" s="114"/>
      <c r="AB338" s="114"/>
      <c r="AC338" s="114"/>
      <c r="AD338" s="114"/>
      <c r="AE338" s="114"/>
      <c r="AF338" s="114"/>
      <c r="AG338" s="114"/>
      <c r="AH338" s="114"/>
      <c r="AI338" s="114"/>
      <c r="AJ338" s="114"/>
      <c r="AK338" s="114"/>
      <c r="AL338" s="114"/>
      <c r="AM338" s="114"/>
      <c r="AN338" s="114"/>
      <c r="AO338" s="114"/>
      <c r="AP338" s="130"/>
      <c r="AQ338" s="130"/>
    </row>
    <row r="339" ht="15.75" customHeight="1">
      <c r="A339" s="114"/>
      <c r="B339" s="114"/>
      <c r="C339" s="114"/>
      <c r="D339" s="114"/>
      <c r="E339" s="114"/>
      <c r="F339" s="114"/>
      <c r="G339" s="322"/>
      <c r="H339" s="114"/>
      <c r="I339" s="130"/>
      <c r="J339" s="114"/>
      <c r="K339" s="114"/>
      <c r="L339" s="130"/>
      <c r="M339" s="114"/>
      <c r="N339" s="130"/>
      <c r="O339" s="114"/>
      <c r="P339" s="165"/>
      <c r="Q339" s="114"/>
      <c r="R339" s="114"/>
      <c r="S339" s="114"/>
      <c r="T339" s="114"/>
      <c r="U339" s="114"/>
      <c r="V339" s="114"/>
      <c r="W339" s="130"/>
      <c r="X339" s="130"/>
      <c r="Y339" s="130"/>
      <c r="Z339" s="114"/>
      <c r="AA339" s="114"/>
      <c r="AB339" s="114"/>
      <c r="AC339" s="114"/>
      <c r="AD339" s="114"/>
      <c r="AE339" s="114"/>
      <c r="AF339" s="114"/>
      <c r="AG339" s="114"/>
      <c r="AH339" s="114"/>
      <c r="AI339" s="114"/>
      <c r="AJ339" s="114"/>
      <c r="AK339" s="114"/>
      <c r="AL339" s="114"/>
      <c r="AM339" s="114"/>
      <c r="AN339" s="114"/>
      <c r="AO339" s="114"/>
      <c r="AP339" s="130"/>
      <c r="AQ339" s="130"/>
    </row>
    <row r="340" ht="15.75" customHeight="1">
      <c r="A340" s="114"/>
      <c r="B340" s="114"/>
      <c r="C340" s="114"/>
      <c r="D340" s="114"/>
      <c r="E340" s="114"/>
      <c r="F340" s="114"/>
      <c r="G340" s="322"/>
      <c r="H340" s="114"/>
      <c r="I340" s="130"/>
      <c r="J340" s="114"/>
      <c r="K340" s="114"/>
      <c r="L340" s="130"/>
      <c r="M340" s="114"/>
      <c r="N340" s="130"/>
      <c r="O340" s="114"/>
      <c r="P340" s="165"/>
      <c r="Q340" s="114"/>
      <c r="R340" s="114"/>
      <c r="S340" s="114"/>
      <c r="T340" s="114"/>
      <c r="U340" s="114"/>
      <c r="V340" s="114"/>
      <c r="W340" s="130"/>
      <c r="X340" s="130"/>
      <c r="Y340" s="130"/>
      <c r="Z340" s="114"/>
      <c r="AA340" s="114"/>
      <c r="AB340" s="114"/>
      <c r="AC340" s="114"/>
      <c r="AD340" s="114"/>
      <c r="AE340" s="114"/>
      <c r="AF340" s="114"/>
      <c r="AG340" s="114"/>
      <c r="AH340" s="114"/>
      <c r="AI340" s="114"/>
      <c r="AJ340" s="114"/>
      <c r="AK340" s="114"/>
      <c r="AL340" s="114"/>
      <c r="AM340" s="114"/>
      <c r="AN340" s="114"/>
      <c r="AO340" s="114"/>
      <c r="AP340" s="130"/>
      <c r="AQ340" s="130"/>
    </row>
    <row r="341" ht="15.75" customHeight="1">
      <c r="A341" s="114"/>
      <c r="B341" s="114"/>
      <c r="C341" s="114"/>
      <c r="D341" s="114"/>
      <c r="E341" s="114"/>
      <c r="F341" s="114"/>
      <c r="G341" s="322"/>
      <c r="H341" s="114"/>
      <c r="I341" s="130"/>
      <c r="J341" s="114"/>
      <c r="K341" s="114"/>
      <c r="L341" s="130"/>
      <c r="M341" s="114"/>
      <c r="N341" s="130"/>
      <c r="O341" s="114"/>
      <c r="P341" s="165"/>
      <c r="Q341" s="114"/>
      <c r="R341" s="114"/>
      <c r="S341" s="114"/>
      <c r="T341" s="114"/>
      <c r="U341" s="114"/>
      <c r="V341" s="114"/>
      <c r="W341" s="130"/>
      <c r="X341" s="130"/>
      <c r="Y341" s="130"/>
      <c r="Z341" s="114"/>
      <c r="AA341" s="114"/>
      <c r="AB341" s="114"/>
      <c r="AC341" s="114"/>
      <c r="AD341" s="114"/>
      <c r="AE341" s="114"/>
      <c r="AF341" s="114"/>
      <c r="AG341" s="114"/>
      <c r="AH341" s="114"/>
      <c r="AI341" s="114"/>
      <c r="AJ341" s="114"/>
      <c r="AK341" s="114"/>
      <c r="AL341" s="114"/>
      <c r="AM341" s="114"/>
      <c r="AN341" s="114"/>
      <c r="AO341" s="114"/>
      <c r="AP341" s="130"/>
      <c r="AQ341" s="130"/>
    </row>
    <row r="342" ht="15.75" customHeight="1">
      <c r="A342" s="114"/>
      <c r="B342" s="114"/>
      <c r="C342" s="114"/>
      <c r="D342" s="114"/>
      <c r="E342" s="114"/>
      <c r="F342" s="114"/>
      <c r="G342" s="322"/>
      <c r="H342" s="114"/>
      <c r="I342" s="130"/>
      <c r="J342" s="114"/>
      <c r="K342" s="114"/>
      <c r="L342" s="130"/>
      <c r="M342" s="114"/>
      <c r="N342" s="130"/>
      <c r="O342" s="114"/>
      <c r="P342" s="165"/>
      <c r="Q342" s="114"/>
      <c r="R342" s="114"/>
      <c r="S342" s="114"/>
      <c r="T342" s="114"/>
      <c r="U342" s="114"/>
      <c r="V342" s="114"/>
      <c r="W342" s="130"/>
      <c r="X342" s="130"/>
      <c r="Y342" s="130"/>
      <c r="Z342" s="114"/>
      <c r="AA342" s="114"/>
      <c r="AB342" s="114"/>
      <c r="AC342" s="114"/>
      <c r="AD342" s="114"/>
      <c r="AE342" s="114"/>
      <c r="AF342" s="114"/>
      <c r="AG342" s="114"/>
      <c r="AH342" s="114"/>
      <c r="AI342" s="114"/>
      <c r="AJ342" s="114"/>
      <c r="AK342" s="114"/>
      <c r="AL342" s="114"/>
      <c r="AM342" s="114"/>
      <c r="AN342" s="114"/>
      <c r="AO342" s="114"/>
      <c r="AP342" s="130"/>
      <c r="AQ342" s="130"/>
    </row>
    <row r="343" ht="15.75" customHeight="1">
      <c r="A343" s="114"/>
      <c r="B343" s="114"/>
      <c r="C343" s="114"/>
      <c r="D343" s="114"/>
      <c r="E343" s="114"/>
      <c r="F343" s="114"/>
      <c r="G343" s="322"/>
      <c r="H343" s="114"/>
      <c r="I343" s="130"/>
      <c r="J343" s="114"/>
      <c r="K343" s="114"/>
      <c r="L343" s="130"/>
      <c r="M343" s="114"/>
      <c r="N343" s="130"/>
      <c r="O343" s="114"/>
      <c r="P343" s="165"/>
      <c r="Q343" s="114"/>
      <c r="R343" s="114"/>
      <c r="S343" s="114"/>
      <c r="T343" s="114"/>
      <c r="U343" s="114"/>
      <c r="V343" s="114"/>
      <c r="W343" s="130"/>
      <c r="X343" s="130"/>
      <c r="Y343" s="130"/>
      <c r="Z343" s="114"/>
      <c r="AA343" s="114"/>
      <c r="AB343" s="114"/>
      <c r="AC343" s="114"/>
      <c r="AD343" s="114"/>
      <c r="AE343" s="114"/>
      <c r="AF343" s="114"/>
      <c r="AG343" s="114"/>
      <c r="AH343" s="114"/>
      <c r="AI343" s="114"/>
      <c r="AJ343" s="114"/>
      <c r="AK343" s="114"/>
      <c r="AL343" s="114"/>
      <c r="AM343" s="114"/>
      <c r="AN343" s="114"/>
      <c r="AO343" s="114"/>
      <c r="AP343" s="130"/>
      <c r="AQ343" s="130"/>
    </row>
    <row r="344" ht="15.75" customHeight="1">
      <c r="A344" s="114"/>
      <c r="B344" s="114"/>
      <c r="C344" s="114"/>
      <c r="D344" s="114"/>
      <c r="E344" s="114"/>
      <c r="F344" s="114"/>
      <c r="G344" s="322"/>
      <c r="H344" s="114"/>
      <c r="I344" s="130"/>
      <c r="J344" s="114"/>
      <c r="K344" s="114"/>
      <c r="L344" s="130"/>
      <c r="M344" s="114"/>
      <c r="N344" s="130"/>
      <c r="O344" s="114"/>
      <c r="P344" s="165"/>
      <c r="Q344" s="114"/>
      <c r="R344" s="114"/>
      <c r="S344" s="114"/>
      <c r="T344" s="114"/>
      <c r="U344" s="114"/>
      <c r="V344" s="114"/>
      <c r="W344" s="130"/>
      <c r="X344" s="130"/>
      <c r="Y344" s="130"/>
      <c r="Z344" s="114"/>
      <c r="AA344" s="114"/>
      <c r="AB344" s="114"/>
      <c r="AC344" s="114"/>
      <c r="AD344" s="114"/>
      <c r="AE344" s="114"/>
      <c r="AF344" s="114"/>
      <c r="AG344" s="114"/>
      <c r="AH344" s="114"/>
      <c r="AI344" s="114"/>
      <c r="AJ344" s="114"/>
      <c r="AK344" s="114"/>
      <c r="AL344" s="114"/>
      <c r="AM344" s="114"/>
      <c r="AN344" s="114"/>
      <c r="AO344" s="114"/>
      <c r="AP344" s="130"/>
      <c r="AQ344" s="130"/>
    </row>
    <row r="345" ht="15.75" customHeight="1">
      <c r="A345" s="114"/>
      <c r="B345" s="114"/>
      <c r="C345" s="114"/>
      <c r="D345" s="114"/>
      <c r="E345" s="114"/>
      <c r="F345" s="114"/>
      <c r="G345" s="322"/>
      <c r="H345" s="114"/>
      <c r="I345" s="130"/>
      <c r="J345" s="114"/>
      <c r="K345" s="114"/>
      <c r="L345" s="130"/>
      <c r="M345" s="114"/>
      <c r="N345" s="130"/>
      <c r="O345" s="114"/>
      <c r="P345" s="165"/>
      <c r="Q345" s="114"/>
      <c r="R345" s="114"/>
      <c r="S345" s="114"/>
      <c r="T345" s="114"/>
      <c r="U345" s="114"/>
      <c r="V345" s="114"/>
      <c r="W345" s="130"/>
      <c r="X345" s="130"/>
      <c r="Y345" s="130"/>
      <c r="Z345" s="114"/>
      <c r="AA345" s="114"/>
      <c r="AB345" s="114"/>
      <c r="AC345" s="114"/>
      <c r="AD345" s="114"/>
      <c r="AE345" s="114"/>
      <c r="AF345" s="114"/>
      <c r="AG345" s="114"/>
      <c r="AH345" s="114"/>
      <c r="AI345" s="114"/>
      <c r="AJ345" s="114"/>
      <c r="AK345" s="114"/>
      <c r="AL345" s="114"/>
      <c r="AM345" s="114"/>
      <c r="AN345" s="114"/>
      <c r="AO345" s="114"/>
      <c r="AP345" s="130"/>
      <c r="AQ345" s="130"/>
    </row>
    <row r="346" ht="15.75" customHeight="1">
      <c r="A346" s="114"/>
      <c r="B346" s="114"/>
      <c r="C346" s="114"/>
      <c r="D346" s="114"/>
      <c r="E346" s="114"/>
      <c r="F346" s="114"/>
      <c r="G346" s="322"/>
      <c r="H346" s="114"/>
      <c r="I346" s="130"/>
      <c r="J346" s="114"/>
      <c r="K346" s="114"/>
      <c r="L346" s="130"/>
      <c r="M346" s="114"/>
      <c r="N346" s="130"/>
      <c r="O346" s="114"/>
      <c r="P346" s="165"/>
      <c r="Q346" s="114"/>
      <c r="R346" s="114"/>
      <c r="S346" s="114"/>
      <c r="T346" s="114"/>
      <c r="U346" s="114"/>
      <c r="V346" s="114"/>
      <c r="W346" s="130"/>
      <c r="X346" s="130"/>
      <c r="Y346" s="130"/>
      <c r="Z346" s="114"/>
      <c r="AA346" s="114"/>
      <c r="AB346" s="114"/>
      <c r="AC346" s="114"/>
      <c r="AD346" s="114"/>
      <c r="AE346" s="114"/>
      <c r="AF346" s="114"/>
      <c r="AG346" s="114"/>
      <c r="AH346" s="114"/>
      <c r="AI346" s="114"/>
      <c r="AJ346" s="114"/>
      <c r="AK346" s="114"/>
      <c r="AL346" s="114"/>
      <c r="AM346" s="114"/>
      <c r="AN346" s="114"/>
      <c r="AO346" s="114"/>
      <c r="AP346" s="130"/>
      <c r="AQ346" s="130"/>
    </row>
    <row r="347" ht="15.75" customHeight="1">
      <c r="A347" s="114"/>
      <c r="B347" s="114"/>
      <c r="C347" s="114"/>
      <c r="D347" s="114"/>
      <c r="E347" s="114"/>
      <c r="F347" s="114"/>
      <c r="G347" s="322"/>
      <c r="H347" s="114"/>
      <c r="I347" s="130"/>
      <c r="J347" s="114"/>
      <c r="K347" s="114"/>
      <c r="L347" s="130"/>
      <c r="M347" s="114"/>
      <c r="N347" s="130"/>
      <c r="O347" s="114"/>
      <c r="P347" s="165"/>
      <c r="Q347" s="114"/>
      <c r="R347" s="114"/>
      <c r="S347" s="114"/>
      <c r="T347" s="114"/>
      <c r="U347" s="114"/>
      <c r="V347" s="114"/>
      <c r="W347" s="130"/>
      <c r="X347" s="130"/>
      <c r="Y347" s="130"/>
      <c r="Z347" s="114"/>
      <c r="AA347" s="114"/>
      <c r="AB347" s="114"/>
      <c r="AC347" s="114"/>
      <c r="AD347" s="114"/>
      <c r="AE347" s="114"/>
      <c r="AF347" s="114"/>
      <c r="AG347" s="114"/>
      <c r="AH347" s="114"/>
      <c r="AI347" s="114"/>
      <c r="AJ347" s="114"/>
      <c r="AK347" s="114"/>
      <c r="AL347" s="114"/>
      <c r="AM347" s="114"/>
      <c r="AN347" s="114"/>
      <c r="AO347" s="114"/>
      <c r="AP347" s="130"/>
      <c r="AQ347" s="130"/>
    </row>
    <row r="348" ht="15.75" customHeight="1">
      <c r="A348" s="114"/>
      <c r="B348" s="114"/>
      <c r="C348" s="114"/>
      <c r="D348" s="114"/>
      <c r="E348" s="114"/>
      <c r="F348" s="114"/>
      <c r="G348" s="322"/>
      <c r="H348" s="114"/>
      <c r="I348" s="130"/>
      <c r="J348" s="114"/>
      <c r="K348" s="114"/>
      <c r="L348" s="130"/>
      <c r="M348" s="114"/>
      <c r="N348" s="130"/>
      <c r="O348" s="114"/>
      <c r="P348" s="165"/>
      <c r="Q348" s="114"/>
      <c r="R348" s="114"/>
      <c r="S348" s="114"/>
      <c r="T348" s="114"/>
      <c r="U348" s="114"/>
      <c r="V348" s="114"/>
      <c r="W348" s="130"/>
      <c r="X348" s="130"/>
      <c r="Y348" s="130"/>
      <c r="Z348" s="114"/>
      <c r="AA348" s="114"/>
      <c r="AB348" s="114"/>
      <c r="AC348" s="114"/>
      <c r="AD348" s="114"/>
      <c r="AE348" s="114"/>
      <c r="AF348" s="114"/>
      <c r="AG348" s="114"/>
      <c r="AH348" s="114"/>
      <c r="AI348" s="114"/>
      <c r="AJ348" s="114"/>
      <c r="AK348" s="114"/>
      <c r="AL348" s="114"/>
      <c r="AM348" s="114"/>
      <c r="AN348" s="114"/>
      <c r="AO348" s="114"/>
      <c r="AP348" s="130"/>
      <c r="AQ348" s="130"/>
    </row>
    <row r="349" ht="15.75" customHeight="1">
      <c r="A349" s="114"/>
      <c r="B349" s="114"/>
      <c r="C349" s="114"/>
      <c r="D349" s="114"/>
      <c r="E349" s="114"/>
      <c r="F349" s="114"/>
      <c r="G349" s="322"/>
      <c r="H349" s="114"/>
      <c r="I349" s="130"/>
      <c r="J349" s="114"/>
      <c r="K349" s="114"/>
      <c r="L349" s="130"/>
      <c r="M349" s="114"/>
      <c r="N349" s="130"/>
      <c r="O349" s="114"/>
      <c r="P349" s="165"/>
      <c r="Q349" s="114"/>
      <c r="R349" s="114"/>
      <c r="S349" s="114"/>
      <c r="T349" s="114"/>
      <c r="U349" s="114"/>
      <c r="V349" s="114"/>
      <c r="W349" s="130"/>
      <c r="X349" s="130"/>
      <c r="Y349" s="130"/>
      <c r="Z349" s="114"/>
      <c r="AA349" s="114"/>
      <c r="AB349" s="114"/>
      <c r="AC349" s="114"/>
      <c r="AD349" s="114"/>
      <c r="AE349" s="114"/>
      <c r="AF349" s="114"/>
      <c r="AG349" s="114"/>
      <c r="AH349" s="114"/>
      <c r="AI349" s="114"/>
      <c r="AJ349" s="114"/>
      <c r="AK349" s="114"/>
      <c r="AL349" s="114"/>
      <c r="AM349" s="114"/>
      <c r="AN349" s="114"/>
      <c r="AO349" s="114"/>
      <c r="AP349" s="130"/>
      <c r="AQ349" s="130"/>
    </row>
    <row r="350" ht="15.75" customHeight="1">
      <c r="A350" s="114"/>
      <c r="B350" s="114"/>
      <c r="C350" s="114"/>
      <c r="D350" s="114"/>
      <c r="E350" s="114"/>
      <c r="F350" s="114"/>
      <c r="G350" s="322"/>
      <c r="H350" s="114"/>
      <c r="I350" s="130"/>
      <c r="J350" s="114"/>
      <c r="K350" s="114"/>
      <c r="L350" s="130"/>
      <c r="M350" s="114"/>
      <c r="N350" s="130"/>
      <c r="O350" s="114"/>
      <c r="P350" s="165"/>
      <c r="Q350" s="114"/>
      <c r="R350" s="114"/>
      <c r="S350" s="114"/>
      <c r="T350" s="114"/>
      <c r="U350" s="114"/>
      <c r="V350" s="114"/>
      <c r="W350" s="130"/>
      <c r="X350" s="130"/>
      <c r="Y350" s="130"/>
      <c r="Z350" s="114"/>
      <c r="AA350" s="114"/>
      <c r="AB350" s="114"/>
      <c r="AC350" s="114"/>
      <c r="AD350" s="114"/>
      <c r="AE350" s="114"/>
      <c r="AF350" s="114"/>
      <c r="AG350" s="114"/>
      <c r="AH350" s="114"/>
      <c r="AI350" s="114"/>
      <c r="AJ350" s="114"/>
      <c r="AK350" s="114"/>
      <c r="AL350" s="114"/>
      <c r="AM350" s="114"/>
      <c r="AN350" s="114"/>
      <c r="AO350" s="114"/>
      <c r="AP350" s="130"/>
      <c r="AQ350" s="130"/>
    </row>
    <row r="351" ht="15.75" customHeight="1">
      <c r="A351" s="114"/>
      <c r="B351" s="114"/>
      <c r="C351" s="114"/>
      <c r="D351" s="114"/>
      <c r="E351" s="114"/>
      <c r="F351" s="114"/>
      <c r="G351" s="322"/>
      <c r="H351" s="114"/>
      <c r="I351" s="130"/>
      <c r="J351" s="114"/>
      <c r="K351" s="114"/>
      <c r="L351" s="130"/>
      <c r="M351" s="114"/>
      <c r="N351" s="130"/>
      <c r="O351" s="114"/>
      <c r="P351" s="165"/>
      <c r="Q351" s="114"/>
      <c r="R351" s="114"/>
      <c r="S351" s="114"/>
      <c r="T351" s="114"/>
      <c r="U351" s="114"/>
      <c r="V351" s="114"/>
      <c r="W351" s="130"/>
      <c r="X351" s="130"/>
      <c r="Y351" s="130"/>
      <c r="Z351" s="114"/>
      <c r="AA351" s="114"/>
      <c r="AB351" s="114"/>
      <c r="AC351" s="114"/>
      <c r="AD351" s="114"/>
      <c r="AE351" s="114"/>
      <c r="AF351" s="114"/>
      <c r="AG351" s="114"/>
      <c r="AH351" s="114"/>
      <c r="AI351" s="114"/>
      <c r="AJ351" s="114"/>
      <c r="AK351" s="114"/>
      <c r="AL351" s="114"/>
      <c r="AM351" s="114"/>
      <c r="AN351" s="114"/>
      <c r="AO351" s="114"/>
      <c r="AP351" s="130"/>
      <c r="AQ351" s="130"/>
    </row>
    <row r="352" ht="15.75" customHeight="1">
      <c r="A352" s="114"/>
      <c r="B352" s="114"/>
      <c r="C352" s="114"/>
      <c r="D352" s="114"/>
      <c r="E352" s="114"/>
      <c r="F352" s="114"/>
      <c r="G352" s="322"/>
      <c r="H352" s="114"/>
      <c r="I352" s="130"/>
      <c r="J352" s="114"/>
      <c r="K352" s="114"/>
      <c r="L352" s="130"/>
      <c r="M352" s="114"/>
      <c r="N352" s="130"/>
      <c r="O352" s="114"/>
      <c r="P352" s="165"/>
      <c r="Q352" s="114"/>
      <c r="R352" s="114"/>
      <c r="S352" s="114"/>
      <c r="T352" s="114"/>
      <c r="U352" s="114"/>
      <c r="V352" s="114"/>
      <c r="W352" s="130"/>
      <c r="X352" s="130"/>
      <c r="Y352" s="130"/>
      <c r="Z352" s="114"/>
      <c r="AA352" s="114"/>
      <c r="AB352" s="114"/>
      <c r="AC352" s="114"/>
      <c r="AD352" s="114"/>
      <c r="AE352" s="114"/>
      <c r="AF352" s="114"/>
      <c r="AG352" s="114"/>
      <c r="AH352" s="114"/>
      <c r="AI352" s="114"/>
      <c r="AJ352" s="114"/>
      <c r="AK352" s="114"/>
      <c r="AL352" s="114"/>
      <c r="AM352" s="114"/>
      <c r="AN352" s="114"/>
      <c r="AO352" s="114"/>
      <c r="AP352" s="130"/>
      <c r="AQ352" s="130"/>
    </row>
    <row r="353" ht="15.75" customHeight="1">
      <c r="A353" s="114"/>
      <c r="B353" s="114"/>
      <c r="C353" s="114"/>
      <c r="D353" s="114"/>
      <c r="E353" s="114"/>
      <c r="F353" s="114"/>
      <c r="G353" s="322"/>
      <c r="H353" s="114"/>
      <c r="I353" s="130"/>
      <c r="J353" s="114"/>
      <c r="K353" s="114"/>
      <c r="L353" s="130"/>
      <c r="M353" s="114"/>
      <c r="N353" s="130"/>
      <c r="O353" s="114"/>
      <c r="P353" s="165"/>
      <c r="Q353" s="114"/>
      <c r="R353" s="114"/>
      <c r="S353" s="114"/>
      <c r="T353" s="114"/>
      <c r="U353" s="114"/>
      <c r="V353" s="114"/>
      <c r="W353" s="130"/>
      <c r="X353" s="130"/>
      <c r="Y353" s="130"/>
      <c r="Z353" s="114"/>
      <c r="AA353" s="114"/>
      <c r="AB353" s="114"/>
      <c r="AC353" s="114"/>
      <c r="AD353" s="114"/>
      <c r="AE353" s="114"/>
      <c r="AF353" s="114"/>
      <c r="AG353" s="114"/>
      <c r="AH353" s="114"/>
      <c r="AI353" s="114"/>
      <c r="AJ353" s="114"/>
      <c r="AK353" s="114"/>
      <c r="AL353" s="114"/>
      <c r="AM353" s="114"/>
      <c r="AN353" s="114"/>
      <c r="AO353" s="114"/>
      <c r="AP353" s="130"/>
      <c r="AQ353" s="130"/>
    </row>
    <row r="354" ht="15.75" customHeight="1">
      <c r="A354" s="114"/>
      <c r="B354" s="114"/>
      <c r="C354" s="114"/>
      <c r="D354" s="114"/>
      <c r="E354" s="114"/>
      <c r="F354" s="114"/>
      <c r="G354" s="322"/>
      <c r="H354" s="114"/>
      <c r="I354" s="130"/>
      <c r="J354" s="114"/>
      <c r="K354" s="114"/>
      <c r="L354" s="130"/>
      <c r="M354" s="114"/>
      <c r="N354" s="130"/>
      <c r="O354" s="114"/>
      <c r="P354" s="165"/>
      <c r="Q354" s="114"/>
      <c r="R354" s="114"/>
      <c r="S354" s="114"/>
      <c r="T354" s="114"/>
      <c r="U354" s="114"/>
      <c r="V354" s="114"/>
      <c r="W354" s="130"/>
      <c r="X354" s="130"/>
      <c r="Y354" s="130"/>
      <c r="Z354" s="114"/>
      <c r="AA354" s="114"/>
      <c r="AB354" s="114"/>
      <c r="AC354" s="114"/>
      <c r="AD354" s="114"/>
      <c r="AE354" s="114"/>
      <c r="AF354" s="114"/>
      <c r="AG354" s="114"/>
      <c r="AH354" s="114"/>
      <c r="AI354" s="114"/>
      <c r="AJ354" s="114"/>
      <c r="AK354" s="114"/>
      <c r="AL354" s="114"/>
      <c r="AM354" s="114"/>
      <c r="AN354" s="114"/>
      <c r="AO354" s="114"/>
      <c r="AP354" s="130"/>
      <c r="AQ354" s="130"/>
    </row>
    <row r="355" ht="15.75" customHeight="1">
      <c r="A355" s="114"/>
      <c r="B355" s="114"/>
      <c r="C355" s="114"/>
      <c r="D355" s="114"/>
      <c r="E355" s="114"/>
      <c r="F355" s="114"/>
      <c r="G355" s="322"/>
      <c r="H355" s="114"/>
      <c r="I355" s="130"/>
      <c r="J355" s="114"/>
      <c r="K355" s="114"/>
      <c r="L355" s="130"/>
      <c r="M355" s="114"/>
      <c r="N355" s="130"/>
      <c r="O355" s="114"/>
      <c r="P355" s="165"/>
      <c r="Q355" s="114"/>
      <c r="R355" s="114"/>
      <c r="S355" s="114"/>
      <c r="T355" s="114"/>
      <c r="U355" s="114"/>
      <c r="V355" s="114"/>
      <c r="W355" s="130"/>
      <c r="X355" s="130"/>
      <c r="Y355" s="130"/>
      <c r="Z355" s="114"/>
      <c r="AA355" s="114"/>
      <c r="AB355" s="114"/>
      <c r="AC355" s="114"/>
      <c r="AD355" s="114"/>
      <c r="AE355" s="114"/>
      <c r="AF355" s="114"/>
      <c r="AG355" s="114"/>
      <c r="AH355" s="114"/>
      <c r="AI355" s="114"/>
      <c r="AJ355" s="114"/>
      <c r="AK355" s="114"/>
      <c r="AL355" s="114"/>
      <c r="AM355" s="114"/>
      <c r="AN355" s="114"/>
      <c r="AO355" s="114"/>
      <c r="AP355" s="130"/>
      <c r="AQ355" s="130"/>
    </row>
    <row r="356" ht="15.75" customHeight="1">
      <c r="A356" s="114"/>
      <c r="B356" s="114"/>
      <c r="C356" s="114"/>
      <c r="D356" s="114"/>
      <c r="E356" s="114"/>
      <c r="F356" s="114"/>
      <c r="G356" s="322"/>
      <c r="H356" s="114"/>
      <c r="I356" s="130"/>
      <c r="J356" s="114"/>
      <c r="K356" s="114"/>
      <c r="L356" s="130"/>
      <c r="M356" s="114"/>
      <c r="N356" s="130"/>
      <c r="O356" s="114"/>
      <c r="P356" s="165"/>
      <c r="Q356" s="114"/>
      <c r="R356" s="114"/>
      <c r="S356" s="114"/>
      <c r="T356" s="114"/>
      <c r="U356" s="114"/>
      <c r="V356" s="114"/>
      <c r="W356" s="130"/>
      <c r="X356" s="130"/>
      <c r="Y356" s="130"/>
      <c r="Z356" s="114"/>
      <c r="AA356" s="114"/>
      <c r="AB356" s="114"/>
      <c r="AC356" s="114"/>
      <c r="AD356" s="114"/>
      <c r="AE356" s="114"/>
      <c r="AF356" s="114"/>
      <c r="AG356" s="114"/>
      <c r="AH356" s="114"/>
      <c r="AI356" s="114"/>
      <c r="AJ356" s="114"/>
      <c r="AK356" s="114"/>
      <c r="AL356" s="114"/>
      <c r="AM356" s="114"/>
      <c r="AN356" s="114"/>
      <c r="AO356" s="114"/>
      <c r="AP356" s="130"/>
      <c r="AQ356" s="130"/>
    </row>
    <row r="357" ht="15.75" customHeight="1">
      <c r="A357" s="114"/>
      <c r="B357" s="114"/>
      <c r="C357" s="114"/>
      <c r="D357" s="114"/>
      <c r="E357" s="114"/>
      <c r="F357" s="114"/>
      <c r="G357" s="322"/>
      <c r="H357" s="114"/>
      <c r="I357" s="130"/>
      <c r="J357" s="114"/>
      <c r="K357" s="114"/>
      <c r="L357" s="130"/>
      <c r="M357" s="114"/>
      <c r="N357" s="130"/>
      <c r="O357" s="114"/>
      <c r="P357" s="165"/>
      <c r="Q357" s="114"/>
      <c r="R357" s="114"/>
      <c r="S357" s="114"/>
      <c r="T357" s="114"/>
      <c r="U357" s="114"/>
      <c r="V357" s="114"/>
      <c r="W357" s="130"/>
      <c r="X357" s="130"/>
      <c r="Y357" s="130"/>
      <c r="Z357" s="114"/>
      <c r="AA357" s="114"/>
      <c r="AB357" s="114"/>
      <c r="AC357" s="114"/>
      <c r="AD357" s="114"/>
      <c r="AE357" s="114"/>
      <c r="AF357" s="114"/>
      <c r="AG357" s="114"/>
      <c r="AH357" s="114"/>
      <c r="AI357" s="114"/>
      <c r="AJ357" s="114"/>
      <c r="AK357" s="114"/>
      <c r="AL357" s="114"/>
      <c r="AM357" s="114"/>
      <c r="AN357" s="114"/>
      <c r="AO357" s="114"/>
      <c r="AP357" s="130"/>
      <c r="AQ357" s="130"/>
    </row>
    <row r="358" ht="15.75" customHeight="1">
      <c r="A358" s="114"/>
      <c r="B358" s="114"/>
      <c r="C358" s="114"/>
      <c r="D358" s="114"/>
      <c r="E358" s="114"/>
      <c r="F358" s="114"/>
      <c r="G358" s="322"/>
      <c r="H358" s="114"/>
      <c r="I358" s="130"/>
      <c r="J358" s="114"/>
      <c r="K358" s="114"/>
      <c r="L358" s="130"/>
      <c r="M358" s="114"/>
      <c r="N358" s="130"/>
      <c r="O358" s="114"/>
      <c r="P358" s="165"/>
      <c r="Q358" s="114"/>
      <c r="R358" s="114"/>
      <c r="S358" s="114"/>
      <c r="T358" s="114"/>
      <c r="U358" s="114"/>
      <c r="V358" s="114"/>
      <c r="W358" s="130"/>
      <c r="X358" s="130"/>
      <c r="Y358" s="130"/>
      <c r="Z358" s="114"/>
      <c r="AA358" s="114"/>
      <c r="AB358" s="114"/>
      <c r="AC358" s="114"/>
      <c r="AD358" s="114"/>
      <c r="AE358" s="114"/>
      <c r="AF358" s="114"/>
      <c r="AG358" s="114"/>
      <c r="AH358" s="114"/>
      <c r="AI358" s="114"/>
      <c r="AJ358" s="114"/>
      <c r="AK358" s="114"/>
      <c r="AL358" s="114"/>
      <c r="AM358" s="114"/>
      <c r="AN358" s="114"/>
      <c r="AO358" s="114"/>
      <c r="AP358" s="130"/>
      <c r="AQ358" s="130"/>
    </row>
    <row r="359" ht="15.75" customHeight="1">
      <c r="A359" s="114"/>
      <c r="B359" s="114"/>
      <c r="C359" s="114"/>
      <c r="D359" s="114"/>
      <c r="E359" s="114"/>
      <c r="F359" s="114"/>
      <c r="G359" s="322"/>
      <c r="H359" s="114"/>
      <c r="I359" s="130"/>
      <c r="J359" s="114"/>
      <c r="K359" s="114"/>
      <c r="L359" s="130"/>
      <c r="M359" s="114"/>
      <c r="N359" s="130"/>
      <c r="O359" s="114"/>
      <c r="P359" s="165"/>
      <c r="Q359" s="114"/>
      <c r="R359" s="114"/>
      <c r="S359" s="114"/>
      <c r="T359" s="114"/>
      <c r="U359" s="114"/>
      <c r="V359" s="114"/>
      <c r="W359" s="130"/>
      <c r="X359" s="130"/>
      <c r="Y359" s="130"/>
      <c r="Z359" s="114"/>
      <c r="AA359" s="114"/>
      <c r="AB359" s="114"/>
      <c r="AC359" s="114"/>
      <c r="AD359" s="114"/>
      <c r="AE359" s="114"/>
      <c r="AF359" s="114"/>
      <c r="AG359" s="114"/>
      <c r="AH359" s="114"/>
      <c r="AI359" s="114"/>
      <c r="AJ359" s="114"/>
      <c r="AK359" s="114"/>
      <c r="AL359" s="114"/>
      <c r="AM359" s="114"/>
      <c r="AN359" s="114"/>
      <c r="AO359" s="114"/>
      <c r="AP359" s="130"/>
      <c r="AQ359" s="130"/>
    </row>
    <row r="360" ht="15.75" customHeight="1">
      <c r="A360" s="114"/>
      <c r="B360" s="114"/>
      <c r="C360" s="114"/>
      <c r="D360" s="114"/>
      <c r="E360" s="114"/>
      <c r="F360" s="114"/>
      <c r="G360" s="322"/>
      <c r="H360" s="114"/>
      <c r="I360" s="130"/>
      <c r="J360" s="114"/>
      <c r="K360" s="114"/>
      <c r="L360" s="130"/>
      <c r="M360" s="114"/>
      <c r="N360" s="130"/>
      <c r="O360" s="114"/>
      <c r="P360" s="165"/>
      <c r="Q360" s="114"/>
      <c r="R360" s="114"/>
      <c r="S360" s="114"/>
      <c r="T360" s="114"/>
      <c r="U360" s="114"/>
      <c r="V360" s="114"/>
      <c r="W360" s="130"/>
      <c r="X360" s="130"/>
      <c r="Y360" s="130"/>
      <c r="Z360" s="114"/>
      <c r="AA360" s="114"/>
      <c r="AB360" s="114"/>
      <c r="AC360" s="114"/>
      <c r="AD360" s="114"/>
      <c r="AE360" s="114"/>
      <c r="AF360" s="114"/>
      <c r="AG360" s="114"/>
      <c r="AH360" s="114"/>
      <c r="AI360" s="114"/>
      <c r="AJ360" s="114"/>
      <c r="AK360" s="114"/>
      <c r="AL360" s="114"/>
      <c r="AM360" s="114"/>
      <c r="AN360" s="114"/>
      <c r="AO360" s="114"/>
      <c r="AP360" s="130"/>
      <c r="AQ360" s="130"/>
    </row>
    <row r="361" ht="15.75" customHeight="1">
      <c r="A361" s="114"/>
      <c r="B361" s="114"/>
      <c r="C361" s="114"/>
      <c r="D361" s="114"/>
      <c r="E361" s="114"/>
      <c r="F361" s="114"/>
      <c r="G361" s="322"/>
      <c r="H361" s="114"/>
      <c r="I361" s="130"/>
      <c r="J361" s="114"/>
      <c r="K361" s="114"/>
      <c r="L361" s="130"/>
      <c r="M361" s="114"/>
      <c r="N361" s="130"/>
      <c r="O361" s="114"/>
      <c r="P361" s="165"/>
      <c r="Q361" s="114"/>
      <c r="R361" s="114"/>
      <c r="S361" s="114"/>
      <c r="T361" s="114"/>
      <c r="U361" s="114"/>
      <c r="V361" s="114"/>
      <c r="W361" s="130"/>
      <c r="X361" s="130"/>
      <c r="Y361" s="130"/>
      <c r="Z361" s="114"/>
      <c r="AA361" s="114"/>
      <c r="AB361" s="114"/>
      <c r="AC361" s="114"/>
      <c r="AD361" s="114"/>
      <c r="AE361" s="114"/>
      <c r="AF361" s="114"/>
      <c r="AG361" s="114"/>
      <c r="AH361" s="114"/>
      <c r="AI361" s="114"/>
      <c r="AJ361" s="114"/>
      <c r="AK361" s="114"/>
      <c r="AL361" s="114"/>
      <c r="AM361" s="114"/>
      <c r="AN361" s="114"/>
      <c r="AO361" s="114"/>
      <c r="AP361" s="130"/>
      <c r="AQ361" s="130"/>
    </row>
    <row r="362" ht="15.75" customHeight="1">
      <c r="A362" s="114"/>
      <c r="B362" s="114"/>
      <c r="C362" s="114"/>
      <c r="D362" s="114"/>
      <c r="E362" s="114"/>
      <c r="F362" s="114"/>
      <c r="G362" s="322"/>
      <c r="H362" s="114"/>
      <c r="I362" s="130"/>
      <c r="J362" s="114"/>
      <c r="K362" s="114"/>
      <c r="L362" s="130"/>
      <c r="M362" s="114"/>
      <c r="N362" s="130"/>
      <c r="O362" s="114"/>
      <c r="P362" s="165"/>
      <c r="Q362" s="114"/>
      <c r="R362" s="114"/>
      <c r="S362" s="114"/>
      <c r="T362" s="114"/>
      <c r="U362" s="114"/>
      <c r="V362" s="114"/>
      <c r="W362" s="130"/>
      <c r="X362" s="130"/>
      <c r="Y362" s="130"/>
      <c r="Z362" s="114"/>
      <c r="AA362" s="114"/>
      <c r="AB362" s="114"/>
      <c r="AC362" s="114"/>
      <c r="AD362" s="114"/>
      <c r="AE362" s="114"/>
      <c r="AF362" s="114"/>
      <c r="AG362" s="114"/>
      <c r="AH362" s="114"/>
      <c r="AI362" s="114"/>
      <c r="AJ362" s="114"/>
      <c r="AK362" s="114"/>
      <c r="AL362" s="114"/>
      <c r="AM362" s="114"/>
      <c r="AN362" s="114"/>
      <c r="AO362" s="114"/>
      <c r="AP362" s="130"/>
      <c r="AQ362" s="130"/>
    </row>
    <row r="363" ht="15.75" customHeight="1">
      <c r="A363" s="114"/>
      <c r="B363" s="114"/>
      <c r="C363" s="114"/>
      <c r="D363" s="114"/>
      <c r="E363" s="114"/>
      <c r="F363" s="114"/>
      <c r="G363" s="322"/>
      <c r="H363" s="114"/>
      <c r="I363" s="130"/>
      <c r="J363" s="114"/>
      <c r="K363" s="114"/>
      <c r="L363" s="130"/>
      <c r="M363" s="114"/>
      <c r="N363" s="130"/>
      <c r="O363" s="114"/>
      <c r="P363" s="165"/>
      <c r="Q363" s="114"/>
      <c r="R363" s="114"/>
      <c r="S363" s="114"/>
      <c r="T363" s="114"/>
      <c r="U363" s="114"/>
      <c r="V363" s="114"/>
      <c r="W363" s="130"/>
      <c r="X363" s="130"/>
      <c r="Y363" s="130"/>
      <c r="Z363" s="114"/>
      <c r="AA363" s="114"/>
      <c r="AB363" s="114"/>
      <c r="AC363" s="114"/>
      <c r="AD363" s="114"/>
      <c r="AE363" s="114"/>
      <c r="AF363" s="114"/>
      <c r="AG363" s="114"/>
      <c r="AH363" s="114"/>
      <c r="AI363" s="114"/>
      <c r="AJ363" s="114"/>
      <c r="AK363" s="114"/>
      <c r="AL363" s="114"/>
      <c r="AM363" s="114"/>
      <c r="AN363" s="114"/>
      <c r="AO363" s="114"/>
      <c r="AP363" s="130"/>
      <c r="AQ363" s="130"/>
    </row>
    <row r="364" ht="15.75" customHeight="1">
      <c r="A364" s="114"/>
      <c r="B364" s="114"/>
      <c r="C364" s="114"/>
      <c r="D364" s="114"/>
      <c r="E364" s="114"/>
      <c r="F364" s="114"/>
      <c r="G364" s="322"/>
      <c r="H364" s="114"/>
      <c r="I364" s="130"/>
      <c r="J364" s="114"/>
      <c r="K364" s="114"/>
      <c r="L364" s="130"/>
      <c r="M364" s="114"/>
      <c r="N364" s="130"/>
      <c r="O364" s="114"/>
      <c r="P364" s="165"/>
      <c r="Q364" s="114"/>
      <c r="R364" s="114"/>
      <c r="S364" s="114"/>
      <c r="T364" s="114"/>
      <c r="U364" s="114"/>
      <c r="V364" s="114"/>
      <c r="W364" s="130"/>
      <c r="X364" s="130"/>
      <c r="Y364" s="130"/>
      <c r="Z364" s="114"/>
      <c r="AA364" s="114"/>
      <c r="AB364" s="114"/>
      <c r="AC364" s="114"/>
      <c r="AD364" s="114"/>
      <c r="AE364" s="114"/>
      <c r="AF364" s="114"/>
      <c r="AG364" s="114"/>
      <c r="AH364" s="114"/>
      <c r="AI364" s="114"/>
      <c r="AJ364" s="114"/>
      <c r="AK364" s="114"/>
      <c r="AL364" s="114"/>
      <c r="AM364" s="114"/>
      <c r="AN364" s="114"/>
      <c r="AO364" s="114"/>
      <c r="AP364" s="130"/>
      <c r="AQ364" s="130"/>
    </row>
    <row r="365" ht="15.75" customHeight="1">
      <c r="A365" s="114"/>
      <c r="B365" s="114"/>
      <c r="C365" s="114"/>
      <c r="D365" s="114"/>
      <c r="E365" s="114"/>
      <c r="F365" s="114"/>
      <c r="G365" s="322"/>
      <c r="H365" s="114"/>
      <c r="I365" s="130"/>
      <c r="J365" s="114"/>
      <c r="K365" s="114"/>
      <c r="L365" s="130"/>
      <c r="M365" s="114"/>
      <c r="N365" s="130"/>
      <c r="O365" s="114"/>
      <c r="P365" s="165"/>
      <c r="Q365" s="114"/>
      <c r="R365" s="114"/>
      <c r="S365" s="114"/>
      <c r="T365" s="114"/>
      <c r="U365" s="114"/>
      <c r="V365" s="114"/>
      <c r="W365" s="130"/>
      <c r="X365" s="130"/>
      <c r="Y365" s="130"/>
      <c r="Z365" s="114"/>
      <c r="AA365" s="114"/>
      <c r="AB365" s="114"/>
      <c r="AC365" s="114"/>
      <c r="AD365" s="114"/>
      <c r="AE365" s="114"/>
      <c r="AF365" s="114"/>
      <c r="AG365" s="114"/>
      <c r="AH365" s="114"/>
      <c r="AI365" s="114"/>
      <c r="AJ365" s="114"/>
      <c r="AK365" s="114"/>
      <c r="AL365" s="114"/>
      <c r="AM365" s="114"/>
      <c r="AN365" s="114"/>
      <c r="AO365" s="114"/>
      <c r="AP365" s="130"/>
      <c r="AQ365" s="130"/>
    </row>
    <row r="366" ht="15.75" customHeight="1">
      <c r="A366" s="114"/>
      <c r="B366" s="114"/>
      <c r="C366" s="114"/>
      <c r="D366" s="114"/>
      <c r="E366" s="114"/>
      <c r="F366" s="114"/>
      <c r="G366" s="322"/>
      <c r="H366" s="114"/>
      <c r="I366" s="130"/>
      <c r="J366" s="114"/>
      <c r="K366" s="114"/>
      <c r="L366" s="130"/>
      <c r="M366" s="114"/>
      <c r="N366" s="130"/>
      <c r="O366" s="114"/>
      <c r="P366" s="165"/>
      <c r="Q366" s="114"/>
      <c r="R366" s="114"/>
      <c r="S366" s="114"/>
      <c r="T366" s="114"/>
      <c r="U366" s="114"/>
      <c r="V366" s="114"/>
      <c r="W366" s="130"/>
      <c r="X366" s="130"/>
      <c r="Y366" s="130"/>
      <c r="Z366" s="114"/>
      <c r="AA366" s="114"/>
      <c r="AB366" s="114"/>
      <c r="AC366" s="114"/>
      <c r="AD366" s="114"/>
      <c r="AE366" s="114"/>
      <c r="AF366" s="114"/>
      <c r="AG366" s="114"/>
      <c r="AH366" s="114"/>
      <c r="AI366" s="114"/>
      <c r="AJ366" s="114"/>
      <c r="AK366" s="114"/>
      <c r="AL366" s="114"/>
      <c r="AM366" s="114"/>
      <c r="AN366" s="114"/>
      <c r="AO366" s="114"/>
      <c r="AP366" s="130"/>
      <c r="AQ366" s="130"/>
    </row>
    <row r="367" ht="15.75" customHeight="1">
      <c r="A367" s="114"/>
      <c r="B367" s="114"/>
      <c r="C367" s="114"/>
      <c r="D367" s="114"/>
      <c r="E367" s="114"/>
      <c r="F367" s="114"/>
      <c r="G367" s="322"/>
      <c r="H367" s="114"/>
      <c r="I367" s="130"/>
      <c r="J367" s="114"/>
      <c r="K367" s="114"/>
      <c r="L367" s="130"/>
      <c r="M367" s="114"/>
      <c r="N367" s="130"/>
      <c r="O367" s="114"/>
      <c r="P367" s="165"/>
      <c r="Q367" s="114"/>
      <c r="R367" s="114"/>
      <c r="S367" s="114"/>
      <c r="T367" s="114"/>
      <c r="U367" s="114"/>
      <c r="V367" s="114"/>
      <c r="W367" s="130"/>
      <c r="X367" s="130"/>
      <c r="Y367" s="130"/>
      <c r="Z367" s="114"/>
      <c r="AA367" s="114"/>
      <c r="AB367" s="114"/>
      <c r="AC367" s="114"/>
      <c r="AD367" s="114"/>
      <c r="AE367" s="114"/>
      <c r="AF367" s="114"/>
      <c r="AG367" s="114"/>
      <c r="AH367" s="114"/>
      <c r="AI367" s="114"/>
      <c r="AJ367" s="114"/>
      <c r="AK367" s="114"/>
      <c r="AL367" s="114"/>
      <c r="AM367" s="114"/>
      <c r="AN367" s="114"/>
      <c r="AO367" s="114"/>
      <c r="AP367" s="130"/>
      <c r="AQ367" s="130"/>
    </row>
    <row r="368" ht="15.75" customHeight="1">
      <c r="A368" s="114"/>
      <c r="B368" s="114"/>
      <c r="C368" s="114"/>
      <c r="D368" s="114"/>
      <c r="E368" s="114"/>
      <c r="F368" s="114"/>
      <c r="G368" s="322"/>
      <c r="H368" s="114"/>
      <c r="I368" s="130"/>
      <c r="J368" s="114"/>
      <c r="K368" s="114"/>
      <c r="L368" s="130"/>
      <c r="M368" s="114"/>
      <c r="N368" s="130"/>
      <c r="O368" s="114"/>
      <c r="P368" s="165"/>
      <c r="Q368" s="114"/>
      <c r="R368" s="114"/>
      <c r="S368" s="114"/>
      <c r="T368" s="114"/>
      <c r="U368" s="114"/>
      <c r="V368" s="114"/>
      <c r="W368" s="130"/>
      <c r="X368" s="130"/>
      <c r="Y368" s="130"/>
      <c r="Z368" s="114"/>
      <c r="AA368" s="114"/>
      <c r="AB368" s="114"/>
      <c r="AC368" s="114"/>
      <c r="AD368" s="114"/>
      <c r="AE368" s="114"/>
      <c r="AF368" s="114"/>
      <c r="AG368" s="114"/>
      <c r="AH368" s="114"/>
      <c r="AI368" s="114"/>
      <c r="AJ368" s="114"/>
      <c r="AK368" s="114"/>
      <c r="AL368" s="114"/>
      <c r="AM368" s="114"/>
      <c r="AN368" s="114"/>
      <c r="AO368" s="114"/>
      <c r="AP368" s="130"/>
      <c r="AQ368" s="130"/>
    </row>
    <row r="369" ht="15.75" customHeight="1">
      <c r="A369" s="114"/>
      <c r="B369" s="114"/>
      <c r="C369" s="114"/>
      <c r="D369" s="114"/>
      <c r="E369" s="114"/>
      <c r="F369" s="114"/>
      <c r="G369" s="322"/>
      <c r="H369" s="114"/>
      <c r="I369" s="130"/>
      <c r="J369" s="114"/>
      <c r="K369" s="114"/>
      <c r="L369" s="130"/>
      <c r="M369" s="114"/>
      <c r="N369" s="130"/>
      <c r="O369" s="114"/>
      <c r="P369" s="165"/>
      <c r="Q369" s="114"/>
      <c r="R369" s="114"/>
      <c r="S369" s="114"/>
      <c r="T369" s="114"/>
      <c r="U369" s="114"/>
      <c r="V369" s="114"/>
      <c r="W369" s="130"/>
      <c r="X369" s="130"/>
      <c r="Y369" s="130"/>
      <c r="Z369" s="114"/>
      <c r="AA369" s="114"/>
      <c r="AB369" s="114"/>
      <c r="AC369" s="114"/>
      <c r="AD369" s="114"/>
      <c r="AE369" s="114"/>
      <c r="AF369" s="114"/>
      <c r="AG369" s="114"/>
      <c r="AH369" s="114"/>
      <c r="AI369" s="114"/>
      <c r="AJ369" s="114"/>
      <c r="AK369" s="114"/>
      <c r="AL369" s="114"/>
      <c r="AM369" s="114"/>
      <c r="AN369" s="114"/>
      <c r="AO369" s="114"/>
      <c r="AP369" s="130"/>
      <c r="AQ369" s="130"/>
    </row>
    <row r="370" ht="15.75" customHeight="1">
      <c r="A370" s="114"/>
      <c r="B370" s="114"/>
      <c r="C370" s="114"/>
      <c r="D370" s="114"/>
      <c r="E370" s="114"/>
      <c r="F370" s="114"/>
      <c r="G370" s="322"/>
      <c r="H370" s="114"/>
      <c r="I370" s="130"/>
      <c r="J370" s="114"/>
      <c r="K370" s="114"/>
      <c r="L370" s="130"/>
      <c r="M370" s="114"/>
      <c r="N370" s="130"/>
      <c r="O370" s="114"/>
      <c r="P370" s="165"/>
      <c r="Q370" s="114"/>
      <c r="R370" s="114"/>
      <c r="S370" s="114"/>
      <c r="T370" s="114"/>
      <c r="U370" s="114"/>
      <c r="V370" s="114"/>
      <c r="W370" s="130"/>
      <c r="X370" s="130"/>
      <c r="Y370" s="130"/>
      <c r="Z370" s="114"/>
      <c r="AA370" s="114"/>
      <c r="AB370" s="114"/>
      <c r="AC370" s="114"/>
      <c r="AD370" s="114"/>
      <c r="AE370" s="114"/>
      <c r="AF370" s="114"/>
      <c r="AG370" s="114"/>
      <c r="AH370" s="114"/>
      <c r="AI370" s="114"/>
      <c r="AJ370" s="114"/>
      <c r="AK370" s="114"/>
      <c r="AL370" s="114"/>
      <c r="AM370" s="114"/>
      <c r="AN370" s="114"/>
      <c r="AO370" s="114"/>
      <c r="AP370" s="130"/>
      <c r="AQ370" s="130"/>
    </row>
    <row r="371" ht="15.75" customHeight="1">
      <c r="A371" s="114"/>
      <c r="B371" s="114"/>
      <c r="C371" s="114"/>
      <c r="D371" s="114"/>
      <c r="E371" s="114"/>
      <c r="F371" s="114"/>
      <c r="G371" s="322"/>
      <c r="H371" s="114"/>
      <c r="I371" s="130"/>
      <c r="J371" s="114"/>
      <c r="K371" s="114"/>
      <c r="L371" s="130"/>
      <c r="M371" s="114"/>
      <c r="N371" s="130"/>
      <c r="O371" s="114"/>
      <c r="P371" s="165"/>
      <c r="Q371" s="114"/>
      <c r="R371" s="114"/>
      <c r="S371" s="114"/>
      <c r="T371" s="114"/>
      <c r="U371" s="114"/>
      <c r="V371" s="114"/>
      <c r="W371" s="130"/>
      <c r="X371" s="130"/>
      <c r="Y371" s="130"/>
      <c r="Z371" s="114"/>
      <c r="AA371" s="114"/>
      <c r="AB371" s="114"/>
      <c r="AC371" s="114"/>
      <c r="AD371" s="114"/>
      <c r="AE371" s="114"/>
      <c r="AF371" s="114"/>
      <c r="AG371" s="114"/>
      <c r="AH371" s="114"/>
      <c r="AI371" s="114"/>
      <c r="AJ371" s="114"/>
      <c r="AK371" s="114"/>
      <c r="AL371" s="114"/>
      <c r="AM371" s="114"/>
      <c r="AN371" s="114"/>
      <c r="AO371" s="114"/>
      <c r="AP371" s="130"/>
      <c r="AQ371" s="130"/>
    </row>
    <row r="372" ht="15.75" customHeight="1">
      <c r="A372" s="114"/>
      <c r="B372" s="114"/>
      <c r="C372" s="114"/>
      <c r="D372" s="114"/>
      <c r="E372" s="114"/>
      <c r="F372" s="114"/>
      <c r="G372" s="322"/>
      <c r="H372" s="114"/>
      <c r="I372" s="130"/>
      <c r="J372" s="114"/>
      <c r="K372" s="114"/>
      <c r="L372" s="130"/>
      <c r="M372" s="114"/>
      <c r="N372" s="130"/>
      <c r="O372" s="114"/>
      <c r="P372" s="165"/>
      <c r="Q372" s="114"/>
      <c r="R372" s="114"/>
      <c r="S372" s="114"/>
      <c r="T372" s="114"/>
      <c r="U372" s="114"/>
      <c r="V372" s="114"/>
      <c r="W372" s="130"/>
      <c r="X372" s="130"/>
      <c r="Y372" s="130"/>
      <c r="Z372" s="114"/>
      <c r="AA372" s="114"/>
      <c r="AB372" s="114"/>
      <c r="AC372" s="114"/>
      <c r="AD372" s="114"/>
      <c r="AE372" s="114"/>
      <c r="AF372" s="114"/>
      <c r="AG372" s="114"/>
      <c r="AH372" s="114"/>
      <c r="AI372" s="114"/>
      <c r="AJ372" s="114"/>
      <c r="AK372" s="114"/>
      <c r="AL372" s="114"/>
      <c r="AM372" s="114"/>
      <c r="AN372" s="114"/>
      <c r="AO372" s="114"/>
      <c r="AP372" s="130"/>
      <c r="AQ372" s="130"/>
    </row>
    <row r="373" ht="15.75" customHeight="1">
      <c r="A373" s="114"/>
      <c r="B373" s="114"/>
      <c r="C373" s="114"/>
      <c r="D373" s="114"/>
      <c r="E373" s="114"/>
      <c r="F373" s="114"/>
      <c r="G373" s="322"/>
      <c r="H373" s="114"/>
      <c r="I373" s="130"/>
      <c r="J373" s="114"/>
      <c r="K373" s="114"/>
      <c r="L373" s="130"/>
      <c r="M373" s="114"/>
      <c r="N373" s="130"/>
      <c r="O373" s="114"/>
      <c r="P373" s="165"/>
      <c r="Q373" s="114"/>
      <c r="R373" s="114"/>
      <c r="S373" s="114"/>
      <c r="T373" s="114"/>
      <c r="U373" s="114"/>
      <c r="V373" s="114"/>
      <c r="W373" s="130"/>
      <c r="X373" s="130"/>
      <c r="Y373" s="130"/>
      <c r="Z373" s="114"/>
      <c r="AA373" s="114"/>
      <c r="AB373" s="114"/>
      <c r="AC373" s="114"/>
      <c r="AD373" s="114"/>
      <c r="AE373" s="114"/>
      <c r="AF373" s="114"/>
      <c r="AG373" s="114"/>
      <c r="AH373" s="114"/>
      <c r="AI373" s="114"/>
      <c r="AJ373" s="114"/>
      <c r="AK373" s="114"/>
      <c r="AL373" s="114"/>
      <c r="AM373" s="114"/>
      <c r="AN373" s="114"/>
      <c r="AO373" s="114"/>
      <c r="AP373" s="130"/>
      <c r="AQ373" s="130"/>
    </row>
    <row r="374" ht="15.75" customHeight="1">
      <c r="A374" s="114"/>
      <c r="B374" s="114"/>
      <c r="C374" s="114"/>
      <c r="D374" s="114"/>
      <c r="E374" s="114"/>
      <c r="F374" s="114"/>
      <c r="G374" s="322"/>
      <c r="H374" s="114"/>
      <c r="I374" s="130"/>
      <c r="J374" s="114"/>
      <c r="K374" s="114"/>
      <c r="L374" s="130"/>
      <c r="M374" s="114"/>
      <c r="N374" s="130"/>
      <c r="O374" s="114"/>
      <c r="P374" s="165"/>
      <c r="Q374" s="114"/>
      <c r="R374" s="114"/>
      <c r="S374" s="114"/>
      <c r="T374" s="114"/>
      <c r="U374" s="114"/>
      <c r="V374" s="114"/>
      <c r="W374" s="130"/>
      <c r="X374" s="130"/>
      <c r="Y374" s="130"/>
      <c r="Z374" s="114"/>
      <c r="AA374" s="114"/>
      <c r="AB374" s="114"/>
      <c r="AC374" s="114"/>
      <c r="AD374" s="114"/>
      <c r="AE374" s="114"/>
      <c r="AF374" s="114"/>
      <c r="AG374" s="114"/>
      <c r="AH374" s="114"/>
      <c r="AI374" s="114"/>
      <c r="AJ374" s="114"/>
      <c r="AK374" s="114"/>
      <c r="AL374" s="114"/>
      <c r="AM374" s="114"/>
      <c r="AN374" s="114"/>
      <c r="AO374" s="114"/>
      <c r="AP374" s="130"/>
      <c r="AQ374" s="130"/>
    </row>
    <row r="375" ht="15.75" customHeight="1">
      <c r="A375" s="114"/>
      <c r="B375" s="114"/>
      <c r="C375" s="114"/>
      <c r="D375" s="114"/>
      <c r="E375" s="114"/>
      <c r="F375" s="114"/>
      <c r="G375" s="322"/>
      <c r="H375" s="114"/>
      <c r="I375" s="130"/>
      <c r="J375" s="114"/>
      <c r="K375" s="114"/>
      <c r="L375" s="130"/>
      <c r="M375" s="114"/>
      <c r="N375" s="130"/>
      <c r="O375" s="114"/>
      <c r="P375" s="165"/>
      <c r="Q375" s="114"/>
      <c r="R375" s="114"/>
      <c r="S375" s="114"/>
      <c r="T375" s="114"/>
      <c r="U375" s="114"/>
      <c r="V375" s="114"/>
      <c r="W375" s="130"/>
      <c r="X375" s="130"/>
      <c r="Y375" s="130"/>
      <c r="Z375" s="114"/>
      <c r="AA375" s="114"/>
      <c r="AB375" s="114"/>
      <c r="AC375" s="114"/>
      <c r="AD375" s="114"/>
      <c r="AE375" s="114"/>
      <c r="AF375" s="114"/>
      <c r="AG375" s="114"/>
      <c r="AH375" s="114"/>
      <c r="AI375" s="114"/>
      <c r="AJ375" s="114"/>
      <c r="AK375" s="114"/>
      <c r="AL375" s="114"/>
      <c r="AM375" s="114"/>
      <c r="AN375" s="114"/>
      <c r="AO375" s="114"/>
      <c r="AP375" s="130"/>
      <c r="AQ375" s="130"/>
    </row>
    <row r="376" ht="15.75" customHeight="1">
      <c r="A376" s="114"/>
      <c r="B376" s="114"/>
      <c r="C376" s="114"/>
      <c r="D376" s="114"/>
      <c r="E376" s="114"/>
      <c r="F376" s="114"/>
      <c r="G376" s="322"/>
      <c r="H376" s="114"/>
      <c r="I376" s="130"/>
      <c r="J376" s="114"/>
      <c r="K376" s="114"/>
      <c r="L376" s="130"/>
      <c r="M376" s="114"/>
      <c r="N376" s="130"/>
      <c r="O376" s="114"/>
      <c r="P376" s="165"/>
      <c r="Q376" s="114"/>
      <c r="R376" s="114"/>
      <c r="S376" s="114"/>
      <c r="T376" s="114"/>
      <c r="U376" s="114"/>
      <c r="V376" s="114"/>
      <c r="W376" s="130"/>
      <c r="X376" s="130"/>
      <c r="Y376" s="130"/>
      <c r="Z376" s="114"/>
      <c r="AA376" s="114"/>
      <c r="AB376" s="114"/>
      <c r="AC376" s="114"/>
      <c r="AD376" s="114"/>
      <c r="AE376" s="114"/>
      <c r="AF376" s="114"/>
      <c r="AG376" s="114"/>
      <c r="AH376" s="114"/>
      <c r="AI376" s="114"/>
      <c r="AJ376" s="114"/>
      <c r="AK376" s="114"/>
      <c r="AL376" s="114"/>
      <c r="AM376" s="114"/>
      <c r="AN376" s="114"/>
      <c r="AO376" s="114"/>
      <c r="AP376" s="130"/>
      <c r="AQ376" s="130"/>
    </row>
    <row r="377" ht="15.75" customHeight="1">
      <c r="A377" s="114"/>
      <c r="B377" s="114"/>
      <c r="C377" s="114"/>
      <c r="D377" s="114"/>
      <c r="E377" s="114"/>
      <c r="F377" s="114"/>
      <c r="G377" s="322"/>
      <c r="H377" s="114"/>
      <c r="I377" s="130"/>
      <c r="J377" s="114"/>
      <c r="K377" s="114"/>
      <c r="L377" s="130"/>
      <c r="M377" s="114"/>
      <c r="N377" s="130"/>
      <c r="O377" s="114"/>
      <c r="P377" s="165"/>
      <c r="Q377" s="114"/>
      <c r="R377" s="114"/>
      <c r="S377" s="114"/>
      <c r="T377" s="114"/>
      <c r="U377" s="114"/>
      <c r="V377" s="114"/>
      <c r="W377" s="130"/>
      <c r="X377" s="130"/>
      <c r="Y377" s="130"/>
      <c r="Z377" s="114"/>
      <c r="AA377" s="114"/>
      <c r="AB377" s="114"/>
      <c r="AC377" s="114"/>
      <c r="AD377" s="114"/>
      <c r="AE377" s="114"/>
      <c r="AF377" s="114"/>
      <c r="AG377" s="114"/>
      <c r="AH377" s="114"/>
      <c r="AI377" s="114"/>
      <c r="AJ377" s="114"/>
      <c r="AK377" s="114"/>
      <c r="AL377" s="114"/>
      <c r="AM377" s="114"/>
      <c r="AN377" s="114"/>
      <c r="AO377" s="114"/>
      <c r="AP377" s="130"/>
      <c r="AQ377" s="130"/>
    </row>
    <row r="378" ht="15.75" customHeight="1">
      <c r="A378" s="114"/>
      <c r="B378" s="114"/>
      <c r="C378" s="114"/>
      <c r="D378" s="114"/>
      <c r="E378" s="114"/>
      <c r="F378" s="114"/>
      <c r="G378" s="322"/>
      <c r="H378" s="114"/>
      <c r="I378" s="130"/>
      <c r="J378" s="114"/>
      <c r="K378" s="114"/>
      <c r="L378" s="130"/>
      <c r="M378" s="114"/>
      <c r="N378" s="130"/>
      <c r="O378" s="114"/>
      <c r="P378" s="165"/>
      <c r="Q378" s="114"/>
      <c r="R378" s="114"/>
      <c r="S378" s="114"/>
      <c r="T378" s="114"/>
      <c r="U378" s="114"/>
      <c r="V378" s="114"/>
      <c r="W378" s="130"/>
      <c r="X378" s="130"/>
      <c r="Y378" s="130"/>
      <c r="Z378" s="114"/>
      <c r="AA378" s="114"/>
      <c r="AB378" s="114"/>
      <c r="AC378" s="114"/>
      <c r="AD378" s="114"/>
      <c r="AE378" s="114"/>
      <c r="AF378" s="114"/>
      <c r="AG378" s="114"/>
      <c r="AH378" s="114"/>
      <c r="AI378" s="114"/>
      <c r="AJ378" s="114"/>
      <c r="AK378" s="114"/>
      <c r="AL378" s="114"/>
      <c r="AM378" s="114"/>
      <c r="AN378" s="114"/>
      <c r="AO378" s="114"/>
      <c r="AP378" s="130"/>
      <c r="AQ378" s="130"/>
    </row>
    <row r="379" ht="15.75" customHeight="1">
      <c r="A379" s="114"/>
      <c r="B379" s="114"/>
      <c r="C379" s="114"/>
      <c r="D379" s="114"/>
      <c r="E379" s="114"/>
      <c r="F379" s="114"/>
      <c r="G379" s="322"/>
      <c r="H379" s="114"/>
      <c r="I379" s="130"/>
      <c r="J379" s="114"/>
      <c r="K379" s="114"/>
      <c r="L379" s="130"/>
      <c r="M379" s="114"/>
      <c r="N379" s="130"/>
      <c r="O379" s="114"/>
      <c r="P379" s="165"/>
      <c r="Q379" s="114"/>
      <c r="R379" s="114"/>
      <c r="S379" s="114"/>
      <c r="T379" s="114"/>
      <c r="U379" s="114"/>
      <c r="V379" s="114"/>
      <c r="W379" s="130"/>
      <c r="X379" s="130"/>
      <c r="Y379" s="130"/>
      <c r="Z379" s="114"/>
      <c r="AA379" s="114"/>
      <c r="AB379" s="114"/>
      <c r="AC379" s="114"/>
      <c r="AD379" s="114"/>
      <c r="AE379" s="114"/>
      <c r="AF379" s="114"/>
      <c r="AG379" s="114"/>
      <c r="AH379" s="114"/>
      <c r="AI379" s="114"/>
      <c r="AJ379" s="114"/>
      <c r="AK379" s="114"/>
      <c r="AL379" s="114"/>
      <c r="AM379" s="114"/>
      <c r="AN379" s="114"/>
      <c r="AO379" s="114"/>
      <c r="AP379" s="130"/>
      <c r="AQ379" s="130"/>
    </row>
    <row r="380" ht="15.75" customHeight="1">
      <c r="A380" s="114"/>
      <c r="B380" s="114"/>
      <c r="C380" s="114"/>
      <c r="D380" s="114"/>
      <c r="E380" s="114"/>
      <c r="F380" s="114"/>
      <c r="G380" s="322"/>
      <c r="H380" s="114"/>
      <c r="I380" s="130"/>
      <c r="J380" s="114"/>
      <c r="K380" s="114"/>
      <c r="L380" s="130"/>
      <c r="M380" s="114"/>
      <c r="N380" s="130"/>
      <c r="O380" s="114"/>
      <c r="P380" s="165"/>
      <c r="Q380" s="114"/>
      <c r="R380" s="114"/>
      <c r="S380" s="114"/>
      <c r="T380" s="114"/>
      <c r="U380" s="114"/>
      <c r="V380" s="114"/>
      <c r="W380" s="130"/>
      <c r="X380" s="130"/>
      <c r="Y380" s="130"/>
      <c r="Z380" s="114"/>
      <c r="AA380" s="114"/>
      <c r="AB380" s="114"/>
      <c r="AC380" s="114"/>
      <c r="AD380" s="114"/>
      <c r="AE380" s="114"/>
      <c r="AF380" s="114"/>
      <c r="AG380" s="114"/>
      <c r="AH380" s="114"/>
      <c r="AI380" s="114"/>
      <c r="AJ380" s="114"/>
      <c r="AK380" s="114"/>
      <c r="AL380" s="114"/>
      <c r="AM380" s="114"/>
      <c r="AN380" s="114"/>
      <c r="AO380" s="114"/>
      <c r="AP380" s="130"/>
      <c r="AQ380" s="130"/>
    </row>
    <row r="381" ht="15.75" customHeight="1">
      <c r="A381" s="114"/>
      <c r="B381" s="114"/>
      <c r="C381" s="114"/>
      <c r="D381" s="114"/>
      <c r="E381" s="114"/>
      <c r="F381" s="114"/>
      <c r="G381" s="322"/>
      <c r="H381" s="114"/>
      <c r="I381" s="130"/>
      <c r="J381" s="114"/>
      <c r="K381" s="114"/>
      <c r="L381" s="130"/>
      <c r="M381" s="114"/>
      <c r="N381" s="130"/>
      <c r="O381" s="114"/>
      <c r="P381" s="165"/>
      <c r="Q381" s="114"/>
      <c r="R381" s="114"/>
      <c r="S381" s="114"/>
      <c r="T381" s="114"/>
      <c r="U381" s="114"/>
      <c r="V381" s="114"/>
      <c r="W381" s="130"/>
      <c r="X381" s="130"/>
      <c r="Y381" s="130"/>
      <c r="Z381" s="114"/>
      <c r="AA381" s="114"/>
      <c r="AB381" s="114"/>
      <c r="AC381" s="114"/>
      <c r="AD381" s="114"/>
      <c r="AE381" s="114"/>
      <c r="AF381" s="114"/>
      <c r="AG381" s="114"/>
      <c r="AH381" s="114"/>
      <c r="AI381" s="114"/>
      <c r="AJ381" s="114"/>
      <c r="AK381" s="114"/>
      <c r="AL381" s="114"/>
      <c r="AM381" s="114"/>
      <c r="AN381" s="114"/>
      <c r="AO381" s="114"/>
      <c r="AP381" s="130"/>
      <c r="AQ381" s="130"/>
    </row>
    <row r="382" ht="15.75" customHeight="1">
      <c r="A382" s="114"/>
      <c r="B382" s="114"/>
      <c r="C382" s="114"/>
      <c r="D382" s="114"/>
      <c r="E382" s="114"/>
      <c r="F382" s="114"/>
      <c r="G382" s="322"/>
      <c r="H382" s="114"/>
      <c r="I382" s="130"/>
      <c r="J382" s="114"/>
      <c r="K382" s="114"/>
      <c r="L382" s="130"/>
      <c r="M382" s="114"/>
      <c r="N382" s="130"/>
      <c r="O382" s="114"/>
      <c r="P382" s="165"/>
      <c r="Q382" s="114"/>
      <c r="R382" s="114"/>
      <c r="S382" s="114"/>
      <c r="T382" s="114"/>
      <c r="U382" s="114"/>
      <c r="V382" s="114"/>
      <c r="W382" s="130"/>
      <c r="X382" s="130"/>
      <c r="Y382" s="130"/>
      <c r="Z382" s="114"/>
      <c r="AA382" s="114"/>
      <c r="AB382" s="114"/>
      <c r="AC382" s="114"/>
      <c r="AD382" s="114"/>
      <c r="AE382" s="114"/>
      <c r="AF382" s="114"/>
      <c r="AG382" s="114"/>
      <c r="AH382" s="114"/>
      <c r="AI382" s="114"/>
      <c r="AJ382" s="114"/>
      <c r="AK382" s="114"/>
      <c r="AL382" s="114"/>
      <c r="AM382" s="114"/>
      <c r="AN382" s="114"/>
      <c r="AO382" s="114"/>
      <c r="AP382" s="130"/>
      <c r="AQ382" s="130"/>
    </row>
    <row r="383" ht="15.75" customHeight="1">
      <c r="A383" s="114"/>
      <c r="B383" s="114"/>
      <c r="C383" s="114"/>
      <c r="D383" s="114"/>
      <c r="E383" s="114"/>
      <c r="F383" s="114"/>
      <c r="G383" s="322"/>
      <c r="H383" s="114"/>
      <c r="I383" s="130"/>
      <c r="J383" s="114"/>
      <c r="K383" s="114"/>
      <c r="L383" s="130"/>
      <c r="M383" s="114"/>
      <c r="N383" s="130"/>
      <c r="O383" s="114"/>
      <c r="P383" s="165"/>
      <c r="Q383" s="114"/>
      <c r="R383" s="114"/>
      <c r="S383" s="114"/>
      <c r="T383" s="114"/>
      <c r="U383" s="114"/>
      <c r="V383" s="114"/>
      <c r="W383" s="130"/>
      <c r="X383" s="130"/>
      <c r="Y383" s="130"/>
      <c r="Z383" s="114"/>
      <c r="AA383" s="114"/>
      <c r="AB383" s="114"/>
      <c r="AC383" s="114"/>
      <c r="AD383" s="114"/>
      <c r="AE383" s="114"/>
      <c r="AF383" s="114"/>
      <c r="AG383" s="114"/>
      <c r="AH383" s="114"/>
      <c r="AI383" s="114"/>
      <c r="AJ383" s="114"/>
      <c r="AK383" s="114"/>
      <c r="AL383" s="114"/>
      <c r="AM383" s="114"/>
      <c r="AN383" s="114"/>
      <c r="AO383" s="114"/>
      <c r="AP383" s="130"/>
      <c r="AQ383" s="130"/>
    </row>
    <row r="384" ht="15.75" customHeight="1">
      <c r="A384" s="114"/>
      <c r="B384" s="114"/>
      <c r="C384" s="114"/>
      <c r="D384" s="114"/>
      <c r="E384" s="114"/>
      <c r="F384" s="114"/>
      <c r="G384" s="322"/>
      <c r="H384" s="114"/>
      <c r="I384" s="130"/>
      <c r="J384" s="114"/>
      <c r="K384" s="114"/>
      <c r="L384" s="130"/>
      <c r="M384" s="114"/>
      <c r="N384" s="130"/>
      <c r="O384" s="114"/>
      <c r="P384" s="165"/>
      <c r="Q384" s="114"/>
      <c r="R384" s="114"/>
      <c r="S384" s="114"/>
      <c r="T384" s="114"/>
      <c r="U384" s="114"/>
      <c r="V384" s="114"/>
      <c r="W384" s="130"/>
      <c r="X384" s="130"/>
      <c r="Y384" s="130"/>
      <c r="Z384" s="114"/>
      <c r="AA384" s="114"/>
      <c r="AB384" s="114"/>
      <c r="AC384" s="114"/>
      <c r="AD384" s="114"/>
      <c r="AE384" s="114"/>
      <c r="AF384" s="114"/>
      <c r="AG384" s="114"/>
      <c r="AH384" s="114"/>
      <c r="AI384" s="114"/>
      <c r="AJ384" s="114"/>
      <c r="AK384" s="114"/>
      <c r="AL384" s="114"/>
      <c r="AM384" s="114"/>
      <c r="AN384" s="114"/>
      <c r="AO384" s="114"/>
      <c r="AP384" s="130"/>
      <c r="AQ384" s="130"/>
    </row>
    <row r="385" ht="15.75" customHeight="1">
      <c r="A385" s="114"/>
      <c r="B385" s="114"/>
      <c r="C385" s="114"/>
      <c r="D385" s="114"/>
      <c r="E385" s="114"/>
      <c r="F385" s="114"/>
      <c r="G385" s="322"/>
      <c r="H385" s="114"/>
      <c r="I385" s="130"/>
      <c r="J385" s="114"/>
      <c r="K385" s="114"/>
      <c r="L385" s="130"/>
      <c r="M385" s="114"/>
      <c r="N385" s="130"/>
      <c r="O385" s="114"/>
      <c r="P385" s="165"/>
      <c r="Q385" s="114"/>
      <c r="R385" s="114"/>
      <c r="S385" s="114"/>
      <c r="T385" s="114"/>
      <c r="U385" s="114"/>
      <c r="V385" s="114"/>
      <c r="W385" s="130"/>
      <c r="X385" s="130"/>
      <c r="Y385" s="130"/>
      <c r="Z385" s="114"/>
      <c r="AA385" s="114"/>
      <c r="AB385" s="114"/>
      <c r="AC385" s="114"/>
      <c r="AD385" s="114"/>
      <c r="AE385" s="114"/>
      <c r="AF385" s="114"/>
      <c r="AG385" s="114"/>
      <c r="AH385" s="114"/>
      <c r="AI385" s="114"/>
      <c r="AJ385" s="114"/>
      <c r="AK385" s="114"/>
      <c r="AL385" s="114"/>
      <c r="AM385" s="114"/>
      <c r="AN385" s="114"/>
      <c r="AO385" s="114"/>
      <c r="AP385" s="130"/>
      <c r="AQ385" s="130"/>
    </row>
    <row r="386" ht="15.75" customHeight="1">
      <c r="A386" s="114"/>
      <c r="B386" s="114"/>
      <c r="C386" s="114"/>
      <c r="D386" s="114"/>
      <c r="E386" s="114"/>
      <c r="F386" s="114"/>
      <c r="G386" s="322"/>
      <c r="H386" s="114"/>
      <c r="I386" s="130"/>
      <c r="J386" s="114"/>
      <c r="K386" s="114"/>
      <c r="L386" s="130"/>
      <c r="M386" s="114"/>
      <c r="N386" s="130"/>
      <c r="O386" s="114"/>
      <c r="P386" s="165"/>
      <c r="Q386" s="114"/>
      <c r="R386" s="114"/>
      <c r="S386" s="114"/>
      <c r="T386" s="114"/>
      <c r="U386" s="114"/>
      <c r="V386" s="114"/>
      <c r="W386" s="130"/>
      <c r="X386" s="130"/>
      <c r="Y386" s="130"/>
      <c r="Z386" s="114"/>
      <c r="AA386" s="114"/>
      <c r="AB386" s="114"/>
      <c r="AC386" s="114"/>
      <c r="AD386" s="114"/>
      <c r="AE386" s="114"/>
      <c r="AF386" s="114"/>
      <c r="AG386" s="114"/>
      <c r="AH386" s="114"/>
      <c r="AI386" s="114"/>
      <c r="AJ386" s="114"/>
      <c r="AK386" s="114"/>
      <c r="AL386" s="114"/>
      <c r="AM386" s="114"/>
      <c r="AN386" s="114"/>
      <c r="AO386" s="114"/>
      <c r="AP386" s="130"/>
      <c r="AQ386" s="130"/>
    </row>
    <row r="387" ht="15.75" customHeight="1">
      <c r="A387" s="114"/>
      <c r="B387" s="114"/>
      <c r="C387" s="114"/>
      <c r="D387" s="114"/>
      <c r="E387" s="114"/>
      <c r="F387" s="114"/>
      <c r="G387" s="322"/>
      <c r="H387" s="114"/>
      <c r="I387" s="130"/>
      <c r="J387" s="114"/>
      <c r="K387" s="114"/>
      <c r="L387" s="130"/>
      <c r="M387" s="114"/>
      <c r="N387" s="130"/>
      <c r="O387" s="114"/>
      <c r="P387" s="165"/>
      <c r="Q387" s="114"/>
      <c r="R387" s="114"/>
      <c r="S387" s="114"/>
      <c r="T387" s="114"/>
      <c r="U387" s="114"/>
      <c r="V387" s="114"/>
      <c r="W387" s="130"/>
      <c r="X387" s="130"/>
      <c r="Y387" s="130"/>
      <c r="Z387" s="114"/>
      <c r="AA387" s="114"/>
      <c r="AB387" s="114"/>
      <c r="AC387" s="114"/>
      <c r="AD387" s="114"/>
      <c r="AE387" s="114"/>
      <c r="AF387" s="114"/>
      <c r="AG387" s="114"/>
      <c r="AH387" s="114"/>
      <c r="AI387" s="114"/>
      <c r="AJ387" s="114"/>
      <c r="AK387" s="114"/>
      <c r="AL387" s="114"/>
      <c r="AM387" s="114"/>
      <c r="AN387" s="114"/>
      <c r="AO387" s="114"/>
      <c r="AP387" s="130"/>
      <c r="AQ387" s="130"/>
    </row>
    <row r="388" ht="15.75" customHeight="1">
      <c r="A388" s="114"/>
      <c r="B388" s="114"/>
      <c r="C388" s="114"/>
      <c r="D388" s="114"/>
      <c r="E388" s="114"/>
      <c r="F388" s="114"/>
      <c r="G388" s="322"/>
      <c r="H388" s="114"/>
      <c r="I388" s="130"/>
      <c r="J388" s="114"/>
      <c r="K388" s="114"/>
      <c r="L388" s="130"/>
      <c r="M388" s="114"/>
      <c r="N388" s="130"/>
      <c r="O388" s="114"/>
      <c r="P388" s="165"/>
      <c r="Q388" s="114"/>
      <c r="R388" s="114"/>
      <c r="S388" s="114"/>
      <c r="T388" s="114"/>
      <c r="U388" s="114"/>
      <c r="V388" s="114"/>
      <c r="W388" s="130"/>
      <c r="X388" s="130"/>
      <c r="Y388" s="130"/>
      <c r="Z388" s="114"/>
      <c r="AA388" s="114"/>
      <c r="AB388" s="114"/>
      <c r="AC388" s="114"/>
      <c r="AD388" s="114"/>
      <c r="AE388" s="114"/>
      <c r="AF388" s="114"/>
      <c r="AG388" s="114"/>
      <c r="AH388" s="114"/>
      <c r="AI388" s="114"/>
      <c r="AJ388" s="114"/>
      <c r="AK388" s="114"/>
      <c r="AL388" s="114"/>
      <c r="AM388" s="114"/>
      <c r="AN388" s="114"/>
      <c r="AO388" s="114"/>
      <c r="AP388" s="130"/>
      <c r="AQ388" s="130"/>
    </row>
    <row r="389" ht="15.75" customHeight="1">
      <c r="A389" s="114"/>
      <c r="B389" s="114"/>
      <c r="C389" s="114"/>
      <c r="D389" s="114"/>
      <c r="E389" s="114"/>
      <c r="F389" s="114"/>
      <c r="G389" s="322"/>
      <c r="H389" s="114"/>
      <c r="I389" s="130"/>
      <c r="J389" s="114"/>
      <c r="K389" s="114"/>
      <c r="L389" s="130"/>
      <c r="M389" s="114"/>
      <c r="N389" s="130"/>
      <c r="O389" s="114"/>
      <c r="P389" s="165"/>
      <c r="Q389" s="114"/>
      <c r="R389" s="114"/>
      <c r="S389" s="114"/>
      <c r="T389" s="114"/>
      <c r="U389" s="114"/>
      <c r="V389" s="114"/>
      <c r="W389" s="130"/>
      <c r="X389" s="130"/>
      <c r="Y389" s="130"/>
      <c r="Z389" s="114"/>
      <c r="AA389" s="114"/>
      <c r="AB389" s="114"/>
      <c r="AC389" s="114"/>
      <c r="AD389" s="114"/>
      <c r="AE389" s="114"/>
      <c r="AF389" s="114"/>
      <c r="AG389" s="114"/>
      <c r="AH389" s="114"/>
      <c r="AI389" s="114"/>
      <c r="AJ389" s="114"/>
      <c r="AK389" s="114"/>
      <c r="AL389" s="114"/>
      <c r="AM389" s="114"/>
      <c r="AN389" s="114"/>
      <c r="AO389" s="114"/>
      <c r="AP389" s="130"/>
      <c r="AQ389" s="130"/>
    </row>
    <row r="390" ht="15.75" customHeight="1">
      <c r="A390" s="114"/>
      <c r="B390" s="114"/>
      <c r="C390" s="114"/>
      <c r="D390" s="114"/>
      <c r="E390" s="114"/>
      <c r="F390" s="114"/>
      <c r="G390" s="322"/>
      <c r="H390" s="114"/>
      <c r="I390" s="130"/>
      <c r="J390" s="114"/>
      <c r="K390" s="114"/>
      <c r="L390" s="130"/>
      <c r="M390" s="114"/>
      <c r="N390" s="130"/>
      <c r="O390" s="114"/>
      <c r="P390" s="165"/>
      <c r="Q390" s="114"/>
      <c r="R390" s="114"/>
      <c r="S390" s="114"/>
      <c r="T390" s="114"/>
      <c r="U390" s="114"/>
      <c r="V390" s="114"/>
      <c r="W390" s="130"/>
      <c r="X390" s="130"/>
      <c r="Y390" s="130"/>
      <c r="Z390" s="114"/>
      <c r="AA390" s="114"/>
      <c r="AB390" s="114"/>
      <c r="AC390" s="114"/>
      <c r="AD390" s="114"/>
      <c r="AE390" s="114"/>
      <c r="AF390" s="114"/>
      <c r="AG390" s="114"/>
      <c r="AH390" s="114"/>
      <c r="AI390" s="114"/>
      <c r="AJ390" s="114"/>
      <c r="AK390" s="114"/>
      <c r="AL390" s="114"/>
      <c r="AM390" s="114"/>
      <c r="AN390" s="114"/>
      <c r="AO390" s="114"/>
      <c r="AP390" s="130"/>
      <c r="AQ390" s="130"/>
    </row>
    <row r="391" ht="15.75" customHeight="1">
      <c r="A391" s="114"/>
      <c r="B391" s="114"/>
      <c r="C391" s="114"/>
      <c r="D391" s="114"/>
      <c r="E391" s="114"/>
      <c r="F391" s="114"/>
      <c r="G391" s="322"/>
      <c r="H391" s="114"/>
      <c r="I391" s="130"/>
      <c r="J391" s="114"/>
      <c r="K391" s="114"/>
      <c r="L391" s="130"/>
      <c r="M391" s="114"/>
      <c r="N391" s="130"/>
      <c r="O391" s="114"/>
      <c r="P391" s="165"/>
      <c r="Q391" s="114"/>
      <c r="R391" s="114"/>
      <c r="S391" s="114"/>
      <c r="T391" s="114"/>
      <c r="U391" s="114"/>
      <c r="V391" s="114"/>
      <c r="W391" s="130"/>
      <c r="X391" s="130"/>
      <c r="Y391" s="130"/>
      <c r="Z391" s="114"/>
      <c r="AA391" s="114"/>
      <c r="AB391" s="114"/>
      <c r="AC391" s="114"/>
      <c r="AD391" s="114"/>
      <c r="AE391" s="114"/>
      <c r="AF391" s="114"/>
      <c r="AG391" s="114"/>
      <c r="AH391" s="114"/>
      <c r="AI391" s="114"/>
      <c r="AJ391" s="114"/>
      <c r="AK391" s="114"/>
      <c r="AL391" s="114"/>
      <c r="AM391" s="114"/>
      <c r="AN391" s="114"/>
      <c r="AO391" s="114"/>
      <c r="AP391" s="130"/>
      <c r="AQ391" s="130"/>
    </row>
    <row r="392" ht="15.75" customHeight="1">
      <c r="A392" s="114"/>
      <c r="B392" s="114"/>
      <c r="C392" s="114"/>
      <c r="D392" s="114"/>
      <c r="E392" s="114"/>
      <c r="F392" s="114"/>
      <c r="G392" s="322"/>
      <c r="H392" s="114"/>
      <c r="I392" s="130"/>
      <c r="J392" s="114"/>
      <c r="K392" s="114"/>
      <c r="L392" s="130"/>
      <c r="M392" s="114"/>
      <c r="N392" s="130"/>
      <c r="O392" s="114"/>
      <c r="P392" s="165"/>
      <c r="Q392" s="114"/>
      <c r="R392" s="114"/>
      <c r="S392" s="114"/>
      <c r="T392" s="114"/>
      <c r="U392" s="114"/>
      <c r="V392" s="114"/>
      <c r="W392" s="130"/>
      <c r="X392" s="130"/>
      <c r="Y392" s="130"/>
      <c r="Z392" s="114"/>
      <c r="AA392" s="114"/>
      <c r="AB392" s="114"/>
      <c r="AC392" s="114"/>
      <c r="AD392" s="114"/>
      <c r="AE392" s="114"/>
      <c r="AF392" s="114"/>
      <c r="AG392" s="114"/>
      <c r="AH392" s="114"/>
      <c r="AI392" s="114"/>
      <c r="AJ392" s="114"/>
      <c r="AK392" s="114"/>
      <c r="AL392" s="114"/>
      <c r="AM392" s="114"/>
      <c r="AN392" s="114"/>
      <c r="AO392" s="114"/>
      <c r="AP392" s="130"/>
      <c r="AQ392" s="130"/>
    </row>
    <row r="393" ht="15.75" customHeight="1">
      <c r="A393" s="114"/>
      <c r="B393" s="114"/>
      <c r="C393" s="114"/>
      <c r="D393" s="114"/>
      <c r="E393" s="114"/>
      <c r="F393" s="114"/>
      <c r="G393" s="322"/>
      <c r="H393" s="114"/>
      <c r="I393" s="130"/>
      <c r="J393" s="114"/>
      <c r="K393" s="114"/>
      <c r="L393" s="130"/>
      <c r="M393" s="114"/>
      <c r="N393" s="130"/>
      <c r="O393" s="114"/>
      <c r="P393" s="165"/>
      <c r="Q393" s="114"/>
      <c r="R393" s="114"/>
      <c r="S393" s="114"/>
      <c r="T393" s="114"/>
      <c r="U393" s="114"/>
      <c r="V393" s="114"/>
      <c r="W393" s="130"/>
      <c r="X393" s="130"/>
      <c r="Y393" s="130"/>
      <c r="Z393" s="114"/>
      <c r="AA393" s="114"/>
      <c r="AB393" s="114"/>
      <c r="AC393" s="114"/>
      <c r="AD393" s="114"/>
      <c r="AE393" s="114"/>
      <c r="AF393" s="114"/>
      <c r="AG393" s="114"/>
      <c r="AH393" s="114"/>
      <c r="AI393" s="114"/>
      <c r="AJ393" s="114"/>
      <c r="AK393" s="114"/>
      <c r="AL393" s="114"/>
      <c r="AM393" s="114"/>
      <c r="AN393" s="114"/>
      <c r="AO393" s="114"/>
      <c r="AP393" s="130"/>
      <c r="AQ393" s="130"/>
    </row>
    <row r="394" ht="15.75" customHeight="1">
      <c r="A394" s="114"/>
      <c r="B394" s="114"/>
      <c r="C394" s="114"/>
      <c r="D394" s="114"/>
      <c r="E394" s="114"/>
      <c r="F394" s="114"/>
      <c r="G394" s="322"/>
      <c r="H394" s="114"/>
      <c r="I394" s="130"/>
      <c r="J394" s="114"/>
      <c r="K394" s="114"/>
      <c r="L394" s="130"/>
      <c r="M394" s="114"/>
      <c r="N394" s="130"/>
      <c r="O394" s="114"/>
      <c r="P394" s="165"/>
      <c r="Q394" s="114"/>
      <c r="R394" s="114"/>
      <c r="S394" s="114"/>
      <c r="T394" s="114"/>
      <c r="U394" s="114"/>
      <c r="V394" s="114"/>
      <c r="W394" s="130"/>
      <c r="X394" s="130"/>
      <c r="Y394" s="130"/>
      <c r="Z394" s="114"/>
      <c r="AA394" s="114"/>
      <c r="AB394" s="114"/>
      <c r="AC394" s="114"/>
      <c r="AD394" s="114"/>
      <c r="AE394" s="114"/>
      <c r="AF394" s="114"/>
      <c r="AG394" s="114"/>
      <c r="AH394" s="114"/>
      <c r="AI394" s="114"/>
      <c r="AJ394" s="114"/>
      <c r="AK394" s="114"/>
      <c r="AL394" s="114"/>
      <c r="AM394" s="114"/>
      <c r="AN394" s="114"/>
      <c r="AO394" s="114"/>
      <c r="AP394" s="130"/>
      <c r="AQ394" s="130"/>
    </row>
    <row r="395" ht="15.75" customHeight="1">
      <c r="A395" s="114"/>
      <c r="B395" s="114"/>
      <c r="C395" s="114"/>
      <c r="D395" s="114"/>
      <c r="E395" s="114"/>
      <c r="F395" s="114"/>
      <c r="G395" s="322"/>
      <c r="H395" s="114"/>
      <c r="I395" s="130"/>
      <c r="J395" s="114"/>
      <c r="K395" s="114"/>
      <c r="L395" s="130"/>
      <c r="M395" s="114"/>
      <c r="N395" s="130"/>
      <c r="O395" s="114"/>
      <c r="P395" s="165"/>
      <c r="Q395" s="114"/>
      <c r="R395" s="114"/>
      <c r="S395" s="114"/>
      <c r="T395" s="114"/>
      <c r="U395" s="114"/>
      <c r="V395" s="114"/>
      <c r="W395" s="130"/>
      <c r="X395" s="130"/>
      <c r="Y395" s="130"/>
      <c r="Z395" s="114"/>
      <c r="AA395" s="114"/>
      <c r="AB395" s="114"/>
      <c r="AC395" s="114"/>
      <c r="AD395" s="114"/>
      <c r="AE395" s="114"/>
      <c r="AF395" s="114"/>
      <c r="AG395" s="114"/>
      <c r="AH395" s="114"/>
      <c r="AI395" s="114"/>
      <c r="AJ395" s="114"/>
      <c r="AK395" s="114"/>
      <c r="AL395" s="114"/>
      <c r="AM395" s="114"/>
      <c r="AN395" s="114"/>
      <c r="AO395" s="114"/>
      <c r="AP395" s="130"/>
      <c r="AQ395" s="130"/>
    </row>
    <row r="396" ht="15.75" customHeight="1">
      <c r="A396" s="114"/>
      <c r="B396" s="114"/>
      <c r="C396" s="114"/>
      <c r="D396" s="114"/>
      <c r="E396" s="114"/>
      <c r="F396" s="114"/>
      <c r="G396" s="322"/>
      <c r="H396" s="114"/>
      <c r="I396" s="130"/>
      <c r="J396" s="114"/>
      <c r="K396" s="114"/>
      <c r="L396" s="130"/>
      <c r="M396" s="114"/>
      <c r="N396" s="130"/>
      <c r="O396" s="114"/>
      <c r="P396" s="165"/>
      <c r="Q396" s="114"/>
      <c r="R396" s="114"/>
      <c r="S396" s="114"/>
      <c r="T396" s="114"/>
      <c r="U396" s="114"/>
      <c r="V396" s="114"/>
      <c r="W396" s="130"/>
      <c r="X396" s="130"/>
      <c r="Y396" s="130"/>
      <c r="Z396" s="114"/>
      <c r="AA396" s="114"/>
      <c r="AB396" s="114"/>
      <c r="AC396" s="114"/>
      <c r="AD396" s="114"/>
      <c r="AE396" s="114"/>
      <c r="AF396" s="114"/>
      <c r="AG396" s="114"/>
      <c r="AH396" s="114"/>
      <c r="AI396" s="114"/>
      <c r="AJ396" s="114"/>
      <c r="AK396" s="114"/>
      <c r="AL396" s="114"/>
      <c r="AM396" s="114"/>
      <c r="AN396" s="114"/>
      <c r="AO396" s="114"/>
      <c r="AP396" s="130"/>
      <c r="AQ396" s="130"/>
    </row>
    <row r="397" ht="15.75" customHeight="1">
      <c r="A397" s="114"/>
      <c r="B397" s="114"/>
      <c r="C397" s="114"/>
      <c r="D397" s="114"/>
      <c r="E397" s="114"/>
      <c r="F397" s="114"/>
      <c r="G397" s="322"/>
      <c r="H397" s="114"/>
      <c r="I397" s="130"/>
      <c r="J397" s="114"/>
      <c r="K397" s="114"/>
      <c r="L397" s="130"/>
      <c r="M397" s="114"/>
      <c r="N397" s="130"/>
      <c r="O397" s="114"/>
      <c r="P397" s="165"/>
      <c r="Q397" s="114"/>
      <c r="R397" s="114"/>
      <c r="S397" s="114"/>
      <c r="T397" s="114"/>
      <c r="U397" s="114"/>
      <c r="V397" s="114"/>
      <c r="W397" s="130"/>
      <c r="X397" s="130"/>
      <c r="Y397" s="130"/>
      <c r="Z397" s="114"/>
      <c r="AA397" s="114"/>
      <c r="AB397" s="114"/>
      <c r="AC397" s="114"/>
      <c r="AD397" s="114"/>
      <c r="AE397" s="114"/>
      <c r="AF397" s="114"/>
      <c r="AG397" s="114"/>
      <c r="AH397" s="114"/>
      <c r="AI397" s="114"/>
      <c r="AJ397" s="114"/>
      <c r="AK397" s="114"/>
      <c r="AL397" s="114"/>
      <c r="AM397" s="114"/>
      <c r="AN397" s="114"/>
      <c r="AO397" s="114"/>
      <c r="AP397" s="130"/>
      <c r="AQ397" s="130"/>
    </row>
    <row r="398" ht="15.75" customHeight="1">
      <c r="A398" s="114"/>
      <c r="B398" s="114"/>
      <c r="C398" s="114"/>
      <c r="D398" s="114"/>
      <c r="E398" s="114"/>
      <c r="F398" s="114"/>
      <c r="G398" s="322"/>
      <c r="H398" s="114"/>
      <c r="I398" s="130"/>
      <c r="J398" s="114"/>
      <c r="K398" s="114"/>
      <c r="L398" s="130"/>
      <c r="M398" s="114"/>
      <c r="N398" s="130"/>
      <c r="O398" s="114"/>
      <c r="P398" s="165"/>
      <c r="Q398" s="114"/>
      <c r="R398" s="114"/>
      <c r="S398" s="114"/>
      <c r="T398" s="114"/>
      <c r="U398" s="114"/>
      <c r="V398" s="114"/>
      <c r="W398" s="130"/>
      <c r="X398" s="130"/>
      <c r="Y398" s="130"/>
      <c r="Z398" s="114"/>
      <c r="AA398" s="114"/>
      <c r="AB398" s="114"/>
      <c r="AC398" s="114"/>
      <c r="AD398" s="114"/>
      <c r="AE398" s="114"/>
      <c r="AF398" s="114"/>
      <c r="AG398" s="114"/>
      <c r="AH398" s="114"/>
      <c r="AI398" s="114"/>
      <c r="AJ398" s="114"/>
      <c r="AK398" s="114"/>
      <c r="AL398" s="114"/>
      <c r="AM398" s="114"/>
      <c r="AN398" s="114"/>
      <c r="AO398" s="114"/>
      <c r="AP398" s="130"/>
      <c r="AQ398" s="130"/>
    </row>
    <row r="399" ht="15.75" customHeight="1">
      <c r="A399" s="114"/>
      <c r="B399" s="114"/>
      <c r="C399" s="114"/>
      <c r="D399" s="114"/>
      <c r="E399" s="114"/>
      <c r="F399" s="114"/>
      <c r="G399" s="322"/>
      <c r="H399" s="114"/>
      <c r="I399" s="130"/>
      <c r="J399" s="114"/>
      <c r="K399" s="114"/>
      <c r="L399" s="130"/>
      <c r="M399" s="114"/>
      <c r="N399" s="130"/>
      <c r="O399" s="114"/>
      <c r="P399" s="165"/>
      <c r="Q399" s="114"/>
      <c r="R399" s="114"/>
      <c r="S399" s="114"/>
      <c r="T399" s="114"/>
      <c r="U399" s="114"/>
      <c r="V399" s="114"/>
      <c r="W399" s="130"/>
      <c r="X399" s="130"/>
      <c r="Y399" s="130"/>
      <c r="Z399" s="114"/>
      <c r="AA399" s="114"/>
      <c r="AB399" s="114"/>
      <c r="AC399" s="114"/>
      <c r="AD399" s="114"/>
      <c r="AE399" s="114"/>
      <c r="AF399" s="114"/>
      <c r="AG399" s="114"/>
      <c r="AH399" s="114"/>
      <c r="AI399" s="114"/>
      <c r="AJ399" s="114"/>
      <c r="AK399" s="114"/>
      <c r="AL399" s="114"/>
      <c r="AM399" s="114"/>
      <c r="AN399" s="114"/>
      <c r="AO399" s="114"/>
      <c r="AP399" s="130"/>
      <c r="AQ399" s="130"/>
    </row>
    <row r="400" ht="15.75" customHeight="1">
      <c r="A400" s="114"/>
      <c r="B400" s="114"/>
      <c r="C400" s="114"/>
      <c r="D400" s="114"/>
      <c r="E400" s="114"/>
      <c r="F400" s="114"/>
      <c r="G400" s="322"/>
      <c r="H400" s="114"/>
      <c r="I400" s="130"/>
      <c r="J400" s="114"/>
      <c r="K400" s="114"/>
      <c r="L400" s="130"/>
      <c r="M400" s="114"/>
      <c r="N400" s="130"/>
      <c r="O400" s="114"/>
      <c r="P400" s="165"/>
      <c r="Q400" s="114"/>
      <c r="R400" s="114"/>
      <c r="S400" s="114"/>
      <c r="T400" s="114"/>
      <c r="U400" s="114"/>
      <c r="V400" s="114"/>
      <c r="W400" s="130"/>
      <c r="X400" s="130"/>
      <c r="Y400" s="130"/>
      <c r="Z400" s="114"/>
      <c r="AA400" s="114"/>
      <c r="AB400" s="114"/>
      <c r="AC400" s="114"/>
      <c r="AD400" s="114"/>
      <c r="AE400" s="114"/>
      <c r="AF400" s="114"/>
      <c r="AG400" s="114"/>
      <c r="AH400" s="114"/>
      <c r="AI400" s="114"/>
      <c r="AJ400" s="114"/>
      <c r="AK400" s="114"/>
      <c r="AL400" s="114"/>
      <c r="AM400" s="114"/>
      <c r="AN400" s="114"/>
      <c r="AO400" s="114"/>
      <c r="AP400" s="130"/>
      <c r="AQ400" s="130"/>
    </row>
    <row r="401" ht="15.75" customHeight="1">
      <c r="A401" s="114"/>
      <c r="B401" s="114"/>
      <c r="C401" s="114"/>
      <c r="D401" s="114"/>
      <c r="E401" s="114"/>
      <c r="F401" s="114"/>
      <c r="G401" s="322"/>
      <c r="H401" s="114"/>
      <c r="I401" s="130"/>
      <c r="J401" s="114"/>
      <c r="K401" s="114"/>
      <c r="L401" s="130"/>
      <c r="M401" s="114"/>
      <c r="N401" s="130"/>
      <c r="O401" s="114"/>
      <c r="P401" s="165"/>
      <c r="Q401" s="114"/>
      <c r="R401" s="114"/>
      <c r="S401" s="114"/>
      <c r="T401" s="114"/>
      <c r="U401" s="114"/>
      <c r="V401" s="114"/>
      <c r="W401" s="130"/>
      <c r="X401" s="130"/>
      <c r="Y401" s="130"/>
      <c r="Z401" s="114"/>
      <c r="AA401" s="114"/>
      <c r="AB401" s="114"/>
      <c r="AC401" s="114"/>
      <c r="AD401" s="114"/>
      <c r="AE401" s="114"/>
      <c r="AF401" s="114"/>
      <c r="AG401" s="114"/>
      <c r="AH401" s="114"/>
      <c r="AI401" s="114"/>
      <c r="AJ401" s="114"/>
      <c r="AK401" s="114"/>
      <c r="AL401" s="114"/>
      <c r="AM401" s="114"/>
      <c r="AN401" s="114"/>
      <c r="AO401" s="114"/>
      <c r="AP401" s="130"/>
      <c r="AQ401" s="130"/>
    </row>
    <row r="402" ht="15.75" customHeight="1">
      <c r="A402" s="114"/>
      <c r="B402" s="114"/>
      <c r="C402" s="114"/>
      <c r="D402" s="114"/>
      <c r="E402" s="114"/>
      <c r="F402" s="114"/>
      <c r="G402" s="322"/>
      <c r="H402" s="114"/>
      <c r="I402" s="130"/>
      <c r="J402" s="114"/>
      <c r="K402" s="114"/>
      <c r="L402" s="130"/>
      <c r="M402" s="114"/>
      <c r="N402" s="130"/>
      <c r="O402" s="114"/>
      <c r="P402" s="165"/>
      <c r="Q402" s="114"/>
      <c r="R402" s="114"/>
      <c r="S402" s="114"/>
      <c r="T402" s="114"/>
      <c r="U402" s="114"/>
      <c r="V402" s="114"/>
      <c r="W402" s="130"/>
      <c r="X402" s="130"/>
      <c r="Y402" s="130"/>
      <c r="Z402" s="114"/>
      <c r="AA402" s="114"/>
      <c r="AB402" s="114"/>
      <c r="AC402" s="114"/>
      <c r="AD402" s="114"/>
      <c r="AE402" s="114"/>
      <c r="AF402" s="114"/>
      <c r="AG402" s="114"/>
      <c r="AH402" s="114"/>
      <c r="AI402" s="114"/>
      <c r="AJ402" s="114"/>
      <c r="AK402" s="114"/>
      <c r="AL402" s="114"/>
      <c r="AM402" s="114"/>
      <c r="AN402" s="114"/>
      <c r="AO402" s="114"/>
      <c r="AP402" s="130"/>
      <c r="AQ402" s="130"/>
    </row>
    <row r="403" ht="15.75" customHeight="1">
      <c r="A403" s="114"/>
      <c r="B403" s="114"/>
      <c r="C403" s="114"/>
      <c r="D403" s="114"/>
      <c r="E403" s="114"/>
      <c r="F403" s="114"/>
      <c r="G403" s="322"/>
      <c r="H403" s="114"/>
      <c r="I403" s="130"/>
      <c r="J403" s="114"/>
      <c r="K403" s="114"/>
      <c r="L403" s="130"/>
      <c r="M403" s="114"/>
      <c r="N403" s="130"/>
      <c r="O403" s="114"/>
      <c r="P403" s="165"/>
      <c r="Q403" s="114"/>
      <c r="R403" s="114"/>
      <c r="S403" s="114"/>
      <c r="T403" s="114"/>
      <c r="U403" s="114"/>
      <c r="V403" s="114"/>
      <c r="W403" s="130"/>
      <c r="X403" s="130"/>
      <c r="Y403" s="130"/>
      <c r="Z403" s="114"/>
      <c r="AA403" s="114"/>
      <c r="AB403" s="114"/>
      <c r="AC403" s="114"/>
      <c r="AD403" s="114"/>
      <c r="AE403" s="114"/>
      <c r="AF403" s="114"/>
      <c r="AG403" s="114"/>
      <c r="AH403" s="114"/>
      <c r="AI403" s="114"/>
      <c r="AJ403" s="114"/>
      <c r="AK403" s="114"/>
      <c r="AL403" s="114"/>
      <c r="AM403" s="114"/>
      <c r="AN403" s="114"/>
      <c r="AO403" s="114"/>
      <c r="AP403" s="130"/>
      <c r="AQ403" s="130"/>
    </row>
    <row r="404" ht="15.75" customHeight="1">
      <c r="A404" s="114"/>
      <c r="B404" s="114"/>
      <c r="C404" s="114"/>
      <c r="D404" s="114"/>
      <c r="E404" s="114"/>
      <c r="F404" s="114"/>
      <c r="G404" s="322"/>
      <c r="H404" s="114"/>
      <c r="I404" s="130"/>
      <c r="J404" s="114"/>
      <c r="K404" s="114"/>
      <c r="L404" s="130"/>
      <c r="M404" s="114"/>
      <c r="N404" s="130"/>
      <c r="O404" s="114"/>
      <c r="P404" s="165"/>
      <c r="Q404" s="114"/>
      <c r="R404" s="114"/>
      <c r="S404" s="114"/>
      <c r="T404" s="114"/>
      <c r="U404" s="114"/>
      <c r="V404" s="114"/>
      <c r="W404" s="130"/>
      <c r="X404" s="130"/>
      <c r="Y404" s="130"/>
      <c r="Z404" s="114"/>
      <c r="AA404" s="114"/>
      <c r="AB404" s="114"/>
      <c r="AC404" s="114"/>
      <c r="AD404" s="114"/>
      <c r="AE404" s="114"/>
      <c r="AF404" s="114"/>
      <c r="AG404" s="114"/>
      <c r="AH404" s="114"/>
      <c r="AI404" s="114"/>
      <c r="AJ404" s="114"/>
      <c r="AK404" s="114"/>
      <c r="AL404" s="114"/>
      <c r="AM404" s="114"/>
      <c r="AN404" s="114"/>
      <c r="AO404" s="114"/>
      <c r="AP404" s="130"/>
      <c r="AQ404" s="130"/>
    </row>
    <row r="405" ht="15.75" customHeight="1">
      <c r="A405" s="114"/>
      <c r="B405" s="114"/>
      <c r="C405" s="114"/>
      <c r="D405" s="114"/>
      <c r="E405" s="114"/>
      <c r="F405" s="114"/>
      <c r="G405" s="322"/>
      <c r="H405" s="114"/>
      <c r="I405" s="130"/>
      <c r="J405" s="114"/>
      <c r="K405" s="114"/>
      <c r="L405" s="130"/>
      <c r="M405" s="114"/>
      <c r="N405" s="130"/>
      <c r="O405" s="114"/>
      <c r="P405" s="165"/>
      <c r="Q405" s="114"/>
      <c r="R405" s="114"/>
      <c r="S405" s="114"/>
      <c r="T405" s="114"/>
      <c r="U405" s="114"/>
      <c r="V405" s="114"/>
      <c r="W405" s="130"/>
      <c r="X405" s="130"/>
      <c r="Y405" s="130"/>
      <c r="Z405" s="114"/>
      <c r="AA405" s="114"/>
      <c r="AB405" s="114"/>
      <c r="AC405" s="114"/>
      <c r="AD405" s="114"/>
      <c r="AE405" s="114"/>
      <c r="AF405" s="114"/>
      <c r="AG405" s="114"/>
      <c r="AH405" s="114"/>
      <c r="AI405" s="114"/>
      <c r="AJ405" s="114"/>
      <c r="AK405" s="114"/>
      <c r="AL405" s="114"/>
      <c r="AM405" s="114"/>
      <c r="AN405" s="114"/>
      <c r="AO405" s="114"/>
      <c r="AP405" s="130"/>
      <c r="AQ405" s="130"/>
    </row>
    <row r="406" ht="15.75" customHeight="1">
      <c r="A406" s="114"/>
      <c r="B406" s="114"/>
      <c r="C406" s="114"/>
      <c r="D406" s="114"/>
      <c r="E406" s="114"/>
      <c r="F406" s="114"/>
      <c r="G406" s="322"/>
      <c r="H406" s="114"/>
      <c r="I406" s="130"/>
      <c r="J406" s="114"/>
      <c r="K406" s="114"/>
      <c r="L406" s="130"/>
      <c r="M406" s="114"/>
      <c r="N406" s="130"/>
      <c r="O406" s="114"/>
      <c r="P406" s="165"/>
      <c r="Q406" s="114"/>
      <c r="R406" s="114"/>
      <c r="S406" s="114"/>
      <c r="T406" s="114"/>
      <c r="U406" s="114"/>
      <c r="V406" s="114"/>
      <c r="W406" s="130"/>
      <c r="X406" s="130"/>
      <c r="Y406" s="130"/>
      <c r="Z406" s="114"/>
      <c r="AA406" s="114"/>
      <c r="AB406" s="114"/>
      <c r="AC406" s="114"/>
      <c r="AD406" s="114"/>
      <c r="AE406" s="114"/>
      <c r="AF406" s="114"/>
      <c r="AG406" s="114"/>
      <c r="AH406" s="114"/>
      <c r="AI406" s="114"/>
      <c r="AJ406" s="114"/>
      <c r="AK406" s="114"/>
      <c r="AL406" s="114"/>
      <c r="AM406" s="114"/>
      <c r="AN406" s="114"/>
      <c r="AO406" s="114"/>
      <c r="AP406" s="130"/>
      <c r="AQ406" s="130"/>
    </row>
    <row r="407" ht="15.75" customHeight="1">
      <c r="A407" s="114"/>
      <c r="B407" s="114"/>
      <c r="C407" s="114"/>
      <c r="D407" s="114"/>
      <c r="E407" s="114"/>
      <c r="F407" s="114"/>
      <c r="G407" s="322"/>
      <c r="H407" s="114"/>
      <c r="I407" s="130"/>
      <c r="J407" s="114"/>
      <c r="K407" s="114"/>
      <c r="L407" s="130"/>
      <c r="M407" s="114"/>
      <c r="N407" s="130"/>
      <c r="O407" s="114"/>
      <c r="P407" s="165"/>
      <c r="Q407" s="114"/>
      <c r="R407" s="114"/>
      <c r="S407" s="114"/>
      <c r="T407" s="114"/>
      <c r="U407" s="114"/>
      <c r="V407" s="114"/>
      <c r="W407" s="130"/>
      <c r="X407" s="130"/>
      <c r="Y407" s="130"/>
      <c r="Z407" s="114"/>
      <c r="AA407" s="114"/>
      <c r="AB407" s="114"/>
      <c r="AC407" s="114"/>
      <c r="AD407" s="114"/>
      <c r="AE407" s="114"/>
      <c r="AF407" s="114"/>
      <c r="AG407" s="114"/>
      <c r="AH407" s="114"/>
      <c r="AI407" s="114"/>
      <c r="AJ407" s="114"/>
      <c r="AK407" s="114"/>
      <c r="AL407" s="114"/>
      <c r="AM407" s="114"/>
      <c r="AN407" s="114"/>
      <c r="AO407" s="114"/>
      <c r="AP407" s="130"/>
      <c r="AQ407" s="130"/>
    </row>
    <row r="408" ht="15.75" customHeight="1">
      <c r="A408" s="114"/>
      <c r="B408" s="114"/>
      <c r="C408" s="114"/>
      <c r="D408" s="114"/>
      <c r="E408" s="114"/>
      <c r="F408" s="114"/>
      <c r="G408" s="322"/>
      <c r="H408" s="114"/>
      <c r="I408" s="130"/>
      <c r="J408" s="114"/>
      <c r="K408" s="114"/>
      <c r="L408" s="130"/>
      <c r="M408" s="114"/>
      <c r="N408" s="130"/>
      <c r="O408" s="114"/>
      <c r="P408" s="165"/>
      <c r="Q408" s="114"/>
      <c r="R408" s="114"/>
      <c r="S408" s="114"/>
      <c r="T408" s="114"/>
      <c r="U408" s="114"/>
      <c r="V408" s="114"/>
      <c r="W408" s="130"/>
      <c r="X408" s="130"/>
      <c r="Y408" s="130"/>
      <c r="Z408" s="114"/>
      <c r="AA408" s="114"/>
      <c r="AB408" s="114"/>
      <c r="AC408" s="114"/>
      <c r="AD408" s="114"/>
      <c r="AE408" s="114"/>
      <c r="AF408" s="114"/>
      <c r="AG408" s="114"/>
      <c r="AH408" s="114"/>
      <c r="AI408" s="114"/>
      <c r="AJ408" s="114"/>
      <c r="AK408" s="114"/>
      <c r="AL408" s="114"/>
      <c r="AM408" s="114"/>
      <c r="AN408" s="114"/>
      <c r="AO408" s="114"/>
      <c r="AP408" s="130"/>
      <c r="AQ408" s="130"/>
    </row>
    <row r="409" ht="15.75" customHeight="1">
      <c r="A409" s="114"/>
      <c r="B409" s="114"/>
      <c r="C409" s="114"/>
      <c r="D409" s="114"/>
      <c r="E409" s="114"/>
      <c r="F409" s="114"/>
      <c r="G409" s="322"/>
      <c r="H409" s="114"/>
      <c r="I409" s="130"/>
      <c r="J409" s="114"/>
      <c r="K409" s="114"/>
      <c r="L409" s="130"/>
      <c r="M409" s="114"/>
      <c r="N409" s="130"/>
      <c r="O409" s="114"/>
      <c r="P409" s="165"/>
      <c r="Q409" s="114"/>
      <c r="R409" s="114"/>
      <c r="S409" s="114"/>
      <c r="T409" s="114"/>
      <c r="U409" s="114"/>
      <c r="V409" s="114"/>
      <c r="W409" s="130"/>
      <c r="X409" s="130"/>
      <c r="Y409" s="130"/>
      <c r="Z409" s="114"/>
      <c r="AA409" s="114"/>
      <c r="AB409" s="114"/>
      <c r="AC409" s="114"/>
      <c r="AD409" s="114"/>
      <c r="AE409" s="114"/>
      <c r="AF409" s="114"/>
      <c r="AG409" s="114"/>
      <c r="AH409" s="114"/>
      <c r="AI409" s="114"/>
      <c r="AJ409" s="114"/>
      <c r="AK409" s="114"/>
      <c r="AL409" s="114"/>
      <c r="AM409" s="114"/>
      <c r="AN409" s="114"/>
      <c r="AO409" s="114"/>
      <c r="AP409" s="130"/>
      <c r="AQ409" s="130"/>
    </row>
    <row r="410" ht="15.75" customHeight="1">
      <c r="A410" s="114"/>
      <c r="B410" s="114"/>
      <c r="C410" s="114"/>
      <c r="D410" s="114"/>
      <c r="E410" s="114"/>
      <c r="F410" s="114"/>
      <c r="G410" s="322"/>
      <c r="H410" s="114"/>
      <c r="I410" s="130"/>
      <c r="J410" s="114"/>
      <c r="K410" s="114"/>
      <c r="L410" s="130"/>
      <c r="M410" s="114"/>
      <c r="N410" s="130"/>
      <c r="O410" s="114"/>
      <c r="P410" s="165"/>
      <c r="Q410" s="114"/>
      <c r="R410" s="114"/>
      <c r="S410" s="114"/>
      <c r="T410" s="114"/>
      <c r="U410" s="114"/>
      <c r="V410" s="114"/>
      <c r="W410" s="130"/>
      <c r="X410" s="130"/>
      <c r="Y410" s="130"/>
      <c r="Z410" s="114"/>
      <c r="AA410" s="114"/>
      <c r="AB410" s="114"/>
      <c r="AC410" s="114"/>
      <c r="AD410" s="114"/>
      <c r="AE410" s="114"/>
      <c r="AF410" s="114"/>
      <c r="AG410" s="114"/>
      <c r="AH410" s="114"/>
      <c r="AI410" s="114"/>
      <c r="AJ410" s="114"/>
      <c r="AK410" s="114"/>
      <c r="AL410" s="114"/>
      <c r="AM410" s="114"/>
      <c r="AN410" s="114"/>
      <c r="AO410" s="114"/>
      <c r="AP410" s="130"/>
      <c r="AQ410" s="130"/>
    </row>
    <row r="411" ht="15.75" customHeight="1">
      <c r="A411" s="114"/>
      <c r="B411" s="114"/>
      <c r="C411" s="114"/>
      <c r="D411" s="114"/>
      <c r="E411" s="114"/>
      <c r="F411" s="114"/>
      <c r="G411" s="322"/>
      <c r="H411" s="114"/>
      <c r="I411" s="130"/>
      <c r="J411" s="114"/>
      <c r="K411" s="114"/>
      <c r="L411" s="130"/>
      <c r="M411" s="114"/>
      <c r="N411" s="130"/>
      <c r="O411" s="114"/>
      <c r="P411" s="165"/>
      <c r="Q411" s="114"/>
      <c r="R411" s="114"/>
      <c r="S411" s="114"/>
      <c r="T411" s="114"/>
      <c r="U411" s="114"/>
      <c r="V411" s="114"/>
      <c r="W411" s="130"/>
      <c r="X411" s="130"/>
      <c r="Y411" s="130"/>
      <c r="Z411" s="114"/>
      <c r="AA411" s="114"/>
      <c r="AB411" s="114"/>
      <c r="AC411" s="114"/>
      <c r="AD411" s="114"/>
      <c r="AE411" s="114"/>
      <c r="AF411" s="114"/>
      <c r="AG411" s="114"/>
      <c r="AH411" s="114"/>
      <c r="AI411" s="114"/>
      <c r="AJ411" s="114"/>
      <c r="AK411" s="114"/>
      <c r="AL411" s="114"/>
      <c r="AM411" s="114"/>
      <c r="AN411" s="114"/>
      <c r="AO411" s="114"/>
      <c r="AP411" s="130"/>
      <c r="AQ411" s="130"/>
    </row>
    <row r="412" ht="15.75" customHeight="1">
      <c r="A412" s="114"/>
      <c r="B412" s="114"/>
      <c r="C412" s="114"/>
      <c r="D412" s="114"/>
      <c r="E412" s="114"/>
      <c r="F412" s="114"/>
      <c r="G412" s="322"/>
      <c r="H412" s="114"/>
      <c r="I412" s="130"/>
      <c r="J412" s="114"/>
      <c r="K412" s="114"/>
      <c r="L412" s="130"/>
      <c r="M412" s="114"/>
      <c r="N412" s="130"/>
      <c r="O412" s="114"/>
      <c r="P412" s="165"/>
      <c r="Q412" s="114"/>
      <c r="R412" s="114"/>
      <c r="S412" s="114"/>
      <c r="T412" s="114"/>
      <c r="U412" s="114"/>
      <c r="V412" s="114"/>
      <c r="W412" s="130"/>
      <c r="X412" s="130"/>
      <c r="Y412" s="130"/>
      <c r="Z412" s="114"/>
      <c r="AA412" s="114"/>
      <c r="AB412" s="114"/>
      <c r="AC412" s="114"/>
      <c r="AD412" s="114"/>
      <c r="AE412" s="114"/>
      <c r="AF412" s="114"/>
      <c r="AG412" s="114"/>
      <c r="AH412" s="114"/>
      <c r="AI412" s="114"/>
      <c r="AJ412" s="114"/>
      <c r="AK412" s="114"/>
      <c r="AL412" s="114"/>
      <c r="AM412" s="114"/>
      <c r="AN412" s="114"/>
      <c r="AO412" s="114"/>
      <c r="AP412" s="130"/>
      <c r="AQ412" s="130"/>
    </row>
    <row r="413" ht="15.75" customHeight="1">
      <c r="A413" s="114"/>
      <c r="B413" s="114"/>
      <c r="C413" s="114"/>
      <c r="D413" s="114"/>
      <c r="E413" s="114"/>
      <c r="F413" s="114"/>
      <c r="G413" s="322"/>
      <c r="H413" s="114"/>
      <c r="I413" s="130"/>
      <c r="J413" s="114"/>
      <c r="K413" s="114"/>
      <c r="L413" s="130"/>
      <c r="M413" s="114"/>
      <c r="N413" s="130"/>
      <c r="O413" s="114"/>
      <c r="P413" s="165"/>
      <c r="Q413" s="114"/>
      <c r="R413" s="114"/>
      <c r="S413" s="114"/>
      <c r="T413" s="114"/>
      <c r="U413" s="114"/>
      <c r="V413" s="114"/>
      <c r="W413" s="130"/>
      <c r="X413" s="130"/>
      <c r="Y413" s="130"/>
      <c r="Z413" s="114"/>
      <c r="AA413" s="114"/>
      <c r="AB413" s="114"/>
      <c r="AC413" s="114"/>
      <c r="AD413" s="114"/>
      <c r="AE413" s="114"/>
      <c r="AF413" s="114"/>
      <c r="AG413" s="114"/>
      <c r="AH413" s="114"/>
      <c r="AI413" s="114"/>
      <c r="AJ413" s="114"/>
      <c r="AK413" s="114"/>
      <c r="AL413" s="114"/>
      <c r="AM413" s="114"/>
      <c r="AN413" s="114"/>
      <c r="AO413" s="114"/>
      <c r="AP413" s="130"/>
      <c r="AQ413" s="130"/>
    </row>
    <row r="414" ht="15.75" customHeight="1">
      <c r="A414" s="114"/>
      <c r="B414" s="114"/>
      <c r="C414" s="114"/>
      <c r="D414" s="114"/>
      <c r="E414" s="114"/>
      <c r="F414" s="114"/>
      <c r="G414" s="322"/>
      <c r="H414" s="114"/>
      <c r="I414" s="130"/>
      <c r="J414" s="114"/>
      <c r="K414" s="114"/>
      <c r="L414" s="130"/>
      <c r="M414" s="114"/>
      <c r="N414" s="130"/>
      <c r="O414" s="114"/>
      <c r="P414" s="165"/>
      <c r="Q414" s="114"/>
      <c r="R414" s="114"/>
      <c r="S414" s="114"/>
      <c r="T414" s="114"/>
      <c r="U414" s="114"/>
      <c r="V414" s="114"/>
      <c r="W414" s="130"/>
      <c r="X414" s="130"/>
      <c r="Y414" s="130"/>
      <c r="Z414" s="114"/>
      <c r="AA414" s="114"/>
      <c r="AB414" s="114"/>
      <c r="AC414" s="114"/>
      <c r="AD414" s="114"/>
      <c r="AE414" s="114"/>
      <c r="AF414" s="114"/>
      <c r="AG414" s="114"/>
      <c r="AH414" s="114"/>
      <c r="AI414" s="114"/>
      <c r="AJ414" s="114"/>
      <c r="AK414" s="114"/>
      <c r="AL414" s="114"/>
      <c r="AM414" s="114"/>
      <c r="AN414" s="114"/>
      <c r="AO414" s="114"/>
      <c r="AP414" s="130"/>
      <c r="AQ414" s="130"/>
    </row>
    <row r="415" ht="15.75" customHeight="1">
      <c r="A415" s="114"/>
      <c r="B415" s="114"/>
      <c r="C415" s="114"/>
      <c r="D415" s="114"/>
      <c r="E415" s="114"/>
      <c r="F415" s="114"/>
      <c r="G415" s="322"/>
      <c r="H415" s="114"/>
      <c r="I415" s="130"/>
      <c r="J415" s="114"/>
      <c r="K415" s="114"/>
      <c r="L415" s="130"/>
      <c r="M415" s="114"/>
      <c r="N415" s="130"/>
      <c r="O415" s="114"/>
      <c r="P415" s="165"/>
      <c r="Q415" s="114"/>
      <c r="R415" s="114"/>
      <c r="S415" s="114"/>
      <c r="T415" s="114"/>
      <c r="U415" s="114"/>
      <c r="V415" s="114"/>
      <c r="W415" s="130"/>
      <c r="X415" s="130"/>
      <c r="Y415" s="130"/>
      <c r="Z415" s="114"/>
      <c r="AA415" s="114"/>
      <c r="AB415" s="114"/>
      <c r="AC415" s="114"/>
      <c r="AD415" s="114"/>
      <c r="AE415" s="114"/>
      <c r="AF415" s="114"/>
      <c r="AG415" s="114"/>
      <c r="AH415" s="114"/>
      <c r="AI415" s="114"/>
      <c r="AJ415" s="114"/>
      <c r="AK415" s="114"/>
      <c r="AL415" s="114"/>
      <c r="AM415" s="114"/>
      <c r="AN415" s="114"/>
      <c r="AO415" s="114"/>
      <c r="AP415" s="130"/>
      <c r="AQ415" s="130"/>
    </row>
    <row r="416" ht="15.75" customHeight="1">
      <c r="A416" s="114"/>
      <c r="B416" s="114"/>
      <c r="C416" s="114"/>
      <c r="D416" s="114"/>
      <c r="E416" s="114"/>
      <c r="F416" s="114"/>
      <c r="G416" s="322"/>
      <c r="H416" s="114"/>
      <c r="I416" s="130"/>
      <c r="J416" s="114"/>
      <c r="K416" s="114"/>
      <c r="L416" s="130"/>
      <c r="M416" s="114"/>
      <c r="N416" s="130"/>
      <c r="O416" s="114"/>
      <c r="P416" s="165"/>
      <c r="Q416" s="114"/>
      <c r="R416" s="114"/>
      <c r="S416" s="114"/>
      <c r="T416" s="114"/>
      <c r="U416" s="114"/>
      <c r="V416" s="114"/>
      <c r="W416" s="130"/>
      <c r="X416" s="130"/>
      <c r="Y416" s="130"/>
      <c r="Z416" s="114"/>
      <c r="AA416" s="114"/>
      <c r="AB416" s="114"/>
      <c r="AC416" s="114"/>
      <c r="AD416" s="114"/>
      <c r="AE416" s="114"/>
      <c r="AF416" s="114"/>
      <c r="AG416" s="114"/>
      <c r="AH416" s="114"/>
      <c r="AI416" s="114"/>
      <c r="AJ416" s="114"/>
      <c r="AK416" s="114"/>
      <c r="AL416" s="114"/>
      <c r="AM416" s="114"/>
      <c r="AN416" s="114"/>
      <c r="AO416" s="114"/>
      <c r="AP416" s="130"/>
      <c r="AQ416" s="130"/>
    </row>
    <row r="417" ht="15.75" customHeight="1">
      <c r="A417" s="114"/>
      <c r="B417" s="114"/>
      <c r="C417" s="114"/>
      <c r="D417" s="114"/>
      <c r="E417" s="114"/>
      <c r="F417" s="114"/>
      <c r="G417" s="322"/>
      <c r="H417" s="114"/>
      <c r="I417" s="130"/>
      <c r="J417" s="114"/>
      <c r="K417" s="114"/>
      <c r="L417" s="130"/>
      <c r="M417" s="114"/>
      <c r="N417" s="130"/>
      <c r="O417" s="114"/>
      <c r="P417" s="165"/>
      <c r="Q417" s="114"/>
      <c r="R417" s="114"/>
      <c r="S417" s="114"/>
      <c r="T417" s="114"/>
      <c r="U417" s="114"/>
      <c r="V417" s="114"/>
      <c r="W417" s="130"/>
      <c r="X417" s="130"/>
      <c r="Y417" s="130"/>
      <c r="Z417" s="114"/>
      <c r="AA417" s="114"/>
      <c r="AB417" s="114"/>
      <c r="AC417" s="114"/>
      <c r="AD417" s="114"/>
      <c r="AE417" s="114"/>
      <c r="AF417" s="114"/>
      <c r="AG417" s="114"/>
      <c r="AH417" s="114"/>
      <c r="AI417" s="114"/>
      <c r="AJ417" s="114"/>
      <c r="AK417" s="114"/>
      <c r="AL417" s="114"/>
      <c r="AM417" s="114"/>
      <c r="AN417" s="114"/>
      <c r="AO417" s="114"/>
      <c r="AP417" s="130"/>
      <c r="AQ417" s="130"/>
    </row>
    <row r="418" ht="15.75" customHeight="1">
      <c r="A418" s="114"/>
      <c r="B418" s="114"/>
      <c r="C418" s="114"/>
      <c r="D418" s="114"/>
      <c r="E418" s="114"/>
      <c r="F418" s="114"/>
      <c r="G418" s="322"/>
      <c r="H418" s="114"/>
      <c r="I418" s="130"/>
      <c r="J418" s="114"/>
      <c r="K418" s="114"/>
      <c r="L418" s="130"/>
      <c r="M418" s="114"/>
      <c r="N418" s="130"/>
      <c r="O418" s="114"/>
      <c r="P418" s="165"/>
      <c r="Q418" s="114"/>
      <c r="R418" s="114"/>
      <c r="S418" s="114"/>
      <c r="T418" s="114"/>
      <c r="U418" s="114"/>
      <c r="V418" s="114"/>
      <c r="W418" s="130"/>
      <c r="X418" s="130"/>
      <c r="Y418" s="130"/>
      <c r="Z418" s="114"/>
      <c r="AA418" s="114"/>
      <c r="AB418" s="114"/>
      <c r="AC418" s="114"/>
      <c r="AD418" s="114"/>
      <c r="AE418" s="114"/>
      <c r="AF418" s="114"/>
      <c r="AG418" s="114"/>
      <c r="AH418" s="114"/>
      <c r="AI418" s="114"/>
      <c r="AJ418" s="114"/>
      <c r="AK418" s="114"/>
      <c r="AL418" s="114"/>
      <c r="AM418" s="114"/>
      <c r="AN418" s="114"/>
      <c r="AO418" s="114"/>
      <c r="AP418" s="130"/>
      <c r="AQ418" s="130"/>
    </row>
    <row r="419" ht="15.75" customHeight="1">
      <c r="A419" s="114"/>
      <c r="B419" s="114"/>
      <c r="C419" s="114"/>
      <c r="D419" s="114"/>
      <c r="E419" s="114"/>
      <c r="F419" s="114"/>
      <c r="G419" s="322"/>
      <c r="H419" s="114"/>
      <c r="I419" s="130"/>
      <c r="J419" s="114"/>
      <c r="K419" s="114"/>
      <c r="L419" s="130"/>
      <c r="M419" s="114"/>
      <c r="N419" s="130"/>
      <c r="O419" s="114"/>
      <c r="P419" s="165"/>
      <c r="Q419" s="114"/>
      <c r="R419" s="114"/>
      <c r="S419" s="114"/>
      <c r="T419" s="114"/>
      <c r="U419" s="114"/>
      <c r="V419" s="114"/>
      <c r="W419" s="130"/>
      <c r="X419" s="130"/>
      <c r="Y419" s="130"/>
      <c r="Z419" s="114"/>
      <c r="AA419" s="114"/>
      <c r="AB419" s="114"/>
      <c r="AC419" s="114"/>
      <c r="AD419" s="114"/>
      <c r="AE419" s="114"/>
      <c r="AF419" s="114"/>
      <c r="AG419" s="114"/>
      <c r="AH419" s="114"/>
      <c r="AI419" s="114"/>
      <c r="AJ419" s="114"/>
      <c r="AK419" s="114"/>
      <c r="AL419" s="114"/>
      <c r="AM419" s="114"/>
      <c r="AN419" s="114"/>
      <c r="AO419" s="114"/>
      <c r="AP419" s="130"/>
      <c r="AQ419" s="130"/>
    </row>
    <row r="420" ht="15.75" customHeight="1">
      <c r="A420" s="114"/>
      <c r="B420" s="114"/>
      <c r="C420" s="114"/>
      <c r="D420" s="114"/>
      <c r="E420" s="114"/>
      <c r="F420" s="114"/>
      <c r="G420" s="322"/>
      <c r="H420" s="114"/>
      <c r="I420" s="130"/>
      <c r="J420" s="114"/>
      <c r="K420" s="114"/>
      <c r="L420" s="130"/>
      <c r="M420" s="114"/>
      <c r="N420" s="130"/>
      <c r="O420" s="114"/>
      <c r="P420" s="165"/>
      <c r="Q420" s="114"/>
      <c r="R420" s="114"/>
      <c r="S420" s="114"/>
      <c r="T420" s="114"/>
      <c r="U420" s="114"/>
      <c r="V420" s="114"/>
      <c r="W420" s="130"/>
      <c r="X420" s="130"/>
      <c r="Y420" s="130"/>
      <c r="Z420" s="114"/>
      <c r="AA420" s="114"/>
      <c r="AB420" s="114"/>
      <c r="AC420" s="114"/>
      <c r="AD420" s="114"/>
      <c r="AE420" s="114"/>
      <c r="AF420" s="114"/>
      <c r="AG420" s="114"/>
      <c r="AH420" s="114"/>
      <c r="AI420" s="114"/>
      <c r="AJ420" s="114"/>
      <c r="AK420" s="114"/>
      <c r="AL420" s="114"/>
      <c r="AM420" s="114"/>
      <c r="AN420" s="114"/>
      <c r="AO420" s="114"/>
      <c r="AP420" s="130"/>
      <c r="AQ420" s="130"/>
    </row>
    <row r="421" ht="15.75" customHeight="1">
      <c r="A421" s="114"/>
      <c r="B421" s="114"/>
      <c r="C421" s="114"/>
      <c r="D421" s="114"/>
      <c r="E421" s="114"/>
      <c r="F421" s="114"/>
      <c r="G421" s="322"/>
      <c r="H421" s="114"/>
      <c r="I421" s="130"/>
      <c r="J421" s="114"/>
      <c r="K421" s="114"/>
      <c r="L421" s="130"/>
      <c r="M421" s="114"/>
      <c r="N421" s="130"/>
      <c r="O421" s="114"/>
      <c r="P421" s="165"/>
      <c r="Q421" s="114"/>
      <c r="R421" s="114"/>
      <c r="S421" s="114"/>
      <c r="T421" s="114"/>
      <c r="U421" s="114"/>
      <c r="V421" s="114"/>
      <c r="W421" s="130"/>
      <c r="X421" s="130"/>
      <c r="Y421" s="130"/>
      <c r="Z421" s="114"/>
      <c r="AA421" s="114"/>
      <c r="AB421" s="114"/>
      <c r="AC421" s="114"/>
      <c r="AD421" s="114"/>
      <c r="AE421" s="114"/>
      <c r="AF421" s="114"/>
      <c r="AG421" s="114"/>
      <c r="AH421" s="114"/>
      <c r="AI421" s="114"/>
      <c r="AJ421" s="114"/>
      <c r="AK421" s="114"/>
      <c r="AL421" s="114"/>
      <c r="AM421" s="114"/>
      <c r="AN421" s="114"/>
      <c r="AO421" s="114"/>
      <c r="AP421" s="130"/>
      <c r="AQ421" s="130"/>
    </row>
    <row r="422" ht="15.75" customHeight="1">
      <c r="A422" s="114"/>
      <c r="B422" s="114"/>
      <c r="C422" s="114"/>
      <c r="D422" s="114"/>
      <c r="E422" s="114"/>
      <c r="F422" s="114"/>
      <c r="G422" s="322"/>
      <c r="H422" s="114"/>
      <c r="I422" s="130"/>
      <c r="J422" s="114"/>
      <c r="K422" s="114"/>
      <c r="L422" s="130"/>
      <c r="M422" s="114"/>
      <c r="N422" s="130"/>
      <c r="O422" s="114"/>
      <c r="P422" s="165"/>
      <c r="Q422" s="114"/>
      <c r="R422" s="114"/>
      <c r="S422" s="114"/>
      <c r="T422" s="114"/>
      <c r="U422" s="114"/>
      <c r="V422" s="114"/>
      <c r="W422" s="130"/>
      <c r="X422" s="130"/>
      <c r="Y422" s="130"/>
      <c r="Z422" s="114"/>
      <c r="AA422" s="114"/>
      <c r="AB422" s="114"/>
      <c r="AC422" s="114"/>
      <c r="AD422" s="114"/>
      <c r="AE422" s="114"/>
      <c r="AF422" s="114"/>
      <c r="AG422" s="114"/>
      <c r="AH422" s="114"/>
      <c r="AI422" s="114"/>
      <c r="AJ422" s="114"/>
      <c r="AK422" s="114"/>
      <c r="AL422" s="114"/>
      <c r="AM422" s="114"/>
      <c r="AN422" s="114"/>
      <c r="AO422" s="114"/>
      <c r="AP422" s="130"/>
      <c r="AQ422" s="130"/>
    </row>
    <row r="423" ht="15.75" customHeight="1">
      <c r="A423" s="83"/>
      <c r="B423" s="83"/>
      <c r="C423" s="83"/>
      <c r="D423" s="83"/>
      <c r="E423" s="83"/>
      <c r="F423" s="83"/>
      <c r="G423" s="83"/>
      <c r="H423" s="83"/>
      <c r="I423" s="94"/>
      <c r="J423" s="83"/>
      <c r="K423" s="83"/>
      <c r="L423" s="94"/>
      <c r="M423" s="83"/>
      <c r="N423" s="94"/>
      <c r="O423" s="83"/>
      <c r="P423" s="492"/>
      <c r="Q423" s="83"/>
      <c r="R423" s="83"/>
      <c r="S423" s="83"/>
      <c r="T423" s="83"/>
      <c r="U423" s="83"/>
      <c r="V423" s="83"/>
      <c r="W423" s="94"/>
      <c r="X423" s="94"/>
      <c r="Y423" s="94"/>
      <c r="Z423" s="83"/>
      <c r="AA423" s="83"/>
      <c r="AB423" s="83"/>
      <c r="AC423" s="83"/>
      <c r="AD423" s="83"/>
      <c r="AE423" s="83"/>
      <c r="AF423" s="83"/>
      <c r="AG423" s="83"/>
      <c r="AH423" s="83"/>
      <c r="AI423" s="83"/>
      <c r="AJ423" s="83"/>
      <c r="AK423" s="83"/>
      <c r="AL423" s="83"/>
      <c r="AM423" s="83"/>
      <c r="AN423" s="83"/>
      <c r="AO423" s="83"/>
      <c r="AP423" s="94"/>
      <c r="AQ423" s="94"/>
    </row>
    <row r="424" ht="15.75" customHeight="1">
      <c r="A424" s="83"/>
      <c r="B424" s="83"/>
      <c r="C424" s="83"/>
      <c r="D424" s="83"/>
      <c r="E424" s="83"/>
      <c r="F424" s="83"/>
      <c r="G424" s="83"/>
      <c r="H424" s="83"/>
      <c r="I424" s="94"/>
      <c r="J424" s="83"/>
      <c r="K424" s="83"/>
      <c r="L424" s="94"/>
      <c r="M424" s="83"/>
      <c r="N424" s="94"/>
      <c r="O424" s="83"/>
      <c r="P424" s="492"/>
      <c r="Q424" s="83"/>
      <c r="R424" s="83"/>
      <c r="S424" s="83"/>
      <c r="T424" s="83"/>
      <c r="U424" s="83"/>
      <c r="V424" s="83"/>
      <c r="W424" s="94"/>
      <c r="X424" s="94"/>
      <c r="Y424" s="94"/>
      <c r="Z424" s="83"/>
      <c r="AA424" s="83"/>
      <c r="AB424" s="83"/>
      <c r="AC424" s="83"/>
      <c r="AD424" s="83"/>
      <c r="AE424" s="83"/>
      <c r="AF424" s="83"/>
      <c r="AG424" s="83"/>
      <c r="AH424" s="83"/>
      <c r="AI424" s="83"/>
      <c r="AJ424" s="83"/>
      <c r="AK424" s="83"/>
      <c r="AL424" s="83"/>
      <c r="AM424" s="83"/>
      <c r="AN424" s="83"/>
      <c r="AO424" s="83"/>
      <c r="AP424" s="94"/>
      <c r="AQ424" s="94"/>
    </row>
    <row r="425" ht="15.75" customHeight="1">
      <c r="A425" s="83"/>
      <c r="B425" s="83"/>
      <c r="C425" s="83"/>
      <c r="D425" s="83"/>
      <c r="E425" s="83"/>
      <c r="F425" s="83"/>
      <c r="G425" s="83"/>
      <c r="H425" s="83"/>
      <c r="I425" s="94"/>
      <c r="J425" s="83"/>
      <c r="K425" s="83"/>
      <c r="L425" s="94"/>
      <c r="M425" s="83"/>
      <c r="N425" s="94"/>
      <c r="O425" s="83"/>
      <c r="P425" s="492"/>
      <c r="Q425" s="83"/>
      <c r="R425" s="83"/>
      <c r="S425" s="83"/>
      <c r="T425" s="83"/>
      <c r="U425" s="83"/>
      <c r="V425" s="83"/>
      <c r="W425" s="94"/>
      <c r="X425" s="94"/>
      <c r="Y425" s="94"/>
      <c r="Z425" s="83"/>
      <c r="AA425" s="83"/>
      <c r="AB425" s="83"/>
      <c r="AC425" s="83"/>
      <c r="AD425" s="83"/>
      <c r="AE425" s="83"/>
      <c r="AF425" s="83"/>
      <c r="AG425" s="83"/>
      <c r="AH425" s="83"/>
      <c r="AI425" s="83"/>
      <c r="AJ425" s="83"/>
      <c r="AK425" s="83"/>
      <c r="AL425" s="83"/>
      <c r="AM425" s="83"/>
      <c r="AN425" s="83"/>
      <c r="AO425" s="83"/>
      <c r="AP425" s="94"/>
      <c r="AQ425" s="94"/>
    </row>
    <row r="426" ht="15.75" customHeight="1">
      <c r="A426" s="83"/>
      <c r="B426" s="83"/>
      <c r="C426" s="83"/>
      <c r="D426" s="83"/>
      <c r="E426" s="83"/>
      <c r="F426" s="83"/>
      <c r="G426" s="83"/>
      <c r="H426" s="83"/>
      <c r="I426" s="94"/>
      <c r="J426" s="83"/>
      <c r="K426" s="83"/>
      <c r="L426" s="94"/>
      <c r="M426" s="83"/>
      <c r="N426" s="94"/>
      <c r="O426" s="83"/>
      <c r="P426" s="492"/>
      <c r="Q426" s="83"/>
      <c r="R426" s="83"/>
      <c r="S426" s="83"/>
      <c r="T426" s="83"/>
      <c r="U426" s="83"/>
      <c r="V426" s="83"/>
      <c r="W426" s="94"/>
      <c r="X426" s="94"/>
      <c r="Y426" s="94"/>
      <c r="Z426" s="83"/>
      <c r="AA426" s="83"/>
      <c r="AB426" s="83"/>
      <c r="AC426" s="83"/>
      <c r="AD426" s="83"/>
      <c r="AE426" s="83"/>
      <c r="AF426" s="83"/>
      <c r="AG426" s="83"/>
      <c r="AH426" s="83"/>
      <c r="AI426" s="83"/>
      <c r="AJ426" s="83"/>
      <c r="AK426" s="83"/>
      <c r="AL426" s="83"/>
      <c r="AM426" s="83"/>
      <c r="AN426" s="83"/>
      <c r="AO426" s="83"/>
      <c r="AP426" s="94"/>
      <c r="AQ426" s="94"/>
    </row>
    <row r="427" ht="15.75" customHeight="1">
      <c r="A427" s="83"/>
      <c r="B427" s="83"/>
      <c r="C427" s="83"/>
      <c r="D427" s="83"/>
      <c r="E427" s="83"/>
      <c r="F427" s="83"/>
      <c r="G427" s="83"/>
      <c r="H427" s="83"/>
      <c r="I427" s="94"/>
      <c r="J427" s="83"/>
      <c r="K427" s="83"/>
      <c r="L427" s="94"/>
      <c r="M427" s="83"/>
      <c r="N427" s="94"/>
      <c r="O427" s="83"/>
      <c r="P427" s="492"/>
      <c r="Q427" s="83"/>
      <c r="R427" s="83"/>
      <c r="S427" s="83"/>
      <c r="T427" s="83"/>
      <c r="U427" s="83"/>
      <c r="V427" s="83"/>
      <c r="W427" s="94"/>
      <c r="X427" s="94"/>
      <c r="Y427" s="94"/>
      <c r="Z427" s="83"/>
      <c r="AA427" s="83"/>
      <c r="AB427" s="83"/>
      <c r="AC427" s="83"/>
      <c r="AD427" s="83"/>
      <c r="AE427" s="83"/>
      <c r="AF427" s="83"/>
      <c r="AG427" s="83"/>
      <c r="AH427" s="83"/>
      <c r="AI427" s="83"/>
      <c r="AJ427" s="83"/>
      <c r="AK427" s="83"/>
      <c r="AL427" s="83"/>
      <c r="AM427" s="83"/>
      <c r="AN427" s="83"/>
      <c r="AO427" s="83"/>
      <c r="AP427" s="94"/>
      <c r="AQ427" s="94"/>
    </row>
    <row r="428" ht="15.75" customHeight="1">
      <c r="A428" s="83"/>
      <c r="B428" s="83"/>
      <c r="C428" s="83"/>
      <c r="D428" s="83"/>
      <c r="E428" s="83"/>
      <c r="F428" s="83"/>
      <c r="G428" s="83"/>
      <c r="H428" s="83"/>
      <c r="I428" s="94"/>
      <c r="J428" s="83"/>
      <c r="K428" s="83"/>
      <c r="L428" s="94"/>
      <c r="M428" s="83"/>
      <c r="N428" s="94"/>
      <c r="O428" s="83"/>
      <c r="P428" s="492"/>
      <c r="Q428" s="83"/>
      <c r="R428" s="83"/>
      <c r="S428" s="83"/>
      <c r="T428" s="83"/>
      <c r="U428" s="83"/>
      <c r="V428" s="83"/>
      <c r="W428" s="94"/>
      <c r="X428" s="94"/>
      <c r="Y428" s="94"/>
      <c r="Z428" s="83"/>
      <c r="AA428" s="83"/>
      <c r="AB428" s="83"/>
      <c r="AC428" s="83"/>
      <c r="AD428" s="83"/>
      <c r="AE428" s="83"/>
      <c r="AF428" s="83"/>
      <c r="AG428" s="83"/>
      <c r="AH428" s="83"/>
      <c r="AI428" s="83"/>
      <c r="AJ428" s="83"/>
      <c r="AK428" s="83"/>
      <c r="AL428" s="83"/>
      <c r="AM428" s="83"/>
      <c r="AN428" s="83"/>
      <c r="AO428" s="83"/>
      <c r="AP428" s="94"/>
      <c r="AQ428" s="94"/>
    </row>
    <row r="429" ht="15.75" customHeight="1">
      <c r="A429" s="83"/>
      <c r="B429" s="83"/>
      <c r="C429" s="83"/>
      <c r="D429" s="83"/>
      <c r="E429" s="83"/>
      <c r="F429" s="83"/>
      <c r="G429" s="83"/>
      <c r="H429" s="83"/>
      <c r="I429" s="94"/>
      <c r="J429" s="83"/>
      <c r="K429" s="83"/>
      <c r="L429" s="94"/>
      <c r="M429" s="83"/>
      <c r="N429" s="94"/>
      <c r="O429" s="83"/>
      <c r="P429" s="492"/>
      <c r="Q429" s="83"/>
      <c r="R429" s="83"/>
      <c r="S429" s="83"/>
      <c r="T429" s="83"/>
      <c r="U429" s="83"/>
      <c r="V429" s="83"/>
      <c r="W429" s="94"/>
      <c r="X429" s="94"/>
      <c r="Y429" s="94"/>
      <c r="Z429" s="83"/>
      <c r="AA429" s="83"/>
      <c r="AB429" s="83"/>
      <c r="AC429" s="83"/>
      <c r="AD429" s="83"/>
      <c r="AE429" s="83"/>
      <c r="AF429" s="83"/>
      <c r="AG429" s="83"/>
      <c r="AH429" s="83"/>
      <c r="AI429" s="83"/>
      <c r="AJ429" s="83"/>
      <c r="AK429" s="83"/>
      <c r="AL429" s="83"/>
      <c r="AM429" s="83"/>
      <c r="AN429" s="83"/>
      <c r="AO429" s="83"/>
      <c r="AP429" s="94"/>
      <c r="AQ429" s="94"/>
    </row>
    <row r="430" ht="15.75" customHeight="1">
      <c r="A430" s="83"/>
      <c r="B430" s="83"/>
      <c r="C430" s="83"/>
      <c r="D430" s="83"/>
      <c r="E430" s="83"/>
      <c r="F430" s="83"/>
      <c r="G430" s="83"/>
      <c r="H430" s="83"/>
      <c r="I430" s="94"/>
      <c r="J430" s="83"/>
      <c r="K430" s="83"/>
      <c r="L430" s="94"/>
      <c r="M430" s="83"/>
      <c r="N430" s="94"/>
      <c r="O430" s="83"/>
      <c r="P430" s="492"/>
      <c r="Q430" s="83"/>
      <c r="R430" s="83"/>
      <c r="S430" s="83"/>
      <c r="T430" s="83"/>
      <c r="U430" s="83"/>
      <c r="V430" s="83"/>
      <c r="W430" s="94"/>
      <c r="X430" s="94"/>
      <c r="Y430" s="94"/>
      <c r="Z430" s="83"/>
      <c r="AA430" s="83"/>
      <c r="AB430" s="83"/>
      <c r="AC430" s="83"/>
      <c r="AD430" s="83"/>
      <c r="AE430" s="83"/>
      <c r="AF430" s="83"/>
      <c r="AG430" s="83"/>
      <c r="AH430" s="83"/>
      <c r="AI430" s="83"/>
      <c r="AJ430" s="83"/>
      <c r="AK430" s="83"/>
      <c r="AL430" s="83"/>
      <c r="AM430" s="83"/>
      <c r="AN430" s="83"/>
      <c r="AO430" s="83"/>
      <c r="AP430" s="94"/>
      <c r="AQ430" s="94"/>
    </row>
    <row r="431" ht="15.75" customHeight="1">
      <c r="A431" s="83"/>
      <c r="B431" s="83"/>
      <c r="C431" s="83"/>
      <c r="D431" s="83"/>
      <c r="E431" s="83"/>
      <c r="F431" s="83"/>
      <c r="G431" s="83"/>
      <c r="H431" s="83"/>
      <c r="I431" s="94"/>
      <c r="J431" s="83"/>
      <c r="K431" s="83"/>
      <c r="L431" s="94"/>
      <c r="M431" s="83"/>
      <c r="N431" s="94"/>
      <c r="O431" s="83"/>
      <c r="P431" s="492"/>
      <c r="Q431" s="83"/>
      <c r="R431" s="83"/>
      <c r="S431" s="83"/>
      <c r="T431" s="83"/>
      <c r="U431" s="83"/>
      <c r="V431" s="83"/>
      <c r="W431" s="94"/>
      <c r="X431" s="94"/>
      <c r="Y431" s="94"/>
      <c r="Z431" s="83"/>
      <c r="AA431" s="83"/>
      <c r="AB431" s="83"/>
      <c r="AC431" s="83"/>
      <c r="AD431" s="83"/>
      <c r="AE431" s="83"/>
      <c r="AF431" s="83"/>
      <c r="AG431" s="83"/>
      <c r="AH431" s="83"/>
      <c r="AI431" s="83"/>
      <c r="AJ431" s="83"/>
      <c r="AK431" s="83"/>
      <c r="AL431" s="83"/>
      <c r="AM431" s="83"/>
      <c r="AN431" s="83"/>
      <c r="AO431" s="83"/>
      <c r="AP431" s="94"/>
      <c r="AQ431" s="94"/>
    </row>
    <row r="432" ht="15.75" customHeight="1">
      <c r="A432" s="83"/>
      <c r="B432" s="83"/>
      <c r="C432" s="83"/>
      <c r="D432" s="83"/>
      <c r="E432" s="83"/>
      <c r="F432" s="83"/>
      <c r="G432" s="83"/>
      <c r="H432" s="83"/>
      <c r="I432" s="94"/>
      <c r="J432" s="83"/>
      <c r="K432" s="83"/>
      <c r="L432" s="94"/>
      <c r="M432" s="83"/>
      <c r="N432" s="94"/>
      <c r="O432" s="83"/>
      <c r="P432" s="492"/>
      <c r="Q432" s="83"/>
      <c r="R432" s="83"/>
      <c r="S432" s="83"/>
      <c r="T432" s="83"/>
      <c r="U432" s="83"/>
      <c r="V432" s="83"/>
      <c r="W432" s="94"/>
      <c r="X432" s="94"/>
      <c r="Y432" s="94"/>
      <c r="Z432" s="83"/>
      <c r="AA432" s="83"/>
      <c r="AB432" s="83"/>
      <c r="AC432" s="83"/>
      <c r="AD432" s="83"/>
      <c r="AE432" s="83"/>
      <c r="AF432" s="83"/>
      <c r="AG432" s="83"/>
      <c r="AH432" s="83"/>
      <c r="AI432" s="83"/>
      <c r="AJ432" s="83"/>
      <c r="AK432" s="83"/>
      <c r="AL432" s="83"/>
      <c r="AM432" s="83"/>
      <c r="AN432" s="83"/>
      <c r="AO432" s="83"/>
      <c r="AP432" s="94"/>
      <c r="AQ432" s="94"/>
    </row>
    <row r="433" ht="15.75" customHeight="1">
      <c r="A433" s="83"/>
      <c r="B433" s="83"/>
      <c r="C433" s="83"/>
      <c r="D433" s="83"/>
      <c r="E433" s="83"/>
      <c r="F433" s="83"/>
      <c r="G433" s="83"/>
      <c r="H433" s="83"/>
      <c r="I433" s="94"/>
      <c r="J433" s="83"/>
      <c r="K433" s="83"/>
      <c r="L433" s="94"/>
      <c r="M433" s="83"/>
      <c r="N433" s="94"/>
      <c r="O433" s="83"/>
      <c r="P433" s="492"/>
      <c r="Q433" s="83"/>
      <c r="R433" s="83"/>
      <c r="S433" s="83"/>
      <c r="T433" s="83"/>
      <c r="U433" s="83"/>
      <c r="V433" s="83"/>
      <c r="W433" s="94"/>
      <c r="X433" s="94"/>
      <c r="Y433" s="94"/>
      <c r="Z433" s="83"/>
      <c r="AA433" s="83"/>
      <c r="AB433" s="83"/>
      <c r="AC433" s="83"/>
      <c r="AD433" s="83"/>
      <c r="AE433" s="83"/>
      <c r="AF433" s="83"/>
      <c r="AG433" s="83"/>
      <c r="AH433" s="83"/>
      <c r="AI433" s="83"/>
      <c r="AJ433" s="83"/>
      <c r="AK433" s="83"/>
      <c r="AL433" s="83"/>
      <c r="AM433" s="83"/>
      <c r="AN433" s="83"/>
      <c r="AO433" s="83"/>
      <c r="AP433" s="94"/>
      <c r="AQ433" s="94"/>
    </row>
    <row r="434" ht="15.75" customHeight="1">
      <c r="A434" s="83"/>
      <c r="B434" s="83"/>
      <c r="C434" s="83"/>
      <c r="D434" s="83"/>
      <c r="E434" s="83"/>
      <c r="F434" s="83"/>
      <c r="G434" s="83"/>
      <c r="H434" s="83"/>
      <c r="I434" s="94"/>
      <c r="J434" s="83"/>
      <c r="K434" s="83"/>
      <c r="L434" s="94"/>
      <c r="M434" s="83"/>
      <c r="N434" s="94"/>
      <c r="O434" s="83"/>
      <c r="P434" s="492"/>
      <c r="Q434" s="83"/>
      <c r="R434" s="83"/>
      <c r="S434" s="83"/>
      <c r="T434" s="83"/>
      <c r="U434" s="83"/>
      <c r="V434" s="83"/>
      <c r="W434" s="94"/>
      <c r="X434" s="94"/>
      <c r="Y434" s="94"/>
      <c r="Z434" s="83"/>
      <c r="AA434" s="83"/>
      <c r="AB434" s="83"/>
      <c r="AC434" s="83"/>
      <c r="AD434" s="83"/>
      <c r="AE434" s="83"/>
      <c r="AF434" s="83"/>
      <c r="AG434" s="83"/>
      <c r="AH434" s="83"/>
      <c r="AI434" s="83"/>
      <c r="AJ434" s="83"/>
      <c r="AK434" s="83"/>
      <c r="AL434" s="83"/>
      <c r="AM434" s="83"/>
      <c r="AN434" s="83"/>
      <c r="AO434" s="83"/>
      <c r="AP434" s="94"/>
      <c r="AQ434" s="94"/>
    </row>
    <row r="435" ht="15.75" customHeight="1">
      <c r="A435" s="83"/>
      <c r="B435" s="83"/>
      <c r="C435" s="83"/>
      <c r="D435" s="83"/>
      <c r="E435" s="83"/>
      <c r="F435" s="83"/>
      <c r="G435" s="83"/>
      <c r="H435" s="83"/>
      <c r="I435" s="94"/>
      <c r="J435" s="83"/>
      <c r="K435" s="83"/>
      <c r="L435" s="94"/>
      <c r="M435" s="83"/>
      <c r="N435" s="94"/>
      <c r="O435" s="83"/>
      <c r="P435" s="492"/>
      <c r="Q435" s="83"/>
      <c r="R435" s="83"/>
      <c r="S435" s="83"/>
      <c r="T435" s="83"/>
      <c r="U435" s="83"/>
      <c r="V435" s="83"/>
      <c r="W435" s="94"/>
      <c r="X435" s="94"/>
      <c r="Y435" s="94"/>
      <c r="Z435" s="83"/>
      <c r="AA435" s="83"/>
      <c r="AB435" s="83"/>
      <c r="AC435" s="83"/>
      <c r="AD435" s="83"/>
      <c r="AE435" s="83"/>
      <c r="AF435" s="83"/>
      <c r="AG435" s="83"/>
      <c r="AH435" s="83"/>
      <c r="AI435" s="83"/>
      <c r="AJ435" s="83"/>
      <c r="AK435" s="83"/>
      <c r="AL435" s="83"/>
      <c r="AM435" s="83"/>
      <c r="AN435" s="83"/>
      <c r="AO435" s="83"/>
      <c r="AP435" s="94"/>
      <c r="AQ435" s="94"/>
    </row>
    <row r="436" ht="15.75" customHeight="1">
      <c r="A436" s="83"/>
      <c r="B436" s="83"/>
      <c r="C436" s="83"/>
      <c r="D436" s="83"/>
      <c r="E436" s="83"/>
      <c r="F436" s="83"/>
      <c r="G436" s="83"/>
      <c r="H436" s="83"/>
      <c r="I436" s="94"/>
      <c r="J436" s="83"/>
      <c r="K436" s="83"/>
      <c r="L436" s="94"/>
      <c r="M436" s="83"/>
      <c r="N436" s="94"/>
      <c r="O436" s="83"/>
      <c r="P436" s="492"/>
      <c r="Q436" s="83"/>
      <c r="R436" s="83"/>
      <c r="S436" s="83"/>
      <c r="T436" s="83"/>
      <c r="U436" s="83"/>
      <c r="V436" s="83"/>
      <c r="W436" s="94"/>
      <c r="X436" s="94"/>
      <c r="Y436" s="94"/>
      <c r="Z436" s="83"/>
      <c r="AA436" s="83"/>
      <c r="AB436" s="83"/>
      <c r="AC436" s="83"/>
      <c r="AD436" s="83"/>
      <c r="AE436" s="83"/>
      <c r="AF436" s="83"/>
      <c r="AG436" s="83"/>
      <c r="AH436" s="83"/>
      <c r="AI436" s="83"/>
      <c r="AJ436" s="83"/>
      <c r="AK436" s="83"/>
      <c r="AL436" s="83"/>
      <c r="AM436" s="83"/>
      <c r="AN436" s="83"/>
      <c r="AO436" s="83"/>
      <c r="AP436" s="94"/>
      <c r="AQ436" s="94"/>
    </row>
    <row r="437" ht="15.75" customHeight="1">
      <c r="A437" s="83"/>
      <c r="B437" s="83"/>
      <c r="C437" s="83"/>
      <c r="D437" s="83"/>
      <c r="E437" s="83"/>
      <c r="F437" s="83"/>
      <c r="G437" s="83"/>
      <c r="H437" s="83"/>
      <c r="I437" s="94"/>
      <c r="J437" s="83"/>
      <c r="K437" s="83"/>
      <c r="L437" s="94"/>
      <c r="M437" s="83"/>
      <c r="N437" s="94"/>
      <c r="O437" s="83"/>
      <c r="P437" s="492"/>
      <c r="Q437" s="83"/>
      <c r="R437" s="83"/>
      <c r="S437" s="83"/>
      <c r="T437" s="83"/>
      <c r="U437" s="83"/>
      <c r="V437" s="83"/>
      <c r="W437" s="94"/>
      <c r="X437" s="94"/>
      <c r="Y437" s="94"/>
      <c r="Z437" s="83"/>
      <c r="AA437" s="83"/>
      <c r="AB437" s="83"/>
      <c r="AC437" s="83"/>
      <c r="AD437" s="83"/>
      <c r="AE437" s="83"/>
      <c r="AF437" s="83"/>
      <c r="AG437" s="83"/>
      <c r="AH437" s="83"/>
      <c r="AI437" s="83"/>
      <c r="AJ437" s="83"/>
      <c r="AK437" s="83"/>
      <c r="AL437" s="83"/>
      <c r="AM437" s="83"/>
      <c r="AN437" s="83"/>
      <c r="AO437" s="83"/>
      <c r="AP437" s="94"/>
      <c r="AQ437" s="94"/>
    </row>
    <row r="438" ht="15.75" customHeight="1">
      <c r="A438" s="83"/>
      <c r="B438" s="83"/>
      <c r="C438" s="83"/>
      <c r="D438" s="83"/>
      <c r="E438" s="83"/>
      <c r="F438" s="83"/>
      <c r="G438" s="83"/>
      <c r="H438" s="83"/>
      <c r="I438" s="94"/>
      <c r="J438" s="83"/>
      <c r="K438" s="83"/>
      <c r="L438" s="94"/>
      <c r="M438" s="83"/>
      <c r="N438" s="94"/>
      <c r="O438" s="83"/>
      <c r="P438" s="492"/>
      <c r="Q438" s="83"/>
      <c r="R438" s="83"/>
      <c r="S438" s="83"/>
      <c r="T438" s="83"/>
      <c r="U438" s="83"/>
      <c r="V438" s="83"/>
      <c r="W438" s="94"/>
      <c r="X438" s="94"/>
      <c r="Y438" s="94"/>
      <c r="Z438" s="83"/>
      <c r="AA438" s="83"/>
      <c r="AB438" s="83"/>
      <c r="AC438" s="83"/>
      <c r="AD438" s="83"/>
      <c r="AE438" s="83"/>
      <c r="AF438" s="83"/>
      <c r="AG438" s="83"/>
      <c r="AH438" s="83"/>
      <c r="AI438" s="83"/>
      <c r="AJ438" s="83"/>
      <c r="AK438" s="83"/>
      <c r="AL438" s="83"/>
      <c r="AM438" s="83"/>
      <c r="AN438" s="83"/>
      <c r="AO438" s="83"/>
      <c r="AP438" s="94"/>
      <c r="AQ438" s="94"/>
    </row>
    <row r="439" ht="15.75" customHeight="1">
      <c r="A439" s="83"/>
      <c r="B439" s="83"/>
      <c r="C439" s="83"/>
      <c r="D439" s="83"/>
      <c r="E439" s="83"/>
      <c r="F439" s="83"/>
      <c r="G439" s="83"/>
      <c r="H439" s="83"/>
      <c r="I439" s="94"/>
      <c r="J439" s="83"/>
      <c r="K439" s="83"/>
      <c r="L439" s="94"/>
      <c r="M439" s="83"/>
      <c r="N439" s="94"/>
      <c r="O439" s="83"/>
      <c r="P439" s="492"/>
      <c r="Q439" s="83"/>
      <c r="R439" s="83"/>
      <c r="S439" s="83"/>
      <c r="T439" s="83"/>
      <c r="U439" s="83"/>
      <c r="V439" s="83"/>
      <c r="W439" s="94"/>
      <c r="X439" s="94"/>
      <c r="Y439" s="94"/>
      <c r="Z439" s="83"/>
      <c r="AA439" s="83"/>
      <c r="AB439" s="83"/>
      <c r="AC439" s="83"/>
      <c r="AD439" s="83"/>
      <c r="AE439" s="83"/>
      <c r="AF439" s="83"/>
      <c r="AG439" s="83"/>
      <c r="AH439" s="83"/>
      <c r="AI439" s="83"/>
      <c r="AJ439" s="83"/>
      <c r="AK439" s="83"/>
      <c r="AL439" s="83"/>
      <c r="AM439" s="83"/>
      <c r="AN439" s="83"/>
      <c r="AO439" s="83"/>
      <c r="AP439" s="94"/>
      <c r="AQ439" s="94"/>
    </row>
    <row r="440" ht="15.75" customHeight="1">
      <c r="A440" s="83"/>
      <c r="B440" s="83"/>
      <c r="C440" s="83"/>
      <c r="D440" s="83"/>
      <c r="E440" s="83"/>
      <c r="F440" s="83"/>
      <c r="G440" s="83"/>
      <c r="H440" s="83"/>
      <c r="I440" s="94"/>
      <c r="J440" s="83"/>
      <c r="K440" s="83"/>
      <c r="L440" s="94"/>
      <c r="M440" s="83"/>
      <c r="N440" s="94"/>
      <c r="O440" s="83"/>
      <c r="P440" s="492"/>
      <c r="Q440" s="83"/>
      <c r="R440" s="83"/>
      <c r="S440" s="83"/>
      <c r="T440" s="83"/>
      <c r="U440" s="83"/>
      <c r="V440" s="83"/>
      <c r="W440" s="94"/>
      <c r="X440" s="94"/>
      <c r="Y440" s="94"/>
      <c r="Z440" s="83"/>
      <c r="AA440" s="83"/>
      <c r="AB440" s="83"/>
      <c r="AC440" s="83"/>
      <c r="AD440" s="83"/>
      <c r="AE440" s="83"/>
      <c r="AF440" s="83"/>
      <c r="AG440" s="83"/>
      <c r="AH440" s="83"/>
      <c r="AI440" s="83"/>
      <c r="AJ440" s="83"/>
      <c r="AK440" s="83"/>
      <c r="AL440" s="83"/>
      <c r="AM440" s="83"/>
      <c r="AN440" s="83"/>
      <c r="AO440" s="83"/>
      <c r="AP440" s="94"/>
      <c r="AQ440" s="94"/>
    </row>
    <row r="441" ht="15.75" customHeight="1">
      <c r="A441" s="83"/>
      <c r="B441" s="83"/>
      <c r="C441" s="83"/>
      <c r="D441" s="83"/>
      <c r="E441" s="83"/>
      <c r="F441" s="83"/>
      <c r="G441" s="83"/>
      <c r="H441" s="83"/>
      <c r="I441" s="94"/>
      <c r="J441" s="83"/>
      <c r="K441" s="83"/>
      <c r="L441" s="94"/>
      <c r="M441" s="83"/>
      <c r="N441" s="94"/>
      <c r="O441" s="83"/>
      <c r="P441" s="492"/>
      <c r="Q441" s="83"/>
      <c r="R441" s="83"/>
      <c r="S441" s="83"/>
      <c r="T441" s="83"/>
      <c r="U441" s="83"/>
      <c r="V441" s="83"/>
      <c r="W441" s="94"/>
      <c r="X441" s="94"/>
      <c r="Y441" s="94"/>
      <c r="Z441" s="83"/>
      <c r="AA441" s="83"/>
      <c r="AB441" s="83"/>
      <c r="AC441" s="83"/>
      <c r="AD441" s="83"/>
      <c r="AE441" s="83"/>
      <c r="AF441" s="83"/>
      <c r="AG441" s="83"/>
      <c r="AH441" s="83"/>
      <c r="AI441" s="83"/>
      <c r="AJ441" s="83"/>
      <c r="AK441" s="83"/>
      <c r="AL441" s="83"/>
      <c r="AM441" s="83"/>
      <c r="AN441" s="83"/>
      <c r="AO441" s="83"/>
      <c r="AP441" s="94"/>
      <c r="AQ441" s="94"/>
    </row>
    <row r="442" ht="15.75" customHeight="1">
      <c r="A442" s="83"/>
      <c r="B442" s="83"/>
      <c r="C442" s="83"/>
      <c r="D442" s="83"/>
      <c r="E442" s="83"/>
      <c r="F442" s="83"/>
      <c r="G442" s="83"/>
      <c r="H442" s="83"/>
      <c r="I442" s="94"/>
      <c r="J442" s="83"/>
      <c r="K442" s="83"/>
      <c r="L442" s="94"/>
      <c r="M442" s="83"/>
      <c r="N442" s="94"/>
      <c r="O442" s="83"/>
      <c r="P442" s="492"/>
      <c r="Q442" s="83"/>
      <c r="R442" s="83"/>
      <c r="S442" s="83"/>
      <c r="T442" s="83"/>
      <c r="U442" s="83"/>
      <c r="V442" s="83"/>
      <c r="W442" s="94"/>
      <c r="X442" s="94"/>
      <c r="Y442" s="94"/>
      <c r="Z442" s="83"/>
      <c r="AA442" s="83"/>
      <c r="AB442" s="83"/>
      <c r="AC442" s="83"/>
      <c r="AD442" s="83"/>
      <c r="AE442" s="83"/>
      <c r="AF442" s="83"/>
      <c r="AG442" s="83"/>
      <c r="AH442" s="83"/>
      <c r="AI442" s="83"/>
      <c r="AJ442" s="83"/>
      <c r="AK442" s="83"/>
      <c r="AL442" s="83"/>
      <c r="AM442" s="83"/>
      <c r="AN442" s="83"/>
      <c r="AO442" s="83"/>
      <c r="AP442" s="94"/>
      <c r="AQ442" s="94"/>
    </row>
    <row r="443" ht="15.75" customHeight="1">
      <c r="A443" s="83"/>
      <c r="B443" s="83"/>
      <c r="C443" s="83"/>
      <c r="D443" s="83"/>
      <c r="E443" s="83"/>
      <c r="F443" s="83"/>
      <c r="G443" s="83"/>
      <c r="H443" s="83"/>
      <c r="I443" s="94"/>
      <c r="J443" s="83"/>
      <c r="K443" s="83"/>
      <c r="L443" s="94"/>
      <c r="M443" s="83"/>
      <c r="N443" s="94"/>
      <c r="O443" s="83"/>
      <c r="P443" s="492"/>
      <c r="Q443" s="83"/>
      <c r="R443" s="83"/>
      <c r="S443" s="83"/>
      <c r="T443" s="83"/>
      <c r="U443" s="83"/>
      <c r="V443" s="83"/>
      <c r="W443" s="94"/>
      <c r="X443" s="94"/>
      <c r="Y443" s="94"/>
      <c r="Z443" s="83"/>
      <c r="AA443" s="83"/>
      <c r="AB443" s="83"/>
      <c r="AC443" s="83"/>
      <c r="AD443" s="83"/>
      <c r="AE443" s="83"/>
      <c r="AF443" s="83"/>
      <c r="AG443" s="83"/>
      <c r="AH443" s="83"/>
      <c r="AI443" s="83"/>
      <c r="AJ443" s="83"/>
      <c r="AK443" s="83"/>
      <c r="AL443" s="83"/>
      <c r="AM443" s="83"/>
      <c r="AN443" s="83"/>
      <c r="AO443" s="83"/>
      <c r="AP443" s="94"/>
      <c r="AQ443" s="94"/>
    </row>
    <row r="444" ht="15.75" customHeight="1">
      <c r="A444" s="83"/>
      <c r="B444" s="83"/>
      <c r="C444" s="83"/>
      <c r="D444" s="83"/>
      <c r="E444" s="83"/>
      <c r="F444" s="83"/>
      <c r="G444" s="83"/>
      <c r="H444" s="83"/>
      <c r="I444" s="94"/>
      <c r="J444" s="83"/>
      <c r="K444" s="83"/>
      <c r="L444" s="94"/>
      <c r="M444" s="83"/>
      <c r="N444" s="94"/>
      <c r="O444" s="83"/>
      <c r="P444" s="492"/>
      <c r="Q444" s="83"/>
      <c r="R444" s="83"/>
      <c r="S444" s="83"/>
      <c r="T444" s="83"/>
      <c r="U444" s="83"/>
      <c r="V444" s="83"/>
      <c r="W444" s="94"/>
      <c r="X444" s="94"/>
      <c r="Y444" s="94"/>
      <c r="Z444" s="83"/>
      <c r="AA444" s="83"/>
      <c r="AB444" s="83"/>
      <c r="AC444" s="83"/>
      <c r="AD444" s="83"/>
      <c r="AE444" s="83"/>
      <c r="AF444" s="83"/>
      <c r="AG444" s="83"/>
      <c r="AH444" s="83"/>
      <c r="AI444" s="83"/>
      <c r="AJ444" s="83"/>
      <c r="AK444" s="83"/>
      <c r="AL444" s="83"/>
      <c r="AM444" s="83"/>
      <c r="AN444" s="83"/>
      <c r="AO444" s="83"/>
      <c r="AP444" s="94"/>
      <c r="AQ444" s="94"/>
    </row>
    <row r="445" ht="15.75" customHeight="1">
      <c r="A445" s="83"/>
      <c r="B445" s="83"/>
      <c r="C445" s="83"/>
      <c r="D445" s="83"/>
      <c r="E445" s="83"/>
      <c r="F445" s="83"/>
      <c r="G445" s="83"/>
      <c r="H445" s="83"/>
      <c r="I445" s="94"/>
      <c r="J445" s="83"/>
      <c r="K445" s="83"/>
      <c r="L445" s="94"/>
      <c r="M445" s="83"/>
      <c r="N445" s="94"/>
      <c r="O445" s="83"/>
      <c r="P445" s="492"/>
      <c r="Q445" s="83"/>
      <c r="R445" s="83"/>
      <c r="S445" s="83"/>
      <c r="T445" s="83"/>
      <c r="U445" s="83"/>
      <c r="V445" s="83"/>
      <c r="W445" s="94"/>
      <c r="X445" s="94"/>
      <c r="Y445" s="94"/>
      <c r="Z445" s="83"/>
      <c r="AA445" s="83"/>
      <c r="AB445" s="83"/>
      <c r="AC445" s="83"/>
      <c r="AD445" s="83"/>
      <c r="AE445" s="83"/>
      <c r="AF445" s="83"/>
      <c r="AG445" s="83"/>
      <c r="AH445" s="83"/>
      <c r="AI445" s="83"/>
      <c r="AJ445" s="83"/>
      <c r="AK445" s="83"/>
      <c r="AL445" s="83"/>
      <c r="AM445" s="83"/>
      <c r="AN445" s="83"/>
      <c r="AO445" s="83"/>
      <c r="AP445" s="94"/>
      <c r="AQ445" s="94"/>
    </row>
    <row r="446" ht="15.75" customHeight="1">
      <c r="A446" s="83"/>
      <c r="B446" s="83"/>
      <c r="C446" s="83"/>
      <c r="D446" s="83"/>
      <c r="E446" s="83"/>
      <c r="F446" s="83"/>
      <c r="G446" s="83"/>
      <c r="H446" s="83"/>
      <c r="I446" s="94"/>
      <c r="J446" s="83"/>
      <c r="K446" s="83"/>
      <c r="L446" s="94"/>
      <c r="M446" s="83"/>
      <c r="N446" s="94"/>
      <c r="O446" s="83"/>
      <c r="P446" s="492"/>
      <c r="Q446" s="83"/>
      <c r="R446" s="83"/>
      <c r="S446" s="83"/>
      <c r="T446" s="83"/>
      <c r="U446" s="83"/>
      <c r="V446" s="83"/>
      <c r="W446" s="94"/>
      <c r="X446" s="94"/>
      <c r="Y446" s="94"/>
      <c r="Z446" s="83"/>
      <c r="AA446" s="83"/>
      <c r="AB446" s="83"/>
      <c r="AC446" s="83"/>
      <c r="AD446" s="83"/>
      <c r="AE446" s="83"/>
      <c r="AF446" s="83"/>
      <c r="AG446" s="83"/>
      <c r="AH446" s="83"/>
      <c r="AI446" s="83"/>
      <c r="AJ446" s="83"/>
      <c r="AK446" s="83"/>
      <c r="AL446" s="83"/>
      <c r="AM446" s="83"/>
      <c r="AN446" s="83"/>
      <c r="AO446" s="83"/>
      <c r="AP446" s="94"/>
      <c r="AQ446" s="94"/>
    </row>
    <row r="447" ht="15.75" customHeight="1">
      <c r="A447" s="83"/>
      <c r="B447" s="83"/>
      <c r="C447" s="83"/>
      <c r="D447" s="83"/>
      <c r="E447" s="83"/>
      <c r="F447" s="83"/>
      <c r="G447" s="83"/>
      <c r="H447" s="83"/>
      <c r="I447" s="94"/>
      <c r="J447" s="83"/>
      <c r="K447" s="83"/>
      <c r="L447" s="94"/>
      <c r="M447" s="83"/>
      <c r="N447" s="94"/>
      <c r="O447" s="83"/>
      <c r="P447" s="492"/>
      <c r="Q447" s="83"/>
      <c r="R447" s="83"/>
      <c r="S447" s="83"/>
      <c r="T447" s="83"/>
      <c r="U447" s="83"/>
      <c r="V447" s="83"/>
      <c r="W447" s="94"/>
      <c r="X447" s="94"/>
      <c r="Y447" s="94"/>
      <c r="Z447" s="83"/>
      <c r="AA447" s="83"/>
      <c r="AB447" s="83"/>
      <c r="AC447" s="83"/>
      <c r="AD447" s="83"/>
      <c r="AE447" s="83"/>
      <c r="AF447" s="83"/>
      <c r="AG447" s="83"/>
      <c r="AH447" s="83"/>
      <c r="AI447" s="83"/>
      <c r="AJ447" s="83"/>
      <c r="AK447" s="83"/>
      <c r="AL447" s="83"/>
      <c r="AM447" s="83"/>
      <c r="AN447" s="83"/>
      <c r="AO447" s="83"/>
      <c r="AP447" s="94"/>
      <c r="AQ447" s="94"/>
    </row>
    <row r="448" ht="15.75" customHeight="1">
      <c r="A448" s="83"/>
      <c r="B448" s="83"/>
      <c r="C448" s="83"/>
      <c r="D448" s="83"/>
      <c r="E448" s="83"/>
      <c r="F448" s="83"/>
      <c r="G448" s="83"/>
      <c r="H448" s="83"/>
      <c r="I448" s="94"/>
      <c r="J448" s="83"/>
      <c r="K448" s="83"/>
      <c r="L448" s="94"/>
      <c r="M448" s="83"/>
      <c r="N448" s="94"/>
      <c r="O448" s="83"/>
      <c r="P448" s="492"/>
      <c r="Q448" s="83"/>
      <c r="R448" s="83"/>
      <c r="S448" s="83"/>
      <c r="T448" s="83"/>
      <c r="U448" s="83"/>
      <c r="V448" s="83"/>
      <c r="W448" s="94"/>
      <c r="X448" s="94"/>
      <c r="Y448" s="94"/>
      <c r="Z448" s="83"/>
      <c r="AA448" s="83"/>
      <c r="AB448" s="83"/>
      <c r="AC448" s="83"/>
      <c r="AD448" s="83"/>
      <c r="AE448" s="83"/>
      <c r="AF448" s="83"/>
      <c r="AG448" s="83"/>
      <c r="AH448" s="83"/>
      <c r="AI448" s="83"/>
      <c r="AJ448" s="83"/>
      <c r="AK448" s="83"/>
      <c r="AL448" s="83"/>
      <c r="AM448" s="83"/>
      <c r="AN448" s="83"/>
      <c r="AO448" s="83"/>
      <c r="AP448" s="94"/>
      <c r="AQ448" s="94"/>
    </row>
    <row r="449" ht="15.75" customHeight="1">
      <c r="A449" s="83"/>
      <c r="B449" s="83"/>
      <c r="C449" s="83"/>
      <c r="D449" s="83"/>
      <c r="E449" s="83"/>
      <c r="F449" s="83"/>
      <c r="G449" s="83"/>
      <c r="H449" s="83"/>
      <c r="I449" s="94"/>
      <c r="J449" s="83"/>
      <c r="K449" s="83"/>
      <c r="L449" s="94"/>
      <c r="M449" s="83"/>
      <c r="N449" s="94"/>
      <c r="O449" s="83"/>
      <c r="P449" s="492"/>
      <c r="Q449" s="83"/>
      <c r="R449" s="83"/>
      <c r="S449" s="83"/>
      <c r="T449" s="83"/>
      <c r="U449" s="83"/>
      <c r="V449" s="83"/>
      <c r="W449" s="94"/>
      <c r="X449" s="94"/>
      <c r="Y449" s="94"/>
      <c r="Z449" s="83"/>
      <c r="AA449" s="83"/>
      <c r="AB449" s="83"/>
      <c r="AC449" s="83"/>
      <c r="AD449" s="83"/>
      <c r="AE449" s="83"/>
      <c r="AF449" s="83"/>
      <c r="AG449" s="83"/>
      <c r="AH449" s="83"/>
      <c r="AI449" s="83"/>
      <c r="AJ449" s="83"/>
      <c r="AK449" s="83"/>
      <c r="AL449" s="83"/>
      <c r="AM449" s="83"/>
      <c r="AN449" s="83"/>
      <c r="AO449" s="83"/>
      <c r="AP449" s="94"/>
      <c r="AQ449" s="94"/>
    </row>
    <row r="450" ht="15.75" customHeight="1">
      <c r="A450" s="83"/>
      <c r="B450" s="83"/>
      <c r="C450" s="83"/>
      <c r="D450" s="83"/>
      <c r="E450" s="83"/>
      <c r="F450" s="83"/>
      <c r="G450" s="83"/>
      <c r="H450" s="83"/>
      <c r="I450" s="94"/>
      <c r="J450" s="83"/>
      <c r="K450" s="83"/>
      <c r="L450" s="94"/>
      <c r="M450" s="83"/>
      <c r="N450" s="94"/>
      <c r="O450" s="83"/>
      <c r="P450" s="492"/>
      <c r="Q450" s="83"/>
      <c r="R450" s="83"/>
      <c r="S450" s="83"/>
      <c r="T450" s="83"/>
      <c r="U450" s="83"/>
      <c r="V450" s="83"/>
      <c r="W450" s="94"/>
      <c r="X450" s="94"/>
      <c r="Y450" s="94"/>
      <c r="Z450" s="83"/>
      <c r="AA450" s="83"/>
      <c r="AB450" s="83"/>
      <c r="AC450" s="83"/>
      <c r="AD450" s="83"/>
      <c r="AE450" s="83"/>
      <c r="AF450" s="83"/>
      <c r="AG450" s="83"/>
      <c r="AH450" s="83"/>
      <c r="AI450" s="83"/>
      <c r="AJ450" s="83"/>
      <c r="AK450" s="83"/>
      <c r="AL450" s="83"/>
      <c r="AM450" s="83"/>
      <c r="AN450" s="83"/>
      <c r="AO450" s="83"/>
      <c r="AP450" s="94"/>
      <c r="AQ450" s="94"/>
    </row>
    <row r="451" ht="15.75" customHeight="1">
      <c r="A451" s="83"/>
      <c r="B451" s="83"/>
      <c r="C451" s="83"/>
      <c r="D451" s="83"/>
      <c r="E451" s="83"/>
      <c r="F451" s="83"/>
      <c r="G451" s="83"/>
      <c r="H451" s="83"/>
      <c r="I451" s="94"/>
      <c r="J451" s="83"/>
      <c r="K451" s="83"/>
      <c r="L451" s="94"/>
      <c r="M451" s="83"/>
      <c r="N451" s="94"/>
      <c r="O451" s="83"/>
      <c r="P451" s="492"/>
      <c r="Q451" s="83"/>
      <c r="R451" s="83"/>
      <c r="S451" s="83"/>
      <c r="T451" s="83"/>
      <c r="U451" s="83"/>
      <c r="V451" s="83"/>
      <c r="W451" s="94"/>
      <c r="X451" s="94"/>
      <c r="Y451" s="94"/>
      <c r="Z451" s="83"/>
      <c r="AA451" s="83"/>
      <c r="AB451" s="83"/>
      <c r="AC451" s="83"/>
      <c r="AD451" s="83"/>
      <c r="AE451" s="83"/>
      <c r="AF451" s="83"/>
      <c r="AG451" s="83"/>
      <c r="AH451" s="83"/>
      <c r="AI451" s="83"/>
      <c r="AJ451" s="83"/>
      <c r="AK451" s="83"/>
      <c r="AL451" s="83"/>
      <c r="AM451" s="83"/>
      <c r="AN451" s="83"/>
      <c r="AO451" s="83"/>
      <c r="AP451" s="94"/>
      <c r="AQ451" s="94"/>
    </row>
    <row r="452" ht="15.75" customHeight="1">
      <c r="A452" s="83"/>
      <c r="B452" s="83"/>
      <c r="C452" s="83"/>
      <c r="D452" s="83"/>
      <c r="E452" s="83"/>
      <c r="F452" s="83"/>
      <c r="G452" s="83"/>
      <c r="H452" s="83"/>
      <c r="I452" s="94"/>
      <c r="J452" s="83"/>
      <c r="K452" s="83"/>
      <c r="L452" s="94"/>
      <c r="M452" s="83"/>
      <c r="N452" s="94"/>
      <c r="O452" s="83"/>
      <c r="P452" s="492"/>
      <c r="Q452" s="83"/>
      <c r="R452" s="83"/>
      <c r="S452" s="83"/>
      <c r="T452" s="83"/>
      <c r="U452" s="83"/>
      <c r="V452" s="83"/>
      <c r="W452" s="94"/>
      <c r="X452" s="94"/>
      <c r="Y452" s="94"/>
      <c r="Z452" s="83"/>
      <c r="AA452" s="83"/>
      <c r="AB452" s="83"/>
      <c r="AC452" s="83"/>
      <c r="AD452" s="83"/>
      <c r="AE452" s="83"/>
      <c r="AF452" s="83"/>
      <c r="AG452" s="83"/>
      <c r="AH452" s="83"/>
      <c r="AI452" s="83"/>
      <c r="AJ452" s="83"/>
      <c r="AK452" s="83"/>
      <c r="AL452" s="83"/>
      <c r="AM452" s="83"/>
      <c r="AN452" s="83"/>
      <c r="AO452" s="83"/>
      <c r="AP452" s="94"/>
      <c r="AQ452" s="94"/>
    </row>
    <row r="453" ht="15.75" customHeight="1">
      <c r="A453" s="83"/>
      <c r="B453" s="83"/>
      <c r="C453" s="83"/>
      <c r="D453" s="83"/>
      <c r="E453" s="83"/>
      <c r="F453" s="83"/>
      <c r="G453" s="83"/>
      <c r="H453" s="83"/>
      <c r="I453" s="94"/>
      <c r="J453" s="83"/>
      <c r="K453" s="83"/>
      <c r="L453" s="94"/>
      <c r="M453" s="83"/>
      <c r="N453" s="94"/>
      <c r="O453" s="83"/>
      <c r="P453" s="492"/>
      <c r="Q453" s="83"/>
      <c r="R453" s="83"/>
      <c r="S453" s="83"/>
      <c r="T453" s="83"/>
      <c r="U453" s="83"/>
      <c r="V453" s="83"/>
      <c r="W453" s="94"/>
      <c r="X453" s="94"/>
      <c r="Y453" s="94"/>
      <c r="Z453" s="83"/>
      <c r="AA453" s="83"/>
      <c r="AB453" s="83"/>
      <c r="AC453" s="83"/>
      <c r="AD453" s="83"/>
      <c r="AE453" s="83"/>
      <c r="AF453" s="83"/>
      <c r="AG453" s="83"/>
      <c r="AH453" s="83"/>
      <c r="AI453" s="83"/>
      <c r="AJ453" s="83"/>
      <c r="AK453" s="83"/>
      <c r="AL453" s="83"/>
      <c r="AM453" s="83"/>
      <c r="AN453" s="83"/>
      <c r="AO453" s="83"/>
      <c r="AP453" s="94"/>
      <c r="AQ453" s="94"/>
    </row>
    <row r="454" ht="15.75" customHeight="1">
      <c r="A454" s="83"/>
      <c r="B454" s="83"/>
      <c r="C454" s="83"/>
      <c r="D454" s="83"/>
      <c r="E454" s="83"/>
      <c r="F454" s="83"/>
      <c r="G454" s="83"/>
      <c r="H454" s="83"/>
      <c r="I454" s="94"/>
      <c r="J454" s="83"/>
      <c r="K454" s="83"/>
      <c r="L454" s="94"/>
      <c r="M454" s="83"/>
      <c r="N454" s="94"/>
      <c r="O454" s="83"/>
      <c r="P454" s="492"/>
      <c r="Q454" s="83"/>
      <c r="R454" s="83"/>
      <c r="S454" s="83"/>
      <c r="T454" s="83"/>
      <c r="U454" s="83"/>
      <c r="V454" s="83"/>
      <c r="W454" s="94"/>
      <c r="X454" s="94"/>
      <c r="Y454" s="94"/>
      <c r="Z454" s="83"/>
      <c r="AA454" s="83"/>
      <c r="AB454" s="83"/>
      <c r="AC454" s="83"/>
      <c r="AD454" s="83"/>
      <c r="AE454" s="83"/>
      <c r="AF454" s="83"/>
      <c r="AG454" s="83"/>
      <c r="AH454" s="83"/>
      <c r="AI454" s="83"/>
      <c r="AJ454" s="83"/>
      <c r="AK454" s="83"/>
      <c r="AL454" s="83"/>
      <c r="AM454" s="83"/>
      <c r="AN454" s="83"/>
      <c r="AO454" s="83"/>
      <c r="AP454" s="94"/>
      <c r="AQ454" s="94"/>
    </row>
    <row r="455" ht="15.75" customHeight="1">
      <c r="A455" s="83"/>
      <c r="B455" s="83"/>
      <c r="C455" s="83"/>
      <c r="D455" s="83"/>
      <c r="E455" s="83"/>
      <c r="F455" s="83"/>
      <c r="G455" s="83"/>
      <c r="H455" s="83"/>
      <c r="I455" s="94"/>
      <c r="J455" s="83"/>
      <c r="K455" s="83"/>
      <c r="L455" s="94"/>
      <c r="M455" s="83"/>
      <c r="N455" s="94"/>
      <c r="O455" s="83"/>
      <c r="P455" s="492"/>
      <c r="Q455" s="83"/>
      <c r="R455" s="83"/>
      <c r="S455" s="83"/>
      <c r="T455" s="83"/>
      <c r="U455" s="83"/>
      <c r="V455" s="83"/>
      <c r="W455" s="94"/>
      <c r="X455" s="94"/>
      <c r="Y455" s="94"/>
      <c r="Z455" s="83"/>
      <c r="AA455" s="83"/>
      <c r="AB455" s="83"/>
      <c r="AC455" s="83"/>
      <c r="AD455" s="83"/>
      <c r="AE455" s="83"/>
      <c r="AF455" s="83"/>
      <c r="AG455" s="83"/>
      <c r="AH455" s="83"/>
      <c r="AI455" s="83"/>
      <c r="AJ455" s="83"/>
      <c r="AK455" s="83"/>
      <c r="AL455" s="83"/>
      <c r="AM455" s="83"/>
      <c r="AN455" s="83"/>
      <c r="AO455" s="83"/>
      <c r="AP455" s="94"/>
      <c r="AQ455" s="94"/>
    </row>
    <row r="456" ht="15.75" customHeight="1">
      <c r="A456" s="83"/>
      <c r="B456" s="83"/>
      <c r="C456" s="83"/>
      <c r="D456" s="83"/>
      <c r="E456" s="83"/>
      <c r="F456" s="83"/>
      <c r="G456" s="83"/>
      <c r="H456" s="83"/>
      <c r="I456" s="94"/>
      <c r="J456" s="83"/>
      <c r="K456" s="83"/>
      <c r="L456" s="94"/>
      <c r="M456" s="83"/>
      <c r="N456" s="94"/>
      <c r="O456" s="83"/>
      <c r="P456" s="492"/>
      <c r="Q456" s="83"/>
      <c r="R456" s="83"/>
      <c r="S456" s="83"/>
      <c r="T456" s="83"/>
      <c r="U456" s="83"/>
      <c r="V456" s="83"/>
      <c r="W456" s="94"/>
      <c r="X456" s="94"/>
      <c r="Y456" s="94"/>
      <c r="Z456" s="83"/>
      <c r="AA456" s="83"/>
      <c r="AB456" s="83"/>
      <c r="AC456" s="83"/>
      <c r="AD456" s="83"/>
      <c r="AE456" s="83"/>
      <c r="AF456" s="83"/>
      <c r="AG456" s="83"/>
      <c r="AH456" s="83"/>
      <c r="AI456" s="83"/>
      <c r="AJ456" s="83"/>
      <c r="AK456" s="83"/>
      <c r="AL456" s="83"/>
      <c r="AM456" s="83"/>
      <c r="AN456" s="83"/>
      <c r="AO456" s="83"/>
      <c r="AP456" s="94"/>
      <c r="AQ456" s="94"/>
    </row>
    <row r="457" ht="15.75" customHeight="1">
      <c r="A457" s="83"/>
      <c r="B457" s="83"/>
      <c r="C457" s="83"/>
      <c r="D457" s="83"/>
      <c r="E457" s="83"/>
      <c r="F457" s="83"/>
      <c r="G457" s="83"/>
      <c r="H457" s="83"/>
      <c r="I457" s="94"/>
      <c r="J457" s="83"/>
      <c r="K457" s="83"/>
      <c r="L457" s="94"/>
      <c r="M457" s="83"/>
      <c r="N457" s="94"/>
      <c r="O457" s="83"/>
      <c r="P457" s="492"/>
      <c r="Q457" s="83"/>
      <c r="R457" s="83"/>
      <c r="S457" s="83"/>
      <c r="T457" s="83"/>
      <c r="U457" s="83"/>
      <c r="V457" s="83"/>
      <c r="W457" s="94"/>
      <c r="X457" s="94"/>
      <c r="Y457" s="94"/>
      <c r="Z457" s="83"/>
      <c r="AA457" s="83"/>
      <c r="AB457" s="83"/>
      <c r="AC457" s="83"/>
      <c r="AD457" s="83"/>
      <c r="AE457" s="83"/>
      <c r="AF457" s="83"/>
      <c r="AG457" s="83"/>
      <c r="AH457" s="83"/>
      <c r="AI457" s="83"/>
      <c r="AJ457" s="83"/>
      <c r="AK457" s="83"/>
      <c r="AL457" s="83"/>
      <c r="AM457" s="83"/>
      <c r="AN457" s="83"/>
      <c r="AO457" s="83"/>
      <c r="AP457" s="94"/>
      <c r="AQ457" s="94"/>
    </row>
    <row r="458" ht="15.75" customHeight="1">
      <c r="A458" s="83"/>
      <c r="B458" s="83"/>
      <c r="C458" s="83"/>
      <c r="D458" s="83"/>
      <c r="E458" s="83"/>
      <c r="F458" s="83"/>
      <c r="G458" s="83"/>
      <c r="H458" s="83"/>
      <c r="I458" s="94"/>
      <c r="J458" s="83"/>
      <c r="K458" s="83"/>
      <c r="L458" s="94"/>
      <c r="M458" s="83"/>
      <c r="N458" s="94"/>
      <c r="O458" s="83"/>
      <c r="P458" s="492"/>
      <c r="Q458" s="83"/>
      <c r="R458" s="83"/>
      <c r="S458" s="83"/>
      <c r="T458" s="83"/>
      <c r="U458" s="83"/>
      <c r="V458" s="83"/>
      <c r="W458" s="94"/>
      <c r="X458" s="94"/>
      <c r="Y458" s="94"/>
      <c r="Z458" s="83"/>
      <c r="AA458" s="83"/>
      <c r="AB458" s="83"/>
      <c r="AC458" s="83"/>
      <c r="AD458" s="83"/>
      <c r="AE458" s="83"/>
      <c r="AF458" s="83"/>
      <c r="AG458" s="83"/>
      <c r="AH458" s="83"/>
      <c r="AI458" s="83"/>
      <c r="AJ458" s="83"/>
      <c r="AK458" s="83"/>
      <c r="AL458" s="83"/>
      <c r="AM458" s="83"/>
      <c r="AN458" s="83"/>
      <c r="AO458" s="83"/>
      <c r="AP458" s="94"/>
      <c r="AQ458" s="94"/>
    </row>
    <row r="459" ht="15.75" customHeight="1">
      <c r="A459" s="83"/>
      <c r="B459" s="83"/>
      <c r="C459" s="83"/>
      <c r="D459" s="83"/>
      <c r="E459" s="83"/>
      <c r="F459" s="83"/>
      <c r="G459" s="83"/>
      <c r="H459" s="83"/>
      <c r="I459" s="94"/>
      <c r="J459" s="83"/>
      <c r="K459" s="83"/>
      <c r="L459" s="94"/>
      <c r="M459" s="83"/>
      <c r="N459" s="94"/>
      <c r="O459" s="83"/>
      <c r="P459" s="492"/>
      <c r="Q459" s="83"/>
      <c r="R459" s="83"/>
      <c r="S459" s="83"/>
      <c r="T459" s="83"/>
      <c r="U459" s="83"/>
      <c r="V459" s="83"/>
      <c r="W459" s="94"/>
      <c r="X459" s="94"/>
      <c r="Y459" s="94"/>
      <c r="Z459" s="83"/>
      <c r="AA459" s="83"/>
      <c r="AB459" s="83"/>
      <c r="AC459" s="83"/>
      <c r="AD459" s="83"/>
      <c r="AE459" s="83"/>
      <c r="AF459" s="83"/>
      <c r="AG459" s="83"/>
      <c r="AH459" s="83"/>
      <c r="AI459" s="83"/>
      <c r="AJ459" s="83"/>
      <c r="AK459" s="83"/>
      <c r="AL459" s="83"/>
      <c r="AM459" s="83"/>
      <c r="AN459" s="83"/>
      <c r="AO459" s="83"/>
      <c r="AP459" s="94"/>
      <c r="AQ459" s="94"/>
    </row>
    <row r="460" ht="15.75" customHeight="1">
      <c r="A460" s="83"/>
      <c r="B460" s="83"/>
      <c r="C460" s="83"/>
      <c r="D460" s="83"/>
      <c r="E460" s="83"/>
      <c r="F460" s="83"/>
      <c r="G460" s="83"/>
      <c r="H460" s="83"/>
      <c r="I460" s="94"/>
      <c r="J460" s="83"/>
      <c r="K460" s="83"/>
      <c r="L460" s="94"/>
      <c r="M460" s="83"/>
      <c r="N460" s="94"/>
      <c r="O460" s="83"/>
      <c r="P460" s="492"/>
      <c r="Q460" s="83"/>
      <c r="R460" s="83"/>
      <c r="S460" s="83"/>
      <c r="T460" s="83"/>
      <c r="U460" s="83"/>
      <c r="V460" s="83"/>
      <c r="W460" s="94"/>
      <c r="X460" s="94"/>
      <c r="Y460" s="94"/>
      <c r="Z460" s="83"/>
      <c r="AA460" s="83"/>
      <c r="AB460" s="83"/>
      <c r="AC460" s="83"/>
      <c r="AD460" s="83"/>
      <c r="AE460" s="83"/>
      <c r="AF460" s="83"/>
      <c r="AG460" s="83"/>
      <c r="AH460" s="83"/>
      <c r="AI460" s="83"/>
      <c r="AJ460" s="83"/>
      <c r="AK460" s="83"/>
      <c r="AL460" s="83"/>
      <c r="AM460" s="83"/>
      <c r="AN460" s="83"/>
      <c r="AO460" s="83"/>
      <c r="AP460" s="94"/>
      <c r="AQ460" s="94"/>
    </row>
    <row r="461" ht="15.75" customHeight="1">
      <c r="A461" s="83"/>
      <c r="B461" s="83"/>
      <c r="C461" s="83"/>
      <c r="D461" s="83"/>
      <c r="E461" s="83"/>
      <c r="F461" s="83"/>
      <c r="G461" s="83"/>
      <c r="H461" s="83"/>
      <c r="I461" s="94"/>
      <c r="J461" s="83"/>
      <c r="K461" s="83"/>
      <c r="L461" s="94"/>
      <c r="M461" s="83"/>
      <c r="N461" s="94"/>
      <c r="O461" s="83"/>
      <c r="P461" s="492"/>
      <c r="Q461" s="83"/>
      <c r="R461" s="83"/>
      <c r="S461" s="83"/>
      <c r="T461" s="83"/>
      <c r="U461" s="83"/>
      <c r="V461" s="83"/>
      <c r="W461" s="94"/>
      <c r="X461" s="94"/>
      <c r="Y461" s="94"/>
      <c r="Z461" s="83"/>
      <c r="AA461" s="83"/>
      <c r="AB461" s="83"/>
      <c r="AC461" s="83"/>
      <c r="AD461" s="83"/>
      <c r="AE461" s="83"/>
      <c r="AF461" s="83"/>
      <c r="AG461" s="83"/>
      <c r="AH461" s="83"/>
      <c r="AI461" s="83"/>
      <c r="AJ461" s="83"/>
      <c r="AK461" s="83"/>
      <c r="AL461" s="83"/>
      <c r="AM461" s="83"/>
      <c r="AN461" s="83"/>
      <c r="AO461" s="83"/>
      <c r="AP461" s="94"/>
      <c r="AQ461" s="94"/>
    </row>
    <row r="462" ht="15.75" customHeight="1">
      <c r="A462" s="83"/>
      <c r="B462" s="83"/>
      <c r="C462" s="83"/>
      <c r="D462" s="83"/>
      <c r="E462" s="83"/>
      <c r="F462" s="83"/>
      <c r="G462" s="83"/>
      <c r="H462" s="83"/>
      <c r="I462" s="94"/>
      <c r="J462" s="83"/>
      <c r="K462" s="83"/>
      <c r="L462" s="94"/>
      <c r="M462" s="83"/>
      <c r="N462" s="94"/>
      <c r="O462" s="83"/>
      <c r="P462" s="492"/>
      <c r="Q462" s="83"/>
      <c r="R462" s="83"/>
      <c r="S462" s="83"/>
      <c r="T462" s="83"/>
      <c r="U462" s="83"/>
      <c r="V462" s="83"/>
      <c r="W462" s="94"/>
      <c r="X462" s="94"/>
      <c r="Y462" s="94"/>
      <c r="Z462" s="83"/>
      <c r="AA462" s="83"/>
      <c r="AB462" s="83"/>
      <c r="AC462" s="83"/>
      <c r="AD462" s="83"/>
      <c r="AE462" s="83"/>
      <c r="AF462" s="83"/>
      <c r="AG462" s="83"/>
      <c r="AH462" s="83"/>
      <c r="AI462" s="83"/>
      <c r="AJ462" s="83"/>
      <c r="AK462" s="83"/>
      <c r="AL462" s="83"/>
      <c r="AM462" s="83"/>
      <c r="AN462" s="83"/>
      <c r="AO462" s="83"/>
      <c r="AP462" s="94"/>
      <c r="AQ462" s="94"/>
    </row>
    <row r="463" ht="15.75" customHeight="1">
      <c r="A463" s="83"/>
      <c r="B463" s="83"/>
      <c r="C463" s="83"/>
      <c r="D463" s="83"/>
      <c r="E463" s="83"/>
      <c r="F463" s="83"/>
      <c r="G463" s="83"/>
      <c r="H463" s="83"/>
      <c r="I463" s="94"/>
      <c r="J463" s="83"/>
      <c r="K463" s="83"/>
      <c r="L463" s="94"/>
      <c r="M463" s="83"/>
      <c r="N463" s="94"/>
      <c r="O463" s="83"/>
      <c r="P463" s="492"/>
      <c r="Q463" s="83"/>
      <c r="R463" s="83"/>
      <c r="S463" s="83"/>
      <c r="T463" s="83"/>
      <c r="U463" s="83"/>
      <c r="V463" s="83"/>
      <c r="W463" s="94"/>
      <c r="X463" s="94"/>
      <c r="Y463" s="94"/>
      <c r="Z463" s="83"/>
      <c r="AA463" s="83"/>
      <c r="AB463" s="83"/>
      <c r="AC463" s="83"/>
      <c r="AD463" s="83"/>
      <c r="AE463" s="83"/>
      <c r="AF463" s="83"/>
      <c r="AG463" s="83"/>
      <c r="AH463" s="83"/>
      <c r="AI463" s="83"/>
      <c r="AJ463" s="83"/>
      <c r="AK463" s="83"/>
      <c r="AL463" s="83"/>
      <c r="AM463" s="83"/>
      <c r="AN463" s="83"/>
      <c r="AO463" s="83"/>
      <c r="AP463" s="94"/>
      <c r="AQ463" s="94"/>
    </row>
    <row r="464" ht="15.75" customHeight="1">
      <c r="A464" s="83"/>
      <c r="B464" s="83"/>
      <c r="C464" s="83"/>
      <c r="D464" s="83"/>
      <c r="E464" s="83"/>
      <c r="F464" s="83"/>
      <c r="G464" s="83"/>
      <c r="H464" s="83"/>
      <c r="I464" s="94"/>
      <c r="J464" s="83"/>
      <c r="K464" s="83"/>
      <c r="L464" s="94"/>
      <c r="M464" s="83"/>
      <c r="N464" s="94"/>
      <c r="O464" s="83"/>
      <c r="P464" s="492"/>
      <c r="Q464" s="83"/>
      <c r="R464" s="83"/>
      <c r="S464" s="83"/>
      <c r="T464" s="83"/>
      <c r="U464" s="83"/>
      <c r="V464" s="83"/>
      <c r="W464" s="94"/>
      <c r="X464" s="94"/>
      <c r="Y464" s="94"/>
      <c r="Z464" s="83"/>
      <c r="AA464" s="83"/>
      <c r="AB464" s="83"/>
      <c r="AC464" s="83"/>
      <c r="AD464" s="83"/>
      <c r="AE464" s="83"/>
      <c r="AF464" s="83"/>
      <c r="AG464" s="83"/>
      <c r="AH464" s="83"/>
      <c r="AI464" s="83"/>
      <c r="AJ464" s="83"/>
      <c r="AK464" s="83"/>
      <c r="AL464" s="83"/>
      <c r="AM464" s="83"/>
      <c r="AN464" s="83"/>
      <c r="AO464" s="83"/>
      <c r="AP464" s="94"/>
      <c r="AQ464" s="94"/>
    </row>
    <row r="465" ht="15.75" customHeight="1">
      <c r="A465" s="83"/>
      <c r="B465" s="83"/>
      <c r="C465" s="83"/>
      <c r="D465" s="83"/>
      <c r="E465" s="83"/>
      <c r="F465" s="83"/>
      <c r="G465" s="83"/>
      <c r="H465" s="83"/>
      <c r="I465" s="94"/>
      <c r="J465" s="83"/>
      <c r="K465" s="83"/>
      <c r="L465" s="94"/>
      <c r="M465" s="83"/>
      <c r="N465" s="94"/>
      <c r="O465" s="83"/>
      <c r="P465" s="492"/>
      <c r="Q465" s="83"/>
      <c r="R465" s="83"/>
      <c r="S465" s="83"/>
      <c r="T465" s="83"/>
      <c r="U465" s="83"/>
      <c r="V465" s="83"/>
      <c r="W465" s="94"/>
      <c r="X465" s="94"/>
      <c r="Y465" s="94"/>
      <c r="Z465" s="83"/>
      <c r="AA465" s="83"/>
      <c r="AB465" s="83"/>
      <c r="AC465" s="83"/>
      <c r="AD465" s="83"/>
      <c r="AE465" s="83"/>
      <c r="AF465" s="83"/>
      <c r="AG465" s="83"/>
      <c r="AH465" s="83"/>
      <c r="AI465" s="83"/>
      <c r="AJ465" s="83"/>
      <c r="AK465" s="83"/>
      <c r="AL465" s="83"/>
      <c r="AM465" s="83"/>
      <c r="AN465" s="83"/>
      <c r="AO465" s="83"/>
      <c r="AP465" s="94"/>
      <c r="AQ465" s="94"/>
    </row>
    <row r="466" ht="15.75" customHeight="1">
      <c r="A466" s="83"/>
      <c r="B466" s="83"/>
      <c r="C466" s="83"/>
      <c r="D466" s="83"/>
      <c r="E466" s="83"/>
      <c r="F466" s="83"/>
      <c r="G466" s="83"/>
      <c r="H466" s="83"/>
      <c r="I466" s="94"/>
      <c r="J466" s="83"/>
      <c r="K466" s="83"/>
      <c r="L466" s="94"/>
      <c r="M466" s="83"/>
      <c r="N466" s="94"/>
      <c r="O466" s="83"/>
      <c r="P466" s="492"/>
      <c r="Q466" s="83"/>
      <c r="R466" s="83"/>
      <c r="S466" s="83"/>
      <c r="T466" s="83"/>
      <c r="U466" s="83"/>
      <c r="V466" s="83"/>
      <c r="W466" s="94"/>
      <c r="X466" s="94"/>
      <c r="Y466" s="94"/>
      <c r="Z466" s="83"/>
      <c r="AA466" s="83"/>
      <c r="AB466" s="83"/>
      <c r="AC466" s="83"/>
      <c r="AD466" s="83"/>
      <c r="AE466" s="83"/>
      <c r="AF466" s="83"/>
      <c r="AG466" s="83"/>
      <c r="AH466" s="83"/>
      <c r="AI466" s="83"/>
      <c r="AJ466" s="83"/>
      <c r="AK466" s="83"/>
      <c r="AL466" s="83"/>
      <c r="AM466" s="83"/>
      <c r="AN466" s="83"/>
      <c r="AO466" s="83"/>
      <c r="AP466" s="94"/>
      <c r="AQ466" s="94"/>
    </row>
    <row r="467" ht="15.75" customHeight="1">
      <c r="A467" s="83"/>
      <c r="B467" s="83"/>
      <c r="C467" s="83"/>
      <c r="D467" s="83"/>
      <c r="E467" s="83"/>
      <c r="F467" s="83"/>
      <c r="G467" s="83"/>
      <c r="H467" s="83"/>
      <c r="I467" s="94"/>
      <c r="J467" s="83"/>
      <c r="K467" s="83"/>
      <c r="L467" s="94"/>
      <c r="M467" s="83"/>
      <c r="N467" s="94"/>
      <c r="O467" s="83"/>
      <c r="P467" s="492"/>
      <c r="Q467" s="83"/>
      <c r="R467" s="83"/>
      <c r="S467" s="83"/>
      <c r="T467" s="83"/>
      <c r="U467" s="83"/>
      <c r="V467" s="83"/>
      <c r="W467" s="94"/>
      <c r="X467" s="94"/>
      <c r="Y467" s="94"/>
      <c r="Z467" s="83"/>
      <c r="AA467" s="83"/>
      <c r="AB467" s="83"/>
      <c r="AC467" s="83"/>
      <c r="AD467" s="83"/>
      <c r="AE467" s="83"/>
      <c r="AF467" s="83"/>
      <c r="AG467" s="83"/>
      <c r="AH467" s="83"/>
      <c r="AI467" s="83"/>
      <c r="AJ467" s="83"/>
      <c r="AK467" s="83"/>
      <c r="AL467" s="83"/>
      <c r="AM467" s="83"/>
      <c r="AN467" s="83"/>
      <c r="AO467" s="83"/>
      <c r="AP467" s="94"/>
      <c r="AQ467" s="94"/>
    </row>
    <row r="468" ht="15.75" customHeight="1">
      <c r="A468" s="83"/>
      <c r="B468" s="83"/>
      <c r="C468" s="83"/>
      <c r="D468" s="83"/>
      <c r="E468" s="83"/>
      <c r="F468" s="83"/>
      <c r="G468" s="83"/>
      <c r="H468" s="83"/>
      <c r="I468" s="94"/>
      <c r="J468" s="83"/>
      <c r="K468" s="83"/>
      <c r="L468" s="94"/>
      <c r="M468" s="83"/>
      <c r="N468" s="94"/>
      <c r="O468" s="83"/>
      <c r="P468" s="492"/>
      <c r="Q468" s="83"/>
      <c r="R468" s="83"/>
      <c r="S468" s="83"/>
      <c r="T468" s="83"/>
      <c r="U468" s="83"/>
      <c r="V468" s="83"/>
      <c r="W468" s="94"/>
      <c r="X468" s="94"/>
      <c r="Y468" s="94"/>
      <c r="Z468" s="83"/>
      <c r="AA468" s="83"/>
      <c r="AB468" s="83"/>
      <c r="AC468" s="83"/>
      <c r="AD468" s="83"/>
      <c r="AE468" s="83"/>
      <c r="AF468" s="83"/>
      <c r="AG468" s="83"/>
      <c r="AH468" s="83"/>
      <c r="AI468" s="83"/>
      <c r="AJ468" s="83"/>
      <c r="AK468" s="83"/>
      <c r="AL468" s="83"/>
      <c r="AM468" s="83"/>
      <c r="AN468" s="83"/>
      <c r="AO468" s="83"/>
      <c r="AP468" s="94"/>
      <c r="AQ468" s="94"/>
    </row>
    <row r="469" ht="15.75" customHeight="1">
      <c r="A469" s="83"/>
      <c r="B469" s="83"/>
      <c r="C469" s="83"/>
      <c r="D469" s="83"/>
      <c r="E469" s="83"/>
      <c r="F469" s="83"/>
      <c r="G469" s="83"/>
      <c r="H469" s="83"/>
      <c r="I469" s="94"/>
      <c r="J469" s="83"/>
      <c r="K469" s="83"/>
      <c r="L469" s="94"/>
      <c r="M469" s="83"/>
      <c r="N469" s="94"/>
      <c r="O469" s="83"/>
      <c r="P469" s="492"/>
      <c r="Q469" s="83"/>
      <c r="R469" s="83"/>
      <c r="S469" s="83"/>
      <c r="T469" s="83"/>
      <c r="U469" s="83"/>
      <c r="V469" s="83"/>
      <c r="W469" s="94"/>
      <c r="X469" s="94"/>
      <c r="Y469" s="94"/>
      <c r="Z469" s="83"/>
      <c r="AA469" s="83"/>
      <c r="AB469" s="83"/>
      <c r="AC469" s="83"/>
      <c r="AD469" s="83"/>
      <c r="AE469" s="83"/>
      <c r="AF469" s="83"/>
      <c r="AG469" s="83"/>
      <c r="AH469" s="83"/>
      <c r="AI469" s="83"/>
      <c r="AJ469" s="83"/>
      <c r="AK469" s="83"/>
      <c r="AL469" s="83"/>
      <c r="AM469" s="83"/>
      <c r="AN469" s="83"/>
      <c r="AO469" s="83"/>
      <c r="AP469" s="94"/>
      <c r="AQ469" s="94"/>
    </row>
    <row r="470" ht="15.75" customHeight="1">
      <c r="A470" s="83"/>
      <c r="B470" s="83"/>
      <c r="C470" s="83"/>
      <c r="D470" s="83"/>
      <c r="E470" s="83"/>
      <c r="F470" s="83"/>
      <c r="G470" s="83"/>
      <c r="H470" s="83"/>
      <c r="I470" s="94"/>
      <c r="J470" s="83"/>
      <c r="K470" s="83"/>
      <c r="L470" s="94"/>
      <c r="M470" s="83"/>
      <c r="N470" s="94"/>
      <c r="O470" s="83"/>
      <c r="P470" s="492"/>
      <c r="Q470" s="83"/>
      <c r="R470" s="83"/>
      <c r="S470" s="83"/>
      <c r="T470" s="83"/>
      <c r="U470" s="83"/>
      <c r="V470" s="83"/>
      <c r="W470" s="94"/>
      <c r="X470" s="94"/>
      <c r="Y470" s="94"/>
      <c r="Z470" s="83"/>
      <c r="AA470" s="83"/>
      <c r="AB470" s="83"/>
      <c r="AC470" s="83"/>
      <c r="AD470" s="83"/>
      <c r="AE470" s="83"/>
      <c r="AF470" s="83"/>
      <c r="AG470" s="83"/>
      <c r="AH470" s="83"/>
      <c r="AI470" s="83"/>
      <c r="AJ470" s="83"/>
      <c r="AK470" s="83"/>
      <c r="AL470" s="83"/>
      <c r="AM470" s="83"/>
      <c r="AN470" s="83"/>
      <c r="AO470" s="83"/>
      <c r="AP470" s="94"/>
      <c r="AQ470" s="94"/>
    </row>
    <row r="471" ht="15.75" customHeight="1">
      <c r="A471" s="83"/>
      <c r="B471" s="83"/>
      <c r="C471" s="83"/>
      <c r="D471" s="83"/>
      <c r="E471" s="83"/>
      <c r="F471" s="83"/>
      <c r="G471" s="83"/>
      <c r="H471" s="83"/>
      <c r="I471" s="94"/>
      <c r="J471" s="83"/>
      <c r="K471" s="83"/>
      <c r="L471" s="94"/>
      <c r="M471" s="83"/>
      <c r="N471" s="94"/>
      <c r="O471" s="83"/>
      <c r="P471" s="492"/>
      <c r="Q471" s="83"/>
      <c r="R471" s="83"/>
      <c r="S471" s="83"/>
      <c r="T471" s="83"/>
      <c r="U471" s="83"/>
      <c r="V471" s="83"/>
      <c r="W471" s="94"/>
      <c r="X471" s="94"/>
      <c r="Y471" s="94"/>
      <c r="Z471" s="83"/>
      <c r="AA471" s="83"/>
      <c r="AB471" s="83"/>
      <c r="AC471" s="83"/>
      <c r="AD471" s="83"/>
      <c r="AE471" s="83"/>
      <c r="AF471" s="83"/>
      <c r="AG471" s="83"/>
      <c r="AH471" s="83"/>
      <c r="AI471" s="83"/>
      <c r="AJ471" s="83"/>
      <c r="AK471" s="83"/>
      <c r="AL471" s="83"/>
      <c r="AM471" s="83"/>
      <c r="AN471" s="83"/>
      <c r="AO471" s="83"/>
      <c r="AP471" s="94"/>
      <c r="AQ471" s="94"/>
    </row>
    <row r="472" ht="15.75" customHeight="1">
      <c r="A472" s="83"/>
      <c r="B472" s="83"/>
      <c r="C472" s="83"/>
      <c r="D472" s="83"/>
      <c r="E472" s="83"/>
      <c r="F472" s="83"/>
      <c r="G472" s="83"/>
      <c r="H472" s="83"/>
      <c r="I472" s="94"/>
      <c r="J472" s="83"/>
      <c r="K472" s="83"/>
      <c r="L472" s="94"/>
      <c r="M472" s="83"/>
      <c r="N472" s="94"/>
      <c r="O472" s="83"/>
      <c r="P472" s="492"/>
      <c r="Q472" s="83"/>
      <c r="R472" s="83"/>
      <c r="S472" s="83"/>
      <c r="T472" s="83"/>
      <c r="U472" s="83"/>
      <c r="V472" s="83"/>
      <c r="W472" s="94"/>
      <c r="X472" s="94"/>
      <c r="Y472" s="94"/>
      <c r="Z472" s="83"/>
      <c r="AA472" s="83"/>
      <c r="AB472" s="83"/>
      <c r="AC472" s="83"/>
      <c r="AD472" s="83"/>
      <c r="AE472" s="83"/>
      <c r="AF472" s="83"/>
      <c r="AG472" s="83"/>
      <c r="AH472" s="83"/>
      <c r="AI472" s="83"/>
      <c r="AJ472" s="83"/>
      <c r="AK472" s="83"/>
      <c r="AL472" s="83"/>
      <c r="AM472" s="83"/>
      <c r="AN472" s="83"/>
      <c r="AO472" s="83"/>
      <c r="AP472" s="94"/>
      <c r="AQ472" s="94"/>
    </row>
    <row r="473" ht="15.75" customHeight="1">
      <c r="A473" s="83"/>
      <c r="B473" s="83"/>
      <c r="C473" s="83"/>
      <c r="D473" s="83"/>
      <c r="E473" s="83"/>
      <c r="F473" s="83"/>
      <c r="G473" s="83"/>
      <c r="H473" s="83"/>
      <c r="I473" s="94"/>
      <c r="J473" s="83"/>
      <c r="K473" s="83"/>
      <c r="L473" s="94"/>
      <c r="M473" s="83"/>
      <c r="N473" s="94"/>
      <c r="O473" s="83"/>
      <c r="P473" s="492"/>
      <c r="Q473" s="83"/>
      <c r="R473" s="83"/>
      <c r="S473" s="83"/>
      <c r="T473" s="83"/>
      <c r="U473" s="83"/>
      <c r="V473" s="83"/>
      <c r="W473" s="94"/>
      <c r="X473" s="94"/>
      <c r="Y473" s="94"/>
      <c r="Z473" s="83"/>
      <c r="AA473" s="83"/>
      <c r="AB473" s="83"/>
      <c r="AC473" s="83"/>
      <c r="AD473" s="83"/>
      <c r="AE473" s="83"/>
      <c r="AF473" s="83"/>
      <c r="AG473" s="83"/>
      <c r="AH473" s="83"/>
      <c r="AI473" s="83"/>
      <c r="AJ473" s="83"/>
      <c r="AK473" s="83"/>
      <c r="AL473" s="83"/>
      <c r="AM473" s="83"/>
      <c r="AN473" s="83"/>
      <c r="AO473" s="83"/>
      <c r="AP473" s="94"/>
      <c r="AQ473" s="94"/>
    </row>
    <row r="474" ht="15.75" customHeight="1">
      <c r="A474" s="83"/>
      <c r="B474" s="83"/>
      <c r="C474" s="83"/>
      <c r="D474" s="83"/>
      <c r="E474" s="83"/>
      <c r="F474" s="83"/>
      <c r="G474" s="83"/>
      <c r="H474" s="83"/>
      <c r="I474" s="94"/>
      <c r="J474" s="83"/>
      <c r="K474" s="83"/>
      <c r="L474" s="94"/>
      <c r="M474" s="83"/>
      <c r="N474" s="94"/>
      <c r="O474" s="83"/>
      <c r="P474" s="492"/>
      <c r="Q474" s="83"/>
      <c r="R474" s="83"/>
      <c r="S474" s="83"/>
      <c r="T474" s="83"/>
      <c r="U474" s="83"/>
      <c r="V474" s="83"/>
      <c r="W474" s="94"/>
      <c r="X474" s="94"/>
      <c r="Y474" s="94"/>
      <c r="Z474" s="83"/>
      <c r="AA474" s="83"/>
      <c r="AB474" s="83"/>
      <c r="AC474" s="83"/>
      <c r="AD474" s="83"/>
      <c r="AE474" s="83"/>
      <c r="AF474" s="83"/>
      <c r="AG474" s="83"/>
      <c r="AH474" s="83"/>
      <c r="AI474" s="83"/>
      <c r="AJ474" s="83"/>
      <c r="AK474" s="83"/>
      <c r="AL474" s="83"/>
      <c r="AM474" s="83"/>
      <c r="AN474" s="83"/>
      <c r="AO474" s="83"/>
      <c r="AP474" s="94"/>
      <c r="AQ474" s="94"/>
    </row>
    <row r="475" ht="15.75" customHeight="1">
      <c r="A475" s="83"/>
      <c r="B475" s="83"/>
      <c r="C475" s="83"/>
      <c r="D475" s="83"/>
      <c r="E475" s="83"/>
      <c r="F475" s="83"/>
      <c r="G475" s="83"/>
      <c r="H475" s="83"/>
      <c r="I475" s="94"/>
      <c r="J475" s="83"/>
      <c r="K475" s="83"/>
      <c r="L475" s="94"/>
      <c r="M475" s="83"/>
      <c r="N475" s="94"/>
      <c r="O475" s="83"/>
      <c r="P475" s="492"/>
      <c r="Q475" s="83"/>
      <c r="R475" s="83"/>
      <c r="S475" s="83"/>
      <c r="T475" s="83"/>
      <c r="U475" s="83"/>
      <c r="V475" s="83"/>
      <c r="W475" s="94"/>
      <c r="X475" s="94"/>
      <c r="Y475" s="94"/>
      <c r="Z475" s="83"/>
      <c r="AA475" s="83"/>
      <c r="AB475" s="83"/>
      <c r="AC475" s="83"/>
      <c r="AD475" s="83"/>
      <c r="AE475" s="83"/>
      <c r="AF475" s="83"/>
      <c r="AG475" s="83"/>
      <c r="AH475" s="83"/>
      <c r="AI475" s="83"/>
      <c r="AJ475" s="83"/>
      <c r="AK475" s="83"/>
      <c r="AL475" s="83"/>
      <c r="AM475" s="83"/>
      <c r="AN475" s="83"/>
      <c r="AO475" s="83"/>
      <c r="AP475" s="94"/>
      <c r="AQ475" s="94"/>
    </row>
    <row r="476" ht="15.75" customHeight="1">
      <c r="A476" s="83"/>
      <c r="B476" s="83"/>
      <c r="C476" s="83"/>
      <c r="D476" s="83"/>
      <c r="E476" s="83"/>
      <c r="F476" s="83"/>
      <c r="G476" s="83"/>
      <c r="H476" s="83"/>
      <c r="I476" s="94"/>
      <c r="J476" s="83"/>
      <c r="K476" s="83"/>
      <c r="L476" s="94"/>
      <c r="M476" s="83"/>
      <c r="N476" s="94"/>
      <c r="O476" s="83"/>
      <c r="P476" s="492"/>
      <c r="Q476" s="83"/>
      <c r="R476" s="83"/>
      <c r="S476" s="83"/>
      <c r="T476" s="83"/>
      <c r="U476" s="83"/>
      <c r="V476" s="83"/>
      <c r="W476" s="94"/>
      <c r="X476" s="94"/>
      <c r="Y476" s="94"/>
      <c r="Z476" s="83"/>
      <c r="AA476" s="83"/>
      <c r="AB476" s="83"/>
      <c r="AC476" s="83"/>
      <c r="AD476" s="83"/>
      <c r="AE476" s="83"/>
      <c r="AF476" s="83"/>
      <c r="AG476" s="83"/>
      <c r="AH476" s="83"/>
      <c r="AI476" s="83"/>
      <c r="AJ476" s="83"/>
      <c r="AK476" s="83"/>
      <c r="AL476" s="83"/>
      <c r="AM476" s="83"/>
      <c r="AN476" s="83"/>
      <c r="AO476" s="83"/>
      <c r="AP476" s="94"/>
      <c r="AQ476" s="94"/>
    </row>
    <row r="477" ht="15.75" customHeight="1">
      <c r="A477" s="83"/>
      <c r="B477" s="83"/>
      <c r="C477" s="83"/>
      <c r="D477" s="83"/>
      <c r="E477" s="83"/>
      <c r="F477" s="83"/>
      <c r="G477" s="83"/>
      <c r="H477" s="83"/>
      <c r="I477" s="94"/>
      <c r="J477" s="83"/>
      <c r="K477" s="83"/>
      <c r="L477" s="94"/>
      <c r="M477" s="83"/>
      <c r="N477" s="94"/>
      <c r="O477" s="83"/>
      <c r="P477" s="492"/>
      <c r="Q477" s="83"/>
      <c r="R477" s="83"/>
      <c r="S477" s="83"/>
      <c r="T477" s="83"/>
      <c r="U477" s="83"/>
      <c r="V477" s="83"/>
      <c r="W477" s="94"/>
      <c r="X477" s="94"/>
      <c r="Y477" s="94"/>
      <c r="Z477" s="83"/>
      <c r="AA477" s="83"/>
      <c r="AB477" s="83"/>
      <c r="AC477" s="83"/>
      <c r="AD477" s="83"/>
      <c r="AE477" s="83"/>
      <c r="AF477" s="83"/>
      <c r="AG477" s="83"/>
      <c r="AH477" s="83"/>
      <c r="AI477" s="83"/>
      <c r="AJ477" s="83"/>
      <c r="AK477" s="83"/>
      <c r="AL477" s="83"/>
      <c r="AM477" s="83"/>
      <c r="AN477" s="83"/>
      <c r="AO477" s="83"/>
      <c r="AP477" s="94"/>
      <c r="AQ477" s="94"/>
    </row>
    <row r="478" ht="15.75" customHeight="1">
      <c r="A478" s="83"/>
      <c r="B478" s="83"/>
      <c r="C478" s="83"/>
      <c r="D478" s="83"/>
      <c r="E478" s="83"/>
      <c r="F478" s="83"/>
      <c r="G478" s="83"/>
      <c r="H478" s="83"/>
      <c r="I478" s="94"/>
      <c r="J478" s="83"/>
      <c r="K478" s="83"/>
      <c r="L478" s="94"/>
      <c r="M478" s="83"/>
      <c r="N478" s="94"/>
      <c r="O478" s="83"/>
      <c r="P478" s="492"/>
      <c r="Q478" s="83"/>
      <c r="R478" s="83"/>
      <c r="S478" s="83"/>
      <c r="T478" s="83"/>
      <c r="U478" s="83"/>
      <c r="V478" s="83"/>
      <c r="W478" s="94"/>
      <c r="X478" s="94"/>
      <c r="Y478" s="94"/>
      <c r="Z478" s="83"/>
      <c r="AA478" s="83"/>
      <c r="AB478" s="83"/>
      <c r="AC478" s="83"/>
      <c r="AD478" s="83"/>
      <c r="AE478" s="83"/>
      <c r="AF478" s="83"/>
      <c r="AG478" s="83"/>
      <c r="AH478" s="83"/>
      <c r="AI478" s="83"/>
      <c r="AJ478" s="83"/>
      <c r="AK478" s="83"/>
      <c r="AL478" s="83"/>
      <c r="AM478" s="83"/>
      <c r="AN478" s="83"/>
      <c r="AO478" s="83"/>
      <c r="AP478" s="94"/>
      <c r="AQ478" s="94"/>
    </row>
    <row r="479" ht="15.75" customHeight="1">
      <c r="A479" s="83"/>
      <c r="B479" s="83"/>
      <c r="C479" s="83"/>
      <c r="D479" s="83"/>
      <c r="E479" s="83"/>
      <c r="F479" s="83"/>
      <c r="G479" s="83"/>
      <c r="H479" s="83"/>
      <c r="I479" s="94"/>
      <c r="J479" s="83"/>
      <c r="K479" s="83"/>
      <c r="L479" s="94"/>
      <c r="M479" s="83"/>
      <c r="N479" s="94"/>
      <c r="O479" s="83"/>
      <c r="P479" s="492"/>
      <c r="Q479" s="83"/>
      <c r="R479" s="83"/>
      <c r="S479" s="83"/>
      <c r="T479" s="83"/>
      <c r="U479" s="83"/>
      <c r="V479" s="83"/>
      <c r="W479" s="94"/>
      <c r="X479" s="94"/>
      <c r="Y479" s="94"/>
      <c r="Z479" s="83"/>
      <c r="AA479" s="83"/>
      <c r="AB479" s="83"/>
      <c r="AC479" s="83"/>
      <c r="AD479" s="83"/>
      <c r="AE479" s="83"/>
      <c r="AF479" s="83"/>
      <c r="AG479" s="83"/>
      <c r="AH479" s="83"/>
      <c r="AI479" s="83"/>
      <c r="AJ479" s="83"/>
      <c r="AK479" s="83"/>
      <c r="AL479" s="83"/>
      <c r="AM479" s="83"/>
      <c r="AN479" s="83"/>
      <c r="AO479" s="83"/>
      <c r="AP479" s="94"/>
      <c r="AQ479" s="94"/>
    </row>
    <row r="480" ht="15.75" customHeight="1">
      <c r="A480" s="83"/>
      <c r="B480" s="83"/>
      <c r="C480" s="83"/>
      <c r="D480" s="83"/>
      <c r="E480" s="83"/>
      <c r="F480" s="83"/>
      <c r="G480" s="83"/>
      <c r="H480" s="83"/>
      <c r="I480" s="94"/>
      <c r="J480" s="83"/>
      <c r="K480" s="83"/>
      <c r="L480" s="94"/>
      <c r="M480" s="83"/>
      <c r="N480" s="94"/>
      <c r="O480" s="83"/>
      <c r="P480" s="492"/>
      <c r="Q480" s="83"/>
      <c r="R480" s="83"/>
      <c r="S480" s="83"/>
      <c r="T480" s="83"/>
      <c r="U480" s="83"/>
      <c r="V480" s="83"/>
      <c r="W480" s="94"/>
      <c r="X480" s="94"/>
      <c r="Y480" s="94"/>
      <c r="Z480" s="83"/>
      <c r="AA480" s="83"/>
      <c r="AB480" s="83"/>
      <c r="AC480" s="83"/>
      <c r="AD480" s="83"/>
      <c r="AE480" s="83"/>
      <c r="AF480" s="83"/>
      <c r="AG480" s="83"/>
      <c r="AH480" s="83"/>
      <c r="AI480" s="83"/>
      <c r="AJ480" s="83"/>
      <c r="AK480" s="83"/>
      <c r="AL480" s="83"/>
      <c r="AM480" s="83"/>
      <c r="AN480" s="83"/>
      <c r="AO480" s="83"/>
      <c r="AP480" s="94"/>
      <c r="AQ480" s="94"/>
    </row>
    <row r="481" ht="15.75" customHeight="1">
      <c r="A481" s="83"/>
      <c r="B481" s="83"/>
      <c r="C481" s="83"/>
      <c r="D481" s="83"/>
      <c r="E481" s="83"/>
      <c r="F481" s="83"/>
      <c r="G481" s="83"/>
      <c r="H481" s="83"/>
      <c r="I481" s="94"/>
      <c r="J481" s="83"/>
      <c r="K481" s="83"/>
      <c r="L481" s="94"/>
      <c r="M481" s="83"/>
      <c r="N481" s="94"/>
      <c r="O481" s="83"/>
      <c r="P481" s="492"/>
      <c r="Q481" s="83"/>
      <c r="R481" s="83"/>
      <c r="S481" s="83"/>
      <c r="T481" s="83"/>
      <c r="U481" s="83"/>
      <c r="V481" s="83"/>
      <c r="W481" s="94"/>
      <c r="X481" s="94"/>
      <c r="Y481" s="94"/>
      <c r="Z481" s="83"/>
      <c r="AA481" s="83"/>
      <c r="AB481" s="83"/>
      <c r="AC481" s="83"/>
      <c r="AD481" s="83"/>
      <c r="AE481" s="83"/>
      <c r="AF481" s="83"/>
      <c r="AG481" s="83"/>
      <c r="AH481" s="83"/>
      <c r="AI481" s="83"/>
      <c r="AJ481" s="83"/>
      <c r="AK481" s="83"/>
      <c r="AL481" s="83"/>
      <c r="AM481" s="83"/>
      <c r="AN481" s="83"/>
      <c r="AO481" s="83"/>
      <c r="AP481" s="94"/>
      <c r="AQ481" s="94"/>
    </row>
    <row r="482" ht="15.75" customHeight="1">
      <c r="A482" s="83"/>
      <c r="B482" s="83"/>
      <c r="C482" s="83"/>
      <c r="D482" s="83"/>
      <c r="E482" s="83"/>
      <c r="F482" s="83"/>
      <c r="G482" s="83"/>
      <c r="H482" s="83"/>
      <c r="I482" s="94"/>
      <c r="J482" s="83"/>
      <c r="K482" s="83"/>
      <c r="L482" s="94"/>
      <c r="M482" s="83"/>
      <c r="N482" s="94"/>
      <c r="O482" s="83"/>
      <c r="P482" s="492"/>
      <c r="Q482" s="83"/>
      <c r="R482" s="83"/>
      <c r="S482" s="83"/>
      <c r="T482" s="83"/>
      <c r="U482" s="83"/>
      <c r="V482" s="83"/>
      <c r="W482" s="94"/>
      <c r="X482" s="94"/>
      <c r="Y482" s="94"/>
      <c r="Z482" s="83"/>
      <c r="AA482" s="83"/>
      <c r="AB482" s="83"/>
      <c r="AC482" s="83"/>
      <c r="AD482" s="83"/>
      <c r="AE482" s="83"/>
      <c r="AF482" s="83"/>
      <c r="AG482" s="83"/>
      <c r="AH482" s="83"/>
      <c r="AI482" s="83"/>
      <c r="AJ482" s="83"/>
      <c r="AK482" s="83"/>
      <c r="AL482" s="83"/>
      <c r="AM482" s="83"/>
      <c r="AN482" s="83"/>
      <c r="AO482" s="83"/>
      <c r="AP482" s="94"/>
      <c r="AQ482" s="94"/>
    </row>
    <row r="483" ht="15.75" customHeight="1">
      <c r="A483" s="83"/>
      <c r="B483" s="83"/>
      <c r="C483" s="83"/>
      <c r="D483" s="83"/>
      <c r="E483" s="83"/>
      <c r="F483" s="83"/>
      <c r="G483" s="83"/>
      <c r="H483" s="83"/>
      <c r="I483" s="94"/>
      <c r="J483" s="83"/>
      <c r="K483" s="83"/>
      <c r="L483" s="94"/>
      <c r="M483" s="83"/>
      <c r="N483" s="94"/>
      <c r="O483" s="83"/>
      <c r="P483" s="492"/>
      <c r="Q483" s="83"/>
      <c r="R483" s="83"/>
      <c r="S483" s="83"/>
      <c r="T483" s="83"/>
      <c r="U483" s="83"/>
      <c r="V483" s="83"/>
      <c r="W483" s="94"/>
      <c r="X483" s="94"/>
      <c r="Y483" s="94"/>
      <c r="Z483" s="83"/>
      <c r="AA483" s="83"/>
      <c r="AB483" s="83"/>
      <c r="AC483" s="83"/>
      <c r="AD483" s="83"/>
      <c r="AE483" s="83"/>
      <c r="AF483" s="83"/>
      <c r="AG483" s="83"/>
      <c r="AH483" s="83"/>
      <c r="AI483" s="83"/>
      <c r="AJ483" s="83"/>
      <c r="AK483" s="83"/>
      <c r="AL483" s="83"/>
      <c r="AM483" s="83"/>
      <c r="AN483" s="83"/>
      <c r="AO483" s="83"/>
      <c r="AP483" s="94"/>
      <c r="AQ483" s="94"/>
    </row>
    <row r="484" ht="15.75" customHeight="1">
      <c r="A484" s="83"/>
      <c r="B484" s="83"/>
      <c r="C484" s="83"/>
      <c r="D484" s="83"/>
      <c r="E484" s="83"/>
      <c r="F484" s="83"/>
      <c r="G484" s="83"/>
      <c r="H484" s="83"/>
      <c r="I484" s="94"/>
      <c r="J484" s="83"/>
      <c r="K484" s="83"/>
      <c r="L484" s="94"/>
      <c r="M484" s="83"/>
      <c r="N484" s="94"/>
      <c r="O484" s="83"/>
      <c r="P484" s="492"/>
      <c r="Q484" s="83"/>
      <c r="R484" s="83"/>
      <c r="S484" s="83"/>
      <c r="T484" s="83"/>
      <c r="U484" s="83"/>
      <c r="V484" s="83"/>
      <c r="W484" s="94"/>
      <c r="X484" s="94"/>
      <c r="Y484" s="94"/>
      <c r="Z484" s="83"/>
      <c r="AA484" s="83"/>
      <c r="AB484" s="83"/>
      <c r="AC484" s="83"/>
      <c r="AD484" s="83"/>
      <c r="AE484" s="83"/>
      <c r="AF484" s="83"/>
      <c r="AG484" s="83"/>
      <c r="AH484" s="83"/>
      <c r="AI484" s="83"/>
      <c r="AJ484" s="83"/>
      <c r="AK484" s="83"/>
      <c r="AL484" s="83"/>
      <c r="AM484" s="83"/>
      <c r="AN484" s="83"/>
      <c r="AO484" s="83"/>
      <c r="AP484" s="94"/>
      <c r="AQ484" s="94"/>
    </row>
    <row r="485" ht="15.75" customHeight="1">
      <c r="A485" s="83"/>
      <c r="B485" s="83"/>
      <c r="C485" s="83"/>
      <c r="D485" s="83"/>
      <c r="E485" s="83"/>
      <c r="F485" s="83"/>
      <c r="G485" s="83"/>
      <c r="H485" s="83"/>
      <c r="I485" s="94"/>
      <c r="J485" s="83"/>
      <c r="K485" s="83"/>
      <c r="L485" s="94"/>
      <c r="M485" s="83"/>
      <c r="N485" s="94"/>
      <c r="O485" s="83"/>
      <c r="P485" s="492"/>
      <c r="Q485" s="83"/>
      <c r="R485" s="83"/>
      <c r="S485" s="83"/>
      <c r="T485" s="83"/>
      <c r="U485" s="83"/>
      <c r="V485" s="83"/>
      <c r="W485" s="94"/>
      <c r="X485" s="94"/>
      <c r="Y485" s="94"/>
      <c r="Z485" s="83"/>
      <c r="AA485" s="83"/>
      <c r="AB485" s="83"/>
      <c r="AC485" s="83"/>
      <c r="AD485" s="83"/>
      <c r="AE485" s="83"/>
      <c r="AF485" s="83"/>
      <c r="AG485" s="83"/>
      <c r="AH485" s="83"/>
      <c r="AI485" s="83"/>
      <c r="AJ485" s="83"/>
      <c r="AK485" s="83"/>
      <c r="AL485" s="83"/>
      <c r="AM485" s="83"/>
      <c r="AN485" s="83"/>
      <c r="AO485" s="83"/>
      <c r="AP485" s="94"/>
      <c r="AQ485" s="94"/>
    </row>
    <row r="486" ht="15.75" customHeight="1">
      <c r="A486" s="83"/>
      <c r="B486" s="83"/>
      <c r="C486" s="83"/>
      <c r="D486" s="83"/>
      <c r="E486" s="83"/>
      <c r="F486" s="83"/>
      <c r="G486" s="83"/>
      <c r="H486" s="83"/>
      <c r="I486" s="94"/>
      <c r="J486" s="83"/>
      <c r="K486" s="83"/>
      <c r="L486" s="94"/>
      <c r="M486" s="83"/>
      <c r="N486" s="94"/>
      <c r="O486" s="83"/>
      <c r="P486" s="492"/>
      <c r="Q486" s="83"/>
      <c r="R486" s="83"/>
      <c r="S486" s="83"/>
      <c r="T486" s="83"/>
      <c r="U486" s="83"/>
      <c r="V486" s="83"/>
      <c r="W486" s="94"/>
      <c r="X486" s="94"/>
      <c r="Y486" s="94"/>
      <c r="Z486" s="83"/>
      <c r="AA486" s="83"/>
      <c r="AB486" s="83"/>
      <c r="AC486" s="83"/>
      <c r="AD486" s="83"/>
      <c r="AE486" s="83"/>
      <c r="AF486" s="83"/>
      <c r="AG486" s="83"/>
      <c r="AH486" s="83"/>
      <c r="AI486" s="83"/>
      <c r="AJ486" s="83"/>
      <c r="AK486" s="83"/>
      <c r="AL486" s="83"/>
      <c r="AM486" s="83"/>
      <c r="AN486" s="83"/>
      <c r="AO486" s="83"/>
      <c r="AP486" s="94"/>
      <c r="AQ486" s="94"/>
    </row>
    <row r="487" ht="15.75" customHeight="1">
      <c r="A487" s="83"/>
      <c r="B487" s="83"/>
      <c r="C487" s="83"/>
      <c r="D487" s="83"/>
      <c r="E487" s="83"/>
      <c r="F487" s="83"/>
      <c r="G487" s="83"/>
      <c r="H487" s="83"/>
      <c r="I487" s="94"/>
      <c r="J487" s="83"/>
      <c r="K487" s="83"/>
      <c r="L487" s="94"/>
      <c r="M487" s="83"/>
      <c r="N487" s="94"/>
      <c r="O487" s="83"/>
      <c r="P487" s="492"/>
      <c r="Q487" s="83"/>
      <c r="R487" s="83"/>
      <c r="S487" s="83"/>
      <c r="T487" s="83"/>
      <c r="U487" s="83"/>
      <c r="V487" s="83"/>
      <c r="W487" s="94"/>
      <c r="X487" s="94"/>
      <c r="Y487" s="94"/>
      <c r="Z487" s="83"/>
      <c r="AA487" s="83"/>
      <c r="AB487" s="83"/>
      <c r="AC487" s="83"/>
      <c r="AD487" s="83"/>
      <c r="AE487" s="83"/>
      <c r="AF487" s="83"/>
      <c r="AG487" s="83"/>
      <c r="AH487" s="83"/>
      <c r="AI487" s="83"/>
      <c r="AJ487" s="83"/>
      <c r="AK487" s="83"/>
      <c r="AL487" s="83"/>
      <c r="AM487" s="83"/>
      <c r="AN487" s="83"/>
      <c r="AO487" s="83"/>
      <c r="AP487" s="94"/>
      <c r="AQ487" s="94"/>
    </row>
    <row r="488" ht="15.75" customHeight="1">
      <c r="A488" s="83"/>
      <c r="B488" s="83"/>
      <c r="C488" s="83"/>
      <c r="D488" s="83"/>
      <c r="E488" s="83"/>
      <c r="F488" s="83"/>
      <c r="G488" s="83"/>
      <c r="H488" s="83"/>
      <c r="I488" s="94"/>
      <c r="J488" s="83"/>
      <c r="K488" s="83"/>
      <c r="L488" s="94"/>
      <c r="M488" s="83"/>
      <c r="N488" s="94"/>
      <c r="O488" s="83"/>
      <c r="P488" s="492"/>
      <c r="Q488" s="83"/>
      <c r="R488" s="83"/>
      <c r="S488" s="83"/>
      <c r="T488" s="83"/>
      <c r="U488" s="83"/>
      <c r="V488" s="83"/>
      <c r="W488" s="94"/>
      <c r="X488" s="94"/>
      <c r="Y488" s="94"/>
      <c r="Z488" s="83"/>
      <c r="AA488" s="83"/>
      <c r="AB488" s="83"/>
      <c r="AC488" s="83"/>
      <c r="AD488" s="83"/>
      <c r="AE488" s="83"/>
      <c r="AF488" s="83"/>
      <c r="AG488" s="83"/>
      <c r="AH488" s="83"/>
      <c r="AI488" s="83"/>
      <c r="AJ488" s="83"/>
      <c r="AK488" s="83"/>
      <c r="AL488" s="83"/>
      <c r="AM488" s="83"/>
      <c r="AN488" s="83"/>
      <c r="AO488" s="83"/>
      <c r="AP488" s="94"/>
      <c r="AQ488" s="94"/>
    </row>
    <row r="489" ht="15.75" customHeight="1">
      <c r="A489" s="83"/>
      <c r="B489" s="83"/>
      <c r="C489" s="83"/>
      <c r="D489" s="83"/>
      <c r="E489" s="83"/>
      <c r="F489" s="83"/>
      <c r="G489" s="83"/>
      <c r="H489" s="83"/>
      <c r="I489" s="94"/>
      <c r="J489" s="83"/>
      <c r="K489" s="83"/>
      <c r="L489" s="94"/>
      <c r="M489" s="83"/>
      <c r="N489" s="94"/>
      <c r="O489" s="83"/>
      <c r="P489" s="492"/>
      <c r="Q489" s="83"/>
      <c r="R489" s="83"/>
      <c r="S489" s="83"/>
      <c r="T489" s="83"/>
      <c r="U489" s="83"/>
      <c r="V489" s="83"/>
      <c r="W489" s="94"/>
      <c r="X489" s="94"/>
      <c r="Y489" s="94"/>
      <c r="Z489" s="83"/>
      <c r="AA489" s="83"/>
      <c r="AB489" s="83"/>
      <c r="AC489" s="83"/>
      <c r="AD489" s="83"/>
      <c r="AE489" s="83"/>
      <c r="AF489" s="83"/>
      <c r="AG489" s="83"/>
      <c r="AH489" s="83"/>
      <c r="AI489" s="83"/>
      <c r="AJ489" s="83"/>
      <c r="AK489" s="83"/>
      <c r="AL489" s="83"/>
      <c r="AM489" s="83"/>
      <c r="AN489" s="83"/>
      <c r="AO489" s="83"/>
      <c r="AP489" s="94"/>
      <c r="AQ489" s="94"/>
    </row>
    <row r="490" ht="15.75" customHeight="1">
      <c r="A490" s="83"/>
      <c r="B490" s="83"/>
      <c r="C490" s="83"/>
      <c r="D490" s="83"/>
      <c r="E490" s="83"/>
      <c r="F490" s="83"/>
      <c r="G490" s="83"/>
      <c r="H490" s="83"/>
      <c r="I490" s="94"/>
      <c r="J490" s="83"/>
      <c r="K490" s="83"/>
      <c r="L490" s="94"/>
      <c r="M490" s="83"/>
      <c r="N490" s="94"/>
      <c r="O490" s="83"/>
      <c r="P490" s="492"/>
      <c r="Q490" s="83"/>
      <c r="R490" s="83"/>
      <c r="S490" s="83"/>
      <c r="T490" s="83"/>
      <c r="U490" s="83"/>
      <c r="V490" s="83"/>
      <c r="W490" s="94"/>
      <c r="X490" s="94"/>
      <c r="Y490" s="94"/>
      <c r="Z490" s="83"/>
      <c r="AA490" s="83"/>
      <c r="AB490" s="83"/>
      <c r="AC490" s="83"/>
      <c r="AD490" s="83"/>
      <c r="AE490" s="83"/>
      <c r="AF490" s="83"/>
      <c r="AG490" s="83"/>
      <c r="AH490" s="83"/>
      <c r="AI490" s="83"/>
      <c r="AJ490" s="83"/>
      <c r="AK490" s="83"/>
      <c r="AL490" s="83"/>
      <c r="AM490" s="83"/>
      <c r="AN490" s="83"/>
      <c r="AO490" s="83"/>
      <c r="AP490" s="94"/>
      <c r="AQ490" s="94"/>
    </row>
    <row r="491" ht="15.75" customHeight="1">
      <c r="A491" s="83"/>
      <c r="B491" s="83"/>
      <c r="C491" s="83"/>
      <c r="D491" s="83"/>
      <c r="E491" s="83"/>
      <c r="F491" s="83"/>
      <c r="G491" s="83"/>
      <c r="H491" s="83"/>
      <c r="I491" s="94"/>
      <c r="J491" s="83"/>
      <c r="K491" s="83"/>
      <c r="L491" s="94"/>
      <c r="M491" s="83"/>
      <c r="N491" s="94"/>
      <c r="O491" s="83"/>
      <c r="P491" s="492"/>
      <c r="Q491" s="83"/>
      <c r="R491" s="83"/>
      <c r="S491" s="83"/>
      <c r="T491" s="83"/>
      <c r="U491" s="83"/>
      <c r="V491" s="83"/>
      <c r="W491" s="94"/>
      <c r="X491" s="94"/>
      <c r="Y491" s="94"/>
      <c r="Z491" s="83"/>
      <c r="AA491" s="83"/>
      <c r="AB491" s="83"/>
      <c r="AC491" s="83"/>
      <c r="AD491" s="83"/>
      <c r="AE491" s="83"/>
      <c r="AF491" s="83"/>
      <c r="AG491" s="83"/>
      <c r="AH491" s="83"/>
      <c r="AI491" s="83"/>
      <c r="AJ491" s="83"/>
      <c r="AK491" s="83"/>
      <c r="AL491" s="83"/>
      <c r="AM491" s="83"/>
      <c r="AN491" s="83"/>
      <c r="AO491" s="83"/>
      <c r="AP491" s="94"/>
      <c r="AQ491" s="94"/>
    </row>
    <row r="492" ht="15.75" customHeight="1">
      <c r="A492" s="83"/>
      <c r="B492" s="83"/>
      <c r="C492" s="83"/>
      <c r="D492" s="83"/>
      <c r="E492" s="83"/>
      <c r="F492" s="83"/>
      <c r="G492" s="83"/>
      <c r="H492" s="83"/>
      <c r="I492" s="94"/>
      <c r="J492" s="83"/>
      <c r="K492" s="83"/>
      <c r="L492" s="94"/>
      <c r="M492" s="83"/>
      <c r="N492" s="94"/>
      <c r="O492" s="83"/>
      <c r="P492" s="492"/>
      <c r="Q492" s="83"/>
      <c r="R492" s="83"/>
      <c r="S492" s="83"/>
      <c r="T492" s="83"/>
      <c r="U492" s="83"/>
      <c r="V492" s="83"/>
      <c r="W492" s="94"/>
      <c r="X492" s="94"/>
      <c r="Y492" s="94"/>
      <c r="Z492" s="83"/>
      <c r="AA492" s="83"/>
      <c r="AB492" s="83"/>
      <c r="AC492" s="83"/>
      <c r="AD492" s="83"/>
      <c r="AE492" s="83"/>
      <c r="AF492" s="83"/>
      <c r="AG492" s="83"/>
      <c r="AH492" s="83"/>
      <c r="AI492" s="83"/>
      <c r="AJ492" s="83"/>
      <c r="AK492" s="83"/>
      <c r="AL492" s="83"/>
      <c r="AM492" s="83"/>
      <c r="AN492" s="83"/>
      <c r="AO492" s="83"/>
      <c r="AP492" s="94"/>
      <c r="AQ492" s="94"/>
    </row>
    <row r="493" ht="15.75" customHeight="1">
      <c r="A493" s="83"/>
      <c r="B493" s="83"/>
      <c r="C493" s="83"/>
      <c r="D493" s="83"/>
      <c r="E493" s="83"/>
      <c r="F493" s="83"/>
      <c r="G493" s="83"/>
      <c r="H493" s="83"/>
      <c r="I493" s="94"/>
      <c r="J493" s="83"/>
      <c r="K493" s="83"/>
      <c r="L493" s="94"/>
      <c r="M493" s="83"/>
      <c r="N493" s="94"/>
      <c r="O493" s="83"/>
      <c r="P493" s="492"/>
      <c r="Q493" s="83"/>
      <c r="R493" s="83"/>
      <c r="S493" s="83"/>
      <c r="T493" s="83"/>
      <c r="U493" s="83"/>
      <c r="V493" s="83"/>
      <c r="W493" s="94"/>
      <c r="X493" s="94"/>
      <c r="Y493" s="94"/>
      <c r="Z493" s="83"/>
      <c r="AA493" s="83"/>
      <c r="AB493" s="83"/>
      <c r="AC493" s="83"/>
      <c r="AD493" s="83"/>
      <c r="AE493" s="83"/>
      <c r="AF493" s="83"/>
      <c r="AG493" s="83"/>
      <c r="AH493" s="83"/>
      <c r="AI493" s="83"/>
      <c r="AJ493" s="83"/>
      <c r="AK493" s="83"/>
      <c r="AL493" s="83"/>
      <c r="AM493" s="83"/>
      <c r="AN493" s="83"/>
      <c r="AO493" s="83"/>
      <c r="AP493" s="94"/>
      <c r="AQ493" s="94"/>
    </row>
    <row r="494" ht="15.75" customHeight="1">
      <c r="A494" s="83"/>
      <c r="B494" s="83"/>
      <c r="C494" s="83"/>
      <c r="D494" s="83"/>
      <c r="E494" s="83"/>
      <c r="F494" s="83"/>
      <c r="G494" s="83"/>
      <c r="H494" s="83"/>
      <c r="I494" s="94"/>
      <c r="J494" s="83"/>
      <c r="K494" s="83"/>
      <c r="L494" s="94"/>
      <c r="M494" s="83"/>
      <c r="N494" s="94"/>
      <c r="O494" s="83"/>
      <c r="P494" s="492"/>
      <c r="Q494" s="83"/>
      <c r="R494" s="83"/>
      <c r="S494" s="83"/>
      <c r="T494" s="83"/>
      <c r="U494" s="83"/>
      <c r="V494" s="83"/>
      <c r="W494" s="94"/>
      <c r="X494" s="94"/>
      <c r="Y494" s="94"/>
      <c r="Z494" s="83"/>
      <c r="AA494" s="83"/>
      <c r="AB494" s="83"/>
      <c r="AC494" s="83"/>
      <c r="AD494" s="83"/>
      <c r="AE494" s="83"/>
      <c r="AF494" s="83"/>
      <c r="AG494" s="83"/>
      <c r="AH494" s="83"/>
      <c r="AI494" s="83"/>
      <c r="AJ494" s="83"/>
      <c r="AK494" s="83"/>
      <c r="AL494" s="83"/>
      <c r="AM494" s="83"/>
      <c r="AN494" s="83"/>
      <c r="AO494" s="83"/>
      <c r="AP494" s="94"/>
      <c r="AQ494" s="94"/>
    </row>
    <row r="495" ht="15.75" customHeight="1">
      <c r="A495" s="83"/>
      <c r="B495" s="83"/>
      <c r="C495" s="83"/>
      <c r="D495" s="83"/>
      <c r="E495" s="83"/>
      <c r="F495" s="83"/>
      <c r="G495" s="83"/>
      <c r="H495" s="83"/>
      <c r="I495" s="94"/>
      <c r="J495" s="83"/>
      <c r="K495" s="83"/>
      <c r="L495" s="94"/>
      <c r="M495" s="83"/>
      <c r="N495" s="94"/>
      <c r="O495" s="83"/>
      <c r="P495" s="492"/>
      <c r="Q495" s="83"/>
      <c r="R495" s="83"/>
      <c r="S495" s="83"/>
      <c r="T495" s="83"/>
      <c r="U495" s="83"/>
      <c r="V495" s="83"/>
      <c r="W495" s="94"/>
      <c r="X495" s="94"/>
      <c r="Y495" s="94"/>
      <c r="Z495" s="83"/>
      <c r="AA495" s="83"/>
      <c r="AB495" s="83"/>
      <c r="AC495" s="83"/>
      <c r="AD495" s="83"/>
      <c r="AE495" s="83"/>
      <c r="AF495" s="83"/>
      <c r="AG495" s="83"/>
      <c r="AH495" s="83"/>
      <c r="AI495" s="83"/>
      <c r="AJ495" s="83"/>
      <c r="AK495" s="83"/>
      <c r="AL495" s="83"/>
      <c r="AM495" s="83"/>
      <c r="AN495" s="83"/>
      <c r="AO495" s="83"/>
      <c r="AP495" s="94"/>
      <c r="AQ495" s="94"/>
    </row>
    <row r="496" ht="15.75" customHeight="1">
      <c r="A496" s="83"/>
      <c r="B496" s="83"/>
      <c r="C496" s="83"/>
      <c r="D496" s="83"/>
      <c r="E496" s="83"/>
      <c r="F496" s="83"/>
      <c r="G496" s="83"/>
      <c r="H496" s="83"/>
      <c r="I496" s="94"/>
      <c r="J496" s="83"/>
      <c r="K496" s="83"/>
      <c r="L496" s="94"/>
      <c r="M496" s="83"/>
      <c r="N496" s="94"/>
      <c r="O496" s="83"/>
      <c r="P496" s="492"/>
      <c r="Q496" s="83"/>
      <c r="R496" s="83"/>
      <c r="S496" s="83"/>
      <c r="T496" s="83"/>
      <c r="U496" s="83"/>
      <c r="V496" s="83"/>
      <c r="W496" s="94"/>
      <c r="X496" s="94"/>
      <c r="Y496" s="94"/>
      <c r="Z496" s="83"/>
      <c r="AA496" s="83"/>
      <c r="AB496" s="83"/>
      <c r="AC496" s="83"/>
      <c r="AD496" s="83"/>
      <c r="AE496" s="83"/>
      <c r="AF496" s="83"/>
      <c r="AG496" s="83"/>
      <c r="AH496" s="83"/>
      <c r="AI496" s="83"/>
      <c r="AJ496" s="83"/>
      <c r="AK496" s="83"/>
      <c r="AL496" s="83"/>
      <c r="AM496" s="83"/>
      <c r="AN496" s="83"/>
      <c r="AO496" s="83"/>
      <c r="AP496" s="94"/>
      <c r="AQ496" s="94"/>
    </row>
    <row r="497" ht="15.75" customHeight="1">
      <c r="A497" s="83"/>
      <c r="B497" s="83"/>
      <c r="C497" s="83"/>
      <c r="D497" s="83"/>
      <c r="E497" s="83"/>
      <c r="F497" s="83"/>
      <c r="G497" s="83"/>
      <c r="H497" s="83"/>
      <c r="I497" s="94"/>
      <c r="J497" s="83"/>
      <c r="K497" s="83"/>
      <c r="L497" s="94"/>
      <c r="M497" s="83"/>
      <c r="N497" s="94"/>
      <c r="O497" s="83"/>
      <c r="P497" s="492"/>
      <c r="Q497" s="83"/>
      <c r="R497" s="83"/>
      <c r="S497" s="83"/>
      <c r="T497" s="83"/>
      <c r="U497" s="83"/>
      <c r="V497" s="83"/>
      <c r="W497" s="94"/>
      <c r="X497" s="94"/>
      <c r="Y497" s="94"/>
      <c r="Z497" s="83"/>
      <c r="AA497" s="83"/>
      <c r="AB497" s="83"/>
      <c r="AC497" s="83"/>
      <c r="AD497" s="83"/>
      <c r="AE497" s="83"/>
      <c r="AF497" s="83"/>
      <c r="AG497" s="83"/>
      <c r="AH497" s="83"/>
      <c r="AI497" s="83"/>
      <c r="AJ497" s="83"/>
      <c r="AK497" s="83"/>
      <c r="AL497" s="83"/>
      <c r="AM497" s="83"/>
      <c r="AN497" s="83"/>
      <c r="AO497" s="83"/>
      <c r="AP497" s="94"/>
      <c r="AQ497" s="94"/>
    </row>
    <row r="498" ht="15.75" customHeight="1">
      <c r="A498" s="83"/>
      <c r="B498" s="83"/>
      <c r="C498" s="83"/>
      <c r="D498" s="83"/>
      <c r="E498" s="83"/>
      <c r="F498" s="83"/>
      <c r="G498" s="83"/>
      <c r="H498" s="83"/>
      <c r="I498" s="94"/>
      <c r="J498" s="83"/>
      <c r="K498" s="83"/>
      <c r="L498" s="94"/>
      <c r="M498" s="83"/>
      <c r="N498" s="94"/>
      <c r="O498" s="83"/>
      <c r="P498" s="492"/>
      <c r="Q498" s="83"/>
      <c r="R498" s="83"/>
      <c r="S498" s="83"/>
      <c r="T498" s="83"/>
      <c r="U498" s="83"/>
      <c r="V498" s="83"/>
      <c r="W498" s="94"/>
      <c r="X498" s="94"/>
      <c r="Y498" s="94"/>
      <c r="Z498" s="83"/>
      <c r="AA498" s="83"/>
      <c r="AB498" s="83"/>
      <c r="AC498" s="83"/>
      <c r="AD498" s="83"/>
      <c r="AE498" s="83"/>
      <c r="AF498" s="83"/>
      <c r="AG498" s="83"/>
      <c r="AH498" s="83"/>
      <c r="AI498" s="83"/>
      <c r="AJ498" s="83"/>
      <c r="AK498" s="83"/>
      <c r="AL498" s="83"/>
      <c r="AM498" s="83"/>
      <c r="AN498" s="83"/>
      <c r="AO498" s="83"/>
      <c r="AP498" s="94"/>
      <c r="AQ498" s="94"/>
    </row>
    <row r="499" ht="15.75" customHeight="1">
      <c r="A499" s="83"/>
      <c r="B499" s="83"/>
      <c r="C499" s="83"/>
      <c r="D499" s="83"/>
      <c r="E499" s="83"/>
      <c r="F499" s="83"/>
      <c r="G499" s="83"/>
      <c r="H499" s="83"/>
      <c r="I499" s="94"/>
      <c r="J499" s="83"/>
      <c r="K499" s="83"/>
      <c r="L499" s="94"/>
      <c r="M499" s="83"/>
      <c r="N499" s="94"/>
      <c r="O499" s="83"/>
      <c r="P499" s="492"/>
      <c r="Q499" s="83"/>
      <c r="R499" s="83"/>
      <c r="S499" s="83"/>
      <c r="T499" s="83"/>
      <c r="U499" s="83"/>
      <c r="V499" s="83"/>
      <c r="W499" s="94"/>
      <c r="X499" s="94"/>
      <c r="Y499" s="94"/>
      <c r="Z499" s="83"/>
      <c r="AA499" s="83"/>
      <c r="AB499" s="83"/>
      <c r="AC499" s="83"/>
      <c r="AD499" s="83"/>
      <c r="AE499" s="83"/>
      <c r="AF499" s="83"/>
      <c r="AG499" s="83"/>
      <c r="AH499" s="83"/>
      <c r="AI499" s="83"/>
      <c r="AJ499" s="83"/>
      <c r="AK499" s="83"/>
      <c r="AL499" s="83"/>
      <c r="AM499" s="83"/>
      <c r="AN499" s="83"/>
      <c r="AO499" s="83"/>
      <c r="AP499" s="94"/>
      <c r="AQ499" s="94"/>
    </row>
    <row r="500" ht="15.75" customHeight="1">
      <c r="A500" s="83"/>
      <c r="B500" s="83"/>
      <c r="C500" s="83"/>
      <c r="D500" s="83"/>
      <c r="E500" s="83"/>
      <c r="F500" s="83"/>
      <c r="G500" s="83"/>
      <c r="H500" s="83"/>
      <c r="I500" s="94"/>
      <c r="J500" s="83"/>
      <c r="K500" s="83"/>
      <c r="L500" s="94"/>
      <c r="M500" s="83"/>
      <c r="N500" s="94"/>
      <c r="O500" s="83"/>
      <c r="P500" s="492"/>
      <c r="Q500" s="83"/>
      <c r="R500" s="83"/>
      <c r="S500" s="83"/>
      <c r="T500" s="83"/>
      <c r="U500" s="83"/>
      <c r="V500" s="83"/>
      <c r="W500" s="94"/>
      <c r="X500" s="94"/>
      <c r="Y500" s="94"/>
      <c r="Z500" s="83"/>
      <c r="AA500" s="83"/>
      <c r="AB500" s="83"/>
      <c r="AC500" s="83"/>
      <c r="AD500" s="83"/>
      <c r="AE500" s="83"/>
      <c r="AF500" s="83"/>
      <c r="AG500" s="83"/>
      <c r="AH500" s="83"/>
      <c r="AI500" s="83"/>
      <c r="AJ500" s="83"/>
      <c r="AK500" s="83"/>
      <c r="AL500" s="83"/>
      <c r="AM500" s="83"/>
      <c r="AN500" s="83"/>
      <c r="AO500" s="83"/>
      <c r="AP500" s="94"/>
      <c r="AQ500" s="94"/>
    </row>
    <row r="501" ht="15.75" customHeight="1">
      <c r="A501" s="83"/>
      <c r="B501" s="83"/>
      <c r="C501" s="83"/>
      <c r="D501" s="83"/>
      <c r="E501" s="83"/>
      <c r="F501" s="83"/>
      <c r="G501" s="83"/>
      <c r="H501" s="83"/>
      <c r="I501" s="94"/>
      <c r="J501" s="83"/>
      <c r="K501" s="83"/>
      <c r="L501" s="94"/>
      <c r="M501" s="83"/>
      <c r="N501" s="94"/>
      <c r="O501" s="83"/>
      <c r="P501" s="492"/>
      <c r="Q501" s="83"/>
      <c r="R501" s="83"/>
      <c r="S501" s="83"/>
      <c r="T501" s="83"/>
      <c r="U501" s="83"/>
      <c r="V501" s="83"/>
      <c r="W501" s="94"/>
      <c r="X501" s="94"/>
      <c r="Y501" s="94"/>
      <c r="Z501" s="83"/>
      <c r="AA501" s="83"/>
      <c r="AB501" s="83"/>
      <c r="AC501" s="83"/>
      <c r="AD501" s="83"/>
      <c r="AE501" s="83"/>
      <c r="AF501" s="83"/>
      <c r="AG501" s="83"/>
      <c r="AH501" s="83"/>
      <c r="AI501" s="83"/>
      <c r="AJ501" s="83"/>
      <c r="AK501" s="83"/>
      <c r="AL501" s="83"/>
      <c r="AM501" s="83"/>
      <c r="AN501" s="83"/>
      <c r="AO501" s="83"/>
      <c r="AP501" s="94"/>
      <c r="AQ501" s="94"/>
    </row>
    <row r="502" ht="15.75" customHeight="1">
      <c r="A502" s="83"/>
      <c r="B502" s="83"/>
      <c r="C502" s="83"/>
      <c r="D502" s="83"/>
      <c r="E502" s="83"/>
      <c r="F502" s="83"/>
      <c r="G502" s="83"/>
      <c r="H502" s="83"/>
      <c r="I502" s="94"/>
      <c r="J502" s="83"/>
      <c r="K502" s="83"/>
      <c r="L502" s="94"/>
      <c r="M502" s="83"/>
      <c r="N502" s="94"/>
      <c r="O502" s="83"/>
      <c r="P502" s="492"/>
      <c r="Q502" s="83"/>
      <c r="R502" s="83"/>
      <c r="S502" s="83"/>
      <c r="T502" s="83"/>
      <c r="U502" s="83"/>
      <c r="V502" s="83"/>
      <c r="W502" s="94"/>
      <c r="X502" s="94"/>
      <c r="Y502" s="94"/>
      <c r="Z502" s="83"/>
      <c r="AA502" s="83"/>
      <c r="AB502" s="83"/>
      <c r="AC502" s="83"/>
      <c r="AD502" s="83"/>
      <c r="AE502" s="83"/>
      <c r="AF502" s="83"/>
      <c r="AG502" s="83"/>
      <c r="AH502" s="83"/>
      <c r="AI502" s="83"/>
      <c r="AJ502" s="83"/>
      <c r="AK502" s="83"/>
      <c r="AL502" s="83"/>
      <c r="AM502" s="83"/>
      <c r="AN502" s="83"/>
      <c r="AO502" s="83"/>
      <c r="AP502" s="94"/>
      <c r="AQ502" s="94"/>
    </row>
    <row r="503" ht="15.75" customHeight="1">
      <c r="A503" s="83"/>
      <c r="B503" s="83"/>
      <c r="C503" s="83"/>
      <c r="D503" s="83"/>
      <c r="E503" s="83"/>
      <c r="F503" s="83"/>
      <c r="G503" s="83"/>
      <c r="H503" s="83"/>
      <c r="I503" s="94"/>
      <c r="J503" s="83"/>
      <c r="K503" s="83"/>
      <c r="L503" s="94"/>
      <c r="M503" s="83"/>
      <c r="N503" s="94"/>
      <c r="O503" s="83"/>
      <c r="P503" s="492"/>
      <c r="Q503" s="83"/>
      <c r="R503" s="83"/>
      <c r="S503" s="83"/>
      <c r="T503" s="83"/>
      <c r="U503" s="83"/>
      <c r="V503" s="83"/>
      <c r="W503" s="94"/>
      <c r="X503" s="94"/>
      <c r="Y503" s="94"/>
      <c r="Z503" s="83"/>
      <c r="AA503" s="83"/>
      <c r="AB503" s="83"/>
      <c r="AC503" s="83"/>
      <c r="AD503" s="83"/>
      <c r="AE503" s="83"/>
      <c r="AF503" s="83"/>
      <c r="AG503" s="83"/>
      <c r="AH503" s="83"/>
      <c r="AI503" s="83"/>
      <c r="AJ503" s="83"/>
      <c r="AK503" s="83"/>
      <c r="AL503" s="83"/>
      <c r="AM503" s="83"/>
      <c r="AN503" s="83"/>
      <c r="AO503" s="83"/>
      <c r="AP503" s="94"/>
      <c r="AQ503" s="94"/>
    </row>
    <row r="504" ht="15.75" customHeight="1">
      <c r="A504" s="83"/>
      <c r="B504" s="83"/>
      <c r="C504" s="83"/>
      <c r="D504" s="83"/>
      <c r="E504" s="83"/>
      <c r="F504" s="83"/>
      <c r="G504" s="83"/>
      <c r="H504" s="83"/>
      <c r="I504" s="94"/>
      <c r="J504" s="83"/>
      <c r="K504" s="83"/>
      <c r="L504" s="94"/>
      <c r="M504" s="83"/>
      <c r="N504" s="94"/>
      <c r="O504" s="83"/>
      <c r="P504" s="492"/>
      <c r="Q504" s="83"/>
      <c r="R504" s="83"/>
      <c r="S504" s="83"/>
      <c r="T504" s="83"/>
      <c r="U504" s="83"/>
      <c r="V504" s="83"/>
      <c r="W504" s="94"/>
      <c r="X504" s="94"/>
      <c r="Y504" s="94"/>
      <c r="Z504" s="83"/>
      <c r="AA504" s="83"/>
      <c r="AB504" s="83"/>
      <c r="AC504" s="83"/>
      <c r="AD504" s="83"/>
      <c r="AE504" s="83"/>
      <c r="AF504" s="83"/>
      <c r="AG504" s="83"/>
      <c r="AH504" s="83"/>
      <c r="AI504" s="83"/>
      <c r="AJ504" s="83"/>
      <c r="AK504" s="83"/>
      <c r="AL504" s="83"/>
      <c r="AM504" s="83"/>
      <c r="AN504" s="83"/>
      <c r="AO504" s="83"/>
      <c r="AP504" s="94"/>
      <c r="AQ504" s="94"/>
    </row>
    <row r="505" ht="15.75" customHeight="1">
      <c r="A505" s="83"/>
      <c r="B505" s="83"/>
      <c r="C505" s="83"/>
      <c r="D505" s="83"/>
      <c r="E505" s="83"/>
      <c r="F505" s="83"/>
      <c r="G505" s="83"/>
      <c r="H505" s="83"/>
      <c r="I505" s="94"/>
      <c r="J505" s="83"/>
      <c r="K505" s="83"/>
      <c r="L505" s="94"/>
      <c r="M505" s="83"/>
      <c r="N505" s="94"/>
      <c r="O505" s="83"/>
      <c r="P505" s="492"/>
      <c r="Q505" s="83"/>
      <c r="R505" s="83"/>
      <c r="S505" s="83"/>
      <c r="T505" s="83"/>
      <c r="U505" s="83"/>
      <c r="V505" s="83"/>
      <c r="W505" s="94"/>
      <c r="X505" s="94"/>
      <c r="Y505" s="94"/>
      <c r="Z505" s="83"/>
      <c r="AA505" s="83"/>
      <c r="AB505" s="83"/>
      <c r="AC505" s="83"/>
      <c r="AD505" s="83"/>
      <c r="AE505" s="83"/>
      <c r="AF505" s="83"/>
      <c r="AG505" s="83"/>
      <c r="AH505" s="83"/>
      <c r="AI505" s="83"/>
      <c r="AJ505" s="83"/>
      <c r="AK505" s="83"/>
      <c r="AL505" s="83"/>
      <c r="AM505" s="83"/>
      <c r="AN505" s="83"/>
      <c r="AO505" s="83"/>
      <c r="AP505" s="94"/>
      <c r="AQ505" s="94"/>
    </row>
    <row r="506" ht="15.75" customHeight="1">
      <c r="A506" s="83"/>
      <c r="B506" s="83"/>
      <c r="C506" s="83"/>
      <c r="D506" s="83"/>
      <c r="E506" s="83"/>
      <c r="F506" s="83"/>
      <c r="G506" s="83"/>
      <c r="H506" s="83"/>
      <c r="I506" s="94"/>
      <c r="J506" s="83"/>
      <c r="K506" s="83"/>
      <c r="L506" s="94"/>
      <c r="M506" s="83"/>
      <c r="N506" s="94"/>
      <c r="O506" s="83"/>
      <c r="P506" s="492"/>
      <c r="Q506" s="83"/>
      <c r="R506" s="83"/>
      <c r="S506" s="83"/>
      <c r="T506" s="83"/>
      <c r="U506" s="83"/>
      <c r="V506" s="83"/>
      <c r="W506" s="94"/>
      <c r="X506" s="94"/>
      <c r="Y506" s="94"/>
      <c r="Z506" s="83"/>
      <c r="AA506" s="83"/>
      <c r="AB506" s="83"/>
      <c r="AC506" s="83"/>
      <c r="AD506" s="83"/>
      <c r="AE506" s="83"/>
      <c r="AF506" s="83"/>
      <c r="AG506" s="83"/>
      <c r="AH506" s="83"/>
      <c r="AI506" s="83"/>
      <c r="AJ506" s="83"/>
      <c r="AK506" s="83"/>
      <c r="AL506" s="83"/>
      <c r="AM506" s="83"/>
      <c r="AN506" s="83"/>
      <c r="AO506" s="83"/>
      <c r="AP506" s="94"/>
      <c r="AQ506" s="94"/>
    </row>
    <row r="507" ht="15.75" customHeight="1">
      <c r="A507" s="83"/>
      <c r="B507" s="83"/>
      <c r="C507" s="83"/>
      <c r="D507" s="83"/>
      <c r="E507" s="83"/>
      <c r="F507" s="83"/>
      <c r="G507" s="83"/>
      <c r="H507" s="83"/>
      <c r="I507" s="94"/>
      <c r="J507" s="83"/>
      <c r="K507" s="83"/>
      <c r="L507" s="94"/>
      <c r="M507" s="83"/>
      <c r="N507" s="94"/>
      <c r="O507" s="83"/>
      <c r="P507" s="492"/>
      <c r="Q507" s="83"/>
      <c r="R507" s="83"/>
      <c r="S507" s="83"/>
      <c r="T507" s="83"/>
      <c r="U507" s="83"/>
      <c r="V507" s="83"/>
      <c r="W507" s="94"/>
      <c r="X507" s="94"/>
      <c r="Y507" s="94"/>
      <c r="Z507" s="83"/>
      <c r="AA507" s="83"/>
      <c r="AB507" s="83"/>
      <c r="AC507" s="83"/>
      <c r="AD507" s="83"/>
      <c r="AE507" s="83"/>
      <c r="AF507" s="83"/>
      <c r="AG507" s="83"/>
      <c r="AH507" s="83"/>
      <c r="AI507" s="83"/>
      <c r="AJ507" s="83"/>
      <c r="AK507" s="83"/>
      <c r="AL507" s="83"/>
      <c r="AM507" s="83"/>
      <c r="AN507" s="83"/>
      <c r="AO507" s="83"/>
      <c r="AP507" s="94"/>
      <c r="AQ507" s="94"/>
    </row>
    <row r="508" ht="15.75" customHeight="1">
      <c r="A508" s="83"/>
      <c r="B508" s="83"/>
      <c r="C508" s="83"/>
      <c r="D508" s="83"/>
      <c r="E508" s="83"/>
      <c r="F508" s="83"/>
      <c r="G508" s="83"/>
      <c r="H508" s="83"/>
      <c r="I508" s="94"/>
      <c r="J508" s="83"/>
      <c r="K508" s="83"/>
      <c r="L508" s="94"/>
      <c r="M508" s="83"/>
      <c r="N508" s="94"/>
      <c r="O508" s="83"/>
      <c r="P508" s="492"/>
      <c r="Q508" s="83"/>
      <c r="R508" s="83"/>
      <c r="S508" s="83"/>
      <c r="T508" s="83"/>
      <c r="U508" s="83"/>
      <c r="V508" s="83"/>
      <c r="W508" s="94"/>
      <c r="X508" s="94"/>
      <c r="Y508" s="94"/>
      <c r="Z508" s="83"/>
      <c r="AA508" s="83"/>
      <c r="AB508" s="83"/>
      <c r="AC508" s="83"/>
      <c r="AD508" s="83"/>
      <c r="AE508" s="83"/>
      <c r="AF508" s="83"/>
      <c r="AG508" s="83"/>
      <c r="AH508" s="83"/>
      <c r="AI508" s="83"/>
      <c r="AJ508" s="83"/>
      <c r="AK508" s="83"/>
      <c r="AL508" s="83"/>
      <c r="AM508" s="83"/>
      <c r="AN508" s="83"/>
      <c r="AO508" s="83"/>
      <c r="AP508" s="94"/>
      <c r="AQ508" s="94"/>
    </row>
    <row r="509" ht="15.75" customHeight="1">
      <c r="A509" s="83"/>
      <c r="B509" s="83"/>
      <c r="C509" s="83"/>
      <c r="D509" s="83"/>
      <c r="E509" s="83"/>
      <c r="F509" s="83"/>
      <c r="G509" s="83"/>
      <c r="H509" s="83"/>
      <c r="I509" s="94"/>
      <c r="J509" s="83"/>
      <c r="K509" s="83"/>
      <c r="L509" s="94"/>
      <c r="M509" s="83"/>
      <c r="N509" s="94"/>
      <c r="O509" s="83"/>
      <c r="P509" s="492"/>
      <c r="Q509" s="83"/>
      <c r="R509" s="83"/>
      <c r="S509" s="83"/>
      <c r="T509" s="83"/>
      <c r="U509" s="83"/>
      <c r="V509" s="83"/>
      <c r="W509" s="94"/>
      <c r="X509" s="94"/>
      <c r="Y509" s="94"/>
      <c r="Z509" s="83"/>
      <c r="AA509" s="83"/>
      <c r="AB509" s="83"/>
      <c r="AC509" s="83"/>
      <c r="AD509" s="83"/>
      <c r="AE509" s="83"/>
      <c r="AF509" s="83"/>
      <c r="AG509" s="83"/>
      <c r="AH509" s="83"/>
      <c r="AI509" s="83"/>
      <c r="AJ509" s="83"/>
      <c r="AK509" s="83"/>
      <c r="AL509" s="83"/>
      <c r="AM509" s="83"/>
      <c r="AN509" s="83"/>
      <c r="AO509" s="83"/>
      <c r="AP509" s="94"/>
      <c r="AQ509" s="94"/>
    </row>
    <row r="510" ht="15.75" customHeight="1">
      <c r="A510" s="83"/>
      <c r="B510" s="83"/>
      <c r="C510" s="83"/>
      <c r="D510" s="83"/>
      <c r="E510" s="83"/>
      <c r="F510" s="83"/>
      <c r="G510" s="83"/>
      <c r="H510" s="83"/>
      <c r="I510" s="94"/>
      <c r="J510" s="83"/>
      <c r="K510" s="83"/>
      <c r="L510" s="94"/>
      <c r="M510" s="83"/>
      <c r="N510" s="94"/>
      <c r="O510" s="83"/>
      <c r="P510" s="492"/>
      <c r="Q510" s="83"/>
      <c r="R510" s="83"/>
      <c r="S510" s="83"/>
      <c r="T510" s="83"/>
      <c r="U510" s="83"/>
      <c r="V510" s="83"/>
      <c r="W510" s="94"/>
      <c r="X510" s="94"/>
      <c r="Y510" s="94"/>
      <c r="Z510" s="83"/>
      <c r="AA510" s="83"/>
      <c r="AB510" s="83"/>
      <c r="AC510" s="83"/>
      <c r="AD510" s="83"/>
      <c r="AE510" s="83"/>
      <c r="AF510" s="83"/>
      <c r="AG510" s="83"/>
      <c r="AH510" s="83"/>
      <c r="AI510" s="83"/>
      <c r="AJ510" s="83"/>
      <c r="AK510" s="83"/>
      <c r="AL510" s="83"/>
      <c r="AM510" s="83"/>
      <c r="AN510" s="83"/>
      <c r="AO510" s="83"/>
      <c r="AP510" s="94"/>
      <c r="AQ510" s="94"/>
    </row>
    <row r="511" ht="15.75" customHeight="1">
      <c r="A511" s="83"/>
      <c r="B511" s="83"/>
      <c r="C511" s="83"/>
      <c r="D511" s="83"/>
      <c r="E511" s="83"/>
      <c r="F511" s="83"/>
      <c r="G511" s="83"/>
      <c r="H511" s="83"/>
      <c r="I511" s="94"/>
      <c r="J511" s="83"/>
      <c r="K511" s="83"/>
      <c r="L511" s="94"/>
      <c r="M511" s="83"/>
      <c r="N511" s="94"/>
      <c r="O511" s="83"/>
      <c r="P511" s="492"/>
      <c r="Q511" s="83"/>
      <c r="R511" s="83"/>
      <c r="S511" s="83"/>
      <c r="T511" s="83"/>
      <c r="U511" s="83"/>
      <c r="V511" s="83"/>
      <c r="W511" s="94"/>
      <c r="X511" s="94"/>
      <c r="Y511" s="94"/>
      <c r="Z511" s="83"/>
      <c r="AA511" s="83"/>
      <c r="AB511" s="83"/>
      <c r="AC511" s="83"/>
      <c r="AD511" s="83"/>
      <c r="AE511" s="83"/>
      <c r="AF511" s="83"/>
      <c r="AG511" s="83"/>
      <c r="AH511" s="83"/>
      <c r="AI511" s="83"/>
      <c r="AJ511" s="83"/>
      <c r="AK511" s="83"/>
      <c r="AL511" s="83"/>
      <c r="AM511" s="83"/>
      <c r="AN511" s="83"/>
      <c r="AO511" s="83"/>
      <c r="AP511" s="94"/>
      <c r="AQ511" s="94"/>
    </row>
    <row r="512" ht="15.75" customHeight="1">
      <c r="A512" s="83"/>
      <c r="B512" s="83"/>
      <c r="C512" s="83"/>
      <c r="D512" s="83"/>
      <c r="E512" s="83"/>
      <c r="F512" s="83"/>
      <c r="G512" s="83"/>
      <c r="H512" s="83"/>
      <c r="I512" s="94"/>
      <c r="J512" s="83"/>
      <c r="K512" s="83"/>
      <c r="L512" s="94"/>
      <c r="M512" s="83"/>
      <c r="N512" s="94"/>
      <c r="O512" s="83"/>
      <c r="P512" s="492"/>
      <c r="Q512" s="83"/>
      <c r="R512" s="83"/>
      <c r="S512" s="83"/>
      <c r="T512" s="83"/>
      <c r="U512" s="83"/>
      <c r="V512" s="83"/>
      <c r="W512" s="94"/>
      <c r="X512" s="94"/>
      <c r="Y512" s="94"/>
      <c r="Z512" s="83"/>
      <c r="AA512" s="83"/>
      <c r="AB512" s="83"/>
      <c r="AC512" s="83"/>
      <c r="AD512" s="83"/>
      <c r="AE512" s="83"/>
      <c r="AF512" s="83"/>
      <c r="AG512" s="83"/>
      <c r="AH512" s="83"/>
      <c r="AI512" s="83"/>
      <c r="AJ512" s="83"/>
      <c r="AK512" s="83"/>
      <c r="AL512" s="83"/>
      <c r="AM512" s="83"/>
      <c r="AN512" s="83"/>
      <c r="AO512" s="83"/>
      <c r="AP512" s="94"/>
      <c r="AQ512" s="94"/>
    </row>
    <row r="513" ht="15.75" customHeight="1">
      <c r="A513" s="83"/>
      <c r="B513" s="83"/>
      <c r="C513" s="83"/>
      <c r="D513" s="83"/>
      <c r="E513" s="83"/>
      <c r="F513" s="83"/>
      <c r="G513" s="83"/>
      <c r="H513" s="83"/>
      <c r="I513" s="94"/>
      <c r="J513" s="83"/>
      <c r="K513" s="83"/>
      <c r="L513" s="94"/>
      <c r="M513" s="83"/>
      <c r="N513" s="94"/>
      <c r="O513" s="83"/>
      <c r="P513" s="492"/>
      <c r="Q513" s="83"/>
      <c r="R513" s="83"/>
      <c r="S513" s="83"/>
      <c r="T513" s="83"/>
      <c r="U513" s="83"/>
      <c r="V513" s="83"/>
      <c r="W513" s="94"/>
      <c r="X513" s="94"/>
      <c r="Y513" s="94"/>
      <c r="Z513" s="83"/>
      <c r="AA513" s="83"/>
      <c r="AB513" s="83"/>
      <c r="AC513" s="83"/>
      <c r="AD513" s="83"/>
      <c r="AE513" s="83"/>
      <c r="AF513" s="83"/>
      <c r="AG513" s="83"/>
      <c r="AH513" s="83"/>
      <c r="AI513" s="83"/>
      <c r="AJ513" s="83"/>
      <c r="AK513" s="83"/>
      <c r="AL513" s="83"/>
      <c r="AM513" s="83"/>
      <c r="AN513" s="83"/>
      <c r="AO513" s="83"/>
      <c r="AP513" s="94"/>
      <c r="AQ513" s="94"/>
    </row>
    <row r="514" ht="15.75" customHeight="1">
      <c r="A514" s="83"/>
      <c r="B514" s="83"/>
      <c r="C514" s="83"/>
      <c r="D514" s="83"/>
      <c r="E514" s="83"/>
      <c r="F514" s="83"/>
      <c r="G514" s="83"/>
      <c r="H514" s="83"/>
      <c r="I514" s="94"/>
      <c r="J514" s="83"/>
      <c r="K514" s="83"/>
      <c r="L514" s="94"/>
      <c r="M514" s="83"/>
      <c r="N514" s="94"/>
      <c r="O514" s="83"/>
      <c r="P514" s="492"/>
      <c r="Q514" s="83"/>
      <c r="R514" s="83"/>
      <c r="S514" s="83"/>
      <c r="T514" s="83"/>
      <c r="U514" s="83"/>
      <c r="V514" s="83"/>
      <c r="W514" s="94"/>
      <c r="X514" s="94"/>
      <c r="Y514" s="94"/>
      <c r="Z514" s="83"/>
      <c r="AA514" s="83"/>
      <c r="AB514" s="83"/>
      <c r="AC514" s="83"/>
      <c r="AD514" s="83"/>
      <c r="AE514" s="83"/>
      <c r="AF514" s="83"/>
      <c r="AG514" s="83"/>
      <c r="AH514" s="83"/>
      <c r="AI514" s="83"/>
      <c r="AJ514" s="83"/>
      <c r="AK514" s="83"/>
      <c r="AL514" s="83"/>
      <c r="AM514" s="83"/>
      <c r="AN514" s="83"/>
      <c r="AO514" s="83"/>
      <c r="AP514" s="94"/>
      <c r="AQ514" s="94"/>
    </row>
    <row r="515" ht="15.75" customHeight="1">
      <c r="A515" s="83"/>
      <c r="B515" s="83"/>
      <c r="C515" s="83"/>
      <c r="D515" s="83"/>
      <c r="E515" s="83"/>
      <c r="F515" s="83"/>
      <c r="G515" s="83"/>
      <c r="H515" s="83"/>
      <c r="I515" s="94"/>
      <c r="J515" s="83"/>
      <c r="K515" s="83"/>
      <c r="L515" s="94"/>
      <c r="M515" s="83"/>
      <c r="N515" s="94"/>
      <c r="O515" s="83"/>
      <c r="P515" s="492"/>
      <c r="Q515" s="83"/>
      <c r="R515" s="83"/>
      <c r="S515" s="83"/>
      <c r="T515" s="83"/>
      <c r="U515" s="83"/>
      <c r="V515" s="83"/>
      <c r="W515" s="94"/>
      <c r="X515" s="94"/>
      <c r="Y515" s="94"/>
      <c r="Z515" s="83"/>
      <c r="AA515" s="83"/>
      <c r="AB515" s="83"/>
      <c r="AC515" s="83"/>
      <c r="AD515" s="83"/>
      <c r="AE515" s="83"/>
      <c r="AF515" s="83"/>
      <c r="AG515" s="83"/>
      <c r="AH515" s="83"/>
      <c r="AI515" s="83"/>
      <c r="AJ515" s="83"/>
      <c r="AK515" s="83"/>
      <c r="AL515" s="83"/>
      <c r="AM515" s="83"/>
      <c r="AN515" s="83"/>
      <c r="AO515" s="83"/>
      <c r="AP515" s="94"/>
      <c r="AQ515" s="94"/>
    </row>
    <row r="516" ht="15.75" customHeight="1">
      <c r="A516" s="83"/>
      <c r="B516" s="83"/>
      <c r="C516" s="83"/>
      <c r="D516" s="83"/>
      <c r="E516" s="83"/>
      <c r="F516" s="83"/>
      <c r="G516" s="83"/>
      <c r="H516" s="83"/>
      <c r="I516" s="94"/>
      <c r="J516" s="83"/>
      <c r="K516" s="83"/>
      <c r="L516" s="94"/>
      <c r="M516" s="83"/>
      <c r="N516" s="94"/>
      <c r="O516" s="83"/>
      <c r="P516" s="492"/>
      <c r="Q516" s="83"/>
      <c r="R516" s="83"/>
      <c r="S516" s="83"/>
      <c r="T516" s="83"/>
      <c r="U516" s="83"/>
      <c r="V516" s="83"/>
      <c r="W516" s="94"/>
      <c r="X516" s="94"/>
      <c r="Y516" s="94"/>
      <c r="Z516" s="83"/>
      <c r="AA516" s="83"/>
      <c r="AB516" s="83"/>
      <c r="AC516" s="83"/>
      <c r="AD516" s="83"/>
      <c r="AE516" s="83"/>
      <c r="AF516" s="83"/>
      <c r="AG516" s="83"/>
      <c r="AH516" s="83"/>
      <c r="AI516" s="83"/>
      <c r="AJ516" s="83"/>
      <c r="AK516" s="83"/>
      <c r="AL516" s="83"/>
      <c r="AM516" s="83"/>
      <c r="AN516" s="83"/>
      <c r="AO516" s="83"/>
      <c r="AP516" s="94"/>
      <c r="AQ516" s="94"/>
    </row>
    <row r="517" ht="15.75" customHeight="1">
      <c r="A517" s="83"/>
      <c r="B517" s="83"/>
      <c r="C517" s="83"/>
      <c r="D517" s="83"/>
      <c r="E517" s="83"/>
      <c r="F517" s="83"/>
      <c r="G517" s="83"/>
      <c r="H517" s="83"/>
      <c r="I517" s="94"/>
      <c r="J517" s="83"/>
      <c r="K517" s="83"/>
      <c r="L517" s="94"/>
      <c r="M517" s="83"/>
      <c r="N517" s="94"/>
      <c r="O517" s="83"/>
      <c r="P517" s="492"/>
      <c r="Q517" s="83"/>
      <c r="R517" s="83"/>
      <c r="S517" s="83"/>
      <c r="T517" s="83"/>
      <c r="U517" s="83"/>
      <c r="V517" s="83"/>
      <c r="W517" s="94"/>
      <c r="X517" s="94"/>
      <c r="Y517" s="94"/>
      <c r="Z517" s="83"/>
      <c r="AA517" s="83"/>
      <c r="AB517" s="83"/>
      <c r="AC517" s="83"/>
      <c r="AD517" s="83"/>
      <c r="AE517" s="83"/>
      <c r="AF517" s="83"/>
      <c r="AG517" s="83"/>
      <c r="AH517" s="83"/>
      <c r="AI517" s="83"/>
      <c r="AJ517" s="83"/>
      <c r="AK517" s="83"/>
      <c r="AL517" s="83"/>
      <c r="AM517" s="83"/>
      <c r="AN517" s="83"/>
      <c r="AO517" s="83"/>
      <c r="AP517" s="94"/>
      <c r="AQ517" s="94"/>
    </row>
    <row r="518" ht="15.75" customHeight="1">
      <c r="A518" s="83"/>
      <c r="B518" s="83"/>
      <c r="C518" s="83"/>
      <c r="D518" s="83"/>
      <c r="E518" s="83"/>
      <c r="F518" s="83"/>
      <c r="G518" s="83"/>
      <c r="H518" s="83"/>
      <c r="I518" s="94"/>
      <c r="J518" s="83"/>
      <c r="K518" s="83"/>
      <c r="L518" s="94"/>
      <c r="M518" s="83"/>
      <c r="N518" s="94"/>
      <c r="O518" s="83"/>
      <c r="P518" s="492"/>
      <c r="Q518" s="83"/>
      <c r="R518" s="83"/>
      <c r="S518" s="83"/>
      <c r="T518" s="83"/>
      <c r="U518" s="83"/>
      <c r="V518" s="83"/>
      <c r="W518" s="94"/>
      <c r="X518" s="94"/>
      <c r="Y518" s="94"/>
      <c r="Z518" s="83"/>
      <c r="AA518" s="83"/>
      <c r="AB518" s="83"/>
      <c r="AC518" s="83"/>
      <c r="AD518" s="83"/>
      <c r="AE518" s="83"/>
      <c r="AF518" s="83"/>
      <c r="AG518" s="83"/>
      <c r="AH518" s="83"/>
      <c r="AI518" s="83"/>
      <c r="AJ518" s="83"/>
      <c r="AK518" s="83"/>
      <c r="AL518" s="83"/>
      <c r="AM518" s="83"/>
      <c r="AN518" s="83"/>
      <c r="AO518" s="83"/>
      <c r="AP518" s="94"/>
      <c r="AQ518" s="94"/>
    </row>
    <row r="519" ht="15.75" customHeight="1">
      <c r="A519" s="83"/>
      <c r="B519" s="83"/>
      <c r="C519" s="83"/>
      <c r="D519" s="83"/>
      <c r="E519" s="83"/>
      <c r="F519" s="83"/>
      <c r="G519" s="83"/>
      <c r="H519" s="83"/>
      <c r="I519" s="94"/>
      <c r="J519" s="83"/>
      <c r="K519" s="83"/>
      <c r="L519" s="94"/>
      <c r="M519" s="83"/>
      <c r="N519" s="94"/>
      <c r="O519" s="83"/>
      <c r="P519" s="492"/>
      <c r="Q519" s="83"/>
      <c r="R519" s="83"/>
      <c r="S519" s="83"/>
      <c r="T519" s="83"/>
      <c r="U519" s="83"/>
      <c r="V519" s="83"/>
      <c r="W519" s="94"/>
      <c r="X519" s="94"/>
      <c r="Y519" s="94"/>
      <c r="Z519" s="83"/>
      <c r="AA519" s="83"/>
      <c r="AB519" s="83"/>
      <c r="AC519" s="83"/>
      <c r="AD519" s="83"/>
      <c r="AE519" s="83"/>
      <c r="AF519" s="83"/>
      <c r="AG519" s="83"/>
      <c r="AH519" s="83"/>
      <c r="AI519" s="83"/>
      <c r="AJ519" s="83"/>
      <c r="AK519" s="83"/>
      <c r="AL519" s="83"/>
      <c r="AM519" s="83"/>
      <c r="AN519" s="83"/>
      <c r="AO519" s="83"/>
      <c r="AP519" s="94"/>
      <c r="AQ519" s="94"/>
    </row>
    <row r="520" ht="15.75" customHeight="1">
      <c r="A520" s="83"/>
      <c r="B520" s="83"/>
      <c r="C520" s="83"/>
      <c r="D520" s="83"/>
      <c r="E520" s="83"/>
      <c r="F520" s="83"/>
      <c r="G520" s="83"/>
      <c r="H520" s="83"/>
      <c r="I520" s="94"/>
      <c r="J520" s="83"/>
      <c r="K520" s="83"/>
      <c r="L520" s="94"/>
      <c r="M520" s="83"/>
      <c r="N520" s="94"/>
      <c r="O520" s="83"/>
      <c r="P520" s="492"/>
      <c r="Q520" s="83"/>
      <c r="R520" s="83"/>
      <c r="S520" s="83"/>
      <c r="T520" s="83"/>
      <c r="U520" s="83"/>
      <c r="V520" s="83"/>
      <c r="W520" s="94"/>
      <c r="X520" s="94"/>
      <c r="Y520" s="94"/>
      <c r="Z520" s="83"/>
      <c r="AA520" s="83"/>
      <c r="AB520" s="83"/>
      <c r="AC520" s="83"/>
      <c r="AD520" s="83"/>
      <c r="AE520" s="83"/>
      <c r="AF520" s="83"/>
      <c r="AG520" s="83"/>
      <c r="AH520" s="83"/>
      <c r="AI520" s="83"/>
      <c r="AJ520" s="83"/>
      <c r="AK520" s="83"/>
      <c r="AL520" s="83"/>
      <c r="AM520" s="83"/>
      <c r="AN520" s="83"/>
      <c r="AO520" s="83"/>
      <c r="AP520" s="94"/>
      <c r="AQ520" s="94"/>
    </row>
    <row r="521" ht="15.75" customHeight="1">
      <c r="A521" s="83"/>
      <c r="B521" s="83"/>
      <c r="C521" s="83"/>
      <c r="D521" s="83"/>
      <c r="E521" s="83"/>
      <c r="F521" s="83"/>
      <c r="G521" s="83"/>
      <c r="H521" s="83"/>
      <c r="I521" s="94"/>
      <c r="J521" s="83"/>
      <c r="K521" s="83"/>
      <c r="L521" s="94"/>
      <c r="M521" s="83"/>
      <c r="N521" s="94"/>
      <c r="O521" s="83"/>
      <c r="P521" s="492"/>
      <c r="Q521" s="83"/>
      <c r="R521" s="83"/>
      <c r="S521" s="83"/>
      <c r="T521" s="83"/>
      <c r="U521" s="83"/>
      <c r="V521" s="83"/>
      <c r="W521" s="94"/>
      <c r="X521" s="94"/>
      <c r="Y521" s="94"/>
      <c r="Z521" s="83"/>
      <c r="AA521" s="83"/>
      <c r="AB521" s="83"/>
      <c r="AC521" s="83"/>
      <c r="AD521" s="83"/>
      <c r="AE521" s="83"/>
      <c r="AF521" s="83"/>
      <c r="AG521" s="83"/>
      <c r="AH521" s="83"/>
      <c r="AI521" s="83"/>
      <c r="AJ521" s="83"/>
      <c r="AK521" s="83"/>
      <c r="AL521" s="83"/>
      <c r="AM521" s="83"/>
      <c r="AN521" s="83"/>
      <c r="AO521" s="83"/>
      <c r="AP521" s="94"/>
      <c r="AQ521" s="94"/>
    </row>
    <row r="522" ht="15.75" customHeight="1">
      <c r="A522" s="83"/>
      <c r="B522" s="83"/>
      <c r="C522" s="83"/>
      <c r="D522" s="83"/>
      <c r="E522" s="83"/>
      <c r="F522" s="83"/>
      <c r="G522" s="83"/>
      <c r="H522" s="83"/>
      <c r="I522" s="94"/>
      <c r="J522" s="83"/>
      <c r="K522" s="83"/>
      <c r="L522" s="94"/>
      <c r="M522" s="83"/>
      <c r="N522" s="94"/>
      <c r="O522" s="83"/>
      <c r="P522" s="492"/>
      <c r="Q522" s="83"/>
      <c r="R522" s="83"/>
      <c r="S522" s="83"/>
      <c r="T522" s="83"/>
      <c r="U522" s="83"/>
      <c r="V522" s="83"/>
      <c r="W522" s="94"/>
      <c r="X522" s="94"/>
      <c r="Y522" s="94"/>
      <c r="Z522" s="83"/>
      <c r="AA522" s="83"/>
      <c r="AB522" s="83"/>
      <c r="AC522" s="83"/>
      <c r="AD522" s="83"/>
      <c r="AE522" s="83"/>
      <c r="AF522" s="83"/>
      <c r="AG522" s="83"/>
      <c r="AH522" s="83"/>
      <c r="AI522" s="83"/>
      <c r="AJ522" s="83"/>
      <c r="AK522" s="83"/>
      <c r="AL522" s="83"/>
      <c r="AM522" s="83"/>
      <c r="AN522" s="83"/>
      <c r="AO522" s="83"/>
      <c r="AP522" s="94"/>
      <c r="AQ522" s="94"/>
    </row>
    <row r="523" ht="15.75" customHeight="1">
      <c r="A523" s="83"/>
      <c r="B523" s="83"/>
      <c r="C523" s="83"/>
      <c r="D523" s="83"/>
      <c r="E523" s="83"/>
      <c r="F523" s="83"/>
      <c r="G523" s="83"/>
      <c r="H523" s="83"/>
      <c r="I523" s="94"/>
      <c r="J523" s="83"/>
      <c r="K523" s="83"/>
      <c r="L523" s="94"/>
      <c r="M523" s="83"/>
      <c r="N523" s="94"/>
      <c r="O523" s="83"/>
      <c r="P523" s="492"/>
      <c r="Q523" s="83"/>
      <c r="R523" s="83"/>
      <c r="S523" s="83"/>
      <c r="T523" s="83"/>
      <c r="U523" s="83"/>
      <c r="V523" s="83"/>
      <c r="W523" s="94"/>
      <c r="X523" s="94"/>
      <c r="Y523" s="94"/>
      <c r="Z523" s="83"/>
      <c r="AA523" s="83"/>
      <c r="AB523" s="83"/>
      <c r="AC523" s="83"/>
      <c r="AD523" s="83"/>
      <c r="AE523" s="83"/>
      <c r="AF523" s="83"/>
      <c r="AG523" s="83"/>
      <c r="AH523" s="83"/>
      <c r="AI523" s="83"/>
      <c r="AJ523" s="83"/>
      <c r="AK523" s="83"/>
      <c r="AL523" s="83"/>
      <c r="AM523" s="83"/>
      <c r="AN523" s="83"/>
      <c r="AO523" s="83"/>
      <c r="AP523" s="94"/>
      <c r="AQ523" s="94"/>
    </row>
    <row r="524" ht="15.75" customHeight="1">
      <c r="A524" s="83"/>
      <c r="B524" s="83"/>
      <c r="C524" s="83"/>
      <c r="D524" s="83"/>
      <c r="E524" s="83"/>
      <c r="F524" s="83"/>
      <c r="G524" s="83"/>
      <c r="H524" s="83"/>
      <c r="I524" s="94"/>
      <c r="J524" s="83"/>
      <c r="K524" s="83"/>
      <c r="L524" s="94"/>
      <c r="M524" s="83"/>
      <c r="N524" s="94"/>
      <c r="O524" s="83"/>
      <c r="P524" s="492"/>
      <c r="Q524" s="83"/>
      <c r="R524" s="83"/>
      <c r="S524" s="83"/>
      <c r="T524" s="83"/>
      <c r="U524" s="83"/>
      <c r="V524" s="83"/>
      <c r="W524" s="94"/>
      <c r="X524" s="94"/>
      <c r="Y524" s="94"/>
      <c r="Z524" s="83"/>
      <c r="AA524" s="83"/>
      <c r="AB524" s="83"/>
      <c r="AC524" s="83"/>
      <c r="AD524" s="83"/>
      <c r="AE524" s="83"/>
      <c r="AF524" s="83"/>
      <c r="AG524" s="83"/>
      <c r="AH524" s="83"/>
      <c r="AI524" s="83"/>
      <c r="AJ524" s="83"/>
      <c r="AK524" s="83"/>
      <c r="AL524" s="83"/>
      <c r="AM524" s="83"/>
      <c r="AN524" s="83"/>
      <c r="AO524" s="83"/>
      <c r="AP524" s="94"/>
      <c r="AQ524" s="94"/>
    </row>
    <row r="525" ht="15.75" customHeight="1">
      <c r="A525" s="83"/>
      <c r="B525" s="83"/>
      <c r="C525" s="83"/>
      <c r="D525" s="83"/>
      <c r="E525" s="83"/>
      <c r="F525" s="83"/>
      <c r="G525" s="83"/>
      <c r="H525" s="83"/>
      <c r="I525" s="94"/>
      <c r="J525" s="83"/>
      <c r="K525" s="83"/>
      <c r="L525" s="94"/>
      <c r="M525" s="83"/>
      <c r="N525" s="94"/>
      <c r="O525" s="83"/>
      <c r="P525" s="492"/>
      <c r="Q525" s="83"/>
      <c r="R525" s="83"/>
      <c r="S525" s="83"/>
      <c r="T525" s="83"/>
      <c r="U525" s="83"/>
      <c r="V525" s="83"/>
      <c r="W525" s="94"/>
      <c r="X525" s="94"/>
      <c r="Y525" s="94"/>
      <c r="Z525" s="83"/>
      <c r="AA525" s="83"/>
      <c r="AB525" s="83"/>
      <c r="AC525" s="83"/>
      <c r="AD525" s="83"/>
      <c r="AE525" s="83"/>
      <c r="AF525" s="83"/>
      <c r="AG525" s="83"/>
      <c r="AH525" s="83"/>
      <c r="AI525" s="83"/>
      <c r="AJ525" s="83"/>
      <c r="AK525" s="83"/>
      <c r="AL525" s="83"/>
      <c r="AM525" s="83"/>
      <c r="AN525" s="83"/>
      <c r="AO525" s="83"/>
      <c r="AP525" s="94"/>
      <c r="AQ525" s="94"/>
    </row>
    <row r="526" ht="15.75" customHeight="1">
      <c r="A526" s="83"/>
      <c r="B526" s="83"/>
      <c r="C526" s="83"/>
      <c r="D526" s="83"/>
      <c r="E526" s="83"/>
      <c r="F526" s="83"/>
      <c r="G526" s="83"/>
      <c r="H526" s="83"/>
      <c r="I526" s="94"/>
      <c r="J526" s="83"/>
      <c r="K526" s="83"/>
      <c r="L526" s="94"/>
      <c r="M526" s="83"/>
      <c r="N526" s="94"/>
      <c r="O526" s="83"/>
      <c r="P526" s="492"/>
      <c r="Q526" s="83"/>
      <c r="R526" s="83"/>
      <c r="S526" s="83"/>
      <c r="T526" s="83"/>
      <c r="U526" s="83"/>
      <c r="V526" s="83"/>
      <c r="W526" s="94"/>
      <c r="X526" s="94"/>
      <c r="Y526" s="94"/>
      <c r="Z526" s="83"/>
      <c r="AA526" s="83"/>
      <c r="AB526" s="83"/>
      <c r="AC526" s="83"/>
      <c r="AD526" s="83"/>
      <c r="AE526" s="83"/>
      <c r="AF526" s="83"/>
      <c r="AG526" s="83"/>
      <c r="AH526" s="83"/>
      <c r="AI526" s="83"/>
      <c r="AJ526" s="83"/>
      <c r="AK526" s="83"/>
      <c r="AL526" s="83"/>
      <c r="AM526" s="83"/>
      <c r="AN526" s="83"/>
      <c r="AO526" s="83"/>
      <c r="AP526" s="94"/>
      <c r="AQ526" s="94"/>
    </row>
    <row r="527" ht="15.75" customHeight="1">
      <c r="A527" s="83"/>
      <c r="B527" s="83"/>
      <c r="C527" s="83"/>
      <c r="D527" s="83"/>
      <c r="E527" s="83"/>
      <c r="F527" s="83"/>
      <c r="G527" s="83"/>
      <c r="H527" s="83"/>
      <c r="I527" s="94"/>
      <c r="J527" s="83"/>
      <c r="K527" s="83"/>
      <c r="L527" s="94"/>
      <c r="M527" s="83"/>
      <c r="N527" s="94"/>
      <c r="O527" s="83"/>
      <c r="P527" s="492"/>
      <c r="Q527" s="83"/>
      <c r="R527" s="83"/>
      <c r="S527" s="83"/>
      <c r="T527" s="83"/>
      <c r="U527" s="83"/>
      <c r="V527" s="83"/>
      <c r="W527" s="94"/>
      <c r="X527" s="94"/>
      <c r="Y527" s="94"/>
      <c r="Z527" s="83"/>
      <c r="AA527" s="83"/>
      <c r="AB527" s="83"/>
      <c r="AC527" s="83"/>
      <c r="AD527" s="83"/>
      <c r="AE527" s="83"/>
      <c r="AF527" s="83"/>
      <c r="AG527" s="83"/>
      <c r="AH527" s="83"/>
      <c r="AI527" s="83"/>
      <c r="AJ527" s="83"/>
      <c r="AK527" s="83"/>
      <c r="AL527" s="83"/>
      <c r="AM527" s="83"/>
      <c r="AN527" s="83"/>
      <c r="AO527" s="83"/>
      <c r="AP527" s="94"/>
      <c r="AQ527" s="94"/>
    </row>
    <row r="528" ht="15.75" customHeight="1">
      <c r="A528" s="83"/>
      <c r="B528" s="83"/>
      <c r="C528" s="83"/>
      <c r="D528" s="83"/>
      <c r="E528" s="83"/>
      <c r="F528" s="83"/>
      <c r="G528" s="83"/>
      <c r="H528" s="83"/>
      <c r="I528" s="94"/>
      <c r="J528" s="83"/>
      <c r="K528" s="83"/>
      <c r="L528" s="94"/>
      <c r="M528" s="83"/>
      <c r="N528" s="94"/>
      <c r="O528" s="83"/>
      <c r="P528" s="492"/>
      <c r="Q528" s="83"/>
      <c r="R528" s="83"/>
      <c r="S528" s="83"/>
      <c r="T528" s="83"/>
      <c r="U528" s="83"/>
      <c r="V528" s="83"/>
      <c r="W528" s="94"/>
      <c r="X528" s="94"/>
      <c r="Y528" s="94"/>
      <c r="Z528" s="83"/>
      <c r="AA528" s="83"/>
      <c r="AB528" s="83"/>
      <c r="AC528" s="83"/>
      <c r="AD528" s="83"/>
      <c r="AE528" s="83"/>
      <c r="AF528" s="83"/>
      <c r="AG528" s="83"/>
      <c r="AH528" s="83"/>
      <c r="AI528" s="83"/>
      <c r="AJ528" s="83"/>
      <c r="AK528" s="83"/>
      <c r="AL528" s="83"/>
      <c r="AM528" s="83"/>
      <c r="AN528" s="83"/>
      <c r="AO528" s="83"/>
      <c r="AP528" s="94"/>
      <c r="AQ528" s="94"/>
    </row>
    <row r="529" ht="15.75" customHeight="1">
      <c r="A529" s="83"/>
      <c r="B529" s="83"/>
      <c r="C529" s="83"/>
      <c r="D529" s="83"/>
      <c r="E529" s="83"/>
      <c r="F529" s="83"/>
      <c r="G529" s="83"/>
      <c r="H529" s="83"/>
      <c r="I529" s="94"/>
      <c r="J529" s="83"/>
      <c r="K529" s="83"/>
      <c r="L529" s="94"/>
      <c r="M529" s="83"/>
      <c r="N529" s="94"/>
      <c r="O529" s="83"/>
      <c r="P529" s="492"/>
      <c r="Q529" s="83"/>
      <c r="R529" s="83"/>
      <c r="S529" s="83"/>
      <c r="T529" s="83"/>
      <c r="U529" s="83"/>
      <c r="V529" s="83"/>
      <c r="W529" s="94"/>
      <c r="X529" s="94"/>
      <c r="Y529" s="94"/>
      <c r="Z529" s="83"/>
      <c r="AA529" s="83"/>
      <c r="AB529" s="83"/>
      <c r="AC529" s="83"/>
      <c r="AD529" s="83"/>
      <c r="AE529" s="83"/>
      <c r="AF529" s="83"/>
      <c r="AG529" s="83"/>
      <c r="AH529" s="83"/>
      <c r="AI529" s="83"/>
      <c r="AJ529" s="83"/>
      <c r="AK529" s="83"/>
      <c r="AL529" s="83"/>
      <c r="AM529" s="83"/>
      <c r="AN529" s="83"/>
      <c r="AO529" s="83"/>
      <c r="AP529" s="94"/>
      <c r="AQ529" s="94"/>
    </row>
    <row r="530" ht="15.75" customHeight="1">
      <c r="A530" s="83"/>
      <c r="B530" s="83"/>
      <c r="C530" s="83"/>
      <c r="D530" s="83"/>
      <c r="E530" s="83"/>
      <c r="F530" s="83"/>
      <c r="G530" s="83"/>
      <c r="H530" s="83"/>
      <c r="I530" s="94"/>
      <c r="J530" s="83"/>
      <c r="K530" s="83"/>
      <c r="L530" s="94"/>
      <c r="M530" s="83"/>
      <c r="N530" s="94"/>
      <c r="O530" s="83"/>
      <c r="P530" s="492"/>
      <c r="Q530" s="83"/>
      <c r="R530" s="83"/>
      <c r="S530" s="83"/>
      <c r="T530" s="83"/>
      <c r="U530" s="83"/>
      <c r="V530" s="83"/>
      <c r="W530" s="94"/>
      <c r="X530" s="94"/>
      <c r="Y530" s="94"/>
      <c r="Z530" s="83"/>
      <c r="AA530" s="83"/>
      <c r="AB530" s="83"/>
      <c r="AC530" s="83"/>
      <c r="AD530" s="83"/>
      <c r="AE530" s="83"/>
      <c r="AF530" s="83"/>
      <c r="AG530" s="83"/>
      <c r="AH530" s="83"/>
      <c r="AI530" s="83"/>
      <c r="AJ530" s="83"/>
      <c r="AK530" s="83"/>
      <c r="AL530" s="83"/>
      <c r="AM530" s="83"/>
      <c r="AN530" s="83"/>
      <c r="AO530" s="83"/>
      <c r="AP530" s="94"/>
      <c r="AQ530" s="94"/>
    </row>
    <row r="531" ht="15.75" customHeight="1">
      <c r="A531" s="83"/>
      <c r="B531" s="83"/>
      <c r="C531" s="83"/>
      <c r="D531" s="83"/>
      <c r="E531" s="83"/>
      <c r="F531" s="83"/>
      <c r="G531" s="83"/>
      <c r="H531" s="83"/>
      <c r="I531" s="94"/>
      <c r="J531" s="83"/>
      <c r="K531" s="83"/>
      <c r="L531" s="94"/>
      <c r="M531" s="83"/>
      <c r="N531" s="94"/>
      <c r="O531" s="83"/>
      <c r="P531" s="492"/>
      <c r="Q531" s="83"/>
      <c r="R531" s="83"/>
      <c r="S531" s="83"/>
      <c r="T531" s="83"/>
      <c r="U531" s="83"/>
      <c r="V531" s="83"/>
      <c r="W531" s="94"/>
      <c r="X531" s="94"/>
      <c r="Y531" s="94"/>
      <c r="Z531" s="83"/>
      <c r="AA531" s="83"/>
      <c r="AB531" s="83"/>
      <c r="AC531" s="83"/>
      <c r="AD531" s="83"/>
      <c r="AE531" s="83"/>
      <c r="AF531" s="83"/>
      <c r="AG531" s="83"/>
      <c r="AH531" s="83"/>
      <c r="AI531" s="83"/>
      <c r="AJ531" s="83"/>
      <c r="AK531" s="83"/>
      <c r="AL531" s="83"/>
      <c r="AM531" s="83"/>
      <c r="AN531" s="83"/>
      <c r="AO531" s="83"/>
      <c r="AP531" s="94"/>
      <c r="AQ531" s="94"/>
    </row>
    <row r="532" ht="15.75" customHeight="1">
      <c r="A532" s="83"/>
      <c r="B532" s="83"/>
      <c r="C532" s="83"/>
      <c r="D532" s="83"/>
      <c r="E532" s="83"/>
      <c r="F532" s="83"/>
      <c r="G532" s="83"/>
      <c r="H532" s="83"/>
      <c r="I532" s="94"/>
      <c r="J532" s="83"/>
      <c r="K532" s="83"/>
      <c r="L532" s="94"/>
      <c r="M532" s="83"/>
      <c r="N532" s="94"/>
      <c r="O532" s="83"/>
      <c r="P532" s="492"/>
      <c r="Q532" s="83"/>
      <c r="R532" s="83"/>
      <c r="S532" s="83"/>
      <c r="T532" s="83"/>
      <c r="U532" s="83"/>
      <c r="V532" s="83"/>
      <c r="W532" s="94"/>
      <c r="X532" s="94"/>
      <c r="Y532" s="94"/>
      <c r="Z532" s="83"/>
      <c r="AA532" s="83"/>
      <c r="AB532" s="83"/>
      <c r="AC532" s="83"/>
      <c r="AD532" s="83"/>
      <c r="AE532" s="83"/>
      <c r="AF532" s="83"/>
      <c r="AG532" s="83"/>
      <c r="AH532" s="83"/>
      <c r="AI532" s="83"/>
      <c r="AJ532" s="83"/>
      <c r="AK532" s="83"/>
      <c r="AL532" s="83"/>
      <c r="AM532" s="83"/>
      <c r="AN532" s="83"/>
      <c r="AO532" s="83"/>
      <c r="AP532" s="94"/>
      <c r="AQ532" s="94"/>
    </row>
    <row r="533" ht="15.75" customHeight="1">
      <c r="A533" s="83"/>
      <c r="B533" s="83"/>
      <c r="C533" s="83"/>
      <c r="D533" s="83"/>
      <c r="E533" s="83"/>
      <c r="F533" s="83"/>
      <c r="G533" s="83"/>
      <c r="H533" s="83"/>
      <c r="I533" s="94"/>
      <c r="J533" s="83"/>
      <c r="K533" s="83"/>
      <c r="L533" s="94"/>
      <c r="M533" s="83"/>
      <c r="N533" s="94"/>
      <c r="O533" s="83"/>
      <c r="P533" s="492"/>
      <c r="Q533" s="83"/>
      <c r="R533" s="83"/>
      <c r="S533" s="83"/>
      <c r="T533" s="83"/>
      <c r="U533" s="83"/>
      <c r="V533" s="83"/>
      <c r="W533" s="94"/>
      <c r="X533" s="94"/>
      <c r="Y533" s="94"/>
      <c r="Z533" s="83"/>
      <c r="AA533" s="83"/>
      <c r="AB533" s="83"/>
      <c r="AC533" s="83"/>
      <c r="AD533" s="83"/>
      <c r="AE533" s="83"/>
      <c r="AF533" s="83"/>
      <c r="AG533" s="83"/>
      <c r="AH533" s="83"/>
      <c r="AI533" s="83"/>
      <c r="AJ533" s="83"/>
      <c r="AK533" s="83"/>
      <c r="AL533" s="83"/>
      <c r="AM533" s="83"/>
      <c r="AN533" s="83"/>
      <c r="AO533" s="83"/>
      <c r="AP533" s="94"/>
      <c r="AQ533" s="94"/>
    </row>
    <row r="534" ht="15.75" customHeight="1">
      <c r="A534" s="83"/>
      <c r="B534" s="83"/>
      <c r="C534" s="83"/>
      <c r="D534" s="83"/>
      <c r="E534" s="83"/>
      <c r="F534" s="83"/>
      <c r="G534" s="83"/>
      <c r="H534" s="83"/>
      <c r="I534" s="94"/>
      <c r="J534" s="83"/>
      <c r="K534" s="83"/>
      <c r="L534" s="94"/>
      <c r="M534" s="83"/>
      <c r="N534" s="94"/>
      <c r="O534" s="83"/>
      <c r="P534" s="492"/>
      <c r="Q534" s="83"/>
      <c r="R534" s="83"/>
      <c r="S534" s="83"/>
      <c r="T534" s="83"/>
      <c r="U534" s="83"/>
      <c r="V534" s="83"/>
      <c r="W534" s="94"/>
      <c r="X534" s="94"/>
      <c r="Y534" s="94"/>
      <c r="Z534" s="83"/>
      <c r="AA534" s="83"/>
      <c r="AB534" s="83"/>
      <c r="AC534" s="83"/>
      <c r="AD534" s="83"/>
      <c r="AE534" s="83"/>
      <c r="AF534" s="83"/>
      <c r="AG534" s="83"/>
      <c r="AH534" s="83"/>
      <c r="AI534" s="83"/>
      <c r="AJ534" s="83"/>
      <c r="AK534" s="83"/>
      <c r="AL534" s="83"/>
      <c r="AM534" s="83"/>
      <c r="AN534" s="83"/>
      <c r="AO534" s="83"/>
      <c r="AP534" s="94"/>
      <c r="AQ534" s="94"/>
    </row>
    <row r="535" ht="15.75" customHeight="1">
      <c r="A535" s="83"/>
      <c r="B535" s="83"/>
      <c r="C535" s="83"/>
      <c r="D535" s="83"/>
      <c r="E535" s="83"/>
      <c r="F535" s="83"/>
      <c r="G535" s="83"/>
      <c r="H535" s="83"/>
      <c r="I535" s="94"/>
      <c r="J535" s="83"/>
      <c r="K535" s="83"/>
      <c r="L535" s="94"/>
      <c r="M535" s="83"/>
      <c r="N535" s="94"/>
      <c r="O535" s="83"/>
      <c r="P535" s="492"/>
      <c r="Q535" s="83"/>
      <c r="R535" s="83"/>
      <c r="S535" s="83"/>
      <c r="T535" s="83"/>
      <c r="U535" s="83"/>
      <c r="V535" s="83"/>
      <c r="W535" s="94"/>
      <c r="X535" s="94"/>
      <c r="Y535" s="94"/>
      <c r="Z535" s="83"/>
      <c r="AA535" s="83"/>
      <c r="AB535" s="83"/>
      <c r="AC535" s="83"/>
      <c r="AD535" s="83"/>
      <c r="AE535" s="83"/>
      <c r="AF535" s="83"/>
      <c r="AG535" s="83"/>
      <c r="AH535" s="83"/>
      <c r="AI535" s="83"/>
      <c r="AJ535" s="83"/>
      <c r="AK535" s="83"/>
      <c r="AL535" s="83"/>
      <c r="AM535" s="83"/>
      <c r="AN535" s="83"/>
      <c r="AO535" s="83"/>
      <c r="AP535" s="94"/>
      <c r="AQ535" s="94"/>
    </row>
    <row r="536" ht="15.75" customHeight="1">
      <c r="A536" s="83"/>
      <c r="B536" s="83"/>
      <c r="C536" s="83"/>
      <c r="D536" s="83"/>
      <c r="E536" s="83"/>
      <c r="F536" s="83"/>
      <c r="G536" s="83"/>
      <c r="H536" s="83"/>
      <c r="I536" s="94"/>
      <c r="J536" s="83"/>
      <c r="K536" s="83"/>
      <c r="L536" s="94"/>
      <c r="M536" s="83"/>
      <c r="N536" s="94"/>
      <c r="O536" s="83"/>
      <c r="P536" s="492"/>
      <c r="Q536" s="83"/>
      <c r="R536" s="83"/>
      <c r="S536" s="83"/>
      <c r="T536" s="83"/>
      <c r="U536" s="83"/>
      <c r="V536" s="83"/>
      <c r="W536" s="94"/>
      <c r="X536" s="94"/>
      <c r="Y536" s="94"/>
      <c r="Z536" s="83"/>
      <c r="AA536" s="83"/>
      <c r="AB536" s="83"/>
      <c r="AC536" s="83"/>
      <c r="AD536" s="83"/>
      <c r="AE536" s="83"/>
      <c r="AF536" s="83"/>
      <c r="AG536" s="83"/>
      <c r="AH536" s="83"/>
      <c r="AI536" s="83"/>
      <c r="AJ536" s="83"/>
      <c r="AK536" s="83"/>
      <c r="AL536" s="83"/>
      <c r="AM536" s="83"/>
      <c r="AN536" s="83"/>
      <c r="AO536" s="83"/>
      <c r="AP536" s="94"/>
      <c r="AQ536" s="94"/>
    </row>
    <row r="537" ht="15.75" customHeight="1">
      <c r="A537" s="83"/>
      <c r="B537" s="83"/>
      <c r="C537" s="83"/>
      <c r="D537" s="83"/>
      <c r="E537" s="83"/>
      <c r="F537" s="83"/>
      <c r="G537" s="83"/>
      <c r="H537" s="83"/>
      <c r="I537" s="94"/>
      <c r="J537" s="83"/>
      <c r="K537" s="83"/>
      <c r="L537" s="94"/>
      <c r="M537" s="83"/>
      <c r="N537" s="94"/>
      <c r="O537" s="83"/>
      <c r="P537" s="492"/>
      <c r="Q537" s="83"/>
      <c r="R537" s="83"/>
      <c r="S537" s="83"/>
      <c r="T537" s="83"/>
      <c r="U537" s="83"/>
      <c r="V537" s="83"/>
      <c r="W537" s="94"/>
      <c r="X537" s="94"/>
      <c r="Y537" s="94"/>
      <c r="Z537" s="83"/>
      <c r="AA537" s="83"/>
      <c r="AB537" s="83"/>
      <c r="AC537" s="83"/>
      <c r="AD537" s="83"/>
      <c r="AE537" s="83"/>
      <c r="AF537" s="83"/>
      <c r="AG537" s="83"/>
      <c r="AH537" s="83"/>
      <c r="AI537" s="83"/>
      <c r="AJ537" s="83"/>
      <c r="AK537" s="83"/>
      <c r="AL537" s="83"/>
      <c r="AM537" s="83"/>
      <c r="AN537" s="83"/>
      <c r="AO537" s="83"/>
      <c r="AP537" s="94"/>
      <c r="AQ537" s="94"/>
    </row>
    <row r="538" ht="15.75" customHeight="1">
      <c r="A538" s="83"/>
      <c r="B538" s="83"/>
      <c r="C538" s="83"/>
      <c r="D538" s="83"/>
      <c r="E538" s="83"/>
      <c r="F538" s="83"/>
      <c r="G538" s="83"/>
      <c r="H538" s="83"/>
      <c r="I538" s="94"/>
      <c r="J538" s="83"/>
      <c r="K538" s="83"/>
      <c r="L538" s="94"/>
      <c r="M538" s="83"/>
      <c r="N538" s="94"/>
      <c r="O538" s="83"/>
      <c r="P538" s="492"/>
      <c r="Q538" s="83"/>
      <c r="R538" s="83"/>
      <c r="S538" s="83"/>
      <c r="T538" s="83"/>
      <c r="U538" s="83"/>
      <c r="V538" s="83"/>
      <c r="W538" s="94"/>
      <c r="X538" s="94"/>
      <c r="Y538" s="94"/>
      <c r="Z538" s="83"/>
      <c r="AA538" s="83"/>
      <c r="AB538" s="83"/>
      <c r="AC538" s="83"/>
      <c r="AD538" s="83"/>
      <c r="AE538" s="83"/>
      <c r="AF538" s="83"/>
      <c r="AG538" s="83"/>
      <c r="AH538" s="83"/>
      <c r="AI538" s="83"/>
      <c r="AJ538" s="83"/>
      <c r="AK538" s="83"/>
      <c r="AL538" s="83"/>
      <c r="AM538" s="83"/>
      <c r="AN538" s="83"/>
      <c r="AO538" s="83"/>
      <c r="AP538" s="94"/>
      <c r="AQ538" s="94"/>
    </row>
    <row r="539" ht="15.75" customHeight="1">
      <c r="A539" s="83"/>
      <c r="B539" s="83"/>
      <c r="C539" s="83"/>
      <c r="D539" s="83"/>
      <c r="E539" s="83"/>
      <c r="F539" s="83"/>
      <c r="G539" s="83"/>
      <c r="H539" s="83"/>
      <c r="I539" s="94"/>
      <c r="J539" s="83"/>
      <c r="K539" s="83"/>
      <c r="L539" s="94"/>
      <c r="M539" s="83"/>
      <c r="N539" s="94"/>
      <c r="O539" s="83"/>
      <c r="P539" s="492"/>
      <c r="Q539" s="83"/>
      <c r="R539" s="83"/>
      <c r="S539" s="83"/>
      <c r="T539" s="83"/>
      <c r="U539" s="83"/>
      <c r="V539" s="83"/>
      <c r="W539" s="94"/>
      <c r="X539" s="94"/>
      <c r="Y539" s="94"/>
      <c r="Z539" s="83"/>
      <c r="AA539" s="83"/>
      <c r="AB539" s="83"/>
      <c r="AC539" s="83"/>
      <c r="AD539" s="83"/>
      <c r="AE539" s="83"/>
      <c r="AF539" s="83"/>
      <c r="AG539" s="83"/>
      <c r="AH539" s="83"/>
      <c r="AI539" s="83"/>
      <c r="AJ539" s="83"/>
      <c r="AK539" s="83"/>
      <c r="AL539" s="83"/>
      <c r="AM539" s="83"/>
      <c r="AN539" s="83"/>
      <c r="AO539" s="83"/>
      <c r="AP539" s="94"/>
      <c r="AQ539" s="94"/>
    </row>
    <row r="540" ht="15.75" customHeight="1">
      <c r="A540" s="83"/>
      <c r="B540" s="83"/>
      <c r="C540" s="83"/>
      <c r="D540" s="83"/>
      <c r="E540" s="83"/>
      <c r="F540" s="83"/>
      <c r="G540" s="83"/>
      <c r="H540" s="83"/>
      <c r="I540" s="94"/>
      <c r="J540" s="83"/>
      <c r="K540" s="83"/>
      <c r="L540" s="94"/>
      <c r="M540" s="83"/>
      <c r="N540" s="94"/>
      <c r="O540" s="83"/>
      <c r="P540" s="492"/>
      <c r="Q540" s="83"/>
      <c r="R540" s="83"/>
      <c r="S540" s="83"/>
      <c r="T540" s="83"/>
      <c r="U540" s="83"/>
      <c r="V540" s="83"/>
      <c r="W540" s="94"/>
      <c r="X540" s="94"/>
      <c r="Y540" s="94"/>
      <c r="Z540" s="83"/>
      <c r="AA540" s="83"/>
      <c r="AB540" s="83"/>
      <c r="AC540" s="83"/>
      <c r="AD540" s="83"/>
      <c r="AE540" s="83"/>
      <c r="AF540" s="83"/>
      <c r="AG540" s="83"/>
      <c r="AH540" s="83"/>
      <c r="AI540" s="83"/>
      <c r="AJ540" s="83"/>
      <c r="AK540" s="83"/>
      <c r="AL540" s="83"/>
      <c r="AM540" s="83"/>
      <c r="AN540" s="83"/>
      <c r="AO540" s="83"/>
      <c r="AP540" s="94"/>
      <c r="AQ540" s="94"/>
    </row>
    <row r="541" ht="15.75" customHeight="1">
      <c r="A541" s="83"/>
      <c r="B541" s="83"/>
      <c r="C541" s="83"/>
      <c r="D541" s="83"/>
      <c r="E541" s="83"/>
      <c r="F541" s="83"/>
      <c r="G541" s="83"/>
      <c r="H541" s="83"/>
      <c r="I541" s="94"/>
      <c r="J541" s="83"/>
      <c r="K541" s="83"/>
      <c r="L541" s="94"/>
      <c r="M541" s="83"/>
      <c r="N541" s="94"/>
      <c r="O541" s="83"/>
      <c r="P541" s="492"/>
      <c r="Q541" s="83"/>
      <c r="R541" s="83"/>
      <c r="S541" s="83"/>
      <c r="T541" s="83"/>
      <c r="U541" s="83"/>
      <c r="V541" s="83"/>
      <c r="W541" s="94"/>
      <c r="X541" s="94"/>
      <c r="Y541" s="94"/>
      <c r="Z541" s="83"/>
      <c r="AA541" s="83"/>
      <c r="AB541" s="83"/>
      <c r="AC541" s="83"/>
      <c r="AD541" s="83"/>
      <c r="AE541" s="83"/>
      <c r="AF541" s="83"/>
      <c r="AG541" s="83"/>
      <c r="AH541" s="83"/>
      <c r="AI541" s="83"/>
      <c r="AJ541" s="83"/>
      <c r="AK541" s="83"/>
      <c r="AL541" s="83"/>
      <c r="AM541" s="83"/>
      <c r="AN541" s="83"/>
      <c r="AO541" s="83"/>
      <c r="AP541" s="94"/>
      <c r="AQ541" s="94"/>
    </row>
    <row r="542" ht="15.75" customHeight="1">
      <c r="A542" s="83"/>
      <c r="B542" s="83"/>
      <c r="C542" s="83"/>
      <c r="D542" s="83"/>
      <c r="E542" s="83"/>
      <c r="F542" s="83"/>
      <c r="G542" s="83"/>
      <c r="H542" s="83"/>
      <c r="I542" s="94"/>
      <c r="J542" s="83"/>
      <c r="K542" s="83"/>
      <c r="L542" s="94"/>
      <c r="M542" s="83"/>
      <c r="N542" s="94"/>
      <c r="O542" s="83"/>
      <c r="P542" s="492"/>
      <c r="Q542" s="83"/>
      <c r="R542" s="83"/>
      <c r="S542" s="83"/>
      <c r="T542" s="83"/>
      <c r="U542" s="83"/>
      <c r="V542" s="83"/>
      <c r="W542" s="94"/>
      <c r="X542" s="94"/>
      <c r="Y542" s="94"/>
      <c r="Z542" s="83"/>
      <c r="AA542" s="83"/>
      <c r="AB542" s="83"/>
      <c r="AC542" s="83"/>
      <c r="AD542" s="83"/>
      <c r="AE542" s="83"/>
      <c r="AF542" s="83"/>
      <c r="AG542" s="83"/>
      <c r="AH542" s="83"/>
      <c r="AI542" s="83"/>
      <c r="AJ542" s="83"/>
      <c r="AK542" s="83"/>
      <c r="AL542" s="83"/>
      <c r="AM542" s="83"/>
      <c r="AN542" s="83"/>
      <c r="AO542" s="83"/>
      <c r="AP542" s="94"/>
      <c r="AQ542" s="94"/>
    </row>
    <row r="543" ht="15.75" customHeight="1">
      <c r="A543" s="83"/>
      <c r="B543" s="83"/>
      <c r="C543" s="83"/>
      <c r="D543" s="83"/>
      <c r="E543" s="83"/>
      <c r="F543" s="83"/>
      <c r="G543" s="83"/>
      <c r="H543" s="83"/>
      <c r="I543" s="94"/>
      <c r="J543" s="83"/>
      <c r="K543" s="83"/>
      <c r="L543" s="94"/>
      <c r="M543" s="83"/>
      <c r="N543" s="94"/>
      <c r="O543" s="83"/>
      <c r="P543" s="492"/>
      <c r="Q543" s="83"/>
      <c r="R543" s="83"/>
      <c r="S543" s="83"/>
      <c r="T543" s="83"/>
      <c r="U543" s="83"/>
      <c r="V543" s="83"/>
      <c r="W543" s="94"/>
      <c r="X543" s="94"/>
      <c r="Y543" s="94"/>
      <c r="Z543" s="83"/>
      <c r="AA543" s="83"/>
      <c r="AB543" s="83"/>
      <c r="AC543" s="83"/>
      <c r="AD543" s="83"/>
      <c r="AE543" s="83"/>
      <c r="AF543" s="83"/>
      <c r="AG543" s="83"/>
      <c r="AH543" s="83"/>
      <c r="AI543" s="83"/>
      <c r="AJ543" s="83"/>
      <c r="AK543" s="83"/>
      <c r="AL543" s="83"/>
      <c r="AM543" s="83"/>
      <c r="AN543" s="83"/>
      <c r="AO543" s="83"/>
      <c r="AP543" s="94"/>
      <c r="AQ543" s="94"/>
    </row>
    <row r="544" ht="15.75" customHeight="1">
      <c r="A544" s="83"/>
      <c r="B544" s="83"/>
      <c r="C544" s="83"/>
      <c r="D544" s="83"/>
      <c r="E544" s="83"/>
      <c r="F544" s="83"/>
      <c r="G544" s="83"/>
      <c r="H544" s="83"/>
      <c r="I544" s="94"/>
      <c r="J544" s="83"/>
      <c r="K544" s="83"/>
      <c r="L544" s="94"/>
      <c r="M544" s="83"/>
      <c r="N544" s="94"/>
      <c r="O544" s="83"/>
      <c r="P544" s="492"/>
      <c r="Q544" s="83"/>
      <c r="R544" s="83"/>
      <c r="S544" s="83"/>
      <c r="T544" s="83"/>
      <c r="U544" s="83"/>
      <c r="V544" s="83"/>
      <c r="W544" s="94"/>
      <c r="X544" s="94"/>
      <c r="Y544" s="94"/>
      <c r="Z544" s="83"/>
      <c r="AA544" s="83"/>
      <c r="AB544" s="83"/>
      <c r="AC544" s="83"/>
      <c r="AD544" s="83"/>
      <c r="AE544" s="83"/>
      <c r="AF544" s="83"/>
      <c r="AG544" s="83"/>
      <c r="AH544" s="83"/>
      <c r="AI544" s="83"/>
      <c r="AJ544" s="83"/>
      <c r="AK544" s="83"/>
      <c r="AL544" s="83"/>
      <c r="AM544" s="83"/>
      <c r="AN544" s="83"/>
      <c r="AO544" s="83"/>
      <c r="AP544" s="94"/>
      <c r="AQ544" s="94"/>
    </row>
    <row r="545" ht="15.75" customHeight="1">
      <c r="A545" s="83"/>
      <c r="B545" s="83"/>
      <c r="C545" s="83"/>
      <c r="D545" s="83"/>
      <c r="E545" s="83"/>
      <c r="F545" s="83"/>
      <c r="G545" s="83"/>
      <c r="H545" s="83"/>
      <c r="I545" s="94"/>
      <c r="J545" s="83"/>
      <c r="K545" s="83"/>
      <c r="L545" s="94"/>
      <c r="M545" s="83"/>
      <c r="N545" s="94"/>
      <c r="O545" s="83"/>
      <c r="P545" s="492"/>
      <c r="Q545" s="83"/>
      <c r="R545" s="83"/>
      <c r="S545" s="83"/>
      <c r="T545" s="83"/>
      <c r="U545" s="83"/>
      <c r="V545" s="83"/>
      <c r="W545" s="94"/>
      <c r="X545" s="94"/>
      <c r="Y545" s="94"/>
      <c r="Z545" s="83"/>
      <c r="AA545" s="83"/>
      <c r="AB545" s="83"/>
      <c r="AC545" s="83"/>
      <c r="AD545" s="83"/>
      <c r="AE545" s="83"/>
      <c r="AF545" s="83"/>
      <c r="AG545" s="83"/>
      <c r="AH545" s="83"/>
      <c r="AI545" s="83"/>
      <c r="AJ545" s="83"/>
      <c r="AK545" s="83"/>
      <c r="AL545" s="83"/>
      <c r="AM545" s="83"/>
      <c r="AN545" s="83"/>
      <c r="AO545" s="83"/>
      <c r="AP545" s="94"/>
      <c r="AQ545" s="94"/>
    </row>
    <row r="546" ht="15.75" customHeight="1">
      <c r="A546" s="83"/>
      <c r="B546" s="83"/>
      <c r="C546" s="83"/>
      <c r="D546" s="83"/>
      <c r="E546" s="83"/>
      <c r="F546" s="83"/>
      <c r="G546" s="83"/>
      <c r="H546" s="83"/>
      <c r="I546" s="94"/>
      <c r="J546" s="83"/>
      <c r="K546" s="83"/>
      <c r="L546" s="94"/>
      <c r="M546" s="83"/>
      <c r="N546" s="94"/>
      <c r="O546" s="83"/>
      <c r="P546" s="492"/>
      <c r="Q546" s="83"/>
      <c r="R546" s="83"/>
      <c r="S546" s="83"/>
      <c r="T546" s="83"/>
      <c r="U546" s="83"/>
      <c r="V546" s="83"/>
      <c r="W546" s="94"/>
      <c r="X546" s="94"/>
      <c r="Y546" s="94"/>
      <c r="Z546" s="83"/>
      <c r="AA546" s="83"/>
      <c r="AB546" s="83"/>
      <c r="AC546" s="83"/>
      <c r="AD546" s="83"/>
      <c r="AE546" s="83"/>
      <c r="AF546" s="83"/>
      <c r="AG546" s="83"/>
      <c r="AH546" s="83"/>
      <c r="AI546" s="83"/>
      <c r="AJ546" s="83"/>
      <c r="AK546" s="83"/>
      <c r="AL546" s="83"/>
      <c r="AM546" s="83"/>
      <c r="AN546" s="83"/>
      <c r="AO546" s="83"/>
      <c r="AP546" s="94"/>
      <c r="AQ546" s="94"/>
    </row>
    <row r="547" ht="15.75" customHeight="1">
      <c r="A547" s="83"/>
      <c r="B547" s="83"/>
      <c r="C547" s="83"/>
      <c r="D547" s="83"/>
      <c r="E547" s="83"/>
      <c r="F547" s="83"/>
      <c r="G547" s="83"/>
      <c r="H547" s="83"/>
      <c r="I547" s="94"/>
      <c r="J547" s="83"/>
      <c r="K547" s="83"/>
      <c r="L547" s="94"/>
      <c r="M547" s="83"/>
      <c r="N547" s="94"/>
      <c r="O547" s="83"/>
      <c r="P547" s="492"/>
      <c r="Q547" s="83"/>
      <c r="R547" s="83"/>
      <c r="S547" s="83"/>
      <c r="T547" s="83"/>
      <c r="U547" s="83"/>
      <c r="V547" s="83"/>
      <c r="W547" s="94"/>
      <c r="X547" s="94"/>
      <c r="Y547" s="94"/>
      <c r="Z547" s="83"/>
      <c r="AA547" s="83"/>
      <c r="AB547" s="83"/>
      <c r="AC547" s="83"/>
      <c r="AD547" s="83"/>
      <c r="AE547" s="83"/>
      <c r="AF547" s="83"/>
      <c r="AG547" s="83"/>
      <c r="AH547" s="83"/>
      <c r="AI547" s="83"/>
      <c r="AJ547" s="83"/>
      <c r="AK547" s="83"/>
      <c r="AL547" s="83"/>
      <c r="AM547" s="83"/>
      <c r="AN547" s="83"/>
      <c r="AO547" s="83"/>
      <c r="AP547" s="94"/>
      <c r="AQ547" s="94"/>
    </row>
    <row r="548" ht="15.75" customHeight="1">
      <c r="A548" s="83"/>
      <c r="B548" s="83"/>
      <c r="C548" s="83"/>
      <c r="D548" s="83"/>
      <c r="E548" s="83"/>
      <c r="F548" s="83"/>
      <c r="G548" s="83"/>
      <c r="H548" s="83"/>
      <c r="I548" s="94"/>
      <c r="J548" s="83"/>
      <c r="K548" s="83"/>
      <c r="L548" s="94"/>
      <c r="M548" s="83"/>
      <c r="N548" s="94"/>
      <c r="O548" s="83"/>
      <c r="P548" s="492"/>
      <c r="Q548" s="83"/>
      <c r="R548" s="83"/>
      <c r="S548" s="83"/>
      <c r="T548" s="83"/>
      <c r="U548" s="83"/>
      <c r="V548" s="83"/>
      <c r="W548" s="94"/>
      <c r="X548" s="94"/>
      <c r="Y548" s="94"/>
      <c r="Z548" s="83"/>
      <c r="AA548" s="83"/>
      <c r="AB548" s="83"/>
      <c r="AC548" s="83"/>
      <c r="AD548" s="83"/>
      <c r="AE548" s="83"/>
      <c r="AF548" s="83"/>
      <c r="AG548" s="83"/>
      <c r="AH548" s="83"/>
      <c r="AI548" s="83"/>
      <c r="AJ548" s="83"/>
      <c r="AK548" s="83"/>
      <c r="AL548" s="83"/>
      <c r="AM548" s="83"/>
      <c r="AN548" s="83"/>
      <c r="AO548" s="83"/>
      <c r="AP548" s="94"/>
      <c r="AQ548" s="94"/>
    </row>
    <row r="549" ht="15.75" customHeight="1">
      <c r="A549" s="83"/>
      <c r="B549" s="83"/>
      <c r="C549" s="83"/>
      <c r="D549" s="83"/>
      <c r="E549" s="83"/>
      <c r="F549" s="83"/>
      <c r="G549" s="83"/>
      <c r="H549" s="83"/>
      <c r="I549" s="94"/>
      <c r="J549" s="83"/>
      <c r="K549" s="83"/>
      <c r="L549" s="94"/>
      <c r="M549" s="83"/>
      <c r="N549" s="94"/>
      <c r="O549" s="83"/>
      <c r="P549" s="492"/>
      <c r="Q549" s="83"/>
      <c r="R549" s="83"/>
      <c r="S549" s="83"/>
      <c r="T549" s="83"/>
      <c r="U549" s="83"/>
      <c r="V549" s="83"/>
      <c r="W549" s="94"/>
      <c r="X549" s="94"/>
      <c r="Y549" s="94"/>
      <c r="Z549" s="83"/>
      <c r="AA549" s="83"/>
      <c r="AB549" s="83"/>
      <c r="AC549" s="83"/>
      <c r="AD549" s="83"/>
      <c r="AE549" s="83"/>
      <c r="AF549" s="83"/>
      <c r="AG549" s="83"/>
      <c r="AH549" s="83"/>
      <c r="AI549" s="83"/>
      <c r="AJ549" s="83"/>
      <c r="AK549" s="83"/>
      <c r="AL549" s="83"/>
      <c r="AM549" s="83"/>
      <c r="AN549" s="83"/>
      <c r="AO549" s="83"/>
      <c r="AP549" s="94"/>
      <c r="AQ549" s="94"/>
    </row>
    <row r="550" ht="15.75" customHeight="1">
      <c r="A550" s="83"/>
      <c r="B550" s="83"/>
      <c r="C550" s="83"/>
      <c r="D550" s="83"/>
      <c r="E550" s="83"/>
      <c r="F550" s="83"/>
      <c r="G550" s="83"/>
      <c r="H550" s="83"/>
      <c r="I550" s="94"/>
      <c r="J550" s="83"/>
      <c r="K550" s="83"/>
      <c r="L550" s="94"/>
      <c r="M550" s="83"/>
      <c r="N550" s="94"/>
      <c r="O550" s="83"/>
      <c r="P550" s="492"/>
      <c r="Q550" s="83"/>
      <c r="R550" s="83"/>
      <c r="S550" s="83"/>
      <c r="T550" s="83"/>
      <c r="U550" s="83"/>
      <c r="V550" s="83"/>
      <c r="W550" s="94"/>
      <c r="X550" s="94"/>
      <c r="Y550" s="94"/>
      <c r="Z550" s="83"/>
      <c r="AA550" s="83"/>
      <c r="AB550" s="83"/>
      <c r="AC550" s="83"/>
      <c r="AD550" s="83"/>
      <c r="AE550" s="83"/>
      <c r="AF550" s="83"/>
      <c r="AG550" s="83"/>
      <c r="AH550" s="83"/>
      <c r="AI550" s="83"/>
      <c r="AJ550" s="83"/>
      <c r="AK550" s="83"/>
      <c r="AL550" s="83"/>
      <c r="AM550" s="83"/>
      <c r="AN550" s="83"/>
      <c r="AO550" s="83"/>
      <c r="AP550" s="94"/>
      <c r="AQ550" s="94"/>
    </row>
    <row r="551" ht="15.75" customHeight="1">
      <c r="A551" s="83"/>
      <c r="B551" s="83"/>
      <c r="C551" s="83"/>
      <c r="D551" s="83"/>
      <c r="E551" s="83"/>
      <c r="F551" s="83"/>
      <c r="G551" s="83"/>
      <c r="H551" s="83"/>
      <c r="I551" s="94"/>
      <c r="J551" s="83"/>
      <c r="K551" s="83"/>
      <c r="L551" s="94"/>
      <c r="M551" s="83"/>
      <c r="N551" s="94"/>
      <c r="O551" s="83"/>
      <c r="P551" s="492"/>
      <c r="Q551" s="83"/>
      <c r="R551" s="83"/>
      <c r="S551" s="83"/>
      <c r="T551" s="83"/>
      <c r="U551" s="83"/>
      <c r="V551" s="83"/>
      <c r="W551" s="94"/>
      <c r="X551" s="94"/>
      <c r="Y551" s="94"/>
      <c r="Z551" s="83"/>
      <c r="AA551" s="83"/>
      <c r="AB551" s="83"/>
      <c r="AC551" s="83"/>
      <c r="AD551" s="83"/>
      <c r="AE551" s="83"/>
      <c r="AF551" s="83"/>
      <c r="AG551" s="83"/>
      <c r="AH551" s="83"/>
      <c r="AI551" s="83"/>
      <c r="AJ551" s="83"/>
      <c r="AK551" s="83"/>
      <c r="AL551" s="83"/>
      <c r="AM551" s="83"/>
      <c r="AN551" s="83"/>
      <c r="AO551" s="83"/>
      <c r="AP551" s="94"/>
      <c r="AQ551" s="94"/>
    </row>
    <row r="552" ht="15.75" customHeight="1">
      <c r="A552" s="83"/>
      <c r="B552" s="83"/>
      <c r="C552" s="83"/>
      <c r="D552" s="83"/>
      <c r="E552" s="83"/>
      <c r="F552" s="83"/>
      <c r="G552" s="83"/>
      <c r="H552" s="83"/>
      <c r="I552" s="94"/>
      <c r="J552" s="83"/>
      <c r="K552" s="83"/>
      <c r="L552" s="94"/>
      <c r="M552" s="83"/>
      <c r="N552" s="94"/>
      <c r="O552" s="83"/>
      <c r="P552" s="492"/>
      <c r="Q552" s="83"/>
      <c r="R552" s="83"/>
      <c r="S552" s="83"/>
      <c r="T552" s="83"/>
      <c r="U552" s="83"/>
      <c r="V552" s="83"/>
      <c r="W552" s="94"/>
      <c r="X552" s="94"/>
      <c r="Y552" s="94"/>
      <c r="Z552" s="83"/>
      <c r="AA552" s="83"/>
      <c r="AB552" s="83"/>
      <c r="AC552" s="83"/>
      <c r="AD552" s="83"/>
      <c r="AE552" s="83"/>
      <c r="AF552" s="83"/>
      <c r="AG552" s="83"/>
      <c r="AH552" s="83"/>
      <c r="AI552" s="83"/>
      <c r="AJ552" s="83"/>
      <c r="AK552" s="83"/>
      <c r="AL552" s="83"/>
      <c r="AM552" s="83"/>
      <c r="AN552" s="83"/>
      <c r="AO552" s="83"/>
      <c r="AP552" s="94"/>
      <c r="AQ552" s="94"/>
    </row>
    <row r="553" ht="15.75" customHeight="1">
      <c r="A553" s="83"/>
      <c r="B553" s="83"/>
      <c r="C553" s="83"/>
      <c r="D553" s="83"/>
      <c r="E553" s="83"/>
      <c r="F553" s="83"/>
      <c r="G553" s="83"/>
      <c r="H553" s="83"/>
      <c r="I553" s="94"/>
      <c r="J553" s="83"/>
      <c r="K553" s="83"/>
      <c r="L553" s="94"/>
      <c r="M553" s="83"/>
      <c r="N553" s="94"/>
      <c r="O553" s="83"/>
      <c r="P553" s="492"/>
      <c r="Q553" s="83"/>
      <c r="R553" s="83"/>
      <c r="S553" s="83"/>
      <c r="T553" s="83"/>
      <c r="U553" s="83"/>
      <c r="V553" s="83"/>
      <c r="W553" s="94"/>
      <c r="X553" s="94"/>
      <c r="Y553" s="94"/>
      <c r="Z553" s="83"/>
      <c r="AA553" s="83"/>
      <c r="AB553" s="83"/>
      <c r="AC553" s="83"/>
      <c r="AD553" s="83"/>
      <c r="AE553" s="83"/>
      <c r="AF553" s="83"/>
      <c r="AG553" s="83"/>
      <c r="AH553" s="83"/>
      <c r="AI553" s="83"/>
      <c r="AJ553" s="83"/>
      <c r="AK553" s="83"/>
      <c r="AL553" s="83"/>
      <c r="AM553" s="83"/>
      <c r="AN553" s="83"/>
      <c r="AO553" s="83"/>
      <c r="AP553" s="94"/>
      <c r="AQ553" s="94"/>
    </row>
    <row r="554" ht="15.75" customHeight="1">
      <c r="A554" s="83"/>
      <c r="B554" s="83"/>
      <c r="C554" s="83"/>
      <c r="D554" s="83"/>
      <c r="E554" s="83"/>
      <c r="F554" s="83"/>
      <c r="G554" s="83"/>
      <c r="H554" s="83"/>
      <c r="I554" s="94"/>
      <c r="J554" s="83"/>
      <c r="K554" s="83"/>
      <c r="L554" s="94"/>
      <c r="M554" s="83"/>
      <c r="N554" s="94"/>
      <c r="O554" s="83"/>
      <c r="P554" s="492"/>
      <c r="Q554" s="83"/>
      <c r="R554" s="83"/>
      <c r="S554" s="83"/>
      <c r="T554" s="83"/>
      <c r="U554" s="83"/>
      <c r="V554" s="83"/>
      <c r="W554" s="94"/>
      <c r="X554" s="94"/>
      <c r="Y554" s="94"/>
      <c r="Z554" s="83"/>
      <c r="AA554" s="83"/>
      <c r="AB554" s="83"/>
      <c r="AC554" s="83"/>
      <c r="AD554" s="83"/>
      <c r="AE554" s="83"/>
      <c r="AF554" s="83"/>
      <c r="AG554" s="83"/>
      <c r="AH554" s="83"/>
      <c r="AI554" s="83"/>
      <c r="AJ554" s="83"/>
      <c r="AK554" s="83"/>
      <c r="AL554" s="83"/>
      <c r="AM554" s="83"/>
      <c r="AN554" s="83"/>
      <c r="AO554" s="83"/>
      <c r="AP554" s="94"/>
      <c r="AQ554" s="94"/>
    </row>
    <row r="555" ht="15.75" customHeight="1">
      <c r="A555" s="83"/>
      <c r="B555" s="83"/>
      <c r="C555" s="83"/>
      <c r="D555" s="83"/>
      <c r="E555" s="83"/>
      <c r="F555" s="83"/>
      <c r="G555" s="83"/>
      <c r="H555" s="83"/>
      <c r="I555" s="94"/>
      <c r="J555" s="83"/>
      <c r="K555" s="83"/>
      <c r="L555" s="94"/>
      <c r="M555" s="83"/>
      <c r="N555" s="94"/>
      <c r="O555" s="83"/>
      <c r="P555" s="492"/>
      <c r="Q555" s="83"/>
      <c r="R555" s="83"/>
      <c r="S555" s="83"/>
      <c r="T555" s="83"/>
      <c r="U555" s="83"/>
      <c r="V555" s="83"/>
      <c r="W555" s="94"/>
      <c r="X555" s="94"/>
      <c r="Y555" s="94"/>
      <c r="Z555" s="83"/>
      <c r="AA555" s="83"/>
      <c r="AB555" s="83"/>
      <c r="AC555" s="83"/>
      <c r="AD555" s="83"/>
      <c r="AE555" s="83"/>
      <c r="AF555" s="83"/>
      <c r="AG555" s="83"/>
      <c r="AH555" s="83"/>
      <c r="AI555" s="83"/>
      <c r="AJ555" s="83"/>
      <c r="AK555" s="83"/>
      <c r="AL555" s="83"/>
      <c r="AM555" s="83"/>
      <c r="AN555" s="83"/>
      <c r="AO555" s="83"/>
      <c r="AP555" s="94"/>
      <c r="AQ555" s="94"/>
    </row>
    <row r="556" ht="15.75" customHeight="1">
      <c r="A556" s="83"/>
      <c r="B556" s="83"/>
      <c r="C556" s="83"/>
      <c r="D556" s="83"/>
      <c r="E556" s="83"/>
      <c r="F556" s="83"/>
      <c r="G556" s="83"/>
      <c r="H556" s="83"/>
      <c r="I556" s="94"/>
      <c r="J556" s="83"/>
      <c r="K556" s="83"/>
      <c r="L556" s="94"/>
      <c r="M556" s="83"/>
      <c r="N556" s="94"/>
      <c r="O556" s="83"/>
      <c r="P556" s="492"/>
      <c r="Q556" s="83"/>
      <c r="R556" s="83"/>
      <c r="S556" s="83"/>
      <c r="T556" s="83"/>
      <c r="U556" s="83"/>
      <c r="V556" s="83"/>
      <c r="W556" s="94"/>
      <c r="X556" s="94"/>
      <c r="Y556" s="94"/>
      <c r="Z556" s="83"/>
      <c r="AA556" s="83"/>
      <c r="AB556" s="83"/>
      <c r="AC556" s="83"/>
      <c r="AD556" s="83"/>
      <c r="AE556" s="83"/>
      <c r="AF556" s="83"/>
      <c r="AG556" s="83"/>
      <c r="AH556" s="83"/>
      <c r="AI556" s="83"/>
      <c r="AJ556" s="83"/>
      <c r="AK556" s="83"/>
      <c r="AL556" s="83"/>
      <c r="AM556" s="83"/>
      <c r="AN556" s="83"/>
      <c r="AO556" s="83"/>
      <c r="AP556" s="94"/>
      <c r="AQ556" s="94"/>
    </row>
    <row r="557" ht="15.75" customHeight="1">
      <c r="A557" s="83"/>
      <c r="B557" s="83"/>
      <c r="C557" s="83"/>
      <c r="D557" s="83"/>
      <c r="E557" s="83"/>
      <c r="F557" s="83"/>
      <c r="G557" s="83"/>
      <c r="H557" s="83"/>
      <c r="I557" s="94"/>
      <c r="J557" s="83"/>
      <c r="K557" s="83"/>
      <c r="L557" s="94"/>
      <c r="M557" s="83"/>
      <c r="N557" s="94"/>
      <c r="O557" s="83"/>
      <c r="P557" s="492"/>
      <c r="Q557" s="83"/>
      <c r="R557" s="83"/>
      <c r="S557" s="83"/>
      <c r="T557" s="83"/>
      <c r="U557" s="83"/>
      <c r="V557" s="83"/>
      <c r="W557" s="94"/>
      <c r="X557" s="94"/>
      <c r="Y557" s="94"/>
      <c r="Z557" s="83"/>
      <c r="AA557" s="83"/>
      <c r="AB557" s="83"/>
      <c r="AC557" s="83"/>
      <c r="AD557" s="83"/>
      <c r="AE557" s="83"/>
      <c r="AF557" s="83"/>
      <c r="AG557" s="83"/>
      <c r="AH557" s="83"/>
      <c r="AI557" s="83"/>
      <c r="AJ557" s="83"/>
      <c r="AK557" s="83"/>
      <c r="AL557" s="83"/>
      <c r="AM557" s="83"/>
      <c r="AN557" s="83"/>
      <c r="AO557" s="83"/>
      <c r="AP557" s="94"/>
      <c r="AQ557" s="94"/>
    </row>
    <row r="558" ht="15.75" customHeight="1">
      <c r="A558" s="83"/>
      <c r="B558" s="83"/>
      <c r="C558" s="83"/>
      <c r="D558" s="83"/>
      <c r="E558" s="83"/>
      <c r="F558" s="83"/>
      <c r="G558" s="83"/>
      <c r="H558" s="83"/>
      <c r="I558" s="94"/>
      <c r="J558" s="83"/>
      <c r="K558" s="83"/>
      <c r="L558" s="94"/>
      <c r="M558" s="83"/>
      <c r="N558" s="94"/>
      <c r="O558" s="83"/>
      <c r="P558" s="492"/>
      <c r="Q558" s="83"/>
      <c r="R558" s="83"/>
      <c r="S558" s="83"/>
      <c r="T558" s="83"/>
      <c r="U558" s="83"/>
      <c r="V558" s="83"/>
      <c r="W558" s="94"/>
      <c r="X558" s="94"/>
      <c r="Y558" s="94"/>
      <c r="Z558" s="83"/>
      <c r="AA558" s="83"/>
      <c r="AB558" s="83"/>
      <c r="AC558" s="83"/>
      <c r="AD558" s="83"/>
      <c r="AE558" s="83"/>
      <c r="AF558" s="83"/>
      <c r="AG558" s="83"/>
      <c r="AH558" s="83"/>
      <c r="AI558" s="83"/>
      <c r="AJ558" s="83"/>
      <c r="AK558" s="83"/>
      <c r="AL558" s="83"/>
      <c r="AM558" s="83"/>
      <c r="AN558" s="83"/>
      <c r="AO558" s="83"/>
      <c r="AP558" s="94"/>
      <c r="AQ558" s="94"/>
    </row>
    <row r="559" ht="15.75" customHeight="1">
      <c r="A559" s="83"/>
      <c r="B559" s="83"/>
      <c r="C559" s="83"/>
      <c r="D559" s="83"/>
      <c r="E559" s="83"/>
      <c r="F559" s="83"/>
      <c r="G559" s="83"/>
      <c r="H559" s="83"/>
      <c r="I559" s="94"/>
      <c r="J559" s="83"/>
      <c r="K559" s="83"/>
      <c r="L559" s="94"/>
      <c r="M559" s="83"/>
      <c r="N559" s="94"/>
      <c r="O559" s="83"/>
      <c r="P559" s="492"/>
      <c r="Q559" s="83"/>
      <c r="R559" s="83"/>
      <c r="S559" s="83"/>
      <c r="T559" s="83"/>
      <c r="U559" s="83"/>
      <c r="V559" s="83"/>
      <c r="W559" s="94"/>
      <c r="X559" s="94"/>
      <c r="Y559" s="94"/>
      <c r="Z559" s="83"/>
      <c r="AA559" s="83"/>
      <c r="AB559" s="83"/>
      <c r="AC559" s="83"/>
      <c r="AD559" s="83"/>
      <c r="AE559" s="83"/>
      <c r="AF559" s="83"/>
      <c r="AG559" s="83"/>
      <c r="AH559" s="83"/>
      <c r="AI559" s="83"/>
      <c r="AJ559" s="83"/>
      <c r="AK559" s="83"/>
      <c r="AL559" s="83"/>
      <c r="AM559" s="83"/>
      <c r="AN559" s="83"/>
      <c r="AO559" s="83"/>
      <c r="AP559" s="94"/>
      <c r="AQ559" s="94"/>
    </row>
    <row r="560" ht="15.75" customHeight="1">
      <c r="A560" s="83"/>
      <c r="B560" s="83"/>
      <c r="C560" s="83"/>
      <c r="D560" s="83"/>
      <c r="E560" s="83"/>
      <c r="F560" s="83"/>
      <c r="G560" s="83"/>
      <c r="H560" s="83"/>
      <c r="I560" s="94"/>
      <c r="J560" s="83"/>
      <c r="K560" s="83"/>
      <c r="L560" s="94"/>
      <c r="M560" s="83"/>
      <c r="N560" s="94"/>
      <c r="O560" s="83"/>
      <c r="P560" s="492"/>
      <c r="Q560" s="83"/>
      <c r="R560" s="83"/>
      <c r="S560" s="83"/>
      <c r="T560" s="83"/>
      <c r="U560" s="83"/>
      <c r="V560" s="83"/>
      <c r="W560" s="94"/>
      <c r="X560" s="94"/>
      <c r="Y560" s="94"/>
      <c r="Z560" s="83"/>
      <c r="AA560" s="83"/>
      <c r="AB560" s="83"/>
      <c r="AC560" s="83"/>
      <c r="AD560" s="83"/>
      <c r="AE560" s="83"/>
      <c r="AF560" s="83"/>
      <c r="AG560" s="83"/>
      <c r="AH560" s="83"/>
      <c r="AI560" s="83"/>
      <c r="AJ560" s="83"/>
      <c r="AK560" s="83"/>
      <c r="AL560" s="83"/>
      <c r="AM560" s="83"/>
      <c r="AN560" s="83"/>
      <c r="AO560" s="83"/>
      <c r="AP560" s="94"/>
      <c r="AQ560" s="94"/>
    </row>
    <row r="561" ht="15.75" customHeight="1">
      <c r="A561" s="83"/>
      <c r="B561" s="83"/>
      <c r="C561" s="83"/>
      <c r="D561" s="83"/>
      <c r="E561" s="83"/>
      <c r="F561" s="83"/>
      <c r="G561" s="83"/>
      <c r="H561" s="83"/>
      <c r="I561" s="94"/>
      <c r="J561" s="83"/>
      <c r="K561" s="83"/>
      <c r="L561" s="94"/>
      <c r="M561" s="83"/>
      <c r="N561" s="94"/>
      <c r="O561" s="83"/>
      <c r="P561" s="492"/>
      <c r="Q561" s="83"/>
      <c r="R561" s="83"/>
      <c r="S561" s="83"/>
      <c r="T561" s="83"/>
      <c r="U561" s="83"/>
      <c r="V561" s="83"/>
      <c r="W561" s="94"/>
      <c r="X561" s="94"/>
      <c r="Y561" s="94"/>
      <c r="Z561" s="83"/>
      <c r="AA561" s="83"/>
      <c r="AB561" s="83"/>
      <c r="AC561" s="83"/>
      <c r="AD561" s="83"/>
      <c r="AE561" s="83"/>
      <c r="AF561" s="83"/>
      <c r="AG561" s="83"/>
      <c r="AH561" s="83"/>
      <c r="AI561" s="83"/>
      <c r="AJ561" s="83"/>
      <c r="AK561" s="83"/>
      <c r="AL561" s="83"/>
      <c r="AM561" s="83"/>
      <c r="AN561" s="83"/>
      <c r="AO561" s="83"/>
      <c r="AP561" s="94"/>
      <c r="AQ561" s="94"/>
    </row>
    <row r="562" ht="15.75" customHeight="1">
      <c r="A562" s="83"/>
      <c r="B562" s="83"/>
      <c r="C562" s="83"/>
      <c r="D562" s="83"/>
      <c r="E562" s="83"/>
      <c r="F562" s="83"/>
      <c r="G562" s="83"/>
      <c r="H562" s="83"/>
      <c r="I562" s="94"/>
      <c r="J562" s="83"/>
      <c r="K562" s="83"/>
      <c r="L562" s="94"/>
      <c r="M562" s="83"/>
      <c r="N562" s="94"/>
      <c r="O562" s="83"/>
      <c r="P562" s="492"/>
      <c r="Q562" s="83"/>
      <c r="R562" s="83"/>
      <c r="S562" s="83"/>
      <c r="T562" s="83"/>
      <c r="U562" s="83"/>
      <c r="V562" s="83"/>
      <c r="W562" s="94"/>
      <c r="X562" s="94"/>
      <c r="Y562" s="94"/>
      <c r="Z562" s="83"/>
      <c r="AA562" s="83"/>
      <c r="AB562" s="83"/>
      <c r="AC562" s="83"/>
      <c r="AD562" s="83"/>
      <c r="AE562" s="83"/>
      <c r="AF562" s="83"/>
      <c r="AG562" s="83"/>
      <c r="AH562" s="83"/>
      <c r="AI562" s="83"/>
      <c r="AJ562" s="83"/>
      <c r="AK562" s="83"/>
      <c r="AL562" s="83"/>
      <c r="AM562" s="83"/>
      <c r="AN562" s="83"/>
      <c r="AO562" s="83"/>
      <c r="AP562" s="94"/>
      <c r="AQ562" s="94"/>
    </row>
    <row r="563" ht="15.75" customHeight="1">
      <c r="A563" s="83"/>
      <c r="B563" s="83"/>
      <c r="C563" s="83"/>
      <c r="D563" s="83"/>
      <c r="E563" s="83"/>
      <c r="F563" s="83"/>
      <c r="G563" s="83"/>
      <c r="H563" s="83"/>
      <c r="I563" s="94"/>
      <c r="J563" s="83"/>
      <c r="K563" s="83"/>
      <c r="L563" s="94"/>
      <c r="M563" s="83"/>
      <c r="N563" s="94"/>
      <c r="O563" s="83"/>
      <c r="P563" s="492"/>
      <c r="Q563" s="83"/>
      <c r="R563" s="83"/>
      <c r="S563" s="83"/>
      <c r="T563" s="83"/>
      <c r="U563" s="83"/>
      <c r="V563" s="83"/>
      <c r="W563" s="94"/>
      <c r="X563" s="94"/>
      <c r="Y563" s="94"/>
      <c r="Z563" s="83"/>
      <c r="AA563" s="83"/>
      <c r="AB563" s="83"/>
      <c r="AC563" s="83"/>
      <c r="AD563" s="83"/>
      <c r="AE563" s="83"/>
      <c r="AF563" s="83"/>
      <c r="AG563" s="83"/>
      <c r="AH563" s="83"/>
      <c r="AI563" s="83"/>
      <c r="AJ563" s="83"/>
      <c r="AK563" s="83"/>
      <c r="AL563" s="83"/>
      <c r="AM563" s="83"/>
      <c r="AN563" s="83"/>
      <c r="AO563" s="83"/>
      <c r="AP563" s="94"/>
      <c r="AQ563" s="94"/>
    </row>
    <row r="564" ht="15.75" customHeight="1">
      <c r="A564" s="83"/>
      <c r="B564" s="83"/>
      <c r="C564" s="83"/>
      <c r="D564" s="83"/>
      <c r="E564" s="83"/>
      <c r="F564" s="83"/>
      <c r="G564" s="83"/>
      <c r="H564" s="83"/>
      <c r="I564" s="94"/>
      <c r="J564" s="83"/>
      <c r="K564" s="83"/>
      <c r="L564" s="94"/>
      <c r="M564" s="83"/>
      <c r="N564" s="94"/>
      <c r="O564" s="83"/>
      <c r="P564" s="492"/>
      <c r="Q564" s="83"/>
      <c r="R564" s="83"/>
      <c r="S564" s="83"/>
      <c r="T564" s="83"/>
      <c r="U564" s="83"/>
      <c r="V564" s="83"/>
      <c r="W564" s="94"/>
      <c r="X564" s="94"/>
      <c r="Y564" s="94"/>
      <c r="Z564" s="83"/>
      <c r="AA564" s="83"/>
      <c r="AB564" s="83"/>
      <c r="AC564" s="83"/>
      <c r="AD564" s="83"/>
      <c r="AE564" s="83"/>
      <c r="AF564" s="83"/>
      <c r="AG564" s="83"/>
      <c r="AH564" s="83"/>
      <c r="AI564" s="83"/>
      <c r="AJ564" s="83"/>
      <c r="AK564" s="83"/>
      <c r="AL564" s="83"/>
      <c r="AM564" s="83"/>
      <c r="AN564" s="83"/>
      <c r="AO564" s="83"/>
      <c r="AP564" s="94"/>
      <c r="AQ564" s="94"/>
    </row>
    <row r="565" ht="15.75" customHeight="1">
      <c r="A565" s="83"/>
      <c r="B565" s="83"/>
      <c r="C565" s="83"/>
      <c r="D565" s="83"/>
      <c r="E565" s="83"/>
      <c r="F565" s="83"/>
      <c r="G565" s="83"/>
      <c r="H565" s="83"/>
      <c r="I565" s="94"/>
      <c r="J565" s="83"/>
      <c r="K565" s="83"/>
      <c r="L565" s="94"/>
      <c r="M565" s="83"/>
      <c r="N565" s="94"/>
      <c r="O565" s="83"/>
      <c r="P565" s="492"/>
      <c r="Q565" s="83"/>
      <c r="R565" s="83"/>
      <c r="S565" s="83"/>
      <c r="T565" s="83"/>
      <c r="U565" s="83"/>
      <c r="V565" s="83"/>
      <c r="W565" s="94"/>
      <c r="X565" s="94"/>
      <c r="Y565" s="94"/>
      <c r="Z565" s="83"/>
      <c r="AA565" s="83"/>
      <c r="AB565" s="83"/>
      <c r="AC565" s="83"/>
      <c r="AD565" s="83"/>
      <c r="AE565" s="83"/>
      <c r="AF565" s="83"/>
      <c r="AG565" s="83"/>
      <c r="AH565" s="83"/>
      <c r="AI565" s="83"/>
      <c r="AJ565" s="83"/>
      <c r="AK565" s="83"/>
      <c r="AL565" s="83"/>
      <c r="AM565" s="83"/>
      <c r="AN565" s="83"/>
      <c r="AO565" s="83"/>
      <c r="AP565" s="94"/>
      <c r="AQ565" s="94"/>
    </row>
    <row r="566" ht="15.75" customHeight="1">
      <c r="A566" s="83"/>
      <c r="B566" s="83"/>
      <c r="C566" s="83"/>
      <c r="D566" s="83"/>
      <c r="E566" s="83"/>
      <c r="F566" s="83"/>
      <c r="G566" s="83"/>
      <c r="H566" s="83"/>
      <c r="I566" s="94"/>
      <c r="J566" s="83"/>
      <c r="K566" s="83"/>
      <c r="L566" s="94"/>
      <c r="M566" s="83"/>
      <c r="N566" s="94"/>
      <c r="O566" s="83"/>
      <c r="P566" s="492"/>
      <c r="Q566" s="83"/>
      <c r="R566" s="83"/>
      <c r="S566" s="83"/>
      <c r="T566" s="83"/>
      <c r="U566" s="83"/>
      <c r="V566" s="83"/>
      <c r="W566" s="94"/>
      <c r="X566" s="94"/>
      <c r="Y566" s="94"/>
      <c r="Z566" s="83"/>
      <c r="AA566" s="83"/>
      <c r="AB566" s="83"/>
      <c r="AC566" s="83"/>
      <c r="AD566" s="83"/>
      <c r="AE566" s="83"/>
      <c r="AF566" s="83"/>
      <c r="AG566" s="83"/>
      <c r="AH566" s="83"/>
      <c r="AI566" s="83"/>
      <c r="AJ566" s="83"/>
      <c r="AK566" s="83"/>
      <c r="AL566" s="83"/>
      <c r="AM566" s="83"/>
      <c r="AN566" s="83"/>
      <c r="AO566" s="83"/>
      <c r="AP566" s="94"/>
      <c r="AQ566" s="94"/>
    </row>
    <row r="567" ht="15.75" customHeight="1">
      <c r="A567" s="83"/>
      <c r="B567" s="83"/>
      <c r="C567" s="83"/>
      <c r="D567" s="83"/>
      <c r="E567" s="83"/>
      <c r="F567" s="83"/>
      <c r="G567" s="83"/>
      <c r="H567" s="83"/>
      <c r="I567" s="94"/>
      <c r="J567" s="83"/>
      <c r="K567" s="83"/>
      <c r="L567" s="94"/>
      <c r="M567" s="83"/>
      <c r="N567" s="94"/>
      <c r="O567" s="83"/>
      <c r="P567" s="492"/>
      <c r="Q567" s="83"/>
      <c r="R567" s="83"/>
      <c r="S567" s="83"/>
      <c r="T567" s="83"/>
      <c r="U567" s="83"/>
      <c r="V567" s="83"/>
      <c r="W567" s="94"/>
      <c r="X567" s="94"/>
      <c r="Y567" s="94"/>
      <c r="Z567" s="83"/>
      <c r="AA567" s="83"/>
      <c r="AB567" s="83"/>
      <c r="AC567" s="83"/>
      <c r="AD567" s="83"/>
      <c r="AE567" s="83"/>
      <c r="AF567" s="83"/>
      <c r="AG567" s="83"/>
      <c r="AH567" s="83"/>
      <c r="AI567" s="83"/>
      <c r="AJ567" s="83"/>
      <c r="AK567" s="83"/>
      <c r="AL567" s="83"/>
      <c r="AM567" s="83"/>
      <c r="AN567" s="83"/>
      <c r="AO567" s="83"/>
      <c r="AP567" s="94"/>
      <c r="AQ567" s="94"/>
    </row>
    <row r="568" ht="15.75" customHeight="1">
      <c r="A568" s="83"/>
      <c r="B568" s="83"/>
      <c r="C568" s="83"/>
      <c r="D568" s="83"/>
      <c r="E568" s="83"/>
      <c r="F568" s="83"/>
      <c r="G568" s="83"/>
      <c r="H568" s="83"/>
      <c r="I568" s="94"/>
      <c r="J568" s="83"/>
      <c r="K568" s="83"/>
      <c r="L568" s="94"/>
      <c r="M568" s="83"/>
      <c r="N568" s="94"/>
      <c r="O568" s="83"/>
      <c r="P568" s="492"/>
      <c r="Q568" s="83"/>
      <c r="R568" s="83"/>
      <c r="S568" s="83"/>
      <c r="T568" s="83"/>
      <c r="U568" s="83"/>
      <c r="V568" s="83"/>
      <c r="W568" s="94"/>
      <c r="X568" s="94"/>
      <c r="Y568" s="94"/>
      <c r="Z568" s="83"/>
      <c r="AA568" s="83"/>
      <c r="AB568" s="83"/>
      <c r="AC568" s="83"/>
      <c r="AD568" s="83"/>
      <c r="AE568" s="83"/>
      <c r="AF568" s="83"/>
      <c r="AG568" s="83"/>
      <c r="AH568" s="83"/>
      <c r="AI568" s="83"/>
      <c r="AJ568" s="83"/>
      <c r="AK568" s="83"/>
      <c r="AL568" s="83"/>
      <c r="AM568" s="83"/>
      <c r="AN568" s="83"/>
      <c r="AO568" s="83"/>
      <c r="AP568" s="94"/>
      <c r="AQ568" s="94"/>
    </row>
    <row r="569" ht="15.75" customHeight="1">
      <c r="A569" s="83"/>
      <c r="B569" s="83"/>
      <c r="C569" s="83"/>
      <c r="D569" s="83"/>
      <c r="E569" s="83"/>
      <c r="F569" s="83"/>
      <c r="G569" s="83"/>
      <c r="H569" s="83"/>
      <c r="I569" s="94"/>
      <c r="J569" s="83"/>
      <c r="K569" s="83"/>
      <c r="L569" s="94"/>
      <c r="M569" s="83"/>
      <c r="N569" s="94"/>
      <c r="O569" s="83"/>
      <c r="P569" s="492"/>
      <c r="Q569" s="83"/>
      <c r="R569" s="83"/>
      <c r="S569" s="83"/>
      <c r="T569" s="83"/>
      <c r="U569" s="83"/>
      <c r="V569" s="83"/>
      <c r="W569" s="94"/>
      <c r="X569" s="94"/>
      <c r="Y569" s="94"/>
      <c r="Z569" s="83"/>
      <c r="AA569" s="83"/>
      <c r="AB569" s="83"/>
      <c r="AC569" s="83"/>
      <c r="AD569" s="83"/>
      <c r="AE569" s="83"/>
      <c r="AF569" s="83"/>
      <c r="AG569" s="83"/>
      <c r="AH569" s="83"/>
      <c r="AI569" s="83"/>
      <c r="AJ569" s="83"/>
      <c r="AK569" s="83"/>
      <c r="AL569" s="83"/>
      <c r="AM569" s="83"/>
      <c r="AN569" s="83"/>
      <c r="AO569" s="83"/>
      <c r="AP569" s="94"/>
      <c r="AQ569" s="94"/>
    </row>
    <row r="570" ht="15.75" customHeight="1">
      <c r="A570" s="83"/>
      <c r="B570" s="83"/>
      <c r="C570" s="83"/>
      <c r="D570" s="83"/>
      <c r="E570" s="83"/>
      <c r="F570" s="83"/>
      <c r="G570" s="83"/>
      <c r="H570" s="83"/>
      <c r="I570" s="94"/>
      <c r="J570" s="83"/>
      <c r="K570" s="83"/>
      <c r="L570" s="94"/>
      <c r="M570" s="83"/>
      <c r="N570" s="94"/>
      <c r="O570" s="83"/>
      <c r="P570" s="492"/>
      <c r="Q570" s="83"/>
      <c r="R570" s="83"/>
      <c r="S570" s="83"/>
      <c r="T570" s="83"/>
      <c r="U570" s="83"/>
      <c r="V570" s="83"/>
      <c r="W570" s="94"/>
      <c r="X570" s="94"/>
      <c r="Y570" s="94"/>
      <c r="Z570" s="83"/>
      <c r="AA570" s="83"/>
      <c r="AB570" s="83"/>
      <c r="AC570" s="83"/>
      <c r="AD570" s="83"/>
      <c r="AE570" s="83"/>
      <c r="AF570" s="83"/>
      <c r="AG570" s="83"/>
      <c r="AH570" s="83"/>
      <c r="AI570" s="83"/>
      <c r="AJ570" s="83"/>
      <c r="AK570" s="83"/>
      <c r="AL570" s="83"/>
      <c r="AM570" s="83"/>
      <c r="AN570" s="83"/>
      <c r="AO570" s="83"/>
      <c r="AP570" s="94"/>
      <c r="AQ570" s="94"/>
    </row>
    <row r="571" ht="15.75" customHeight="1">
      <c r="A571" s="83"/>
      <c r="B571" s="83"/>
      <c r="C571" s="83"/>
      <c r="D571" s="83"/>
      <c r="E571" s="83"/>
      <c r="F571" s="83"/>
      <c r="G571" s="83"/>
      <c r="H571" s="83"/>
      <c r="I571" s="94"/>
      <c r="J571" s="83"/>
      <c r="K571" s="83"/>
      <c r="L571" s="94"/>
      <c r="M571" s="83"/>
      <c r="N571" s="94"/>
      <c r="O571" s="83"/>
      <c r="P571" s="492"/>
      <c r="Q571" s="83"/>
      <c r="R571" s="83"/>
      <c r="S571" s="83"/>
      <c r="T571" s="83"/>
      <c r="U571" s="83"/>
      <c r="V571" s="83"/>
      <c r="W571" s="94"/>
      <c r="X571" s="94"/>
      <c r="Y571" s="94"/>
      <c r="Z571" s="83"/>
      <c r="AA571" s="83"/>
      <c r="AB571" s="83"/>
      <c r="AC571" s="83"/>
      <c r="AD571" s="83"/>
      <c r="AE571" s="83"/>
      <c r="AF571" s="83"/>
      <c r="AG571" s="83"/>
      <c r="AH571" s="83"/>
      <c r="AI571" s="83"/>
      <c r="AJ571" s="83"/>
      <c r="AK571" s="83"/>
      <c r="AL571" s="83"/>
      <c r="AM571" s="83"/>
      <c r="AN571" s="83"/>
      <c r="AO571" s="83"/>
      <c r="AP571" s="94"/>
      <c r="AQ571" s="94"/>
    </row>
    <row r="572" ht="15.75" customHeight="1">
      <c r="A572" s="83"/>
      <c r="B572" s="83"/>
      <c r="C572" s="83"/>
      <c r="D572" s="83"/>
      <c r="E572" s="83"/>
      <c r="F572" s="83"/>
      <c r="G572" s="83"/>
      <c r="H572" s="83"/>
      <c r="I572" s="94"/>
      <c r="J572" s="83"/>
      <c r="K572" s="83"/>
      <c r="L572" s="94"/>
      <c r="M572" s="83"/>
      <c r="N572" s="94"/>
      <c r="O572" s="83"/>
      <c r="P572" s="492"/>
      <c r="Q572" s="83"/>
      <c r="R572" s="83"/>
      <c r="S572" s="83"/>
      <c r="T572" s="83"/>
      <c r="U572" s="83"/>
      <c r="V572" s="83"/>
      <c r="W572" s="94"/>
      <c r="X572" s="94"/>
      <c r="Y572" s="94"/>
      <c r="Z572" s="83"/>
      <c r="AA572" s="83"/>
      <c r="AB572" s="83"/>
      <c r="AC572" s="83"/>
      <c r="AD572" s="83"/>
      <c r="AE572" s="83"/>
      <c r="AF572" s="83"/>
      <c r="AG572" s="83"/>
      <c r="AH572" s="83"/>
      <c r="AI572" s="83"/>
      <c r="AJ572" s="83"/>
      <c r="AK572" s="83"/>
      <c r="AL572" s="83"/>
      <c r="AM572" s="83"/>
      <c r="AN572" s="83"/>
      <c r="AO572" s="83"/>
      <c r="AP572" s="94"/>
      <c r="AQ572" s="94"/>
    </row>
    <row r="573" ht="15.75" customHeight="1">
      <c r="A573" s="83"/>
      <c r="B573" s="83"/>
      <c r="C573" s="83"/>
      <c r="D573" s="83"/>
      <c r="E573" s="83"/>
      <c r="F573" s="83"/>
      <c r="G573" s="83"/>
      <c r="H573" s="83"/>
      <c r="I573" s="94"/>
      <c r="J573" s="83"/>
      <c r="K573" s="83"/>
      <c r="L573" s="94"/>
      <c r="M573" s="83"/>
      <c r="N573" s="94"/>
      <c r="O573" s="83"/>
      <c r="P573" s="492"/>
      <c r="Q573" s="83"/>
      <c r="R573" s="83"/>
      <c r="S573" s="83"/>
      <c r="T573" s="83"/>
      <c r="U573" s="83"/>
      <c r="V573" s="83"/>
      <c r="W573" s="94"/>
      <c r="X573" s="94"/>
      <c r="Y573" s="94"/>
      <c r="Z573" s="83"/>
      <c r="AA573" s="83"/>
      <c r="AB573" s="83"/>
      <c r="AC573" s="83"/>
      <c r="AD573" s="83"/>
      <c r="AE573" s="83"/>
      <c r="AF573" s="83"/>
      <c r="AG573" s="83"/>
      <c r="AH573" s="83"/>
      <c r="AI573" s="83"/>
      <c r="AJ573" s="83"/>
      <c r="AK573" s="83"/>
      <c r="AL573" s="83"/>
      <c r="AM573" s="83"/>
      <c r="AN573" s="83"/>
      <c r="AO573" s="83"/>
      <c r="AP573" s="94"/>
      <c r="AQ573" s="94"/>
    </row>
    <row r="574" ht="15.75" customHeight="1">
      <c r="A574" s="83"/>
      <c r="B574" s="83"/>
      <c r="C574" s="83"/>
      <c r="D574" s="83"/>
      <c r="E574" s="83"/>
      <c r="F574" s="83"/>
      <c r="G574" s="83"/>
      <c r="H574" s="83"/>
      <c r="I574" s="94"/>
      <c r="J574" s="83"/>
      <c r="K574" s="83"/>
      <c r="L574" s="94"/>
      <c r="M574" s="83"/>
      <c r="N574" s="94"/>
      <c r="O574" s="83"/>
      <c r="P574" s="492"/>
      <c r="Q574" s="83"/>
      <c r="R574" s="83"/>
      <c r="S574" s="83"/>
      <c r="T574" s="83"/>
      <c r="U574" s="83"/>
      <c r="V574" s="83"/>
      <c r="W574" s="94"/>
      <c r="X574" s="94"/>
      <c r="Y574" s="94"/>
      <c r="Z574" s="83"/>
      <c r="AA574" s="83"/>
      <c r="AB574" s="83"/>
      <c r="AC574" s="83"/>
      <c r="AD574" s="83"/>
      <c r="AE574" s="83"/>
      <c r="AF574" s="83"/>
      <c r="AG574" s="83"/>
      <c r="AH574" s="83"/>
      <c r="AI574" s="83"/>
      <c r="AJ574" s="83"/>
      <c r="AK574" s="83"/>
      <c r="AL574" s="83"/>
      <c r="AM574" s="83"/>
      <c r="AN574" s="83"/>
      <c r="AO574" s="83"/>
      <c r="AP574" s="94"/>
      <c r="AQ574" s="94"/>
    </row>
    <row r="575" ht="15.75" customHeight="1">
      <c r="A575" s="83"/>
      <c r="B575" s="83"/>
      <c r="C575" s="83"/>
      <c r="D575" s="83"/>
      <c r="E575" s="83"/>
      <c r="F575" s="83"/>
      <c r="G575" s="83"/>
      <c r="H575" s="83"/>
      <c r="I575" s="94"/>
      <c r="J575" s="83"/>
      <c r="K575" s="83"/>
      <c r="L575" s="94"/>
      <c r="M575" s="83"/>
      <c r="N575" s="94"/>
      <c r="O575" s="83"/>
      <c r="P575" s="492"/>
      <c r="Q575" s="83"/>
      <c r="R575" s="83"/>
      <c r="S575" s="83"/>
      <c r="T575" s="83"/>
      <c r="U575" s="83"/>
      <c r="V575" s="83"/>
      <c r="W575" s="94"/>
      <c r="X575" s="94"/>
      <c r="Y575" s="94"/>
      <c r="Z575" s="83"/>
      <c r="AA575" s="83"/>
      <c r="AB575" s="83"/>
      <c r="AC575" s="83"/>
      <c r="AD575" s="83"/>
      <c r="AE575" s="83"/>
      <c r="AF575" s="83"/>
      <c r="AG575" s="83"/>
      <c r="AH575" s="83"/>
      <c r="AI575" s="83"/>
      <c r="AJ575" s="83"/>
      <c r="AK575" s="83"/>
      <c r="AL575" s="83"/>
      <c r="AM575" s="83"/>
      <c r="AN575" s="83"/>
      <c r="AO575" s="83"/>
      <c r="AP575" s="94"/>
      <c r="AQ575" s="94"/>
    </row>
    <row r="576" ht="15.75" customHeight="1">
      <c r="A576" s="83"/>
      <c r="B576" s="83"/>
      <c r="C576" s="83"/>
      <c r="D576" s="83"/>
      <c r="E576" s="83"/>
      <c r="F576" s="83"/>
      <c r="G576" s="83"/>
      <c r="H576" s="83"/>
      <c r="I576" s="94"/>
      <c r="J576" s="83"/>
      <c r="K576" s="83"/>
      <c r="L576" s="94"/>
      <c r="M576" s="83"/>
      <c r="N576" s="94"/>
      <c r="O576" s="83"/>
      <c r="P576" s="492"/>
      <c r="Q576" s="83"/>
      <c r="R576" s="83"/>
      <c r="S576" s="83"/>
      <c r="T576" s="83"/>
      <c r="U576" s="83"/>
      <c r="V576" s="83"/>
      <c r="W576" s="94"/>
      <c r="X576" s="94"/>
      <c r="Y576" s="94"/>
      <c r="Z576" s="83"/>
      <c r="AA576" s="83"/>
      <c r="AB576" s="83"/>
      <c r="AC576" s="83"/>
      <c r="AD576" s="83"/>
      <c r="AE576" s="83"/>
      <c r="AF576" s="83"/>
      <c r="AG576" s="83"/>
      <c r="AH576" s="83"/>
      <c r="AI576" s="83"/>
      <c r="AJ576" s="83"/>
      <c r="AK576" s="83"/>
      <c r="AL576" s="83"/>
      <c r="AM576" s="83"/>
      <c r="AN576" s="83"/>
      <c r="AO576" s="83"/>
      <c r="AP576" s="94"/>
      <c r="AQ576" s="94"/>
    </row>
    <row r="577" ht="15.75" customHeight="1">
      <c r="A577" s="83"/>
      <c r="B577" s="83"/>
      <c r="C577" s="83"/>
      <c r="D577" s="83"/>
      <c r="E577" s="83"/>
      <c r="F577" s="83"/>
      <c r="G577" s="83"/>
      <c r="H577" s="83"/>
      <c r="I577" s="94"/>
      <c r="J577" s="83"/>
      <c r="K577" s="83"/>
      <c r="L577" s="94"/>
      <c r="M577" s="83"/>
      <c r="N577" s="94"/>
      <c r="O577" s="83"/>
      <c r="P577" s="492"/>
      <c r="Q577" s="83"/>
      <c r="R577" s="83"/>
      <c r="S577" s="83"/>
      <c r="T577" s="83"/>
      <c r="U577" s="83"/>
      <c r="V577" s="83"/>
      <c r="W577" s="94"/>
      <c r="X577" s="94"/>
      <c r="Y577" s="94"/>
      <c r="Z577" s="83"/>
      <c r="AA577" s="83"/>
      <c r="AB577" s="83"/>
      <c r="AC577" s="83"/>
      <c r="AD577" s="83"/>
      <c r="AE577" s="83"/>
      <c r="AF577" s="83"/>
      <c r="AG577" s="83"/>
      <c r="AH577" s="83"/>
      <c r="AI577" s="83"/>
      <c r="AJ577" s="83"/>
      <c r="AK577" s="83"/>
      <c r="AL577" s="83"/>
      <c r="AM577" s="83"/>
      <c r="AN577" s="83"/>
      <c r="AO577" s="83"/>
      <c r="AP577" s="94"/>
      <c r="AQ577" s="94"/>
    </row>
    <row r="578" ht="15.75" customHeight="1">
      <c r="A578" s="83"/>
      <c r="B578" s="83"/>
      <c r="C578" s="83"/>
      <c r="D578" s="83"/>
      <c r="E578" s="83"/>
      <c r="F578" s="83"/>
      <c r="G578" s="83"/>
      <c r="H578" s="83"/>
      <c r="I578" s="94"/>
      <c r="J578" s="83"/>
      <c r="K578" s="83"/>
      <c r="L578" s="94"/>
      <c r="M578" s="83"/>
      <c r="N578" s="94"/>
      <c r="O578" s="83"/>
      <c r="P578" s="492"/>
      <c r="Q578" s="83"/>
      <c r="R578" s="83"/>
      <c r="S578" s="83"/>
      <c r="T578" s="83"/>
      <c r="U578" s="83"/>
      <c r="V578" s="83"/>
      <c r="W578" s="94"/>
      <c r="X578" s="94"/>
      <c r="Y578" s="94"/>
      <c r="Z578" s="83"/>
      <c r="AA578" s="83"/>
      <c r="AB578" s="83"/>
      <c r="AC578" s="83"/>
      <c r="AD578" s="83"/>
      <c r="AE578" s="83"/>
      <c r="AF578" s="83"/>
      <c r="AG578" s="83"/>
      <c r="AH578" s="83"/>
      <c r="AI578" s="83"/>
      <c r="AJ578" s="83"/>
      <c r="AK578" s="83"/>
      <c r="AL578" s="83"/>
      <c r="AM578" s="83"/>
      <c r="AN578" s="83"/>
      <c r="AO578" s="83"/>
      <c r="AP578" s="94"/>
      <c r="AQ578" s="94"/>
    </row>
    <row r="579" ht="15.75" customHeight="1">
      <c r="A579" s="83"/>
      <c r="B579" s="83"/>
      <c r="C579" s="83"/>
      <c r="D579" s="83"/>
      <c r="E579" s="83"/>
      <c r="F579" s="83"/>
      <c r="G579" s="83"/>
      <c r="H579" s="83"/>
      <c r="I579" s="94"/>
      <c r="J579" s="83"/>
      <c r="K579" s="83"/>
      <c r="L579" s="94"/>
      <c r="M579" s="83"/>
      <c r="N579" s="94"/>
      <c r="O579" s="83"/>
      <c r="P579" s="492"/>
      <c r="Q579" s="83"/>
      <c r="R579" s="83"/>
      <c r="S579" s="83"/>
      <c r="T579" s="83"/>
      <c r="U579" s="83"/>
      <c r="V579" s="83"/>
      <c r="W579" s="94"/>
      <c r="X579" s="94"/>
      <c r="Y579" s="94"/>
      <c r="Z579" s="83"/>
      <c r="AA579" s="83"/>
      <c r="AB579" s="83"/>
      <c r="AC579" s="83"/>
      <c r="AD579" s="83"/>
      <c r="AE579" s="83"/>
      <c r="AF579" s="83"/>
      <c r="AG579" s="83"/>
      <c r="AH579" s="83"/>
      <c r="AI579" s="83"/>
      <c r="AJ579" s="83"/>
      <c r="AK579" s="83"/>
      <c r="AL579" s="83"/>
      <c r="AM579" s="83"/>
      <c r="AN579" s="83"/>
      <c r="AO579" s="83"/>
      <c r="AP579" s="94"/>
      <c r="AQ579" s="94"/>
    </row>
    <row r="580" ht="15.75" customHeight="1">
      <c r="A580" s="83"/>
      <c r="B580" s="83"/>
      <c r="C580" s="83"/>
      <c r="D580" s="83"/>
      <c r="E580" s="83"/>
      <c r="F580" s="83"/>
      <c r="G580" s="83"/>
      <c r="H580" s="83"/>
      <c r="I580" s="94"/>
      <c r="J580" s="83"/>
      <c r="K580" s="83"/>
      <c r="L580" s="94"/>
      <c r="M580" s="83"/>
      <c r="N580" s="94"/>
      <c r="O580" s="83"/>
      <c r="P580" s="492"/>
      <c r="Q580" s="83"/>
      <c r="R580" s="83"/>
      <c r="S580" s="83"/>
      <c r="T580" s="83"/>
      <c r="U580" s="83"/>
      <c r="V580" s="83"/>
      <c r="W580" s="94"/>
      <c r="X580" s="94"/>
      <c r="Y580" s="94"/>
      <c r="Z580" s="83"/>
      <c r="AA580" s="83"/>
      <c r="AB580" s="83"/>
      <c r="AC580" s="83"/>
      <c r="AD580" s="83"/>
      <c r="AE580" s="83"/>
      <c r="AF580" s="83"/>
      <c r="AG580" s="83"/>
      <c r="AH580" s="83"/>
      <c r="AI580" s="83"/>
      <c r="AJ580" s="83"/>
      <c r="AK580" s="83"/>
      <c r="AL580" s="83"/>
      <c r="AM580" s="83"/>
      <c r="AN580" s="83"/>
      <c r="AO580" s="83"/>
      <c r="AP580" s="94"/>
      <c r="AQ580" s="94"/>
    </row>
    <row r="581" ht="15.75" customHeight="1">
      <c r="A581" s="83"/>
      <c r="B581" s="83"/>
      <c r="C581" s="83"/>
      <c r="D581" s="83"/>
      <c r="E581" s="83"/>
      <c r="F581" s="83"/>
      <c r="G581" s="83"/>
      <c r="H581" s="83"/>
      <c r="I581" s="94"/>
      <c r="J581" s="83"/>
      <c r="K581" s="83"/>
      <c r="L581" s="94"/>
      <c r="M581" s="83"/>
      <c r="N581" s="94"/>
      <c r="O581" s="83"/>
      <c r="P581" s="492"/>
      <c r="Q581" s="83"/>
      <c r="R581" s="83"/>
      <c r="S581" s="83"/>
      <c r="T581" s="83"/>
      <c r="U581" s="83"/>
      <c r="V581" s="83"/>
      <c r="W581" s="94"/>
      <c r="X581" s="94"/>
      <c r="Y581" s="94"/>
      <c r="Z581" s="83"/>
      <c r="AA581" s="83"/>
      <c r="AB581" s="83"/>
      <c r="AC581" s="83"/>
      <c r="AD581" s="83"/>
      <c r="AE581" s="83"/>
      <c r="AF581" s="83"/>
      <c r="AG581" s="83"/>
      <c r="AH581" s="83"/>
      <c r="AI581" s="83"/>
      <c r="AJ581" s="83"/>
      <c r="AK581" s="83"/>
      <c r="AL581" s="83"/>
      <c r="AM581" s="83"/>
      <c r="AN581" s="83"/>
      <c r="AO581" s="83"/>
      <c r="AP581" s="94"/>
      <c r="AQ581" s="94"/>
    </row>
    <row r="582" ht="15.75" customHeight="1">
      <c r="A582" s="83"/>
      <c r="B582" s="83"/>
      <c r="C582" s="83"/>
      <c r="D582" s="83"/>
      <c r="E582" s="83"/>
      <c r="F582" s="83"/>
      <c r="G582" s="83"/>
      <c r="H582" s="83"/>
      <c r="I582" s="94"/>
      <c r="J582" s="83"/>
      <c r="K582" s="83"/>
      <c r="L582" s="94"/>
      <c r="M582" s="83"/>
      <c r="N582" s="94"/>
      <c r="O582" s="83"/>
      <c r="P582" s="492"/>
      <c r="Q582" s="83"/>
      <c r="R582" s="83"/>
      <c r="S582" s="83"/>
      <c r="T582" s="83"/>
      <c r="U582" s="83"/>
      <c r="V582" s="83"/>
      <c r="W582" s="94"/>
      <c r="X582" s="94"/>
      <c r="Y582" s="94"/>
      <c r="Z582" s="83"/>
      <c r="AA582" s="83"/>
      <c r="AB582" s="83"/>
      <c r="AC582" s="83"/>
      <c r="AD582" s="83"/>
      <c r="AE582" s="83"/>
      <c r="AF582" s="83"/>
      <c r="AG582" s="83"/>
      <c r="AH582" s="83"/>
      <c r="AI582" s="83"/>
      <c r="AJ582" s="83"/>
      <c r="AK582" s="83"/>
      <c r="AL582" s="83"/>
      <c r="AM582" s="83"/>
      <c r="AN582" s="83"/>
      <c r="AO582" s="83"/>
      <c r="AP582" s="94"/>
      <c r="AQ582" s="94"/>
    </row>
    <row r="583" ht="15.75" customHeight="1">
      <c r="A583" s="83"/>
      <c r="B583" s="83"/>
      <c r="C583" s="83"/>
      <c r="D583" s="83"/>
      <c r="E583" s="83"/>
      <c r="F583" s="83"/>
      <c r="G583" s="83"/>
      <c r="H583" s="83"/>
      <c r="I583" s="94"/>
      <c r="J583" s="83"/>
      <c r="K583" s="83"/>
      <c r="L583" s="94"/>
      <c r="M583" s="83"/>
      <c r="N583" s="94"/>
      <c r="O583" s="83"/>
      <c r="P583" s="492"/>
      <c r="Q583" s="83"/>
      <c r="R583" s="83"/>
      <c r="S583" s="83"/>
      <c r="T583" s="83"/>
      <c r="U583" s="83"/>
      <c r="V583" s="83"/>
      <c r="W583" s="94"/>
      <c r="X583" s="94"/>
      <c r="Y583" s="94"/>
      <c r="Z583" s="83"/>
      <c r="AA583" s="83"/>
      <c r="AB583" s="83"/>
      <c r="AC583" s="83"/>
      <c r="AD583" s="83"/>
      <c r="AE583" s="83"/>
      <c r="AF583" s="83"/>
      <c r="AG583" s="83"/>
      <c r="AH583" s="83"/>
      <c r="AI583" s="83"/>
      <c r="AJ583" s="83"/>
      <c r="AK583" s="83"/>
      <c r="AL583" s="83"/>
      <c r="AM583" s="83"/>
      <c r="AN583" s="83"/>
      <c r="AO583" s="83"/>
      <c r="AP583" s="94"/>
      <c r="AQ583" s="94"/>
    </row>
    <row r="584" ht="15.75" customHeight="1">
      <c r="A584" s="83"/>
      <c r="B584" s="83"/>
      <c r="C584" s="83"/>
      <c r="D584" s="83"/>
      <c r="E584" s="83"/>
      <c r="F584" s="83"/>
      <c r="G584" s="83"/>
      <c r="H584" s="83"/>
      <c r="I584" s="94"/>
      <c r="J584" s="83"/>
      <c r="K584" s="83"/>
      <c r="L584" s="94"/>
      <c r="M584" s="83"/>
      <c r="N584" s="94"/>
      <c r="O584" s="83"/>
      <c r="P584" s="492"/>
      <c r="Q584" s="83"/>
      <c r="R584" s="83"/>
      <c r="S584" s="83"/>
      <c r="T584" s="83"/>
      <c r="U584" s="83"/>
      <c r="V584" s="83"/>
      <c r="W584" s="94"/>
      <c r="X584" s="94"/>
      <c r="Y584" s="94"/>
      <c r="Z584" s="83"/>
      <c r="AA584" s="83"/>
      <c r="AB584" s="83"/>
      <c r="AC584" s="83"/>
      <c r="AD584" s="83"/>
      <c r="AE584" s="83"/>
      <c r="AF584" s="83"/>
      <c r="AG584" s="83"/>
      <c r="AH584" s="83"/>
      <c r="AI584" s="83"/>
      <c r="AJ584" s="83"/>
      <c r="AK584" s="83"/>
      <c r="AL584" s="83"/>
      <c r="AM584" s="83"/>
      <c r="AN584" s="83"/>
      <c r="AO584" s="83"/>
      <c r="AP584" s="94"/>
      <c r="AQ584" s="94"/>
    </row>
    <row r="585" ht="15.75" customHeight="1">
      <c r="A585" s="83"/>
      <c r="B585" s="83"/>
      <c r="C585" s="83"/>
      <c r="D585" s="83"/>
      <c r="E585" s="83"/>
      <c r="F585" s="83"/>
      <c r="G585" s="83"/>
      <c r="H585" s="83"/>
      <c r="I585" s="94"/>
      <c r="J585" s="83"/>
      <c r="K585" s="83"/>
      <c r="L585" s="94"/>
      <c r="M585" s="83"/>
      <c r="N585" s="94"/>
      <c r="O585" s="83"/>
      <c r="P585" s="492"/>
      <c r="Q585" s="83"/>
      <c r="R585" s="83"/>
      <c r="S585" s="83"/>
      <c r="T585" s="83"/>
      <c r="U585" s="83"/>
      <c r="V585" s="83"/>
      <c r="W585" s="94"/>
      <c r="X585" s="94"/>
      <c r="Y585" s="94"/>
      <c r="Z585" s="83"/>
      <c r="AA585" s="83"/>
      <c r="AB585" s="83"/>
      <c r="AC585" s="83"/>
      <c r="AD585" s="83"/>
      <c r="AE585" s="83"/>
      <c r="AF585" s="83"/>
      <c r="AG585" s="83"/>
      <c r="AH585" s="83"/>
      <c r="AI585" s="83"/>
      <c r="AJ585" s="83"/>
      <c r="AK585" s="83"/>
      <c r="AL585" s="83"/>
      <c r="AM585" s="83"/>
      <c r="AN585" s="83"/>
      <c r="AO585" s="83"/>
      <c r="AP585" s="94"/>
      <c r="AQ585" s="94"/>
    </row>
    <row r="586" ht="15.75" customHeight="1">
      <c r="A586" s="83"/>
      <c r="B586" s="83"/>
      <c r="C586" s="83"/>
      <c r="D586" s="83"/>
      <c r="E586" s="83"/>
      <c r="F586" s="83"/>
      <c r="G586" s="83"/>
      <c r="H586" s="83"/>
      <c r="I586" s="94"/>
      <c r="J586" s="83"/>
      <c r="K586" s="83"/>
      <c r="L586" s="94"/>
      <c r="M586" s="83"/>
      <c r="N586" s="94"/>
      <c r="O586" s="83"/>
      <c r="P586" s="492"/>
      <c r="Q586" s="83"/>
      <c r="R586" s="83"/>
      <c r="S586" s="83"/>
      <c r="T586" s="83"/>
      <c r="U586" s="83"/>
      <c r="V586" s="83"/>
      <c r="W586" s="94"/>
      <c r="X586" s="94"/>
      <c r="Y586" s="94"/>
      <c r="Z586" s="83"/>
      <c r="AA586" s="83"/>
      <c r="AB586" s="83"/>
      <c r="AC586" s="83"/>
      <c r="AD586" s="83"/>
      <c r="AE586" s="83"/>
      <c r="AF586" s="83"/>
      <c r="AG586" s="83"/>
      <c r="AH586" s="83"/>
      <c r="AI586" s="83"/>
      <c r="AJ586" s="83"/>
      <c r="AK586" s="83"/>
      <c r="AL586" s="83"/>
      <c r="AM586" s="83"/>
      <c r="AN586" s="83"/>
      <c r="AO586" s="83"/>
      <c r="AP586" s="94"/>
      <c r="AQ586" s="94"/>
    </row>
    <row r="587" ht="15.75" customHeight="1">
      <c r="A587" s="83"/>
      <c r="B587" s="83"/>
      <c r="C587" s="83"/>
      <c r="D587" s="83"/>
      <c r="E587" s="83"/>
      <c r="F587" s="83"/>
      <c r="G587" s="83"/>
      <c r="H587" s="83"/>
      <c r="I587" s="94"/>
      <c r="J587" s="83"/>
      <c r="K587" s="83"/>
      <c r="L587" s="94"/>
      <c r="M587" s="83"/>
      <c r="N587" s="94"/>
      <c r="O587" s="83"/>
      <c r="P587" s="492"/>
      <c r="Q587" s="83"/>
      <c r="R587" s="83"/>
      <c r="S587" s="83"/>
      <c r="T587" s="83"/>
      <c r="U587" s="83"/>
      <c r="V587" s="83"/>
      <c r="W587" s="94"/>
      <c r="X587" s="94"/>
      <c r="Y587" s="94"/>
      <c r="Z587" s="83"/>
      <c r="AA587" s="83"/>
      <c r="AB587" s="83"/>
      <c r="AC587" s="83"/>
      <c r="AD587" s="83"/>
      <c r="AE587" s="83"/>
      <c r="AF587" s="83"/>
      <c r="AG587" s="83"/>
      <c r="AH587" s="83"/>
      <c r="AI587" s="83"/>
      <c r="AJ587" s="83"/>
      <c r="AK587" s="83"/>
      <c r="AL587" s="83"/>
      <c r="AM587" s="83"/>
      <c r="AN587" s="83"/>
      <c r="AO587" s="83"/>
      <c r="AP587" s="94"/>
      <c r="AQ587" s="94"/>
    </row>
    <row r="588" ht="15.75" customHeight="1">
      <c r="A588" s="83"/>
      <c r="B588" s="83"/>
      <c r="C588" s="83"/>
      <c r="D588" s="83"/>
      <c r="E588" s="83"/>
      <c r="F588" s="83"/>
      <c r="G588" s="83"/>
      <c r="H588" s="83"/>
      <c r="I588" s="94"/>
      <c r="J588" s="83"/>
      <c r="K588" s="83"/>
      <c r="L588" s="94"/>
      <c r="M588" s="83"/>
      <c r="N588" s="94"/>
      <c r="O588" s="83"/>
      <c r="P588" s="492"/>
      <c r="Q588" s="83"/>
      <c r="R588" s="83"/>
      <c r="S588" s="83"/>
      <c r="T588" s="83"/>
      <c r="U588" s="83"/>
      <c r="V588" s="83"/>
      <c r="W588" s="94"/>
      <c r="X588" s="94"/>
      <c r="Y588" s="94"/>
      <c r="Z588" s="83"/>
      <c r="AA588" s="83"/>
      <c r="AB588" s="83"/>
      <c r="AC588" s="83"/>
      <c r="AD588" s="83"/>
      <c r="AE588" s="83"/>
      <c r="AF588" s="83"/>
      <c r="AG588" s="83"/>
      <c r="AH588" s="83"/>
      <c r="AI588" s="83"/>
      <c r="AJ588" s="83"/>
      <c r="AK588" s="83"/>
      <c r="AL588" s="83"/>
      <c r="AM588" s="83"/>
      <c r="AN588" s="83"/>
      <c r="AO588" s="83"/>
      <c r="AP588" s="94"/>
      <c r="AQ588" s="94"/>
    </row>
    <row r="589" ht="15.75" customHeight="1">
      <c r="A589" s="83"/>
      <c r="B589" s="83"/>
      <c r="C589" s="83"/>
      <c r="D589" s="83"/>
      <c r="E589" s="83"/>
      <c r="F589" s="83"/>
      <c r="G589" s="83"/>
      <c r="H589" s="83"/>
      <c r="I589" s="94"/>
      <c r="J589" s="83"/>
      <c r="K589" s="83"/>
      <c r="L589" s="94"/>
      <c r="M589" s="83"/>
      <c r="N589" s="94"/>
      <c r="O589" s="83"/>
      <c r="P589" s="492"/>
      <c r="Q589" s="83"/>
      <c r="R589" s="83"/>
      <c r="S589" s="83"/>
      <c r="T589" s="83"/>
      <c r="U589" s="83"/>
      <c r="V589" s="83"/>
      <c r="W589" s="94"/>
      <c r="X589" s="94"/>
      <c r="Y589" s="94"/>
      <c r="Z589" s="83"/>
      <c r="AA589" s="83"/>
      <c r="AB589" s="83"/>
      <c r="AC589" s="83"/>
      <c r="AD589" s="83"/>
      <c r="AE589" s="83"/>
      <c r="AF589" s="83"/>
      <c r="AG589" s="83"/>
      <c r="AH589" s="83"/>
      <c r="AI589" s="83"/>
      <c r="AJ589" s="83"/>
      <c r="AK589" s="83"/>
      <c r="AL589" s="83"/>
      <c r="AM589" s="83"/>
      <c r="AN589" s="83"/>
      <c r="AO589" s="83"/>
      <c r="AP589" s="94"/>
      <c r="AQ589" s="94"/>
    </row>
    <row r="590" ht="15.75" customHeight="1">
      <c r="A590" s="83"/>
      <c r="B590" s="83"/>
      <c r="C590" s="83"/>
      <c r="D590" s="83"/>
      <c r="E590" s="83"/>
      <c r="F590" s="83"/>
      <c r="G590" s="83"/>
      <c r="H590" s="83"/>
      <c r="I590" s="94"/>
      <c r="J590" s="83"/>
      <c r="K590" s="83"/>
      <c r="L590" s="94"/>
      <c r="M590" s="83"/>
      <c r="N590" s="94"/>
      <c r="O590" s="83"/>
      <c r="P590" s="492"/>
      <c r="Q590" s="83"/>
      <c r="R590" s="83"/>
      <c r="S590" s="83"/>
      <c r="T590" s="83"/>
      <c r="U590" s="83"/>
      <c r="V590" s="83"/>
      <c r="W590" s="94"/>
      <c r="X590" s="94"/>
      <c r="Y590" s="94"/>
      <c r="Z590" s="83"/>
      <c r="AA590" s="83"/>
      <c r="AB590" s="83"/>
      <c r="AC590" s="83"/>
      <c r="AD590" s="83"/>
      <c r="AE590" s="83"/>
      <c r="AF590" s="83"/>
      <c r="AG590" s="83"/>
      <c r="AH590" s="83"/>
      <c r="AI590" s="83"/>
      <c r="AJ590" s="83"/>
      <c r="AK590" s="83"/>
      <c r="AL590" s="83"/>
      <c r="AM590" s="83"/>
      <c r="AN590" s="83"/>
      <c r="AO590" s="83"/>
      <c r="AP590" s="94"/>
      <c r="AQ590" s="94"/>
    </row>
    <row r="591" ht="15.75" customHeight="1">
      <c r="A591" s="83"/>
      <c r="B591" s="83"/>
      <c r="C591" s="83"/>
      <c r="D591" s="83"/>
      <c r="E591" s="83"/>
      <c r="F591" s="83"/>
      <c r="G591" s="83"/>
      <c r="H591" s="83"/>
      <c r="I591" s="94"/>
      <c r="J591" s="83"/>
      <c r="K591" s="83"/>
      <c r="L591" s="94"/>
      <c r="M591" s="83"/>
      <c r="N591" s="94"/>
      <c r="O591" s="83"/>
      <c r="P591" s="492"/>
      <c r="Q591" s="83"/>
      <c r="R591" s="83"/>
      <c r="S591" s="83"/>
      <c r="T591" s="83"/>
      <c r="U591" s="83"/>
      <c r="V591" s="83"/>
      <c r="W591" s="94"/>
      <c r="X591" s="94"/>
      <c r="Y591" s="94"/>
      <c r="Z591" s="83"/>
      <c r="AA591" s="83"/>
      <c r="AB591" s="83"/>
      <c r="AC591" s="83"/>
      <c r="AD591" s="83"/>
      <c r="AE591" s="83"/>
      <c r="AF591" s="83"/>
      <c r="AG591" s="83"/>
      <c r="AH591" s="83"/>
      <c r="AI591" s="83"/>
      <c r="AJ591" s="83"/>
      <c r="AK591" s="83"/>
      <c r="AL591" s="83"/>
      <c r="AM591" s="83"/>
      <c r="AN591" s="83"/>
      <c r="AO591" s="83"/>
      <c r="AP591" s="94"/>
      <c r="AQ591" s="94"/>
    </row>
    <row r="592" ht="15.75" customHeight="1">
      <c r="A592" s="83"/>
      <c r="B592" s="83"/>
      <c r="C592" s="83"/>
      <c r="D592" s="83"/>
      <c r="E592" s="83"/>
      <c r="F592" s="83"/>
      <c r="G592" s="83"/>
      <c r="H592" s="83"/>
      <c r="I592" s="94"/>
      <c r="J592" s="83"/>
      <c r="K592" s="83"/>
      <c r="L592" s="94"/>
      <c r="M592" s="83"/>
      <c r="N592" s="94"/>
      <c r="O592" s="83"/>
      <c r="P592" s="492"/>
      <c r="Q592" s="83"/>
      <c r="R592" s="83"/>
      <c r="S592" s="83"/>
      <c r="T592" s="83"/>
      <c r="U592" s="83"/>
      <c r="V592" s="83"/>
      <c r="W592" s="94"/>
      <c r="X592" s="94"/>
      <c r="Y592" s="94"/>
      <c r="Z592" s="83"/>
      <c r="AA592" s="83"/>
      <c r="AB592" s="83"/>
      <c r="AC592" s="83"/>
      <c r="AD592" s="83"/>
      <c r="AE592" s="83"/>
      <c r="AF592" s="83"/>
      <c r="AG592" s="83"/>
      <c r="AH592" s="83"/>
      <c r="AI592" s="83"/>
      <c r="AJ592" s="83"/>
      <c r="AK592" s="83"/>
      <c r="AL592" s="83"/>
      <c r="AM592" s="83"/>
      <c r="AN592" s="83"/>
      <c r="AO592" s="83"/>
      <c r="AP592" s="94"/>
      <c r="AQ592" s="94"/>
    </row>
    <row r="593" ht="15.75" customHeight="1">
      <c r="A593" s="83"/>
      <c r="B593" s="83"/>
      <c r="C593" s="83"/>
      <c r="D593" s="83"/>
      <c r="E593" s="83"/>
      <c r="F593" s="83"/>
      <c r="G593" s="83"/>
      <c r="H593" s="83"/>
      <c r="I593" s="94"/>
      <c r="J593" s="83"/>
      <c r="K593" s="83"/>
      <c r="L593" s="94"/>
      <c r="M593" s="83"/>
      <c r="N593" s="94"/>
      <c r="O593" s="83"/>
      <c r="P593" s="492"/>
      <c r="Q593" s="83"/>
      <c r="R593" s="83"/>
      <c r="S593" s="83"/>
      <c r="T593" s="83"/>
      <c r="U593" s="83"/>
      <c r="V593" s="83"/>
      <c r="W593" s="94"/>
      <c r="X593" s="94"/>
      <c r="Y593" s="94"/>
      <c r="Z593" s="83"/>
      <c r="AA593" s="83"/>
      <c r="AB593" s="83"/>
      <c r="AC593" s="83"/>
      <c r="AD593" s="83"/>
      <c r="AE593" s="83"/>
      <c r="AF593" s="83"/>
      <c r="AG593" s="83"/>
      <c r="AH593" s="83"/>
      <c r="AI593" s="83"/>
      <c r="AJ593" s="83"/>
      <c r="AK593" s="83"/>
      <c r="AL593" s="83"/>
      <c r="AM593" s="83"/>
      <c r="AN593" s="83"/>
      <c r="AO593" s="83"/>
      <c r="AP593" s="94"/>
      <c r="AQ593" s="94"/>
    </row>
    <row r="594" ht="15.75" customHeight="1">
      <c r="A594" s="83"/>
      <c r="B594" s="83"/>
      <c r="C594" s="83"/>
      <c r="D594" s="83"/>
      <c r="E594" s="83"/>
      <c r="F594" s="83"/>
      <c r="G594" s="83"/>
      <c r="H594" s="83"/>
      <c r="I594" s="94"/>
      <c r="J594" s="83"/>
      <c r="K594" s="83"/>
      <c r="L594" s="94"/>
      <c r="M594" s="83"/>
      <c r="N594" s="94"/>
      <c r="O594" s="83"/>
      <c r="P594" s="492"/>
      <c r="Q594" s="83"/>
      <c r="R594" s="83"/>
      <c r="S594" s="83"/>
      <c r="T594" s="83"/>
      <c r="U594" s="83"/>
      <c r="V594" s="83"/>
      <c r="W594" s="94"/>
      <c r="X594" s="94"/>
      <c r="Y594" s="94"/>
      <c r="Z594" s="83"/>
      <c r="AA594" s="83"/>
      <c r="AB594" s="83"/>
      <c r="AC594" s="83"/>
      <c r="AD594" s="83"/>
      <c r="AE594" s="83"/>
      <c r="AF594" s="83"/>
      <c r="AG594" s="83"/>
      <c r="AH594" s="83"/>
      <c r="AI594" s="83"/>
      <c r="AJ594" s="83"/>
      <c r="AK594" s="83"/>
      <c r="AL594" s="83"/>
      <c r="AM594" s="83"/>
      <c r="AN594" s="83"/>
      <c r="AO594" s="83"/>
      <c r="AP594" s="94"/>
      <c r="AQ594" s="94"/>
    </row>
    <row r="595" ht="15.75" customHeight="1">
      <c r="A595" s="83"/>
      <c r="B595" s="83"/>
      <c r="C595" s="83"/>
      <c r="D595" s="83"/>
      <c r="E595" s="83"/>
      <c r="F595" s="83"/>
      <c r="G595" s="83"/>
      <c r="H595" s="83"/>
      <c r="I595" s="94"/>
      <c r="J595" s="83"/>
      <c r="K595" s="83"/>
      <c r="L595" s="94"/>
      <c r="M595" s="83"/>
      <c r="N595" s="94"/>
      <c r="O595" s="83"/>
      <c r="P595" s="492"/>
      <c r="Q595" s="83"/>
      <c r="R595" s="83"/>
      <c r="S595" s="83"/>
      <c r="T595" s="83"/>
      <c r="U595" s="83"/>
      <c r="V595" s="83"/>
      <c r="W595" s="94"/>
      <c r="X595" s="94"/>
      <c r="Y595" s="94"/>
      <c r="Z595" s="83"/>
      <c r="AA595" s="83"/>
      <c r="AB595" s="83"/>
      <c r="AC595" s="83"/>
      <c r="AD595" s="83"/>
      <c r="AE595" s="83"/>
      <c r="AF595" s="83"/>
      <c r="AG595" s="83"/>
      <c r="AH595" s="83"/>
      <c r="AI595" s="83"/>
      <c r="AJ595" s="83"/>
      <c r="AK595" s="83"/>
      <c r="AL595" s="83"/>
      <c r="AM595" s="83"/>
      <c r="AN595" s="83"/>
      <c r="AO595" s="83"/>
      <c r="AP595" s="94"/>
      <c r="AQ595" s="94"/>
    </row>
    <row r="596" ht="15.75" customHeight="1">
      <c r="A596" s="83"/>
      <c r="B596" s="83"/>
      <c r="C596" s="83"/>
      <c r="D596" s="83"/>
      <c r="E596" s="83"/>
      <c r="F596" s="83"/>
      <c r="G596" s="83"/>
      <c r="H596" s="83"/>
      <c r="I596" s="94"/>
      <c r="J596" s="83"/>
      <c r="K596" s="83"/>
      <c r="L596" s="94"/>
      <c r="M596" s="83"/>
      <c r="N596" s="94"/>
      <c r="O596" s="83"/>
      <c r="P596" s="492"/>
      <c r="Q596" s="83"/>
      <c r="R596" s="83"/>
      <c r="S596" s="83"/>
      <c r="T596" s="83"/>
      <c r="U596" s="83"/>
      <c r="V596" s="83"/>
      <c r="W596" s="94"/>
      <c r="X596" s="94"/>
      <c r="Y596" s="94"/>
      <c r="Z596" s="83"/>
      <c r="AA596" s="83"/>
      <c r="AB596" s="83"/>
      <c r="AC596" s="83"/>
      <c r="AD596" s="83"/>
      <c r="AE596" s="83"/>
      <c r="AF596" s="83"/>
      <c r="AG596" s="83"/>
      <c r="AH596" s="83"/>
      <c r="AI596" s="83"/>
      <c r="AJ596" s="83"/>
      <c r="AK596" s="83"/>
      <c r="AL596" s="83"/>
      <c r="AM596" s="83"/>
      <c r="AN596" s="83"/>
      <c r="AO596" s="83"/>
      <c r="AP596" s="94"/>
      <c r="AQ596" s="94"/>
    </row>
    <row r="597" ht="15.75" customHeight="1">
      <c r="A597" s="83"/>
      <c r="B597" s="83"/>
      <c r="C597" s="83"/>
      <c r="D597" s="83"/>
      <c r="E597" s="83"/>
      <c r="F597" s="83"/>
      <c r="G597" s="83"/>
      <c r="H597" s="83"/>
      <c r="I597" s="94"/>
      <c r="J597" s="83"/>
      <c r="K597" s="83"/>
      <c r="L597" s="94"/>
      <c r="M597" s="83"/>
      <c r="N597" s="94"/>
      <c r="O597" s="83"/>
      <c r="P597" s="492"/>
      <c r="Q597" s="83"/>
      <c r="R597" s="83"/>
      <c r="S597" s="83"/>
      <c r="T597" s="83"/>
      <c r="U597" s="83"/>
      <c r="V597" s="83"/>
      <c r="W597" s="94"/>
      <c r="X597" s="94"/>
      <c r="Y597" s="94"/>
      <c r="Z597" s="83"/>
      <c r="AA597" s="83"/>
      <c r="AB597" s="83"/>
      <c r="AC597" s="83"/>
      <c r="AD597" s="83"/>
      <c r="AE597" s="83"/>
      <c r="AF597" s="83"/>
      <c r="AG597" s="83"/>
      <c r="AH597" s="83"/>
      <c r="AI597" s="83"/>
      <c r="AJ597" s="83"/>
      <c r="AK597" s="83"/>
      <c r="AL597" s="83"/>
      <c r="AM597" s="83"/>
      <c r="AN597" s="83"/>
      <c r="AO597" s="83"/>
      <c r="AP597" s="94"/>
      <c r="AQ597" s="94"/>
    </row>
    <row r="598" ht="15.75" customHeight="1">
      <c r="A598" s="83"/>
      <c r="B598" s="83"/>
      <c r="C598" s="83"/>
      <c r="D598" s="83"/>
      <c r="E598" s="83"/>
      <c r="F598" s="83"/>
      <c r="G598" s="83"/>
      <c r="H598" s="83"/>
      <c r="I598" s="94"/>
      <c r="J598" s="83"/>
      <c r="K598" s="83"/>
      <c r="L598" s="94"/>
      <c r="M598" s="83"/>
      <c r="N598" s="94"/>
      <c r="O598" s="83"/>
      <c r="P598" s="492"/>
      <c r="Q598" s="83"/>
      <c r="R598" s="83"/>
      <c r="S598" s="83"/>
      <c r="T598" s="83"/>
      <c r="U598" s="83"/>
      <c r="V598" s="83"/>
      <c r="W598" s="94"/>
      <c r="X598" s="94"/>
      <c r="Y598" s="94"/>
      <c r="Z598" s="83"/>
      <c r="AA598" s="83"/>
      <c r="AB598" s="83"/>
      <c r="AC598" s="83"/>
      <c r="AD598" s="83"/>
      <c r="AE598" s="83"/>
      <c r="AF598" s="83"/>
      <c r="AG598" s="83"/>
      <c r="AH598" s="83"/>
      <c r="AI598" s="83"/>
      <c r="AJ598" s="83"/>
      <c r="AK598" s="83"/>
      <c r="AL598" s="83"/>
      <c r="AM598" s="83"/>
      <c r="AN598" s="83"/>
      <c r="AO598" s="83"/>
      <c r="AP598" s="94"/>
      <c r="AQ598" s="94"/>
    </row>
    <row r="599" ht="15.75" customHeight="1">
      <c r="A599" s="83"/>
      <c r="B599" s="83"/>
      <c r="C599" s="83"/>
      <c r="D599" s="83"/>
      <c r="E599" s="83"/>
      <c r="F599" s="83"/>
      <c r="G599" s="83"/>
      <c r="H599" s="83"/>
      <c r="I599" s="94"/>
      <c r="J599" s="83"/>
      <c r="K599" s="83"/>
      <c r="L599" s="94"/>
      <c r="M599" s="83"/>
      <c r="N599" s="94"/>
      <c r="O599" s="83"/>
      <c r="P599" s="492"/>
      <c r="Q599" s="83"/>
      <c r="R599" s="83"/>
      <c r="S599" s="83"/>
      <c r="T599" s="83"/>
      <c r="U599" s="83"/>
      <c r="V599" s="83"/>
      <c r="W599" s="94"/>
      <c r="X599" s="94"/>
      <c r="Y599" s="94"/>
      <c r="Z599" s="83"/>
      <c r="AA599" s="83"/>
      <c r="AB599" s="83"/>
      <c r="AC599" s="83"/>
      <c r="AD599" s="83"/>
      <c r="AE599" s="83"/>
      <c r="AF599" s="83"/>
      <c r="AG599" s="83"/>
      <c r="AH599" s="83"/>
      <c r="AI599" s="83"/>
      <c r="AJ599" s="83"/>
      <c r="AK599" s="83"/>
      <c r="AL599" s="83"/>
      <c r="AM599" s="83"/>
      <c r="AN599" s="83"/>
      <c r="AO599" s="83"/>
      <c r="AP599" s="94"/>
      <c r="AQ599" s="94"/>
    </row>
    <row r="600" ht="15.75" customHeight="1">
      <c r="A600" s="83"/>
      <c r="B600" s="83"/>
      <c r="C600" s="83"/>
      <c r="D600" s="83"/>
      <c r="E600" s="83"/>
      <c r="F600" s="83"/>
      <c r="G600" s="83"/>
      <c r="H600" s="83"/>
      <c r="I600" s="94"/>
      <c r="J600" s="83"/>
      <c r="K600" s="83"/>
      <c r="L600" s="94"/>
      <c r="M600" s="83"/>
      <c r="N600" s="94"/>
      <c r="O600" s="83"/>
      <c r="P600" s="492"/>
      <c r="Q600" s="83"/>
      <c r="R600" s="83"/>
      <c r="S600" s="83"/>
      <c r="T600" s="83"/>
      <c r="U600" s="83"/>
      <c r="V600" s="83"/>
      <c r="W600" s="94"/>
      <c r="X600" s="94"/>
      <c r="Y600" s="94"/>
      <c r="Z600" s="83"/>
      <c r="AA600" s="83"/>
      <c r="AB600" s="83"/>
      <c r="AC600" s="83"/>
      <c r="AD600" s="83"/>
      <c r="AE600" s="83"/>
      <c r="AF600" s="83"/>
      <c r="AG600" s="83"/>
      <c r="AH600" s="83"/>
      <c r="AI600" s="83"/>
      <c r="AJ600" s="83"/>
      <c r="AK600" s="83"/>
      <c r="AL600" s="83"/>
      <c r="AM600" s="83"/>
      <c r="AN600" s="83"/>
      <c r="AO600" s="83"/>
      <c r="AP600" s="94"/>
      <c r="AQ600" s="94"/>
    </row>
    <row r="601" ht="15.75" customHeight="1">
      <c r="A601" s="83"/>
      <c r="B601" s="83"/>
      <c r="C601" s="83"/>
      <c r="D601" s="83"/>
      <c r="E601" s="83"/>
      <c r="F601" s="83"/>
      <c r="G601" s="83"/>
      <c r="H601" s="83"/>
      <c r="I601" s="94"/>
      <c r="J601" s="83"/>
      <c r="K601" s="83"/>
      <c r="L601" s="94"/>
      <c r="M601" s="83"/>
      <c r="N601" s="94"/>
      <c r="O601" s="83"/>
      <c r="P601" s="492"/>
      <c r="Q601" s="83"/>
      <c r="R601" s="83"/>
      <c r="S601" s="83"/>
      <c r="T601" s="83"/>
      <c r="U601" s="83"/>
      <c r="V601" s="83"/>
      <c r="W601" s="94"/>
      <c r="X601" s="94"/>
      <c r="Y601" s="94"/>
      <c r="Z601" s="83"/>
      <c r="AA601" s="83"/>
      <c r="AB601" s="83"/>
      <c r="AC601" s="83"/>
      <c r="AD601" s="83"/>
      <c r="AE601" s="83"/>
      <c r="AF601" s="83"/>
      <c r="AG601" s="83"/>
      <c r="AH601" s="83"/>
      <c r="AI601" s="83"/>
      <c r="AJ601" s="83"/>
      <c r="AK601" s="83"/>
      <c r="AL601" s="83"/>
      <c r="AM601" s="83"/>
      <c r="AN601" s="83"/>
      <c r="AO601" s="83"/>
      <c r="AP601" s="94"/>
      <c r="AQ601" s="94"/>
    </row>
    <row r="602" ht="15.75" customHeight="1">
      <c r="A602" s="83"/>
      <c r="B602" s="83"/>
      <c r="C602" s="83"/>
      <c r="D602" s="83"/>
      <c r="E602" s="83"/>
      <c r="F602" s="83"/>
      <c r="G602" s="83"/>
      <c r="H602" s="83"/>
      <c r="I602" s="94"/>
      <c r="J602" s="83"/>
      <c r="K602" s="83"/>
      <c r="L602" s="94"/>
      <c r="M602" s="83"/>
      <c r="N602" s="94"/>
      <c r="O602" s="83"/>
      <c r="P602" s="492"/>
      <c r="Q602" s="83"/>
      <c r="R602" s="83"/>
      <c r="S602" s="83"/>
      <c r="T602" s="83"/>
      <c r="U602" s="83"/>
      <c r="V602" s="83"/>
      <c r="W602" s="94"/>
      <c r="X602" s="94"/>
      <c r="Y602" s="94"/>
      <c r="Z602" s="83"/>
      <c r="AA602" s="83"/>
      <c r="AB602" s="83"/>
      <c r="AC602" s="83"/>
      <c r="AD602" s="83"/>
      <c r="AE602" s="83"/>
      <c r="AF602" s="83"/>
      <c r="AG602" s="83"/>
      <c r="AH602" s="83"/>
      <c r="AI602" s="83"/>
      <c r="AJ602" s="83"/>
      <c r="AK602" s="83"/>
      <c r="AL602" s="83"/>
      <c r="AM602" s="83"/>
      <c r="AN602" s="83"/>
      <c r="AO602" s="83"/>
      <c r="AP602" s="94"/>
      <c r="AQ602" s="94"/>
    </row>
    <row r="603" ht="15.75" customHeight="1">
      <c r="A603" s="83"/>
      <c r="B603" s="83"/>
      <c r="C603" s="83"/>
      <c r="D603" s="83"/>
      <c r="E603" s="83"/>
      <c r="F603" s="83"/>
      <c r="G603" s="83"/>
      <c r="H603" s="83"/>
      <c r="I603" s="94"/>
      <c r="J603" s="83"/>
      <c r="K603" s="83"/>
      <c r="L603" s="94"/>
      <c r="M603" s="83"/>
      <c r="N603" s="94"/>
      <c r="O603" s="83"/>
      <c r="P603" s="492"/>
      <c r="Q603" s="83"/>
      <c r="R603" s="83"/>
      <c r="S603" s="83"/>
      <c r="T603" s="83"/>
      <c r="U603" s="83"/>
      <c r="V603" s="83"/>
      <c r="W603" s="94"/>
      <c r="X603" s="94"/>
      <c r="Y603" s="94"/>
      <c r="Z603" s="83"/>
      <c r="AA603" s="83"/>
      <c r="AB603" s="83"/>
      <c r="AC603" s="83"/>
      <c r="AD603" s="83"/>
      <c r="AE603" s="83"/>
      <c r="AF603" s="83"/>
      <c r="AG603" s="83"/>
      <c r="AH603" s="83"/>
      <c r="AI603" s="83"/>
      <c r="AJ603" s="83"/>
      <c r="AK603" s="83"/>
      <c r="AL603" s="83"/>
      <c r="AM603" s="83"/>
      <c r="AN603" s="83"/>
      <c r="AO603" s="83"/>
      <c r="AP603" s="94"/>
      <c r="AQ603" s="94"/>
    </row>
    <row r="604" ht="15.75" customHeight="1">
      <c r="A604" s="83"/>
      <c r="B604" s="83"/>
      <c r="C604" s="83"/>
      <c r="D604" s="83"/>
      <c r="E604" s="83"/>
      <c r="F604" s="83"/>
      <c r="G604" s="83"/>
      <c r="H604" s="83"/>
      <c r="I604" s="94"/>
      <c r="J604" s="83"/>
      <c r="K604" s="83"/>
      <c r="L604" s="94"/>
      <c r="M604" s="83"/>
      <c r="N604" s="94"/>
      <c r="O604" s="83"/>
      <c r="P604" s="492"/>
      <c r="Q604" s="83"/>
      <c r="R604" s="83"/>
      <c r="S604" s="83"/>
      <c r="T604" s="83"/>
      <c r="U604" s="83"/>
      <c r="V604" s="83"/>
      <c r="W604" s="94"/>
      <c r="X604" s="94"/>
      <c r="Y604" s="94"/>
      <c r="Z604" s="83"/>
      <c r="AA604" s="83"/>
      <c r="AB604" s="83"/>
      <c r="AC604" s="83"/>
      <c r="AD604" s="83"/>
      <c r="AE604" s="83"/>
      <c r="AF604" s="83"/>
      <c r="AG604" s="83"/>
      <c r="AH604" s="83"/>
      <c r="AI604" s="83"/>
      <c r="AJ604" s="83"/>
      <c r="AK604" s="83"/>
      <c r="AL604" s="83"/>
      <c r="AM604" s="83"/>
      <c r="AN604" s="83"/>
      <c r="AO604" s="83"/>
      <c r="AP604" s="94"/>
      <c r="AQ604" s="94"/>
    </row>
    <row r="605" ht="15.75" customHeight="1">
      <c r="A605" s="83"/>
      <c r="B605" s="83"/>
      <c r="C605" s="83"/>
      <c r="D605" s="83"/>
      <c r="E605" s="83"/>
      <c r="F605" s="83"/>
      <c r="G605" s="83"/>
      <c r="H605" s="83"/>
      <c r="I605" s="94"/>
      <c r="J605" s="83"/>
      <c r="K605" s="83"/>
      <c r="L605" s="94"/>
      <c r="M605" s="83"/>
      <c r="N605" s="94"/>
      <c r="O605" s="83"/>
      <c r="P605" s="492"/>
      <c r="Q605" s="83"/>
      <c r="R605" s="83"/>
      <c r="S605" s="83"/>
      <c r="T605" s="83"/>
      <c r="U605" s="83"/>
      <c r="V605" s="83"/>
      <c r="W605" s="94"/>
      <c r="X605" s="94"/>
      <c r="Y605" s="94"/>
      <c r="Z605" s="83"/>
      <c r="AA605" s="83"/>
      <c r="AB605" s="83"/>
      <c r="AC605" s="83"/>
      <c r="AD605" s="83"/>
      <c r="AE605" s="83"/>
      <c r="AF605" s="83"/>
      <c r="AG605" s="83"/>
      <c r="AH605" s="83"/>
      <c r="AI605" s="83"/>
      <c r="AJ605" s="83"/>
      <c r="AK605" s="83"/>
      <c r="AL605" s="83"/>
      <c r="AM605" s="83"/>
      <c r="AN605" s="83"/>
      <c r="AO605" s="83"/>
      <c r="AP605" s="94"/>
      <c r="AQ605" s="94"/>
    </row>
    <row r="606" ht="15.75" customHeight="1">
      <c r="A606" s="83"/>
      <c r="B606" s="83"/>
      <c r="C606" s="83"/>
      <c r="D606" s="83"/>
      <c r="E606" s="83"/>
      <c r="F606" s="83"/>
      <c r="G606" s="83"/>
      <c r="H606" s="83"/>
      <c r="I606" s="94"/>
      <c r="J606" s="83"/>
      <c r="K606" s="83"/>
      <c r="L606" s="94"/>
      <c r="M606" s="83"/>
      <c r="N606" s="94"/>
      <c r="O606" s="83"/>
      <c r="P606" s="492"/>
      <c r="Q606" s="83"/>
      <c r="R606" s="83"/>
      <c r="S606" s="83"/>
      <c r="T606" s="83"/>
      <c r="U606" s="83"/>
      <c r="V606" s="83"/>
      <c r="W606" s="94"/>
      <c r="X606" s="94"/>
      <c r="Y606" s="94"/>
      <c r="Z606" s="83"/>
      <c r="AA606" s="83"/>
      <c r="AB606" s="83"/>
      <c r="AC606" s="83"/>
      <c r="AD606" s="83"/>
      <c r="AE606" s="83"/>
      <c r="AF606" s="83"/>
      <c r="AG606" s="83"/>
      <c r="AH606" s="83"/>
      <c r="AI606" s="83"/>
      <c r="AJ606" s="83"/>
      <c r="AK606" s="83"/>
      <c r="AL606" s="83"/>
      <c r="AM606" s="83"/>
      <c r="AN606" s="83"/>
      <c r="AO606" s="83"/>
      <c r="AP606" s="94"/>
      <c r="AQ606" s="94"/>
    </row>
    <row r="607" ht="15.75" customHeight="1">
      <c r="A607" s="83"/>
      <c r="B607" s="83"/>
      <c r="C607" s="83"/>
      <c r="D607" s="83"/>
      <c r="E607" s="83"/>
      <c r="F607" s="83"/>
      <c r="G607" s="83"/>
      <c r="H607" s="83"/>
      <c r="I607" s="94"/>
      <c r="J607" s="83"/>
      <c r="K607" s="83"/>
      <c r="L607" s="94"/>
      <c r="M607" s="83"/>
      <c r="N607" s="94"/>
      <c r="O607" s="83"/>
      <c r="P607" s="492"/>
      <c r="Q607" s="83"/>
      <c r="R607" s="83"/>
      <c r="S607" s="83"/>
      <c r="T607" s="83"/>
      <c r="U607" s="83"/>
      <c r="V607" s="83"/>
      <c r="W607" s="94"/>
      <c r="X607" s="94"/>
      <c r="Y607" s="94"/>
      <c r="Z607" s="83"/>
      <c r="AA607" s="83"/>
      <c r="AB607" s="83"/>
      <c r="AC607" s="83"/>
      <c r="AD607" s="83"/>
      <c r="AE607" s="83"/>
      <c r="AF607" s="83"/>
      <c r="AG607" s="83"/>
      <c r="AH607" s="83"/>
      <c r="AI607" s="83"/>
      <c r="AJ607" s="83"/>
      <c r="AK607" s="83"/>
      <c r="AL607" s="83"/>
      <c r="AM607" s="83"/>
      <c r="AN607" s="83"/>
      <c r="AO607" s="83"/>
      <c r="AP607" s="94"/>
      <c r="AQ607" s="94"/>
    </row>
    <row r="608" ht="15.75" customHeight="1">
      <c r="A608" s="83"/>
      <c r="B608" s="83"/>
      <c r="C608" s="83"/>
      <c r="D608" s="83"/>
      <c r="E608" s="83"/>
      <c r="F608" s="83"/>
      <c r="G608" s="83"/>
      <c r="H608" s="83"/>
      <c r="I608" s="94"/>
      <c r="J608" s="83"/>
      <c r="K608" s="83"/>
      <c r="L608" s="94"/>
      <c r="M608" s="83"/>
      <c r="N608" s="94"/>
      <c r="O608" s="83"/>
      <c r="P608" s="492"/>
      <c r="Q608" s="83"/>
      <c r="R608" s="83"/>
      <c r="S608" s="83"/>
      <c r="T608" s="83"/>
      <c r="U608" s="83"/>
      <c r="V608" s="83"/>
      <c r="W608" s="94"/>
      <c r="X608" s="94"/>
      <c r="Y608" s="94"/>
      <c r="Z608" s="83"/>
      <c r="AA608" s="83"/>
      <c r="AB608" s="83"/>
      <c r="AC608" s="83"/>
      <c r="AD608" s="83"/>
      <c r="AE608" s="83"/>
      <c r="AF608" s="83"/>
      <c r="AG608" s="83"/>
      <c r="AH608" s="83"/>
      <c r="AI608" s="83"/>
      <c r="AJ608" s="83"/>
      <c r="AK608" s="83"/>
      <c r="AL608" s="83"/>
      <c r="AM608" s="83"/>
      <c r="AN608" s="83"/>
      <c r="AO608" s="83"/>
      <c r="AP608" s="94"/>
      <c r="AQ608" s="94"/>
    </row>
    <row r="609" ht="15.75" customHeight="1">
      <c r="A609" s="83"/>
      <c r="B609" s="83"/>
      <c r="C609" s="83"/>
      <c r="D609" s="83"/>
      <c r="E609" s="83"/>
      <c r="F609" s="83"/>
      <c r="G609" s="83"/>
      <c r="H609" s="83"/>
      <c r="I609" s="94"/>
      <c r="J609" s="83"/>
      <c r="K609" s="83"/>
      <c r="L609" s="94"/>
      <c r="M609" s="83"/>
      <c r="N609" s="94"/>
      <c r="O609" s="83"/>
      <c r="P609" s="492"/>
      <c r="Q609" s="83"/>
      <c r="R609" s="83"/>
      <c r="S609" s="83"/>
      <c r="T609" s="83"/>
      <c r="U609" s="83"/>
      <c r="V609" s="83"/>
      <c r="W609" s="94"/>
      <c r="X609" s="94"/>
      <c r="Y609" s="94"/>
      <c r="Z609" s="83"/>
      <c r="AA609" s="83"/>
      <c r="AB609" s="83"/>
      <c r="AC609" s="83"/>
      <c r="AD609" s="83"/>
      <c r="AE609" s="83"/>
      <c r="AF609" s="83"/>
      <c r="AG609" s="83"/>
      <c r="AH609" s="83"/>
      <c r="AI609" s="83"/>
      <c r="AJ609" s="83"/>
      <c r="AK609" s="83"/>
      <c r="AL609" s="83"/>
      <c r="AM609" s="83"/>
      <c r="AN609" s="83"/>
      <c r="AO609" s="83"/>
      <c r="AP609" s="94"/>
      <c r="AQ609" s="94"/>
    </row>
    <row r="610" ht="15.75" customHeight="1">
      <c r="A610" s="83"/>
      <c r="B610" s="83"/>
      <c r="C610" s="83"/>
      <c r="D610" s="83"/>
      <c r="E610" s="83"/>
      <c r="F610" s="83"/>
      <c r="G610" s="83"/>
      <c r="H610" s="83"/>
      <c r="I610" s="94"/>
      <c r="J610" s="83"/>
      <c r="K610" s="83"/>
      <c r="L610" s="94"/>
      <c r="M610" s="83"/>
      <c r="N610" s="94"/>
      <c r="O610" s="83"/>
      <c r="P610" s="492"/>
      <c r="Q610" s="83"/>
      <c r="R610" s="83"/>
      <c r="S610" s="83"/>
      <c r="T610" s="83"/>
      <c r="U610" s="83"/>
      <c r="V610" s="83"/>
      <c r="W610" s="94"/>
      <c r="X610" s="94"/>
      <c r="Y610" s="94"/>
      <c r="Z610" s="83"/>
      <c r="AA610" s="83"/>
      <c r="AB610" s="83"/>
      <c r="AC610" s="83"/>
      <c r="AD610" s="83"/>
      <c r="AE610" s="83"/>
      <c r="AF610" s="83"/>
      <c r="AG610" s="83"/>
      <c r="AH610" s="83"/>
      <c r="AI610" s="83"/>
      <c r="AJ610" s="83"/>
      <c r="AK610" s="83"/>
      <c r="AL610" s="83"/>
      <c r="AM610" s="83"/>
      <c r="AN610" s="83"/>
      <c r="AO610" s="83"/>
      <c r="AP610" s="94"/>
      <c r="AQ610" s="94"/>
    </row>
    <row r="611" ht="15.75" customHeight="1">
      <c r="A611" s="83"/>
      <c r="B611" s="83"/>
      <c r="C611" s="83"/>
      <c r="D611" s="83"/>
      <c r="E611" s="83"/>
      <c r="F611" s="83"/>
      <c r="G611" s="83"/>
      <c r="H611" s="83"/>
      <c r="I611" s="94"/>
      <c r="J611" s="83"/>
      <c r="K611" s="83"/>
      <c r="L611" s="94"/>
      <c r="M611" s="83"/>
      <c r="N611" s="94"/>
      <c r="O611" s="83"/>
      <c r="P611" s="492"/>
      <c r="Q611" s="83"/>
      <c r="R611" s="83"/>
      <c r="S611" s="83"/>
      <c r="T611" s="83"/>
      <c r="U611" s="83"/>
      <c r="V611" s="83"/>
      <c r="W611" s="94"/>
      <c r="X611" s="94"/>
      <c r="Y611" s="94"/>
      <c r="Z611" s="83"/>
      <c r="AA611" s="83"/>
      <c r="AB611" s="83"/>
      <c r="AC611" s="83"/>
      <c r="AD611" s="83"/>
      <c r="AE611" s="83"/>
      <c r="AF611" s="83"/>
      <c r="AG611" s="83"/>
      <c r="AH611" s="83"/>
      <c r="AI611" s="83"/>
      <c r="AJ611" s="83"/>
      <c r="AK611" s="83"/>
      <c r="AL611" s="83"/>
      <c r="AM611" s="83"/>
      <c r="AN611" s="83"/>
      <c r="AO611" s="83"/>
      <c r="AP611" s="94"/>
      <c r="AQ611" s="94"/>
    </row>
    <row r="612" ht="15.75" customHeight="1">
      <c r="A612" s="83"/>
      <c r="B612" s="83"/>
      <c r="C612" s="83"/>
      <c r="D612" s="83"/>
      <c r="E612" s="83"/>
      <c r="F612" s="83"/>
      <c r="G612" s="83"/>
      <c r="H612" s="83"/>
      <c r="I612" s="94"/>
      <c r="J612" s="83"/>
      <c r="K612" s="83"/>
      <c r="L612" s="94"/>
      <c r="M612" s="83"/>
      <c r="N612" s="94"/>
      <c r="O612" s="83"/>
      <c r="P612" s="492"/>
      <c r="Q612" s="83"/>
      <c r="R612" s="83"/>
      <c r="S612" s="83"/>
      <c r="T612" s="83"/>
      <c r="U612" s="83"/>
      <c r="V612" s="83"/>
      <c r="W612" s="94"/>
      <c r="X612" s="94"/>
      <c r="Y612" s="94"/>
      <c r="Z612" s="83"/>
      <c r="AA612" s="83"/>
      <c r="AB612" s="83"/>
      <c r="AC612" s="83"/>
      <c r="AD612" s="83"/>
      <c r="AE612" s="83"/>
      <c r="AF612" s="83"/>
      <c r="AG612" s="83"/>
      <c r="AH612" s="83"/>
      <c r="AI612" s="83"/>
      <c r="AJ612" s="83"/>
      <c r="AK612" s="83"/>
      <c r="AL612" s="83"/>
      <c r="AM612" s="83"/>
      <c r="AN612" s="83"/>
      <c r="AO612" s="83"/>
      <c r="AP612" s="94"/>
      <c r="AQ612" s="94"/>
    </row>
    <row r="613" ht="15.75" customHeight="1">
      <c r="A613" s="83"/>
      <c r="B613" s="83"/>
      <c r="C613" s="83"/>
      <c r="D613" s="83"/>
      <c r="E613" s="83"/>
      <c r="F613" s="83"/>
      <c r="G613" s="83"/>
      <c r="H613" s="83"/>
      <c r="I613" s="94"/>
      <c r="J613" s="83"/>
      <c r="K613" s="83"/>
      <c r="L613" s="94"/>
      <c r="M613" s="83"/>
      <c r="N613" s="94"/>
      <c r="O613" s="83"/>
      <c r="P613" s="492"/>
      <c r="Q613" s="83"/>
      <c r="R613" s="83"/>
      <c r="S613" s="83"/>
      <c r="T613" s="83"/>
      <c r="U613" s="83"/>
      <c r="V613" s="83"/>
      <c r="W613" s="94"/>
      <c r="X613" s="94"/>
      <c r="Y613" s="94"/>
      <c r="Z613" s="83"/>
      <c r="AA613" s="83"/>
      <c r="AB613" s="83"/>
      <c r="AC613" s="83"/>
      <c r="AD613" s="83"/>
      <c r="AE613" s="83"/>
      <c r="AF613" s="83"/>
      <c r="AG613" s="83"/>
      <c r="AH613" s="83"/>
      <c r="AI613" s="83"/>
      <c r="AJ613" s="83"/>
      <c r="AK613" s="83"/>
      <c r="AL613" s="83"/>
      <c r="AM613" s="83"/>
      <c r="AN613" s="83"/>
      <c r="AO613" s="83"/>
      <c r="AP613" s="94"/>
      <c r="AQ613" s="94"/>
    </row>
    <row r="614" ht="15.75" customHeight="1">
      <c r="A614" s="83"/>
      <c r="B614" s="83"/>
      <c r="C614" s="83"/>
      <c r="D614" s="83"/>
      <c r="E614" s="83"/>
      <c r="F614" s="83"/>
      <c r="G614" s="83"/>
      <c r="H614" s="83"/>
      <c r="I614" s="94"/>
      <c r="J614" s="83"/>
      <c r="K614" s="83"/>
      <c r="L614" s="94"/>
      <c r="M614" s="83"/>
      <c r="N614" s="94"/>
      <c r="O614" s="83"/>
      <c r="P614" s="492"/>
      <c r="Q614" s="83"/>
      <c r="R614" s="83"/>
      <c r="S614" s="83"/>
      <c r="T614" s="83"/>
      <c r="U614" s="83"/>
      <c r="V614" s="83"/>
      <c r="W614" s="94"/>
      <c r="X614" s="94"/>
      <c r="Y614" s="94"/>
      <c r="Z614" s="83"/>
      <c r="AA614" s="83"/>
      <c r="AB614" s="83"/>
      <c r="AC614" s="83"/>
      <c r="AD614" s="83"/>
      <c r="AE614" s="83"/>
      <c r="AF614" s="83"/>
      <c r="AG614" s="83"/>
      <c r="AH614" s="83"/>
      <c r="AI614" s="83"/>
      <c r="AJ614" s="83"/>
      <c r="AK614" s="83"/>
      <c r="AL614" s="83"/>
      <c r="AM614" s="83"/>
      <c r="AN614" s="83"/>
      <c r="AO614" s="83"/>
      <c r="AP614" s="94"/>
      <c r="AQ614" s="94"/>
    </row>
    <row r="615" ht="15.75" customHeight="1">
      <c r="A615" s="83"/>
      <c r="B615" s="83"/>
      <c r="C615" s="83"/>
      <c r="D615" s="83"/>
      <c r="E615" s="83"/>
      <c r="F615" s="83"/>
      <c r="G615" s="83"/>
      <c r="H615" s="83"/>
      <c r="I615" s="94"/>
      <c r="J615" s="83"/>
      <c r="K615" s="83"/>
      <c r="L615" s="94"/>
      <c r="M615" s="83"/>
      <c r="N615" s="94"/>
      <c r="O615" s="83"/>
      <c r="P615" s="492"/>
      <c r="Q615" s="83"/>
      <c r="R615" s="83"/>
      <c r="S615" s="83"/>
      <c r="T615" s="83"/>
      <c r="U615" s="83"/>
      <c r="V615" s="83"/>
      <c r="W615" s="94"/>
      <c r="X615" s="94"/>
      <c r="Y615" s="94"/>
      <c r="Z615" s="83"/>
      <c r="AA615" s="83"/>
      <c r="AB615" s="83"/>
      <c r="AC615" s="83"/>
      <c r="AD615" s="83"/>
      <c r="AE615" s="83"/>
      <c r="AF615" s="83"/>
      <c r="AG615" s="83"/>
      <c r="AH615" s="83"/>
      <c r="AI615" s="83"/>
      <c r="AJ615" s="83"/>
      <c r="AK615" s="83"/>
      <c r="AL615" s="83"/>
      <c r="AM615" s="83"/>
      <c r="AN615" s="83"/>
      <c r="AO615" s="83"/>
      <c r="AP615" s="94"/>
      <c r="AQ615" s="94"/>
    </row>
    <row r="616" ht="15.75" customHeight="1">
      <c r="A616" s="83"/>
      <c r="B616" s="83"/>
      <c r="C616" s="83"/>
      <c r="D616" s="83"/>
      <c r="E616" s="83"/>
      <c r="F616" s="83"/>
      <c r="G616" s="83"/>
      <c r="H616" s="83"/>
      <c r="I616" s="94"/>
      <c r="J616" s="83"/>
      <c r="K616" s="83"/>
      <c r="L616" s="94"/>
      <c r="M616" s="83"/>
      <c r="N616" s="94"/>
      <c r="O616" s="83"/>
      <c r="P616" s="492"/>
      <c r="Q616" s="83"/>
      <c r="R616" s="83"/>
      <c r="S616" s="83"/>
      <c r="T616" s="83"/>
      <c r="U616" s="83"/>
      <c r="V616" s="83"/>
      <c r="W616" s="94"/>
      <c r="X616" s="94"/>
      <c r="Y616" s="94"/>
      <c r="Z616" s="83"/>
      <c r="AA616" s="83"/>
      <c r="AB616" s="83"/>
      <c r="AC616" s="83"/>
      <c r="AD616" s="83"/>
      <c r="AE616" s="83"/>
      <c r="AF616" s="83"/>
      <c r="AG616" s="83"/>
      <c r="AH616" s="83"/>
      <c r="AI616" s="83"/>
      <c r="AJ616" s="83"/>
      <c r="AK616" s="83"/>
      <c r="AL616" s="83"/>
      <c r="AM616" s="83"/>
      <c r="AN616" s="83"/>
      <c r="AO616" s="83"/>
      <c r="AP616" s="94"/>
      <c r="AQ616" s="94"/>
    </row>
    <row r="617" ht="15.75" customHeight="1">
      <c r="A617" s="83"/>
      <c r="B617" s="83"/>
      <c r="C617" s="83"/>
      <c r="D617" s="83"/>
      <c r="E617" s="83"/>
      <c r="F617" s="83"/>
      <c r="G617" s="83"/>
      <c r="H617" s="83"/>
      <c r="I617" s="94"/>
      <c r="J617" s="83"/>
      <c r="K617" s="83"/>
      <c r="L617" s="94"/>
      <c r="M617" s="83"/>
      <c r="N617" s="94"/>
      <c r="O617" s="83"/>
      <c r="P617" s="492"/>
      <c r="Q617" s="83"/>
      <c r="R617" s="83"/>
      <c r="S617" s="83"/>
      <c r="T617" s="83"/>
      <c r="U617" s="83"/>
      <c r="V617" s="83"/>
      <c r="W617" s="94"/>
      <c r="X617" s="94"/>
      <c r="Y617" s="94"/>
      <c r="Z617" s="83"/>
      <c r="AA617" s="83"/>
      <c r="AB617" s="83"/>
      <c r="AC617" s="83"/>
      <c r="AD617" s="83"/>
      <c r="AE617" s="83"/>
      <c r="AF617" s="83"/>
      <c r="AG617" s="83"/>
      <c r="AH617" s="83"/>
      <c r="AI617" s="83"/>
      <c r="AJ617" s="83"/>
      <c r="AK617" s="83"/>
      <c r="AL617" s="83"/>
      <c r="AM617" s="83"/>
      <c r="AN617" s="83"/>
      <c r="AO617" s="83"/>
      <c r="AP617" s="94"/>
      <c r="AQ617" s="94"/>
    </row>
    <row r="618" ht="15.75" customHeight="1">
      <c r="A618" s="83"/>
      <c r="B618" s="83"/>
      <c r="C618" s="83"/>
      <c r="D618" s="83"/>
      <c r="E618" s="83"/>
      <c r="F618" s="83"/>
      <c r="G618" s="83"/>
      <c r="H618" s="83"/>
      <c r="I618" s="94"/>
      <c r="J618" s="83"/>
      <c r="K618" s="83"/>
      <c r="L618" s="94"/>
      <c r="M618" s="83"/>
      <c r="N618" s="94"/>
      <c r="O618" s="83"/>
      <c r="P618" s="492"/>
      <c r="Q618" s="83"/>
      <c r="R618" s="83"/>
      <c r="S618" s="83"/>
      <c r="T618" s="83"/>
      <c r="U618" s="83"/>
      <c r="V618" s="83"/>
      <c r="W618" s="94"/>
      <c r="X618" s="94"/>
      <c r="Y618" s="94"/>
      <c r="Z618" s="83"/>
      <c r="AA618" s="83"/>
      <c r="AB618" s="83"/>
      <c r="AC618" s="83"/>
      <c r="AD618" s="83"/>
      <c r="AE618" s="83"/>
      <c r="AF618" s="83"/>
      <c r="AG618" s="83"/>
      <c r="AH618" s="83"/>
      <c r="AI618" s="83"/>
      <c r="AJ618" s="83"/>
      <c r="AK618" s="83"/>
      <c r="AL618" s="83"/>
      <c r="AM618" s="83"/>
      <c r="AN618" s="83"/>
      <c r="AO618" s="83"/>
      <c r="AP618" s="94"/>
      <c r="AQ618" s="94"/>
    </row>
    <row r="619" ht="15.75" customHeight="1">
      <c r="A619" s="83"/>
      <c r="B619" s="83"/>
      <c r="C619" s="83"/>
      <c r="D619" s="83"/>
      <c r="E619" s="83"/>
      <c r="F619" s="83"/>
      <c r="G619" s="83"/>
      <c r="H619" s="83"/>
      <c r="I619" s="94"/>
      <c r="J619" s="83"/>
      <c r="K619" s="83"/>
      <c r="L619" s="94"/>
      <c r="M619" s="83"/>
      <c r="N619" s="94"/>
      <c r="O619" s="83"/>
      <c r="P619" s="492"/>
      <c r="Q619" s="83"/>
      <c r="R619" s="83"/>
      <c r="S619" s="83"/>
      <c r="T619" s="83"/>
      <c r="U619" s="83"/>
      <c r="V619" s="83"/>
      <c r="W619" s="94"/>
      <c r="X619" s="94"/>
      <c r="Y619" s="94"/>
      <c r="Z619" s="83"/>
      <c r="AA619" s="83"/>
      <c r="AB619" s="83"/>
      <c r="AC619" s="83"/>
      <c r="AD619" s="83"/>
      <c r="AE619" s="83"/>
      <c r="AF619" s="83"/>
      <c r="AG619" s="83"/>
      <c r="AH619" s="83"/>
      <c r="AI619" s="83"/>
      <c r="AJ619" s="83"/>
      <c r="AK619" s="83"/>
      <c r="AL619" s="83"/>
      <c r="AM619" s="83"/>
      <c r="AN619" s="83"/>
      <c r="AO619" s="83"/>
      <c r="AP619" s="94"/>
      <c r="AQ619" s="94"/>
    </row>
    <row r="620" ht="15.75" customHeight="1">
      <c r="A620" s="83"/>
      <c r="B620" s="83"/>
      <c r="C620" s="83"/>
      <c r="D620" s="83"/>
      <c r="E620" s="83"/>
      <c r="F620" s="83"/>
      <c r="G620" s="83"/>
      <c r="H620" s="83"/>
      <c r="I620" s="94"/>
      <c r="J620" s="83"/>
      <c r="K620" s="83"/>
      <c r="L620" s="94"/>
      <c r="M620" s="83"/>
      <c r="N620" s="94"/>
      <c r="O620" s="83"/>
      <c r="P620" s="492"/>
      <c r="Q620" s="83"/>
      <c r="R620" s="83"/>
      <c r="S620" s="83"/>
      <c r="T620" s="83"/>
      <c r="U620" s="83"/>
      <c r="V620" s="83"/>
      <c r="W620" s="94"/>
      <c r="X620" s="94"/>
      <c r="Y620" s="94"/>
      <c r="Z620" s="83"/>
      <c r="AA620" s="83"/>
      <c r="AB620" s="83"/>
      <c r="AC620" s="83"/>
      <c r="AD620" s="83"/>
      <c r="AE620" s="83"/>
      <c r="AF620" s="83"/>
      <c r="AG620" s="83"/>
      <c r="AH620" s="83"/>
      <c r="AI620" s="83"/>
      <c r="AJ620" s="83"/>
      <c r="AK620" s="83"/>
      <c r="AL620" s="83"/>
      <c r="AM620" s="83"/>
      <c r="AN620" s="83"/>
      <c r="AO620" s="83"/>
      <c r="AP620" s="94"/>
      <c r="AQ620" s="94"/>
    </row>
    <row r="621" ht="15.75" customHeight="1">
      <c r="A621" s="83"/>
      <c r="B621" s="83"/>
      <c r="C621" s="83"/>
      <c r="D621" s="83"/>
      <c r="E621" s="83"/>
      <c r="F621" s="83"/>
      <c r="G621" s="83"/>
      <c r="H621" s="83"/>
      <c r="I621" s="94"/>
      <c r="J621" s="83"/>
      <c r="K621" s="83"/>
      <c r="L621" s="94"/>
      <c r="M621" s="83"/>
      <c r="N621" s="94"/>
      <c r="O621" s="83"/>
      <c r="P621" s="492"/>
      <c r="Q621" s="83"/>
      <c r="R621" s="83"/>
      <c r="S621" s="83"/>
      <c r="T621" s="83"/>
      <c r="U621" s="83"/>
      <c r="V621" s="83"/>
      <c r="W621" s="94"/>
      <c r="X621" s="94"/>
      <c r="Y621" s="94"/>
      <c r="Z621" s="83"/>
      <c r="AA621" s="83"/>
      <c r="AB621" s="83"/>
      <c r="AC621" s="83"/>
      <c r="AD621" s="83"/>
      <c r="AE621" s="83"/>
      <c r="AF621" s="83"/>
      <c r="AG621" s="83"/>
      <c r="AH621" s="83"/>
      <c r="AI621" s="83"/>
      <c r="AJ621" s="83"/>
      <c r="AK621" s="83"/>
      <c r="AL621" s="83"/>
      <c r="AM621" s="83"/>
      <c r="AN621" s="83"/>
      <c r="AO621" s="83"/>
      <c r="AP621" s="94"/>
      <c r="AQ621" s="94"/>
    </row>
    <row r="622" ht="15.75" customHeight="1">
      <c r="A622" s="83"/>
      <c r="B622" s="83"/>
      <c r="C622" s="83"/>
      <c r="D622" s="83"/>
      <c r="E622" s="83"/>
      <c r="F622" s="83"/>
      <c r="G622" s="83"/>
      <c r="H622" s="83"/>
      <c r="I622" s="94"/>
      <c r="J622" s="83"/>
      <c r="K622" s="83"/>
      <c r="L622" s="94"/>
      <c r="M622" s="83"/>
      <c r="N622" s="94"/>
      <c r="O622" s="83"/>
      <c r="P622" s="492"/>
      <c r="Q622" s="83"/>
      <c r="R622" s="83"/>
      <c r="S622" s="83"/>
      <c r="T622" s="83"/>
      <c r="U622" s="83"/>
      <c r="V622" s="83"/>
      <c r="W622" s="94"/>
      <c r="X622" s="94"/>
      <c r="Y622" s="94"/>
      <c r="Z622" s="83"/>
      <c r="AA622" s="83"/>
      <c r="AB622" s="83"/>
      <c r="AC622" s="83"/>
      <c r="AD622" s="83"/>
      <c r="AE622" s="83"/>
      <c r="AF622" s="83"/>
      <c r="AG622" s="83"/>
      <c r="AH622" s="83"/>
      <c r="AI622" s="83"/>
      <c r="AJ622" s="83"/>
      <c r="AK622" s="83"/>
      <c r="AL622" s="83"/>
      <c r="AM622" s="83"/>
      <c r="AN622" s="83"/>
      <c r="AO622" s="83"/>
      <c r="AP622" s="94"/>
      <c r="AQ622" s="94"/>
    </row>
    <row r="623" ht="15.75" customHeight="1">
      <c r="A623" s="83"/>
      <c r="B623" s="83"/>
      <c r="C623" s="83"/>
      <c r="D623" s="83"/>
      <c r="E623" s="83"/>
      <c r="F623" s="83"/>
      <c r="G623" s="83"/>
      <c r="H623" s="83"/>
      <c r="I623" s="94"/>
      <c r="J623" s="83"/>
      <c r="K623" s="83"/>
      <c r="L623" s="94"/>
      <c r="M623" s="83"/>
      <c r="N623" s="94"/>
      <c r="O623" s="83"/>
      <c r="P623" s="492"/>
      <c r="Q623" s="83"/>
      <c r="R623" s="83"/>
      <c r="S623" s="83"/>
      <c r="T623" s="83"/>
      <c r="U623" s="83"/>
      <c r="V623" s="83"/>
      <c r="W623" s="94"/>
      <c r="X623" s="94"/>
      <c r="Y623" s="94"/>
      <c r="Z623" s="83"/>
      <c r="AA623" s="83"/>
      <c r="AB623" s="83"/>
      <c r="AC623" s="83"/>
      <c r="AD623" s="83"/>
      <c r="AE623" s="83"/>
      <c r="AF623" s="83"/>
      <c r="AG623" s="83"/>
      <c r="AH623" s="83"/>
      <c r="AI623" s="83"/>
      <c r="AJ623" s="83"/>
      <c r="AK623" s="83"/>
      <c r="AL623" s="83"/>
      <c r="AM623" s="83"/>
      <c r="AN623" s="83"/>
      <c r="AO623" s="83"/>
      <c r="AP623" s="94"/>
      <c r="AQ623" s="94"/>
    </row>
    <row r="624" ht="15.75" customHeight="1">
      <c r="A624" s="83"/>
      <c r="B624" s="83"/>
      <c r="C624" s="83"/>
      <c r="D624" s="83"/>
      <c r="E624" s="83"/>
      <c r="F624" s="83"/>
      <c r="G624" s="83"/>
      <c r="H624" s="83"/>
      <c r="I624" s="94"/>
      <c r="J624" s="83"/>
      <c r="K624" s="83"/>
      <c r="L624" s="94"/>
      <c r="M624" s="83"/>
      <c r="N624" s="94"/>
      <c r="O624" s="83"/>
      <c r="P624" s="492"/>
      <c r="Q624" s="83"/>
      <c r="R624" s="83"/>
      <c r="S624" s="83"/>
      <c r="T624" s="83"/>
      <c r="U624" s="83"/>
      <c r="V624" s="83"/>
      <c r="W624" s="94"/>
      <c r="X624" s="94"/>
      <c r="Y624" s="94"/>
      <c r="Z624" s="83"/>
      <c r="AA624" s="83"/>
      <c r="AB624" s="83"/>
      <c r="AC624" s="83"/>
      <c r="AD624" s="83"/>
      <c r="AE624" s="83"/>
      <c r="AF624" s="83"/>
      <c r="AG624" s="83"/>
      <c r="AH624" s="83"/>
      <c r="AI624" s="83"/>
      <c r="AJ624" s="83"/>
      <c r="AK624" s="83"/>
      <c r="AL624" s="83"/>
      <c r="AM624" s="83"/>
      <c r="AN624" s="83"/>
      <c r="AO624" s="83"/>
      <c r="AP624" s="94"/>
      <c r="AQ624" s="94"/>
    </row>
    <row r="625" ht="15.75" customHeight="1">
      <c r="A625" s="83"/>
      <c r="B625" s="83"/>
      <c r="C625" s="83"/>
      <c r="D625" s="83"/>
      <c r="E625" s="83"/>
      <c r="F625" s="83"/>
      <c r="G625" s="83"/>
      <c r="H625" s="83"/>
      <c r="I625" s="94"/>
      <c r="J625" s="83"/>
      <c r="K625" s="83"/>
      <c r="L625" s="94"/>
      <c r="M625" s="83"/>
      <c r="N625" s="94"/>
      <c r="O625" s="83"/>
      <c r="P625" s="492"/>
      <c r="Q625" s="83"/>
      <c r="R625" s="83"/>
      <c r="S625" s="83"/>
      <c r="T625" s="83"/>
      <c r="U625" s="83"/>
      <c r="V625" s="83"/>
      <c r="W625" s="94"/>
      <c r="X625" s="94"/>
      <c r="Y625" s="94"/>
      <c r="Z625" s="83"/>
      <c r="AA625" s="83"/>
      <c r="AB625" s="83"/>
      <c r="AC625" s="83"/>
      <c r="AD625" s="83"/>
      <c r="AE625" s="83"/>
      <c r="AF625" s="83"/>
      <c r="AG625" s="83"/>
      <c r="AH625" s="83"/>
      <c r="AI625" s="83"/>
      <c r="AJ625" s="83"/>
      <c r="AK625" s="83"/>
      <c r="AL625" s="83"/>
      <c r="AM625" s="83"/>
      <c r="AN625" s="83"/>
      <c r="AO625" s="83"/>
      <c r="AP625" s="94"/>
      <c r="AQ625" s="94"/>
    </row>
    <row r="626" ht="15.75" customHeight="1">
      <c r="A626" s="83"/>
      <c r="B626" s="83"/>
      <c r="C626" s="83"/>
      <c r="D626" s="83"/>
      <c r="E626" s="83"/>
      <c r="F626" s="83"/>
      <c r="G626" s="83"/>
      <c r="H626" s="83"/>
      <c r="I626" s="94"/>
      <c r="J626" s="83"/>
      <c r="K626" s="83"/>
      <c r="L626" s="94"/>
      <c r="M626" s="83"/>
      <c r="N626" s="94"/>
      <c r="O626" s="83"/>
      <c r="P626" s="492"/>
      <c r="Q626" s="83"/>
      <c r="R626" s="83"/>
      <c r="S626" s="83"/>
      <c r="T626" s="83"/>
      <c r="U626" s="83"/>
      <c r="V626" s="83"/>
      <c r="W626" s="94"/>
      <c r="X626" s="94"/>
      <c r="Y626" s="94"/>
      <c r="Z626" s="83"/>
      <c r="AA626" s="83"/>
      <c r="AB626" s="83"/>
      <c r="AC626" s="83"/>
      <c r="AD626" s="83"/>
      <c r="AE626" s="83"/>
      <c r="AF626" s="83"/>
      <c r="AG626" s="83"/>
      <c r="AH626" s="83"/>
      <c r="AI626" s="83"/>
      <c r="AJ626" s="83"/>
      <c r="AK626" s="83"/>
      <c r="AL626" s="83"/>
      <c r="AM626" s="83"/>
      <c r="AN626" s="83"/>
      <c r="AO626" s="83"/>
      <c r="AP626" s="94"/>
      <c r="AQ626" s="94"/>
    </row>
    <row r="627" ht="15.75" customHeight="1">
      <c r="A627" s="83"/>
      <c r="B627" s="83"/>
      <c r="C627" s="83"/>
      <c r="D627" s="83"/>
      <c r="E627" s="83"/>
      <c r="F627" s="83"/>
      <c r="G627" s="83"/>
      <c r="H627" s="83"/>
      <c r="I627" s="94"/>
      <c r="J627" s="83"/>
      <c r="K627" s="83"/>
      <c r="L627" s="94"/>
      <c r="M627" s="83"/>
      <c r="N627" s="94"/>
      <c r="O627" s="83"/>
      <c r="P627" s="492"/>
      <c r="Q627" s="83"/>
      <c r="R627" s="83"/>
      <c r="S627" s="83"/>
      <c r="T627" s="83"/>
      <c r="U627" s="83"/>
      <c r="V627" s="83"/>
      <c r="W627" s="94"/>
      <c r="X627" s="94"/>
      <c r="Y627" s="94"/>
      <c r="Z627" s="83"/>
      <c r="AA627" s="83"/>
      <c r="AB627" s="83"/>
      <c r="AC627" s="83"/>
      <c r="AD627" s="83"/>
      <c r="AE627" s="83"/>
      <c r="AF627" s="83"/>
      <c r="AG627" s="83"/>
      <c r="AH627" s="83"/>
      <c r="AI627" s="83"/>
      <c r="AJ627" s="83"/>
      <c r="AK627" s="83"/>
      <c r="AL627" s="83"/>
      <c r="AM627" s="83"/>
      <c r="AN627" s="83"/>
      <c r="AO627" s="83"/>
      <c r="AP627" s="94"/>
      <c r="AQ627" s="94"/>
    </row>
    <row r="628" ht="15.75" customHeight="1">
      <c r="A628" s="83"/>
      <c r="B628" s="83"/>
      <c r="C628" s="83"/>
      <c r="D628" s="83"/>
      <c r="E628" s="83"/>
      <c r="F628" s="83"/>
      <c r="G628" s="83"/>
      <c r="H628" s="83"/>
      <c r="I628" s="94"/>
      <c r="J628" s="83"/>
      <c r="K628" s="83"/>
      <c r="L628" s="94"/>
      <c r="M628" s="83"/>
      <c r="N628" s="94"/>
      <c r="O628" s="83"/>
      <c r="P628" s="492"/>
      <c r="Q628" s="83"/>
      <c r="R628" s="83"/>
      <c r="S628" s="83"/>
      <c r="T628" s="83"/>
      <c r="U628" s="83"/>
      <c r="V628" s="83"/>
      <c r="W628" s="94"/>
      <c r="X628" s="94"/>
      <c r="Y628" s="94"/>
      <c r="Z628" s="83"/>
      <c r="AA628" s="83"/>
      <c r="AB628" s="83"/>
      <c r="AC628" s="83"/>
      <c r="AD628" s="83"/>
      <c r="AE628" s="83"/>
      <c r="AF628" s="83"/>
      <c r="AG628" s="83"/>
      <c r="AH628" s="83"/>
      <c r="AI628" s="83"/>
      <c r="AJ628" s="83"/>
      <c r="AK628" s="83"/>
      <c r="AL628" s="83"/>
      <c r="AM628" s="83"/>
      <c r="AN628" s="83"/>
      <c r="AO628" s="83"/>
      <c r="AP628" s="94"/>
      <c r="AQ628" s="94"/>
    </row>
    <row r="629" ht="15.75" customHeight="1">
      <c r="A629" s="83"/>
      <c r="B629" s="83"/>
      <c r="C629" s="83"/>
      <c r="D629" s="83"/>
      <c r="E629" s="83"/>
      <c r="F629" s="83"/>
      <c r="G629" s="83"/>
      <c r="H629" s="83"/>
      <c r="I629" s="94"/>
      <c r="J629" s="83"/>
      <c r="K629" s="83"/>
      <c r="L629" s="94"/>
      <c r="M629" s="83"/>
      <c r="N629" s="94"/>
      <c r="O629" s="83"/>
      <c r="P629" s="492"/>
      <c r="Q629" s="83"/>
      <c r="R629" s="83"/>
      <c r="S629" s="83"/>
      <c r="T629" s="83"/>
      <c r="U629" s="83"/>
      <c r="V629" s="83"/>
      <c r="W629" s="94"/>
      <c r="X629" s="94"/>
      <c r="Y629" s="94"/>
      <c r="Z629" s="83"/>
      <c r="AA629" s="83"/>
      <c r="AB629" s="83"/>
      <c r="AC629" s="83"/>
      <c r="AD629" s="83"/>
      <c r="AE629" s="83"/>
      <c r="AF629" s="83"/>
      <c r="AG629" s="83"/>
      <c r="AH629" s="83"/>
      <c r="AI629" s="83"/>
      <c r="AJ629" s="83"/>
      <c r="AK629" s="83"/>
      <c r="AL629" s="83"/>
      <c r="AM629" s="83"/>
      <c r="AN629" s="83"/>
      <c r="AO629" s="83"/>
      <c r="AP629" s="94"/>
      <c r="AQ629" s="94"/>
    </row>
    <row r="630" ht="15.75" customHeight="1">
      <c r="A630" s="83"/>
      <c r="B630" s="83"/>
      <c r="C630" s="83"/>
      <c r="D630" s="83"/>
      <c r="E630" s="83"/>
      <c r="F630" s="83"/>
      <c r="G630" s="83"/>
      <c r="H630" s="83"/>
      <c r="I630" s="94"/>
      <c r="J630" s="83"/>
      <c r="K630" s="83"/>
      <c r="L630" s="94"/>
      <c r="M630" s="83"/>
      <c r="N630" s="94"/>
      <c r="O630" s="83"/>
      <c r="P630" s="492"/>
      <c r="Q630" s="83"/>
      <c r="R630" s="83"/>
      <c r="S630" s="83"/>
      <c r="T630" s="83"/>
      <c r="U630" s="83"/>
      <c r="V630" s="83"/>
      <c r="W630" s="94"/>
      <c r="X630" s="94"/>
      <c r="Y630" s="94"/>
      <c r="Z630" s="83"/>
      <c r="AA630" s="83"/>
      <c r="AB630" s="83"/>
      <c r="AC630" s="83"/>
      <c r="AD630" s="83"/>
      <c r="AE630" s="83"/>
      <c r="AF630" s="83"/>
      <c r="AG630" s="83"/>
      <c r="AH630" s="83"/>
      <c r="AI630" s="83"/>
      <c r="AJ630" s="83"/>
      <c r="AK630" s="83"/>
      <c r="AL630" s="83"/>
      <c r="AM630" s="83"/>
      <c r="AN630" s="83"/>
      <c r="AO630" s="83"/>
      <c r="AP630" s="94"/>
      <c r="AQ630" s="94"/>
    </row>
    <row r="631" ht="15.75" customHeight="1">
      <c r="A631" s="83"/>
      <c r="B631" s="83"/>
      <c r="C631" s="83"/>
      <c r="D631" s="83"/>
      <c r="E631" s="83"/>
      <c r="F631" s="83"/>
      <c r="G631" s="83"/>
      <c r="H631" s="83"/>
      <c r="I631" s="94"/>
      <c r="J631" s="83"/>
      <c r="K631" s="83"/>
      <c r="L631" s="94"/>
      <c r="M631" s="83"/>
      <c r="N631" s="94"/>
      <c r="O631" s="83"/>
      <c r="P631" s="492"/>
      <c r="Q631" s="83"/>
      <c r="R631" s="83"/>
      <c r="S631" s="83"/>
      <c r="T631" s="83"/>
      <c r="U631" s="83"/>
      <c r="V631" s="83"/>
      <c r="W631" s="94"/>
      <c r="X631" s="94"/>
      <c r="Y631" s="94"/>
      <c r="Z631" s="83"/>
      <c r="AA631" s="83"/>
      <c r="AB631" s="83"/>
      <c r="AC631" s="83"/>
      <c r="AD631" s="83"/>
      <c r="AE631" s="83"/>
      <c r="AF631" s="83"/>
      <c r="AG631" s="83"/>
      <c r="AH631" s="83"/>
      <c r="AI631" s="83"/>
      <c r="AJ631" s="83"/>
      <c r="AK631" s="83"/>
      <c r="AL631" s="83"/>
      <c r="AM631" s="83"/>
      <c r="AN631" s="83"/>
      <c r="AO631" s="83"/>
      <c r="AP631" s="94"/>
      <c r="AQ631" s="94"/>
    </row>
    <row r="632" ht="15.75" customHeight="1">
      <c r="A632" s="83"/>
      <c r="B632" s="83"/>
      <c r="C632" s="83"/>
      <c r="D632" s="83"/>
      <c r="E632" s="83"/>
      <c r="F632" s="83"/>
      <c r="G632" s="83"/>
      <c r="H632" s="83"/>
      <c r="I632" s="94"/>
      <c r="J632" s="83"/>
      <c r="K632" s="83"/>
      <c r="L632" s="94"/>
      <c r="M632" s="83"/>
      <c r="N632" s="94"/>
      <c r="O632" s="83"/>
      <c r="P632" s="492"/>
      <c r="Q632" s="83"/>
      <c r="R632" s="83"/>
      <c r="S632" s="83"/>
      <c r="T632" s="83"/>
      <c r="U632" s="83"/>
      <c r="V632" s="83"/>
      <c r="W632" s="94"/>
      <c r="X632" s="94"/>
      <c r="Y632" s="94"/>
      <c r="Z632" s="83"/>
      <c r="AA632" s="83"/>
      <c r="AB632" s="83"/>
      <c r="AC632" s="83"/>
      <c r="AD632" s="83"/>
      <c r="AE632" s="83"/>
      <c r="AF632" s="83"/>
      <c r="AG632" s="83"/>
      <c r="AH632" s="83"/>
      <c r="AI632" s="83"/>
      <c r="AJ632" s="83"/>
      <c r="AK632" s="83"/>
      <c r="AL632" s="83"/>
      <c r="AM632" s="83"/>
      <c r="AN632" s="83"/>
      <c r="AO632" s="83"/>
      <c r="AP632" s="94"/>
      <c r="AQ632" s="94"/>
    </row>
    <row r="633" ht="15.75" customHeight="1">
      <c r="A633" s="83"/>
      <c r="B633" s="83"/>
      <c r="C633" s="83"/>
      <c r="D633" s="83"/>
      <c r="E633" s="83"/>
      <c r="F633" s="83"/>
      <c r="G633" s="83"/>
      <c r="H633" s="83"/>
      <c r="I633" s="94"/>
      <c r="J633" s="83"/>
      <c r="K633" s="83"/>
      <c r="L633" s="94"/>
      <c r="M633" s="83"/>
      <c r="N633" s="94"/>
      <c r="O633" s="83"/>
      <c r="P633" s="492"/>
      <c r="Q633" s="83"/>
      <c r="R633" s="83"/>
      <c r="S633" s="83"/>
      <c r="T633" s="83"/>
      <c r="U633" s="83"/>
      <c r="V633" s="83"/>
      <c r="W633" s="94"/>
      <c r="X633" s="94"/>
      <c r="Y633" s="94"/>
      <c r="Z633" s="83"/>
      <c r="AA633" s="83"/>
      <c r="AB633" s="83"/>
      <c r="AC633" s="83"/>
      <c r="AD633" s="83"/>
      <c r="AE633" s="83"/>
      <c r="AF633" s="83"/>
      <c r="AG633" s="83"/>
      <c r="AH633" s="83"/>
      <c r="AI633" s="83"/>
      <c r="AJ633" s="83"/>
      <c r="AK633" s="83"/>
      <c r="AL633" s="83"/>
      <c r="AM633" s="83"/>
      <c r="AN633" s="83"/>
      <c r="AO633" s="83"/>
      <c r="AP633" s="94"/>
      <c r="AQ633" s="94"/>
    </row>
    <row r="634" ht="15.75" customHeight="1">
      <c r="A634" s="83"/>
      <c r="B634" s="83"/>
      <c r="C634" s="83"/>
      <c r="D634" s="83"/>
      <c r="E634" s="83"/>
      <c r="F634" s="83"/>
      <c r="G634" s="83"/>
      <c r="H634" s="83"/>
      <c r="I634" s="94"/>
      <c r="J634" s="83"/>
      <c r="K634" s="83"/>
      <c r="L634" s="94"/>
      <c r="M634" s="83"/>
      <c r="N634" s="94"/>
      <c r="O634" s="83"/>
      <c r="P634" s="492"/>
      <c r="Q634" s="83"/>
      <c r="R634" s="83"/>
      <c r="S634" s="83"/>
      <c r="T634" s="83"/>
      <c r="U634" s="83"/>
      <c r="V634" s="83"/>
      <c r="W634" s="94"/>
      <c r="X634" s="94"/>
      <c r="Y634" s="94"/>
      <c r="Z634" s="83"/>
      <c r="AA634" s="83"/>
      <c r="AB634" s="83"/>
      <c r="AC634" s="83"/>
      <c r="AD634" s="83"/>
      <c r="AE634" s="83"/>
      <c r="AF634" s="83"/>
      <c r="AG634" s="83"/>
      <c r="AH634" s="83"/>
      <c r="AI634" s="83"/>
      <c r="AJ634" s="83"/>
      <c r="AK634" s="83"/>
      <c r="AL634" s="83"/>
      <c r="AM634" s="83"/>
      <c r="AN634" s="83"/>
      <c r="AO634" s="83"/>
      <c r="AP634" s="94"/>
      <c r="AQ634" s="94"/>
    </row>
    <row r="635" ht="15.75" customHeight="1">
      <c r="A635" s="83"/>
      <c r="B635" s="83"/>
      <c r="C635" s="83"/>
      <c r="D635" s="83"/>
      <c r="E635" s="83"/>
      <c r="F635" s="83"/>
      <c r="G635" s="83"/>
      <c r="H635" s="83"/>
      <c r="I635" s="94"/>
      <c r="J635" s="83"/>
      <c r="K635" s="83"/>
      <c r="L635" s="94"/>
      <c r="M635" s="83"/>
      <c r="N635" s="94"/>
      <c r="O635" s="83"/>
      <c r="P635" s="492"/>
      <c r="Q635" s="83"/>
      <c r="R635" s="83"/>
      <c r="S635" s="83"/>
      <c r="T635" s="83"/>
      <c r="U635" s="83"/>
      <c r="V635" s="83"/>
      <c r="W635" s="94"/>
      <c r="X635" s="94"/>
      <c r="Y635" s="94"/>
      <c r="Z635" s="83"/>
      <c r="AA635" s="83"/>
      <c r="AB635" s="83"/>
      <c r="AC635" s="83"/>
      <c r="AD635" s="83"/>
      <c r="AE635" s="83"/>
      <c r="AF635" s="83"/>
      <c r="AG635" s="83"/>
      <c r="AH635" s="83"/>
      <c r="AI635" s="83"/>
      <c r="AJ635" s="83"/>
      <c r="AK635" s="83"/>
      <c r="AL635" s="83"/>
      <c r="AM635" s="83"/>
      <c r="AN635" s="83"/>
      <c r="AO635" s="83"/>
      <c r="AP635" s="94"/>
      <c r="AQ635" s="94"/>
    </row>
    <row r="636" ht="15.75" customHeight="1">
      <c r="A636" s="83"/>
      <c r="B636" s="83"/>
      <c r="C636" s="83"/>
      <c r="D636" s="83"/>
      <c r="E636" s="83"/>
      <c r="F636" s="83"/>
      <c r="G636" s="83"/>
      <c r="H636" s="83"/>
      <c r="I636" s="94"/>
      <c r="J636" s="83"/>
      <c r="K636" s="83"/>
      <c r="L636" s="94"/>
      <c r="M636" s="83"/>
      <c r="N636" s="94"/>
      <c r="O636" s="83"/>
      <c r="P636" s="492"/>
      <c r="Q636" s="83"/>
      <c r="R636" s="83"/>
      <c r="S636" s="83"/>
      <c r="T636" s="83"/>
      <c r="U636" s="83"/>
      <c r="V636" s="83"/>
      <c r="W636" s="94"/>
      <c r="X636" s="94"/>
      <c r="Y636" s="94"/>
      <c r="Z636" s="83"/>
      <c r="AA636" s="83"/>
      <c r="AB636" s="83"/>
      <c r="AC636" s="83"/>
      <c r="AD636" s="83"/>
      <c r="AE636" s="83"/>
      <c r="AF636" s="83"/>
      <c r="AG636" s="83"/>
      <c r="AH636" s="83"/>
      <c r="AI636" s="83"/>
      <c r="AJ636" s="83"/>
      <c r="AK636" s="83"/>
      <c r="AL636" s="83"/>
      <c r="AM636" s="83"/>
      <c r="AN636" s="83"/>
      <c r="AO636" s="83"/>
      <c r="AP636" s="94"/>
      <c r="AQ636" s="94"/>
    </row>
    <row r="637" ht="15.75" customHeight="1">
      <c r="A637" s="83"/>
      <c r="B637" s="83"/>
      <c r="C637" s="83"/>
      <c r="D637" s="83"/>
      <c r="E637" s="83"/>
      <c r="F637" s="83"/>
      <c r="G637" s="83"/>
      <c r="H637" s="83"/>
      <c r="I637" s="94"/>
      <c r="J637" s="83"/>
      <c r="K637" s="83"/>
      <c r="L637" s="94"/>
      <c r="M637" s="83"/>
      <c r="N637" s="94"/>
      <c r="O637" s="83"/>
      <c r="P637" s="492"/>
      <c r="Q637" s="83"/>
      <c r="R637" s="83"/>
      <c r="S637" s="83"/>
      <c r="T637" s="83"/>
      <c r="U637" s="83"/>
      <c r="V637" s="83"/>
      <c r="W637" s="94"/>
      <c r="X637" s="94"/>
      <c r="Y637" s="94"/>
      <c r="Z637" s="83"/>
      <c r="AA637" s="83"/>
      <c r="AB637" s="83"/>
      <c r="AC637" s="83"/>
      <c r="AD637" s="83"/>
      <c r="AE637" s="83"/>
      <c r="AF637" s="83"/>
      <c r="AG637" s="83"/>
      <c r="AH637" s="83"/>
      <c r="AI637" s="83"/>
      <c r="AJ637" s="83"/>
      <c r="AK637" s="83"/>
      <c r="AL637" s="83"/>
      <c r="AM637" s="83"/>
      <c r="AN637" s="83"/>
      <c r="AO637" s="83"/>
      <c r="AP637" s="94"/>
      <c r="AQ637" s="94"/>
    </row>
    <row r="638" ht="15.75" customHeight="1">
      <c r="A638" s="83"/>
      <c r="B638" s="83"/>
      <c r="C638" s="83"/>
      <c r="D638" s="83"/>
      <c r="E638" s="83"/>
      <c r="F638" s="83"/>
      <c r="G638" s="83"/>
      <c r="H638" s="83"/>
      <c r="I638" s="94"/>
      <c r="J638" s="83"/>
      <c r="K638" s="83"/>
      <c r="L638" s="94"/>
      <c r="M638" s="83"/>
      <c r="N638" s="94"/>
      <c r="O638" s="83"/>
      <c r="P638" s="492"/>
      <c r="Q638" s="83"/>
      <c r="R638" s="83"/>
      <c r="S638" s="83"/>
      <c r="T638" s="83"/>
      <c r="U638" s="83"/>
      <c r="V638" s="83"/>
      <c r="W638" s="94"/>
      <c r="X638" s="94"/>
      <c r="Y638" s="94"/>
      <c r="Z638" s="83"/>
      <c r="AA638" s="83"/>
      <c r="AB638" s="83"/>
      <c r="AC638" s="83"/>
      <c r="AD638" s="83"/>
      <c r="AE638" s="83"/>
      <c r="AF638" s="83"/>
      <c r="AG638" s="83"/>
      <c r="AH638" s="83"/>
      <c r="AI638" s="83"/>
      <c r="AJ638" s="83"/>
      <c r="AK638" s="83"/>
      <c r="AL638" s="83"/>
      <c r="AM638" s="83"/>
      <c r="AN638" s="83"/>
      <c r="AO638" s="83"/>
      <c r="AP638" s="94"/>
      <c r="AQ638" s="94"/>
    </row>
    <row r="639" ht="15.75" customHeight="1">
      <c r="A639" s="83"/>
      <c r="B639" s="83"/>
      <c r="C639" s="83"/>
      <c r="D639" s="83"/>
      <c r="E639" s="83"/>
      <c r="F639" s="83"/>
      <c r="G639" s="83"/>
      <c r="H639" s="83"/>
      <c r="I639" s="94"/>
      <c r="J639" s="83"/>
      <c r="K639" s="83"/>
      <c r="L639" s="94"/>
      <c r="M639" s="83"/>
      <c r="N639" s="94"/>
      <c r="O639" s="83"/>
      <c r="P639" s="492"/>
      <c r="Q639" s="83"/>
      <c r="R639" s="83"/>
      <c r="S639" s="83"/>
      <c r="T639" s="83"/>
      <c r="U639" s="83"/>
      <c r="V639" s="83"/>
      <c r="W639" s="94"/>
      <c r="X639" s="94"/>
      <c r="Y639" s="94"/>
      <c r="Z639" s="83"/>
      <c r="AA639" s="83"/>
      <c r="AB639" s="83"/>
      <c r="AC639" s="83"/>
      <c r="AD639" s="83"/>
      <c r="AE639" s="83"/>
      <c r="AF639" s="83"/>
      <c r="AG639" s="83"/>
      <c r="AH639" s="83"/>
      <c r="AI639" s="83"/>
      <c r="AJ639" s="83"/>
      <c r="AK639" s="83"/>
      <c r="AL639" s="83"/>
      <c r="AM639" s="83"/>
      <c r="AN639" s="83"/>
      <c r="AO639" s="83"/>
      <c r="AP639" s="94"/>
      <c r="AQ639" s="94"/>
    </row>
    <row r="640" ht="15.75" customHeight="1">
      <c r="A640" s="83"/>
      <c r="B640" s="83"/>
      <c r="C640" s="83"/>
      <c r="D640" s="83"/>
      <c r="E640" s="83"/>
      <c r="F640" s="83"/>
      <c r="G640" s="83"/>
      <c r="H640" s="83"/>
      <c r="I640" s="94"/>
      <c r="J640" s="83"/>
      <c r="K640" s="83"/>
      <c r="L640" s="94"/>
      <c r="M640" s="83"/>
      <c r="N640" s="94"/>
      <c r="O640" s="83"/>
      <c r="P640" s="492"/>
      <c r="Q640" s="83"/>
      <c r="R640" s="83"/>
      <c r="S640" s="83"/>
      <c r="T640" s="83"/>
      <c r="U640" s="83"/>
      <c r="V640" s="83"/>
      <c r="W640" s="94"/>
      <c r="X640" s="94"/>
      <c r="Y640" s="94"/>
      <c r="Z640" s="83"/>
      <c r="AA640" s="83"/>
      <c r="AB640" s="83"/>
      <c r="AC640" s="83"/>
      <c r="AD640" s="83"/>
      <c r="AE640" s="83"/>
      <c r="AF640" s="83"/>
      <c r="AG640" s="83"/>
      <c r="AH640" s="83"/>
      <c r="AI640" s="83"/>
      <c r="AJ640" s="83"/>
      <c r="AK640" s="83"/>
      <c r="AL640" s="83"/>
      <c r="AM640" s="83"/>
      <c r="AN640" s="83"/>
      <c r="AO640" s="83"/>
      <c r="AP640" s="94"/>
      <c r="AQ640" s="94"/>
    </row>
    <row r="641" ht="15.75" customHeight="1">
      <c r="A641" s="83"/>
      <c r="B641" s="83"/>
      <c r="C641" s="83"/>
      <c r="D641" s="83"/>
      <c r="E641" s="83"/>
      <c r="F641" s="83"/>
      <c r="G641" s="83"/>
      <c r="H641" s="83"/>
      <c r="I641" s="94"/>
      <c r="J641" s="83"/>
      <c r="K641" s="83"/>
      <c r="L641" s="94"/>
      <c r="M641" s="83"/>
      <c r="N641" s="94"/>
      <c r="O641" s="83"/>
      <c r="P641" s="492"/>
      <c r="Q641" s="83"/>
      <c r="R641" s="83"/>
      <c r="S641" s="83"/>
      <c r="T641" s="83"/>
      <c r="U641" s="83"/>
      <c r="V641" s="83"/>
      <c r="W641" s="94"/>
      <c r="X641" s="94"/>
      <c r="Y641" s="94"/>
      <c r="Z641" s="83"/>
      <c r="AA641" s="83"/>
      <c r="AB641" s="83"/>
      <c r="AC641" s="83"/>
      <c r="AD641" s="83"/>
      <c r="AE641" s="83"/>
      <c r="AF641" s="83"/>
      <c r="AG641" s="83"/>
      <c r="AH641" s="83"/>
      <c r="AI641" s="83"/>
      <c r="AJ641" s="83"/>
      <c r="AK641" s="83"/>
      <c r="AL641" s="83"/>
      <c r="AM641" s="83"/>
      <c r="AN641" s="83"/>
      <c r="AO641" s="83"/>
      <c r="AP641" s="94"/>
      <c r="AQ641" s="94"/>
    </row>
    <row r="642" ht="15.75" customHeight="1">
      <c r="A642" s="83"/>
      <c r="B642" s="83"/>
      <c r="C642" s="83"/>
      <c r="D642" s="83"/>
      <c r="E642" s="83"/>
      <c r="F642" s="83"/>
      <c r="G642" s="83"/>
      <c r="H642" s="83"/>
      <c r="I642" s="94"/>
      <c r="J642" s="83"/>
      <c r="K642" s="83"/>
      <c r="L642" s="94"/>
      <c r="M642" s="83"/>
      <c r="N642" s="94"/>
      <c r="O642" s="83"/>
      <c r="P642" s="492"/>
      <c r="Q642" s="83"/>
      <c r="R642" s="83"/>
      <c r="S642" s="83"/>
      <c r="T642" s="83"/>
      <c r="U642" s="83"/>
      <c r="V642" s="83"/>
      <c r="W642" s="94"/>
      <c r="X642" s="94"/>
      <c r="Y642" s="94"/>
      <c r="Z642" s="83"/>
      <c r="AA642" s="83"/>
      <c r="AB642" s="83"/>
      <c r="AC642" s="83"/>
      <c r="AD642" s="83"/>
      <c r="AE642" s="83"/>
      <c r="AF642" s="83"/>
      <c r="AG642" s="83"/>
      <c r="AH642" s="83"/>
      <c r="AI642" s="83"/>
      <c r="AJ642" s="83"/>
      <c r="AK642" s="83"/>
      <c r="AL642" s="83"/>
      <c r="AM642" s="83"/>
      <c r="AN642" s="83"/>
      <c r="AO642" s="83"/>
      <c r="AP642" s="94"/>
      <c r="AQ642" s="94"/>
    </row>
    <row r="643" ht="15.75" customHeight="1">
      <c r="A643" s="83"/>
      <c r="B643" s="83"/>
      <c r="C643" s="83"/>
      <c r="D643" s="83"/>
      <c r="E643" s="83"/>
      <c r="F643" s="83"/>
      <c r="G643" s="83"/>
      <c r="H643" s="83"/>
      <c r="I643" s="94"/>
      <c r="J643" s="83"/>
      <c r="K643" s="83"/>
      <c r="L643" s="94"/>
      <c r="M643" s="83"/>
      <c r="N643" s="94"/>
      <c r="O643" s="83"/>
      <c r="P643" s="492"/>
      <c r="Q643" s="83"/>
      <c r="R643" s="83"/>
      <c r="S643" s="83"/>
      <c r="T643" s="83"/>
      <c r="U643" s="83"/>
      <c r="V643" s="83"/>
      <c r="W643" s="94"/>
      <c r="X643" s="94"/>
      <c r="Y643" s="94"/>
      <c r="Z643" s="83"/>
      <c r="AA643" s="83"/>
      <c r="AB643" s="83"/>
      <c r="AC643" s="83"/>
      <c r="AD643" s="83"/>
      <c r="AE643" s="83"/>
      <c r="AF643" s="83"/>
      <c r="AG643" s="83"/>
      <c r="AH643" s="83"/>
      <c r="AI643" s="83"/>
      <c r="AJ643" s="83"/>
      <c r="AK643" s="83"/>
      <c r="AL643" s="83"/>
      <c r="AM643" s="83"/>
      <c r="AN643" s="83"/>
      <c r="AO643" s="83"/>
      <c r="AP643" s="94"/>
      <c r="AQ643" s="94"/>
    </row>
    <row r="644" ht="15.75" customHeight="1">
      <c r="A644" s="83"/>
      <c r="B644" s="83"/>
      <c r="C644" s="83"/>
      <c r="D644" s="83"/>
      <c r="E644" s="83"/>
      <c r="F644" s="83"/>
      <c r="G644" s="83"/>
      <c r="H644" s="83"/>
      <c r="I644" s="94"/>
      <c r="J644" s="83"/>
      <c r="K644" s="83"/>
      <c r="L644" s="94"/>
      <c r="M644" s="83"/>
      <c r="N644" s="94"/>
      <c r="O644" s="83"/>
      <c r="P644" s="492"/>
      <c r="Q644" s="83"/>
      <c r="R644" s="83"/>
      <c r="S644" s="83"/>
      <c r="T644" s="83"/>
      <c r="U644" s="83"/>
      <c r="V644" s="83"/>
      <c r="W644" s="94"/>
      <c r="X644" s="94"/>
      <c r="Y644" s="94"/>
      <c r="Z644" s="83"/>
      <c r="AA644" s="83"/>
      <c r="AB644" s="83"/>
      <c r="AC644" s="83"/>
      <c r="AD644" s="83"/>
      <c r="AE644" s="83"/>
      <c r="AF644" s="83"/>
      <c r="AG644" s="83"/>
      <c r="AH644" s="83"/>
      <c r="AI644" s="83"/>
      <c r="AJ644" s="83"/>
      <c r="AK644" s="83"/>
      <c r="AL644" s="83"/>
      <c r="AM644" s="83"/>
      <c r="AN644" s="83"/>
      <c r="AO644" s="83"/>
      <c r="AP644" s="94"/>
      <c r="AQ644" s="94"/>
    </row>
    <row r="645" ht="15.75" customHeight="1">
      <c r="A645" s="83"/>
      <c r="B645" s="83"/>
      <c r="C645" s="83"/>
      <c r="D645" s="83"/>
      <c r="E645" s="83"/>
      <c r="F645" s="83"/>
      <c r="G645" s="83"/>
      <c r="H645" s="83"/>
      <c r="I645" s="94"/>
      <c r="J645" s="83"/>
      <c r="K645" s="83"/>
      <c r="L645" s="94"/>
      <c r="M645" s="83"/>
      <c r="N645" s="94"/>
      <c r="O645" s="83"/>
      <c r="P645" s="492"/>
      <c r="Q645" s="83"/>
      <c r="R645" s="83"/>
      <c r="S645" s="83"/>
      <c r="T645" s="83"/>
      <c r="U645" s="83"/>
      <c r="V645" s="83"/>
      <c r="W645" s="94"/>
      <c r="X645" s="94"/>
      <c r="Y645" s="94"/>
      <c r="Z645" s="83"/>
      <c r="AA645" s="83"/>
      <c r="AB645" s="83"/>
      <c r="AC645" s="83"/>
      <c r="AD645" s="83"/>
      <c r="AE645" s="83"/>
      <c r="AF645" s="83"/>
      <c r="AG645" s="83"/>
      <c r="AH645" s="83"/>
      <c r="AI645" s="83"/>
      <c r="AJ645" s="83"/>
      <c r="AK645" s="83"/>
      <c r="AL645" s="83"/>
      <c r="AM645" s="83"/>
      <c r="AN645" s="83"/>
      <c r="AO645" s="83"/>
      <c r="AP645" s="94"/>
      <c r="AQ645" s="94"/>
    </row>
    <row r="646" ht="15.75" customHeight="1">
      <c r="A646" s="83"/>
      <c r="B646" s="83"/>
      <c r="C646" s="83"/>
      <c r="D646" s="83"/>
      <c r="E646" s="83"/>
      <c r="F646" s="83"/>
      <c r="G646" s="83"/>
      <c r="H646" s="83"/>
      <c r="I646" s="94"/>
      <c r="J646" s="83"/>
      <c r="K646" s="83"/>
      <c r="L646" s="94"/>
      <c r="M646" s="83"/>
      <c r="N646" s="94"/>
      <c r="O646" s="83"/>
      <c r="P646" s="492"/>
      <c r="Q646" s="83"/>
      <c r="R646" s="83"/>
      <c r="S646" s="83"/>
      <c r="T646" s="83"/>
      <c r="U646" s="83"/>
      <c r="V646" s="83"/>
      <c r="W646" s="94"/>
      <c r="X646" s="94"/>
      <c r="Y646" s="94"/>
      <c r="Z646" s="83"/>
      <c r="AA646" s="83"/>
      <c r="AB646" s="83"/>
      <c r="AC646" s="83"/>
      <c r="AD646" s="83"/>
      <c r="AE646" s="83"/>
      <c r="AF646" s="83"/>
      <c r="AG646" s="83"/>
      <c r="AH646" s="83"/>
      <c r="AI646" s="83"/>
      <c r="AJ646" s="83"/>
      <c r="AK646" s="83"/>
      <c r="AL646" s="83"/>
      <c r="AM646" s="83"/>
      <c r="AN646" s="83"/>
      <c r="AO646" s="83"/>
      <c r="AP646" s="94"/>
      <c r="AQ646" s="94"/>
    </row>
    <row r="647" ht="15.75" customHeight="1">
      <c r="A647" s="83"/>
      <c r="B647" s="83"/>
      <c r="C647" s="83"/>
      <c r="D647" s="83"/>
      <c r="E647" s="83"/>
      <c r="F647" s="83"/>
      <c r="G647" s="83"/>
      <c r="H647" s="83"/>
      <c r="I647" s="94"/>
      <c r="J647" s="83"/>
      <c r="K647" s="83"/>
      <c r="L647" s="94"/>
      <c r="M647" s="83"/>
      <c r="N647" s="94"/>
      <c r="O647" s="83"/>
      <c r="P647" s="492"/>
      <c r="Q647" s="83"/>
      <c r="R647" s="83"/>
      <c r="S647" s="83"/>
      <c r="T647" s="83"/>
      <c r="U647" s="83"/>
      <c r="V647" s="83"/>
      <c r="W647" s="94"/>
      <c r="X647" s="94"/>
      <c r="Y647" s="94"/>
      <c r="Z647" s="83"/>
      <c r="AA647" s="83"/>
      <c r="AB647" s="83"/>
      <c r="AC647" s="83"/>
      <c r="AD647" s="83"/>
      <c r="AE647" s="83"/>
      <c r="AF647" s="83"/>
      <c r="AG647" s="83"/>
      <c r="AH647" s="83"/>
      <c r="AI647" s="83"/>
      <c r="AJ647" s="83"/>
      <c r="AK647" s="83"/>
      <c r="AL647" s="83"/>
      <c r="AM647" s="83"/>
      <c r="AN647" s="83"/>
      <c r="AO647" s="83"/>
      <c r="AP647" s="94"/>
      <c r="AQ647" s="94"/>
    </row>
    <row r="648" ht="15.75" customHeight="1">
      <c r="A648" s="83"/>
      <c r="B648" s="83"/>
      <c r="C648" s="83"/>
      <c r="D648" s="83"/>
      <c r="E648" s="83"/>
      <c r="F648" s="83"/>
      <c r="G648" s="83"/>
      <c r="H648" s="83"/>
      <c r="I648" s="94"/>
      <c r="J648" s="83"/>
      <c r="K648" s="83"/>
      <c r="L648" s="94"/>
      <c r="M648" s="83"/>
      <c r="N648" s="94"/>
      <c r="O648" s="83"/>
      <c r="P648" s="492"/>
      <c r="Q648" s="83"/>
      <c r="R648" s="83"/>
      <c r="S648" s="83"/>
      <c r="T648" s="83"/>
      <c r="U648" s="83"/>
      <c r="V648" s="83"/>
      <c r="W648" s="94"/>
      <c r="X648" s="94"/>
      <c r="Y648" s="94"/>
      <c r="Z648" s="83"/>
      <c r="AA648" s="83"/>
      <c r="AB648" s="83"/>
      <c r="AC648" s="83"/>
      <c r="AD648" s="83"/>
      <c r="AE648" s="83"/>
      <c r="AF648" s="83"/>
      <c r="AG648" s="83"/>
      <c r="AH648" s="83"/>
      <c r="AI648" s="83"/>
      <c r="AJ648" s="83"/>
      <c r="AK648" s="83"/>
      <c r="AL648" s="83"/>
      <c r="AM648" s="83"/>
      <c r="AN648" s="83"/>
      <c r="AO648" s="83"/>
      <c r="AP648" s="94"/>
      <c r="AQ648" s="94"/>
    </row>
    <row r="649" ht="15.75" customHeight="1">
      <c r="A649" s="83"/>
      <c r="B649" s="83"/>
      <c r="C649" s="83"/>
      <c r="D649" s="83"/>
      <c r="E649" s="83"/>
      <c r="F649" s="83"/>
      <c r="G649" s="83"/>
      <c r="H649" s="83"/>
      <c r="I649" s="94"/>
      <c r="J649" s="83"/>
      <c r="K649" s="83"/>
      <c r="L649" s="94"/>
      <c r="M649" s="83"/>
      <c r="N649" s="94"/>
      <c r="O649" s="83"/>
      <c r="P649" s="492"/>
      <c r="Q649" s="83"/>
      <c r="R649" s="83"/>
      <c r="S649" s="83"/>
      <c r="T649" s="83"/>
      <c r="U649" s="83"/>
      <c r="V649" s="83"/>
      <c r="W649" s="94"/>
      <c r="X649" s="94"/>
      <c r="Y649" s="94"/>
      <c r="Z649" s="83"/>
      <c r="AA649" s="83"/>
      <c r="AB649" s="83"/>
      <c r="AC649" s="83"/>
      <c r="AD649" s="83"/>
      <c r="AE649" s="83"/>
      <c r="AF649" s="83"/>
      <c r="AG649" s="83"/>
      <c r="AH649" s="83"/>
      <c r="AI649" s="83"/>
      <c r="AJ649" s="83"/>
      <c r="AK649" s="83"/>
      <c r="AL649" s="83"/>
      <c r="AM649" s="83"/>
      <c r="AN649" s="83"/>
      <c r="AO649" s="83"/>
      <c r="AP649" s="94"/>
      <c r="AQ649" s="94"/>
    </row>
    <row r="650" ht="15.75" customHeight="1">
      <c r="A650" s="83"/>
      <c r="B650" s="83"/>
      <c r="C650" s="83"/>
      <c r="D650" s="83"/>
      <c r="E650" s="83"/>
      <c r="F650" s="83"/>
      <c r="G650" s="83"/>
      <c r="H650" s="83"/>
      <c r="I650" s="94"/>
      <c r="J650" s="83"/>
      <c r="K650" s="83"/>
      <c r="L650" s="94"/>
      <c r="M650" s="83"/>
      <c r="N650" s="94"/>
      <c r="O650" s="83"/>
      <c r="P650" s="492"/>
      <c r="Q650" s="83"/>
      <c r="R650" s="83"/>
      <c r="S650" s="83"/>
      <c r="T650" s="83"/>
      <c r="U650" s="83"/>
      <c r="V650" s="83"/>
      <c r="W650" s="94"/>
      <c r="X650" s="94"/>
      <c r="Y650" s="94"/>
      <c r="Z650" s="83"/>
      <c r="AA650" s="83"/>
      <c r="AB650" s="83"/>
      <c r="AC650" s="83"/>
      <c r="AD650" s="83"/>
      <c r="AE650" s="83"/>
      <c r="AF650" s="83"/>
      <c r="AG650" s="83"/>
      <c r="AH650" s="83"/>
      <c r="AI650" s="83"/>
      <c r="AJ650" s="83"/>
      <c r="AK650" s="83"/>
      <c r="AL650" s="83"/>
      <c r="AM650" s="83"/>
      <c r="AN650" s="83"/>
      <c r="AO650" s="83"/>
      <c r="AP650" s="94"/>
      <c r="AQ650" s="94"/>
    </row>
    <row r="651" ht="15.75" customHeight="1">
      <c r="A651" s="83"/>
      <c r="B651" s="83"/>
      <c r="C651" s="83"/>
      <c r="D651" s="83"/>
      <c r="E651" s="83"/>
      <c r="F651" s="83"/>
      <c r="G651" s="83"/>
      <c r="H651" s="83"/>
      <c r="I651" s="94"/>
      <c r="J651" s="83"/>
      <c r="K651" s="83"/>
      <c r="L651" s="94"/>
      <c r="M651" s="83"/>
      <c r="N651" s="94"/>
      <c r="O651" s="83"/>
      <c r="P651" s="492"/>
      <c r="Q651" s="83"/>
      <c r="R651" s="83"/>
      <c r="S651" s="83"/>
      <c r="T651" s="83"/>
      <c r="U651" s="83"/>
      <c r="V651" s="83"/>
      <c r="W651" s="94"/>
      <c r="X651" s="94"/>
      <c r="Y651" s="94"/>
      <c r="Z651" s="83"/>
      <c r="AA651" s="83"/>
      <c r="AB651" s="83"/>
      <c r="AC651" s="83"/>
      <c r="AD651" s="83"/>
      <c r="AE651" s="83"/>
      <c r="AF651" s="83"/>
      <c r="AG651" s="83"/>
      <c r="AH651" s="83"/>
      <c r="AI651" s="83"/>
      <c r="AJ651" s="83"/>
      <c r="AK651" s="83"/>
      <c r="AL651" s="83"/>
      <c r="AM651" s="83"/>
      <c r="AN651" s="83"/>
      <c r="AO651" s="83"/>
      <c r="AP651" s="94"/>
      <c r="AQ651" s="94"/>
    </row>
    <row r="652" ht="15.75" customHeight="1">
      <c r="A652" s="83"/>
      <c r="B652" s="83"/>
      <c r="C652" s="83"/>
      <c r="D652" s="83"/>
      <c r="E652" s="83"/>
      <c r="F652" s="83"/>
      <c r="G652" s="83"/>
      <c r="H652" s="83"/>
      <c r="I652" s="94"/>
      <c r="J652" s="83"/>
      <c r="K652" s="83"/>
      <c r="L652" s="94"/>
      <c r="M652" s="83"/>
      <c r="N652" s="94"/>
      <c r="O652" s="83"/>
      <c r="P652" s="492"/>
      <c r="Q652" s="83"/>
      <c r="R652" s="83"/>
      <c r="S652" s="83"/>
      <c r="T652" s="83"/>
      <c r="U652" s="83"/>
      <c r="V652" s="83"/>
      <c r="W652" s="94"/>
      <c r="X652" s="94"/>
      <c r="Y652" s="94"/>
      <c r="Z652" s="83"/>
      <c r="AA652" s="83"/>
      <c r="AB652" s="83"/>
      <c r="AC652" s="83"/>
      <c r="AD652" s="83"/>
      <c r="AE652" s="83"/>
      <c r="AF652" s="83"/>
      <c r="AG652" s="83"/>
      <c r="AH652" s="83"/>
      <c r="AI652" s="83"/>
      <c r="AJ652" s="83"/>
      <c r="AK652" s="83"/>
      <c r="AL652" s="83"/>
      <c r="AM652" s="83"/>
      <c r="AN652" s="83"/>
      <c r="AO652" s="83"/>
      <c r="AP652" s="94"/>
      <c r="AQ652" s="94"/>
    </row>
    <row r="653" ht="15.75" customHeight="1">
      <c r="A653" s="83"/>
      <c r="B653" s="83"/>
      <c r="C653" s="83"/>
      <c r="D653" s="83"/>
      <c r="E653" s="83"/>
      <c r="F653" s="83"/>
      <c r="G653" s="83"/>
      <c r="H653" s="83"/>
      <c r="I653" s="94"/>
      <c r="J653" s="83"/>
      <c r="K653" s="83"/>
      <c r="L653" s="94"/>
      <c r="M653" s="83"/>
      <c r="N653" s="94"/>
      <c r="O653" s="83"/>
      <c r="P653" s="492"/>
      <c r="Q653" s="83"/>
      <c r="R653" s="83"/>
      <c r="S653" s="83"/>
      <c r="T653" s="83"/>
      <c r="U653" s="83"/>
      <c r="V653" s="83"/>
      <c r="W653" s="94"/>
      <c r="X653" s="94"/>
      <c r="Y653" s="94"/>
      <c r="Z653" s="83"/>
      <c r="AA653" s="83"/>
      <c r="AB653" s="83"/>
      <c r="AC653" s="83"/>
      <c r="AD653" s="83"/>
      <c r="AE653" s="83"/>
      <c r="AF653" s="83"/>
      <c r="AG653" s="83"/>
      <c r="AH653" s="83"/>
      <c r="AI653" s="83"/>
      <c r="AJ653" s="83"/>
      <c r="AK653" s="83"/>
      <c r="AL653" s="83"/>
      <c r="AM653" s="83"/>
      <c r="AN653" s="83"/>
      <c r="AO653" s="83"/>
      <c r="AP653" s="94"/>
      <c r="AQ653" s="94"/>
    </row>
    <row r="654" ht="15.75" customHeight="1">
      <c r="A654" s="83"/>
      <c r="B654" s="83"/>
      <c r="C654" s="83"/>
      <c r="D654" s="83"/>
      <c r="E654" s="83"/>
      <c r="F654" s="83"/>
      <c r="G654" s="83"/>
      <c r="H654" s="83"/>
      <c r="I654" s="94"/>
      <c r="J654" s="83"/>
      <c r="K654" s="83"/>
      <c r="L654" s="94"/>
      <c r="M654" s="83"/>
      <c r="N654" s="94"/>
      <c r="O654" s="83"/>
      <c r="P654" s="492"/>
      <c r="Q654" s="83"/>
      <c r="R654" s="83"/>
      <c r="S654" s="83"/>
      <c r="T654" s="83"/>
      <c r="U654" s="83"/>
      <c r="V654" s="83"/>
      <c r="W654" s="94"/>
      <c r="X654" s="94"/>
      <c r="Y654" s="94"/>
      <c r="Z654" s="83"/>
      <c r="AA654" s="83"/>
      <c r="AB654" s="83"/>
      <c r="AC654" s="83"/>
      <c r="AD654" s="83"/>
      <c r="AE654" s="83"/>
      <c r="AF654" s="83"/>
      <c r="AG654" s="83"/>
      <c r="AH654" s="83"/>
      <c r="AI654" s="83"/>
      <c r="AJ654" s="83"/>
      <c r="AK654" s="83"/>
      <c r="AL654" s="83"/>
      <c r="AM654" s="83"/>
      <c r="AN654" s="83"/>
      <c r="AO654" s="83"/>
      <c r="AP654" s="94"/>
      <c r="AQ654" s="94"/>
    </row>
    <row r="655" ht="15.75" customHeight="1">
      <c r="A655" s="83"/>
      <c r="B655" s="83"/>
      <c r="C655" s="83"/>
      <c r="D655" s="83"/>
      <c r="E655" s="83"/>
      <c r="F655" s="83"/>
      <c r="G655" s="83"/>
      <c r="H655" s="83"/>
      <c r="I655" s="94"/>
      <c r="J655" s="83"/>
      <c r="K655" s="83"/>
      <c r="L655" s="94"/>
      <c r="M655" s="83"/>
      <c r="N655" s="94"/>
      <c r="O655" s="83"/>
      <c r="P655" s="492"/>
      <c r="Q655" s="83"/>
      <c r="R655" s="83"/>
      <c r="S655" s="83"/>
      <c r="T655" s="83"/>
      <c r="U655" s="83"/>
      <c r="V655" s="83"/>
      <c r="W655" s="94"/>
      <c r="X655" s="94"/>
      <c r="Y655" s="94"/>
      <c r="Z655" s="83"/>
      <c r="AA655" s="83"/>
      <c r="AB655" s="83"/>
      <c r="AC655" s="83"/>
      <c r="AD655" s="83"/>
      <c r="AE655" s="83"/>
      <c r="AF655" s="83"/>
      <c r="AG655" s="83"/>
      <c r="AH655" s="83"/>
      <c r="AI655" s="83"/>
      <c r="AJ655" s="83"/>
      <c r="AK655" s="83"/>
      <c r="AL655" s="83"/>
      <c r="AM655" s="83"/>
      <c r="AN655" s="83"/>
      <c r="AO655" s="83"/>
      <c r="AP655" s="94"/>
      <c r="AQ655" s="94"/>
    </row>
    <row r="656" ht="15.75" customHeight="1">
      <c r="A656" s="83"/>
      <c r="B656" s="83"/>
      <c r="C656" s="83"/>
      <c r="D656" s="83"/>
      <c r="E656" s="83"/>
      <c r="F656" s="83"/>
      <c r="G656" s="83"/>
      <c r="H656" s="83"/>
      <c r="I656" s="94"/>
      <c r="J656" s="83"/>
      <c r="K656" s="83"/>
      <c r="L656" s="94"/>
      <c r="M656" s="83"/>
      <c r="N656" s="94"/>
      <c r="O656" s="83"/>
      <c r="P656" s="492"/>
      <c r="Q656" s="83"/>
      <c r="R656" s="83"/>
      <c r="S656" s="83"/>
      <c r="T656" s="83"/>
      <c r="U656" s="83"/>
      <c r="V656" s="83"/>
      <c r="W656" s="94"/>
      <c r="X656" s="94"/>
      <c r="Y656" s="94"/>
      <c r="Z656" s="83"/>
      <c r="AA656" s="83"/>
      <c r="AB656" s="83"/>
      <c r="AC656" s="83"/>
      <c r="AD656" s="83"/>
      <c r="AE656" s="83"/>
      <c r="AF656" s="83"/>
      <c r="AG656" s="83"/>
      <c r="AH656" s="83"/>
      <c r="AI656" s="83"/>
      <c r="AJ656" s="83"/>
      <c r="AK656" s="83"/>
      <c r="AL656" s="83"/>
      <c r="AM656" s="83"/>
      <c r="AN656" s="83"/>
      <c r="AO656" s="83"/>
      <c r="AP656" s="94"/>
      <c r="AQ656" s="94"/>
    </row>
    <row r="657" ht="15.75" customHeight="1">
      <c r="A657" s="83"/>
      <c r="B657" s="83"/>
      <c r="C657" s="83"/>
      <c r="D657" s="83"/>
      <c r="E657" s="83"/>
      <c r="F657" s="83"/>
      <c r="G657" s="83"/>
      <c r="H657" s="83"/>
      <c r="I657" s="94"/>
      <c r="J657" s="83"/>
      <c r="K657" s="83"/>
      <c r="L657" s="94"/>
      <c r="M657" s="83"/>
      <c r="N657" s="94"/>
      <c r="O657" s="83"/>
      <c r="P657" s="492"/>
      <c r="Q657" s="83"/>
      <c r="R657" s="83"/>
      <c r="S657" s="83"/>
      <c r="T657" s="83"/>
      <c r="U657" s="83"/>
      <c r="V657" s="83"/>
      <c r="W657" s="94"/>
      <c r="X657" s="94"/>
      <c r="Y657" s="94"/>
      <c r="Z657" s="83"/>
      <c r="AA657" s="83"/>
      <c r="AB657" s="83"/>
      <c r="AC657" s="83"/>
      <c r="AD657" s="83"/>
      <c r="AE657" s="83"/>
      <c r="AF657" s="83"/>
      <c r="AG657" s="83"/>
      <c r="AH657" s="83"/>
      <c r="AI657" s="83"/>
      <c r="AJ657" s="83"/>
      <c r="AK657" s="83"/>
      <c r="AL657" s="83"/>
      <c r="AM657" s="83"/>
      <c r="AN657" s="83"/>
      <c r="AO657" s="83"/>
      <c r="AP657" s="94"/>
      <c r="AQ657" s="94"/>
    </row>
    <row r="658" ht="15.75" customHeight="1">
      <c r="A658" s="83"/>
      <c r="B658" s="83"/>
      <c r="C658" s="83"/>
      <c r="D658" s="83"/>
      <c r="E658" s="83"/>
      <c r="F658" s="83"/>
      <c r="G658" s="83"/>
      <c r="H658" s="83"/>
      <c r="I658" s="94"/>
      <c r="J658" s="83"/>
      <c r="K658" s="83"/>
      <c r="L658" s="94"/>
      <c r="M658" s="83"/>
      <c r="N658" s="94"/>
      <c r="O658" s="83"/>
      <c r="P658" s="492"/>
      <c r="Q658" s="83"/>
      <c r="R658" s="83"/>
      <c r="S658" s="83"/>
      <c r="T658" s="83"/>
      <c r="U658" s="83"/>
      <c r="V658" s="83"/>
      <c r="W658" s="94"/>
      <c r="X658" s="94"/>
      <c r="Y658" s="94"/>
      <c r="Z658" s="83"/>
      <c r="AA658" s="83"/>
      <c r="AB658" s="83"/>
      <c r="AC658" s="83"/>
      <c r="AD658" s="83"/>
      <c r="AE658" s="83"/>
      <c r="AF658" s="83"/>
      <c r="AG658" s="83"/>
      <c r="AH658" s="83"/>
      <c r="AI658" s="83"/>
      <c r="AJ658" s="83"/>
      <c r="AK658" s="83"/>
      <c r="AL658" s="83"/>
      <c r="AM658" s="83"/>
      <c r="AN658" s="83"/>
      <c r="AO658" s="83"/>
      <c r="AP658" s="94"/>
      <c r="AQ658" s="94"/>
    </row>
    <row r="659" ht="15.75" customHeight="1">
      <c r="A659" s="83"/>
      <c r="B659" s="83"/>
      <c r="C659" s="83"/>
      <c r="D659" s="83"/>
      <c r="E659" s="83"/>
      <c r="F659" s="83"/>
      <c r="G659" s="83"/>
      <c r="H659" s="83"/>
      <c r="I659" s="94"/>
      <c r="J659" s="83"/>
      <c r="K659" s="83"/>
      <c r="L659" s="94"/>
      <c r="M659" s="83"/>
      <c r="N659" s="94"/>
      <c r="O659" s="83"/>
      <c r="P659" s="492"/>
      <c r="Q659" s="83"/>
      <c r="R659" s="83"/>
      <c r="S659" s="83"/>
      <c r="T659" s="83"/>
      <c r="U659" s="83"/>
      <c r="V659" s="83"/>
      <c r="W659" s="94"/>
      <c r="X659" s="94"/>
      <c r="Y659" s="94"/>
      <c r="Z659" s="83"/>
      <c r="AA659" s="83"/>
      <c r="AB659" s="83"/>
      <c r="AC659" s="83"/>
      <c r="AD659" s="83"/>
      <c r="AE659" s="83"/>
      <c r="AF659" s="83"/>
      <c r="AG659" s="83"/>
      <c r="AH659" s="83"/>
      <c r="AI659" s="83"/>
      <c r="AJ659" s="83"/>
      <c r="AK659" s="83"/>
      <c r="AL659" s="83"/>
      <c r="AM659" s="83"/>
      <c r="AN659" s="83"/>
      <c r="AO659" s="83"/>
      <c r="AP659" s="94"/>
      <c r="AQ659" s="94"/>
    </row>
    <row r="660" ht="15.75" customHeight="1">
      <c r="A660" s="83"/>
      <c r="B660" s="83"/>
      <c r="C660" s="83"/>
      <c r="D660" s="83"/>
      <c r="E660" s="83"/>
      <c r="F660" s="83"/>
      <c r="G660" s="83"/>
      <c r="H660" s="83"/>
      <c r="I660" s="94"/>
      <c r="J660" s="83"/>
      <c r="K660" s="83"/>
      <c r="L660" s="94"/>
      <c r="M660" s="83"/>
      <c r="N660" s="94"/>
      <c r="O660" s="83"/>
      <c r="P660" s="492"/>
      <c r="Q660" s="83"/>
      <c r="R660" s="83"/>
      <c r="S660" s="83"/>
      <c r="T660" s="83"/>
      <c r="U660" s="83"/>
      <c r="V660" s="83"/>
      <c r="W660" s="94"/>
      <c r="X660" s="94"/>
      <c r="Y660" s="94"/>
      <c r="Z660" s="83"/>
      <c r="AA660" s="83"/>
      <c r="AB660" s="83"/>
      <c r="AC660" s="83"/>
      <c r="AD660" s="83"/>
      <c r="AE660" s="83"/>
      <c r="AF660" s="83"/>
      <c r="AG660" s="83"/>
      <c r="AH660" s="83"/>
      <c r="AI660" s="83"/>
      <c r="AJ660" s="83"/>
      <c r="AK660" s="83"/>
      <c r="AL660" s="83"/>
      <c r="AM660" s="83"/>
      <c r="AN660" s="83"/>
      <c r="AO660" s="83"/>
      <c r="AP660" s="94"/>
      <c r="AQ660" s="94"/>
    </row>
    <row r="661" ht="15.75" customHeight="1">
      <c r="A661" s="83"/>
      <c r="B661" s="83"/>
      <c r="C661" s="83"/>
      <c r="D661" s="83"/>
      <c r="E661" s="83"/>
      <c r="F661" s="83"/>
      <c r="G661" s="83"/>
      <c r="H661" s="83"/>
      <c r="I661" s="94"/>
      <c r="J661" s="83"/>
      <c r="K661" s="83"/>
      <c r="L661" s="94"/>
      <c r="M661" s="83"/>
      <c r="N661" s="94"/>
      <c r="O661" s="83"/>
      <c r="P661" s="492"/>
      <c r="Q661" s="83"/>
      <c r="R661" s="83"/>
      <c r="S661" s="83"/>
      <c r="T661" s="83"/>
      <c r="U661" s="83"/>
      <c r="V661" s="83"/>
      <c r="W661" s="94"/>
      <c r="X661" s="94"/>
      <c r="Y661" s="94"/>
      <c r="Z661" s="83"/>
      <c r="AA661" s="83"/>
      <c r="AB661" s="83"/>
      <c r="AC661" s="83"/>
      <c r="AD661" s="83"/>
      <c r="AE661" s="83"/>
      <c r="AF661" s="83"/>
      <c r="AG661" s="83"/>
      <c r="AH661" s="83"/>
      <c r="AI661" s="83"/>
      <c r="AJ661" s="83"/>
      <c r="AK661" s="83"/>
      <c r="AL661" s="83"/>
      <c r="AM661" s="83"/>
      <c r="AN661" s="83"/>
      <c r="AO661" s="83"/>
      <c r="AP661" s="94"/>
      <c r="AQ661" s="94"/>
    </row>
    <row r="662" ht="15.75" customHeight="1">
      <c r="A662" s="83"/>
      <c r="B662" s="83"/>
      <c r="C662" s="83"/>
      <c r="D662" s="83"/>
      <c r="E662" s="83"/>
      <c r="F662" s="83"/>
      <c r="G662" s="83"/>
      <c r="H662" s="83"/>
      <c r="I662" s="94"/>
      <c r="J662" s="83"/>
      <c r="K662" s="83"/>
      <c r="L662" s="94"/>
      <c r="M662" s="83"/>
      <c r="N662" s="94"/>
      <c r="O662" s="83"/>
      <c r="P662" s="492"/>
      <c r="Q662" s="83"/>
      <c r="R662" s="83"/>
      <c r="S662" s="83"/>
      <c r="T662" s="83"/>
      <c r="U662" s="83"/>
      <c r="V662" s="83"/>
      <c r="W662" s="94"/>
      <c r="X662" s="94"/>
      <c r="Y662" s="94"/>
      <c r="Z662" s="83"/>
      <c r="AA662" s="83"/>
      <c r="AB662" s="83"/>
      <c r="AC662" s="83"/>
      <c r="AD662" s="83"/>
      <c r="AE662" s="83"/>
      <c r="AF662" s="83"/>
      <c r="AG662" s="83"/>
      <c r="AH662" s="83"/>
      <c r="AI662" s="83"/>
      <c r="AJ662" s="83"/>
      <c r="AK662" s="83"/>
      <c r="AL662" s="83"/>
      <c r="AM662" s="83"/>
      <c r="AN662" s="83"/>
      <c r="AO662" s="83"/>
      <c r="AP662" s="94"/>
      <c r="AQ662" s="94"/>
    </row>
    <row r="663" ht="15.75" customHeight="1">
      <c r="A663" s="83"/>
      <c r="B663" s="83"/>
      <c r="C663" s="83"/>
      <c r="D663" s="83"/>
      <c r="E663" s="83"/>
      <c r="F663" s="83"/>
      <c r="G663" s="83"/>
      <c r="H663" s="83"/>
      <c r="I663" s="94"/>
      <c r="J663" s="83"/>
      <c r="K663" s="83"/>
      <c r="L663" s="94"/>
      <c r="M663" s="83"/>
      <c r="N663" s="94"/>
      <c r="O663" s="83"/>
      <c r="P663" s="492"/>
      <c r="Q663" s="83"/>
      <c r="R663" s="83"/>
      <c r="S663" s="83"/>
      <c r="T663" s="83"/>
      <c r="U663" s="83"/>
      <c r="V663" s="83"/>
      <c r="W663" s="94"/>
      <c r="X663" s="94"/>
      <c r="Y663" s="94"/>
      <c r="Z663" s="83"/>
      <c r="AA663" s="83"/>
      <c r="AB663" s="83"/>
      <c r="AC663" s="83"/>
      <c r="AD663" s="83"/>
      <c r="AE663" s="83"/>
      <c r="AF663" s="83"/>
      <c r="AG663" s="83"/>
      <c r="AH663" s="83"/>
      <c r="AI663" s="83"/>
      <c r="AJ663" s="83"/>
      <c r="AK663" s="83"/>
      <c r="AL663" s="83"/>
      <c r="AM663" s="83"/>
      <c r="AN663" s="83"/>
      <c r="AO663" s="83"/>
      <c r="AP663" s="94"/>
      <c r="AQ663" s="94"/>
    </row>
    <row r="664" ht="15.75" customHeight="1">
      <c r="A664" s="83"/>
      <c r="B664" s="83"/>
      <c r="C664" s="83"/>
      <c r="D664" s="83"/>
      <c r="E664" s="83"/>
      <c r="F664" s="83"/>
      <c r="G664" s="83"/>
      <c r="H664" s="83"/>
      <c r="I664" s="94"/>
      <c r="J664" s="83"/>
      <c r="K664" s="83"/>
      <c r="L664" s="94"/>
      <c r="M664" s="83"/>
      <c r="N664" s="94"/>
      <c r="O664" s="83"/>
      <c r="P664" s="492"/>
      <c r="Q664" s="83"/>
      <c r="R664" s="83"/>
      <c r="S664" s="83"/>
      <c r="T664" s="83"/>
      <c r="U664" s="83"/>
      <c r="V664" s="83"/>
      <c r="W664" s="94"/>
      <c r="X664" s="94"/>
      <c r="Y664" s="94"/>
      <c r="Z664" s="83"/>
      <c r="AA664" s="83"/>
      <c r="AB664" s="83"/>
      <c r="AC664" s="83"/>
      <c r="AD664" s="83"/>
      <c r="AE664" s="83"/>
      <c r="AF664" s="83"/>
      <c r="AG664" s="83"/>
      <c r="AH664" s="83"/>
      <c r="AI664" s="83"/>
      <c r="AJ664" s="83"/>
      <c r="AK664" s="83"/>
      <c r="AL664" s="83"/>
      <c r="AM664" s="83"/>
      <c r="AN664" s="83"/>
      <c r="AO664" s="83"/>
      <c r="AP664" s="94"/>
      <c r="AQ664" s="94"/>
    </row>
    <row r="665" ht="15.75" customHeight="1">
      <c r="A665" s="83"/>
      <c r="B665" s="83"/>
      <c r="C665" s="83"/>
      <c r="D665" s="83"/>
      <c r="E665" s="83"/>
      <c r="F665" s="83"/>
      <c r="G665" s="83"/>
      <c r="H665" s="83"/>
      <c r="I665" s="94"/>
      <c r="J665" s="83"/>
      <c r="K665" s="83"/>
      <c r="L665" s="94"/>
      <c r="M665" s="83"/>
      <c r="N665" s="94"/>
      <c r="O665" s="83"/>
      <c r="P665" s="492"/>
      <c r="Q665" s="83"/>
      <c r="R665" s="83"/>
      <c r="S665" s="83"/>
      <c r="T665" s="83"/>
      <c r="U665" s="83"/>
      <c r="V665" s="83"/>
      <c r="W665" s="94"/>
      <c r="X665" s="94"/>
      <c r="Y665" s="94"/>
      <c r="Z665" s="83"/>
      <c r="AA665" s="83"/>
      <c r="AB665" s="83"/>
      <c r="AC665" s="83"/>
      <c r="AD665" s="83"/>
      <c r="AE665" s="83"/>
      <c r="AF665" s="83"/>
      <c r="AG665" s="83"/>
      <c r="AH665" s="83"/>
      <c r="AI665" s="83"/>
      <c r="AJ665" s="83"/>
      <c r="AK665" s="83"/>
      <c r="AL665" s="83"/>
      <c r="AM665" s="83"/>
      <c r="AN665" s="83"/>
      <c r="AO665" s="83"/>
      <c r="AP665" s="94"/>
      <c r="AQ665" s="94"/>
    </row>
    <row r="666" ht="15.75" customHeight="1">
      <c r="A666" s="83"/>
      <c r="B666" s="83"/>
      <c r="C666" s="83"/>
      <c r="D666" s="83"/>
      <c r="E666" s="83"/>
      <c r="F666" s="83"/>
      <c r="G666" s="83"/>
      <c r="H666" s="83"/>
      <c r="I666" s="94"/>
      <c r="J666" s="83"/>
      <c r="K666" s="83"/>
      <c r="L666" s="94"/>
      <c r="M666" s="83"/>
      <c r="N666" s="94"/>
      <c r="O666" s="83"/>
      <c r="P666" s="492"/>
      <c r="Q666" s="83"/>
      <c r="R666" s="83"/>
      <c r="S666" s="83"/>
      <c r="T666" s="83"/>
      <c r="U666" s="83"/>
      <c r="V666" s="83"/>
      <c r="W666" s="94"/>
      <c r="X666" s="94"/>
      <c r="Y666" s="94"/>
      <c r="Z666" s="83"/>
      <c r="AA666" s="83"/>
      <c r="AB666" s="83"/>
      <c r="AC666" s="83"/>
      <c r="AD666" s="83"/>
      <c r="AE666" s="83"/>
      <c r="AF666" s="83"/>
      <c r="AG666" s="83"/>
      <c r="AH666" s="83"/>
      <c r="AI666" s="83"/>
      <c r="AJ666" s="83"/>
      <c r="AK666" s="83"/>
      <c r="AL666" s="83"/>
      <c r="AM666" s="83"/>
      <c r="AN666" s="83"/>
      <c r="AO666" s="83"/>
      <c r="AP666" s="94"/>
      <c r="AQ666" s="94"/>
    </row>
    <row r="667" ht="15.75" customHeight="1">
      <c r="A667" s="83"/>
      <c r="B667" s="83"/>
      <c r="C667" s="83"/>
      <c r="D667" s="83"/>
      <c r="E667" s="83"/>
      <c r="F667" s="83"/>
      <c r="G667" s="83"/>
      <c r="H667" s="83"/>
      <c r="I667" s="94"/>
      <c r="J667" s="83"/>
      <c r="K667" s="83"/>
      <c r="L667" s="94"/>
      <c r="M667" s="83"/>
      <c r="N667" s="94"/>
      <c r="O667" s="83"/>
      <c r="P667" s="492"/>
      <c r="Q667" s="83"/>
      <c r="R667" s="83"/>
      <c r="S667" s="83"/>
      <c r="T667" s="83"/>
      <c r="U667" s="83"/>
      <c r="V667" s="83"/>
      <c r="W667" s="94"/>
      <c r="X667" s="94"/>
      <c r="Y667" s="94"/>
      <c r="Z667" s="83"/>
      <c r="AA667" s="83"/>
      <c r="AB667" s="83"/>
      <c r="AC667" s="83"/>
      <c r="AD667" s="83"/>
      <c r="AE667" s="83"/>
      <c r="AF667" s="83"/>
      <c r="AG667" s="83"/>
      <c r="AH667" s="83"/>
      <c r="AI667" s="83"/>
      <c r="AJ667" s="83"/>
      <c r="AK667" s="83"/>
      <c r="AL667" s="83"/>
      <c r="AM667" s="83"/>
      <c r="AN667" s="83"/>
      <c r="AO667" s="83"/>
      <c r="AP667" s="94"/>
      <c r="AQ667" s="94"/>
    </row>
    <row r="668" ht="15.75" customHeight="1">
      <c r="A668" s="83"/>
      <c r="B668" s="83"/>
      <c r="C668" s="83"/>
      <c r="D668" s="83"/>
      <c r="E668" s="83"/>
      <c r="F668" s="83"/>
      <c r="G668" s="83"/>
      <c r="H668" s="83"/>
      <c r="I668" s="94"/>
      <c r="J668" s="83"/>
      <c r="K668" s="83"/>
      <c r="L668" s="94"/>
      <c r="M668" s="83"/>
      <c r="N668" s="94"/>
      <c r="O668" s="83"/>
      <c r="P668" s="492"/>
      <c r="Q668" s="83"/>
      <c r="R668" s="83"/>
      <c r="S668" s="83"/>
      <c r="T668" s="83"/>
      <c r="U668" s="83"/>
      <c r="V668" s="83"/>
      <c r="W668" s="94"/>
      <c r="X668" s="94"/>
      <c r="Y668" s="94"/>
      <c r="Z668" s="83"/>
      <c r="AA668" s="83"/>
      <c r="AB668" s="83"/>
      <c r="AC668" s="83"/>
      <c r="AD668" s="83"/>
      <c r="AE668" s="83"/>
      <c r="AF668" s="83"/>
      <c r="AG668" s="83"/>
      <c r="AH668" s="83"/>
      <c r="AI668" s="83"/>
      <c r="AJ668" s="83"/>
      <c r="AK668" s="83"/>
      <c r="AL668" s="83"/>
      <c r="AM668" s="83"/>
      <c r="AN668" s="83"/>
      <c r="AO668" s="83"/>
      <c r="AP668" s="94"/>
      <c r="AQ668" s="94"/>
    </row>
    <row r="669" ht="15.75" customHeight="1">
      <c r="A669" s="83"/>
      <c r="B669" s="83"/>
      <c r="C669" s="83"/>
      <c r="D669" s="83"/>
      <c r="E669" s="83"/>
      <c r="F669" s="83"/>
      <c r="G669" s="83"/>
      <c r="H669" s="83"/>
      <c r="I669" s="94"/>
      <c r="J669" s="83"/>
      <c r="K669" s="83"/>
      <c r="L669" s="94"/>
      <c r="M669" s="83"/>
      <c r="N669" s="94"/>
      <c r="O669" s="83"/>
      <c r="P669" s="492"/>
      <c r="Q669" s="83"/>
      <c r="R669" s="83"/>
      <c r="S669" s="83"/>
      <c r="T669" s="83"/>
      <c r="U669" s="83"/>
      <c r="V669" s="83"/>
      <c r="W669" s="94"/>
      <c r="X669" s="94"/>
      <c r="Y669" s="94"/>
      <c r="Z669" s="83"/>
      <c r="AA669" s="83"/>
      <c r="AB669" s="83"/>
      <c r="AC669" s="83"/>
      <c r="AD669" s="83"/>
      <c r="AE669" s="83"/>
      <c r="AF669" s="83"/>
      <c r="AG669" s="83"/>
      <c r="AH669" s="83"/>
      <c r="AI669" s="83"/>
      <c r="AJ669" s="83"/>
      <c r="AK669" s="83"/>
      <c r="AL669" s="83"/>
      <c r="AM669" s="83"/>
      <c r="AN669" s="83"/>
      <c r="AO669" s="83"/>
      <c r="AP669" s="94"/>
      <c r="AQ669" s="94"/>
    </row>
    <row r="670" ht="15.75" customHeight="1">
      <c r="A670" s="83"/>
      <c r="B670" s="83"/>
      <c r="C670" s="83"/>
      <c r="D670" s="83"/>
      <c r="E670" s="83"/>
      <c r="F670" s="83"/>
      <c r="G670" s="83"/>
      <c r="H670" s="83"/>
      <c r="I670" s="94"/>
      <c r="J670" s="83"/>
      <c r="K670" s="83"/>
      <c r="L670" s="94"/>
      <c r="M670" s="83"/>
      <c r="N670" s="94"/>
      <c r="O670" s="83"/>
      <c r="P670" s="492"/>
      <c r="Q670" s="83"/>
      <c r="R670" s="83"/>
      <c r="S670" s="83"/>
      <c r="T670" s="83"/>
      <c r="U670" s="83"/>
      <c r="V670" s="83"/>
      <c r="W670" s="94"/>
      <c r="X670" s="94"/>
      <c r="Y670" s="94"/>
      <c r="Z670" s="83"/>
      <c r="AA670" s="83"/>
      <c r="AB670" s="83"/>
      <c r="AC670" s="83"/>
      <c r="AD670" s="83"/>
      <c r="AE670" s="83"/>
      <c r="AF670" s="83"/>
      <c r="AG670" s="83"/>
      <c r="AH670" s="83"/>
      <c r="AI670" s="83"/>
      <c r="AJ670" s="83"/>
      <c r="AK670" s="83"/>
      <c r="AL670" s="83"/>
      <c r="AM670" s="83"/>
      <c r="AN670" s="83"/>
      <c r="AO670" s="83"/>
      <c r="AP670" s="94"/>
      <c r="AQ670" s="94"/>
    </row>
    <row r="671" ht="15.75" customHeight="1">
      <c r="A671" s="83"/>
      <c r="B671" s="83"/>
      <c r="C671" s="83"/>
      <c r="D671" s="83"/>
      <c r="E671" s="83"/>
      <c r="F671" s="83"/>
      <c r="G671" s="83"/>
      <c r="H671" s="83"/>
      <c r="I671" s="94"/>
      <c r="J671" s="83"/>
      <c r="K671" s="83"/>
      <c r="L671" s="94"/>
      <c r="M671" s="83"/>
      <c r="N671" s="94"/>
      <c r="O671" s="83"/>
      <c r="P671" s="492"/>
      <c r="Q671" s="83"/>
      <c r="R671" s="83"/>
      <c r="S671" s="83"/>
      <c r="T671" s="83"/>
      <c r="U671" s="83"/>
      <c r="V671" s="83"/>
      <c r="W671" s="94"/>
      <c r="X671" s="94"/>
      <c r="Y671" s="94"/>
      <c r="Z671" s="83"/>
      <c r="AA671" s="83"/>
      <c r="AB671" s="83"/>
      <c r="AC671" s="83"/>
      <c r="AD671" s="83"/>
      <c r="AE671" s="83"/>
      <c r="AF671" s="83"/>
      <c r="AG671" s="83"/>
      <c r="AH671" s="83"/>
      <c r="AI671" s="83"/>
      <c r="AJ671" s="83"/>
      <c r="AK671" s="83"/>
      <c r="AL671" s="83"/>
      <c r="AM671" s="83"/>
      <c r="AN671" s="83"/>
      <c r="AO671" s="83"/>
      <c r="AP671" s="94"/>
      <c r="AQ671" s="94"/>
    </row>
    <row r="672" ht="15.75" customHeight="1">
      <c r="A672" s="83"/>
      <c r="B672" s="83"/>
      <c r="C672" s="83"/>
      <c r="D672" s="83"/>
      <c r="E672" s="83"/>
      <c r="F672" s="83"/>
      <c r="G672" s="83"/>
      <c r="H672" s="83"/>
      <c r="I672" s="94"/>
      <c r="J672" s="83"/>
      <c r="K672" s="83"/>
      <c r="L672" s="94"/>
      <c r="M672" s="83"/>
      <c r="N672" s="94"/>
      <c r="O672" s="83"/>
      <c r="P672" s="492"/>
      <c r="Q672" s="83"/>
      <c r="R672" s="83"/>
      <c r="S672" s="83"/>
      <c r="T672" s="83"/>
      <c r="U672" s="83"/>
      <c r="V672" s="83"/>
      <c r="W672" s="94"/>
      <c r="X672" s="94"/>
      <c r="Y672" s="94"/>
      <c r="Z672" s="83"/>
      <c r="AA672" s="83"/>
      <c r="AB672" s="83"/>
      <c r="AC672" s="83"/>
      <c r="AD672" s="83"/>
      <c r="AE672" s="83"/>
      <c r="AF672" s="83"/>
      <c r="AG672" s="83"/>
      <c r="AH672" s="83"/>
      <c r="AI672" s="83"/>
      <c r="AJ672" s="83"/>
      <c r="AK672" s="83"/>
      <c r="AL672" s="83"/>
      <c r="AM672" s="83"/>
      <c r="AN672" s="83"/>
      <c r="AO672" s="83"/>
      <c r="AP672" s="94"/>
      <c r="AQ672" s="94"/>
    </row>
    <row r="673" ht="15.75" customHeight="1">
      <c r="A673" s="83"/>
      <c r="B673" s="83"/>
      <c r="C673" s="83"/>
      <c r="D673" s="83"/>
      <c r="E673" s="83"/>
      <c r="F673" s="83"/>
      <c r="G673" s="83"/>
      <c r="H673" s="83"/>
      <c r="I673" s="94"/>
      <c r="J673" s="83"/>
      <c r="K673" s="83"/>
      <c r="L673" s="94"/>
      <c r="M673" s="83"/>
      <c r="N673" s="94"/>
      <c r="O673" s="83"/>
      <c r="P673" s="492"/>
      <c r="Q673" s="83"/>
      <c r="R673" s="83"/>
      <c r="S673" s="83"/>
      <c r="T673" s="83"/>
      <c r="U673" s="83"/>
      <c r="V673" s="83"/>
      <c r="W673" s="94"/>
      <c r="X673" s="94"/>
      <c r="Y673" s="94"/>
      <c r="Z673" s="83"/>
      <c r="AA673" s="83"/>
      <c r="AB673" s="83"/>
      <c r="AC673" s="83"/>
      <c r="AD673" s="83"/>
      <c r="AE673" s="83"/>
      <c r="AF673" s="83"/>
      <c r="AG673" s="83"/>
      <c r="AH673" s="83"/>
      <c r="AI673" s="83"/>
      <c r="AJ673" s="83"/>
      <c r="AK673" s="83"/>
      <c r="AL673" s="83"/>
      <c r="AM673" s="83"/>
      <c r="AN673" s="83"/>
      <c r="AO673" s="83"/>
      <c r="AP673" s="94"/>
      <c r="AQ673" s="94"/>
    </row>
    <row r="674" ht="15.75" customHeight="1">
      <c r="A674" s="83"/>
      <c r="B674" s="83"/>
      <c r="C674" s="83"/>
      <c r="D674" s="83"/>
      <c r="E674" s="83"/>
      <c r="F674" s="83"/>
      <c r="G674" s="83"/>
      <c r="H674" s="83"/>
      <c r="I674" s="94"/>
      <c r="J674" s="83"/>
      <c r="K674" s="83"/>
      <c r="L674" s="94"/>
      <c r="M674" s="83"/>
      <c r="N674" s="94"/>
      <c r="O674" s="83"/>
      <c r="P674" s="492"/>
      <c r="Q674" s="83"/>
      <c r="R674" s="83"/>
      <c r="S674" s="83"/>
      <c r="T674" s="83"/>
      <c r="U674" s="83"/>
      <c r="V674" s="83"/>
      <c r="W674" s="94"/>
      <c r="X674" s="94"/>
      <c r="Y674" s="94"/>
      <c r="Z674" s="83"/>
      <c r="AA674" s="83"/>
      <c r="AB674" s="83"/>
      <c r="AC674" s="83"/>
      <c r="AD674" s="83"/>
      <c r="AE674" s="83"/>
      <c r="AF674" s="83"/>
      <c r="AG674" s="83"/>
      <c r="AH674" s="83"/>
      <c r="AI674" s="83"/>
      <c r="AJ674" s="83"/>
      <c r="AK674" s="83"/>
      <c r="AL674" s="83"/>
      <c r="AM674" s="83"/>
      <c r="AN674" s="83"/>
      <c r="AO674" s="83"/>
      <c r="AP674" s="94"/>
      <c r="AQ674" s="94"/>
    </row>
    <row r="675" ht="15.75" customHeight="1">
      <c r="A675" s="83"/>
      <c r="B675" s="83"/>
      <c r="C675" s="83"/>
      <c r="D675" s="83"/>
      <c r="E675" s="83"/>
      <c r="F675" s="83"/>
      <c r="G675" s="83"/>
      <c r="H675" s="83"/>
      <c r="I675" s="94"/>
      <c r="J675" s="83"/>
      <c r="K675" s="83"/>
      <c r="L675" s="94"/>
      <c r="M675" s="83"/>
      <c r="N675" s="94"/>
      <c r="O675" s="83"/>
      <c r="P675" s="492"/>
      <c r="Q675" s="83"/>
      <c r="R675" s="83"/>
      <c r="S675" s="83"/>
      <c r="T675" s="83"/>
      <c r="U675" s="83"/>
      <c r="V675" s="83"/>
      <c r="W675" s="94"/>
      <c r="X675" s="94"/>
      <c r="Y675" s="94"/>
      <c r="Z675" s="83"/>
      <c r="AA675" s="83"/>
      <c r="AB675" s="83"/>
      <c r="AC675" s="83"/>
      <c r="AD675" s="83"/>
      <c r="AE675" s="83"/>
      <c r="AF675" s="83"/>
      <c r="AG675" s="83"/>
      <c r="AH675" s="83"/>
      <c r="AI675" s="83"/>
      <c r="AJ675" s="83"/>
      <c r="AK675" s="83"/>
      <c r="AL675" s="83"/>
      <c r="AM675" s="83"/>
      <c r="AN675" s="83"/>
      <c r="AO675" s="83"/>
      <c r="AP675" s="94"/>
      <c r="AQ675" s="94"/>
    </row>
    <row r="676" ht="15.75" customHeight="1">
      <c r="A676" s="83"/>
      <c r="B676" s="83"/>
      <c r="C676" s="83"/>
      <c r="D676" s="83"/>
      <c r="E676" s="83"/>
      <c r="F676" s="83"/>
      <c r="G676" s="83"/>
      <c r="H676" s="83"/>
      <c r="I676" s="94"/>
      <c r="J676" s="83"/>
      <c r="K676" s="83"/>
      <c r="L676" s="94"/>
      <c r="M676" s="83"/>
      <c r="N676" s="94"/>
      <c r="O676" s="83"/>
      <c r="P676" s="492"/>
      <c r="Q676" s="83"/>
      <c r="R676" s="83"/>
      <c r="S676" s="83"/>
      <c r="T676" s="83"/>
      <c r="U676" s="83"/>
      <c r="V676" s="83"/>
      <c r="W676" s="94"/>
      <c r="X676" s="94"/>
      <c r="Y676" s="94"/>
      <c r="Z676" s="83"/>
      <c r="AA676" s="83"/>
      <c r="AB676" s="83"/>
      <c r="AC676" s="83"/>
      <c r="AD676" s="83"/>
      <c r="AE676" s="83"/>
      <c r="AF676" s="83"/>
      <c r="AG676" s="83"/>
      <c r="AH676" s="83"/>
      <c r="AI676" s="83"/>
      <c r="AJ676" s="83"/>
      <c r="AK676" s="83"/>
      <c r="AL676" s="83"/>
      <c r="AM676" s="83"/>
      <c r="AN676" s="83"/>
      <c r="AO676" s="83"/>
      <c r="AP676" s="94"/>
      <c r="AQ676" s="94"/>
    </row>
    <row r="677" ht="15.75" customHeight="1">
      <c r="A677" s="83"/>
      <c r="B677" s="83"/>
      <c r="C677" s="83"/>
      <c r="D677" s="83"/>
      <c r="E677" s="83"/>
      <c r="F677" s="83"/>
      <c r="G677" s="83"/>
      <c r="H677" s="83"/>
      <c r="I677" s="94"/>
      <c r="J677" s="83"/>
      <c r="K677" s="83"/>
      <c r="L677" s="94"/>
      <c r="M677" s="83"/>
      <c r="N677" s="94"/>
      <c r="O677" s="83"/>
      <c r="P677" s="492"/>
      <c r="Q677" s="83"/>
      <c r="R677" s="83"/>
      <c r="S677" s="83"/>
      <c r="T677" s="83"/>
      <c r="U677" s="83"/>
      <c r="V677" s="83"/>
      <c r="W677" s="94"/>
      <c r="X677" s="94"/>
      <c r="Y677" s="94"/>
      <c r="Z677" s="83"/>
      <c r="AA677" s="83"/>
      <c r="AB677" s="83"/>
      <c r="AC677" s="83"/>
      <c r="AD677" s="83"/>
      <c r="AE677" s="83"/>
      <c r="AF677" s="83"/>
      <c r="AG677" s="83"/>
      <c r="AH677" s="83"/>
      <c r="AI677" s="83"/>
      <c r="AJ677" s="83"/>
      <c r="AK677" s="83"/>
      <c r="AL677" s="83"/>
      <c r="AM677" s="83"/>
      <c r="AN677" s="83"/>
      <c r="AO677" s="83"/>
      <c r="AP677" s="94"/>
      <c r="AQ677" s="94"/>
    </row>
    <row r="678" ht="15.75" customHeight="1">
      <c r="A678" s="83"/>
      <c r="B678" s="83"/>
      <c r="C678" s="83"/>
      <c r="D678" s="83"/>
      <c r="E678" s="83"/>
      <c r="F678" s="83"/>
      <c r="G678" s="83"/>
      <c r="H678" s="83"/>
      <c r="I678" s="94"/>
      <c r="J678" s="83"/>
      <c r="K678" s="83"/>
      <c r="L678" s="94"/>
      <c r="M678" s="83"/>
      <c r="N678" s="94"/>
      <c r="O678" s="83"/>
      <c r="P678" s="492"/>
      <c r="Q678" s="83"/>
      <c r="R678" s="83"/>
      <c r="S678" s="83"/>
      <c r="T678" s="83"/>
      <c r="U678" s="83"/>
      <c r="V678" s="83"/>
      <c r="W678" s="94"/>
      <c r="X678" s="94"/>
      <c r="Y678" s="94"/>
      <c r="Z678" s="83"/>
      <c r="AA678" s="83"/>
      <c r="AB678" s="83"/>
      <c r="AC678" s="83"/>
      <c r="AD678" s="83"/>
      <c r="AE678" s="83"/>
      <c r="AF678" s="83"/>
      <c r="AG678" s="83"/>
      <c r="AH678" s="83"/>
      <c r="AI678" s="83"/>
      <c r="AJ678" s="83"/>
      <c r="AK678" s="83"/>
      <c r="AL678" s="83"/>
      <c r="AM678" s="83"/>
      <c r="AN678" s="83"/>
      <c r="AO678" s="83"/>
      <c r="AP678" s="94"/>
      <c r="AQ678" s="94"/>
    </row>
    <row r="679" ht="15.75" customHeight="1">
      <c r="A679" s="83"/>
      <c r="B679" s="83"/>
      <c r="C679" s="83"/>
      <c r="D679" s="83"/>
      <c r="E679" s="83"/>
      <c r="F679" s="83"/>
      <c r="G679" s="83"/>
      <c r="H679" s="83"/>
      <c r="I679" s="94"/>
      <c r="J679" s="83"/>
      <c r="K679" s="83"/>
      <c r="L679" s="94"/>
      <c r="M679" s="83"/>
      <c r="N679" s="94"/>
      <c r="O679" s="83"/>
      <c r="P679" s="492"/>
      <c r="Q679" s="83"/>
      <c r="R679" s="83"/>
      <c r="S679" s="83"/>
      <c r="T679" s="83"/>
      <c r="U679" s="83"/>
      <c r="V679" s="83"/>
      <c r="W679" s="94"/>
      <c r="X679" s="94"/>
      <c r="Y679" s="94"/>
      <c r="Z679" s="83"/>
      <c r="AA679" s="83"/>
      <c r="AB679" s="83"/>
      <c r="AC679" s="83"/>
      <c r="AD679" s="83"/>
      <c r="AE679" s="83"/>
      <c r="AF679" s="83"/>
      <c r="AG679" s="83"/>
      <c r="AH679" s="83"/>
      <c r="AI679" s="83"/>
      <c r="AJ679" s="83"/>
      <c r="AK679" s="83"/>
      <c r="AL679" s="83"/>
      <c r="AM679" s="83"/>
      <c r="AN679" s="83"/>
      <c r="AO679" s="83"/>
      <c r="AP679" s="94"/>
      <c r="AQ679" s="94"/>
    </row>
    <row r="680" ht="15.75" customHeight="1">
      <c r="A680" s="83"/>
      <c r="B680" s="83"/>
      <c r="C680" s="83"/>
      <c r="D680" s="83"/>
      <c r="E680" s="83"/>
      <c r="F680" s="83"/>
      <c r="G680" s="83"/>
      <c r="H680" s="83"/>
      <c r="I680" s="94"/>
      <c r="J680" s="83"/>
      <c r="K680" s="83"/>
      <c r="L680" s="94"/>
      <c r="M680" s="83"/>
      <c r="N680" s="94"/>
      <c r="O680" s="83"/>
      <c r="P680" s="492"/>
      <c r="Q680" s="83"/>
      <c r="R680" s="83"/>
      <c r="S680" s="83"/>
      <c r="T680" s="83"/>
      <c r="U680" s="83"/>
      <c r="V680" s="83"/>
      <c r="W680" s="94"/>
      <c r="X680" s="94"/>
      <c r="Y680" s="94"/>
      <c r="Z680" s="83"/>
      <c r="AA680" s="83"/>
      <c r="AB680" s="83"/>
      <c r="AC680" s="83"/>
      <c r="AD680" s="83"/>
      <c r="AE680" s="83"/>
      <c r="AF680" s="83"/>
      <c r="AG680" s="83"/>
      <c r="AH680" s="83"/>
      <c r="AI680" s="83"/>
      <c r="AJ680" s="83"/>
      <c r="AK680" s="83"/>
      <c r="AL680" s="83"/>
      <c r="AM680" s="83"/>
      <c r="AN680" s="83"/>
      <c r="AO680" s="83"/>
      <c r="AP680" s="94"/>
      <c r="AQ680" s="94"/>
    </row>
    <row r="681" ht="15.75" customHeight="1">
      <c r="A681" s="83"/>
      <c r="B681" s="83"/>
      <c r="C681" s="83"/>
      <c r="D681" s="83"/>
      <c r="E681" s="83"/>
      <c r="F681" s="83"/>
      <c r="G681" s="83"/>
      <c r="H681" s="83"/>
      <c r="I681" s="94"/>
      <c r="J681" s="83"/>
      <c r="K681" s="83"/>
      <c r="L681" s="94"/>
      <c r="M681" s="83"/>
      <c r="N681" s="94"/>
      <c r="O681" s="83"/>
      <c r="P681" s="492"/>
      <c r="Q681" s="83"/>
      <c r="R681" s="83"/>
      <c r="S681" s="83"/>
      <c r="T681" s="83"/>
      <c r="U681" s="83"/>
      <c r="V681" s="83"/>
      <c r="W681" s="94"/>
      <c r="X681" s="94"/>
      <c r="Y681" s="94"/>
      <c r="Z681" s="83"/>
      <c r="AA681" s="83"/>
      <c r="AB681" s="83"/>
      <c r="AC681" s="83"/>
      <c r="AD681" s="83"/>
      <c r="AE681" s="83"/>
      <c r="AF681" s="83"/>
      <c r="AG681" s="83"/>
      <c r="AH681" s="83"/>
      <c r="AI681" s="83"/>
      <c r="AJ681" s="83"/>
      <c r="AK681" s="83"/>
      <c r="AL681" s="83"/>
      <c r="AM681" s="83"/>
      <c r="AN681" s="83"/>
      <c r="AO681" s="83"/>
      <c r="AP681" s="94"/>
      <c r="AQ681" s="94"/>
    </row>
    <row r="682" ht="15.75" customHeight="1">
      <c r="A682" s="83"/>
      <c r="B682" s="83"/>
      <c r="C682" s="83"/>
      <c r="D682" s="83"/>
      <c r="E682" s="83"/>
      <c r="F682" s="83"/>
      <c r="G682" s="83"/>
      <c r="H682" s="83"/>
      <c r="I682" s="94"/>
      <c r="J682" s="83"/>
      <c r="K682" s="83"/>
      <c r="L682" s="94"/>
      <c r="M682" s="83"/>
      <c r="N682" s="94"/>
      <c r="O682" s="83"/>
      <c r="P682" s="492"/>
      <c r="Q682" s="83"/>
      <c r="R682" s="83"/>
      <c r="S682" s="83"/>
      <c r="T682" s="83"/>
      <c r="U682" s="83"/>
      <c r="V682" s="83"/>
      <c r="W682" s="94"/>
      <c r="X682" s="94"/>
      <c r="Y682" s="94"/>
      <c r="Z682" s="83"/>
      <c r="AA682" s="83"/>
      <c r="AB682" s="83"/>
      <c r="AC682" s="83"/>
      <c r="AD682" s="83"/>
      <c r="AE682" s="83"/>
      <c r="AF682" s="83"/>
      <c r="AG682" s="83"/>
      <c r="AH682" s="83"/>
      <c r="AI682" s="83"/>
      <c r="AJ682" s="83"/>
      <c r="AK682" s="83"/>
      <c r="AL682" s="83"/>
      <c r="AM682" s="83"/>
      <c r="AN682" s="83"/>
      <c r="AO682" s="83"/>
      <c r="AP682" s="94"/>
      <c r="AQ682" s="94"/>
    </row>
    <row r="683" ht="15.75" customHeight="1">
      <c r="A683" s="83"/>
      <c r="B683" s="83"/>
      <c r="C683" s="83"/>
      <c r="D683" s="83"/>
      <c r="E683" s="83"/>
      <c r="F683" s="83"/>
      <c r="G683" s="83"/>
      <c r="H683" s="83"/>
      <c r="I683" s="94"/>
      <c r="J683" s="83"/>
      <c r="K683" s="83"/>
      <c r="L683" s="94"/>
      <c r="M683" s="83"/>
      <c r="N683" s="94"/>
      <c r="O683" s="83"/>
      <c r="P683" s="492"/>
      <c r="Q683" s="83"/>
      <c r="R683" s="83"/>
      <c r="S683" s="83"/>
      <c r="T683" s="83"/>
      <c r="U683" s="83"/>
      <c r="V683" s="83"/>
      <c r="W683" s="94"/>
      <c r="X683" s="94"/>
      <c r="Y683" s="94"/>
      <c r="Z683" s="83"/>
      <c r="AA683" s="83"/>
      <c r="AB683" s="83"/>
      <c r="AC683" s="83"/>
      <c r="AD683" s="83"/>
      <c r="AE683" s="83"/>
      <c r="AF683" s="83"/>
      <c r="AG683" s="83"/>
      <c r="AH683" s="83"/>
      <c r="AI683" s="83"/>
      <c r="AJ683" s="83"/>
      <c r="AK683" s="83"/>
      <c r="AL683" s="83"/>
      <c r="AM683" s="83"/>
      <c r="AN683" s="83"/>
      <c r="AO683" s="83"/>
      <c r="AP683" s="94"/>
      <c r="AQ683" s="94"/>
    </row>
    <row r="684" ht="15.75" customHeight="1">
      <c r="A684" s="83"/>
      <c r="B684" s="83"/>
      <c r="C684" s="83"/>
      <c r="D684" s="83"/>
      <c r="E684" s="83"/>
      <c r="F684" s="83"/>
      <c r="G684" s="83"/>
      <c r="H684" s="83"/>
      <c r="I684" s="94"/>
      <c r="J684" s="83"/>
      <c r="K684" s="83"/>
      <c r="L684" s="94"/>
      <c r="M684" s="83"/>
      <c r="N684" s="94"/>
      <c r="O684" s="83"/>
      <c r="P684" s="492"/>
      <c r="Q684" s="83"/>
      <c r="R684" s="83"/>
      <c r="S684" s="83"/>
      <c r="T684" s="83"/>
      <c r="U684" s="83"/>
      <c r="V684" s="83"/>
      <c r="W684" s="94"/>
      <c r="X684" s="94"/>
      <c r="Y684" s="94"/>
      <c r="Z684" s="83"/>
      <c r="AA684" s="83"/>
      <c r="AB684" s="83"/>
      <c r="AC684" s="83"/>
      <c r="AD684" s="83"/>
      <c r="AE684" s="83"/>
      <c r="AF684" s="83"/>
      <c r="AG684" s="83"/>
      <c r="AH684" s="83"/>
      <c r="AI684" s="83"/>
      <c r="AJ684" s="83"/>
      <c r="AK684" s="83"/>
      <c r="AL684" s="83"/>
      <c r="AM684" s="83"/>
      <c r="AN684" s="83"/>
      <c r="AO684" s="83"/>
      <c r="AP684" s="94"/>
      <c r="AQ684" s="94"/>
    </row>
    <row r="685" ht="15.75" customHeight="1">
      <c r="A685" s="83"/>
      <c r="B685" s="83"/>
      <c r="C685" s="83"/>
      <c r="D685" s="83"/>
      <c r="E685" s="83"/>
      <c r="F685" s="83"/>
      <c r="G685" s="83"/>
      <c r="H685" s="83"/>
      <c r="I685" s="94"/>
      <c r="J685" s="83"/>
      <c r="K685" s="83"/>
      <c r="L685" s="94"/>
      <c r="M685" s="83"/>
      <c r="N685" s="94"/>
      <c r="O685" s="83"/>
      <c r="P685" s="492"/>
      <c r="Q685" s="83"/>
      <c r="R685" s="83"/>
      <c r="S685" s="83"/>
      <c r="T685" s="83"/>
      <c r="U685" s="83"/>
      <c r="V685" s="83"/>
      <c r="W685" s="94"/>
      <c r="X685" s="94"/>
      <c r="Y685" s="94"/>
      <c r="Z685" s="83"/>
      <c r="AA685" s="83"/>
      <c r="AB685" s="83"/>
      <c r="AC685" s="83"/>
      <c r="AD685" s="83"/>
      <c r="AE685" s="83"/>
      <c r="AF685" s="83"/>
      <c r="AG685" s="83"/>
      <c r="AH685" s="83"/>
      <c r="AI685" s="83"/>
      <c r="AJ685" s="83"/>
      <c r="AK685" s="83"/>
      <c r="AL685" s="83"/>
      <c r="AM685" s="83"/>
      <c r="AN685" s="83"/>
      <c r="AO685" s="83"/>
      <c r="AP685" s="94"/>
      <c r="AQ685" s="94"/>
    </row>
    <row r="686" ht="15.75" customHeight="1">
      <c r="A686" s="83"/>
      <c r="B686" s="83"/>
      <c r="C686" s="83"/>
      <c r="D686" s="83"/>
      <c r="E686" s="83"/>
      <c r="F686" s="83"/>
      <c r="G686" s="83"/>
      <c r="H686" s="83"/>
      <c r="I686" s="94"/>
      <c r="J686" s="83"/>
      <c r="K686" s="83"/>
      <c r="L686" s="94"/>
      <c r="M686" s="83"/>
      <c r="N686" s="94"/>
      <c r="O686" s="83"/>
      <c r="P686" s="492"/>
      <c r="Q686" s="83"/>
      <c r="R686" s="83"/>
      <c r="S686" s="83"/>
      <c r="T686" s="83"/>
      <c r="U686" s="83"/>
      <c r="V686" s="83"/>
      <c r="W686" s="94"/>
      <c r="X686" s="94"/>
      <c r="Y686" s="94"/>
      <c r="Z686" s="83"/>
      <c r="AA686" s="83"/>
      <c r="AB686" s="83"/>
      <c r="AC686" s="83"/>
      <c r="AD686" s="83"/>
      <c r="AE686" s="83"/>
      <c r="AF686" s="83"/>
      <c r="AG686" s="83"/>
      <c r="AH686" s="83"/>
      <c r="AI686" s="83"/>
      <c r="AJ686" s="83"/>
      <c r="AK686" s="83"/>
      <c r="AL686" s="83"/>
      <c r="AM686" s="83"/>
      <c r="AN686" s="83"/>
      <c r="AO686" s="83"/>
      <c r="AP686" s="94"/>
      <c r="AQ686" s="94"/>
    </row>
    <row r="687" ht="15.75" customHeight="1">
      <c r="A687" s="83"/>
      <c r="B687" s="83"/>
      <c r="C687" s="83"/>
      <c r="D687" s="83"/>
      <c r="E687" s="83"/>
      <c r="F687" s="83"/>
      <c r="G687" s="83"/>
      <c r="H687" s="83"/>
      <c r="I687" s="94"/>
      <c r="J687" s="83"/>
      <c r="K687" s="83"/>
      <c r="L687" s="94"/>
      <c r="M687" s="83"/>
      <c r="N687" s="94"/>
      <c r="O687" s="83"/>
      <c r="P687" s="492"/>
      <c r="Q687" s="83"/>
      <c r="R687" s="83"/>
      <c r="S687" s="83"/>
      <c r="T687" s="83"/>
      <c r="U687" s="83"/>
      <c r="V687" s="83"/>
      <c r="W687" s="94"/>
      <c r="X687" s="94"/>
      <c r="Y687" s="94"/>
      <c r="Z687" s="83"/>
      <c r="AA687" s="83"/>
      <c r="AB687" s="83"/>
      <c r="AC687" s="83"/>
      <c r="AD687" s="83"/>
      <c r="AE687" s="83"/>
      <c r="AF687" s="83"/>
      <c r="AG687" s="83"/>
      <c r="AH687" s="83"/>
      <c r="AI687" s="83"/>
      <c r="AJ687" s="83"/>
      <c r="AK687" s="83"/>
      <c r="AL687" s="83"/>
      <c r="AM687" s="83"/>
      <c r="AN687" s="83"/>
      <c r="AO687" s="83"/>
      <c r="AP687" s="94"/>
      <c r="AQ687" s="94"/>
    </row>
    <row r="688" ht="15.75" customHeight="1">
      <c r="A688" s="83"/>
      <c r="B688" s="83"/>
      <c r="C688" s="83"/>
      <c r="D688" s="83"/>
      <c r="E688" s="83"/>
      <c r="F688" s="83"/>
      <c r="G688" s="83"/>
      <c r="H688" s="83"/>
      <c r="I688" s="94"/>
      <c r="J688" s="83"/>
      <c r="K688" s="83"/>
      <c r="L688" s="94"/>
      <c r="M688" s="83"/>
      <c r="N688" s="94"/>
      <c r="O688" s="83"/>
      <c r="P688" s="492"/>
      <c r="Q688" s="83"/>
      <c r="R688" s="83"/>
      <c r="S688" s="83"/>
      <c r="T688" s="83"/>
      <c r="U688" s="83"/>
      <c r="V688" s="83"/>
      <c r="W688" s="94"/>
      <c r="X688" s="94"/>
      <c r="Y688" s="94"/>
      <c r="Z688" s="83"/>
      <c r="AA688" s="83"/>
      <c r="AB688" s="83"/>
      <c r="AC688" s="83"/>
      <c r="AD688" s="83"/>
      <c r="AE688" s="83"/>
      <c r="AF688" s="83"/>
      <c r="AG688" s="83"/>
      <c r="AH688" s="83"/>
      <c r="AI688" s="83"/>
      <c r="AJ688" s="83"/>
      <c r="AK688" s="83"/>
      <c r="AL688" s="83"/>
      <c r="AM688" s="83"/>
      <c r="AN688" s="83"/>
      <c r="AO688" s="83"/>
      <c r="AP688" s="94"/>
      <c r="AQ688" s="94"/>
    </row>
    <row r="689" ht="15.75" customHeight="1">
      <c r="A689" s="83"/>
      <c r="B689" s="83"/>
      <c r="C689" s="83"/>
      <c r="D689" s="83"/>
      <c r="E689" s="83"/>
      <c r="F689" s="83"/>
      <c r="G689" s="83"/>
      <c r="H689" s="83"/>
      <c r="I689" s="94"/>
      <c r="J689" s="83"/>
      <c r="K689" s="83"/>
      <c r="L689" s="94"/>
      <c r="M689" s="83"/>
      <c r="N689" s="94"/>
      <c r="O689" s="83"/>
      <c r="P689" s="492"/>
      <c r="Q689" s="83"/>
      <c r="R689" s="83"/>
      <c r="S689" s="83"/>
      <c r="T689" s="83"/>
      <c r="U689" s="83"/>
      <c r="V689" s="83"/>
      <c r="W689" s="94"/>
      <c r="X689" s="94"/>
      <c r="Y689" s="94"/>
      <c r="Z689" s="83"/>
      <c r="AA689" s="83"/>
      <c r="AB689" s="83"/>
      <c r="AC689" s="83"/>
      <c r="AD689" s="83"/>
      <c r="AE689" s="83"/>
      <c r="AF689" s="83"/>
      <c r="AG689" s="83"/>
      <c r="AH689" s="83"/>
      <c r="AI689" s="83"/>
      <c r="AJ689" s="83"/>
      <c r="AK689" s="83"/>
      <c r="AL689" s="83"/>
      <c r="AM689" s="83"/>
      <c r="AN689" s="83"/>
      <c r="AO689" s="83"/>
      <c r="AP689" s="94"/>
      <c r="AQ689" s="94"/>
    </row>
    <row r="690" ht="15.75" customHeight="1">
      <c r="A690" s="83"/>
      <c r="B690" s="83"/>
      <c r="C690" s="83"/>
      <c r="D690" s="83"/>
      <c r="E690" s="83"/>
      <c r="F690" s="83"/>
      <c r="G690" s="83"/>
      <c r="H690" s="83"/>
      <c r="I690" s="94"/>
      <c r="J690" s="83"/>
      <c r="K690" s="83"/>
      <c r="L690" s="94"/>
      <c r="M690" s="83"/>
      <c r="N690" s="94"/>
      <c r="O690" s="83"/>
      <c r="P690" s="492"/>
      <c r="Q690" s="83"/>
      <c r="R690" s="83"/>
      <c r="S690" s="83"/>
      <c r="T690" s="83"/>
      <c r="U690" s="83"/>
      <c r="V690" s="83"/>
      <c r="W690" s="94"/>
      <c r="X690" s="94"/>
      <c r="Y690" s="94"/>
      <c r="Z690" s="83"/>
      <c r="AA690" s="83"/>
      <c r="AB690" s="83"/>
      <c r="AC690" s="83"/>
      <c r="AD690" s="83"/>
      <c r="AE690" s="83"/>
      <c r="AF690" s="83"/>
      <c r="AG690" s="83"/>
      <c r="AH690" s="83"/>
      <c r="AI690" s="83"/>
      <c r="AJ690" s="83"/>
      <c r="AK690" s="83"/>
      <c r="AL690" s="83"/>
      <c r="AM690" s="83"/>
      <c r="AN690" s="83"/>
      <c r="AO690" s="83"/>
      <c r="AP690" s="94"/>
      <c r="AQ690" s="94"/>
    </row>
    <row r="691" ht="15.75" customHeight="1">
      <c r="A691" s="83"/>
      <c r="B691" s="83"/>
      <c r="C691" s="83"/>
      <c r="D691" s="83"/>
      <c r="E691" s="83"/>
      <c r="F691" s="83"/>
      <c r="G691" s="83"/>
      <c r="H691" s="83"/>
      <c r="I691" s="94"/>
      <c r="J691" s="83"/>
      <c r="K691" s="83"/>
      <c r="L691" s="94"/>
      <c r="M691" s="83"/>
      <c r="N691" s="94"/>
      <c r="O691" s="83"/>
      <c r="P691" s="492"/>
      <c r="Q691" s="83"/>
      <c r="R691" s="83"/>
      <c r="S691" s="83"/>
      <c r="T691" s="83"/>
      <c r="U691" s="83"/>
      <c r="V691" s="83"/>
      <c r="W691" s="94"/>
      <c r="X691" s="94"/>
      <c r="Y691" s="94"/>
      <c r="Z691" s="83"/>
      <c r="AA691" s="83"/>
      <c r="AB691" s="83"/>
      <c r="AC691" s="83"/>
      <c r="AD691" s="83"/>
      <c r="AE691" s="83"/>
      <c r="AF691" s="83"/>
      <c r="AG691" s="83"/>
      <c r="AH691" s="83"/>
      <c r="AI691" s="83"/>
      <c r="AJ691" s="83"/>
      <c r="AK691" s="83"/>
      <c r="AL691" s="83"/>
      <c r="AM691" s="83"/>
      <c r="AN691" s="83"/>
      <c r="AO691" s="83"/>
      <c r="AP691" s="94"/>
      <c r="AQ691" s="94"/>
    </row>
    <row r="692" ht="15.75" customHeight="1">
      <c r="A692" s="83"/>
      <c r="B692" s="83"/>
      <c r="C692" s="83"/>
      <c r="D692" s="83"/>
      <c r="E692" s="83"/>
      <c r="F692" s="83"/>
      <c r="G692" s="83"/>
      <c r="H692" s="83"/>
      <c r="I692" s="94"/>
      <c r="J692" s="83"/>
      <c r="K692" s="83"/>
      <c r="L692" s="94"/>
      <c r="M692" s="83"/>
      <c r="N692" s="94"/>
      <c r="O692" s="83"/>
      <c r="P692" s="492"/>
      <c r="Q692" s="83"/>
      <c r="R692" s="83"/>
      <c r="S692" s="83"/>
      <c r="T692" s="83"/>
      <c r="U692" s="83"/>
      <c r="V692" s="83"/>
      <c r="W692" s="94"/>
      <c r="X692" s="94"/>
      <c r="Y692" s="94"/>
      <c r="Z692" s="83"/>
      <c r="AA692" s="83"/>
      <c r="AB692" s="83"/>
      <c r="AC692" s="83"/>
      <c r="AD692" s="83"/>
      <c r="AE692" s="83"/>
      <c r="AF692" s="83"/>
      <c r="AG692" s="83"/>
      <c r="AH692" s="83"/>
      <c r="AI692" s="83"/>
      <c r="AJ692" s="83"/>
      <c r="AK692" s="83"/>
      <c r="AL692" s="83"/>
      <c r="AM692" s="83"/>
      <c r="AN692" s="83"/>
      <c r="AO692" s="83"/>
      <c r="AP692" s="94"/>
      <c r="AQ692" s="94"/>
    </row>
    <row r="693" ht="15.75" customHeight="1">
      <c r="A693" s="83"/>
      <c r="B693" s="83"/>
      <c r="C693" s="83"/>
      <c r="D693" s="83"/>
      <c r="E693" s="83"/>
      <c r="F693" s="83"/>
      <c r="G693" s="83"/>
      <c r="H693" s="83"/>
      <c r="I693" s="94"/>
      <c r="J693" s="83"/>
      <c r="K693" s="83"/>
      <c r="L693" s="94"/>
      <c r="M693" s="83"/>
      <c r="N693" s="94"/>
      <c r="O693" s="83"/>
      <c r="P693" s="492"/>
      <c r="Q693" s="83"/>
      <c r="R693" s="83"/>
      <c r="S693" s="83"/>
      <c r="T693" s="83"/>
      <c r="U693" s="83"/>
      <c r="V693" s="83"/>
      <c r="W693" s="94"/>
      <c r="X693" s="94"/>
      <c r="Y693" s="94"/>
      <c r="Z693" s="83"/>
      <c r="AA693" s="83"/>
      <c r="AB693" s="83"/>
      <c r="AC693" s="83"/>
      <c r="AD693" s="83"/>
      <c r="AE693" s="83"/>
      <c r="AF693" s="83"/>
      <c r="AG693" s="83"/>
      <c r="AH693" s="83"/>
      <c r="AI693" s="83"/>
      <c r="AJ693" s="83"/>
      <c r="AK693" s="83"/>
      <c r="AL693" s="83"/>
      <c r="AM693" s="83"/>
      <c r="AN693" s="83"/>
      <c r="AO693" s="83"/>
      <c r="AP693" s="94"/>
      <c r="AQ693" s="94"/>
    </row>
    <row r="694" ht="15.75" customHeight="1">
      <c r="A694" s="83"/>
      <c r="B694" s="83"/>
      <c r="C694" s="83"/>
      <c r="D694" s="83"/>
      <c r="E694" s="83"/>
      <c r="F694" s="83"/>
      <c r="G694" s="83"/>
      <c r="H694" s="83"/>
      <c r="I694" s="94"/>
      <c r="J694" s="83"/>
      <c r="K694" s="83"/>
      <c r="L694" s="94"/>
      <c r="M694" s="83"/>
      <c r="N694" s="94"/>
      <c r="O694" s="83"/>
      <c r="P694" s="492"/>
      <c r="Q694" s="83"/>
      <c r="R694" s="83"/>
      <c r="S694" s="83"/>
      <c r="T694" s="83"/>
      <c r="U694" s="83"/>
      <c r="V694" s="83"/>
      <c r="W694" s="94"/>
      <c r="X694" s="94"/>
      <c r="Y694" s="94"/>
      <c r="Z694" s="83"/>
      <c r="AA694" s="83"/>
      <c r="AB694" s="83"/>
      <c r="AC694" s="83"/>
      <c r="AD694" s="83"/>
      <c r="AE694" s="83"/>
      <c r="AF694" s="83"/>
      <c r="AG694" s="83"/>
      <c r="AH694" s="83"/>
      <c r="AI694" s="83"/>
      <c r="AJ694" s="83"/>
      <c r="AK694" s="83"/>
      <c r="AL694" s="83"/>
      <c r="AM694" s="83"/>
      <c r="AN694" s="83"/>
      <c r="AO694" s="83"/>
      <c r="AP694" s="94"/>
      <c r="AQ694" s="94"/>
    </row>
    <row r="695" ht="15.75" customHeight="1">
      <c r="A695" s="83"/>
      <c r="B695" s="83"/>
      <c r="C695" s="83"/>
      <c r="D695" s="83"/>
      <c r="E695" s="83"/>
      <c r="F695" s="83"/>
      <c r="G695" s="83"/>
      <c r="H695" s="83"/>
      <c r="I695" s="94"/>
      <c r="J695" s="83"/>
      <c r="K695" s="83"/>
      <c r="L695" s="94"/>
      <c r="M695" s="83"/>
      <c r="N695" s="94"/>
      <c r="O695" s="83"/>
      <c r="P695" s="492"/>
      <c r="Q695" s="83"/>
      <c r="R695" s="83"/>
      <c r="S695" s="83"/>
      <c r="T695" s="83"/>
      <c r="U695" s="83"/>
      <c r="V695" s="83"/>
      <c r="W695" s="94"/>
      <c r="X695" s="94"/>
      <c r="Y695" s="94"/>
      <c r="Z695" s="83"/>
      <c r="AA695" s="83"/>
      <c r="AB695" s="83"/>
      <c r="AC695" s="83"/>
      <c r="AD695" s="83"/>
      <c r="AE695" s="83"/>
      <c r="AF695" s="83"/>
      <c r="AG695" s="83"/>
      <c r="AH695" s="83"/>
      <c r="AI695" s="83"/>
      <c r="AJ695" s="83"/>
      <c r="AK695" s="83"/>
      <c r="AL695" s="83"/>
      <c r="AM695" s="83"/>
      <c r="AN695" s="83"/>
      <c r="AO695" s="83"/>
      <c r="AP695" s="94"/>
      <c r="AQ695" s="94"/>
    </row>
    <row r="696" ht="15.75" customHeight="1">
      <c r="A696" s="83"/>
      <c r="B696" s="83"/>
      <c r="C696" s="83"/>
      <c r="D696" s="83"/>
      <c r="E696" s="83"/>
      <c r="F696" s="83"/>
      <c r="G696" s="83"/>
      <c r="H696" s="83"/>
      <c r="I696" s="94"/>
      <c r="J696" s="83"/>
      <c r="K696" s="83"/>
      <c r="L696" s="94"/>
      <c r="M696" s="83"/>
      <c r="N696" s="94"/>
      <c r="O696" s="83"/>
      <c r="P696" s="492"/>
      <c r="Q696" s="83"/>
      <c r="R696" s="83"/>
      <c r="S696" s="83"/>
      <c r="T696" s="83"/>
      <c r="U696" s="83"/>
      <c r="V696" s="83"/>
      <c r="W696" s="94"/>
      <c r="X696" s="94"/>
      <c r="Y696" s="94"/>
      <c r="Z696" s="83"/>
      <c r="AA696" s="83"/>
      <c r="AB696" s="83"/>
      <c r="AC696" s="83"/>
      <c r="AD696" s="83"/>
      <c r="AE696" s="83"/>
      <c r="AF696" s="83"/>
      <c r="AG696" s="83"/>
      <c r="AH696" s="83"/>
      <c r="AI696" s="83"/>
      <c r="AJ696" s="83"/>
      <c r="AK696" s="83"/>
      <c r="AL696" s="83"/>
      <c r="AM696" s="83"/>
      <c r="AN696" s="83"/>
      <c r="AO696" s="83"/>
      <c r="AP696" s="94"/>
      <c r="AQ696" s="94"/>
    </row>
    <row r="697" ht="15.75" customHeight="1">
      <c r="A697" s="83"/>
      <c r="B697" s="83"/>
      <c r="C697" s="83"/>
      <c r="D697" s="83"/>
      <c r="E697" s="83"/>
      <c r="F697" s="83"/>
      <c r="G697" s="83"/>
      <c r="H697" s="83"/>
      <c r="I697" s="94"/>
      <c r="J697" s="83"/>
      <c r="K697" s="83"/>
      <c r="L697" s="94"/>
      <c r="M697" s="83"/>
      <c r="N697" s="94"/>
      <c r="O697" s="83"/>
      <c r="P697" s="492"/>
      <c r="Q697" s="83"/>
      <c r="R697" s="83"/>
      <c r="S697" s="83"/>
      <c r="T697" s="83"/>
      <c r="U697" s="83"/>
      <c r="V697" s="83"/>
      <c r="W697" s="94"/>
      <c r="X697" s="94"/>
      <c r="Y697" s="94"/>
      <c r="Z697" s="83"/>
      <c r="AA697" s="83"/>
      <c r="AB697" s="83"/>
      <c r="AC697" s="83"/>
      <c r="AD697" s="83"/>
      <c r="AE697" s="83"/>
      <c r="AF697" s="83"/>
      <c r="AG697" s="83"/>
      <c r="AH697" s="83"/>
      <c r="AI697" s="83"/>
      <c r="AJ697" s="83"/>
      <c r="AK697" s="83"/>
      <c r="AL697" s="83"/>
      <c r="AM697" s="83"/>
      <c r="AN697" s="83"/>
      <c r="AO697" s="83"/>
      <c r="AP697" s="94"/>
      <c r="AQ697" s="94"/>
    </row>
    <row r="698" ht="15.75" customHeight="1">
      <c r="A698" s="83"/>
      <c r="B698" s="83"/>
      <c r="C698" s="83"/>
      <c r="D698" s="83"/>
      <c r="E698" s="83"/>
      <c r="F698" s="83"/>
      <c r="G698" s="83"/>
      <c r="H698" s="83"/>
      <c r="I698" s="94"/>
      <c r="J698" s="83"/>
      <c r="K698" s="83"/>
      <c r="L698" s="94"/>
      <c r="M698" s="83"/>
      <c r="N698" s="94"/>
      <c r="O698" s="83"/>
      <c r="P698" s="492"/>
      <c r="Q698" s="83"/>
      <c r="R698" s="83"/>
      <c r="S698" s="83"/>
      <c r="T698" s="83"/>
      <c r="U698" s="83"/>
      <c r="V698" s="83"/>
      <c r="W698" s="94"/>
      <c r="X698" s="94"/>
      <c r="Y698" s="94"/>
      <c r="Z698" s="83"/>
      <c r="AA698" s="83"/>
      <c r="AB698" s="83"/>
      <c r="AC698" s="83"/>
      <c r="AD698" s="83"/>
      <c r="AE698" s="83"/>
      <c r="AF698" s="83"/>
      <c r="AG698" s="83"/>
      <c r="AH698" s="83"/>
      <c r="AI698" s="83"/>
      <c r="AJ698" s="83"/>
      <c r="AK698" s="83"/>
      <c r="AL698" s="83"/>
      <c r="AM698" s="83"/>
      <c r="AN698" s="83"/>
      <c r="AO698" s="83"/>
      <c r="AP698" s="94"/>
      <c r="AQ698" s="94"/>
    </row>
    <row r="699" ht="15.75" customHeight="1">
      <c r="A699" s="83"/>
      <c r="B699" s="83"/>
      <c r="C699" s="83"/>
      <c r="D699" s="83"/>
      <c r="E699" s="83"/>
      <c r="F699" s="83"/>
      <c r="G699" s="83"/>
      <c r="H699" s="83"/>
      <c r="I699" s="94"/>
      <c r="J699" s="83"/>
      <c r="K699" s="83"/>
      <c r="L699" s="94"/>
      <c r="M699" s="83"/>
      <c r="N699" s="94"/>
      <c r="O699" s="83"/>
      <c r="P699" s="492"/>
      <c r="Q699" s="83"/>
      <c r="R699" s="83"/>
      <c r="S699" s="83"/>
      <c r="T699" s="83"/>
      <c r="U699" s="83"/>
      <c r="V699" s="83"/>
      <c r="W699" s="94"/>
      <c r="X699" s="94"/>
      <c r="Y699" s="94"/>
      <c r="Z699" s="83"/>
      <c r="AA699" s="83"/>
      <c r="AB699" s="83"/>
      <c r="AC699" s="83"/>
      <c r="AD699" s="83"/>
      <c r="AE699" s="83"/>
      <c r="AF699" s="83"/>
      <c r="AG699" s="83"/>
      <c r="AH699" s="83"/>
      <c r="AI699" s="83"/>
      <c r="AJ699" s="83"/>
      <c r="AK699" s="83"/>
      <c r="AL699" s="83"/>
      <c r="AM699" s="83"/>
      <c r="AN699" s="83"/>
      <c r="AO699" s="83"/>
      <c r="AP699" s="94"/>
      <c r="AQ699" s="94"/>
    </row>
    <row r="700" ht="15.75" customHeight="1">
      <c r="A700" s="83"/>
      <c r="B700" s="83"/>
      <c r="C700" s="83"/>
      <c r="D700" s="83"/>
      <c r="E700" s="83"/>
      <c r="F700" s="83"/>
      <c r="G700" s="83"/>
      <c r="H700" s="83"/>
      <c r="I700" s="94"/>
      <c r="J700" s="83"/>
      <c r="K700" s="83"/>
      <c r="L700" s="94"/>
      <c r="M700" s="83"/>
      <c r="N700" s="94"/>
      <c r="O700" s="83"/>
      <c r="P700" s="492"/>
      <c r="Q700" s="83"/>
      <c r="R700" s="83"/>
      <c r="S700" s="83"/>
      <c r="T700" s="83"/>
      <c r="U700" s="83"/>
      <c r="V700" s="83"/>
      <c r="W700" s="94"/>
      <c r="X700" s="94"/>
      <c r="Y700" s="94"/>
      <c r="Z700" s="83"/>
      <c r="AA700" s="83"/>
      <c r="AB700" s="83"/>
      <c r="AC700" s="83"/>
      <c r="AD700" s="83"/>
      <c r="AE700" s="83"/>
      <c r="AF700" s="83"/>
      <c r="AG700" s="83"/>
      <c r="AH700" s="83"/>
      <c r="AI700" s="83"/>
      <c r="AJ700" s="83"/>
      <c r="AK700" s="83"/>
      <c r="AL700" s="83"/>
      <c r="AM700" s="83"/>
      <c r="AN700" s="83"/>
      <c r="AO700" s="83"/>
      <c r="AP700" s="94"/>
      <c r="AQ700" s="94"/>
    </row>
    <row r="701" ht="15.75" customHeight="1">
      <c r="A701" s="83"/>
      <c r="B701" s="83"/>
      <c r="C701" s="83"/>
      <c r="D701" s="83"/>
      <c r="E701" s="83"/>
      <c r="F701" s="83"/>
      <c r="G701" s="83"/>
      <c r="H701" s="83"/>
      <c r="I701" s="94"/>
      <c r="J701" s="83"/>
      <c r="K701" s="83"/>
      <c r="L701" s="94"/>
      <c r="M701" s="83"/>
      <c r="N701" s="94"/>
      <c r="O701" s="83"/>
      <c r="P701" s="492"/>
      <c r="Q701" s="83"/>
      <c r="R701" s="83"/>
      <c r="S701" s="83"/>
      <c r="T701" s="83"/>
      <c r="U701" s="83"/>
      <c r="V701" s="83"/>
      <c r="W701" s="94"/>
      <c r="X701" s="94"/>
      <c r="Y701" s="94"/>
      <c r="Z701" s="83"/>
      <c r="AA701" s="83"/>
      <c r="AB701" s="83"/>
      <c r="AC701" s="83"/>
      <c r="AD701" s="83"/>
      <c r="AE701" s="83"/>
      <c r="AF701" s="83"/>
      <c r="AG701" s="83"/>
      <c r="AH701" s="83"/>
      <c r="AI701" s="83"/>
      <c r="AJ701" s="83"/>
      <c r="AK701" s="83"/>
      <c r="AL701" s="83"/>
      <c r="AM701" s="83"/>
      <c r="AN701" s="83"/>
      <c r="AO701" s="83"/>
      <c r="AP701" s="94"/>
      <c r="AQ701" s="94"/>
    </row>
    <row r="702" ht="15.75" customHeight="1">
      <c r="A702" s="83"/>
      <c r="B702" s="83"/>
      <c r="C702" s="83"/>
      <c r="D702" s="83"/>
      <c r="E702" s="83"/>
      <c r="F702" s="83"/>
      <c r="G702" s="83"/>
      <c r="H702" s="83"/>
      <c r="I702" s="94"/>
      <c r="J702" s="83"/>
      <c r="K702" s="83"/>
      <c r="L702" s="94"/>
      <c r="M702" s="83"/>
      <c r="N702" s="94"/>
      <c r="O702" s="83"/>
      <c r="P702" s="492"/>
      <c r="Q702" s="83"/>
      <c r="R702" s="83"/>
      <c r="S702" s="83"/>
      <c r="T702" s="83"/>
      <c r="U702" s="83"/>
      <c r="V702" s="83"/>
      <c r="W702" s="94"/>
      <c r="X702" s="94"/>
      <c r="Y702" s="94"/>
      <c r="Z702" s="83"/>
      <c r="AA702" s="83"/>
      <c r="AB702" s="83"/>
      <c r="AC702" s="83"/>
      <c r="AD702" s="83"/>
      <c r="AE702" s="83"/>
      <c r="AF702" s="83"/>
      <c r="AG702" s="83"/>
      <c r="AH702" s="83"/>
      <c r="AI702" s="83"/>
      <c r="AJ702" s="83"/>
      <c r="AK702" s="83"/>
      <c r="AL702" s="83"/>
      <c r="AM702" s="83"/>
      <c r="AN702" s="83"/>
      <c r="AO702" s="83"/>
      <c r="AP702" s="94"/>
      <c r="AQ702" s="94"/>
    </row>
    <row r="703" ht="15.75" customHeight="1">
      <c r="A703" s="83"/>
      <c r="B703" s="83"/>
      <c r="C703" s="83"/>
      <c r="D703" s="83"/>
      <c r="E703" s="83"/>
      <c r="F703" s="83"/>
      <c r="G703" s="83"/>
      <c r="H703" s="83"/>
      <c r="I703" s="94"/>
      <c r="J703" s="83"/>
      <c r="K703" s="83"/>
      <c r="L703" s="94"/>
      <c r="M703" s="83"/>
      <c r="N703" s="94"/>
      <c r="O703" s="83"/>
      <c r="P703" s="492"/>
      <c r="Q703" s="83"/>
      <c r="R703" s="83"/>
      <c r="S703" s="83"/>
      <c r="T703" s="83"/>
      <c r="U703" s="83"/>
      <c r="V703" s="83"/>
      <c r="W703" s="94"/>
      <c r="X703" s="94"/>
      <c r="Y703" s="94"/>
      <c r="Z703" s="83"/>
      <c r="AA703" s="83"/>
      <c r="AB703" s="83"/>
      <c r="AC703" s="83"/>
      <c r="AD703" s="83"/>
      <c r="AE703" s="83"/>
      <c r="AF703" s="83"/>
      <c r="AG703" s="83"/>
      <c r="AH703" s="83"/>
      <c r="AI703" s="83"/>
      <c r="AJ703" s="83"/>
      <c r="AK703" s="83"/>
      <c r="AL703" s="83"/>
      <c r="AM703" s="83"/>
      <c r="AN703" s="83"/>
      <c r="AO703" s="83"/>
      <c r="AP703" s="94"/>
      <c r="AQ703" s="94"/>
    </row>
    <row r="704" ht="15.75" customHeight="1">
      <c r="A704" s="83"/>
      <c r="B704" s="83"/>
      <c r="C704" s="83"/>
      <c r="D704" s="83"/>
      <c r="E704" s="83"/>
      <c r="F704" s="83"/>
      <c r="G704" s="83"/>
      <c r="H704" s="83"/>
      <c r="I704" s="94"/>
      <c r="J704" s="83"/>
      <c r="K704" s="83"/>
      <c r="L704" s="94"/>
      <c r="M704" s="83"/>
      <c r="N704" s="94"/>
      <c r="O704" s="83"/>
      <c r="P704" s="492"/>
      <c r="Q704" s="83"/>
      <c r="R704" s="83"/>
      <c r="S704" s="83"/>
      <c r="T704" s="83"/>
      <c r="U704" s="83"/>
      <c r="V704" s="83"/>
      <c r="W704" s="94"/>
      <c r="X704" s="94"/>
      <c r="Y704" s="94"/>
      <c r="Z704" s="83"/>
      <c r="AA704" s="83"/>
      <c r="AB704" s="83"/>
      <c r="AC704" s="83"/>
      <c r="AD704" s="83"/>
      <c r="AE704" s="83"/>
      <c r="AF704" s="83"/>
      <c r="AG704" s="83"/>
      <c r="AH704" s="83"/>
      <c r="AI704" s="83"/>
      <c r="AJ704" s="83"/>
      <c r="AK704" s="83"/>
      <c r="AL704" s="83"/>
      <c r="AM704" s="83"/>
      <c r="AN704" s="83"/>
      <c r="AO704" s="83"/>
      <c r="AP704" s="94"/>
      <c r="AQ704" s="94"/>
    </row>
    <row r="705" ht="15.75" customHeight="1">
      <c r="A705" s="83"/>
      <c r="B705" s="83"/>
      <c r="C705" s="83"/>
      <c r="D705" s="83"/>
      <c r="E705" s="83"/>
      <c r="F705" s="83"/>
      <c r="G705" s="83"/>
      <c r="H705" s="83"/>
      <c r="I705" s="94"/>
      <c r="J705" s="83"/>
      <c r="K705" s="83"/>
      <c r="L705" s="94"/>
      <c r="M705" s="83"/>
      <c r="N705" s="94"/>
      <c r="O705" s="83"/>
      <c r="P705" s="492"/>
      <c r="Q705" s="83"/>
      <c r="R705" s="83"/>
      <c r="S705" s="83"/>
      <c r="T705" s="83"/>
      <c r="U705" s="83"/>
      <c r="V705" s="83"/>
      <c r="W705" s="94"/>
      <c r="X705" s="94"/>
      <c r="Y705" s="94"/>
      <c r="Z705" s="83"/>
      <c r="AA705" s="83"/>
      <c r="AB705" s="83"/>
      <c r="AC705" s="83"/>
      <c r="AD705" s="83"/>
      <c r="AE705" s="83"/>
      <c r="AF705" s="83"/>
      <c r="AG705" s="83"/>
      <c r="AH705" s="83"/>
      <c r="AI705" s="83"/>
      <c r="AJ705" s="83"/>
      <c r="AK705" s="83"/>
      <c r="AL705" s="83"/>
      <c r="AM705" s="83"/>
      <c r="AN705" s="83"/>
      <c r="AO705" s="83"/>
      <c r="AP705" s="94"/>
      <c r="AQ705" s="94"/>
    </row>
    <row r="706" ht="15.75" customHeight="1">
      <c r="A706" s="83"/>
      <c r="B706" s="83"/>
      <c r="C706" s="83"/>
      <c r="D706" s="83"/>
      <c r="E706" s="83"/>
      <c r="F706" s="83"/>
      <c r="G706" s="83"/>
      <c r="H706" s="83"/>
      <c r="I706" s="94"/>
      <c r="J706" s="83"/>
      <c r="K706" s="83"/>
      <c r="L706" s="94"/>
      <c r="M706" s="83"/>
      <c r="N706" s="94"/>
      <c r="O706" s="83"/>
      <c r="P706" s="492"/>
      <c r="Q706" s="83"/>
      <c r="R706" s="83"/>
      <c r="S706" s="83"/>
      <c r="T706" s="83"/>
      <c r="U706" s="83"/>
      <c r="V706" s="83"/>
      <c r="W706" s="94"/>
      <c r="X706" s="94"/>
      <c r="Y706" s="94"/>
      <c r="Z706" s="83"/>
      <c r="AA706" s="83"/>
      <c r="AB706" s="83"/>
      <c r="AC706" s="83"/>
      <c r="AD706" s="83"/>
      <c r="AE706" s="83"/>
      <c r="AF706" s="83"/>
      <c r="AG706" s="83"/>
      <c r="AH706" s="83"/>
      <c r="AI706" s="83"/>
      <c r="AJ706" s="83"/>
      <c r="AK706" s="83"/>
      <c r="AL706" s="83"/>
      <c r="AM706" s="83"/>
      <c r="AN706" s="83"/>
      <c r="AO706" s="83"/>
      <c r="AP706" s="94"/>
      <c r="AQ706" s="94"/>
    </row>
    <row r="707" ht="15.75" customHeight="1">
      <c r="A707" s="83"/>
      <c r="B707" s="83"/>
      <c r="C707" s="83"/>
      <c r="D707" s="83"/>
      <c r="E707" s="83"/>
      <c r="F707" s="83"/>
      <c r="G707" s="83"/>
      <c r="H707" s="83"/>
      <c r="I707" s="94"/>
      <c r="J707" s="83"/>
      <c r="K707" s="83"/>
      <c r="L707" s="94"/>
      <c r="M707" s="83"/>
      <c r="N707" s="94"/>
      <c r="O707" s="83"/>
      <c r="P707" s="492"/>
      <c r="Q707" s="83"/>
      <c r="R707" s="83"/>
      <c r="S707" s="83"/>
      <c r="T707" s="83"/>
      <c r="U707" s="83"/>
      <c r="V707" s="83"/>
      <c r="W707" s="94"/>
      <c r="X707" s="94"/>
      <c r="Y707" s="94"/>
      <c r="Z707" s="83"/>
      <c r="AA707" s="83"/>
      <c r="AB707" s="83"/>
      <c r="AC707" s="83"/>
      <c r="AD707" s="83"/>
      <c r="AE707" s="83"/>
      <c r="AF707" s="83"/>
      <c r="AG707" s="83"/>
      <c r="AH707" s="83"/>
      <c r="AI707" s="83"/>
      <c r="AJ707" s="83"/>
      <c r="AK707" s="83"/>
      <c r="AL707" s="83"/>
      <c r="AM707" s="83"/>
      <c r="AN707" s="83"/>
      <c r="AO707" s="83"/>
      <c r="AP707" s="94"/>
      <c r="AQ707" s="94"/>
    </row>
    <row r="708" ht="15.75" customHeight="1">
      <c r="A708" s="83"/>
      <c r="B708" s="83"/>
      <c r="C708" s="83"/>
      <c r="D708" s="83"/>
      <c r="E708" s="83"/>
      <c r="F708" s="83"/>
      <c r="G708" s="83"/>
      <c r="H708" s="83"/>
      <c r="I708" s="94"/>
      <c r="J708" s="83"/>
      <c r="K708" s="83"/>
      <c r="L708" s="94"/>
      <c r="M708" s="83"/>
      <c r="N708" s="94"/>
      <c r="O708" s="83"/>
      <c r="P708" s="492"/>
      <c r="Q708" s="83"/>
      <c r="R708" s="83"/>
      <c r="S708" s="83"/>
      <c r="T708" s="83"/>
      <c r="U708" s="83"/>
      <c r="V708" s="83"/>
      <c r="W708" s="94"/>
      <c r="X708" s="94"/>
      <c r="Y708" s="94"/>
      <c r="Z708" s="83"/>
      <c r="AA708" s="83"/>
      <c r="AB708" s="83"/>
      <c r="AC708" s="83"/>
      <c r="AD708" s="83"/>
      <c r="AE708" s="83"/>
      <c r="AF708" s="83"/>
      <c r="AG708" s="83"/>
      <c r="AH708" s="83"/>
      <c r="AI708" s="83"/>
      <c r="AJ708" s="83"/>
      <c r="AK708" s="83"/>
      <c r="AL708" s="83"/>
      <c r="AM708" s="83"/>
      <c r="AN708" s="83"/>
      <c r="AO708" s="83"/>
      <c r="AP708" s="94"/>
      <c r="AQ708" s="94"/>
    </row>
    <row r="709" ht="15.75" customHeight="1">
      <c r="A709" s="83"/>
      <c r="B709" s="83"/>
      <c r="C709" s="83"/>
      <c r="D709" s="83"/>
      <c r="E709" s="83"/>
      <c r="F709" s="83"/>
      <c r="G709" s="83"/>
      <c r="H709" s="83"/>
      <c r="I709" s="94"/>
      <c r="J709" s="83"/>
      <c r="K709" s="83"/>
      <c r="L709" s="94"/>
      <c r="M709" s="83"/>
      <c r="N709" s="94"/>
      <c r="O709" s="83"/>
      <c r="P709" s="492"/>
      <c r="Q709" s="83"/>
      <c r="R709" s="83"/>
      <c r="S709" s="83"/>
      <c r="T709" s="83"/>
      <c r="U709" s="83"/>
      <c r="V709" s="83"/>
      <c r="W709" s="94"/>
      <c r="X709" s="94"/>
      <c r="Y709" s="94"/>
      <c r="Z709" s="83"/>
      <c r="AA709" s="83"/>
      <c r="AB709" s="83"/>
      <c r="AC709" s="83"/>
      <c r="AD709" s="83"/>
      <c r="AE709" s="83"/>
      <c r="AF709" s="83"/>
      <c r="AG709" s="83"/>
      <c r="AH709" s="83"/>
      <c r="AI709" s="83"/>
      <c r="AJ709" s="83"/>
      <c r="AK709" s="83"/>
      <c r="AL709" s="83"/>
      <c r="AM709" s="83"/>
      <c r="AN709" s="83"/>
      <c r="AO709" s="83"/>
      <c r="AP709" s="94"/>
      <c r="AQ709" s="94"/>
    </row>
    <row r="710" ht="15.75" customHeight="1">
      <c r="A710" s="83"/>
      <c r="B710" s="83"/>
      <c r="C710" s="83"/>
      <c r="D710" s="83"/>
      <c r="E710" s="83"/>
      <c r="F710" s="83"/>
      <c r="G710" s="83"/>
      <c r="H710" s="83"/>
      <c r="I710" s="94"/>
      <c r="J710" s="83"/>
      <c r="K710" s="83"/>
      <c r="L710" s="94"/>
      <c r="M710" s="83"/>
      <c r="N710" s="94"/>
      <c r="O710" s="83"/>
      <c r="P710" s="492"/>
      <c r="Q710" s="83"/>
      <c r="R710" s="83"/>
      <c r="S710" s="83"/>
      <c r="T710" s="83"/>
      <c r="U710" s="83"/>
      <c r="V710" s="83"/>
      <c r="W710" s="94"/>
      <c r="X710" s="94"/>
      <c r="Y710" s="94"/>
      <c r="Z710" s="83"/>
      <c r="AA710" s="83"/>
      <c r="AB710" s="83"/>
      <c r="AC710" s="83"/>
      <c r="AD710" s="83"/>
      <c r="AE710" s="83"/>
      <c r="AF710" s="83"/>
      <c r="AG710" s="83"/>
      <c r="AH710" s="83"/>
      <c r="AI710" s="83"/>
      <c r="AJ710" s="83"/>
      <c r="AK710" s="83"/>
      <c r="AL710" s="83"/>
      <c r="AM710" s="83"/>
      <c r="AN710" s="83"/>
      <c r="AO710" s="83"/>
      <c r="AP710" s="94"/>
      <c r="AQ710" s="94"/>
    </row>
    <row r="711" ht="15.75" customHeight="1">
      <c r="A711" s="83"/>
      <c r="B711" s="83"/>
      <c r="C711" s="83"/>
      <c r="D711" s="83"/>
      <c r="E711" s="83"/>
      <c r="F711" s="83"/>
      <c r="G711" s="83"/>
      <c r="H711" s="83"/>
      <c r="I711" s="94"/>
      <c r="J711" s="83"/>
      <c r="K711" s="83"/>
      <c r="L711" s="94"/>
      <c r="M711" s="83"/>
      <c r="N711" s="94"/>
      <c r="O711" s="83"/>
      <c r="P711" s="492"/>
      <c r="Q711" s="83"/>
      <c r="R711" s="83"/>
      <c r="S711" s="83"/>
      <c r="T711" s="83"/>
      <c r="U711" s="83"/>
      <c r="V711" s="83"/>
      <c r="W711" s="94"/>
      <c r="X711" s="94"/>
      <c r="Y711" s="94"/>
      <c r="Z711" s="83"/>
      <c r="AA711" s="83"/>
      <c r="AB711" s="83"/>
      <c r="AC711" s="83"/>
      <c r="AD711" s="83"/>
      <c r="AE711" s="83"/>
      <c r="AF711" s="83"/>
      <c r="AG711" s="83"/>
      <c r="AH711" s="83"/>
      <c r="AI711" s="83"/>
      <c r="AJ711" s="83"/>
      <c r="AK711" s="83"/>
      <c r="AL711" s="83"/>
      <c r="AM711" s="83"/>
      <c r="AN711" s="83"/>
      <c r="AO711" s="83"/>
      <c r="AP711" s="94"/>
      <c r="AQ711" s="94"/>
    </row>
    <row r="712" ht="15.75" customHeight="1">
      <c r="A712" s="83"/>
      <c r="B712" s="83"/>
      <c r="C712" s="83"/>
      <c r="D712" s="83"/>
      <c r="E712" s="83"/>
      <c r="F712" s="83"/>
      <c r="G712" s="83"/>
      <c r="H712" s="83"/>
      <c r="I712" s="94"/>
      <c r="J712" s="83"/>
      <c r="K712" s="83"/>
      <c r="L712" s="94"/>
      <c r="M712" s="83"/>
      <c r="N712" s="94"/>
      <c r="O712" s="83"/>
      <c r="P712" s="492"/>
      <c r="Q712" s="83"/>
      <c r="R712" s="83"/>
      <c r="S712" s="83"/>
      <c r="T712" s="83"/>
      <c r="U712" s="83"/>
      <c r="V712" s="83"/>
      <c r="W712" s="94"/>
      <c r="X712" s="94"/>
      <c r="Y712" s="94"/>
      <c r="Z712" s="83"/>
      <c r="AA712" s="83"/>
      <c r="AB712" s="83"/>
      <c r="AC712" s="83"/>
      <c r="AD712" s="83"/>
      <c r="AE712" s="83"/>
      <c r="AF712" s="83"/>
      <c r="AG712" s="83"/>
      <c r="AH712" s="83"/>
      <c r="AI712" s="83"/>
      <c r="AJ712" s="83"/>
      <c r="AK712" s="83"/>
      <c r="AL712" s="83"/>
      <c r="AM712" s="83"/>
      <c r="AN712" s="83"/>
      <c r="AO712" s="83"/>
      <c r="AP712" s="94"/>
      <c r="AQ712" s="94"/>
    </row>
    <row r="713" ht="15.75" customHeight="1">
      <c r="A713" s="83"/>
      <c r="B713" s="83"/>
      <c r="C713" s="83"/>
      <c r="D713" s="83"/>
      <c r="E713" s="83"/>
      <c r="F713" s="83"/>
      <c r="G713" s="83"/>
      <c r="H713" s="83"/>
      <c r="I713" s="94"/>
      <c r="J713" s="83"/>
      <c r="K713" s="83"/>
      <c r="L713" s="94"/>
      <c r="M713" s="83"/>
      <c r="N713" s="94"/>
      <c r="O713" s="83"/>
      <c r="P713" s="492"/>
      <c r="Q713" s="83"/>
      <c r="R713" s="83"/>
      <c r="S713" s="83"/>
      <c r="T713" s="83"/>
      <c r="U713" s="83"/>
      <c r="V713" s="83"/>
      <c r="W713" s="94"/>
      <c r="X713" s="94"/>
      <c r="Y713" s="94"/>
      <c r="Z713" s="83"/>
      <c r="AA713" s="83"/>
      <c r="AB713" s="83"/>
      <c r="AC713" s="83"/>
      <c r="AD713" s="83"/>
      <c r="AE713" s="83"/>
      <c r="AF713" s="83"/>
      <c r="AG713" s="83"/>
      <c r="AH713" s="83"/>
      <c r="AI713" s="83"/>
      <c r="AJ713" s="83"/>
      <c r="AK713" s="83"/>
      <c r="AL713" s="83"/>
      <c r="AM713" s="83"/>
      <c r="AN713" s="83"/>
      <c r="AO713" s="83"/>
      <c r="AP713" s="94"/>
      <c r="AQ713" s="94"/>
    </row>
    <row r="714" ht="15.75" customHeight="1">
      <c r="A714" s="83"/>
      <c r="B714" s="83"/>
      <c r="C714" s="83"/>
      <c r="D714" s="83"/>
      <c r="E714" s="83"/>
      <c r="F714" s="83"/>
      <c r="G714" s="83"/>
      <c r="H714" s="83"/>
      <c r="I714" s="94"/>
      <c r="J714" s="83"/>
      <c r="K714" s="83"/>
      <c r="L714" s="94"/>
      <c r="M714" s="83"/>
      <c r="N714" s="94"/>
      <c r="O714" s="83"/>
      <c r="P714" s="492"/>
      <c r="Q714" s="83"/>
      <c r="R714" s="83"/>
      <c r="S714" s="83"/>
      <c r="T714" s="83"/>
      <c r="U714" s="83"/>
      <c r="V714" s="83"/>
      <c r="W714" s="94"/>
      <c r="X714" s="94"/>
      <c r="Y714" s="94"/>
      <c r="Z714" s="83"/>
      <c r="AA714" s="83"/>
      <c r="AB714" s="83"/>
      <c r="AC714" s="83"/>
      <c r="AD714" s="83"/>
      <c r="AE714" s="83"/>
      <c r="AF714" s="83"/>
      <c r="AG714" s="83"/>
      <c r="AH714" s="83"/>
      <c r="AI714" s="83"/>
      <c r="AJ714" s="83"/>
      <c r="AK714" s="83"/>
      <c r="AL714" s="83"/>
      <c r="AM714" s="83"/>
      <c r="AN714" s="83"/>
      <c r="AO714" s="83"/>
      <c r="AP714" s="94"/>
      <c r="AQ714" s="94"/>
    </row>
    <row r="715" ht="15.75" customHeight="1">
      <c r="A715" s="83"/>
      <c r="B715" s="83"/>
      <c r="C715" s="83"/>
      <c r="D715" s="83"/>
      <c r="E715" s="83"/>
      <c r="F715" s="83"/>
      <c r="G715" s="83"/>
      <c r="H715" s="83"/>
      <c r="I715" s="94"/>
      <c r="J715" s="83"/>
      <c r="K715" s="83"/>
      <c r="L715" s="94"/>
      <c r="M715" s="83"/>
      <c r="N715" s="94"/>
      <c r="O715" s="83"/>
      <c r="P715" s="492"/>
      <c r="Q715" s="83"/>
      <c r="R715" s="83"/>
      <c r="S715" s="83"/>
      <c r="T715" s="83"/>
      <c r="U715" s="83"/>
      <c r="V715" s="83"/>
      <c r="W715" s="94"/>
      <c r="X715" s="94"/>
      <c r="Y715" s="94"/>
      <c r="Z715" s="83"/>
      <c r="AA715" s="83"/>
      <c r="AB715" s="83"/>
      <c r="AC715" s="83"/>
      <c r="AD715" s="83"/>
      <c r="AE715" s="83"/>
      <c r="AF715" s="83"/>
      <c r="AG715" s="83"/>
      <c r="AH715" s="83"/>
      <c r="AI715" s="83"/>
      <c r="AJ715" s="83"/>
      <c r="AK715" s="83"/>
      <c r="AL715" s="83"/>
      <c r="AM715" s="83"/>
      <c r="AN715" s="83"/>
      <c r="AO715" s="83"/>
      <c r="AP715" s="94"/>
      <c r="AQ715" s="94"/>
    </row>
    <row r="716" ht="15.75" customHeight="1">
      <c r="A716" s="83"/>
      <c r="B716" s="83"/>
      <c r="C716" s="83"/>
      <c r="D716" s="83"/>
      <c r="E716" s="83"/>
      <c r="F716" s="83"/>
      <c r="G716" s="83"/>
      <c r="H716" s="83"/>
      <c r="I716" s="94"/>
      <c r="J716" s="83"/>
      <c r="K716" s="83"/>
      <c r="L716" s="94"/>
      <c r="M716" s="83"/>
      <c r="N716" s="94"/>
      <c r="O716" s="83"/>
      <c r="P716" s="492"/>
      <c r="Q716" s="83"/>
      <c r="R716" s="83"/>
      <c r="S716" s="83"/>
      <c r="T716" s="83"/>
      <c r="U716" s="83"/>
      <c r="V716" s="83"/>
      <c r="W716" s="94"/>
      <c r="X716" s="94"/>
      <c r="Y716" s="94"/>
      <c r="Z716" s="83"/>
      <c r="AA716" s="83"/>
      <c r="AB716" s="83"/>
      <c r="AC716" s="83"/>
      <c r="AD716" s="83"/>
      <c r="AE716" s="83"/>
      <c r="AF716" s="83"/>
      <c r="AG716" s="83"/>
      <c r="AH716" s="83"/>
      <c r="AI716" s="83"/>
      <c r="AJ716" s="83"/>
      <c r="AK716" s="83"/>
      <c r="AL716" s="83"/>
      <c r="AM716" s="83"/>
      <c r="AN716" s="83"/>
      <c r="AO716" s="83"/>
      <c r="AP716" s="94"/>
      <c r="AQ716" s="94"/>
    </row>
    <row r="717" ht="15.75" customHeight="1">
      <c r="A717" s="83"/>
      <c r="B717" s="83"/>
      <c r="C717" s="83"/>
      <c r="D717" s="83"/>
      <c r="E717" s="83"/>
      <c r="F717" s="83"/>
      <c r="G717" s="83"/>
      <c r="H717" s="83"/>
      <c r="I717" s="94"/>
      <c r="J717" s="83"/>
      <c r="K717" s="83"/>
      <c r="L717" s="94"/>
      <c r="M717" s="83"/>
      <c r="N717" s="94"/>
      <c r="O717" s="83"/>
      <c r="P717" s="492"/>
      <c r="Q717" s="83"/>
      <c r="R717" s="83"/>
      <c r="S717" s="83"/>
      <c r="T717" s="83"/>
      <c r="U717" s="83"/>
      <c r="V717" s="83"/>
      <c r="W717" s="94"/>
      <c r="X717" s="94"/>
      <c r="Y717" s="94"/>
      <c r="Z717" s="83"/>
      <c r="AA717" s="83"/>
      <c r="AB717" s="83"/>
      <c r="AC717" s="83"/>
      <c r="AD717" s="83"/>
      <c r="AE717" s="83"/>
      <c r="AF717" s="83"/>
      <c r="AG717" s="83"/>
      <c r="AH717" s="83"/>
      <c r="AI717" s="83"/>
      <c r="AJ717" s="83"/>
      <c r="AK717" s="83"/>
      <c r="AL717" s="83"/>
      <c r="AM717" s="83"/>
      <c r="AN717" s="83"/>
      <c r="AO717" s="83"/>
      <c r="AP717" s="94"/>
      <c r="AQ717" s="94"/>
    </row>
    <row r="718" ht="15.75" customHeight="1">
      <c r="A718" s="83"/>
      <c r="B718" s="83"/>
      <c r="C718" s="83"/>
      <c r="D718" s="83"/>
      <c r="E718" s="83"/>
      <c r="F718" s="83"/>
      <c r="G718" s="83"/>
      <c r="H718" s="83"/>
      <c r="I718" s="94"/>
      <c r="J718" s="83"/>
      <c r="K718" s="83"/>
      <c r="L718" s="94"/>
      <c r="M718" s="83"/>
      <c r="N718" s="94"/>
      <c r="O718" s="83"/>
      <c r="P718" s="492"/>
      <c r="Q718" s="83"/>
      <c r="R718" s="83"/>
      <c r="S718" s="83"/>
      <c r="T718" s="83"/>
      <c r="U718" s="83"/>
      <c r="V718" s="83"/>
      <c r="W718" s="94"/>
      <c r="X718" s="94"/>
      <c r="Y718" s="94"/>
      <c r="Z718" s="83"/>
      <c r="AA718" s="83"/>
      <c r="AB718" s="83"/>
      <c r="AC718" s="83"/>
      <c r="AD718" s="83"/>
      <c r="AE718" s="83"/>
      <c r="AF718" s="83"/>
      <c r="AG718" s="83"/>
      <c r="AH718" s="83"/>
      <c r="AI718" s="83"/>
      <c r="AJ718" s="83"/>
      <c r="AK718" s="83"/>
      <c r="AL718" s="83"/>
      <c r="AM718" s="83"/>
      <c r="AN718" s="83"/>
      <c r="AO718" s="83"/>
      <c r="AP718" s="94"/>
      <c r="AQ718" s="94"/>
    </row>
    <row r="719" ht="15.75" customHeight="1">
      <c r="A719" s="83"/>
      <c r="B719" s="83"/>
      <c r="C719" s="83"/>
      <c r="D719" s="83"/>
      <c r="E719" s="83"/>
      <c r="F719" s="83"/>
      <c r="G719" s="83"/>
      <c r="H719" s="83"/>
      <c r="I719" s="94"/>
      <c r="J719" s="83"/>
      <c r="K719" s="83"/>
      <c r="L719" s="94"/>
      <c r="M719" s="83"/>
      <c r="N719" s="94"/>
      <c r="O719" s="83"/>
      <c r="P719" s="492"/>
      <c r="Q719" s="83"/>
      <c r="R719" s="83"/>
      <c r="S719" s="83"/>
      <c r="T719" s="83"/>
      <c r="U719" s="83"/>
      <c r="V719" s="83"/>
      <c r="W719" s="94"/>
      <c r="X719" s="94"/>
      <c r="Y719" s="94"/>
      <c r="Z719" s="83"/>
      <c r="AA719" s="83"/>
      <c r="AB719" s="83"/>
      <c r="AC719" s="83"/>
      <c r="AD719" s="83"/>
      <c r="AE719" s="83"/>
      <c r="AF719" s="83"/>
      <c r="AG719" s="83"/>
      <c r="AH719" s="83"/>
      <c r="AI719" s="83"/>
      <c r="AJ719" s="83"/>
      <c r="AK719" s="83"/>
      <c r="AL719" s="83"/>
      <c r="AM719" s="83"/>
      <c r="AN719" s="83"/>
      <c r="AO719" s="83"/>
      <c r="AP719" s="94"/>
      <c r="AQ719" s="94"/>
    </row>
    <row r="720" ht="15.75" customHeight="1">
      <c r="A720" s="83"/>
      <c r="B720" s="83"/>
      <c r="C720" s="83"/>
      <c r="D720" s="83"/>
      <c r="E720" s="83"/>
      <c r="F720" s="83"/>
      <c r="G720" s="83"/>
      <c r="H720" s="83"/>
      <c r="I720" s="94"/>
      <c r="J720" s="83"/>
      <c r="K720" s="83"/>
      <c r="L720" s="94"/>
      <c r="M720" s="83"/>
      <c r="N720" s="94"/>
      <c r="O720" s="83"/>
      <c r="P720" s="492"/>
      <c r="Q720" s="83"/>
      <c r="R720" s="83"/>
      <c r="S720" s="83"/>
      <c r="T720" s="83"/>
      <c r="U720" s="83"/>
      <c r="V720" s="83"/>
      <c r="W720" s="94"/>
      <c r="X720" s="94"/>
      <c r="Y720" s="94"/>
      <c r="Z720" s="83"/>
      <c r="AA720" s="83"/>
      <c r="AB720" s="83"/>
      <c r="AC720" s="83"/>
      <c r="AD720" s="83"/>
      <c r="AE720" s="83"/>
      <c r="AF720" s="83"/>
      <c r="AG720" s="83"/>
      <c r="AH720" s="83"/>
      <c r="AI720" s="83"/>
      <c r="AJ720" s="83"/>
      <c r="AK720" s="83"/>
      <c r="AL720" s="83"/>
      <c r="AM720" s="83"/>
      <c r="AN720" s="83"/>
      <c r="AO720" s="83"/>
      <c r="AP720" s="94"/>
      <c r="AQ720" s="94"/>
    </row>
    <row r="721" ht="15.75" customHeight="1">
      <c r="A721" s="83"/>
      <c r="B721" s="83"/>
      <c r="C721" s="83"/>
      <c r="D721" s="83"/>
      <c r="E721" s="83"/>
      <c r="F721" s="83"/>
      <c r="G721" s="83"/>
      <c r="H721" s="83"/>
      <c r="I721" s="94"/>
      <c r="J721" s="83"/>
      <c r="K721" s="83"/>
      <c r="L721" s="94"/>
      <c r="M721" s="83"/>
      <c r="N721" s="94"/>
      <c r="O721" s="83"/>
      <c r="P721" s="492"/>
      <c r="Q721" s="83"/>
      <c r="R721" s="83"/>
      <c r="S721" s="83"/>
      <c r="T721" s="83"/>
      <c r="U721" s="83"/>
      <c r="V721" s="83"/>
      <c r="W721" s="94"/>
      <c r="X721" s="94"/>
      <c r="Y721" s="94"/>
      <c r="Z721" s="83"/>
      <c r="AA721" s="83"/>
      <c r="AB721" s="83"/>
      <c r="AC721" s="83"/>
      <c r="AD721" s="83"/>
      <c r="AE721" s="83"/>
      <c r="AF721" s="83"/>
      <c r="AG721" s="83"/>
      <c r="AH721" s="83"/>
      <c r="AI721" s="83"/>
      <c r="AJ721" s="83"/>
      <c r="AK721" s="83"/>
      <c r="AL721" s="83"/>
      <c r="AM721" s="83"/>
      <c r="AN721" s="83"/>
      <c r="AO721" s="83"/>
      <c r="AP721" s="94"/>
      <c r="AQ721" s="94"/>
    </row>
    <row r="722" ht="15.75" customHeight="1">
      <c r="A722" s="83"/>
      <c r="B722" s="83"/>
      <c r="C722" s="83"/>
      <c r="D722" s="83"/>
      <c r="E722" s="83"/>
      <c r="F722" s="83"/>
      <c r="G722" s="83"/>
      <c r="H722" s="83"/>
      <c r="I722" s="94"/>
      <c r="J722" s="83"/>
      <c r="K722" s="83"/>
      <c r="L722" s="94"/>
      <c r="M722" s="83"/>
      <c r="N722" s="94"/>
      <c r="O722" s="83"/>
      <c r="P722" s="492"/>
      <c r="Q722" s="83"/>
      <c r="R722" s="83"/>
      <c r="S722" s="83"/>
      <c r="T722" s="83"/>
      <c r="U722" s="83"/>
      <c r="V722" s="83"/>
      <c r="W722" s="94"/>
      <c r="X722" s="94"/>
      <c r="Y722" s="94"/>
      <c r="Z722" s="83"/>
      <c r="AA722" s="83"/>
      <c r="AB722" s="83"/>
      <c r="AC722" s="83"/>
      <c r="AD722" s="83"/>
      <c r="AE722" s="83"/>
      <c r="AF722" s="83"/>
      <c r="AG722" s="83"/>
      <c r="AH722" s="83"/>
      <c r="AI722" s="83"/>
      <c r="AJ722" s="83"/>
      <c r="AK722" s="83"/>
      <c r="AL722" s="83"/>
      <c r="AM722" s="83"/>
      <c r="AN722" s="83"/>
      <c r="AO722" s="83"/>
      <c r="AP722" s="94"/>
      <c r="AQ722" s="94"/>
    </row>
    <row r="723" ht="15.75" customHeight="1">
      <c r="A723" s="83"/>
      <c r="B723" s="83"/>
      <c r="C723" s="83"/>
      <c r="D723" s="83"/>
      <c r="E723" s="83"/>
      <c r="F723" s="83"/>
      <c r="G723" s="83"/>
      <c r="H723" s="83"/>
      <c r="I723" s="94"/>
      <c r="J723" s="83"/>
      <c r="K723" s="83"/>
      <c r="L723" s="94"/>
      <c r="M723" s="83"/>
      <c r="N723" s="94"/>
      <c r="O723" s="83"/>
      <c r="P723" s="492"/>
      <c r="Q723" s="83"/>
      <c r="R723" s="83"/>
      <c r="S723" s="83"/>
      <c r="T723" s="83"/>
      <c r="U723" s="83"/>
      <c r="V723" s="83"/>
      <c r="W723" s="94"/>
      <c r="X723" s="94"/>
      <c r="Y723" s="94"/>
      <c r="Z723" s="83"/>
      <c r="AA723" s="83"/>
      <c r="AB723" s="83"/>
      <c r="AC723" s="83"/>
      <c r="AD723" s="83"/>
      <c r="AE723" s="83"/>
      <c r="AF723" s="83"/>
      <c r="AG723" s="83"/>
      <c r="AH723" s="83"/>
      <c r="AI723" s="83"/>
      <c r="AJ723" s="83"/>
      <c r="AK723" s="83"/>
      <c r="AL723" s="83"/>
      <c r="AM723" s="83"/>
      <c r="AN723" s="83"/>
      <c r="AO723" s="83"/>
      <c r="AP723" s="94"/>
      <c r="AQ723" s="94"/>
    </row>
    <row r="724" ht="15.75" customHeight="1">
      <c r="A724" s="83"/>
      <c r="B724" s="83"/>
      <c r="C724" s="83"/>
      <c r="D724" s="83"/>
      <c r="E724" s="83"/>
      <c r="F724" s="83"/>
      <c r="G724" s="83"/>
      <c r="H724" s="83"/>
      <c r="I724" s="94"/>
      <c r="J724" s="83"/>
      <c r="K724" s="83"/>
      <c r="L724" s="94"/>
      <c r="M724" s="83"/>
      <c r="N724" s="94"/>
      <c r="O724" s="83"/>
      <c r="P724" s="492"/>
      <c r="Q724" s="83"/>
      <c r="R724" s="83"/>
      <c r="S724" s="83"/>
      <c r="T724" s="83"/>
      <c r="U724" s="83"/>
      <c r="V724" s="83"/>
      <c r="W724" s="94"/>
      <c r="X724" s="94"/>
      <c r="Y724" s="94"/>
      <c r="Z724" s="83"/>
      <c r="AA724" s="83"/>
      <c r="AB724" s="83"/>
      <c r="AC724" s="83"/>
      <c r="AD724" s="83"/>
      <c r="AE724" s="83"/>
      <c r="AF724" s="83"/>
      <c r="AG724" s="83"/>
      <c r="AH724" s="83"/>
      <c r="AI724" s="83"/>
      <c r="AJ724" s="83"/>
      <c r="AK724" s="83"/>
      <c r="AL724" s="83"/>
      <c r="AM724" s="83"/>
      <c r="AN724" s="83"/>
      <c r="AO724" s="83"/>
      <c r="AP724" s="94"/>
      <c r="AQ724" s="94"/>
    </row>
    <row r="725" ht="15.75" customHeight="1">
      <c r="A725" s="83"/>
      <c r="B725" s="83"/>
      <c r="C725" s="83"/>
      <c r="D725" s="83"/>
      <c r="E725" s="83"/>
      <c r="F725" s="83"/>
      <c r="G725" s="83"/>
      <c r="H725" s="83"/>
      <c r="I725" s="94"/>
      <c r="J725" s="83"/>
      <c r="K725" s="83"/>
      <c r="L725" s="94"/>
      <c r="M725" s="83"/>
      <c r="N725" s="94"/>
      <c r="O725" s="83"/>
      <c r="P725" s="492"/>
      <c r="Q725" s="83"/>
      <c r="R725" s="83"/>
      <c r="S725" s="83"/>
      <c r="T725" s="83"/>
      <c r="U725" s="83"/>
      <c r="V725" s="83"/>
      <c r="W725" s="94"/>
      <c r="X725" s="94"/>
      <c r="Y725" s="94"/>
      <c r="Z725" s="83"/>
      <c r="AA725" s="83"/>
      <c r="AB725" s="83"/>
      <c r="AC725" s="83"/>
      <c r="AD725" s="83"/>
      <c r="AE725" s="83"/>
      <c r="AF725" s="83"/>
      <c r="AG725" s="83"/>
      <c r="AH725" s="83"/>
      <c r="AI725" s="83"/>
      <c r="AJ725" s="83"/>
      <c r="AK725" s="83"/>
      <c r="AL725" s="83"/>
      <c r="AM725" s="83"/>
      <c r="AN725" s="83"/>
      <c r="AO725" s="83"/>
      <c r="AP725" s="94"/>
      <c r="AQ725" s="94"/>
    </row>
    <row r="726" ht="15.75" customHeight="1">
      <c r="A726" s="83"/>
      <c r="B726" s="83"/>
      <c r="C726" s="83"/>
      <c r="D726" s="83"/>
      <c r="E726" s="83"/>
      <c r="F726" s="83"/>
      <c r="G726" s="83"/>
      <c r="H726" s="83"/>
      <c r="I726" s="94"/>
      <c r="J726" s="83"/>
      <c r="K726" s="83"/>
      <c r="L726" s="94"/>
      <c r="M726" s="83"/>
      <c r="N726" s="94"/>
      <c r="O726" s="83"/>
      <c r="P726" s="492"/>
      <c r="Q726" s="83"/>
      <c r="R726" s="83"/>
      <c r="S726" s="83"/>
      <c r="T726" s="83"/>
      <c r="U726" s="83"/>
      <c r="V726" s="83"/>
      <c r="W726" s="94"/>
      <c r="X726" s="94"/>
      <c r="Y726" s="94"/>
      <c r="Z726" s="83"/>
      <c r="AA726" s="83"/>
      <c r="AB726" s="83"/>
      <c r="AC726" s="83"/>
      <c r="AD726" s="83"/>
      <c r="AE726" s="83"/>
      <c r="AF726" s="83"/>
      <c r="AG726" s="83"/>
      <c r="AH726" s="83"/>
      <c r="AI726" s="83"/>
      <c r="AJ726" s="83"/>
      <c r="AK726" s="83"/>
      <c r="AL726" s="83"/>
      <c r="AM726" s="83"/>
      <c r="AN726" s="83"/>
      <c r="AO726" s="83"/>
      <c r="AP726" s="94"/>
      <c r="AQ726" s="94"/>
    </row>
    <row r="727" ht="15.75" customHeight="1">
      <c r="A727" s="83"/>
      <c r="B727" s="83"/>
      <c r="C727" s="83"/>
      <c r="D727" s="83"/>
      <c r="E727" s="83"/>
      <c r="F727" s="83"/>
      <c r="G727" s="83"/>
      <c r="H727" s="83"/>
      <c r="I727" s="94"/>
      <c r="J727" s="83"/>
      <c r="K727" s="83"/>
      <c r="L727" s="94"/>
      <c r="M727" s="83"/>
      <c r="N727" s="94"/>
      <c r="O727" s="83"/>
      <c r="P727" s="492"/>
      <c r="Q727" s="83"/>
      <c r="R727" s="83"/>
      <c r="S727" s="83"/>
      <c r="T727" s="83"/>
      <c r="U727" s="83"/>
      <c r="V727" s="83"/>
      <c r="W727" s="94"/>
      <c r="X727" s="94"/>
      <c r="Y727" s="94"/>
      <c r="Z727" s="83"/>
      <c r="AA727" s="83"/>
      <c r="AB727" s="83"/>
      <c r="AC727" s="83"/>
      <c r="AD727" s="83"/>
      <c r="AE727" s="83"/>
      <c r="AF727" s="83"/>
      <c r="AG727" s="83"/>
      <c r="AH727" s="83"/>
      <c r="AI727" s="83"/>
      <c r="AJ727" s="83"/>
      <c r="AK727" s="83"/>
      <c r="AL727" s="83"/>
      <c r="AM727" s="83"/>
      <c r="AN727" s="83"/>
      <c r="AO727" s="83"/>
      <c r="AP727" s="94"/>
      <c r="AQ727" s="94"/>
    </row>
    <row r="728" ht="15.75" customHeight="1">
      <c r="A728" s="83"/>
      <c r="B728" s="83"/>
      <c r="C728" s="83"/>
      <c r="D728" s="83"/>
      <c r="E728" s="83"/>
      <c r="F728" s="83"/>
      <c r="G728" s="83"/>
      <c r="H728" s="83"/>
      <c r="I728" s="94"/>
      <c r="J728" s="83"/>
      <c r="K728" s="83"/>
      <c r="L728" s="94"/>
      <c r="M728" s="83"/>
      <c r="N728" s="94"/>
      <c r="O728" s="83"/>
      <c r="P728" s="492"/>
      <c r="Q728" s="83"/>
      <c r="R728" s="83"/>
      <c r="S728" s="83"/>
      <c r="T728" s="83"/>
      <c r="U728" s="83"/>
      <c r="V728" s="83"/>
      <c r="W728" s="94"/>
      <c r="X728" s="94"/>
      <c r="Y728" s="94"/>
      <c r="Z728" s="83"/>
      <c r="AA728" s="83"/>
      <c r="AB728" s="83"/>
      <c r="AC728" s="83"/>
      <c r="AD728" s="83"/>
      <c r="AE728" s="83"/>
      <c r="AF728" s="83"/>
      <c r="AG728" s="83"/>
      <c r="AH728" s="83"/>
      <c r="AI728" s="83"/>
      <c r="AJ728" s="83"/>
      <c r="AK728" s="83"/>
      <c r="AL728" s="83"/>
      <c r="AM728" s="83"/>
      <c r="AN728" s="83"/>
      <c r="AO728" s="83"/>
      <c r="AP728" s="94"/>
      <c r="AQ728" s="94"/>
    </row>
    <row r="729" ht="15.75" customHeight="1">
      <c r="A729" s="83"/>
      <c r="B729" s="83"/>
      <c r="C729" s="83"/>
      <c r="D729" s="83"/>
      <c r="E729" s="83"/>
      <c r="F729" s="83"/>
      <c r="G729" s="83"/>
      <c r="H729" s="83"/>
      <c r="I729" s="94"/>
      <c r="J729" s="83"/>
      <c r="K729" s="83"/>
      <c r="L729" s="94"/>
      <c r="M729" s="83"/>
      <c r="N729" s="94"/>
      <c r="O729" s="83"/>
      <c r="P729" s="492"/>
      <c r="Q729" s="83"/>
      <c r="R729" s="83"/>
      <c r="S729" s="83"/>
      <c r="T729" s="83"/>
      <c r="U729" s="83"/>
      <c r="V729" s="83"/>
      <c r="W729" s="94"/>
      <c r="X729" s="94"/>
      <c r="Y729" s="94"/>
      <c r="Z729" s="83"/>
      <c r="AA729" s="83"/>
      <c r="AB729" s="83"/>
      <c r="AC729" s="83"/>
      <c r="AD729" s="83"/>
      <c r="AE729" s="83"/>
      <c r="AF729" s="83"/>
      <c r="AG729" s="83"/>
      <c r="AH729" s="83"/>
      <c r="AI729" s="83"/>
      <c r="AJ729" s="83"/>
      <c r="AK729" s="83"/>
      <c r="AL729" s="83"/>
      <c r="AM729" s="83"/>
      <c r="AN729" s="83"/>
      <c r="AO729" s="83"/>
      <c r="AP729" s="94"/>
      <c r="AQ729" s="94"/>
    </row>
    <row r="730" ht="15.75" customHeight="1">
      <c r="A730" s="83"/>
      <c r="B730" s="83"/>
      <c r="C730" s="83"/>
      <c r="D730" s="83"/>
      <c r="E730" s="83"/>
      <c r="F730" s="83"/>
      <c r="G730" s="83"/>
      <c r="H730" s="83"/>
      <c r="I730" s="94"/>
      <c r="J730" s="83"/>
      <c r="K730" s="83"/>
      <c r="L730" s="94"/>
      <c r="M730" s="83"/>
      <c r="N730" s="94"/>
      <c r="O730" s="83"/>
      <c r="P730" s="492"/>
      <c r="Q730" s="83"/>
      <c r="R730" s="83"/>
      <c r="S730" s="83"/>
      <c r="T730" s="83"/>
      <c r="U730" s="83"/>
      <c r="V730" s="83"/>
      <c r="W730" s="94"/>
      <c r="X730" s="94"/>
      <c r="Y730" s="94"/>
      <c r="Z730" s="83"/>
      <c r="AA730" s="83"/>
      <c r="AB730" s="83"/>
      <c r="AC730" s="83"/>
      <c r="AD730" s="83"/>
      <c r="AE730" s="83"/>
      <c r="AF730" s="83"/>
      <c r="AG730" s="83"/>
      <c r="AH730" s="83"/>
      <c r="AI730" s="83"/>
      <c r="AJ730" s="83"/>
      <c r="AK730" s="83"/>
      <c r="AL730" s="83"/>
      <c r="AM730" s="83"/>
      <c r="AN730" s="83"/>
      <c r="AO730" s="83"/>
      <c r="AP730" s="94"/>
      <c r="AQ730" s="94"/>
    </row>
    <row r="731" ht="15.75" customHeight="1">
      <c r="A731" s="83"/>
      <c r="B731" s="83"/>
      <c r="C731" s="83"/>
      <c r="D731" s="83"/>
      <c r="E731" s="83"/>
      <c r="F731" s="83"/>
      <c r="G731" s="83"/>
      <c r="H731" s="83"/>
      <c r="I731" s="94"/>
      <c r="J731" s="83"/>
      <c r="K731" s="83"/>
      <c r="L731" s="94"/>
      <c r="M731" s="83"/>
      <c r="N731" s="94"/>
      <c r="O731" s="83"/>
      <c r="P731" s="492"/>
      <c r="Q731" s="83"/>
      <c r="R731" s="83"/>
      <c r="S731" s="83"/>
      <c r="T731" s="83"/>
      <c r="U731" s="83"/>
      <c r="V731" s="83"/>
      <c r="W731" s="94"/>
      <c r="X731" s="94"/>
      <c r="Y731" s="94"/>
      <c r="Z731" s="83"/>
      <c r="AA731" s="83"/>
      <c r="AB731" s="83"/>
      <c r="AC731" s="83"/>
      <c r="AD731" s="83"/>
      <c r="AE731" s="83"/>
      <c r="AF731" s="83"/>
      <c r="AG731" s="83"/>
      <c r="AH731" s="83"/>
      <c r="AI731" s="83"/>
      <c r="AJ731" s="83"/>
      <c r="AK731" s="83"/>
      <c r="AL731" s="83"/>
      <c r="AM731" s="83"/>
      <c r="AN731" s="83"/>
      <c r="AO731" s="83"/>
      <c r="AP731" s="94"/>
      <c r="AQ731" s="94"/>
    </row>
    <row r="732" ht="15.75" customHeight="1">
      <c r="A732" s="83"/>
      <c r="B732" s="83"/>
      <c r="C732" s="83"/>
      <c r="D732" s="83"/>
      <c r="E732" s="83"/>
      <c r="F732" s="83"/>
      <c r="G732" s="83"/>
      <c r="H732" s="83"/>
      <c r="I732" s="94"/>
      <c r="J732" s="83"/>
      <c r="K732" s="83"/>
      <c r="L732" s="94"/>
      <c r="M732" s="83"/>
      <c r="N732" s="94"/>
      <c r="O732" s="83"/>
      <c r="P732" s="492"/>
      <c r="Q732" s="83"/>
      <c r="R732" s="83"/>
      <c r="S732" s="83"/>
      <c r="T732" s="83"/>
      <c r="U732" s="83"/>
      <c r="V732" s="83"/>
      <c r="W732" s="94"/>
      <c r="X732" s="94"/>
      <c r="Y732" s="94"/>
      <c r="Z732" s="83"/>
      <c r="AA732" s="83"/>
      <c r="AB732" s="83"/>
      <c r="AC732" s="83"/>
      <c r="AD732" s="83"/>
      <c r="AE732" s="83"/>
      <c r="AF732" s="83"/>
      <c r="AG732" s="83"/>
      <c r="AH732" s="83"/>
      <c r="AI732" s="83"/>
      <c r="AJ732" s="83"/>
      <c r="AK732" s="83"/>
      <c r="AL732" s="83"/>
      <c r="AM732" s="83"/>
      <c r="AN732" s="83"/>
      <c r="AO732" s="83"/>
      <c r="AP732" s="94"/>
      <c r="AQ732" s="94"/>
    </row>
    <row r="733" ht="15.75" customHeight="1">
      <c r="A733" s="83"/>
      <c r="B733" s="83"/>
      <c r="C733" s="83"/>
      <c r="D733" s="83"/>
      <c r="E733" s="83"/>
      <c r="F733" s="83"/>
      <c r="G733" s="83"/>
      <c r="H733" s="83"/>
      <c r="I733" s="94"/>
      <c r="J733" s="83"/>
      <c r="K733" s="83"/>
      <c r="L733" s="94"/>
      <c r="M733" s="83"/>
      <c r="N733" s="94"/>
      <c r="O733" s="83"/>
      <c r="P733" s="492"/>
      <c r="Q733" s="83"/>
      <c r="R733" s="83"/>
      <c r="S733" s="83"/>
      <c r="T733" s="83"/>
      <c r="U733" s="83"/>
      <c r="V733" s="83"/>
      <c r="W733" s="94"/>
      <c r="X733" s="94"/>
      <c r="Y733" s="94"/>
      <c r="Z733" s="83"/>
      <c r="AA733" s="83"/>
      <c r="AB733" s="83"/>
      <c r="AC733" s="83"/>
      <c r="AD733" s="83"/>
      <c r="AE733" s="83"/>
      <c r="AF733" s="83"/>
      <c r="AG733" s="83"/>
      <c r="AH733" s="83"/>
      <c r="AI733" s="83"/>
      <c r="AJ733" s="83"/>
      <c r="AK733" s="83"/>
      <c r="AL733" s="83"/>
      <c r="AM733" s="83"/>
      <c r="AN733" s="83"/>
      <c r="AO733" s="83"/>
      <c r="AP733" s="94"/>
      <c r="AQ733" s="94"/>
    </row>
    <row r="734" ht="15.75" customHeight="1">
      <c r="A734" s="83"/>
      <c r="B734" s="83"/>
      <c r="C734" s="83"/>
      <c r="D734" s="83"/>
      <c r="E734" s="83"/>
      <c r="F734" s="83"/>
      <c r="G734" s="83"/>
      <c r="H734" s="83"/>
      <c r="I734" s="94"/>
      <c r="J734" s="83"/>
      <c r="K734" s="83"/>
      <c r="L734" s="94"/>
      <c r="M734" s="83"/>
      <c r="N734" s="94"/>
      <c r="O734" s="83"/>
      <c r="P734" s="492"/>
      <c r="Q734" s="83"/>
      <c r="R734" s="83"/>
      <c r="S734" s="83"/>
      <c r="T734" s="83"/>
      <c r="U734" s="83"/>
      <c r="V734" s="83"/>
      <c r="W734" s="94"/>
      <c r="X734" s="94"/>
      <c r="Y734" s="94"/>
      <c r="Z734" s="83"/>
      <c r="AA734" s="83"/>
      <c r="AB734" s="83"/>
      <c r="AC734" s="83"/>
      <c r="AD734" s="83"/>
      <c r="AE734" s="83"/>
      <c r="AF734" s="83"/>
      <c r="AG734" s="83"/>
      <c r="AH734" s="83"/>
      <c r="AI734" s="83"/>
      <c r="AJ734" s="83"/>
      <c r="AK734" s="83"/>
      <c r="AL734" s="83"/>
      <c r="AM734" s="83"/>
      <c r="AN734" s="83"/>
      <c r="AO734" s="83"/>
      <c r="AP734" s="94"/>
      <c r="AQ734" s="94"/>
    </row>
    <row r="735" ht="15.75" customHeight="1">
      <c r="A735" s="83"/>
      <c r="B735" s="83"/>
      <c r="C735" s="83"/>
      <c r="D735" s="83"/>
      <c r="E735" s="83"/>
      <c r="F735" s="83"/>
      <c r="G735" s="83"/>
      <c r="H735" s="83"/>
      <c r="I735" s="94"/>
      <c r="J735" s="83"/>
      <c r="K735" s="83"/>
      <c r="L735" s="94"/>
      <c r="M735" s="83"/>
      <c r="N735" s="94"/>
      <c r="O735" s="83"/>
      <c r="P735" s="492"/>
      <c r="Q735" s="83"/>
      <c r="R735" s="83"/>
      <c r="S735" s="83"/>
      <c r="T735" s="83"/>
      <c r="U735" s="83"/>
      <c r="V735" s="83"/>
      <c r="W735" s="94"/>
      <c r="X735" s="94"/>
      <c r="Y735" s="94"/>
      <c r="Z735" s="83"/>
      <c r="AA735" s="83"/>
      <c r="AB735" s="83"/>
      <c r="AC735" s="83"/>
      <c r="AD735" s="83"/>
      <c r="AE735" s="83"/>
      <c r="AF735" s="83"/>
      <c r="AG735" s="83"/>
      <c r="AH735" s="83"/>
      <c r="AI735" s="83"/>
      <c r="AJ735" s="83"/>
      <c r="AK735" s="83"/>
      <c r="AL735" s="83"/>
      <c r="AM735" s="83"/>
      <c r="AN735" s="83"/>
      <c r="AO735" s="83"/>
      <c r="AP735" s="94"/>
      <c r="AQ735" s="94"/>
    </row>
    <row r="736" ht="15.75" customHeight="1">
      <c r="A736" s="83"/>
      <c r="B736" s="83"/>
      <c r="C736" s="83"/>
      <c r="D736" s="83"/>
      <c r="E736" s="83"/>
      <c r="F736" s="83"/>
      <c r="G736" s="83"/>
      <c r="H736" s="83"/>
      <c r="I736" s="94"/>
      <c r="J736" s="83"/>
      <c r="K736" s="83"/>
      <c r="L736" s="94"/>
      <c r="M736" s="83"/>
      <c r="N736" s="94"/>
      <c r="O736" s="83"/>
      <c r="P736" s="492"/>
      <c r="Q736" s="83"/>
      <c r="R736" s="83"/>
      <c r="S736" s="83"/>
      <c r="T736" s="83"/>
      <c r="U736" s="83"/>
      <c r="V736" s="83"/>
      <c r="W736" s="94"/>
      <c r="X736" s="94"/>
      <c r="Y736" s="94"/>
      <c r="Z736" s="83"/>
      <c r="AA736" s="83"/>
      <c r="AB736" s="83"/>
      <c r="AC736" s="83"/>
      <c r="AD736" s="83"/>
      <c r="AE736" s="83"/>
      <c r="AF736" s="83"/>
      <c r="AG736" s="83"/>
      <c r="AH736" s="83"/>
      <c r="AI736" s="83"/>
      <c r="AJ736" s="83"/>
      <c r="AK736" s="83"/>
      <c r="AL736" s="83"/>
      <c r="AM736" s="83"/>
      <c r="AN736" s="83"/>
      <c r="AO736" s="83"/>
      <c r="AP736" s="94"/>
      <c r="AQ736" s="94"/>
    </row>
    <row r="737" ht="15.75" customHeight="1">
      <c r="A737" s="83"/>
      <c r="B737" s="83"/>
      <c r="C737" s="83"/>
      <c r="D737" s="83"/>
      <c r="E737" s="83"/>
      <c r="F737" s="83"/>
      <c r="G737" s="83"/>
      <c r="H737" s="83"/>
      <c r="I737" s="94"/>
      <c r="J737" s="83"/>
      <c r="K737" s="83"/>
      <c r="L737" s="94"/>
      <c r="M737" s="83"/>
      <c r="N737" s="94"/>
      <c r="O737" s="83"/>
      <c r="P737" s="492"/>
      <c r="Q737" s="83"/>
      <c r="R737" s="83"/>
      <c r="S737" s="83"/>
      <c r="T737" s="83"/>
      <c r="U737" s="83"/>
      <c r="V737" s="83"/>
      <c r="W737" s="94"/>
      <c r="X737" s="94"/>
      <c r="Y737" s="94"/>
      <c r="Z737" s="83"/>
      <c r="AA737" s="83"/>
      <c r="AB737" s="83"/>
      <c r="AC737" s="83"/>
      <c r="AD737" s="83"/>
      <c r="AE737" s="83"/>
      <c r="AF737" s="83"/>
      <c r="AG737" s="83"/>
      <c r="AH737" s="83"/>
      <c r="AI737" s="83"/>
      <c r="AJ737" s="83"/>
      <c r="AK737" s="83"/>
      <c r="AL737" s="83"/>
      <c r="AM737" s="83"/>
      <c r="AN737" s="83"/>
      <c r="AO737" s="83"/>
      <c r="AP737" s="94"/>
      <c r="AQ737" s="94"/>
    </row>
    <row r="738" ht="15.75" customHeight="1">
      <c r="A738" s="83"/>
      <c r="B738" s="83"/>
      <c r="C738" s="83"/>
      <c r="D738" s="83"/>
      <c r="E738" s="83"/>
      <c r="F738" s="83"/>
      <c r="G738" s="83"/>
      <c r="H738" s="83"/>
      <c r="I738" s="94"/>
      <c r="J738" s="83"/>
      <c r="K738" s="83"/>
      <c r="L738" s="94"/>
      <c r="M738" s="83"/>
      <c r="N738" s="94"/>
      <c r="O738" s="83"/>
      <c r="P738" s="492"/>
      <c r="Q738" s="83"/>
      <c r="R738" s="83"/>
      <c r="S738" s="83"/>
      <c r="T738" s="83"/>
      <c r="U738" s="83"/>
      <c r="V738" s="83"/>
      <c r="W738" s="94"/>
      <c r="X738" s="94"/>
      <c r="Y738" s="94"/>
      <c r="Z738" s="83"/>
      <c r="AA738" s="83"/>
      <c r="AB738" s="83"/>
      <c r="AC738" s="83"/>
      <c r="AD738" s="83"/>
      <c r="AE738" s="83"/>
      <c r="AF738" s="83"/>
      <c r="AG738" s="83"/>
      <c r="AH738" s="83"/>
      <c r="AI738" s="83"/>
      <c r="AJ738" s="83"/>
      <c r="AK738" s="83"/>
      <c r="AL738" s="83"/>
      <c r="AM738" s="83"/>
      <c r="AN738" s="83"/>
      <c r="AO738" s="83"/>
      <c r="AP738" s="94"/>
      <c r="AQ738" s="94"/>
    </row>
    <row r="739" ht="15.75" customHeight="1">
      <c r="A739" s="83"/>
      <c r="B739" s="83"/>
      <c r="C739" s="83"/>
      <c r="D739" s="83"/>
      <c r="E739" s="83"/>
      <c r="F739" s="83"/>
      <c r="G739" s="83"/>
      <c r="H739" s="83"/>
      <c r="I739" s="94"/>
      <c r="J739" s="83"/>
      <c r="K739" s="83"/>
      <c r="L739" s="94"/>
      <c r="M739" s="83"/>
      <c r="N739" s="94"/>
      <c r="O739" s="83"/>
      <c r="P739" s="492"/>
      <c r="Q739" s="83"/>
      <c r="R739" s="83"/>
      <c r="S739" s="83"/>
      <c r="T739" s="83"/>
      <c r="U739" s="83"/>
      <c r="V739" s="83"/>
      <c r="W739" s="94"/>
      <c r="X739" s="94"/>
      <c r="Y739" s="94"/>
      <c r="Z739" s="83"/>
      <c r="AA739" s="83"/>
      <c r="AB739" s="83"/>
      <c r="AC739" s="83"/>
      <c r="AD739" s="83"/>
      <c r="AE739" s="83"/>
      <c r="AF739" s="83"/>
      <c r="AG739" s="83"/>
      <c r="AH739" s="83"/>
      <c r="AI739" s="83"/>
      <c r="AJ739" s="83"/>
      <c r="AK739" s="83"/>
      <c r="AL739" s="83"/>
      <c r="AM739" s="83"/>
      <c r="AN739" s="83"/>
      <c r="AO739" s="83"/>
      <c r="AP739" s="94"/>
      <c r="AQ739" s="94"/>
    </row>
    <row r="740" ht="15.75" customHeight="1">
      <c r="A740" s="83"/>
      <c r="B740" s="83"/>
      <c r="C740" s="83"/>
      <c r="D740" s="83"/>
      <c r="E740" s="83"/>
      <c r="F740" s="83"/>
      <c r="G740" s="83"/>
      <c r="H740" s="83"/>
      <c r="I740" s="94"/>
      <c r="J740" s="83"/>
      <c r="K740" s="83"/>
      <c r="L740" s="94"/>
      <c r="M740" s="83"/>
      <c r="N740" s="94"/>
      <c r="O740" s="83"/>
      <c r="P740" s="492"/>
      <c r="Q740" s="83"/>
      <c r="R740" s="83"/>
      <c r="S740" s="83"/>
      <c r="T740" s="83"/>
      <c r="U740" s="83"/>
      <c r="V740" s="83"/>
      <c r="W740" s="94"/>
      <c r="X740" s="94"/>
      <c r="Y740" s="94"/>
      <c r="Z740" s="83"/>
      <c r="AA740" s="83"/>
      <c r="AB740" s="83"/>
      <c r="AC740" s="83"/>
      <c r="AD740" s="83"/>
      <c r="AE740" s="83"/>
      <c r="AF740" s="83"/>
      <c r="AG740" s="83"/>
      <c r="AH740" s="83"/>
      <c r="AI740" s="83"/>
      <c r="AJ740" s="83"/>
      <c r="AK740" s="83"/>
      <c r="AL740" s="83"/>
      <c r="AM740" s="83"/>
      <c r="AN740" s="83"/>
      <c r="AO740" s="83"/>
      <c r="AP740" s="94"/>
      <c r="AQ740" s="94"/>
    </row>
    <row r="741" ht="15.75" customHeight="1">
      <c r="A741" s="83"/>
      <c r="B741" s="83"/>
      <c r="C741" s="83"/>
      <c r="D741" s="83"/>
      <c r="E741" s="83"/>
      <c r="F741" s="83"/>
      <c r="G741" s="83"/>
      <c r="H741" s="83"/>
      <c r="I741" s="94"/>
      <c r="J741" s="83"/>
      <c r="K741" s="83"/>
      <c r="L741" s="94"/>
      <c r="M741" s="83"/>
      <c r="N741" s="94"/>
      <c r="O741" s="83"/>
      <c r="P741" s="492"/>
      <c r="Q741" s="83"/>
      <c r="R741" s="83"/>
      <c r="S741" s="83"/>
      <c r="T741" s="83"/>
      <c r="U741" s="83"/>
      <c r="V741" s="83"/>
      <c r="W741" s="94"/>
      <c r="X741" s="94"/>
      <c r="Y741" s="94"/>
      <c r="Z741" s="83"/>
      <c r="AA741" s="83"/>
      <c r="AB741" s="83"/>
      <c r="AC741" s="83"/>
      <c r="AD741" s="83"/>
      <c r="AE741" s="83"/>
      <c r="AF741" s="83"/>
      <c r="AG741" s="83"/>
      <c r="AH741" s="83"/>
      <c r="AI741" s="83"/>
      <c r="AJ741" s="83"/>
      <c r="AK741" s="83"/>
      <c r="AL741" s="83"/>
      <c r="AM741" s="83"/>
      <c r="AN741" s="83"/>
      <c r="AO741" s="83"/>
      <c r="AP741" s="94"/>
      <c r="AQ741" s="94"/>
    </row>
    <row r="742" ht="15.75" customHeight="1">
      <c r="A742" s="83"/>
      <c r="B742" s="83"/>
      <c r="C742" s="83"/>
      <c r="D742" s="83"/>
      <c r="E742" s="83"/>
      <c r="F742" s="83"/>
      <c r="G742" s="83"/>
      <c r="H742" s="83"/>
      <c r="I742" s="94"/>
      <c r="J742" s="83"/>
      <c r="K742" s="83"/>
      <c r="L742" s="94"/>
      <c r="M742" s="83"/>
      <c r="N742" s="94"/>
      <c r="O742" s="83"/>
      <c r="P742" s="492"/>
      <c r="Q742" s="83"/>
      <c r="R742" s="83"/>
      <c r="S742" s="83"/>
      <c r="T742" s="83"/>
      <c r="U742" s="83"/>
      <c r="V742" s="83"/>
      <c r="W742" s="94"/>
      <c r="X742" s="94"/>
      <c r="Y742" s="94"/>
      <c r="Z742" s="83"/>
      <c r="AA742" s="83"/>
      <c r="AB742" s="83"/>
      <c r="AC742" s="83"/>
      <c r="AD742" s="83"/>
      <c r="AE742" s="83"/>
      <c r="AF742" s="83"/>
      <c r="AG742" s="83"/>
      <c r="AH742" s="83"/>
      <c r="AI742" s="83"/>
      <c r="AJ742" s="83"/>
      <c r="AK742" s="83"/>
      <c r="AL742" s="83"/>
      <c r="AM742" s="83"/>
      <c r="AN742" s="83"/>
      <c r="AO742" s="83"/>
      <c r="AP742" s="94"/>
      <c r="AQ742" s="94"/>
    </row>
    <row r="743" ht="15.75" customHeight="1">
      <c r="A743" s="83"/>
      <c r="B743" s="83"/>
      <c r="C743" s="83"/>
      <c r="D743" s="83"/>
      <c r="E743" s="83"/>
      <c r="F743" s="83"/>
      <c r="G743" s="83"/>
      <c r="H743" s="83"/>
      <c r="I743" s="94"/>
      <c r="J743" s="83"/>
      <c r="K743" s="83"/>
      <c r="L743" s="94"/>
      <c r="M743" s="83"/>
      <c r="N743" s="94"/>
      <c r="O743" s="83"/>
      <c r="P743" s="492"/>
      <c r="Q743" s="83"/>
      <c r="R743" s="83"/>
      <c r="S743" s="83"/>
      <c r="T743" s="83"/>
      <c r="U743" s="83"/>
      <c r="V743" s="83"/>
      <c r="W743" s="94"/>
      <c r="X743" s="94"/>
      <c r="Y743" s="94"/>
      <c r="Z743" s="83"/>
      <c r="AA743" s="83"/>
      <c r="AB743" s="83"/>
      <c r="AC743" s="83"/>
      <c r="AD743" s="83"/>
      <c r="AE743" s="83"/>
      <c r="AF743" s="83"/>
      <c r="AG743" s="83"/>
      <c r="AH743" s="83"/>
      <c r="AI743" s="83"/>
      <c r="AJ743" s="83"/>
      <c r="AK743" s="83"/>
      <c r="AL743" s="83"/>
      <c r="AM743" s="83"/>
      <c r="AN743" s="83"/>
      <c r="AO743" s="83"/>
      <c r="AP743" s="94"/>
      <c r="AQ743" s="94"/>
    </row>
    <row r="744" ht="15.75" customHeight="1">
      <c r="A744" s="83"/>
      <c r="B744" s="83"/>
      <c r="C744" s="83"/>
      <c r="D744" s="83"/>
      <c r="E744" s="83"/>
      <c r="F744" s="83"/>
      <c r="G744" s="83"/>
      <c r="H744" s="83"/>
      <c r="I744" s="94"/>
      <c r="J744" s="83"/>
      <c r="K744" s="83"/>
      <c r="L744" s="94"/>
      <c r="M744" s="83"/>
      <c r="N744" s="94"/>
      <c r="O744" s="83"/>
      <c r="P744" s="492"/>
      <c r="Q744" s="83"/>
      <c r="R744" s="83"/>
      <c r="S744" s="83"/>
      <c r="T744" s="83"/>
      <c r="U744" s="83"/>
      <c r="V744" s="83"/>
      <c r="W744" s="94"/>
      <c r="X744" s="94"/>
      <c r="Y744" s="94"/>
      <c r="Z744" s="83"/>
      <c r="AA744" s="83"/>
      <c r="AB744" s="83"/>
      <c r="AC744" s="83"/>
      <c r="AD744" s="83"/>
      <c r="AE744" s="83"/>
      <c r="AF744" s="83"/>
      <c r="AG744" s="83"/>
      <c r="AH744" s="83"/>
      <c r="AI744" s="83"/>
      <c r="AJ744" s="83"/>
      <c r="AK744" s="83"/>
      <c r="AL744" s="83"/>
      <c r="AM744" s="83"/>
      <c r="AN744" s="83"/>
      <c r="AO744" s="83"/>
      <c r="AP744" s="94"/>
      <c r="AQ744" s="94"/>
    </row>
    <row r="745" ht="15.75" customHeight="1">
      <c r="A745" s="83"/>
      <c r="B745" s="83"/>
      <c r="C745" s="83"/>
      <c r="D745" s="83"/>
      <c r="E745" s="83"/>
      <c r="F745" s="83"/>
      <c r="G745" s="83"/>
      <c r="H745" s="83"/>
      <c r="I745" s="94"/>
      <c r="J745" s="83"/>
      <c r="K745" s="83"/>
      <c r="L745" s="94"/>
      <c r="M745" s="83"/>
      <c r="N745" s="94"/>
      <c r="O745" s="83"/>
      <c r="P745" s="492"/>
      <c r="Q745" s="83"/>
      <c r="R745" s="83"/>
      <c r="S745" s="83"/>
      <c r="T745" s="83"/>
      <c r="U745" s="83"/>
      <c r="V745" s="83"/>
      <c r="W745" s="94"/>
      <c r="X745" s="94"/>
      <c r="Y745" s="94"/>
      <c r="Z745" s="83"/>
      <c r="AA745" s="83"/>
      <c r="AB745" s="83"/>
      <c r="AC745" s="83"/>
      <c r="AD745" s="83"/>
      <c r="AE745" s="83"/>
      <c r="AF745" s="83"/>
      <c r="AG745" s="83"/>
      <c r="AH745" s="83"/>
      <c r="AI745" s="83"/>
      <c r="AJ745" s="83"/>
      <c r="AK745" s="83"/>
      <c r="AL745" s="83"/>
      <c r="AM745" s="83"/>
      <c r="AN745" s="83"/>
      <c r="AO745" s="83"/>
      <c r="AP745" s="94"/>
      <c r="AQ745" s="94"/>
    </row>
    <row r="746" ht="15.75" customHeight="1">
      <c r="A746" s="83"/>
      <c r="B746" s="83"/>
      <c r="C746" s="83"/>
      <c r="D746" s="83"/>
      <c r="E746" s="83"/>
      <c r="F746" s="83"/>
      <c r="G746" s="83"/>
      <c r="H746" s="83"/>
      <c r="I746" s="94"/>
      <c r="J746" s="83"/>
      <c r="K746" s="83"/>
      <c r="L746" s="94"/>
      <c r="M746" s="83"/>
      <c r="N746" s="94"/>
      <c r="O746" s="83"/>
      <c r="P746" s="492"/>
      <c r="Q746" s="83"/>
      <c r="R746" s="83"/>
      <c r="S746" s="83"/>
      <c r="T746" s="83"/>
      <c r="U746" s="83"/>
      <c r="V746" s="83"/>
      <c r="W746" s="94"/>
      <c r="X746" s="94"/>
      <c r="Y746" s="94"/>
      <c r="Z746" s="83"/>
      <c r="AA746" s="83"/>
      <c r="AB746" s="83"/>
      <c r="AC746" s="83"/>
      <c r="AD746" s="83"/>
      <c r="AE746" s="83"/>
      <c r="AF746" s="83"/>
      <c r="AG746" s="83"/>
      <c r="AH746" s="83"/>
      <c r="AI746" s="83"/>
      <c r="AJ746" s="83"/>
      <c r="AK746" s="83"/>
      <c r="AL746" s="83"/>
      <c r="AM746" s="83"/>
      <c r="AN746" s="83"/>
      <c r="AO746" s="83"/>
      <c r="AP746" s="94"/>
      <c r="AQ746" s="94"/>
    </row>
    <row r="747" ht="15.75" customHeight="1">
      <c r="A747" s="83"/>
      <c r="B747" s="83"/>
      <c r="C747" s="83"/>
      <c r="D747" s="83"/>
      <c r="E747" s="83"/>
      <c r="F747" s="83"/>
      <c r="G747" s="83"/>
      <c r="H747" s="83"/>
      <c r="I747" s="94"/>
      <c r="J747" s="83"/>
      <c r="K747" s="83"/>
      <c r="L747" s="94"/>
      <c r="M747" s="83"/>
      <c r="N747" s="94"/>
      <c r="O747" s="83"/>
      <c r="P747" s="492"/>
      <c r="Q747" s="83"/>
      <c r="R747" s="83"/>
      <c r="S747" s="83"/>
      <c r="T747" s="83"/>
      <c r="U747" s="83"/>
      <c r="V747" s="83"/>
      <c r="W747" s="94"/>
      <c r="X747" s="94"/>
      <c r="Y747" s="94"/>
      <c r="Z747" s="83"/>
      <c r="AA747" s="83"/>
      <c r="AB747" s="83"/>
      <c r="AC747" s="83"/>
      <c r="AD747" s="83"/>
      <c r="AE747" s="83"/>
      <c r="AF747" s="83"/>
      <c r="AG747" s="83"/>
      <c r="AH747" s="83"/>
      <c r="AI747" s="83"/>
      <c r="AJ747" s="83"/>
      <c r="AK747" s="83"/>
      <c r="AL747" s="83"/>
      <c r="AM747" s="83"/>
      <c r="AN747" s="83"/>
      <c r="AO747" s="83"/>
      <c r="AP747" s="94"/>
      <c r="AQ747" s="94"/>
    </row>
    <row r="748" ht="15.75" customHeight="1">
      <c r="A748" s="83"/>
      <c r="B748" s="83"/>
      <c r="C748" s="83"/>
      <c r="D748" s="83"/>
      <c r="E748" s="83"/>
      <c r="F748" s="83"/>
      <c r="G748" s="83"/>
      <c r="H748" s="83"/>
      <c r="I748" s="94"/>
      <c r="J748" s="83"/>
      <c r="K748" s="83"/>
      <c r="L748" s="94"/>
      <c r="M748" s="83"/>
      <c r="N748" s="94"/>
      <c r="O748" s="83"/>
      <c r="P748" s="492"/>
      <c r="Q748" s="83"/>
      <c r="R748" s="83"/>
      <c r="S748" s="83"/>
      <c r="T748" s="83"/>
      <c r="U748" s="83"/>
      <c r="V748" s="83"/>
      <c r="W748" s="94"/>
      <c r="X748" s="94"/>
      <c r="Y748" s="94"/>
      <c r="Z748" s="83"/>
      <c r="AA748" s="83"/>
      <c r="AB748" s="83"/>
      <c r="AC748" s="83"/>
      <c r="AD748" s="83"/>
      <c r="AE748" s="83"/>
      <c r="AF748" s="83"/>
      <c r="AG748" s="83"/>
      <c r="AH748" s="83"/>
      <c r="AI748" s="83"/>
      <c r="AJ748" s="83"/>
      <c r="AK748" s="83"/>
      <c r="AL748" s="83"/>
      <c r="AM748" s="83"/>
      <c r="AN748" s="83"/>
      <c r="AO748" s="83"/>
      <c r="AP748" s="94"/>
      <c r="AQ748" s="94"/>
    </row>
    <row r="749" ht="15.75" customHeight="1">
      <c r="A749" s="83"/>
      <c r="B749" s="83"/>
      <c r="C749" s="83"/>
      <c r="D749" s="83"/>
      <c r="E749" s="83"/>
      <c r="F749" s="83"/>
      <c r="G749" s="83"/>
      <c r="H749" s="83"/>
      <c r="I749" s="94"/>
      <c r="J749" s="83"/>
      <c r="K749" s="83"/>
      <c r="L749" s="94"/>
      <c r="M749" s="83"/>
      <c r="N749" s="94"/>
      <c r="O749" s="83"/>
      <c r="P749" s="492"/>
      <c r="Q749" s="83"/>
      <c r="R749" s="83"/>
      <c r="S749" s="83"/>
      <c r="T749" s="83"/>
      <c r="U749" s="83"/>
      <c r="V749" s="83"/>
      <c r="W749" s="94"/>
      <c r="X749" s="94"/>
      <c r="Y749" s="94"/>
      <c r="Z749" s="83"/>
      <c r="AA749" s="83"/>
      <c r="AB749" s="83"/>
      <c r="AC749" s="83"/>
      <c r="AD749" s="83"/>
      <c r="AE749" s="83"/>
      <c r="AF749" s="83"/>
      <c r="AG749" s="83"/>
      <c r="AH749" s="83"/>
      <c r="AI749" s="83"/>
      <c r="AJ749" s="83"/>
      <c r="AK749" s="83"/>
      <c r="AL749" s="83"/>
      <c r="AM749" s="83"/>
      <c r="AN749" s="83"/>
      <c r="AO749" s="83"/>
      <c r="AP749" s="94"/>
      <c r="AQ749" s="94"/>
    </row>
    <row r="750" ht="15.75" customHeight="1">
      <c r="A750" s="83"/>
      <c r="B750" s="83"/>
      <c r="C750" s="83"/>
      <c r="D750" s="83"/>
      <c r="E750" s="83"/>
      <c r="F750" s="83"/>
      <c r="G750" s="83"/>
      <c r="H750" s="83"/>
      <c r="I750" s="94"/>
      <c r="J750" s="83"/>
      <c r="K750" s="83"/>
      <c r="L750" s="94"/>
      <c r="M750" s="83"/>
      <c r="N750" s="94"/>
      <c r="O750" s="83"/>
      <c r="P750" s="492"/>
      <c r="Q750" s="83"/>
      <c r="R750" s="83"/>
      <c r="S750" s="83"/>
      <c r="T750" s="83"/>
      <c r="U750" s="83"/>
      <c r="V750" s="83"/>
      <c r="W750" s="94"/>
      <c r="X750" s="94"/>
      <c r="Y750" s="94"/>
      <c r="Z750" s="83"/>
      <c r="AA750" s="83"/>
      <c r="AB750" s="83"/>
      <c r="AC750" s="83"/>
      <c r="AD750" s="83"/>
      <c r="AE750" s="83"/>
      <c r="AF750" s="83"/>
      <c r="AG750" s="83"/>
      <c r="AH750" s="83"/>
      <c r="AI750" s="83"/>
      <c r="AJ750" s="83"/>
      <c r="AK750" s="83"/>
      <c r="AL750" s="83"/>
      <c r="AM750" s="83"/>
      <c r="AN750" s="83"/>
      <c r="AO750" s="83"/>
      <c r="AP750" s="94"/>
      <c r="AQ750" s="94"/>
    </row>
    <row r="751" ht="15.75" customHeight="1">
      <c r="A751" s="83"/>
      <c r="B751" s="83"/>
      <c r="C751" s="83"/>
      <c r="D751" s="83"/>
      <c r="E751" s="83"/>
      <c r="F751" s="83"/>
      <c r="G751" s="83"/>
      <c r="H751" s="83"/>
      <c r="I751" s="94"/>
      <c r="J751" s="83"/>
      <c r="K751" s="83"/>
      <c r="L751" s="94"/>
      <c r="M751" s="83"/>
      <c r="N751" s="94"/>
      <c r="O751" s="83"/>
      <c r="P751" s="492"/>
      <c r="Q751" s="83"/>
      <c r="R751" s="83"/>
      <c r="S751" s="83"/>
      <c r="T751" s="83"/>
      <c r="U751" s="83"/>
      <c r="V751" s="83"/>
      <c r="W751" s="94"/>
      <c r="X751" s="94"/>
      <c r="Y751" s="94"/>
      <c r="Z751" s="83"/>
      <c r="AA751" s="83"/>
      <c r="AB751" s="83"/>
      <c r="AC751" s="83"/>
      <c r="AD751" s="83"/>
      <c r="AE751" s="83"/>
      <c r="AF751" s="83"/>
      <c r="AG751" s="83"/>
      <c r="AH751" s="83"/>
      <c r="AI751" s="83"/>
      <c r="AJ751" s="83"/>
      <c r="AK751" s="83"/>
      <c r="AL751" s="83"/>
      <c r="AM751" s="83"/>
      <c r="AN751" s="83"/>
      <c r="AO751" s="83"/>
      <c r="AP751" s="94"/>
      <c r="AQ751" s="94"/>
    </row>
    <row r="752" ht="15.75" customHeight="1">
      <c r="A752" s="83"/>
      <c r="B752" s="83"/>
      <c r="C752" s="83"/>
      <c r="D752" s="83"/>
      <c r="E752" s="83"/>
      <c r="F752" s="83"/>
      <c r="G752" s="83"/>
      <c r="H752" s="83"/>
      <c r="I752" s="94"/>
      <c r="J752" s="83"/>
      <c r="K752" s="83"/>
      <c r="L752" s="94"/>
      <c r="M752" s="83"/>
      <c r="N752" s="94"/>
      <c r="O752" s="83"/>
      <c r="P752" s="492"/>
      <c r="Q752" s="83"/>
      <c r="R752" s="83"/>
      <c r="S752" s="83"/>
      <c r="T752" s="83"/>
      <c r="U752" s="83"/>
      <c r="V752" s="83"/>
      <c r="W752" s="94"/>
      <c r="X752" s="94"/>
      <c r="Y752" s="94"/>
      <c r="Z752" s="83"/>
      <c r="AA752" s="83"/>
      <c r="AB752" s="83"/>
      <c r="AC752" s="83"/>
      <c r="AD752" s="83"/>
      <c r="AE752" s="83"/>
      <c r="AF752" s="83"/>
      <c r="AG752" s="83"/>
      <c r="AH752" s="83"/>
      <c r="AI752" s="83"/>
      <c r="AJ752" s="83"/>
      <c r="AK752" s="83"/>
      <c r="AL752" s="83"/>
      <c r="AM752" s="83"/>
      <c r="AN752" s="83"/>
      <c r="AO752" s="83"/>
      <c r="AP752" s="94"/>
      <c r="AQ752" s="94"/>
    </row>
    <row r="753" ht="15.75" customHeight="1">
      <c r="A753" s="83"/>
      <c r="B753" s="83"/>
      <c r="C753" s="83"/>
      <c r="D753" s="83"/>
      <c r="E753" s="83"/>
      <c r="F753" s="83"/>
      <c r="G753" s="83"/>
      <c r="H753" s="83"/>
      <c r="I753" s="94"/>
      <c r="J753" s="83"/>
      <c r="K753" s="83"/>
      <c r="L753" s="94"/>
      <c r="M753" s="83"/>
      <c r="N753" s="94"/>
      <c r="O753" s="83"/>
      <c r="P753" s="492"/>
      <c r="Q753" s="83"/>
      <c r="R753" s="83"/>
      <c r="S753" s="83"/>
      <c r="T753" s="83"/>
      <c r="U753" s="83"/>
      <c r="V753" s="83"/>
      <c r="W753" s="94"/>
      <c r="X753" s="94"/>
      <c r="Y753" s="94"/>
      <c r="Z753" s="83"/>
      <c r="AA753" s="83"/>
      <c r="AB753" s="83"/>
      <c r="AC753" s="83"/>
      <c r="AD753" s="83"/>
      <c r="AE753" s="83"/>
      <c r="AF753" s="83"/>
      <c r="AG753" s="83"/>
      <c r="AH753" s="83"/>
      <c r="AI753" s="83"/>
      <c r="AJ753" s="83"/>
      <c r="AK753" s="83"/>
      <c r="AL753" s="83"/>
      <c r="AM753" s="83"/>
      <c r="AN753" s="83"/>
      <c r="AO753" s="83"/>
      <c r="AP753" s="94"/>
      <c r="AQ753" s="94"/>
    </row>
    <row r="754" ht="15.75" customHeight="1">
      <c r="A754" s="83"/>
      <c r="B754" s="83"/>
      <c r="C754" s="83"/>
      <c r="D754" s="83"/>
      <c r="E754" s="83"/>
      <c r="F754" s="83"/>
      <c r="G754" s="83"/>
      <c r="H754" s="83"/>
      <c r="I754" s="94"/>
      <c r="J754" s="83"/>
      <c r="K754" s="83"/>
      <c r="L754" s="94"/>
      <c r="M754" s="83"/>
      <c r="N754" s="94"/>
      <c r="O754" s="83"/>
      <c r="P754" s="492"/>
      <c r="Q754" s="83"/>
      <c r="R754" s="83"/>
      <c r="S754" s="83"/>
      <c r="T754" s="83"/>
      <c r="U754" s="83"/>
      <c r="V754" s="83"/>
      <c r="W754" s="94"/>
      <c r="X754" s="94"/>
      <c r="Y754" s="94"/>
      <c r="Z754" s="83"/>
      <c r="AA754" s="83"/>
      <c r="AB754" s="83"/>
      <c r="AC754" s="83"/>
      <c r="AD754" s="83"/>
      <c r="AE754" s="83"/>
      <c r="AF754" s="83"/>
      <c r="AG754" s="83"/>
      <c r="AH754" s="83"/>
      <c r="AI754" s="83"/>
      <c r="AJ754" s="83"/>
      <c r="AK754" s="83"/>
      <c r="AL754" s="83"/>
      <c r="AM754" s="83"/>
      <c r="AN754" s="83"/>
      <c r="AO754" s="83"/>
      <c r="AP754" s="94"/>
      <c r="AQ754" s="94"/>
    </row>
    <row r="755" ht="15.75" customHeight="1">
      <c r="A755" s="83"/>
      <c r="B755" s="83"/>
      <c r="C755" s="83"/>
      <c r="D755" s="83"/>
      <c r="E755" s="83"/>
      <c r="F755" s="83"/>
      <c r="G755" s="83"/>
      <c r="H755" s="83"/>
      <c r="I755" s="94"/>
      <c r="J755" s="83"/>
      <c r="K755" s="83"/>
      <c r="L755" s="94"/>
      <c r="M755" s="83"/>
      <c r="N755" s="94"/>
      <c r="O755" s="83"/>
      <c r="P755" s="492"/>
      <c r="Q755" s="83"/>
      <c r="R755" s="83"/>
      <c r="S755" s="83"/>
      <c r="T755" s="83"/>
      <c r="U755" s="83"/>
      <c r="V755" s="83"/>
      <c r="W755" s="94"/>
      <c r="X755" s="94"/>
      <c r="Y755" s="94"/>
      <c r="Z755" s="83"/>
      <c r="AA755" s="83"/>
      <c r="AB755" s="83"/>
      <c r="AC755" s="83"/>
      <c r="AD755" s="83"/>
      <c r="AE755" s="83"/>
      <c r="AF755" s="83"/>
      <c r="AG755" s="83"/>
      <c r="AH755" s="83"/>
      <c r="AI755" s="83"/>
      <c r="AJ755" s="83"/>
      <c r="AK755" s="83"/>
      <c r="AL755" s="83"/>
      <c r="AM755" s="83"/>
      <c r="AN755" s="83"/>
      <c r="AO755" s="83"/>
      <c r="AP755" s="94"/>
      <c r="AQ755" s="94"/>
    </row>
    <row r="756" ht="15.75" customHeight="1">
      <c r="A756" s="83"/>
      <c r="B756" s="83"/>
      <c r="C756" s="83"/>
      <c r="D756" s="83"/>
      <c r="E756" s="83"/>
      <c r="F756" s="83"/>
      <c r="G756" s="83"/>
      <c r="H756" s="83"/>
      <c r="I756" s="94"/>
      <c r="J756" s="83"/>
      <c r="K756" s="83"/>
      <c r="L756" s="94"/>
      <c r="M756" s="83"/>
      <c r="N756" s="94"/>
      <c r="O756" s="83"/>
      <c r="P756" s="492"/>
      <c r="Q756" s="83"/>
      <c r="R756" s="83"/>
      <c r="S756" s="83"/>
      <c r="T756" s="83"/>
      <c r="U756" s="83"/>
      <c r="V756" s="83"/>
      <c r="W756" s="94"/>
      <c r="X756" s="94"/>
      <c r="Y756" s="94"/>
      <c r="Z756" s="83"/>
      <c r="AA756" s="83"/>
      <c r="AB756" s="83"/>
      <c r="AC756" s="83"/>
      <c r="AD756" s="83"/>
      <c r="AE756" s="83"/>
      <c r="AF756" s="83"/>
      <c r="AG756" s="83"/>
      <c r="AH756" s="83"/>
      <c r="AI756" s="83"/>
      <c r="AJ756" s="83"/>
      <c r="AK756" s="83"/>
      <c r="AL756" s="83"/>
      <c r="AM756" s="83"/>
      <c r="AN756" s="83"/>
      <c r="AO756" s="83"/>
      <c r="AP756" s="94"/>
      <c r="AQ756" s="94"/>
    </row>
    <row r="757" ht="15.75" customHeight="1">
      <c r="A757" s="83"/>
      <c r="B757" s="83"/>
      <c r="C757" s="83"/>
      <c r="D757" s="83"/>
      <c r="E757" s="83"/>
      <c r="F757" s="83"/>
      <c r="G757" s="83"/>
      <c r="H757" s="83"/>
      <c r="I757" s="94"/>
      <c r="J757" s="83"/>
      <c r="K757" s="83"/>
      <c r="L757" s="94"/>
      <c r="M757" s="83"/>
      <c r="N757" s="94"/>
      <c r="O757" s="83"/>
      <c r="P757" s="492"/>
      <c r="Q757" s="83"/>
      <c r="R757" s="83"/>
      <c r="S757" s="83"/>
      <c r="T757" s="83"/>
      <c r="U757" s="83"/>
      <c r="V757" s="83"/>
      <c r="W757" s="94"/>
      <c r="X757" s="94"/>
      <c r="Y757" s="94"/>
      <c r="Z757" s="83"/>
      <c r="AA757" s="83"/>
      <c r="AB757" s="83"/>
      <c r="AC757" s="83"/>
      <c r="AD757" s="83"/>
      <c r="AE757" s="83"/>
      <c r="AF757" s="83"/>
      <c r="AG757" s="83"/>
      <c r="AH757" s="83"/>
      <c r="AI757" s="83"/>
      <c r="AJ757" s="83"/>
      <c r="AK757" s="83"/>
      <c r="AL757" s="83"/>
      <c r="AM757" s="83"/>
      <c r="AN757" s="83"/>
      <c r="AO757" s="83"/>
      <c r="AP757" s="94"/>
      <c r="AQ757" s="94"/>
    </row>
    <row r="758" ht="15.75" customHeight="1">
      <c r="A758" s="83"/>
      <c r="B758" s="83"/>
      <c r="C758" s="83"/>
      <c r="D758" s="83"/>
      <c r="E758" s="83"/>
      <c r="F758" s="83"/>
      <c r="G758" s="83"/>
      <c r="H758" s="83"/>
      <c r="I758" s="94"/>
      <c r="J758" s="83"/>
      <c r="K758" s="83"/>
      <c r="L758" s="94"/>
      <c r="M758" s="83"/>
      <c r="N758" s="94"/>
      <c r="O758" s="83"/>
      <c r="P758" s="492"/>
      <c r="Q758" s="83"/>
      <c r="R758" s="83"/>
      <c r="S758" s="83"/>
      <c r="T758" s="83"/>
      <c r="U758" s="83"/>
      <c r="V758" s="83"/>
      <c r="W758" s="94"/>
      <c r="X758" s="94"/>
      <c r="Y758" s="94"/>
      <c r="Z758" s="83"/>
      <c r="AA758" s="83"/>
      <c r="AB758" s="83"/>
      <c r="AC758" s="83"/>
      <c r="AD758" s="83"/>
      <c r="AE758" s="83"/>
      <c r="AF758" s="83"/>
      <c r="AG758" s="83"/>
      <c r="AH758" s="83"/>
      <c r="AI758" s="83"/>
      <c r="AJ758" s="83"/>
      <c r="AK758" s="83"/>
      <c r="AL758" s="83"/>
      <c r="AM758" s="83"/>
      <c r="AN758" s="83"/>
      <c r="AO758" s="83"/>
      <c r="AP758" s="94"/>
      <c r="AQ758" s="94"/>
    </row>
    <row r="759" ht="15.75" customHeight="1">
      <c r="A759" s="83"/>
      <c r="B759" s="83"/>
      <c r="C759" s="83"/>
      <c r="D759" s="83"/>
      <c r="E759" s="83"/>
      <c r="F759" s="83"/>
      <c r="G759" s="83"/>
      <c r="H759" s="83"/>
      <c r="I759" s="94"/>
      <c r="J759" s="83"/>
      <c r="K759" s="83"/>
      <c r="L759" s="94"/>
      <c r="M759" s="83"/>
      <c r="N759" s="94"/>
      <c r="O759" s="83"/>
      <c r="P759" s="492"/>
      <c r="Q759" s="83"/>
      <c r="R759" s="83"/>
      <c r="S759" s="83"/>
      <c r="T759" s="83"/>
      <c r="U759" s="83"/>
      <c r="V759" s="83"/>
      <c r="W759" s="94"/>
      <c r="X759" s="94"/>
      <c r="Y759" s="94"/>
      <c r="Z759" s="83"/>
      <c r="AA759" s="83"/>
      <c r="AB759" s="83"/>
      <c r="AC759" s="83"/>
      <c r="AD759" s="83"/>
      <c r="AE759" s="83"/>
      <c r="AF759" s="83"/>
      <c r="AG759" s="83"/>
      <c r="AH759" s="83"/>
      <c r="AI759" s="83"/>
      <c r="AJ759" s="83"/>
      <c r="AK759" s="83"/>
      <c r="AL759" s="83"/>
      <c r="AM759" s="83"/>
      <c r="AN759" s="83"/>
      <c r="AO759" s="83"/>
      <c r="AP759" s="94"/>
      <c r="AQ759" s="94"/>
    </row>
    <row r="760" ht="15.75" customHeight="1">
      <c r="A760" s="83"/>
      <c r="B760" s="83"/>
      <c r="C760" s="83"/>
      <c r="D760" s="83"/>
      <c r="E760" s="83"/>
      <c r="F760" s="83"/>
      <c r="G760" s="83"/>
      <c r="H760" s="83"/>
      <c r="I760" s="94"/>
      <c r="J760" s="83"/>
      <c r="K760" s="83"/>
      <c r="L760" s="94"/>
      <c r="M760" s="83"/>
      <c r="N760" s="94"/>
      <c r="O760" s="83"/>
      <c r="P760" s="492"/>
      <c r="Q760" s="83"/>
      <c r="R760" s="83"/>
      <c r="S760" s="83"/>
      <c r="T760" s="83"/>
      <c r="U760" s="83"/>
      <c r="V760" s="83"/>
      <c r="W760" s="94"/>
      <c r="X760" s="94"/>
      <c r="Y760" s="94"/>
      <c r="Z760" s="83"/>
      <c r="AA760" s="83"/>
      <c r="AB760" s="83"/>
      <c r="AC760" s="83"/>
      <c r="AD760" s="83"/>
      <c r="AE760" s="83"/>
      <c r="AF760" s="83"/>
      <c r="AG760" s="83"/>
      <c r="AH760" s="83"/>
      <c r="AI760" s="83"/>
      <c r="AJ760" s="83"/>
      <c r="AK760" s="83"/>
      <c r="AL760" s="83"/>
      <c r="AM760" s="83"/>
      <c r="AN760" s="83"/>
      <c r="AO760" s="83"/>
      <c r="AP760" s="94"/>
      <c r="AQ760" s="94"/>
    </row>
    <row r="761" ht="15.75" customHeight="1">
      <c r="A761" s="83"/>
      <c r="B761" s="83"/>
      <c r="C761" s="83"/>
      <c r="D761" s="83"/>
      <c r="E761" s="83"/>
      <c r="F761" s="83"/>
      <c r="G761" s="83"/>
      <c r="H761" s="83"/>
      <c r="I761" s="94"/>
      <c r="J761" s="83"/>
      <c r="K761" s="83"/>
      <c r="L761" s="94"/>
      <c r="M761" s="83"/>
      <c r="N761" s="94"/>
      <c r="O761" s="83"/>
      <c r="P761" s="492"/>
      <c r="Q761" s="83"/>
      <c r="R761" s="83"/>
      <c r="S761" s="83"/>
      <c r="T761" s="83"/>
      <c r="U761" s="83"/>
      <c r="V761" s="83"/>
      <c r="W761" s="94"/>
      <c r="X761" s="94"/>
      <c r="Y761" s="94"/>
      <c r="Z761" s="83"/>
      <c r="AA761" s="83"/>
      <c r="AB761" s="83"/>
      <c r="AC761" s="83"/>
      <c r="AD761" s="83"/>
      <c r="AE761" s="83"/>
      <c r="AF761" s="83"/>
      <c r="AG761" s="83"/>
      <c r="AH761" s="83"/>
      <c r="AI761" s="83"/>
      <c r="AJ761" s="83"/>
      <c r="AK761" s="83"/>
      <c r="AL761" s="83"/>
      <c r="AM761" s="83"/>
      <c r="AN761" s="83"/>
      <c r="AO761" s="83"/>
      <c r="AP761" s="94"/>
      <c r="AQ761" s="94"/>
    </row>
    <row r="762" ht="15.75" customHeight="1">
      <c r="A762" s="83"/>
      <c r="B762" s="83"/>
      <c r="C762" s="83"/>
      <c r="D762" s="83"/>
      <c r="E762" s="83"/>
      <c r="F762" s="83"/>
      <c r="G762" s="83"/>
      <c r="H762" s="83"/>
      <c r="I762" s="94"/>
      <c r="J762" s="83"/>
      <c r="K762" s="83"/>
      <c r="L762" s="94"/>
      <c r="M762" s="83"/>
      <c r="N762" s="94"/>
      <c r="O762" s="83"/>
      <c r="P762" s="492"/>
      <c r="Q762" s="83"/>
      <c r="R762" s="83"/>
      <c r="S762" s="83"/>
      <c r="T762" s="83"/>
      <c r="U762" s="83"/>
      <c r="V762" s="83"/>
      <c r="W762" s="94"/>
      <c r="X762" s="94"/>
      <c r="Y762" s="94"/>
      <c r="Z762" s="83"/>
      <c r="AA762" s="83"/>
      <c r="AB762" s="83"/>
      <c r="AC762" s="83"/>
      <c r="AD762" s="83"/>
      <c r="AE762" s="83"/>
      <c r="AF762" s="83"/>
      <c r="AG762" s="83"/>
      <c r="AH762" s="83"/>
      <c r="AI762" s="83"/>
      <c r="AJ762" s="83"/>
      <c r="AK762" s="83"/>
      <c r="AL762" s="83"/>
      <c r="AM762" s="83"/>
      <c r="AN762" s="83"/>
      <c r="AO762" s="83"/>
      <c r="AP762" s="94"/>
      <c r="AQ762" s="94"/>
    </row>
    <row r="763" ht="15.75" customHeight="1">
      <c r="A763" s="83"/>
      <c r="B763" s="83"/>
      <c r="C763" s="83"/>
      <c r="D763" s="83"/>
      <c r="E763" s="83"/>
      <c r="F763" s="83"/>
      <c r="G763" s="83"/>
      <c r="H763" s="83"/>
      <c r="I763" s="94"/>
      <c r="J763" s="83"/>
      <c r="K763" s="83"/>
      <c r="L763" s="94"/>
      <c r="M763" s="83"/>
      <c r="N763" s="94"/>
      <c r="O763" s="83"/>
      <c r="P763" s="492"/>
      <c r="Q763" s="83"/>
      <c r="R763" s="83"/>
      <c r="S763" s="83"/>
      <c r="T763" s="83"/>
      <c r="U763" s="83"/>
      <c r="V763" s="83"/>
      <c r="W763" s="94"/>
      <c r="X763" s="94"/>
      <c r="Y763" s="94"/>
      <c r="Z763" s="83"/>
      <c r="AA763" s="83"/>
      <c r="AB763" s="83"/>
      <c r="AC763" s="83"/>
      <c r="AD763" s="83"/>
      <c r="AE763" s="83"/>
      <c r="AF763" s="83"/>
      <c r="AG763" s="83"/>
      <c r="AH763" s="83"/>
      <c r="AI763" s="83"/>
      <c r="AJ763" s="83"/>
      <c r="AK763" s="83"/>
      <c r="AL763" s="83"/>
      <c r="AM763" s="83"/>
      <c r="AN763" s="83"/>
      <c r="AO763" s="83"/>
      <c r="AP763" s="94"/>
      <c r="AQ763" s="94"/>
    </row>
    <row r="764" ht="15.75" customHeight="1">
      <c r="A764" s="83"/>
      <c r="B764" s="83"/>
      <c r="C764" s="83"/>
      <c r="D764" s="83"/>
      <c r="E764" s="83"/>
      <c r="F764" s="83"/>
      <c r="G764" s="83"/>
      <c r="H764" s="83"/>
      <c r="I764" s="94"/>
      <c r="J764" s="83"/>
      <c r="K764" s="83"/>
      <c r="L764" s="94"/>
      <c r="M764" s="83"/>
      <c r="N764" s="94"/>
      <c r="O764" s="83"/>
      <c r="P764" s="492"/>
      <c r="Q764" s="83"/>
      <c r="R764" s="83"/>
      <c r="S764" s="83"/>
      <c r="T764" s="83"/>
      <c r="U764" s="83"/>
      <c r="V764" s="83"/>
      <c r="W764" s="94"/>
      <c r="X764" s="94"/>
      <c r="Y764" s="94"/>
      <c r="Z764" s="83"/>
      <c r="AA764" s="83"/>
      <c r="AB764" s="83"/>
      <c r="AC764" s="83"/>
      <c r="AD764" s="83"/>
      <c r="AE764" s="83"/>
      <c r="AF764" s="83"/>
      <c r="AG764" s="83"/>
      <c r="AH764" s="83"/>
      <c r="AI764" s="83"/>
      <c r="AJ764" s="83"/>
      <c r="AK764" s="83"/>
      <c r="AL764" s="83"/>
      <c r="AM764" s="83"/>
      <c r="AN764" s="83"/>
      <c r="AO764" s="83"/>
      <c r="AP764" s="94"/>
      <c r="AQ764" s="94"/>
    </row>
    <row r="765" ht="15.75" customHeight="1">
      <c r="A765" s="83"/>
      <c r="B765" s="83"/>
      <c r="C765" s="83"/>
      <c r="D765" s="83"/>
      <c r="E765" s="83"/>
      <c r="F765" s="83"/>
      <c r="G765" s="83"/>
      <c r="H765" s="83"/>
      <c r="I765" s="94"/>
      <c r="J765" s="83"/>
      <c r="K765" s="83"/>
      <c r="L765" s="94"/>
      <c r="M765" s="83"/>
      <c r="N765" s="94"/>
      <c r="O765" s="83"/>
      <c r="P765" s="492"/>
      <c r="Q765" s="83"/>
      <c r="R765" s="83"/>
      <c r="S765" s="83"/>
      <c r="T765" s="83"/>
      <c r="U765" s="83"/>
      <c r="V765" s="83"/>
      <c r="W765" s="94"/>
      <c r="X765" s="94"/>
      <c r="Y765" s="94"/>
      <c r="Z765" s="83"/>
      <c r="AA765" s="83"/>
      <c r="AB765" s="83"/>
      <c r="AC765" s="83"/>
      <c r="AD765" s="83"/>
      <c r="AE765" s="83"/>
      <c r="AF765" s="83"/>
      <c r="AG765" s="83"/>
      <c r="AH765" s="83"/>
      <c r="AI765" s="83"/>
      <c r="AJ765" s="83"/>
      <c r="AK765" s="83"/>
      <c r="AL765" s="83"/>
      <c r="AM765" s="83"/>
      <c r="AN765" s="83"/>
      <c r="AO765" s="83"/>
      <c r="AP765" s="94"/>
      <c r="AQ765" s="94"/>
    </row>
    <row r="766" ht="15.75" customHeight="1">
      <c r="A766" s="83"/>
      <c r="B766" s="83"/>
      <c r="C766" s="83"/>
      <c r="D766" s="83"/>
      <c r="E766" s="83"/>
      <c r="F766" s="83"/>
      <c r="G766" s="83"/>
      <c r="H766" s="83"/>
      <c r="I766" s="94"/>
      <c r="J766" s="83"/>
      <c r="K766" s="83"/>
      <c r="L766" s="94"/>
      <c r="M766" s="83"/>
      <c r="N766" s="94"/>
      <c r="O766" s="83"/>
      <c r="P766" s="492"/>
      <c r="Q766" s="83"/>
      <c r="R766" s="83"/>
      <c r="S766" s="83"/>
      <c r="T766" s="83"/>
      <c r="U766" s="83"/>
      <c r="V766" s="83"/>
      <c r="W766" s="94"/>
      <c r="X766" s="94"/>
      <c r="Y766" s="94"/>
      <c r="Z766" s="83"/>
      <c r="AA766" s="83"/>
      <c r="AB766" s="83"/>
      <c r="AC766" s="83"/>
      <c r="AD766" s="83"/>
      <c r="AE766" s="83"/>
      <c r="AF766" s="83"/>
      <c r="AG766" s="83"/>
      <c r="AH766" s="83"/>
      <c r="AI766" s="83"/>
      <c r="AJ766" s="83"/>
      <c r="AK766" s="83"/>
      <c r="AL766" s="83"/>
      <c r="AM766" s="83"/>
      <c r="AN766" s="83"/>
      <c r="AO766" s="83"/>
      <c r="AP766" s="94"/>
      <c r="AQ766" s="94"/>
    </row>
    <row r="767" ht="15.75" customHeight="1">
      <c r="A767" s="83"/>
      <c r="B767" s="83"/>
      <c r="C767" s="83"/>
      <c r="D767" s="83"/>
      <c r="E767" s="83"/>
      <c r="F767" s="83"/>
      <c r="G767" s="83"/>
      <c r="H767" s="83"/>
      <c r="I767" s="94"/>
      <c r="J767" s="83"/>
      <c r="K767" s="83"/>
      <c r="L767" s="94"/>
      <c r="M767" s="83"/>
      <c r="N767" s="94"/>
      <c r="O767" s="83"/>
      <c r="P767" s="492"/>
      <c r="Q767" s="83"/>
      <c r="R767" s="83"/>
      <c r="S767" s="83"/>
      <c r="T767" s="83"/>
      <c r="U767" s="83"/>
      <c r="V767" s="83"/>
      <c r="W767" s="94"/>
      <c r="X767" s="94"/>
      <c r="Y767" s="94"/>
      <c r="Z767" s="83"/>
      <c r="AA767" s="83"/>
      <c r="AB767" s="83"/>
      <c r="AC767" s="83"/>
      <c r="AD767" s="83"/>
      <c r="AE767" s="83"/>
      <c r="AF767" s="83"/>
      <c r="AG767" s="83"/>
      <c r="AH767" s="83"/>
      <c r="AI767" s="83"/>
      <c r="AJ767" s="83"/>
      <c r="AK767" s="83"/>
      <c r="AL767" s="83"/>
      <c r="AM767" s="83"/>
      <c r="AN767" s="83"/>
      <c r="AO767" s="83"/>
      <c r="AP767" s="94"/>
      <c r="AQ767" s="94"/>
    </row>
    <row r="768" ht="15.75" customHeight="1">
      <c r="A768" s="83"/>
      <c r="B768" s="83"/>
      <c r="C768" s="83"/>
      <c r="D768" s="83"/>
      <c r="E768" s="83"/>
      <c r="F768" s="83"/>
      <c r="G768" s="83"/>
      <c r="H768" s="83"/>
      <c r="I768" s="94"/>
      <c r="J768" s="83"/>
      <c r="K768" s="83"/>
      <c r="L768" s="94"/>
      <c r="M768" s="83"/>
      <c r="N768" s="94"/>
      <c r="O768" s="83"/>
      <c r="P768" s="492"/>
      <c r="Q768" s="83"/>
      <c r="R768" s="83"/>
      <c r="S768" s="83"/>
      <c r="T768" s="83"/>
      <c r="U768" s="83"/>
      <c r="V768" s="83"/>
      <c r="W768" s="94"/>
      <c r="X768" s="94"/>
      <c r="Y768" s="94"/>
      <c r="Z768" s="83"/>
      <c r="AA768" s="83"/>
      <c r="AB768" s="83"/>
      <c r="AC768" s="83"/>
      <c r="AD768" s="83"/>
      <c r="AE768" s="83"/>
      <c r="AF768" s="83"/>
      <c r="AG768" s="83"/>
      <c r="AH768" s="83"/>
      <c r="AI768" s="83"/>
      <c r="AJ768" s="83"/>
      <c r="AK768" s="83"/>
      <c r="AL768" s="83"/>
      <c r="AM768" s="83"/>
      <c r="AN768" s="83"/>
      <c r="AO768" s="83"/>
      <c r="AP768" s="94"/>
      <c r="AQ768" s="94"/>
    </row>
    <row r="769" ht="15.75" customHeight="1">
      <c r="A769" s="83"/>
      <c r="B769" s="83"/>
      <c r="C769" s="83"/>
      <c r="D769" s="83"/>
      <c r="E769" s="83"/>
      <c r="F769" s="83"/>
      <c r="G769" s="83"/>
      <c r="H769" s="83"/>
      <c r="I769" s="94"/>
      <c r="J769" s="83"/>
      <c r="K769" s="83"/>
      <c r="L769" s="94"/>
      <c r="M769" s="83"/>
      <c r="N769" s="94"/>
      <c r="O769" s="83"/>
      <c r="P769" s="492"/>
      <c r="Q769" s="83"/>
      <c r="R769" s="83"/>
      <c r="S769" s="83"/>
      <c r="T769" s="83"/>
      <c r="U769" s="83"/>
      <c r="V769" s="83"/>
      <c r="W769" s="94"/>
      <c r="X769" s="94"/>
      <c r="Y769" s="94"/>
      <c r="Z769" s="83"/>
      <c r="AA769" s="83"/>
      <c r="AB769" s="83"/>
      <c r="AC769" s="83"/>
      <c r="AD769" s="83"/>
      <c r="AE769" s="83"/>
      <c r="AF769" s="83"/>
      <c r="AG769" s="83"/>
      <c r="AH769" s="83"/>
      <c r="AI769" s="83"/>
      <c r="AJ769" s="83"/>
      <c r="AK769" s="83"/>
      <c r="AL769" s="83"/>
      <c r="AM769" s="83"/>
      <c r="AN769" s="83"/>
      <c r="AO769" s="83"/>
      <c r="AP769" s="94"/>
      <c r="AQ769" s="94"/>
    </row>
    <row r="770" ht="15.75" customHeight="1">
      <c r="A770" s="83"/>
      <c r="B770" s="83"/>
      <c r="C770" s="83"/>
      <c r="D770" s="83"/>
      <c r="E770" s="83"/>
      <c r="F770" s="83"/>
      <c r="G770" s="83"/>
      <c r="H770" s="83"/>
      <c r="I770" s="94"/>
      <c r="J770" s="83"/>
      <c r="K770" s="83"/>
      <c r="L770" s="94"/>
      <c r="M770" s="83"/>
      <c r="N770" s="94"/>
      <c r="O770" s="83"/>
      <c r="P770" s="492"/>
      <c r="Q770" s="83"/>
      <c r="R770" s="83"/>
      <c r="S770" s="83"/>
      <c r="T770" s="83"/>
      <c r="U770" s="83"/>
      <c r="V770" s="83"/>
      <c r="W770" s="94"/>
      <c r="X770" s="94"/>
      <c r="Y770" s="94"/>
      <c r="Z770" s="83"/>
      <c r="AA770" s="83"/>
      <c r="AB770" s="83"/>
      <c r="AC770" s="83"/>
      <c r="AD770" s="83"/>
      <c r="AE770" s="83"/>
      <c r="AF770" s="83"/>
      <c r="AG770" s="83"/>
      <c r="AH770" s="83"/>
      <c r="AI770" s="83"/>
      <c r="AJ770" s="83"/>
      <c r="AK770" s="83"/>
      <c r="AL770" s="83"/>
      <c r="AM770" s="83"/>
      <c r="AN770" s="83"/>
      <c r="AO770" s="83"/>
      <c r="AP770" s="94"/>
      <c r="AQ770" s="94"/>
    </row>
    <row r="771" ht="15.75" customHeight="1">
      <c r="A771" s="83"/>
      <c r="B771" s="83"/>
      <c r="C771" s="83"/>
      <c r="D771" s="83"/>
      <c r="E771" s="83"/>
      <c r="F771" s="83"/>
      <c r="G771" s="83"/>
      <c r="H771" s="83"/>
      <c r="I771" s="94"/>
      <c r="J771" s="83"/>
      <c r="K771" s="83"/>
      <c r="L771" s="94"/>
      <c r="M771" s="83"/>
      <c r="N771" s="94"/>
      <c r="O771" s="83"/>
      <c r="P771" s="492"/>
      <c r="Q771" s="83"/>
      <c r="R771" s="83"/>
      <c r="S771" s="83"/>
      <c r="T771" s="83"/>
      <c r="U771" s="83"/>
      <c r="V771" s="83"/>
      <c r="W771" s="94"/>
      <c r="X771" s="94"/>
      <c r="Y771" s="94"/>
      <c r="Z771" s="83"/>
      <c r="AA771" s="83"/>
      <c r="AB771" s="83"/>
      <c r="AC771" s="83"/>
      <c r="AD771" s="83"/>
      <c r="AE771" s="83"/>
      <c r="AF771" s="83"/>
      <c r="AG771" s="83"/>
      <c r="AH771" s="83"/>
      <c r="AI771" s="83"/>
      <c r="AJ771" s="83"/>
      <c r="AK771" s="83"/>
      <c r="AL771" s="83"/>
      <c r="AM771" s="83"/>
      <c r="AN771" s="83"/>
      <c r="AO771" s="83"/>
      <c r="AP771" s="94"/>
      <c r="AQ771" s="94"/>
    </row>
    <row r="772" ht="15.75" customHeight="1">
      <c r="A772" s="83"/>
      <c r="B772" s="83"/>
      <c r="C772" s="83"/>
      <c r="D772" s="83"/>
      <c r="E772" s="83"/>
      <c r="F772" s="83"/>
      <c r="G772" s="83"/>
      <c r="H772" s="83"/>
      <c r="I772" s="94"/>
      <c r="J772" s="83"/>
      <c r="K772" s="83"/>
      <c r="L772" s="94"/>
      <c r="M772" s="83"/>
      <c r="N772" s="94"/>
      <c r="O772" s="83"/>
      <c r="P772" s="492"/>
      <c r="Q772" s="83"/>
      <c r="R772" s="83"/>
      <c r="S772" s="83"/>
      <c r="T772" s="83"/>
      <c r="U772" s="83"/>
      <c r="V772" s="83"/>
      <c r="W772" s="94"/>
      <c r="X772" s="94"/>
      <c r="Y772" s="94"/>
      <c r="Z772" s="83"/>
      <c r="AA772" s="83"/>
      <c r="AB772" s="83"/>
      <c r="AC772" s="83"/>
      <c r="AD772" s="83"/>
      <c r="AE772" s="83"/>
      <c r="AF772" s="83"/>
      <c r="AG772" s="83"/>
      <c r="AH772" s="83"/>
      <c r="AI772" s="83"/>
      <c r="AJ772" s="83"/>
      <c r="AK772" s="83"/>
      <c r="AL772" s="83"/>
      <c r="AM772" s="83"/>
      <c r="AN772" s="83"/>
      <c r="AO772" s="83"/>
      <c r="AP772" s="94"/>
      <c r="AQ772" s="94"/>
    </row>
    <row r="773" ht="15.75" customHeight="1">
      <c r="A773" s="83"/>
      <c r="B773" s="83"/>
      <c r="C773" s="83"/>
      <c r="D773" s="83"/>
      <c r="E773" s="83"/>
      <c r="F773" s="83"/>
      <c r="G773" s="83"/>
      <c r="H773" s="83"/>
      <c r="I773" s="94"/>
      <c r="J773" s="83"/>
      <c r="K773" s="83"/>
      <c r="L773" s="94"/>
      <c r="M773" s="83"/>
      <c r="N773" s="94"/>
      <c r="O773" s="83"/>
      <c r="P773" s="492"/>
      <c r="Q773" s="83"/>
      <c r="R773" s="83"/>
      <c r="S773" s="83"/>
      <c r="T773" s="83"/>
      <c r="U773" s="83"/>
      <c r="V773" s="83"/>
      <c r="W773" s="94"/>
      <c r="X773" s="94"/>
      <c r="Y773" s="94"/>
      <c r="Z773" s="83"/>
      <c r="AA773" s="83"/>
      <c r="AB773" s="83"/>
      <c r="AC773" s="83"/>
      <c r="AD773" s="83"/>
      <c r="AE773" s="83"/>
      <c r="AF773" s="83"/>
      <c r="AG773" s="83"/>
      <c r="AH773" s="83"/>
      <c r="AI773" s="83"/>
      <c r="AJ773" s="83"/>
      <c r="AK773" s="83"/>
      <c r="AL773" s="83"/>
      <c r="AM773" s="83"/>
      <c r="AN773" s="83"/>
      <c r="AO773" s="83"/>
      <c r="AP773" s="94"/>
      <c r="AQ773" s="94"/>
    </row>
    <row r="774" ht="15.75" customHeight="1">
      <c r="A774" s="83"/>
      <c r="B774" s="83"/>
      <c r="C774" s="83"/>
      <c r="D774" s="83"/>
      <c r="E774" s="83"/>
      <c r="F774" s="83"/>
      <c r="G774" s="83"/>
      <c r="H774" s="83"/>
      <c r="I774" s="94"/>
      <c r="J774" s="83"/>
      <c r="K774" s="83"/>
      <c r="L774" s="94"/>
      <c r="M774" s="83"/>
      <c r="N774" s="94"/>
      <c r="O774" s="83"/>
      <c r="P774" s="492"/>
      <c r="Q774" s="83"/>
      <c r="R774" s="83"/>
      <c r="S774" s="83"/>
      <c r="T774" s="83"/>
      <c r="U774" s="83"/>
      <c r="V774" s="83"/>
      <c r="W774" s="94"/>
      <c r="X774" s="94"/>
      <c r="Y774" s="94"/>
      <c r="Z774" s="83"/>
      <c r="AA774" s="83"/>
      <c r="AB774" s="83"/>
      <c r="AC774" s="83"/>
      <c r="AD774" s="83"/>
      <c r="AE774" s="83"/>
      <c r="AF774" s="83"/>
      <c r="AG774" s="83"/>
      <c r="AH774" s="83"/>
      <c r="AI774" s="83"/>
      <c r="AJ774" s="83"/>
      <c r="AK774" s="83"/>
      <c r="AL774" s="83"/>
      <c r="AM774" s="83"/>
      <c r="AN774" s="83"/>
      <c r="AO774" s="83"/>
      <c r="AP774" s="94"/>
      <c r="AQ774" s="94"/>
    </row>
    <row r="775" ht="15.75" customHeight="1">
      <c r="A775" s="83"/>
      <c r="B775" s="83"/>
      <c r="C775" s="83"/>
      <c r="D775" s="83"/>
      <c r="E775" s="83"/>
      <c r="F775" s="83"/>
      <c r="G775" s="83"/>
      <c r="H775" s="83"/>
      <c r="I775" s="94"/>
      <c r="J775" s="83"/>
      <c r="K775" s="83"/>
      <c r="L775" s="94"/>
      <c r="M775" s="83"/>
      <c r="N775" s="94"/>
      <c r="O775" s="83"/>
      <c r="P775" s="492"/>
      <c r="Q775" s="83"/>
      <c r="R775" s="83"/>
      <c r="S775" s="83"/>
      <c r="T775" s="83"/>
      <c r="U775" s="83"/>
      <c r="V775" s="83"/>
      <c r="W775" s="94"/>
      <c r="X775" s="94"/>
      <c r="Y775" s="94"/>
      <c r="Z775" s="83"/>
      <c r="AA775" s="83"/>
      <c r="AB775" s="83"/>
      <c r="AC775" s="83"/>
      <c r="AD775" s="83"/>
      <c r="AE775" s="83"/>
      <c r="AF775" s="83"/>
      <c r="AG775" s="83"/>
      <c r="AH775" s="83"/>
      <c r="AI775" s="83"/>
      <c r="AJ775" s="83"/>
      <c r="AK775" s="83"/>
      <c r="AL775" s="83"/>
      <c r="AM775" s="83"/>
      <c r="AN775" s="83"/>
      <c r="AO775" s="83"/>
      <c r="AP775" s="94"/>
      <c r="AQ775" s="94"/>
    </row>
    <row r="776" ht="15.75" customHeight="1">
      <c r="A776" s="83"/>
      <c r="B776" s="83"/>
      <c r="C776" s="83"/>
      <c r="D776" s="83"/>
      <c r="E776" s="83"/>
      <c r="F776" s="83"/>
      <c r="G776" s="83"/>
      <c r="H776" s="83"/>
      <c r="I776" s="94"/>
      <c r="J776" s="83"/>
      <c r="K776" s="83"/>
      <c r="L776" s="94"/>
      <c r="M776" s="83"/>
      <c r="N776" s="94"/>
      <c r="O776" s="83"/>
      <c r="P776" s="492"/>
      <c r="Q776" s="83"/>
      <c r="R776" s="83"/>
      <c r="S776" s="83"/>
      <c r="T776" s="83"/>
      <c r="U776" s="83"/>
      <c r="V776" s="83"/>
      <c r="W776" s="94"/>
      <c r="X776" s="94"/>
      <c r="Y776" s="94"/>
      <c r="Z776" s="83"/>
      <c r="AA776" s="83"/>
      <c r="AB776" s="83"/>
      <c r="AC776" s="83"/>
      <c r="AD776" s="83"/>
      <c r="AE776" s="83"/>
      <c r="AF776" s="83"/>
      <c r="AG776" s="83"/>
      <c r="AH776" s="83"/>
      <c r="AI776" s="83"/>
      <c r="AJ776" s="83"/>
      <c r="AK776" s="83"/>
      <c r="AL776" s="83"/>
      <c r="AM776" s="83"/>
      <c r="AN776" s="83"/>
      <c r="AO776" s="83"/>
      <c r="AP776" s="94"/>
      <c r="AQ776" s="94"/>
    </row>
    <row r="777" ht="15.75" customHeight="1">
      <c r="A777" s="83"/>
      <c r="B777" s="83"/>
      <c r="C777" s="83"/>
      <c r="D777" s="83"/>
      <c r="E777" s="83"/>
      <c r="F777" s="83"/>
      <c r="G777" s="83"/>
      <c r="H777" s="83"/>
      <c r="I777" s="94"/>
      <c r="J777" s="83"/>
      <c r="K777" s="83"/>
      <c r="L777" s="94"/>
      <c r="M777" s="83"/>
      <c r="N777" s="94"/>
      <c r="O777" s="83"/>
      <c r="P777" s="492"/>
      <c r="Q777" s="83"/>
      <c r="R777" s="83"/>
      <c r="S777" s="83"/>
      <c r="T777" s="83"/>
      <c r="U777" s="83"/>
      <c r="V777" s="83"/>
      <c r="W777" s="94"/>
      <c r="X777" s="94"/>
      <c r="Y777" s="94"/>
      <c r="Z777" s="83"/>
      <c r="AA777" s="83"/>
      <c r="AB777" s="83"/>
      <c r="AC777" s="83"/>
      <c r="AD777" s="83"/>
      <c r="AE777" s="83"/>
      <c r="AF777" s="83"/>
      <c r="AG777" s="83"/>
      <c r="AH777" s="83"/>
      <c r="AI777" s="83"/>
      <c r="AJ777" s="83"/>
      <c r="AK777" s="83"/>
      <c r="AL777" s="83"/>
      <c r="AM777" s="83"/>
      <c r="AN777" s="83"/>
      <c r="AO777" s="83"/>
      <c r="AP777" s="94"/>
      <c r="AQ777" s="94"/>
    </row>
    <row r="778" ht="15.75" customHeight="1">
      <c r="A778" s="83"/>
      <c r="B778" s="83"/>
      <c r="C778" s="83"/>
      <c r="D778" s="83"/>
      <c r="E778" s="83"/>
      <c r="F778" s="83"/>
      <c r="G778" s="83"/>
      <c r="H778" s="83"/>
      <c r="I778" s="94"/>
      <c r="J778" s="83"/>
      <c r="K778" s="83"/>
      <c r="L778" s="94"/>
      <c r="M778" s="83"/>
      <c r="N778" s="94"/>
      <c r="O778" s="83"/>
      <c r="P778" s="492"/>
      <c r="Q778" s="83"/>
      <c r="R778" s="83"/>
      <c r="S778" s="83"/>
      <c r="T778" s="83"/>
      <c r="U778" s="83"/>
      <c r="V778" s="83"/>
      <c r="W778" s="94"/>
      <c r="X778" s="94"/>
      <c r="Y778" s="94"/>
      <c r="Z778" s="83"/>
      <c r="AA778" s="83"/>
      <c r="AB778" s="83"/>
      <c r="AC778" s="83"/>
      <c r="AD778" s="83"/>
      <c r="AE778" s="83"/>
      <c r="AF778" s="83"/>
      <c r="AG778" s="83"/>
      <c r="AH778" s="83"/>
      <c r="AI778" s="83"/>
      <c r="AJ778" s="83"/>
      <c r="AK778" s="83"/>
      <c r="AL778" s="83"/>
      <c r="AM778" s="83"/>
      <c r="AN778" s="83"/>
      <c r="AO778" s="83"/>
      <c r="AP778" s="94"/>
      <c r="AQ778" s="94"/>
    </row>
    <row r="779" ht="15.75" customHeight="1">
      <c r="A779" s="83"/>
      <c r="B779" s="83"/>
      <c r="C779" s="83"/>
      <c r="D779" s="83"/>
      <c r="E779" s="83"/>
      <c r="F779" s="83"/>
      <c r="G779" s="83"/>
      <c r="H779" s="83"/>
      <c r="I779" s="94"/>
      <c r="J779" s="83"/>
      <c r="K779" s="83"/>
      <c r="L779" s="94"/>
      <c r="M779" s="83"/>
      <c r="N779" s="94"/>
      <c r="O779" s="83"/>
      <c r="P779" s="492"/>
      <c r="Q779" s="83"/>
      <c r="R779" s="83"/>
      <c r="S779" s="83"/>
      <c r="T779" s="83"/>
      <c r="U779" s="83"/>
      <c r="V779" s="83"/>
      <c r="W779" s="94"/>
      <c r="X779" s="94"/>
      <c r="Y779" s="94"/>
      <c r="Z779" s="83"/>
      <c r="AA779" s="83"/>
      <c r="AB779" s="83"/>
      <c r="AC779" s="83"/>
      <c r="AD779" s="83"/>
      <c r="AE779" s="83"/>
      <c r="AF779" s="83"/>
      <c r="AG779" s="83"/>
      <c r="AH779" s="83"/>
      <c r="AI779" s="83"/>
      <c r="AJ779" s="83"/>
      <c r="AK779" s="83"/>
      <c r="AL779" s="83"/>
      <c r="AM779" s="83"/>
      <c r="AN779" s="83"/>
      <c r="AO779" s="83"/>
      <c r="AP779" s="94"/>
      <c r="AQ779" s="94"/>
    </row>
    <row r="780" ht="15.75" customHeight="1">
      <c r="A780" s="83"/>
      <c r="B780" s="83"/>
      <c r="C780" s="83"/>
      <c r="D780" s="83"/>
      <c r="E780" s="83"/>
      <c r="F780" s="83"/>
      <c r="G780" s="83"/>
      <c r="H780" s="83"/>
      <c r="I780" s="94"/>
      <c r="J780" s="83"/>
      <c r="K780" s="83"/>
      <c r="L780" s="94"/>
      <c r="M780" s="83"/>
      <c r="N780" s="94"/>
      <c r="O780" s="83"/>
      <c r="P780" s="492"/>
      <c r="Q780" s="83"/>
      <c r="R780" s="83"/>
      <c r="S780" s="83"/>
      <c r="T780" s="83"/>
      <c r="U780" s="83"/>
      <c r="V780" s="83"/>
      <c r="W780" s="94"/>
      <c r="X780" s="94"/>
      <c r="Y780" s="94"/>
      <c r="Z780" s="83"/>
      <c r="AA780" s="83"/>
      <c r="AB780" s="83"/>
      <c r="AC780" s="83"/>
      <c r="AD780" s="83"/>
      <c r="AE780" s="83"/>
      <c r="AF780" s="83"/>
      <c r="AG780" s="83"/>
      <c r="AH780" s="83"/>
      <c r="AI780" s="83"/>
      <c r="AJ780" s="83"/>
      <c r="AK780" s="83"/>
      <c r="AL780" s="83"/>
      <c r="AM780" s="83"/>
      <c r="AN780" s="83"/>
      <c r="AO780" s="83"/>
      <c r="AP780" s="94"/>
      <c r="AQ780" s="94"/>
    </row>
    <row r="781" ht="15.75" customHeight="1">
      <c r="A781" s="83"/>
      <c r="B781" s="83"/>
      <c r="C781" s="83"/>
      <c r="D781" s="83"/>
      <c r="E781" s="83"/>
      <c r="F781" s="83"/>
      <c r="G781" s="83"/>
      <c r="H781" s="83"/>
      <c r="I781" s="94"/>
      <c r="J781" s="83"/>
      <c r="K781" s="83"/>
      <c r="L781" s="94"/>
      <c r="M781" s="83"/>
      <c r="N781" s="94"/>
      <c r="O781" s="83"/>
      <c r="P781" s="492"/>
      <c r="Q781" s="83"/>
      <c r="R781" s="83"/>
      <c r="S781" s="83"/>
      <c r="T781" s="83"/>
      <c r="U781" s="83"/>
      <c r="V781" s="83"/>
      <c r="W781" s="94"/>
      <c r="X781" s="94"/>
      <c r="Y781" s="94"/>
      <c r="Z781" s="83"/>
      <c r="AA781" s="83"/>
      <c r="AB781" s="83"/>
      <c r="AC781" s="83"/>
      <c r="AD781" s="83"/>
      <c r="AE781" s="83"/>
      <c r="AF781" s="83"/>
      <c r="AG781" s="83"/>
      <c r="AH781" s="83"/>
      <c r="AI781" s="83"/>
      <c r="AJ781" s="83"/>
      <c r="AK781" s="83"/>
      <c r="AL781" s="83"/>
      <c r="AM781" s="83"/>
      <c r="AN781" s="83"/>
      <c r="AO781" s="83"/>
      <c r="AP781" s="94"/>
      <c r="AQ781" s="94"/>
    </row>
    <row r="782" ht="15.75" customHeight="1">
      <c r="A782" s="83"/>
      <c r="B782" s="83"/>
      <c r="C782" s="83"/>
      <c r="D782" s="83"/>
      <c r="E782" s="83"/>
      <c r="F782" s="83"/>
      <c r="G782" s="83"/>
      <c r="H782" s="83"/>
      <c r="I782" s="94"/>
      <c r="J782" s="83"/>
      <c r="K782" s="83"/>
      <c r="L782" s="94"/>
      <c r="M782" s="83"/>
      <c r="N782" s="94"/>
      <c r="O782" s="83"/>
      <c r="P782" s="492"/>
      <c r="Q782" s="83"/>
      <c r="R782" s="83"/>
      <c r="S782" s="83"/>
      <c r="T782" s="83"/>
      <c r="U782" s="83"/>
      <c r="V782" s="83"/>
      <c r="W782" s="94"/>
      <c r="X782" s="94"/>
      <c r="Y782" s="94"/>
      <c r="Z782" s="83"/>
      <c r="AA782" s="83"/>
      <c r="AB782" s="83"/>
      <c r="AC782" s="83"/>
      <c r="AD782" s="83"/>
      <c r="AE782" s="83"/>
      <c r="AF782" s="83"/>
      <c r="AG782" s="83"/>
      <c r="AH782" s="83"/>
      <c r="AI782" s="83"/>
      <c r="AJ782" s="83"/>
      <c r="AK782" s="83"/>
      <c r="AL782" s="83"/>
      <c r="AM782" s="83"/>
      <c r="AN782" s="83"/>
      <c r="AO782" s="83"/>
      <c r="AP782" s="94"/>
      <c r="AQ782" s="94"/>
    </row>
    <row r="783" ht="15.75" customHeight="1">
      <c r="A783" s="83"/>
      <c r="B783" s="83"/>
      <c r="C783" s="83"/>
      <c r="D783" s="83"/>
      <c r="E783" s="83"/>
      <c r="F783" s="83"/>
      <c r="G783" s="83"/>
      <c r="H783" s="83"/>
      <c r="I783" s="94"/>
      <c r="J783" s="83"/>
      <c r="K783" s="83"/>
      <c r="L783" s="94"/>
      <c r="M783" s="83"/>
      <c r="N783" s="94"/>
      <c r="O783" s="83"/>
      <c r="P783" s="492"/>
      <c r="Q783" s="83"/>
      <c r="R783" s="83"/>
      <c r="S783" s="83"/>
      <c r="T783" s="83"/>
      <c r="U783" s="83"/>
      <c r="V783" s="83"/>
      <c r="W783" s="94"/>
      <c r="X783" s="94"/>
      <c r="Y783" s="94"/>
      <c r="Z783" s="83"/>
      <c r="AA783" s="83"/>
      <c r="AB783" s="83"/>
      <c r="AC783" s="83"/>
      <c r="AD783" s="83"/>
      <c r="AE783" s="83"/>
      <c r="AF783" s="83"/>
      <c r="AG783" s="83"/>
      <c r="AH783" s="83"/>
      <c r="AI783" s="83"/>
      <c r="AJ783" s="83"/>
      <c r="AK783" s="83"/>
      <c r="AL783" s="83"/>
      <c r="AM783" s="83"/>
      <c r="AN783" s="83"/>
      <c r="AO783" s="83"/>
      <c r="AP783" s="94"/>
      <c r="AQ783" s="94"/>
    </row>
    <row r="784" ht="15.75" customHeight="1">
      <c r="A784" s="83"/>
      <c r="B784" s="83"/>
      <c r="C784" s="83"/>
      <c r="D784" s="83"/>
      <c r="E784" s="83"/>
      <c r="F784" s="83"/>
      <c r="G784" s="83"/>
      <c r="H784" s="83"/>
      <c r="I784" s="94"/>
      <c r="J784" s="83"/>
      <c r="K784" s="83"/>
      <c r="L784" s="94"/>
      <c r="M784" s="83"/>
      <c r="N784" s="94"/>
      <c r="O784" s="83"/>
      <c r="P784" s="492"/>
      <c r="Q784" s="83"/>
      <c r="R784" s="83"/>
      <c r="S784" s="83"/>
      <c r="T784" s="83"/>
      <c r="U784" s="83"/>
      <c r="V784" s="83"/>
      <c r="W784" s="94"/>
      <c r="X784" s="94"/>
      <c r="Y784" s="94"/>
      <c r="Z784" s="83"/>
      <c r="AA784" s="83"/>
      <c r="AB784" s="83"/>
      <c r="AC784" s="83"/>
      <c r="AD784" s="83"/>
      <c r="AE784" s="83"/>
      <c r="AF784" s="83"/>
      <c r="AG784" s="83"/>
      <c r="AH784" s="83"/>
      <c r="AI784" s="83"/>
      <c r="AJ784" s="83"/>
      <c r="AK784" s="83"/>
      <c r="AL784" s="83"/>
      <c r="AM784" s="83"/>
      <c r="AN784" s="83"/>
      <c r="AO784" s="83"/>
      <c r="AP784" s="94"/>
      <c r="AQ784" s="94"/>
    </row>
    <row r="785" ht="15.75" customHeight="1">
      <c r="A785" s="83"/>
      <c r="B785" s="83"/>
      <c r="C785" s="83"/>
      <c r="D785" s="83"/>
      <c r="E785" s="83"/>
      <c r="F785" s="83"/>
      <c r="G785" s="83"/>
      <c r="H785" s="83"/>
      <c r="I785" s="94"/>
      <c r="J785" s="83"/>
      <c r="K785" s="83"/>
      <c r="L785" s="94"/>
      <c r="M785" s="83"/>
      <c r="N785" s="94"/>
      <c r="O785" s="83"/>
      <c r="P785" s="492"/>
      <c r="Q785" s="83"/>
      <c r="R785" s="83"/>
      <c r="S785" s="83"/>
      <c r="T785" s="83"/>
      <c r="U785" s="83"/>
      <c r="V785" s="83"/>
      <c r="W785" s="94"/>
      <c r="X785" s="94"/>
      <c r="Y785" s="94"/>
      <c r="Z785" s="83"/>
      <c r="AA785" s="83"/>
      <c r="AB785" s="83"/>
      <c r="AC785" s="83"/>
      <c r="AD785" s="83"/>
      <c r="AE785" s="83"/>
      <c r="AF785" s="83"/>
      <c r="AG785" s="83"/>
      <c r="AH785" s="83"/>
      <c r="AI785" s="83"/>
      <c r="AJ785" s="83"/>
      <c r="AK785" s="83"/>
      <c r="AL785" s="83"/>
      <c r="AM785" s="83"/>
      <c r="AN785" s="83"/>
      <c r="AO785" s="83"/>
      <c r="AP785" s="94"/>
      <c r="AQ785" s="94"/>
    </row>
    <row r="786" ht="15.75" customHeight="1">
      <c r="A786" s="83"/>
      <c r="B786" s="83"/>
      <c r="C786" s="83"/>
      <c r="D786" s="83"/>
      <c r="E786" s="83"/>
      <c r="F786" s="83"/>
      <c r="G786" s="83"/>
      <c r="H786" s="83"/>
      <c r="I786" s="94"/>
      <c r="J786" s="83"/>
      <c r="K786" s="83"/>
      <c r="L786" s="94"/>
      <c r="M786" s="83"/>
      <c r="N786" s="94"/>
      <c r="O786" s="83"/>
      <c r="P786" s="492"/>
      <c r="Q786" s="83"/>
      <c r="R786" s="83"/>
      <c r="S786" s="83"/>
      <c r="T786" s="83"/>
      <c r="U786" s="83"/>
      <c r="V786" s="83"/>
      <c r="W786" s="94"/>
      <c r="X786" s="94"/>
      <c r="Y786" s="94"/>
      <c r="Z786" s="83"/>
      <c r="AA786" s="83"/>
      <c r="AB786" s="83"/>
      <c r="AC786" s="83"/>
      <c r="AD786" s="83"/>
      <c r="AE786" s="83"/>
      <c r="AF786" s="83"/>
      <c r="AG786" s="83"/>
      <c r="AH786" s="83"/>
      <c r="AI786" s="83"/>
      <c r="AJ786" s="83"/>
      <c r="AK786" s="83"/>
      <c r="AL786" s="83"/>
      <c r="AM786" s="83"/>
      <c r="AN786" s="83"/>
      <c r="AO786" s="83"/>
      <c r="AP786" s="94"/>
      <c r="AQ786" s="94"/>
    </row>
    <row r="787" ht="15.75" customHeight="1">
      <c r="A787" s="83"/>
      <c r="B787" s="83"/>
      <c r="C787" s="83"/>
      <c r="D787" s="83"/>
      <c r="E787" s="83"/>
      <c r="F787" s="83"/>
      <c r="G787" s="83"/>
      <c r="H787" s="83"/>
      <c r="I787" s="94"/>
      <c r="J787" s="83"/>
      <c r="K787" s="83"/>
      <c r="L787" s="94"/>
      <c r="M787" s="83"/>
      <c r="N787" s="94"/>
      <c r="O787" s="83"/>
      <c r="P787" s="492"/>
      <c r="Q787" s="83"/>
      <c r="R787" s="83"/>
      <c r="S787" s="83"/>
      <c r="T787" s="83"/>
      <c r="U787" s="83"/>
      <c r="V787" s="83"/>
      <c r="W787" s="94"/>
      <c r="X787" s="94"/>
      <c r="Y787" s="94"/>
      <c r="Z787" s="83"/>
      <c r="AA787" s="83"/>
      <c r="AB787" s="83"/>
      <c r="AC787" s="83"/>
      <c r="AD787" s="83"/>
      <c r="AE787" s="83"/>
      <c r="AF787" s="83"/>
      <c r="AG787" s="83"/>
      <c r="AH787" s="83"/>
      <c r="AI787" s="83"/>
      <c r="AJ787" s="83"/>
      <c r="AK787" s="83"/>
      <c r="AL787" s="83"/>
      <c r="AM787" s="83"/>
      <c r="AN787" s="83"/>
      <c r="AO787" s="83"/>
      <c r="AP787" s="94"/>
      <c r="AQ787" s="94"/>
    </row>
    <row r="788" ht="15.75" customHeight="1">
      <c r="A788" s="83"/>
      <c r="B788" s="83"/>
      <c r="C788" s="83"/>
      <c r="D788" s="83"/>
      <c r="E788" s="83"/>
      <c r="F788" s="83"/>
      <c r="G788" s="83"/>
      <c r="H788" s="83"/>
      <c r="I788" s="94"/>
      <c r="J788" s="83"/>
      <c r="K788" s="83"/>
      <c r="L788" s="94"/>
      <c r="M788" s="83"/>
      <c r="N788" s="94"/>
      <c r="O788" s="83"/>
      <c r="P788" s="492"/>
      <c r="Q788" s="83"/>
      <c r="R788" s="83"/>
      <c r="S788" s="83"/>
      <c r="T788" s="83"/>
      <c r="U788" s="83"/>
      <c r="V788" s="83"/>
      <c r="W788" s="94"/>
      <c r="X788" s="94"/>
      <c r="Y788" s="94"/>
      <c r="Z788" s="83"/>
      <c r="AA788" s="83"/>
      <c r="AB788" s="83"/>
      <c r="AC788" s="83"/>
      <c r="AD788" s="83"/>
      <c r="AE788" s="83"/>
      <c r="AF788" s="83"/>
      <c r="AG788" s="83"/>
      <c r="AH788" s="83"/>
      <c r="AI788" s="83"/>
      <c r="AJ788" s="83"/>
      <c r="AK788" s="83"/>
      <c r="AL788" s="83"/>
      <c r="AM788" s="83"/>
      <c r="AN788" s="83"/>
      <c r="AO788" s="83"/>
      <c r="AP788" s="94"/>
      <c r="AQ788" s="94"/>
    </row>
    <row r="789" ht="15.75" customHeight="1">
      <c r="A789" s="83"/>
      <c r="B789" s="83"/>
      <c r="C789" s="83"/>
      <c r="D789" s="83"/>
      <c r="E789" s="83"/>
      <c r="F789" s="83"/>
      <c r="G789" s="83"/>
      <c r="H789" s="83"/>
      <c r="I789" s="94"/>
      <c r="J789" s="83"/>
      <c r="K789" s="83"/>
      <c r="L789" s="94"/>
      <c r="M789" s="83"/>
      <c r="N789" s="94"/>
      <c r="O789" s="83"/>
      <c r="P789" s="492"/>
      <c r="Q789" s="83"/>
      <c r="R789" s="83"/>
      <c r="S789" s="83"/>
      <c r="T789" s="83"/>
      <c r="U789" s="83"/>
      <c r="V789" s="83"/>
      <c r="W789" s="94"/>
      <c r="X789" s="94"/>
      <c r="Y789" s="94"/>
      <c r="Z789" s="83"/>
      <c r="AA789" s="83"/>
      <c r="AB789" s="83"/>
      <c r="AC789" s="83"/>
      <c r="AD789" s="83"/>
      <c r="AE789" s="83"/>
      <c r="AF789" s="83"/>
      <c r="AG789" s="83"/>
      <c r="AH789" s="83"/>
      <c r="AI789" s="83"/>
      <c r="AJ789" s="83"/>
      <c r="AK789" s="83"/>
      <c r="AL789" s="83"/>
      <c r="AM789" s="83"/>
      <c r="AN789" s="83"/>
      <c r="AO789" s="83"/>
      <c r="AP789" s="94"/>
      <c r="AQ789" s="94"/>
    </row>
    <row r="790" ht="15.75" customHeight="1">
      <c r="A790" s="83"/>
      <c r="B790" s="83"/>
      <c r="C790" s="83"/>
      <c r="D790" s="83"/>
      <c r="E790" s="83"/>
      <c r="F790" s="83"/>
      <c r="G790" s="83"/>
      <c r="H790" s="83"/>
      <c r="I790" s="94"/>
      <c r="J790" s="83"/>
      <c r="K790" s="83"/>
      <c r="L790" s="94"/>
      <c r="M790" s="83"/>
      <c r="N790" s="94"/>
      <c r="O790" s="83"/>
      <c r="P790" s="492"/>
      <c r="Q790" s="83"/>
      <c r="R790" s="83"/>
      <c r="S790" s="83"/>
      <c r="T790" s="83"/>
      <c r="U790" s="83"/>
      <c r="V790" s="83"/>
      <c r="W790" s="94"/>
      <c r="X790" s="94"/>
      <c r="Y790" s="94"/>
      <c r="Z790" s="83"/>
      <c r="AA790" s="83"/>
      <c r="AB790" s="83"/>
      <c r="AC790" s="83"/>
      <c r="AD790" s="83"/>
      <c r="AE790" s="83"/>
      <c r="AF790" s="83"/>
      <c r="AG790" s="83"/>
      <c r="AH790" s="83"/>
      <c r="AI790" s="83"/>
      <c r="AJ790" s="83"/>
      <c r="AK790" s="83"/>
      <c r="AL790" s="83"/>
      <c r="AM790" s="83"/>
      <c r="AN790" s="83"/>
      <c r="AO790" s="83"/>
      <c r="AP790" s="94"/>
      <c r="AQ790" s="94"/>
    </row>
    <row r="791" ht="15.75" customHeight="1">
      <c r="A791" s="83"/>
      <c r="B791" s="83"/>
      <c r="C791" s="83"/>
      <c r="D791" s="83"/>
      <c r="E791" s="83"/>
      <c r="F791" s="83"/>
      <c r="G791" s="83"/>
      <c r="H791" s="83"/>
      <c r="I791" s="94"/>
      <c r="J791" s="83"/>
      <c r="K791" s="83"/>
      <c r="L791" s="94"/>
      <c r="M791" s="83"/>
      <c r="N791" s="94"/>
      <c r="O791" s="83"/>
      <c r="P791" s="492"/>
      <c r="Q791" s="83"/>
      <c r="R791" s="83"/>
      <c r="S791" s="83"/>
      <c r="T791" s="83"/>
      <c r="U791" s="83"/>
      <c r="V791" s="83"/>
      <c r="W791" s="94"/>
      <c r="X791" s="94"/>
      <c r="Y791" s="94"/>
      <c r="Z791" s="83"/>
      <c r="AA791" s="83"/>
      <c r="AB791" s="83"/>
      <c r="AC791" s="83"/>
      <c r="AD791" s="83"/>
      <c r="AE791" s="83"/>
      <c r="AF791" s="83"/>
      <c r="AG791" s="83"/>
      <c r="AH791" s="83"/>
      <c r="AI791" s="83"/>
      <c r="AJ791" s="83"/>
      <c r="AK791" s="83"/>
      <c r="AL791" s="83"/>
      <c r="AM791" s="83"/>
      <c r="AN791" s="83"/>
      <c r="AO791" s="83"/>
      <c r="AP791" s="94"/>
      <c r="AQ791" s="94"/>
    </row>
    <row r="792" ht="15.75" customHeight="1">
      <c r="A792" s="83"/>
      <c r="B792" s="83"/>
      <c r="C792" s="83"/>
      <c r="D792" s="83"/>
      <c r="E792" s="83"/>
      <c r="F792" s="83"/>
      <c r="G792" s="83"/>
      <c r="H792" s="83"/>
      <c r="I792" s="94"/>
      <c r="J792" s="83"/>
      <c r="K792" s="83"/>
      <c r="L792" s="94"/>
      <c r="M792" s="83"/>
      <c r="N792" s="94"/>
      <c r="O792" s="83"/>
      <c r="P792" s="492"/>
      <c r="Q792" s="83"/>
      <c r="R792" s="83"/>
      <c r="S792" s="83"/>
      <c r="T792" s="83"/>
      <c r="U792" s="83"/>
      <c r="V792" s="83"/>
      <c r="W792" s="94"/>
      <c r="X792" s="94"/>
      <c r="Y792" s="94"/>
      <c r="Z792" s="83"/>
      <c r="AA792" s="83"/>
      <c r="AB792" s="83"/>
      <c r="AC792" s="83"/>
      <c r="AD792" s="83"/>
      <c r="AE792" s="83"/>
      <c r="AF792" s="83"/>
      <c r="AG792" s="83"/>
      <c r="AH792" s="83"/>
      <c r="AI792" s="83"/>
      <c r="AJ792" s="83"/>
      <c r="AK792" s="83"/>
      <c r="AL792" s="83"/>
      <c r="AM792" s="83"/>
      <c r="AN792" s="83"/>
      <c r="AO792" s="83"/>
      <c r="AP792" s="94"/>
      <c r="AQ792" s="94"/>
    </row>
    <row r="793" ht="15.75" customHeight="1">
      <c r="A793" s="83"/>
      <c r="B793" s="83"/>
      <c r="C793" s="83"/>
      <c r="D793" s="83"/>
      <c r="E793" s="83"/>
      <c r="F793" s="83"/>
      <c r="G793" s="83"/>
      <c r="H793" s="83"/>
      <c r="I793" s="94"/>
      <c r="J793" s="83"/>
      <c r="K793" s="83"/>
      <c r="L793" s="94"/>
      <c r="M793" s="83"/>
      <c r="N793" s="94"/>
      <c r="O793" s="83"/>
      <c r="P793" s="492"/>
      <c r="Q793" s="83"/>
      <c r="R793" s="83"/>
      <c r="S793" s="83"/>
      <c r="T793" s="83"/>
      <c r="U793" s="83"/>
      <c r="V793" s="83"/>
      <c r="W793" s="94"/>
      <c r="X793" s="94"/>
      <c r="Y793" s="94"/>
      <c r="Z793" s="83"/>
      <c r="AA793" s="83"/>
      <c r="AB793" s="83"/>
      <c r="AC793" s="83"/>
      <c r="AD793" s="83"/>
      <c r="AE793" s="83"/>
      <c r="AF793" s="83"/>
      <c r="AG793" s="83"/>
      <c r="AH793" s="83"/>
      <c r="AI793" s="83"/>
      <c r="AJ793" s="83"/>
      <c r="AK793" s="83"/>
      <c r="AL793" s="83"/>
      <c r="AM793" s="83"/>
      <c r="AN793" s="83"/>
      <c r="AO793" s="83"/>
      <c r="AP793" s="94"/>
      <c r="AQ793" s="94"/>
    </row>
    <row r="794" ht="15.75" customHeight="1">
      <c r="A794" s="83"/>
      <c r="B794" s="83"/>
      <c r="C794" s="83"/>
      <c r="D794" s="83"/>
      <c r="E794" s="83"/>
      <c r="F794" s="83"/>
      <c r="G794" s="83"/>
      <c r="H794" s="83"/>
      <c r="I794" s="94"/>
      <c r="J794" s="83"/>
      <c r="K794" s="83"/>
      <c r="L794" s="94"/>
      <c r="M794" s="83"/>
      <c r="N794" s="94"/>
      <c r="O794" s="83"/>
      <c r="P794" s="492"/>
      <c r="Q794" s="83"/>
      <c r="R794" s="83"/>
      <c r="S794" s="83"/>
      <c r="T794" s="83"/>
      <c r="U794" s="83"/>
      <c r="V794" s="83"/>
      <c r="W794" s="94"/>
      <c r="X794" s="94"/>
      <c r="Y794" s="94"/>
      <c r="Z794" s="83"/>
      <c r="AA794" s="83"/>
      <c r="AB794" s="83"/>
      <c r="AC794" s="83"/>
      <c r="AD794" s="83"/>
      <c r="AE794" s="83"/>
      <c r="AF794" s="83"/>
      <c r="AG794" s="83"/>
      <c r="AH794" s="83"/>
      <c r="AI794" s="83"/>
      <c r="AJ794" s="83"/>
      <c r="AK794" s="83"/>
      <c r="AL794" s="83"/>
      <c r="AM794" s="83"/>
      <c r="AN794" s="83"/>
      <c r="AO794" s="83"/>
      <c r="AP794" s="94"/>
      <c r="AQ794" s="94"/>
    </row>
    <row r="795" ht="15.75" customHeight="1">
      <c r="A795" s="83"/>
      <c r="B795" s="83"/>
      <c r="C795" s="83"/>
      <c r="D795" s="83"/>
      <c r="E795" s="83"/>
      <c r="F795" s="83"/>
      <c r="G795" s="83"/>
      <c r="H795" s="83"/>
      <c r="I795" s="94"/>
      <c r="J795" s="83"/>
      <c r="K795" s="83"/>
      <c r="L795" s="94"/>
      <c r="M795" s="83"/>
      <c r="N795" s="94"/>
      <c r="O795" s="83"/>
      <c r="P795" s="492"/>
      <c r="Q795" s="83"/>
      <c r="R795" s="83"/>
      <c r="S795" s="83"/>
      <c r="T795" s="83"/>
      <c r="U795" s="83"/>
      <c r="V795" s="83"/>
      <c r="W795" s="94"/>
      <c r="X795" s="94"/>
      <c r="Y795" s="94"/>
      <c r="Z795" s="83"/>
      <c r="AA795" s="83"/>
      <c r="AB795" s="83"/>
      <c r="AC795" s="83"/>
      <c r="AD795" s="83"/>
      <c r="AE795" s="83"/>
      <c r="AF795" s="83"/>
      <c r="AG795" s="83"/>
      <c r="AH795" s="83"/>
      <c r="AI795" s="83"/>
      <c r="AJ795" s="83"/>
      <c r="AK795" s="83"/>
      <c r="AL795" s="83"/>
      <c r="AM795" s="83"/>
      <c r="AN795" s="83"/>
      <c r="AO795" s="83"/>
      <c r="AP795" s="94"/>
      <c r="AQ795" s="94"/>
    </row>
    <row r="796" ht="15.75" customHeight="1">
      <c r="A796" s="83"/>
      <c r="B796" s="83"/>
      <c r="C796" s="83"/>
      <c r="D796" s="83"/>
      <c r="E796" s="83"/>
      <c r="F796" s="83"/>
      <c r="G796" s="83"/>
      <c r="H796" s="83"/>
      <c r="I796" s="94"/>
      <c r="J796" s="83"/>
      <c r="K796" s="83"/>
      <c r="L796" s="94"/>
      <c r="M796" s="83"/>
      <c r="N796" s="94"/>
      <c r="O796" s="83"/>
      <c r="P796" s="492"/>
      <c r="Q796" s="83"/>
      <c r="R796" s="83"/>
      <c r="S796" s="83"/>
      <c r="T796" s="83"/>
      <c r="U796" s="83"/>
      <c r="V796" s="83"/>
      <c r="W796" s="94"/>
      <c r="X796" s="94"/>
      <c r="Y796" s="94"/>
      <c r="Z796" s="83"/>
      <c r="AA796" s="83"/>
      <c r="AB796" s="83"/>
      <c r="AC796" s="83"/>
      <c r="AD796" s="83"/>
      <c r="AE796" s="83"/>
      <c r="AF796" s="83"/>
      <c r="AG796" s="83"/>
      <c r="AH796" s="83"/>
      <c r="AI796" s="83"/>
      <c r="AJ796" s="83"/>
      <c r="AK796" s="83"/>
      <c r="AL796" s="83"/>
      <c r="AM796" s="83"/>
      <c r="AN796" s="83"/>
      <c r="AO796" s="83"/>
      <c r="AP796" s="94"/>
      <c r="AQ796" s="94"/>
    </row>
    <row r="797" ht="15.75" customHeight="1">
      <c r="A797" s="83"/>
      <c r="B797" s="83"/>
      <c r="C797" s="83"/>
      <c r="D797" s="83"/>
      <c r="E797" s="83"/>
      <c r="F797" s="83"/>
      <c r="G797" s="83"/>
      <c r="H797" s="83"/>
      <c r="I797" s="94"/>
      <c r="J797" s="83"/>
      <c r="K797" s="83"/>
      <c r="L797" s="94"/>
      <c r="M797" s="83"/>
      <c r="N797" s="94"/>
      <c r="O797" s="83"/>
      <c r="P797" s="492"/>
      <c r="Q797" s="83"/>
      <c r="R797" s="83"/>
      <c r="S797" s="83"/>
      <c r="T797" s="83"/>
      <c r="U797" s="83"/>
      <c r="V797" s="83"/>
      <c r="W797" s="94"/>
      <c r="X797" s="94"/>
      <c r="Y797" s="94"/>
      <c r="Z797" s="83"/>
      <c r="AA797" s="83"/>
      <c r="AB797" s="83"/>
      <c r="AC797" s="83"/>
      <c r="AD797" s="83"/>
      <c r="AE797" s="83"/>
      <c r="AF797" s="83"/>
      <c r="AG797" s="83"/>
      <c r="AH797" s="83"/>
      <c r="AI797" s="83"/>
      <c r="AJ797" s="83"/>
      <c r="AK797" s="83"/>
      <c r="AL797" s="83"/>
      <c r="AM797" s="83"/>
      <c r="AN797" s="83"/>
      <c r="AO797" s="83"/>
      <c r="AP797" s="94"/>
      <c r="AQ797" s="94"/>
    </row>
    <row r="798" ht="15.75" customHeight="1">
      <c r="A798" s="83"/>
      <c r="B798" s="83"/>
      <c r="C798" s="83"/>
      <c r="D798" s="83"/>
      <c r="E798" s="83"/>
      <c r="F798" s="83"/>
      <c r="G798" s="83"/>
      <c r="H798" s="83"/>
      <c r="I798" s="94"/>
      <c r="J798" s="83"/>
      <c r="K798" s="83"/>
      <c r="L798" s="94"/>
      <c r="M798" s="83"/>
      <c r="N798" s="94"/>
      <c r="O798" s="83"/>
      <c r="P798" s="492"/>
      <c r="Q798" s="83"/>
      <c r="R798" s="83"/>
      <c r="S798" s="83"/>
      <c r="T798" s="83"/>
      <c r="U798" s="83"/>
      <c r="V798" s="83"/>
      <c r="W798" s="94"/>
      <c r="X798" s="94"/>
      <c r="Y798" s="94"/>
      <c r="Z798" s="83"/>
      <c r="AA798" s="83"/>
      <c r="AB798" s="83"/>
      <c r="AC798" s="83"/>
      <c r="AD798" s="83"/>
      <c r="AE798" s="83"/>
      <c r="AF798" s="83"/>
      <c r="AG798" s="83"/>
      <c r="AH798" s="83"/>
      <c r="AI798" s="83"/>
      <c r="AJ798" s="83"/>
      <c r="AK798" s="83"/>
      <c r="AL798" s="83"/>
      <c r="AM798" s="83"/>
      <c r="AN798" s="83"/>
      <c r="AO798" s="83"/>
      <c r="AP798" s="94"/>
      <c r="AQ798" s="94"/>
    </row>
    <row r="799" ht="15.75" customHeight="1">
      <c r="A799" s="83"/>
      <c r="B799" s="83"/>
      <c r="C799" s="83"/>
      <c r="D799" s="83"/>
      <c r="E799" s="83"/>
      <c r="F799" s="83"/>
      <c r="G799" s="83"/>
      <c r="H799" s="83"/>
      <c r="I799" s="94"/>
      <c r="J799" s="83"/>
      <c r="K799" s="83"/>
      <c r="L799" s="94"/>
      <c r="M799" s="83"/>
      <c r="N799" s="94"/>
      <c r="O799" s="83"/>
      <c r="P799" s="492"/>
      <c r="Q799" s="83"/>
      <c r="R799" s="83"/>
      <c r="S799" s="83"/>
      <c r="T799" s="83"/>
      <c r="U799" s="83"/>
      <c r="V799" s="83"/>
      <c r="W799" s="94"/>
      <c r="X799" s="94"/>
      <c r="Y799" s="94"/>
      <c r="Z799" s="83"/>
      <c r="AA799" s="83"/>
      <c r="AB799" s="83"/>
      <c r="AC799" s="83"/>
      <c r="AD799" s="83"/>
      <c r="AE799" s="83"/>
      <c r="AF799" s="83"/>
      <c r="AG799" s="83"/>
      <c r="AH799" s="83"/>
      <c r="AI799" s="83"/>
      <c r="AJ799" s="83"/>
      <c r="AK799" s="83"/>
      <c r="AL799" s="83"/>
      <c r="AM799" s="83"/>
      <c r="AN799" s="83"/>
      <c r="AO799" s="83"/>
      <c r="AP799" s="94"/>
      <c r="AQ799" s="94"/>
    </row>
    <row r="800" ht="15.75" customHeight="1">
      <c r="A800" s="83"/>
      <c r="B800" s="83"/>
      <c r="C800" s="83"/>
      <c r="D800" s="83"/>
      <c r="E800" s="83"/>
      <c r="F800" s="83"/>
      <c r="G800" s="83"/>
      <c r="H800" s="83"/>
      <c r="I800" s="94"/>
      <c r="J800" s="83"/>
      <c r="K800" s="83"/>
      <c r="L800" s="94"/>
      <c r="M800" s="83"/>
      <c r="N800" s="94"/>
      <c r="O800" s="83"/>
      <c r="P800" s="492"/>
      <c r="Q800" s="83"/>
      <c r="R800" s="83"/>
      <c r="S800" s="83"/>
      <c r="T800" s="83"/>
      <c r="U800" s="83"/>
      <c r="V800" s="83"/>
      <c r="W800" s="94"/>
      <c r="X800" s="94"/>
      <c r="Y800" s="94"/>
      <c r="Z800" s="83"/>
      <c r="AA800" s="83"/>
      <c r="AB800" s="83"/>
      <c r="AC800" s="83"/>
      <c r="AD800" s="83"/>
      <c r="AE800" s="83"/>
      <c r="AF800" s="83"/>
      <c r="AG800" s="83"/>
      <c r="AH800" s="83"/>
      <c r="AI800" s="83"/>
      <c r="AJ800" s="83"/>
      <c r="AK800" s="83"/>
      <c r="AL800" s="83"/>
      <c r="AM800" s="83"/>
      <c r="AN800" s="83"/>
      <c r="AO800" s="83"/>
      <c r="AP800" s="94"/>
      <c r="AQ800" s="94"/>
    </row>
    <row r="801" ht="15.75" customHeight="1">
      <c r="A801" s="83"/>
      <c r="B801" s="83"/>
      <c r="C801" s="83"/>
      <c r="D801" s="83"/>
      <c r="E801" s="83"/>
      <c r="F801" s="83"/>
      <c r="G801" s="83"/>
      <c r="H801" s="83"/>
      <c r="I801" s="94"/>
      <c r="J801" s="83"/>
      <c r="K801" s="83"/>
      <c r="L801" s="94"/>
      <c r="M801" s="83"/>
      <c r="N801" s="94"/>
      <c r="O801" s="83"/>
      <c r="P801" s="492"/>
      <c r="Q801" s="83"/>
      <c r="R801" s="83"/>
      <c r="S801" s="83"/>
      <c r="T801" s="83"/>
      <c r="U801" s="83"/>
      <c r="V801" s="83"/>
      <c r="W801" s="94"/>
      <c r="X801" s="94"/>
      <c r="Y801" s="94"/>
      <c r="Z801" s="83"/>
      <c r="AA801" s="83"/>
      <c r="AB801" s="83"/>
      <c r="AC801" s="83"/>
      <c r="AD801" s="83"/>
      <c r="AE801" s="83"/>
      <c r="AF801" s="83"/>
      <c r="AG801" s="83"/>
      <c r="AH801" s="83"/>
      <c r="AI801" s="83"/>
      <c r="AJ801" s="83"/>
      <c r="AK801" s="83"/>
      <c r="AL801" s="83"/>
      <c r="AM801" s="83"/>
      <c r="AN801" s="83"/>
      <c r="AO801" s="83"/>
      <c r="AP801" s="94"/>
      <c r="AQ801" s="94"/>
    </row>
    <row r="802" ht="15.75" customHeight="1">
      <c r="A802" s="83"/>
      <c r="B802" s="83"/>
      <c r="C802" s="83"/>
      <c r="D802" s="83"/>
      <c r="E802" s="83"/>
      <c r="F802" s="83"/>
      <c r="G802" s="83"/>
      <c r="H802" s="83"/>
      <c r="I802" s="94"/>
      <c r="J802" s="83"/>
      <c r="K802" s="83"/>
      <c r="L802" s="94"/>
      <c r="M802" s="83"/>
      <c r="N802" s="94"/>
      <c r="O802" s="83"/>
      <c r="P802" s="492"/>
      <c r="Q802" s="83"/>
      <c r="R802" s="83"/>
      <c r="S802" s="83"/>
      <c r="T802" s="83"/>
      <c r="U802" s="83"/>
      <c r="V802" s="83"/>
      <c r="W802" s="94"/>
      <c r="X802" s="94"/>
      <c r="Y802" s="94"/>
      <c r="Z802" s="83"/>
      <c r="AA802" s="83"/>
      <c r="AB802" s="83"/>
      <c r="AC802" s="83"/>
      <c r="AD802" s="83"/>
      <c r="AE802" s="83"/>
      <c r="AF802" s="83"/>
      <c r="AG802" s="83"/>
      <c r="AH802" s="83"/>
      <c r="AI802" s="83"/>
      <c r="AJ802" s="83"/>
      <c r="AK802" s="83"/>
      <c r="AL802" s="83"/>
      <c r="AM802" s="83"/>
      <c r="AN802" s="83"/>
      <c r="AO802" s="83"/>
      <c r="AP802" s="94"/>
      <c r="AQ802" s="94"/>
    </row>
    <row r="803" ht="15.75" customHeight="1">
      <c r="A803" s="83"/>
      <c r="B803" s="83"/>
      <c r="C803" s="83"/>
      <c r="D803" s="83"/>
      <c r="E803" s="83"/>
      <c r="F803" s="83"/>
      <c r="G803" s="83"/>
      <c r="H803" s="83"/>
      <c r="I803" s="94"/>
      <c r="J803" s="83"/>
      <c r="K803" s="83"/>
      <c r="L803" s="94"/>
      <c r="M803" s="83"/>
      <c r="N803" s="94"/>
      <c r="O803" s="83"/>
      <c r="P803" s="492"/>
      <c r="Q803" s="83"/>
      <c r="R803" s="83"/>
      <c r="S803" s="83"/>
      <c r="T803" s="83"/>
      <c r="U803" s="83"/>
      <c r="V803" s="83"/>
      <c r="W803" s="94"/>
      <c r="X803" s="94"/>
      <c r="Y803" s="94"/>
      <c r="Z803" s="83"/>
      <c r="AA803" s="83"/>
      <c r="AB803" s="83"/>
      <c r="AC803" s="83"/>
      <c r="AD803" s="83"/>
      <c r="AE803" s="83"/>
      <c r="AF803" s="83"/>
      <c r="AG803" s="83"/>
      <c r="AH803" s="83"/>
      <c r="AI803" s="83"/>
      <c r="AJ803" s="83"/>
      <c r="AK803" s="83"/>
      <c r="AL803" s="83"/>
      <c r="AM803" s="83"/>
      <c r="AN803" s="83"/>
      <c r="AO803" s="83"/>
      <c r="AP803" s="94"/>
      <c r="AQ803" s="94"/>
    </row>
    <row r="804" ht="15.75" customHeight="1">
      <c r="A804" s="83"/>
      <c r="B804" s="83"/>
      <c r="C804" s="83"/>
      <c r="D804" s="83"/>
      <c r="E804" s="83"/>
      <c r="F804" s="83"/>
      <c r="G804" s="83"/>
      <c r="H804" s="83"/>
      <c r="I804" s="94"/>
      <c r="J804" s="83"/>
      <c r="K804" s="83"/>
      <c r="L804" s="94"/>
      <c r="M804" s="83"/>
      <c r="N804" s="94"/>
      <c r="O804" s="83"/>
      <c r="P804" s="492"/>
      <c r="Q804" s="83"/>
      <c r="R804" s="83"/>
      <c r="S804" s="83"/>
      <c r="T804" s="83"/>
      <c r="U804" s="83"/>
      <c r="V804" s="83"/>
      <c r="W804" s="94"/>
      <c r="X804" s="94"/>
      <c r="Y804" s="94"/>
      <c r="Z804" s="83"/>
      <c r="AA804" s="83"/>
      <c r="AB804" s="83"/>
      <c r="AC804" s="83"/>
      <c r="AD804" s="83"/>
      <c r="AE804" s="83"/>
      <c r="AF804" s="83"/>
      <c r="AG804" s="83"/>
      <c r="AH804" s="83"/>
      <c r="AI804" s="83"/>
      <c r="AJ804" s="83"/>
      <c r="AK804" s="83"/>
      <c r="AL804" s="83"/>
      <c r="AM804" s="83"/>
      <c r="AN804" s="83"/>
      <c r="AO804" s="83"/>
      <c r="AP804" s="94"/>
      <c r="AQ804" s="94"/>
    </row>
    <row r="805" ht="15.75" customHeight="1">
      <c r="A805" s="83"/>
      <c r="B805" s="83"/>
      <c r="C805" s="83"/>
      <c r="D805" s="83"/>
      <c r="E805" s="83"/>
      <c r="F805" s="83"/>
      <c r="G805" s="83"/>
      <c r="H805" s="83"/>
      <c r="I805" s="94"/>
      <c r="J805" s="83"/>
      <c r="K805" s="83"/>
      <c r="L805" s="94"/>
      <c r="M805" s="83"/>
      <c r="N805" s="94"/>
      <c r="O805" s="83"/>
      <c r="P805" s="492"/>
      <c r="Q805" s="83"/>
      <c r="R805" s="83"/>
      <c r="S805" s="83"/>
      <c r="T805" s="83"/>
      <c r="U805" s="83"/>
      <c r="V805" s="83"/>
      <c r="W805" s="94"/>
      <c r="X805" s="94"/>
      <c r="Y805" s="94"/>
      <c r="Z805" s="83"/>
      <c r="AA805" s="83"/>
      <c r="AB805" s="83"/>
      <c r="AC805" s="83"/>
      <c r="AD805" s="83"/>
      <c r="AE805" s="83"/>
      <c r="AF805" s="83"/>
      <c r="AG805" s="83"/>
      <c r="AH805" s="83"/>
      <c r="AI805" s="83"/>
      <c r="AJ805" s="83"/>
      <c r="AK805" s="83"/>
      <c r="AL805" s="83"/>
      <c r="AM805" s="83"/>
      <c r="AN805" s="83"/>
      <c r="AO805" s="83"/>
      <c r="AP805" s="94"/>
      <c r="AQ805" s="94"/>
    </row>
    <row r="806" ht="15.75" customHeight="1">
      <c r="A806" s="83"/>
      <c r="B806" s="83"/>
      <c r="C806" s="83"/>
      <c r="D806" s="83"/>
      <c r="E806" s="83"/>
      <c r="F806" s="83"/>
      <c r="G806" s="83"/>
      <c r="H806" s="83"/>
      <c r="I806" s="94"/>
      <c r="J806" s="83"/>
      <c r="K806" s="83"/>
      <c r="L806" s="94"/>
      <c r="M806" s="83"/>
      <c r="N806" s="94"/>
      <c r="O806" s="83"/>
      <c r="P806" s="492"/>
      <c r="Q806" s="83"/>
      <c r="R806" s="83"/>
      <c r="S806" s="83"/>
      <c r="T806" s="83"/>
      <c r="U806" s="83"/>
      <c r="V806" s="83"/>
      <c r="W806" s="94"/>
      <c r="X806" s="94"/>
      <c r="Y806" s="94"/>
      <c r="Z806" s="83"/>
      <c r="AA806" s="83"/>
      <c r="AB806" s="83"/>
      <c r="AC806" s="83"/>
      <c r="AD806" s="83"/>
      <c r="AE806" s="83"/>
      <c r="AF806" s="83"/>
      <c r="AG806" s="83"/>
      <c r="AH806" s="83"/>
      <c r="AI806" s="83"/>
      <c r="AJ806" s="83"/>
      <c r="AK806" s="83"/>
      <c r="AL806" s="83"/>
      <c r="AM806" s="83"/>
      <c r="AN806" s="83"/>
      <c r="AO806" s="83"/>
      <c r="AP806" s="94"/>
      <c r="AQ806" s="94"/>
    </row>
    <row r="807" ht="15.75" customHeight="1">
      <c r="A807" s="83"/>
      <c r="B807" s="83"/>
      <c r="C807" s="83"/>
      <c r="D807" s="83"/>
      <c r="E807" s="83"/>
      <c r="F807" s="83"/>
      <c r="G807" s="83"/>
      <c r="H807" s="83"/>
      <c r="I807" s="94"/>
      <c r="J807" s="83"/>
      <c r="K807" s="83"/>
      <c r="L807" s="94"/>
      <c r="M807" s="83"/>
      <c r="N807" s="94"/>
      <c r="O807" s="83"/>
      <c r="P807" s="492"/>
      <c r="Q807" s="83"/>
      <c r="R807" s="83"/>
      <c r="S807" s="83"/>
      <c r="T807" s="83"/>
      <c r="U807" s="83"/>
      <c r="V807" s="83"/>
      <c r="W807" s="94"/>
      <c r="X807" s="94"/>
      <c r="Y807" s="94"/>
      <c r="Z807" s="83"/>
      <c r="AA807" s="83"/>
      <c r="AB807" s="83"/>
      <c r="AC807" s="83"/>
      <c r="AD807" s="83"/>
      <c r="AE807" s="83"/>
      <c r="AF807" s="83"/>
      <c r="AG807" s="83"/>
      <c r="AH807" s="83"/>
      <c r="AI807" s="83"/>
      <c r="AJ807" s="83"/>
      <c r="AK807" s="83"/>
      <c r="AL807" s="83"/>
      <c r="AM807" s="83"/>
      <c r="AN807" s="83"/>
      <c r="AO807" s="83"/>
      <c r="AP807" s="94"/>
      <c r="AQ807" s="94"/>
    </row>
    <row r="808" ht="15.75" customHeight="1">
      <c r="A808" s="83"/>
      <c r="B808" s="83"/>
      <c r="C808" s="83"/>
      <c r="D808" s="83"/>
      <c r="E808" s="83"/>
      <c r="F808" s="83"/>
      <c r="G808" s="83"/>
      <c r="H808" s="83"/>
      <c r="I808" s="94"/>
      <c r="J808" s="83"/>
      <c r="K808" s="83"/>
      <c r="L808" s="94"/>
      <c r="M808" s="83"/>
      <c r="N808" s="94"/>
      <c r="O808" s="83"/>
      <c r="P808" s="492"/>
      <c r="Q808" s="83"/>
      <c r="R808" s="83"/>
      <c r="S808" s="83"/>
      <c r="T808" s="83"/>
      <c r="U808" s="83"/>
      <c r="V808" s="83"/>
      <c r="W808" s="94"/>
      <c r="X808" s="94"/>
      <c r="Y808" s="94"/>
      <c r="Z808" s="83"/>
      <c r="AA808" s="83"/>
      <c r="AB808" s="83"/>
      <c r="AC808" s="83"/>
      <c r="AD808" s="83"/>
      <c r="AE808" s="83"/>
      <c r="AF808" s="83"/>
      <c r="AG808" s="83"/>
      <c r="AH808" s="83"/>
      <c r="AI808" s="83"/>
      <c r="AJ808" s="83"/>
      <c r="AK808" s="83"/>
      <c r="AL808" s="83"/>
      <c r="AM808" s="83"/>
      <c r="AN808" s="83"/>
      <c r="AO808" s="83"/>
      <c r="AP808" s="94"/>
      <c r="AQ808" s="94"/>
    </row>
    <row r="809" ht="15.75" customHeight="1">
      <c r="A809" s="83"/>
      <c r="B809" s="83"/>
      <c r="C809" s="83"/>
      <c r="D809" s="83"/>
      <c r="E809" s="83"/>
      <c r="F809" s="83"/>
      <c r="G809" s="83"/>
      <c r="H809" s="83"/>
      <c r="I809" s="94"/>
      <c r="J809" s="83"/>
      <c r="K809" s="83"/>
      <c r="L809" s="94"/>
      <c r="M809" s="83"/>
      <c r="N809" s="94"/>
      <c r="O809" s="83"/>
      <c r="P809" s="492"/>
      <c r="Q809" s="83"/>
      <c r="R809" s="83"/>
      <c r="S809" s="83"/>
      <c r="T809" s="83"/>
      <c r="U809" s="83"/>
      <c r="V809" s="83"/>
      <c r="W809" s="94"/>
      <c r="X809" s="94"/>
      <c r="Y809" s="94"/>
      <c r="Z809" s="83"/>
      <c r="AA809" s="83"/>
      <c r="AB809" s="83"/>
      <c r="AC809" s="83"/>
      <c r="AD809" s="83"/>
      <c r="AE809" s="83"/>
      <c r="AF809" s="83"/>
      <c r="AG809" s="83"/>
      <c r="AH809" s="83"/>
      <c r="AI809" s="83"/>
      <c r="AJ809" s="83"/>
      <c r="AK809" s="83"/>
      <c r="AL809" s="83"/>
      <c r="AM809" s="83"/>
      <c r="AN809" s="83"/>
      <c r="AO809" s="83"/>
      <c r="AP809" s="94"/>
      <c r="AQ809" s="94"/>
    </row>
    <row r="810" ht="15.75" customHeight="1">
      <c r="A810" s="83"/>
      <c r="B810" s="83"/>
      <c r="C810" s="83"/>
      <c r="D810" s="83"/>
      <c r="E810" s="83"/>
      <c r="F810" s="83"/>
      <c r="G810" s="83"/>
      <c r="H810" s="83"/>
      <c r="I810" s="94"/>
      <c r="J810" s="83"/>
      <c r="K810" s="83"/>
      <c r="L810" s="94"/>
      <c r="M810" s="83"/>
      <c r="N810" s="94"/>
      <c r="O810" s="83"/>
      <c r="P810" s="492"/>
      <c r="Q810" s="83"/>
      <c r="R810" s="83"/>
      <c r="S810" s="83"/>
      <c r="T810" s="83"/>
      <c r="U810" s="83"/>
      <c r="V810" s="83"/>
      <c r="W810" s="94"/>
      <c r="X810" s="94"/>
      <c r="Y810" s="94"/>
      <c r="Z810" s="83"/>
      <c r="AA810" s="83"/>
      <c r="AB810" s="83"/>
      <c r="AC810" s="83"/>
      <c r="AD810" s="83"/>
      <c r="AE810" s="83"/>
      <c r="AF810" s="83"/>
      <c r="AG810" s="83"/>
      <c r="AH810" s="83"/>
      <c r="AI810" s="83"/>
      <c r="AJ810" s="83"/>
      <c r="AK810" s="83"/>
      <c r="AL810" s="83"/>
      <c r="AM810" s="83"/>
      <c r="AN810" s="83"/>
      <c r="AO810" s="83"/>
      <c r="AP810" s="94"/>
      <c r="AQ810" s="94"/>
    </row>
    <row r="811" ht="15.75" customHeight="1">
      <c r="A811" s="83"/>
      <c r="B811" s="83"/>
      <c r="C811" s="83"/>
      <c r="D811" s="83"/>
      <c r="E811" s="83"/>
      <c r="F811" s="83"/>
      <c r="G811" s="83"/>
      <c r="H811" s="83"/>
      <c r="I811" s="94"/>
      <c r="J811" s="83"/>
      <c r="K811" s="83"/>
      <c r="L811" s="94"/>
      <c r="M811" s="83"/>
      <c r="N811" s="94"/>
      <c r="O811" s="83"/>
      <c r="P811" s="492"/>
      <c r="Q811" s="83"/>
      <c r="R811" s="83"/>
      <c r="S811" s="83"/>
      <c r="T811" s="83"/>
      <c r="U811" s="83"/>
      <c r="V811" s="83"/>
      <c r="W811" s="94"/>
      <c r="X811" s="94"/>
      <c r="Y811" s="94"/>
      <c r="Z811" s="83"/>
      <c r="AA811" s="83"/>
      <c r="AB811" s="83"/>
      <c r="AC811" s="83"/>
      <c r="AD811" s="83"/>
      <c r="AE811" s="83"/>
      <c r="AF811" s="83"/>
      <c r="AG811" s="83"/>
      <c r="AH811" s="83"/>
      <c r="AI811" s="83"/>
      <c r="AJ811" s="83"/>
      <c r="AK811" s="83"/>
      <c r="AL811" s="83"/>
      <c r="AM811" s="83"/>
      <c r="AN811" s="83"/>
      <c r="AO811" s="83"/>
      <c r="AP811" s="94"/>
      <c r="AQ811" s="94"/>
    </row>
    <row r="812" ht="15.75" customHeight="1">
      <c r="A812" s="83"/>
      <c r="B812" s="83"/>
      <c r="C812" s="83"/>
      <c r="D812" s="83"/>
      <c r="E812" s="83"/>
      <c r="F812" s="83"/>
      <c r="G812" s="83"/>
      <c r="H812" s="83"/>
      <c r="I812" s="94"/>
      <c r="J812" s="83"/>
      <c r="K812" s="83"/>
      <c r="L812" s="94"/>
      <c r="M812" s="83"/>
      <c r="N812" s="94"/>
      <c r="O812" s="83"/>
      <c r="P812" s="492"/>
      <c r="Q812" s="83"/>
      <c r="R812" s="83"/>
      <c r="S812" s="83"/>
      <c r="T812" s="83"/>
      <c r="U812" s="83"/>
      <c r="V812" s="83"/>
      <c r="W812" s="94"/>
      <c r="X812" s="94"/>
      <c r="Y812" s="94"/>
      <c r="Z812" s="83"/>
      <c r="AA812" s="83"/>
      <c r="AB812" s="83"/>
      <c r="AC812" s="83"/>
      <c r="AD812" s="83"/>
      <c r="AE812" s="83"/>
      <c r="AF812" s="83"/>
      <c r="AG812" s="83"/>
      <c r="AH812" s="83"/>
      <c r="AI812" s="83"/>
      <c r="AJ812" s="83"/>
      <c r="AK812" s="83"/>
      <c r="AL812" s="83"/>
      <c r="AM812" s="83"/>
      <c r="AN812" s="83"/>
      <c r="AO812" s="83"/>
      <c r="AP812" s="94"/>
      <c r="AQ812" s="94"/>
    </row>
    <row r="813" ht="15.75" customHeight="1">
      <c r="A813" s="83"/>
      <c r="B813" s="83"/>
      <c r="C813" s="83"/>
      <c r="D813" s="83"/>
      <c r="E813" s="83"/>
      <c r="F813" s="83"/>
      <c r="G813" s="83"/>
      <c r="H813" s="83"/>
      <c r="I813" s="94"/>
      <c r="J813" s="83"/>
      <c r="K813" s="83"/>
      <c r="L813" s="94"/>
      <c r="M813" s="83"/>
      <c r="N813" s="94"/>
      <c r="O813" s="83"/>
      <c r="P813" s="492"/>
      <c r="Q813" s="83"/>
      <c r="R813" s="83"/>
      <c r="S813" s="83"/>
      <c r="T813" s="83"/>
      <c r="U813" s="83"/>
      <c r="V813" s="83"/>
      <c r="W813" s="94"/>
      <c r="X813" s="94"/>
      <c r="Y813" s="94"/>
      <c r="Z813" s="83"/>
      <c r="AA813" s="83"/>
      <c r="AB813" s="83"/>
      <c r="AC813" s="83"/>
      <c r="AD813" s="83"/>
      <c r="AE813" s="83"/>
      <c r="AF813" s="83"/>
      <c r="AG813" s="83"/>
      <c r="AH813" s="83"/>
      <c r="AI813" s="83"/>
      <c r="AJ813" s="83"/>
      <c r="AK813" s="83"/>
      <c r="AL813" s="83"/>
      <c r="AM813" s="83"/>
      <c r="AN813" s="83"/>
      <c r="AO813" s="83"/>
      <c r="AP813" s="94"/>
      <c r="AQ813" s="94"/>
    </row>
    <row r="814" ht="15.75" customHeight="1">
      <c r="A814" s="83"/>
      <c r="B814" s="83"/>
      <c r="C814" s="83"/>
      <c r="D814" s="83"/>
      <c r="E814" s="83"/>
      <c r="F814" s="83"/>
      <c r="G814" s="83"/>
      <c r="H814" s="83"/>
      <c r="I814" s="94"/>
      <c r="J814" s="83"/>
      <c r="K814" s="83"/>
      <c r="L814" s="94"/>
      <c r="M814" s="83"/>
      <c r="N814" s="94"/>
      <c r="O814" s="83"/>
      <c r="P814" s="492"/>
      <c r="Q814" s="83"/>
      <c r="R814" s="83"/>
      <c r="S814" s="83"/>
      <c r="T814" s="83"/>
      <c r="U814" s="83"/>
      <c r="V814" s="83"/>
      <c r="W814" s="94"/>
      <c r="X814" s="94"/>
      <c r="Y814" s="94"/>
      <c r="Z814" s="83"/>
      <c r="AA814" s="83"/>
      <c r="AB814" s="83"/>
      <c r="AC814" s="83"/>
      <c r="AD814" s="83"/>
      <c r="AE814" s="83"/>
      <c r="AF814" s="83"/>
      <c r="AG814" s="83"/>
      <c r="AH814" s="83"/>
      <c r="AI814" s="83"/>
      <c r="AJ814" s="83"/>
      <c r="AK814" s="83"/>
      <c r="AL814" s="83"/>
      <c r="AM814" s="83"/>
      <c r="AN814" s="83"/>
      <c r="AO814" s="83"/>
      <c r="AP814" s="94"/>
      <c r="AQ814" s="94"/>
    </row>
    <row r="815" ht="15.75" customHeight="1">
      <c r="A815" s="83"/>
      <c r="B815" s="83"/>
      <c r="C815" s="83"/>
      <c r="D815" s="83"/>
      <c r="E815" s="83"/>
      <c r="F815" s="83"/>
      <c r="G815" s="83"/>
      <c r="H815" s="83"/>
      <c r="I815" s="94"/>
      <c r="J815" s="83"/>
      <c r="K815" s="83"/>
      <c r="L815" s="94"/>
      <c r="M815" s="83"/>
      <c r="N815" s="94"/>
      <c r="O815" s="83"/>
      <c r="P815" s="492"/>
      <c r="Q815" s="83"/>
      <c r="R815" s="83"/>
      <c r="S815" s="83"/>
      <c r="T815" s="83"/>
      <c r="U815" s="83"/>
      <c r="V815" s="83"/>
      <c r="W815" s="94"/>
      <c r="X815" s="94"/>
      <c r="Y815" s="94"/>
      <c r="Z815" s="83"/>
      <c r="AA815" s="83"/>
      <c r="AB815" s="83"/>
      <c r="AC815" s="83"/>
      <c r="AD815" s="83"/>
      <c r="AE815" s="83"/>
      <c r="AF815" s="83"/>
      <c r="AG815" s="83"/>
      <c r="AH815" s="83"/>
      <c r="AI815" s="83"/>
      <c r="AJ815" s="83"/>
      <c r="AK815" s="83"/>
      <c r="AL815" s="83"/>
      <c r="AM815" s="83"/>
      <c r="AN815" s="83"/>
      <c r="AO815" s="83"/>
      <c r="AP815" s="94"/>
      <c r="AQ815" s="94"/>
    </row>
    <row r="816" ht="15.75" customHeight="1">
      <c r="A816" s="83"/>
      <c r="B816" s="83"/>
      <c r="C816" s="83"/>
      <c r="D816" s="83"/>
      <c r="E816" s="83"/>
      <c r="F816" s="83"/>
      <c r="G816" s="83"/>
      <c r="H816" s="83"/>
      <c r="I816" s="94"/>
      <c r="J816" s="83"/>
      <c r="K816" s="83"/>
      <c r="L816" s="94"/>
      <c r="M816" s="83"/>
      <c r="N816" s="94"/>
      <c r="O816" s="83"/>
      <c r="P816" s="492"/>
      <c r="Q816" s="83"/>
      <c r="R816" s="83"/>
      <c r="S816" s="83"/>
      <c r="T816" s="83"/>
      <c r="U816" s="83"/>
      <c r="V816" s="83"/>
      <c r="W816" s="94"/>
      <c r="X816" s="94"/>
      <c r="Y816" s="94"/>
      <c r="Z816" s="83"/>
      <c r="AA816" s="83"/>
      <c r="AB816" s="83"/>
      <c r="AC816" s="83"/>
      <c r="AD816" s="83"/>
      <c r="AE816" s="83"/>
      <c r="AF816" s="83"/>
      <c r="AG816" s="83"/>
      <c r="AH816" s="83"/>
      <c r="AI816" s="83"/>
      <c r="AJ816" s="83"/>
      <c r="AK816" s="83"/>
      <c r="AL816" s="83"/>
      <c r="AM816" s="83"/>
      <c r="AN816" s="83"/>
      <c r="AO816" s="83"/>
      <c r="AP816" s="94"/>
      <c r="AQ816" s="94"/>
    </row>
    <row r="817" ht="15.75" customHeight="1">
      <c r="A817" s="83"/>
      <c r="B817" s="83"/>
      <c r="C817" s="83"/>
      <c r="D817" s="83"/>
      <c r="E817" s="83"/>
      <c r="F817" s="83"/>
      <c r="G817" s="83"/>
      <c r="H817" s="83"/>
      <c r="I817" s="94"/>
      <c r="J817" s="83"/>
      <c r="K817" s="83"/>
      <c r="L817" s="94"/>
      <c r="M817" s="83"/>
      <c r="N817" s="94"/>
      <c r="O817" s="83"/>
      <c r="P817" s="492"/>
      <c r="Q817" s="83"/>
      <c r="R817" s="83"/>
      <c r="S817" s="83"/>
      <c r="T817" s="83"/>
      <c r="U817" s="83"/>
      <c r="V817" s="83"/>
      <c r="W817" s="94"/>
      <c r="X817" s="94"/>
      <c r="Y817" s="94"/>
      <c r="Z817" s="83"/>
      <c r="AA817" s="83"/>
      <c r="AB817" s="83"/>
      <c r="AC817" s="83"/>
      <c r="AD817" s="83"/>
      <c r="AE817" s="83"/>
      <c r="AF817" s="83"/>
      <c r="AG817" s="83"/>
      <c r="AH817" s="83"/>
      <c r="AI817" s="83"/>
      <c r="AJ817" s="83"/>
      <c r="AK817" s="83"/>
      <c r="AL817" s="83"/>
      <c r="AM817" s="83"/>
      <c r="AN817" s="83"/>
      <c r="AO817" s="83"/>
      <c r="AP817" s="94"/>
      <c r="AQ817" s="94"/>
    </row>
    <row r="818" ht="15.75" customHeight="1">
      <c r="A818" s="83"/>
      <c r="B818" s="83"/>
      <c r="C818" s="83"/>
      <c r="D818" s="83"/>
      <c r="E818" s="83"/>
      <c r="F818" s="83"/>
      <c r="G818" s="83"/>
      <c r="H818" s="83"/>
      <c r="I818" s="94"/>
      <c r="J818" s="83"/>
      <c r="K818" s="83"/>
      <c r="L818" s="94"/>
      <c r="M818" s="83"/>
      <c r="N818" s="94"/>
      <c r="O818" s="83"/>
      <c r="P818" s="492"/>
      <c r="Q818" s="83"/>
      <c r="R818" s="83"/>
      <c r="S818" s="83"/>
      <c r="T818" s="83"/>
      <c r="U818" s="83"/>
      <c r="V818" s="83"/>
      <c r="W818" s="94"/>
      <c r="X818" s="94"/>
      <c r="Y818" s="94"/>
      <c r="Z818" s="83"/>
      <c r="AA818" s="83"/>
      <c r="AB818" s="83"/>
      <c r="AC818" s="83"/>
      <c r="AD818" s="83"/>
      <c r="AE818" s="83"/>
      <c r="AF818" s="83"/>
      <c r="AG818" s="83"/>
      <c r="AH818" s="83"/>
      <c r="AI818" s="83"/>
      <c r="AJ818" s="83"/>
      <c r="AK818" s="83"/>
      <c r="AL818" s="83"/>
      <c r="AM818" s="83"/>
      <c r="AN818" s="83"/>
      <c r="AO818" s="83"/>
      <c r="AP818" s="94"/>
      <c r="AQ818" s="94"/>
    </row>
    <row r="819" ht="15.75" customHeight="1">
      <c r="A819" s="83"/>
      <c r="B819" s="83"/>
      <c r="C819" s="83"/>
      <c r="D819" s="83"/>
      <c r="E819" s="83"/>
      <c r="F819" s="83"/>
      <c r="G819" s="83"/>
      <c r="H819" s="83"/>
      <c r="I819" s="94"/>
      <c r="J819" s="83"/>
      <c r="K819" s="83"/>
      <c r="L819" s="94"/>
      <c r="M819" s="83"/>
      <c r="N819" s="94"/>
      <c r="O819" s="83"/>
      <c r="P819" s="492"/>
      <c r="Q819" s="83"/>
      <c r="R819" s="83"/>
      <c r="S819" s="83"/>
      <c r="T819" s="83"/>
      <c r="U819" s="83"/>
      <c r="V819" s="83"/>
      <c r="W819" s="94"/>
      <c r="X819" s="94"/>
      <c r="Y819" s="94"/>
      <c r="Z819" s="83"/>
      <c r="AA819" s="83"/>
      <c r="AB819" s="83"/>
      <c r="AC819" s="83"/>
      <c r="AD819" s="83"/>
      <c r="AE819" s="83"/>
      <c r="AF819" s="83"/>
      <c r="AG819" s="83"/>
      <c r="AH819" s="83"/>
      <c r="AI819" s="83"/>
      <c r="AJ819" s="83"/>
      <c r="AK819" s="83"/>
      <c r="AL819" s="83"/>
      <c r="AM819" s="83"/>
      <c r="AN819" s="83"/>
      <c r="AO819" s="83"/>
      <c r="AP819" s="94"/>
      <c r="AQ819" s="94"/>
    </row>
    <row r="820" ht="15.75" customHeight="1">
      <c r="A820" s="83"/>
      <c r="B820" s="83"/>
      <c r="C820" s="83"/>
      <c r="D820" s="83"/>
      <c r="E820" s="83"/>
      <c r="F820" s="83"/>
      <c r="G820" s="83"/>
      <c r="H820" s="83"/>
      <c r="I820" s="94"/>
      <c r="J820" s="83"/>
      <c r="K820" s="83"/>
      <c r="L820" s="94"/>
      <c r="M820" s="83"/>
      <c r="N820" s="94"/>
      <c r="O820" s="83"/>
      <c r="P820" s="492"/>
      <c r="Q820" s="83"/>
      <c r="R820" s="83"/>
      <c r="S820" s="83"/>
      <c r="T820" s="83"/>
      <c r="U820" s="83"/>
      <c r="V820" s="83"/>
      <c r="W820" s="94"/>
      <c r="X820" s="94"/>
      <c r="Y820" s="94"/>
      <c r="Z820" s="83"/>
      <c r="AA820" s="83"/>
      <c r="AB820" s="83"/>
      <c r="AC820" s="83"/>
      <c r="AD820" s="83"/>
      <c r="AE820" s="83"/>
      <c r="AF820" s="83"/>
      <c r="AG820" s="83"/>
      <c r="AH820" s="83"/>
      <c r="AI820" s="83"/>
      <c r="AJ820" s="83"/>
      <c r="AK820" s="83"/>
      <c r="AL820" s="83"/>
      <c r="AM820" s="83"/>
      <c r="AN820" s="83"/>
      <c r="AO820" s="83"/>
      <c r="AP820" s="94"/>
      <c r="AQ820" s="94"/>
    </row>
    <row r="821" ht="15.75" customHeight="1">
      <c r="A821" s="83"/>
      <c r="B821" s="83"/>
      <c r="C821" s="83"/>
      <c r="D821" s="83"/>
      <c r="E821" s="83"/>
      <c r="F821" s="83"/>
      <c r="G821" s="83"/>
      <c r="H821" s="83"/>
      <c r="I821" s="94"/>
      <c r="J821" s="83"/>
      <c r="K821" s="83"/>
      <c r="L821" s="94"/>
      <c r="M821" s="83"/>
      <c r="N821" s="94"/>
      <c r="O821" s="83"/>
      <c r="P821" s="492"/>
      <c r="Q821" s="83"/>
      <c r="R821" s="83"/>
      <c r="S821" s="83"/>
      <c r="T821" s="83"/>
      <c r="U821" s="83"/>
      <c r="V821" s="83"/>
      <c r="W821" s="94"/>
      <c r="X821" s="94"/>
      <c r="Y821" s="94"/>
      <c r="Z821" s="83"/>
      <c r="AA821" s="83"/>
      <c r="AB821" s="83"/>
      <c r="AC821" s="83"/>
      <c r="AD821" s="83"/>
      <c r="AE821" s="83"/>
      <c r="AF821" s="83"/>
      <c r="AG821" s="83"/>
      <c r="AH821" s="83"/>
      <c r="AI821" s="83"/>
      <c r="AJ821" s="83"/>
      <c r="AK821" s="83"/>
      <c r="AL821" s="83"/>
      <c r="AM821" s="83"/>
      <c r="AN821" s="83"/>
      <c r="AO821" s="83"/>
      <c r="AP821" s="94"/>
      <c r="AQ821" s="94"/>
    </row>
    <row r="822" ht="15.75" customHeight="1">
      <c r="A822" s="83"/>
      <c r="B822" s="83"/>
      <c r="C822" s="83"/>
      <c r="D822" s="83"/>
      <c r="E822" s="83"/>
      <c r="F822" s="83"/>
      <c r="G822" s="83"/>
      <c r="H822" s="83"/>
      <c r="I822" s="94"/>
      <c r="J822" s="83"/>
      <c r="K822" s="83"/>
      <c r="L822" s="94"/>
      <c r="M822" s="83"/>
      <c r="N822" s="94"/>
      <c r="O822" s="83"/>
      <c r="P822" s="492"/>
      <c r="Q822" s="83"/>
      <c r="R822" s="83"/>
      <c r="S822" s="83"/>
      <c r="T822" s="83"/>
      <c r="U822" s="83"/>
      <c r="V822" s="83"/>
      <c r="W822" s="94"/>
      <c r="X822" s="94"/>
      <c r="Y822" s="94"/>
      <c r="Z822" s="83"/>
      <c r="AA822" s="83"/>
      <c r="AB822" s="83"/>
      <c r="AC822" s="83"/>
      <c r="AD822" s="83"/>
      <c r="AE822" s="83"/>
      <c r="AF822" s="83"/>
      <c r="AG822" s="83"/>
      <c r="AH822" s="83"/>
      <c r="AI822" s="83"/>
      <c r="AJ822" s="83"/>
      <c r="AK822" s="83"/>
      <c r="AL822" s="83"/>
      <c r="AM822" s="83"/>
      <c r="AN822" s="83"/>
      <c r="AO822" s="83"/>
      <c r="AP822" s="94"/>
      <c r="AQ822" s="94"/>
    </row>
    <row r="823" ht="15.75" customHeight="1">
      <c r="A823" s="83"/>
      <c r="B823" s="83"/>
      <c r="C823" s="83"/>
      <c r="D823" s="83"/>
      <c r="E823" s="83"/>
      <c r="F823" s="83"/>
      <c r="G823" s="83"/>
      <c r="H823" s="83"/>
      <c r="I823" s="94"/>
      <c r="J823" s="83"/>
      <c r="K823" s="83"/>
      <c r="L823" s="94"/>
      <c r="M823" s="83"/>
      <c r="N823" s="94"/>
      <c r="O823" s="83"/>
      <c r="P823" s="492"/>
      <c r="Q823" s="83"/>
      <c r="R823" s="83"/>
      <c r="S823" s="83"/>
      <c r="T823" s="83"/>
      <c r="U823" s="83"/>
      <c r="V823" s="83"/>
      <c r="W823" s="94"/>
      <c r="X823" s="94"/>
      <c r="Y823" s="94"/>
      <c r="Z823" s="83"/>
      <c r="AA823" s="83"/>
      <c r="AB823" s="83"/>
      <c r="AC823" s="83"/>
      <c r="AD823" s="83"/>
      <c r="AE823" s="83"/>
      <c r="AF823" s="83"/>
      <c r="AG823" s="83"/>
      <c r="AH823" s="83"/>
      <c r="AI823" s="83"/>
      <c r="AJ823" s="83"/>
      <c r="AK823" s="83"/>
      <c r="AL823" s="83"/>
      <c r="AM823" s="83"/>
      <c r="AN823" s="83"/>
      <c r="AO823" s="83"/>
      <c r="AP823" s="94"/>
      <c r="AQ823" s="94"/>
    </row>
    <row r="824" ht="15.75" customHeight="1">
      <c r="A824" s="83"/>
      <c r="B824" s="83"/>
      <c r="C824" s="83"/>
      <c r="D824" s="83"/>
      <c r="E824" s="83"/>
      <c r="F824" s="83"/>
      <c r="G824" s="83"/>
      <c r="H824" s="83"/>
      <c r="I824" s="94"/>
      <c r="J824" s="83"/>
      <c r="K824" s="83"/>
      <c r="L824" s="94"/>
      <c r="M824" s="83"/>
      <c r="N824" s="94"/>
      <c r="O824" s="83"/>
      <c r="P824" s="492"/>
      <c r="Q824" s="83"/>
      <c r="R824" s="83"/>
      <c r="S824" s="83"/>
      <c r="T824" s="83"/>
      <c r="U824" s="83"/>
      <c r="V824" s="83"/>
      <c r="W824" s="94"/>
      <c r="X824" s="94"/>
      <c r="Y824" s="94"/>
      <c r="Z824" s="83"/>
      <c r="AA824" s="83"/>
      <c r="AB824" s="83"/>
      <c r="AC824" s="83"/>
      <c r="AD824" s="83"/>
      <c r="AE824" s="83"/>
      <c r="AF824" s="83"/>
      <c r="AG824" s="83"/>
      <c r="AH824" s="83"/>
      <c r="AI824" s="83"/>
      <c r="AJ824" s="83"/>
      <c r="AK824" s="83"/>
      <c r="AL824" s="83"/>
      <c r="AM824" s="83"/>
      <c r="AN824" s="83"/>
      <c r="AO824" s="83"/>
      <c r="AP824" s="94"/>
      <c r="AQ824" s="94"/>
    </row>
    <row r="825" ht="15.75" customHeight="1">
      <c r="A825" s="83"/>
      <c r="B825" s="83"/>
      <c r="C825" s="83"/>
      <c r="D825" s="83"/>
      <c r="E825" s="83"/>
      <c r="F825" s="83"/>
      <c r="G825" s="83"/>
      <c r="H825" s="83"/>
      <c r="I825" s="94"/>
      <c r="J825" s="83"/>
      <c r="K825" s="83"/>
      <c r="L825" s="94"/>
      <c r="M825" s="83"/>
      <c r="N825" s="94"/>
      <c r="O825" s="83"/>
      <c r="P825" s="492"/>
      <c r="Q825" s="83"/>
      <c r="R825" s="83"/>
      <c r="S825" s="83"/>
      <c r="T825" s="83"/>
      <c r="U825" s="83"/>
      <c r="V825" s="83"/>
      <c r="W825" s="94"/>
      <c r="X825" s="94"/>
      <c r="Y825" s="94"/>
      <c r="Z825" s="83"/>
      <c r="AA825" s="83"/>
      <c r="AB825" s="83"/>
      <c r="AC825" s="83"/>
      <c r="AD825" s="83"/>
      <c r="AE825" s="83"/>
      <c r="AF825" s="83"/>
      <c r="AG825" s="83"/>
      <c r="AH825" s="83"/>
      <c r="AI825" s="83"/>
      <c r="AJ825" s="83"/>
      <c r="AK825" s="83"/>
      <c r="AL825" s="83"/>
      <c r="AM825" s="83"/>
      <c r="AN825" s="83"/>
      <c r="AO825" s="83"/>
      <c r="AP825" s="94"/>
      <c r="AQ825" s="94"/>
    </row>
    <row r="826" ht="15.75" customHeight="1">
      <c r="A826" s="83"/>
      <c r="B826" s="83"/>
      <c r="C826" s="83"/>
      <c r="D826" s="83"/>
      <c r="E826" s="83"/>
      <c r="F826" s="83"/>
      <c r="G826" s="83"/>
      <c r="H826" s="83"/>
      <c r="I826" s="94"/>
      <c r="J826" s="83"/>
      <c r="K826" s="83"/>
      <c r="L826" s="94"/>
      <c r="M826" s="83"/>
      <c r="N826" s="94"/>
      <c r="O826" s="83"/>
      <c r="P826" s="492"/>
      <c r="Q826" s="83"/>
      <c r="R826" s="83"/>
      <c r="S826" s="83"/>
      <c r="T826" s="83"/>
      <c r="U826" s="83"/>
      <c r="V826" s="83"/>
      <c r="W826" s="94"/>
      <c r="X826" s="94"/>
      <c r="Y826" s="94"/>
      <c r="Z826" s="83"/>
      <c r="AA826" s="83"/>
      <c r="AB826" s="83"/>
      <c r="AC826" s="83"/>
      <c r="AD826" s="83"/>
      <c r="AE826" s="83"/>
      <c r="AF826" s="83"/>
      <c r="AG826" s="83"/>
      <c r="AH826" s="83"/>
      <c r="AI826" s="83"/>
      <c r="AJ826" s="83"/>
      <c r="AK826" s="83"/>
      <c r="AL826" s="83"/>
      <c r="AM826" s="83"/>
      <c r="AN826" s="83"/>
      <c r="AO826" s="83"/>
      <c r="AP826" s="94"/>
      <c r="AQ826" s="94"/>
    </row>
    <row r="827" ht="15.75" customHeight="1">
      <c r="A827" s="83"/>
      <c r="B827" s="83"/>
      <c r="C827" s="83"/>
      <c r="D827" s="83"/>
      <c r="E827" s="83"/>
      <c r="F827" s="83"/>
      <c r="G827" s="83"/>
      <c r="H827" s="83"/>
      <c r="I827" s="94"/>
      <c r="J827" s="83"/>
      <c r="K827" s="83"/>
      <c r="L827" s="94"/>
      <c r="M827" s="83"/>
      <c r="N827" s="94"/>
      <c r="O827" s="83"/>
      <c r="P827" s="492"/>
      <c r="Q827" s="83"/>
      <c r="R827" s="83"/>
      <c r="S827" s="83"/>
      <c r="T827" s="83"/>
      <c r="U827" s="83"/>
      <c r="V827" s="83"/>
      <c r="W827" s="94"/>
      <c r="X827" s="94"/>
      <c r="Y827" s="94"/>
      <c r="Z827" s="83"/>
      <c r="AA827" s="83"/>
      <c r="AB827" s="83"/>
      <c r="AC827" s="83"/>
      <c r="AD827" s="83"/>
      <c r="AE827" s="83"/>
      <c r="AF827" s="83"/>
      <c r="AG827" s="83"/>
      <c r="AH827" s="83"/>
      <c r="AI827" s="83"/>
      <c r="AJ827" s="83"/>
      <c r="AK827" s="83"/>
      <c r="AL827" s="83"/>
      <c r="AM827" s="83"/>
      <c r="AN827" s="83"/>
      <c r="AO827" s="83"/>
      <c r="AP827" s="94"/>
      <c r="AQ827" s="94"/>
    </row>
    <row r="828" ht="15.75" customHeight="1">
      <c r="A828" s="83"/>
      <c r="B828" s="83"/>
      <c r="C828" s="83"/>
      <c r="D828" s="83"/>
      <c r="E828" s="83"/>
      <c r="F828" s="83"/>
      <c r="G828" s="83"/>
      <c r="H828" s="83"/>
      <c r="I828" s="94"/>
      <c r="J828" s="83"/>
      <c r="K828" s="83"/>
      <c r="L828" s="94"/>
      <c r="M828" s="83"/>
      <c r="N828" s="94"/>
      <c r="O828" s="83"/>
      <c r="P828" s="492"/>
      <c r="Q828" s="83"/>
      <c r="R828" s="83"/>
      <c r="S828" s="83"/>
      <c r="T828" s="83"/>
      <c r="U828" s="83"/>
      <c r="V828" s="83"/>
      <c r="W828" s="94"/>
      <c r="X828" s="94"/>
      <c r="Y828" s="94"/>
      <c r="Z828" s="83"/>
      <c r="AA828" s="83"/>
      <c r="AB828" s="83"/>
      <c r="AC828" s="83"/>
      <c r="AD828" s="83"/>
      <c r="AE828" s="83"/>
      <c r="AF828" s="83"/>
      <c r="AG828" s="83"/>
      <c r="AH828" s="83"/>
      <c r="AI828" s="83"/>
      <c r="AJ828" s="83"/>
      <c r="AK828" s="83"/>
      <c r="AL828" s="83"/>
      <c r="AM828" s="83"/>
      <c r="AN828" s="83"/>
      <c r="AO828" s="83"/>
      <c r="AP828" s="94"/>
      <c r="AQ828" s="94"/>
    </row>
    <row r="829" ht="15.75" customHeight="1">
      <c r="A829" s="83"/>
      <c r="B829" s="83"/>
      <c r="C829" s="83"/>
      <c r="D829" s="83"/>
      <c r="E829" s="83"/>
      <c r="F829" s="83"/>
      <c r="G829" s="83"/>
      <c r="H829" s="83"/>
      <c r="I829" s="94"/>
      <c r="J829" s="83"/>
      <c r="K829" s="83"/>
      <c r="L829" s="94"/>
      <c r="M829" s="83"/>
      <c r="N829" s="94"/>
      <c r="O829" s="83"/>
      <c r="P829" s="492"/>
      <c r="Q829" s="83"/>
      <c r="R829" s="83"/>
      <c r="S829" s="83"/>
      <c r="T829" s="83"/>
      <c r="U829" s="83"/>
      <c r="V829" s="83"/>
      <c r="W829" s="94"/>
      <c r="X829" s="94"/>
      <c r="Y829" s="94"/>
      <c r="Z829" s="83"/>
      <c r="AA829" s="83"/>
      <c r="AB829" s="83"/>
      <c r="AC829" s="83"/>
      <c r="AD829" s="83"/>
      <c r="AE829" s="83"/>
      <c r="AF829" s="83"/>
      <c r="AG829" s="83"/>
      <c r="AH829" s="83"/>
      <c r="AI829" s="83"/>
      <c r="AJ829" s="83"/>
      <c r="AK829" s="83"/>
      <c r="AL829" s="83"/>
      <c r="AM829" s="83"/>
      <c r="AN829" s="83"/>
      <c r="AO829" s="83"/>
      <c r="AP829" s="94"/>
      <c r="AQ829" s="94"/>
    </row>
    <row r="830" ht="15.75" customHeight="1">
      <c r="A830" s="83"/>
      <c r="B830" s="83"/>
      <c r="C830" s="83"/>
      <c r="D830" s="83"/>
      <c r="E830" s="83"/>
      <c r="F830" s="83"/>
      <c r="G830" s="83"/>
      <c r="H830" s="83"/>
      <c r="I830" s="94"/>
      <c r="J830" s="83"/>
      <c r="K830" s="83"/>
      <c r="L830" s="94"/>
      <c r="M830" s="83"/>
      <c r="N830" s="94"/>
      <c r="O830" s="83"/>
      <c r="P830" s="492"/>
      <c r="Q830" s="83"/>
      <c r="R830" s="83"/>
      <c r="S830" s="83"/>
      <c r="T830" s="83"/>
      <c r="U830" s="83"/>
      <c r="V830" s="83"/>
      <c r="W830" s="94"/>
      <c r="X830" s="94"/>
      <c r="Y830" s="94"/>
      <c r="Z830" s="83"/>
      <c r="AA830" s="83"/>
      <c r="AB830" s="83"/>
      <c r="AC830" s="83"/>
      <c r="AD830" s="83"/>
      <c r="AE830" s="83"/>
      <c r="AF830" s="83"/>
      <c r="AG830" s="83"/>
      <c r="AH830" s="83"/>
      <c r="AI830" s="83"/>
      <c r="AJ830" s="83"/>
      <c r="AK830" s="83"/>
      <c r="AL830" s="83"/>
      <c r="AM830" s="83"/>
      <c r="AN830" s="83"/>
      <c r="AO830" s="83"/>
      <c r="AP830" s="94"/>
      <c r="AQ830" s="94"/>
    </row>
    <row r="831" ht="15.75" customHeight="1">
      <c r="A831" s="83"/>
      <c r="B831" s="83"/>
      <c r="C831" s="83"/>
      <c r="D831" s="83"/>
      <c r="E831" s="83"/>
      <c r="F831" s="83"/>
      <c r="G831" s="83"/>
      <c r="H831" s="83"/>
      <c r="I831" s="94"/>
      <c r="J831" s="83"/>
      <c r="K831" s="83"/>
      <c r="L831" s="94"/>
      <c r="M831" s="83"/>
      <c r="N831" s="94"/>
      <c r="O831" s="83"/>
      <c r="P831" s="492"/>
      <c r="Q831" s="83"/>
      <c r="R831" s="83"/>
      <c r="S831" s="83"/>
      <c r="T831" s="83"/>
      <c r="U831" s="83"/>
      <c r="V831" s="83"/>
      <c r="W831" s="94"/>
      <c r="X831" s="94"/>
      <c r="Y831" s="94"/>
      <c r="Z831" s="83"/>
      <c r="AA831" s="83"/>
      <c r="AB831" s="83"/>
      <c r="AC831" s="83"/>
      <c r="AD831" s="83"/>
      <c r="AE831" s="83"/>
      <c r="AF831" s="83"/>
      <c r="AG831" s="83"/>
      <c r="AH831" s="83"/>
      <c r="AI831" s="83"/>
      <c r="AJ831" s="83"/>
      <c r="AK831" s="83"/>
      <c r="AL831" s="83"/>
      <c r="AM831" s="83"/>
      <c r="AN831" s="83"/>
      <c r="AO831" s="83"/>
      <c r="AP831" s="94"/>
      <c r="AQ831" s="94"/>
    </row>
    <row r="832" ht="15.75" customHeight="1">
      <c r="A832" s="83"/>
      <c r="B832" s="83"/>
      <c r="C832" s="83"/>
      <c r="D832" s="83"/>
      <c r="E832" s="83"/>
      <c r="F832" s="83"/>
      <c r="G832" s="83"/>
      <c r="H832" s="83"/>
      <c r="I832" s="94"/>
      <c r="J832" s="83"/>
      <c r="K832" s="83"/>
      <c r="L832" s="94"/>
      <c r="M832" s="83"/>
      <c r="N832" s="94"/>
      <c r="O832" s="83"/>
      <c r="P832" s="492"/>
      <c r="Q832" s="83"/>
      <c r="R832" s="83"/>
      <c r="S832" s="83"/>
      <c r="T832" s="83"/>
      <c r="U832" s="83"/>
      <c r="V832" s="83"/>
      <c r="W832" s="94"/>
      <c r="X832" s="94"/>
      <c r="Y832" s="94"/>
      <c r="Z832" s="83"/>
      <c r="AA832" s="83"/>
      <c r="AB832" s="83"/>
      <c r="AC832" s="83"/>
      <c r="AD832" s="83"/>
      <c r="AE832" s="83"/>
      <c r="AF832" s="83"/>
      <c r="AG832" s="83"/>
      <c r="AH832" s="83"/>
      <c r="AI832" s="83"/>
      <c r="AJ832" s="83"/>
      <c r="AK832" s="83"/>
      <c r="AL832" s="83"/>
      <c r="AM832" s="83"/>
      <c r="AN832" s="83"/>
      <c r="AO832" s="83"/>
      <c r="AP832" s="94"/>
      <c r="AQ832" s="94"/>
    </row>
    <row r="833" ht="15.75" customHeight="1">
      <c r="A833" s="83"/>
      <c r="B833" s="83"/>
      <c r="C833" s="83"/>
      <c r="D833" s="83"/>
      <c r="E833" s="83"/>
      <c r="F833" s="83"/>
      <c r="G833" s="83"/>
      <c r="H833" s="83"/>
      <c r="I833" s="94"/>
      <c r="J833" s="83"/>
      <c r="K833" s="83"/>
      <c r="L833" s="94"/>
      <c r="M833" s="83"/>
      <c r="N833" s="94"/>
      <c r="O833" s="83"/>
      <c r="P833" s="492"/>
      <c r="Q833" s="83"/>
      <c r="R833" s="83"/>
      <c r="S833" s="83"/>
      <c r="T833" s="83"/>
      <c r="U833" s="83"/>
      <c r="V833" s="83"/>
      <c r="W833" s="94"/>
      <c r="X833" s="94"/>
      <c r="Y833" s="94"/>
      <c r="Z833" s="83"/>
      <c r="AA833" s="83"/>
      <c r="AB833" s="83"/>
      <c r="AC833" s="83"/>
      <c r="AD833" s="83"/>
      <c r="AE833" s="83"/>
      <c r="AF833" s="83"/>
      <c r="AG833" s="83"/>
      <c r="AH833" s="83"/>
      <c r="AI833" s="83"/>
      <c r="AJ833" s="83"/>
      <c r="AK833" s="83"/>
      <c r="AL833" s="83"/>
      <c r="AM833" s="83"/>
      <c r="AN833" s="83"/>
      <c r="AO833" s="83"/>
      <c r="AP833" s="94"/>
      <c r="AQ833" s="94"/>
    </row>
    <row r="834" ht="15.75" customHeight="1">
      <c r="A834" s="83"/>
      <c r="B834" s="83"/>
      <c r="C834" s="83"/>
      <c r="D834" s="83"/>
      <c r="E834" s="83"/>
      <c r="F834" s="83"/>
      <c r="G834" s="83"/>
      <c r="H834" s="83"/>
      <c r="I834" s="94"/>
      <c r="J834" s="83"/>
      <c r="K834" s="83"/>
      <c r="L834" s="94"/>
      <c r="M834" s="83"/>
      <c r="N834" s="94"/>
      <c r="O834" s="83"/>
      <c r="P834" s="492"/>
      <c r="Q834" s="83"/>
      <c r="R834" s="83"/>
      <c r="S834" s="83"/>
      <c r="T834" s="83"/>
      <c r="U834" s="83"/>
      <c r="V834" s="83"/>
      <c r="W834" s="94"/>
      <c r="X834" s="94"/>
      <c r="Y834" s="94"/>
      <c r="Z834" s="83"/>
      <c r="AA834" s="83"/>
      <c r="AB834" s="83"/>
      <c r="AC834" s="83"/>
      <c r="AD834" s="83"/>
      <c r="AE834" s="83"/>
      <c r="AF834" s="83"/>
      <c r="AG834" s="83"/>
      <c r="AH834" s="83"/>
      <c r="AI834" s="83"/>
      <c r="AJ834" s="83"/>
      <c r="AK834" s="83"/>
      <c r="AL834" s="83"/>
      <c r="AM834" s="83"/>
      <c r="AN834" s="83"/>
      <c r="AO834" s="83"/>
      <c r="AP834" s="94"/>
      <c r="AQ834" s="94"/>
    </row>
    <row r="835" ht="15.75" customHeight="1">
      <c r="A835" s="83"/>
      <c r="B835" s="83"/>
      <c r="C835" s="83"/>
      <c r="D835" s="83"/>
      <c r="E835" s="83"/>
      <c r="F835" s="83"/>
      <c r="G835" s="83"/>
      <c r="H835" s="83"/>
      <c r="I835" s="94"/>
      <c r="J835" s="83"/>
      <c r="K835" s="83"/>
      <c r="L835" s="94"/>
      <c r="M835" s="83"/>
      <c r="N835" s="94"/>
      <c r="O835" s="83"/>
      <c r="P835" s="492"/>
      <c r="Q835" s="83"/>
      <c r="R835" s="83"/>
      <c r="S835" s="83"/>
      <c r="T835" s="83"/>
      <c r="U835" s="83"/>
      <c r="V835" s="83"/>
      <c r="W835" s="94"/>
      <c r="X835" s="94"/>
      <c r="Y835" s="94"/>
      <c r="Z835" s="83"/>
      <c r="AA835" s="83"/>
      <c r="AB835" s="83"/>
      <c r="AC835" s="83"/>
      <c r="AD835" s="83"/>
      <c r="AE835" s="83"/>
      <c r="AF835" s="83"/>
      <c r="AG835" s="83"/>
      <c r="AH835" s="83"/>
      <c r="AI835" s="83"/>
      <c r="AJ835" s="83"/>
      <c r="AK835" s="83"/>
      <c r="AL835" s="83"/>
      <c r="AM835" s="83"/>
      <c r="AN835" s="83"/>
      <c r="AO835" s="83"/>
      <c r="AP835" s="94"/>
      <c r="AQ835" s="94"/>
    </row>
    <row r="836" ht="15.75" customHeight="1">
      <c r="A836" s="83"/>
      <c r="B836" s="83"/>
      <c r="C836" s="83"/>
      <c r="D836" s="83"/>
      <c r="E836" s="83"/>
      <c r="F836" s="83"/>
      <c r="G836" s="83"/>
      <c r="H836" s="83"/>
      <c r="I836" s="94"/>
      <c r="J836" s="83"/>
      <c r="K836" s="83"/>
      <c r="L836" s="94"/>
      <c r="M836" s="83"/>
      <c r="N836" s="94"/>
      <c r="O836" s="83"/>
      <c r="P836" s="492"/>
      <c r="Q836" s="83"/>
      <c r="R836" s="83"/>
      <c r="S836" s="83"/>
      <c r="T836" s="83"/>
      <c r="U836" s="83"/>
      <c r="V836" s="83"/>
      <c r="W836" s="94"/>
      <c r="X836" s="94"/>
      <c r="Y836" s="94"/>
      <c r="Z836" s="83"/>
      <c r="AA836" s="83"/>
      <c r="AB836" s="83"/>
      <c r="AC836" s="83"/>
      <c r="AD836" s="83"/>
      <c r="AE836" s="83"/>
      <c r="AF836" s="83"/>
      <c r="AG836" s="83"/>
      <c r="AH836" s="83"/>
      <c r="AI836" s="83"/>
      <c r="AJ836" s="83"/>
      <c r="AK836" s="83"/>
      <c r="AL836" s="83"/>
      <c r="AM836" s="83"/>
      <c r="AN836" s="83"/>
      <c r="AO836" s="83"/>
      <c r="AP836" s="94"/>
      <c r="AQ836" s="94"/>
    </row>
    <row r="837" ht="15.75" customHeight="1">
      <c r="A837" s="83"/>
      <c r="B837" s="83"/>
      <c r="C837" s="83"/>
      <c r="D837" s="83"/>
      <c r="E837" s="83"/>
      <c r="F837" s="83"/>
      <c r="G837" s="83"/>
      <c r="H837" s="83"/>
      <c r="I837" s="94"/>
      <c r="J837" s="83"/>
      <c r="K837" s="83"/>
      <c r="L837" s="94"/>
      <c r="M837" s="83"/>
      <c r="N837" s="94"/>
      <c r="O837" s="83"/>
      <c r="P837" s="492"/>
      <c r="Q837" s="83"/>
      <c r="R837" s="83"/>
      <c r="S837" s="83"/>
      <c r="T837" s="83"/>
      <c r="U837" s="83"/>
      <c r="V837" s="83"/>
      <c r="W837" s="94"/>
      <c r="X837" s="94"/>
      <c r="Y837" s="94"/>
      <c r="Z837" s="83"/>
      <c r="AA837" s="83"/>
      <c r="AB837" s="83"/>
      <c r="AC837" s="83"/>
      <c r="AD837" s="83"/>
      <c r="AE837" s="83"/>
      <c r="AF837" s="83"/>
      <c r="AG837" s="83"/>
      <c r="AH837" s="83"/>
      <c r="AI837" s="83"/>
      <c r="AJ837" s="83"/>
      <c r="AK837" s="83"/>
      <c r="AL837" s="83"/>
      <c r="AM837" s="83"/>
      <c r="AN837" s="83"/>
      <c r="AO837" s="83"/>
      <c r="AP837" s="94"/>
      <c r="AQ837" s="94"/>
    </row>
    <row r="838" ht="15.75" customHeight="1">
      <c r="A838" s="83"/>
      <c r="B838" s="83"/>
      <c r="C838" s="83"/>
      <c r="D838" s="83"/>
      <c r="E838" s="83"/>
      <c r="F838" s="83"/>
      <c r="G838" s="83"/>
      <c r="H838" s="83"/>
      <c r="I838" s="94"/>
      <c r="J838" s="83"/>
      <c r="K838" s="83"/>
      <c r="L838" s="94"/>
      <c r="M838" s="83"/>
      <c r="N838" s="94"/>
      <c r="O838" s="83"/>
      <c r="P838" s="492"/>
      <c r="Q838" s="83"/>
      <c r="R838" s="83"/>
      <c r="S838" s="83"/>
      <c r="T838" s="83"/>
      <c r="U838" s="83"/>
      <c r="V838" s="83"/>
      <c r="W838" s="94"/>
      <c r="X838" s="94"/>
      <c r="Y838" s="94"/>
      <c r="Z838" s="83"/>
      <c r="AA838" s="83"/>
      <c r="AB838" s="83"/>
      <c r="AC838" s="83"/>
      <c r="AD838" s="83"/>
      <c r="AE838" s="83"/>
      <c r="AF838" s="83"/>
      <c r="AG838" s="83"/>
      <c r="AH838" s="83"/>
      <c r="AI838" s="83"/>
      <c r="AJ838" s="83"/>
      <c r="AK838" s="83"/>
      <c r="AL838" s="83"/>
      <c r="AM838" s="83"/>
      <c r="AN838" s="83"/>
      <c r="AO838" s="83"/>
      <c r="AP838" s="94"/>
      <c r="AQ838" s="94"/>
    </row>
    <row r="839" ht="15.75" customHeight="1">
      <c r="A839" s="83"/>
      <c r="B839" s="83"/>
      <c r="C839" s="83"/>
      <c r="D839" s="83"/>
      <c r="E839" s="83"/>
      <c r="F839" s="83"/>
      <c r="G839" s="83"/>
      <c r="H839" s="83"/>
      <c r="I839" s="94"/>
      <c r="J839" s="83"/>
      <c r="K839" s="83"/>
      <c r="L839" s="94"/>
      <c r="M839" s="83"/>
      <c r="N839" s="94"/>
      <c r="O839" s="83"/>
      <c r="P839" s="492"/>
      <c r="Q839" s="83"/>
      <c r="R839" s="83"/>
      <c r="S839" s="83"/>
      <c r="T839" s="83"/>
      <c r="U839" s="83"/>
      <c r="V839" s="83"/>
      <c r="W839" s="94"/>
      <c r="X839" s="94"/>
      <c r="Y839" s="94"/>
      <c r="Z839" s="83"/>
      <c r="AA839" s="83"/>
      <c r="AB839" s="83"/>
      <c r="AC839" s="83"/>
      <c r="AD839" s="83"/>
      <c r="AE839" s="83"/>
      <c r="AF839" s="83"/>
      <c r="AG839" s="83"/>
      <c r="AH839" s="83"/>
      <c r="AI839" s="83"/>
      <c r="AJ839" s="83"/>
      <c r="AK839" s="83"/>
      <c r="AL839" s="83"/>
      <c r="AM839" s="83"/>
      <c r="AN839" s="83"/>
      <c r="AO839" s="83"/>
      <c r="AP839" s="94"/>
      <c r="AQ839" s="94"/>
    </row>
    <row r="840" ht="15.75" customHeight="1">
      <c r="A840" s="83"/>
      <c r="B840" s="83"/>
      <c r="C840" s="83"/>
      <c r="D840" s="83"/>
      <c r="E840" s="83"/>
      <c r="F840" s="83"/>
      <c r="G840" s="83"/>
      <c r="H840" s="83"/>
      <c r="I840" s="94"/>
      <c r="J840" s="83"/>
      <c r="K840" s="83"/>
      <c r="L840" s="94"/>
      <c r="M840" s="83"/>
      <c r="N840" s="94"/>
      <c r="O840" s="83"/>
      <c r="P840" s="492"/>
      <c r="Q840" s="83"/>
      <c r="R840" s="83"/>
      <c r="S840" s="83"/>
      <c r="T840" s="83"/>
      <c r="U840" s="83"/>
      <c r="V840" s="83"/>
      <c r="W840" s="94"/>
      <c r="X840" s="94"/>
      <c r="Y840" s="94"/>
      <c r="Z840" s="83"/>
      <c r="AA840" s="83"/>
      <c r="AB840" s="83"/>
      <c r="AC840" s="83"/>
      <c r="AD840" s="83"/>
      <c r="AE840" s="83"/>
      <c r="AF840" s="83"/>
      <c r="AG840" s="83"/>
      <c r="AH840" s="83"/>
      <c r="AI840" s="83"/>
      <c r="AJ840" s="83"/>
      <c r="AK840" s="83"/>
      <c r="AL840" s="83"/>
      <c r="AM840" s="83"/>
      <c r="AN840" s="83"/>
      <c r="AO840" s="83"/>
      <c r="AP840" s="94"/>
      <c r="AQ840" s="94"/>
    </row>
    <row r="841" ht="15.75" customHeight="1">
      <c r="A841" s="83"/>
      <c r="B841" s="83"/>
      <c r="C841" s="83"/>
      <c r="D841" s="83"/>
      <c r="E841" s="83"/>
      <c r="F841" s="83"/>
      <c r="G841" s="83"/>
      <c r="H841" s="83"/>
      <c r="I841" s="94"/>
      <c r="J841" s="83"/>
      <c r="K841" s="83"/>
      <c r="L841" s="94"/>
      <c r="M841" s="83"/>
      <c r="N841" s="94"/>
      <c r="O841" s="83"/>
      <c r="P841" s="492"/>
      <c r="Q841" s="83"/>
      <c r="R841" s="83"/>
      <c r="S841" s="83"/>
      <c r="T841" s="83"/>
      <c r="U841" s="83"/>
      <c r="V841" s="83"/>
      <c r="W841" s="94"/>
      <c r="X841" s="94"/>
      <c r="Y841" s="94"/>
      <c r="Z841" s="83"/>
      <c r="AA841" s="83"/>
      <c r="AB841" s="83"/>
      <c r="AC841" s="83"/>
      <c r="AD841" s="83"/>
      <c r="AE841" s="83"/>
      <c r="AF841" s="83"/>
      <c r="AG841" s="83"/>
      <c r="AH841" s="83"/>
      <c r="AI841" s="83"/>
      <c r="AJ841" s="83"/>
      <c r="AK841" s="83"/>
      <c r="AL841" s="83"/>
      <c r="AM841" s="83"/>
      <c r="AN841" s="83"/>
      <c r="AO841" s="83"/>
      <c r="AP841" s="94"/>
      <c r="AQ841" s="94"/>
    </row>
    <row r="842" ht="15.75" customHeight="1">
      <c r="A842" s="83"/>
      <c r="B842" s="83"/>
      <c r="C842" s="83"/>
      <c r="D842" s="83"/>
      <c r="E842" s="83"/>
      <c r="F842" s="83"/>
      <c r="G842" s="83"/>
      <c r="H842" s="83"/>
      <c r="I842" s="94"/>
      <c r="J842" s="83"/>
      <c r="K842" s="83"/>
      <c r="L842" s="94"/>
      <c r="M842" s="83"/>
      <c r="N842" s="94"/>
      <c r="O842" s="83"/>
      <c r="P842" s="492"/>
      <c r="Q842" s="83"/>
      <c r="R842" s="83"/>
      <c r="S842" s="83"/>
      <c r="T842" s="83"/>
      <c r="U842" s="83"/>
      <c r="V842" s="83"/>
      <c r="W842" s="94"/>
      <c r="X842" s="94"/>
      <c r="Y842" s="94"/>
      <c r="Z842" s="83"/>
      <c r="AA842" s="83"/>
      <c r="AB842" s="83"/>
      <c r="AC842" s="83"/>
      <c r="AD842" s="83"/>
      <c r="AE842" s="83"/>
      <c r="AF842" s="83"/>
      <c r="AG842" s="83"/>
      <c r="AH842" s="83"/>
      <c r="AI842" s="83"/>
      <c r="AJ842" s="83"/>
      <c r="AK842" s="83"/>
      <c r="AL842" s="83"/>
      <c r="AM842" s="83"/>
      <c r="AN842" s="83"/>
      <c r="AO842" s="83"/>
      <c r="AP842" s="94"/>
      <c r="AQ842" s="94"/>
    </row>
    <row r="843" ht="15.75" customHeight="1">
      <c r="A843" s="83"/>
      <c r="B843" s="83"/>
      <c r="C843" s="83"/>
      <c r="D843" s="83"/>
      <c r="E843" s="83"/>
      <c r="F843" s="83"/>
      <c r="G843" s="83"/>
      <c r="H843" s="83"/>
      <c r="I843" s="94"/>
      <c r="J843" s="83"/>
      <c r="K843" s="83"/>
      <c r="L843" s="94"/>
      <c r="M843" s="83"/>
      <c r="N843" s="94"/>
      <c r="O843" s="83"/>
      <c r="P843" s="492"/>
      <c r="Q843" s="83"/>
      <c r="R843" s="83"/>
      <c r="S843" s="83"/>
      <c r="T843" s="83"/>
      <c r="U843" s="83"/>
      <c r="V843" s="83"/>
      <c r="W843" s="94"/>
      <c r="X843" s="94"/>
      <c r="Y843" s="94"/>
      <c r="Z843" s="83"/>
      <c r="AA843" s="83"/>
      <c r="AB843" s="83"/>
      <c r="AC843" s="83"/>
      <c r="AD843" s="83"/>
      <c r="AE843" s="83"/>
      <c r="AF843" s="83"/>
      <c r="AG843" s="83"/>
      <c r="AH843" s="83"/>
      <c r="AI843" s="83"/>
      <c r="AJ843" s="83"/>
      <c r="AK843" s="83"/>
      <c r="AL843" s="83"/>
      <c r="AM843" s="83"/>
      <c r="AN843" s="83"/>
      <c r="AO843" s="83"/>
      <c r="AP843" s="94"/>
      <c r="AQ843" s="94"/>
    </row>
    <row r="844" ht="15.75" customHeight="1">
      <c r="A844" s="83"/>
      <c r="B844" s="83"/>
      <c r="C844" s="83"/>
      <c r="D844" s="83"/>
      <c r="E844" s="83"/>
      <c r="F844" s="83"/>
      <c r="G844" s="83"/>
      <c r="H844" s="83"/>
      <c r="I844" s="94"/>
      <c r="J844" s="83"/>
      <c r="K844" s="83"/>
      <c r="L844" s="94"/>
      <c r="M844" s="83"/>
      <c r="N844" s="94"/>
      <c r="O844" s="83"/>
      <c r="P844" s="492"/>
      <c r="Q844" s="83"/>
      <c r="R844" s="83"/>
      <c r="S844" s="83"/>
      <c r="T844" s="83"/>
      <c r="U844" s="83"/>
      <c r="V844" s="83"/>
      <c r="W844" s="94"/>
      <c r="X844" s="94"/>
      <c r="Y844" s="94"/>
      <c r="Z844" s="83"/>
      <c r="AA844" s="83"/>
      <c r="AB844" s="83"/>
      <c r="AC844" s="83"/>
      <c r="AD844" s="83"/>
      <c r="AE844" s="83"/>
      <c r="AF844" s="83"/>
      <c r="AG844" s="83"/>
      <c r="AH844" s="83"/>
      <c r="AI844" s="83"/>
      <c r="AJ844" s="83"/>
      <c r="AK844" s="83"/>
      <c r="AL844" s="83"/>
      <c r="AM844" s="83"/>
      <c r="AN844" s="83"/>
      <c r="AO844" s="83"/>
      <c r="AP844" s="94"/>
      <c r="AQ844" s="94"/>
    </row>
    <row r="845" ht="15.75" customHeight="1">
      <c r="A845" s="83"/>
      <c r="B845" s="83"/>
      <c r="C845" s="83"/>
      <c r="D845" s="83"/>
      <c r="E845" s="83"/>
      <c r="F845" s="83"/>
      <c r="G845" s="83"/>
      <c r="H845" s="83"/>
      <c r="I845" s="94"/>
      <c r="J845" s="83"/>
      <c r="K845" s="83"/>
      <c r="L845" s="94"/>
      <c r="M845" s="83"/>
      <c r="N845" s="94"/>
      <c r="O845" s="83"/>
      <c r="P845" s="492"/>
      <c r="Q845" s="83"/>
      <c r="R845" s="83"/>
      <c r="S845" s="83"/>
      <c r="T845" s="83"/>
      <c r="U845" s="83"/>
      <c r="V845" s="83"/>
      <c r="W845" s="94"/>
      <c r="X845" s="94"/>
      <c r="Y845" s="94"/>
      <c r="Z845" s="83"/>
      <c r="AA845" s="83"/>
      <c r="AB845" s="83"/>
      <c r="AC845" s="83"/>
      <c r="AD845" s="83"/>
      <c r="AE845" s="83"/>
      <c r="AF845" s="83"/>
      <c r="AG845" s="83"/>
      <c r="AH845" s="83"/>
      <c r="AI845" s="83"/>
      <c r="AJ845" s="83"/>
      <c r="AK845" s="83"/>
      <c r="AL845" s="83"/>
      <c r="AM845" s="83"/>
      <c r="AN845" s="83"/>
      <c r="AO845" s="83"/>
      <c r="AP845" s="94"/>
      <c r="AQ845" s="94"/>
    </row>
    <row r="846" ht="15.75" customHeight="1">
      <c r="A846" s="83"/>
      <c r="B846" s="83"/>
      <c r="C846" s="83"/>
      <c r="D846" s="83"/>
      <c r="E846" s="83"/>
      <c r="F846" s="83"/>
      <c r="G846" s="83"/>
      <c r="H846" s="83"/>
      <c r="I846" s="94"/>
      <c r="J846" s="83"/>
      <c r="K846" s="83"/>
      <c r="L846" s="94"/>
      <c r="M846" s="83"/>
      <c r="N846" s="94"/>
      <c r="O846" s="83"/>
      <c r="P846" s="492"/>
      <c r="Q846" s="83"/>
      <c r="R846" s="83"/>
      <c r="S846" s="83"/>
      <c r="T846" s="83"/>
      <c r="U846" s="83"/>
      <c r="V846" s="83"/>
      <c r="W846" s="94"/>
      <c r="X846" s="94"/>
      <c r="Y846" s="94"/>
      <c r="Z846" s="83"/>
      <c r="AA846" s="83"/>
      <c r="AB846" s="83"/>
      <c r="AC846" s="83"/>
      <c r="AD846" s="83"/>
      <c r="AE846" s="83"/>
      <c r="AF846" s="83"/>
      <c r="AG846" s="83"/>
      <c r="AH846" s="83"/>
      <c r="AI846" s="83"/>
      <c r="AJ846" s="83"/>
      <c r="AK846" s="83"/>
      <c r="AL846" s="83"/>
      <c r="AM846" s="83"/>
      <c r="AN846" s="83"/>
      <c r="AO846" s="83"/>
      <c r="AP846" s="94"/>
      <c r="AQ846" s="94"/>
    </row>
    <row r="847" ht="15.75" customHeight="1">
      <c r="A847" s="83"/>
      <c r="B847" s="83"/>
      <c r="C847" s="83"/>
      <c r="D847" s="83"/>
      <c r="E847" s="83"/>
      <c r="F847" s="83"/>
      <c r="G847" s="83"/>
      <c r="H847" s="83"/>
      <c r="I847" s="94"/>
      <c r="J847" s="83"/>
      <c r="K847" s="83"/>
      <c r="L847" s="94"/>
      <c r="M847" s="83"/>
      <c r="N847" s="94"/>
      <c r="O847" s="83"/>
      <c r="P847" s="492"/>
      <c r="Q847" s="83"/>
      <c r="R847" s="83"/>
      <c r="S847" s="83"/>
      <c r="T847" s="83"/>
      <c r="U847" s="83"/>
      <c r="V847" s="83"/>
      <c r="W847" s="94"/>
      <c r="X847" s="94"/>
      <c r="Y847" s="94"/>
      <c r="Z847" s="83"/>
      <c r="AA847" s="83"/>
      <c r="AB847" s="83"/>
      <c r="AC847" s="83"/>
      <c r="AD847" s="83"/>
      <c r="AE847" s="83"/>
      <c r="AF847" s="83"/>
      <c r="AG847" s="83"/>
      <c r="AH847" s="83"/>
      <c r="AI847" s="83"/>
      <c r="AJ847" s="83"/>
      <c r="AK847" s="83"/>
      <c r="AL847" s="83"/>
      <c r="AM847" s="83"/>
      <c r="AN847" s="83"/>
      <c r="AO847" s="83"/>
      <c r="AP847" s="94"/>
      <c r="AQ847" s="94"/>
    </row>
    <row r="848" ht="15.75" customHeight="1">
      <c r="A848" s="83"/>
      <c r="B848" s="83"/>
      <c r="C848" s="83"/>
      <c r="D848" s="83"/>
      <c r="E848" s="83"/>
      <c r="F848" s="83"/>
      <c r="G848" s="83"/>
      <c r="H848" s="83"/>
      <c r="I848" s="94"/>
      <c r="J848" s="83"/>
      <c r="K848" s="83"/>
      <c r="L848" s="94"/>
      <c r="M848" s="83"/>
      <c r="N848" s="94"/>
      <c r="O848" s="83"/>
      <c r="P848" s="492"/>
      <c r="Q848" s="83"/>
      <c r="R848" s="83"/>
      <c r="S848" s="83"/>
      <c r="T848" s="83"/>
      <c r="U848" s="83"/>
      <c r="V848" s="83"/>
      <c r="W848" s="94"/>
      <c r="X848" s="94"/>
      <c r="Y848" s="94"/>
      <c r="Z848" s="83"/>
      <c r="AA848" s="83"/>
      <c r="AB848" s="83"/>
      <c r="AC848" s="83"/>
      <c r="AD848" s="83"/>
      <c r="AE848" s="83"/>
      <c r="AF848" s="83"/>
      <c r="AG848" s="83"/>
      <c r="AH848" s="83"/>
      <c r="AI848" s="83"/>
      <c r="AJ848" s="83"/>
      <c r="AK848" s="83"/>
      <c r="AL848" s="83"/>
      <c r="AM848" s="83"/>
      <c r="AN848" s="83"/>
      <c r="AO848" s="83"/>
      <c r="AP848" s="94"/>
      <c r="AQ848" s="94"/>
    </row>
    <row r="849" ht="15.75" customHeight="1">
      <c r="A849" s="83"/>
      <c r="B849" s="83"/>
      <c r="C849" s="83"/>
      <c r="D849" s="83"/>
      <c r="E849" s="83"/>
      <c r="F849" s="83"/>
      <c r="G849" s="83"/>
      <c r="H849" s="83"/>
      <c r="I849" s="94"/>
      <c r="J849" s="83"/>
      <c r="K849" s="83"/>
      <c r="L849" s="94"/>
      <c r="M849" s="83"/>
      <c r="N849" s="94"/>
      <c r="O849" s="83"/>
      <c r="P849" s="492"/>
      <c r="Q849" s="83"/>
      <c r="R849" s="83"/>
      <c r="S849" s="83"/>
      <c r="T849" s="83"/>
      <c r="U849" s="83"/>
      <c r="V849" s="83"/>
      <c r="W849" s="94"/>
      <c r="X849" s="94"/>
      <c r="Y849" s="94"/>
      <c r="Z849" s="83"/>
      <c r="AA849" s="83"/>
      <c r="AB849" s="83"/>
      <c r="AC849" s="83"/>
      <c r="AD849" s="83"/>
      <c r="AE849" s="83"/>
      <c r="AF849" s="83"/>
      <c r="AG849" s="83"/>
      <c r="AH849" s="83"/>
      <c r="AI849" s="83"/>
      <c r="AJ849" s="83"/>
      <c r="AK849" s="83"/>
      <c r="AL849" s="83"/>
      <c r="AM849" s="83"/>
      <c r="AN849" s="83"/>
      <c r="AO849" s="83"/>
      <c r="AP849" s="94"/>
      <c r="AQ849" s="94"/>
    </row>
    <row r="850" ht="15.75" customHeight="1">
      <c r="A850" s="83"/>
      <c r="B850" s="83"/>
      <c r="C850" s="83"/>
      <c r="D850" s="83"/>
      <c r="E850" s="83"/>
      <c r="F850" s="83"/>
      <c r="G850" s="83"/>
      <c r="H850" s="83"/>
      <c r="I850" s="94"/>
      <c r="J850" s="83"/>
      <c r="K850" s="83"/>
      <c r="L850" s="94"/>
      <c r="M850" s="83"/>
      <c r="N850" s="94"/>
      <c r="O850" s="83"/>
      <c r="P850" s="492"/>
      <c r="Q850" s="83"/>
      <c r="R850" s="83"/>
      <c r="S850" s="83"/>
      <c r="T850" s="83"/>
      <c r="U850" s="83"/>
      <c r="V850" s="83"/>
      <c r="W850" s="94"/>
      <c r="X850" s="94"/>
      <c r="Y850" s="94"/>
      <c r="Z850" s="83"/>
      <c r="AA850" s="83"/>
      <c r="AB850" s="83"/>
      <c r="AC850" s="83"/>
      <c r="AD850" s="83"/>
      <c r="AE850" s="83"/>
      <c r="AF850" s="83"/>
      <c r="AG850" s="83"/>
      <c r="AH850" s="83"/>
      <c r="AI850" s="83"/>
      <c r="AJ850" s="83"/>
      <c r="AK850" s="83"/>
      <c r="AL850" s="83"/>
      <c r="AM850" s="83"/>
      <c r="AN850" s="83"/>
      <c r="AO850" s="83"/>
      <c r="AP850" s="94"/>
      <c r="AQ850" s="94"/>
    </row>
    <row r="851" ht="15.75" customHeight="1">
      <c r="A851" s="83"/>
      <c r="B851" s="83"/>
      <c r="C851" s="83"/>
      <c r="D851" s="83"/>
      <c r="E851" s="83"/>
      <c r="F851" s="83"/>
      <c r="G851" s="83"/>
      <c r="H851" s="83"/>
      <c r="I851" s="94"/>
      <c r="J851" s="83"/>
      <c r="K851" s="83"/>
      <c r="L851" s="94"/>
      <c r="M851" s="83"/>
      <c r="N851" s="94"/>
      <c r="O851" s="83"/>
      <c r="P851" s="492"/>
      <c r="Q851" s="83"/>
      <c r="R851" s="83"/>
      <c r="S851" s="83"/>
      <c r="T851" s="83"/>
      <c r="U851" s="83"/>
      <c r="V851" s="83"/>
      <c r="W851" s="94"/>
      <c r="X851" s="94"/>
      <c r="Y851" s="94"/>
      <c r="Z851" s="83"/>
      <c r="AA851" s="83"/>
      <c r="AB851" s="83"/>
      <c r="AC851" s="83"/>
      <c r="AD851" s="83"/>
      <c r="AE851" s="83"/>
      <c r="AF851" s="83"/>
      <c r="AG851" s="83"/>
      <c r="AH851" s="83"/>
      <c r="AI851" s="83"/>
      <c r="AJ851" s="83"/>
      <c r="AK851" s="83"/>
      <c r="AL851" s="83"/>
      <c r="AM851" s="83"/>
      <c r="AN851" s="83"/>
      <c r="AO851" s="83"/>
      <c r="AP851" s="94"/>
      <c r="AQ851" s="94"/>
    </row>
    <row r="852" ht="15.75" customHeight="1">
      <c r="A852" s="83"/>
      <c r="B852" s="83"/>
      <c r="C852" s="83"/>
      <c r="D852" s="83"/>
      <c r="E852" s="83"/>
      <c r="F852" s="83"/>
      <c r="G852" s="83"/>
      <c r="H852" s="83"/>
      <c r="I852" s="94"/>
      <c r="J852" s="83"/>
      <c r="K852" s="83"/>
      <c r="L852" s="94"/>
      <c r="M852" s="83"/>
      <c r="N852" s="94"/>
      <c r="O852" s="83"/>
      <c r="P852" s="492"/>
      <c r="Q852" s="83"/>
      <c r="R852" s="83"/>
      <c r="S852" s="83"/>
      <c r="T852" s="83"/>
      <c r="U852" s="83"/>
      <c r="V852" s="83"/>
      <c r="W852" s="94"/>
      <c r="X852" s="94"/>
      <c r="Y852" s="94"/>
      <c r="Z852" s="83"/>
      <c r="AA852" s="83"/>
      <c r="AB852" s="83"/>
      <c r="AC852" s="83"/>
      <c r="AD852" s="83"/>
      <c r="AE852" s="83"/>
      <c r="AF852" s="83"/>
      <c r="AG852" s="83"/>
      <c r="AH852" s="83"/>
      <c r="AI852" s="83"/>
      <c r="AJ852" s="83"/>
      <c r="AK852" s="83"/>
      <c r="AL852" s="83"/>
      <c r="AM852" s="83"/>
      <c r="AN852" s="83"/>
      <c r="AO852" s="83"/>
      <c r="AP852" s="94"/>
      <c r="AQ852" s="94"/>
    </row>
    <row r="853" ht="15.75" customHeight="1">
      <c r="A853" s="83"/>
      <c r="B853" s="83"/>
      <c r="C853" s="83"/>
      <c r="D853" s="83"/>
      <c r="E853" s="83"/>
      <c r="F853" s="83"/>
      <c r="G853" s="83"/>
      <c r="H853" s="83"/>
      <c r="I853" s="94"/>
      <c r="J853" s="83"/>
      <c r="K853" s="83"/>
      <c r="L853" s="94"/>
      <c r="M853" s="83"/>
      <c r="N853" s="94"/>
      <c r="O853" s="83"/>
      <c r="P853" s="492"/>
      <c r="Q853" s="83"/>
      <c r="R853" s="83"/>
      <c r="S853" s="83"/>
      <c r="T853" s="83"/>
      <c r="U853" s="83"/>
      <c r="V853" s="83"/>
      <c r="W853" s="94"/>
      <c r="X853" s="94"/>
      <c r="Y853" s="94"/>
      <c r="Z853" s="83"/>
      <c r="AA853" s="83"/>
      <c r="AB853" s="83"/>
      <c r="AC853" s="83"/>
      <c r="AD853" s="83"/>
      <c r="AE853" s="83"/>
      <c r="AF853" s="83"/>
      <c r="AG853" s="83"/>
      <c r="AH853" s="83"/>
      <c r="AI853" s="83"/>
      <c r="AJ853" s="83"/>
      <c r="AK853" s="83"/>
      <c r="AL853" s="83"/>
      <c r="AM853" s="83"/>
      <c r="AN853" s="83"/>
      <c r="AO853" s="83"/>
      <c r="AP853" s="94"/>
      <c r="AQ853" s="94"/>
    </row>
    <row r="854" ht="15.75" customHeight="1">
      <c r="A854" s="83"/>
      <c r="B854" s="83"/>
      <c r="C854" s="83"/>
      <c r="D854" s="83"/>
      <c r="E854" s="83"/>
      <c r="F854" s="83"/>
      <c r="G854" s="83"/>
      <c r="H854" s="83"/>
      <c r="I854" s="94"/>
      <c r="J854" s="83"/>
      <c r="K854" s="83"/>
      <c r="L854" s="94"/>
      <c r="M854" s="83"/>
      <c r="N854" s="94"/>
      <c r="O854" s="83"/>
      <c r="P854" s="492"/>
      <c r="Q854" s="83"/>
      <c r="R854" s="83"/>
      <c r="S854" s="83"/>
      <c r="T854" s="83"/>
      <c r="U854" s="83"/>
      <c r="V854" s="83"/>
      <c r="W854" s="94"/>
      <c r="X854" s="94"/>
      <c r="Y854" s="94"/>
      <c r="Z854" s="83"/>
      <c r="AA854" s="83"/>
      <c r="AB854" s="83"/>
      <c r="AC854" s="83"/>
      <c r="AD854" s="83"/>
      <c r="AE854" s="83"/>
      <c r="AF854" s="83"/>
      <c r="AG854" s="83"/>
      <c r="AH854" s="83"/>
      <c r="AI854" s="83"/>
      <c r="AJ854" s="83"/>
      <c r="AK854" s="83"/>
      <c r="AL854" s="83"/>
      <c r="AM854" s="83"/>
      <c r="AN854" s="83"/>
      <c r="AO854" s="83"/>
      <c r="AP854" s="94"/>
      <c r="AQ854" s="94"/>
    </row>
    <row r="855" ht="15.75" customHeight="1">
      <c r="A855" s="83"/>
      <c r="B855" s="83"/>
      <c r="C855" s="83"/>
      <c r="D855" s="83"/>
      <c r="E855" s="83"/>
      <c r="F855" s="83"/>
      <c r="G855" s="83"/>
      <c r="H855" s="83"/>
      <c r="I855" s="94"/>
      <c r="J855" s="83"/>
      <c r="K855" s="83"/>
      <c r="L855" s="94"/>
      <c r="M855" s="83"/>
      <c r="N855" s="94"/>
      <c r="O855" s="83"/>
      <c r="P855" s="492"/>
      <c r="Q855" s="83"/>
      <c r="R855" s="83"/>
      <c r="S855" s="83"/>
      <c r="T855" s="83"/>
      <c r="U855" s="83"/>
      <c r="V855" s="83"/>
      <c r="W855" s="94"/>
      <c r="X855" s="94"/>
      <c r="Y855" s="94"/>
      <c r="Z855" s="83"/>
      <c r="AA855" s="83"/>
      <c r="AB855" s="83"/>
      <c r="AC855" s="83"/>
      <c r="AD855" s="83"/>
      <c r="AE855" s="83"/>
      <c r="AF855" s="83"/>
      <c r="AG855" s="83"/>
      <c r="AH855" s="83"/>
      <c r="AI855" s="83"/>
      <c r="AJ855" s="83"/>
      <c r="AK855" s="83"/>
      <c r="AL855" s="83"/>
      <c r="AM855" s="83"/>
      <c r="AN855" s="83"/>
      <c r="AO855" s="83"/>
      <c r="AP855" s="94"/>
      <c r="AQ855" s="94"/>
    </row>
    <row r="856" ht="15.75" customHeight="1">
      <c r="A856" s="83"/>
      <c r="B856" s="83"/>
      <c r="C856" s="83"/>
      <c r="D856" s="83"/>
      <c r="E856" s="83"/>
      <c r="F856" s="83"/>
      <c r="G856" s="83"/>
      <c r="H856" s="83"/>
      <c r="I856" s="94"/>
      <c r="J856" s="83"/>
      <c r="K856" s="83"/>
      <c r="L856" s="94"/>
      <c r="M856" s="83"/>
      <c r="N856" s="94"/>
      <c r="O856" s="83"/>
      <c r="P856" s="492"/>
      <c r="Q856" s="83"/>
      <c r="R856" s="83"/>
      <c r="S856" s="83"/>
      <c r="T856" s="83"/>
      <c r="U856" s="83"/>
      <c r="V856" s="83"/>
      <c r="W856" s="94"/>
      <c r="X856" s="94"/>
      <c r="Y856" s="94"/>
      <c r="Z856" s="83"/>
      <c r="AA856" s="83"/>
      <c r="AB856" s="83"/>
      <c r="AC856" s="83"/>
      <c r="AD856" s="83"/>
      <c r="AE856" s="83"/>
      <c r="AF856" s="83"/>
      <c r="AG856" s="83"/>
      <c r="AH856" s="83"/>
      <c r="AI856" s="83"/>
      <c r="AJ856" s="83"/>
      <c r="AK856" s="83"/>
      <c r="AL856" s="83"/>
      <c r="AM856" s="83"/>
      <c r="AN856" s="83"/>
      <c r="AO856" s="83"/>
      <c r="AP856" s="94"/>
      <c r="AQ856" s="94"/>
    </row>
    <row r="857" ht="15.75" customHeight="1">
      <c r="A857" s="83"/>
      <c r="B857" s="83"/>
      <c r="C857" s="83"/>
      <c r="D857" s="83"/>
      <c r="E857" s="83"/>
      <c r="F857" s="83"/>
      <c r="G857" s="83"/>
      <c r="H857" s="83"/>
      <c r="I857" s="94"/>
      <c r="J857" s="83"/>
      <c r="K857" s="83"/>
      <c r="L857" s="94"/>
      <c r="M857" s="83"/>
      <c r="N857" s="94"/>
      <c r="O857" s="83"/>
      <c r="P857" s="492"/>
      <c r="Q857" s="83"/>
      <c r="R857" s="83"/>
      <c r="S857" s="83"/>
      <c r="T857" s="83"/>
      <c r="U857" s="83"/>
      <c r="V857" s="83"/>
      <c r="W857" s="94"/>
      <c r="X857" s="94"/>
      <c r="Y857" s="94"/>
      <c r="Z857" s="83"/>
      <c r="AA857" s="83"/>
      <c r="AB857" s="83"/>
      <c r="AC857" s="83"/>
      <c r="AD857" s="83"/>
      <c r="AE857" s="83"/>
      <c r="AF857" s="83"/>
      <c r="AG857" s="83"/>
      <c r="AH857" s="83"/>
      <c r="AI857" s="83"/>
      <c r="AJ857" s="83"/>
      <c r="AK857" s="83"/>
      <c r="AL857" s="83"/>
      <c r="AM857" s="83"/>
      <c r="AN857" s="83"/>
      <c r="AO857" s="83"/>
      <c r="AP857" s="94"/>
      <c r="AQ857" s="94"/>
    </row>
    <row r="858" ht="15.75" customHeight="1">
      <c r="A858" s="83"/>
      <c r="B858" s="83"/>
      <c r="C858" s="83"/>
      <c r="D858" s="83"/>
      <c r="E858" s="83"/>
      <c r="F858" s="83"/>
      <c r="G858" s="83"/>
      <c r="H858" s="83"/>
      <c r="I858" s="94"/>
      <c r="J858" s="83"/>
      <c r="K858" s="83"/>
      <c r="L858" s="94"/>
      <c r="M858" s="83"/>
      <c r="N858" s="94"/>
      <c r="O858" s="83"/>
      <c r="P858" s="492"/>
      <c r="Q858" s="83"/>
      <c r="R858" s="83"/>
      <c r="S858" s="83"/>
      <c r="T858" s="83"/>
      <c r="U858" s="83"/>
      <c r="V858" s="83"/>
      <c r="W858" s="94"/>
      <c r="X858" s="94"/>
      <c r="Y858" s="94"/>
      <c r="Z858" s="83"/>
      <c r="AA858" s="83"/>
      <c r="AB858" s="83"/>
      <c r="AC858" s="83"/>
      <c r="AD858" s="83"/>
      <c r="AE858" s="83"/>
      <c r="AF858" s="83"/>
      <c r="AG858" s="83"/>
      <c r="AH858" s="83"/>
      <c r="AI858" s="83"/>
      <c r="AJ858" s="83"/>
      <c r="AK858" s="83"/>
      <c r="AL858" s="83"/>
      <c r="AM858" s="83"/>
      <c r="AN858" s="83"/>
      <c r="AO858" s="83"/>
      <c r="AP858" s="94"/>
      <c r="AQ858" s="94"/>
    </row>
    <row r="859" ht="15.75" customHeight="1">
      <c r="A859" s="83"/>
      <c r="B859" s="83"/>
      <c r="C859" s="83"/>
      <c r="D859" s="83"/>
      <c r="E859" s="83"/>
      <c r="F859" s="83"/>
      <c r="G859" s="83"/>
      <c r="H859" s="83"/>
      <c r="I859" s="94"/>
      <c r="J859" s="83"/>
      <c r="K859" s="83"/>
      <c r="L859" s="94"/>
      <c r="M859" s="83"/>
      <c r="N859" s="94"/>
      <c r="O859" s="83"/>
      <c r="P859" s="492"/>
      <c r="Q859" s="83"/>
      <c r="R859" s="83"/>
      <c r="S859" s="83"/>
      <c r="T859" s="83"/>
      <c r="U859" s="83"/>
      <c r="V859" s="83"/>
      <c r="W859" s="94"/>
      <c r="X859" s="94"/>
      <c r="Y859" s="94"/>
      <c r="Z859" s="83"/>
      <c r="AA859" s="83"/>
      <c r="AB859" s="83"/>
      <c r="AC859" s="83"/>
      <c r="AD859" s="83"/>
      <c r="AE859" s="83"/>
      <c r="AF859" s="83"/>
      <c r="AG859" s="83"/>
      <c r="AH859" s="83"/>
      <c r="AI859" s="83"/>
      <c r="AJ859" s="83"/>
      <c r="AK859" s="83"/>
      <c r="AL859" s="83"/>
      <c r="AM859" s="83"/>
      <c r="AN859" s="83"/>
      <c r="AO859" s="83"/>
      <c r="AP859" s="94"/>
      <c r="AQ859" s="94"/>
    </row>
    <row r="860" ht="15.75" customHeight="1">
      <c r="A860" s="83"/>
      <c r="B860" s="83"/>
      <c r="C860" s="83"/>
      <c r="D860" s="83"/>
      <c r="E860" s="83"/>
      <c r="F860" s="83"/>
      <c r="G860" s="83"/>
      <c r="H860" s="83"/>
      <c r="I860" s="94"/>
      <c r="J860" s="83"/>
      <c r="K860" s="83"/>
      <c r="L860" s="94"/>
      <c r="M860" s="83"/>
      <c r="N860" s="94"/>
      <c r="O860" s="83"/>
      <c r="P860" s="492"/>
      <c r="Q860" s="83"/>
      <c r="R860" s="83"/>
      <c r="S860" s="83"/>
      <c r="T860" s="83"/>
      <c r="U860" s="83"/>
      <c r="V860" s="83"/>
      <c r="W860" s="94"/>
      <c r="X860" s="94"/>
      <c r="Y860" s="94"/>
      <c r="Z860" s="83"/>
      <c r="AA860" s="83"/>
      <c r="AB860" s="83"/>
      <c r="AC860" s="83"/>
      <c r="AD860" s="83"/>
      <c r="AE860" s="83"/>
      <c r="AF860" s="83"/>
      <c r="AG860" s="83"/>
      <c r="AH860" s="83"/>
      <c r="AI860" s="83"/>
      <c r="AJ860" s="83"/>
      <c r="AK860" s="83"/>
      <c r="AL860" s="83"/>
      <c r="AM860" s="83"/>
      <c r="AN860" s="83"/>
      <c r="AO860" s="83"/>
      <c r="AP860" s="94"/>
      <c r="AQ860" s="94"/>
    </row>
    <row r="861" ht="15.75" customHeight="1">
      <c r="A861" s="83"/>
      <c r="B861" s="83"/>
      <c r="C861" s="83"/>
      <c r="D861" s="83"/>
      <c r="E861" s="83"/>
      <c r="F861" s="83"/>
      <c r="G861" s="83"/>
      <c r="H861" s="83"/>
      <c r="I861" s="94"/>
      <c r="J861" s="83"/>
      <c r="K861" s="83"/>
      <c r="L861" s="94"/>
      <c r="M861" s="83"/>
      <c r="N861" s="94"/>
      <c r="O861" s="83"/>
      <c r="P861" s="492"/>
      <c r="Q861" s="83"/>
      <c r="R861" s="83"/>
      <c r="S861" s="83"/>
      <c r="T861" s="83"/>
      <c r="U861" s="83"/>
      <c r="V861" s="83"/>
      <c r="W861" s="94"/>
      <c r="X861" s="94"/>
      <c r="Y861" s="94"/>
      <c r="Z861" s="83"/>
      <c r="AA861" s="83"/>
      <c r="AB861" s="83"/>
      <c r="AC861" s="83"/>
      <c r="AD861" s="83"/>
      <c r="AE861" s="83"/>
      <c r="AF861" s="83"/>
      <c r="AG861" s="83"/>
      <c r="AH861" s="83"/>
      <c r="AI861" s="83"/>
      <c r="AJ861" s="83"/>
      <c r="AK861" s="83"/>
      <c r="AL861" s="83"/>
      <c r="AM861" s="83"/>
      <c r="AN861" s="83"/>
      <c r="AO861" s="83"/>
      <c r="AP861" s="94"/>
      <c r="AQ861" s="94"/>
    </row>
    <row r="862" ht="15.75" customHeight="1">
      <c r="A862" s="83"/>
      <c r="B862" s="83"/>
      <c r="C862" s="83"/>
      <c r="D862" s="83"/>
      <c r="E862" s="83"/>
      <c r="F862" s="83"/>
      <c r="G862" s="83"/>
      <c r="H862" s="83"/>
      <c r="I862" s="94"/>
      <c r="J862" s="83"/>
      <c r="K862" s="83"/>
      <c r="L862" s="94"/>
      <c r="M862" s="83"/>
      <c r="N862" s="94"/>
      <c r="O862" s="83"/>
      <c r="P862" s="492"/>
      <c r="Q862" s="83"/>
      <c r="R862" s="83"/>
      <c r="S862" s="83"/>
      <c r="T862" s="83"/>
      <c r="U862" s="83"/>
      <c r="V862" s="83"/>
      <c r="W862" s="94"/>
      <c r="X862" s="94"/>
      <c r="Y862" s="94"/>
      <c r="Z862" s="83"/>
      <c r="AA862" s="83"/>
      <c r="AB862" s="83"/>
      <c r="AC862" s="83"/>
      <c r="AD862" s="83"/>
      <c r="AE862" s="83"/>
      <c r="AF862" s="83"/>
      <c r="AG862" s="83"/>
      <c r="AH862" s="83"/>
      <c r="AI862" s="83"/>
      <c r="AJ862" s="83"/>
      <c r="AK862" s="83"/>
      <c r="AL862" s="83"/>
      <c r="AM862" s="83"/>
      <c r="AN862" s="83"/>
      <c r="AO862" s="83"/>
      <c r="AP862" s="94"/>
      <c r="AQ862" s="94"/>
    </row>
    <row r="863" ht="15.75" customHeight="1">
      <c r="A863" s="83"/>
      <c r="B863" s="83"/>
      <c r="C863" s="83"/>
      <c r="D863" s="83"/>
      <c r="E863" s="83"/>
      <c r="F863" s="83"/>
      <c r="G863" s="83"/>
      <c r="H863" s="83"/>
      <c r="I863" s="94"/>
      <c r="J863" s="83"/>
      <c r="K863" s="83"/>
      <c r="L863" s="94"/>
      <c r="M863" s="83"/>
      <c r="N863" s="94"/>
      <c r="O863" s="83"/>
      <c r="P863" s="492"/>
      <c r="Q863" s="83"/>
      <c r="R863" s="83"/>
      <c r="S863" s="83"/>
      <c r="T863" s="83"/>
      <c r="U863" s="83"/>
      <c r="V863" s="83"/>
      <c r="W863" s="94"/>
      <c r="X863" s="94"/>
      <c r="Y863" s="94"/>
      <c r="Z863" s="83"/>
      <c r="AA863" s="83"/>
      <c r="AB863" s="83"/>
      <c r="AC863" s="83"/>
      <c r="AD863" s="83"/>
      <c r="AE863" s="83"/>
      <c r="AF863" s="83"/>
      <c r="AG863" s="83"/>
      <c r="AH863" s="83"/>
      <c r="AI863" s="83"/>
      <c r="AJ863" s="83"/>
      <c r="AK863" s="83"/>
      <c r="AL863" s="83"/>
      <c r="AM863" s="83"/>
      <c r="AN863" s="83"/>
      <c r="AO863" s="83"/>
      <c r="AP863" s="94"/>
      <c r="AQ863" s="94"/>
    </row>
    <row r="864" ht="15.75" customHeight="1">
      <c r="A864" s="83"/>
      <c r="B864" s="83"/>
      <c r="C864" s="83"/>
      <c r="D864" s="83"/>
      <c r="E864" s="83"/>
      <c r="F864" s="83"/>
      <c r="G864" s="83"/>
      <c r="H864" s="83"/>
      <c r="I864" s="94"/>
      <c r="J864" s="83"/>
      <c r="K864" s="83"/>
      <c r="L864" s="94"/>
      <c r="M864" s="83"/>
      <c r="N864" s="94"/>
      <c r="O864" s="83"/>
      <c r="P864" s="492"/>
      <c r="Q864" s="83"/>
      <c r="R864" s="83"/>
      <c r="S864" s="83"/>
      <c r="T864" s="83"/>
      <c r="U864" s="83"/>
      <c r="V864" s="83"/>
      <c r="W864" s="94"/>
      <c r="X864" s="94"/>
      <c r="Y864" s="94"/>
      <c r="Z864" s="83"/>
      <c r="AA864" s="83"/>
      <c r="AB864" s="83"/>
      <c r="AC864" s="83"/>
      <c r="AD864" s="83"/>
      <c r="AE864" s="83"/>
      <c r="AF864" s="83"/>
      <c r="AG864" s="83"/>
      <c r="AH864" s="83"/>
      <c r="AI864" s="83"/>
      <c r="AJ864" s="83"/>
      <c r="AK864" s="83"/>
      <c r="AL864" s="83"/>
      <c r="AM864" s="83"/>
      <c r="AN864" s="83"/>
      <c r="AO864" s="83"/>
      <c r="AP864" s="94"/>
      <c r="AQ864" s="94"/>
    </row>
    <row r="865" ht="15.75" customHeight="1">
      <c r="A865" s="83"/>
      <c r="B865" s="83"/>
      <c r="C865" s="83"/>
      <c r="D865" s="83"/>
      <c r="E865" s="83"/>
      <c r="F865" s="83"/>
      <c r="G865" s="83"/>
      <c r="H865" s="83"/>
      <c r="I865" s="94"/>
      <c r="J865" s="83"/>
      <c r="K865" s="83"/>
      <c r="L865" s="94"/>
      <c r="M865" s="83"/>
      <c r="N865" s="94"/>
      <c r="O865" s="83"/>
      <c r="P865" s="492"/>
      <c r="Q865" s="83"/>
      <c r="R865" s="83"/>
      <c r="S865" s="83"/>
      <c r="T865" s="83"/>
      <c r="U865" s="83"/>
      <c r="V865" s="83"/>
      <c r="W865" s="94"/>
      <c r="X865" s="94"/>
      <c r="Y865" s="94"/>
      <c r="Z865" s="83"/>
      <c r="AA865" s="83"/>
      <c r="AB865" s="83"/>
      <c r="AC865" s="83"/>
      <c r="AD865" s="83"/>
      <c r="AE865" s="83"/>
      <c r="AF865" s="83"/>
      <c r="AG865" s="83"/>
      <c r="AH865" s="83"/>
      <c r="AI865" s="83"/>
      <c r="AJ865" s="83"/>
      <c r="AK865" s="83"/>
      <c r="AL865" s="83"/>
      <c r="AM865" s="83"/>
      <c r="AN865" s="83"/>
      <c r="AO865" s="83"/>
      <c r="AP865" s="94"/>
      <c r="AQ865" s="94"/>
    </row>
    <row r="866" ht="15.75" customHeight="1">
      <c r="A866" s="83"/>
      <c r="B866" s="83"/>
      <c r="C866" s="83"/>
      <c r="D866" s="83"/>
      <c r="E866" s="83"/>
      <c r="F866" s="83"/>
      <c r="G866" s="83"/>
      <c r="H866" s="83"/>
      <c r="I866" s="94"/>
      <c r="J866" s="83"/>
      <c r="K866" s="83"/>
      <c r="L866" s="94"/>
      <c r="M866" s="83"/>
      <c r="N866" s="94"/>
      <c r="O866" s="83"/>
      <c r="P866" s="492"/>
      <c r="Q866" s="83"/>
      <c r="R866" s="83"/>
      <c r="S866" s="83"/>
      <c r="T866" s="83"/>
      <c r="U866" s="83"/>
      <c r="V866" s="83"/>
      <c r="W866" s="94"/>
      <c r="X866" s="94"/>
      <c r="Y866" s="94"/>
      <c r="Z866" s="83"/>
      <c r="AA866" s="83"/>
      <c r="AB866" s="83"/>
      <c r="AC866" s="83"/>
      <c r="AD866" s="83"/>
      <c r="AE866" s="83"/>
      <c r="AF866" s="83"/>
      <c r="AG866" s="83"/>
      <c r="AH866" s="83"/>
      <c r="AI866" s="83"/>
      <c r="AJ866" s="83"/>
      <c r="AK866" s="83"/>
      <c r="AL866" s="83"/>
      <c r="AM866" s="83"/>
      <c r="AN866" s="83"/>
      <c r="AO866" s="83"/>
      <c r="AP866" s="94"/>
      <c r="AQ866" s="94"/>
    </row>
    <row r="867" ht="15.75" customHeight="1">
      <c r="A867" s="83"/>
      <c r="B867" s="83"/>
      <c r="C867" s="83"/>
      <c r="D867" s="83"/>
      <c r="E867" s="83"/>
      <c r="F867" s="83"/>
      <c r="G867" s="83"/>
      <c r="H867" s="83"/>
      <c r="I867" s="94"/>
      <c r="J867" s="83"/>
      <c r="K867" s="83"/>
      <c r="L867" s="94"/>
      <c r="M867" s="83"/>
      <c r="N867" s="94"/>
      <c r="O867" s="83"/>
      <c r="P867" s="492"/>
      <c r="Q867" s="83"/>
      <c r="R867" s="83"/>
      <c r="S867" s="83"/>
      <c r="T867" s="83"/>
      <c r="U867" s="83"/>
      <c r="V867" s="83"/>
      <c r="W867" s="94"/>
      <c r="X867" s="94"/>
      <c r="Y867" s="94"/>
      <c r="Z867" s="83"/>
      <c r="AA867" s="83"/>
      <c r="AB867" s="83"/>
      <c r="AC867" s="83"/>
      <c r="AD867" s="83"/>
      <c r="AE867" s="83"/>
      <c r="AF867" s="83"/>
      <c r="AG867" s="83"/>
      <c r="AH867" s="83"/>
      <c r="AI867" s="83"/>
      <c r="AJ867" s="83"/>
      <c r="AK867" s="83"/>
      <c r="AL867" s="83"/>
      <c r="AM867" s="83"/>
      <c r="AN867" s="83"/>
      <c r="AO867" s="83"/>
      <c r="AP867" s="94"/>
      <c r="AQ867" s="94"/>
    </row>
    <row r="868" ht="15.75" customHeight="1">
      <c r="A868" s="83"/>
      <c r="B868" s="83"/>
      <c r="C868" s="83"/>
      <c r="D868" s="83"/>
      <c r="E868" s="83"/>
      <c r="F868" s="83"/>
      <c r="G868" s="83"/>
      <c r="H868" s="83"/>
      <c r="I868" s="94"/>
      <c r="J868" s="83"/>
      <c r="K868" s="83"/>
      <c r="L868" s="94"/>
      <c r="M868" s="83"/>
      <c r="N868" s="94"/>
      <c r="O868" s="83"/>
      <c r="P868" s="492"/>
      <c r="Q868" s="83"/>
      <c r="R868" s="83"/>
      <c r="S868" s="83"/>
      <c r="T868" s="83"/>
      <c r="U868" s="83"/>
      <c r="V868" s="83"/>
      <c r="W868" s="94"/>
      <c r="X868" s="94"/>
      <c r="Y868" s="94"/>
      <c r="Z868" s="83"/>
      <c r="AA868" s="83"/>
      <c r="AB868" s="83"/>
      <c r="AC868" s="83"/>
      <c r="AD868" s="83"/>
      <c r="AE868" s="83"/>
      <c r="AF868" s="83"/>
      <c r="AG868" s="83"/>
      <c r="AH868" s="83"/>
      <c r="AI868" s="83"/>
      <c r="AJ868" s="83"/>
      <c r="AK868" s="83"/>
      <c r="AL868" s="83"/>
      <c r="AM868" s="83"/>
      <c r="AN868" s="83"/>
      <c r="AO868" s="83"/>
      <c r="AP868" s="94"/>
      <c r="AQ868" s="94"/>
    </row>
    <row r="869" ht="15.75" customHeight="1">
      <c r="A869" s="83"/>
      <c r="B869" s="83"/>
      <c r="C869" s="83"/>
      <c r="D869" s="83"/>
      <c r="E869" s="83"/>
      <c r="F869" s="83"/>
      <c r="G869" s="83"/>
      <c r="H869" s="83"/>
      <c r="I869" s="94"/>
      <c r="J869" s="83"/>
      <c r="K869" s="83"/>
      <c r="L869" s="94"/>
      <c r="M869" s="83"/>
      <c r="N869" s="94"/>
      <c r="O869" s="83"/>
      <c r="P869" s="492"/>
      <c r="Q869" s="83"/>
      <c r="R869" s="83"/>
      <c r="S869" s="83"/>
      <c r="T869" s="83"/>
      <c r="U869" s="83"/>
      <c r="V869" s="83"/>
      <c r="W869" s="94"/>
      <c r="X869" s="94"/>
      <c r="Y869" s="94"/>
      <c r="Z869" s="83"/>
      <c r="AA869" s="83"/>
      <c r="AB869" s="83"/>
      <c r="AC869" s="83"/>
      <c r="AD869" s="83"/>
      <c r="AE869" s="83"/>
      <c r="AF869" s="83"/>
      <c r="AG869" s="83"/>
      <c r="AH869" s="83"/>
      <c r="AI869" s="83"/>
      <c r="AJ869" s="83"/>
      <c r="AK869" s="83"/>
      <c r="AL869" s="83"/>
      <c r="AM869" s="83"/>
      <c r="AN869" s="83"/>
      <c r="AO869" s="83"/>
      <c r="AP869" s="94"/>
      <c r="AQ869" s="94"/>
    </row>
    <row r="870" ht="15.75" customHeight="1">
      <c r="A870" s="83"/>
      <c r="B870" s="83"/>
      <c r="C870" s="83"/>
      <c r="D870" s="83"/>
      <c r="E870" s="83"/>
      <c r="F870" s="83"/>
      <c r="G870" s="83"/>
      <c r="H870" s="83"/>
      <c r="I870" s="94"/>
      <c r="J870" s="83"/>
      <c r="K870" s="83"/>
      <c r="L870" s="94"/>
      <c r="M870" s="83"/>
      <c r="N870" s="94"/>
      <c r="O870" s="83"/>
      <c r="P870" s="492"/>
      <c r="Q870" s="83"/>
      <c r="R870" s="83"/>
      <c r="S870" s="83"/>
      <c r="T870" s="83"/>
      <c r="U870" s="83"/>
      <c r="V870" s="83"/>
      <c r="W870" s="94"/>
      <c r="X870" s="94"/>
      <c r="Y870" s="94"/>
      <c r="Z870" s="83"/>
      <c r="AA870" s="83"/>
      <c r="AB870" s="83"/>
      <c r="AC870" s="83"/>
      <c r="AD870" s="83"/>
      <c r="AE870" s="83"/>
      <c r="AF870" s="83"/>
      <c r="AG870" s="83"/>
      <c r="AH870" s="83"/>
      <c r="AI870" s="83"/>
      <c r="AJ870" s="83"/>
      <c r="AK870" s="83"/>
      <c r="AL870" s="83"/>
      <c r="AM870" s="83"/>
      <c r="AN870" s="83"/>
      <c r="AO870" s="83"/>
      <c r="AP870" s="94"/>
      <c r="AQ870" s="94"/>
    </row>
    <row r="871" ht="15.75" customHeight="1">
      <c r="A871" s="83"/>
      <c r="B871" s="83"/>
      <c r="C871" s="83"/>
      <c r="D871" s="83"/>
      <c r="E871" s="83"/>
      <c r="F871" s="83"/>
      <c r="G871" s="83"/>
      <c r="H871" s="83"/>
      <c r="I871" s="94"/>
      <c r="J871" s="83"/>
      <c r="K871" s="83"/>
      <c r="L871" s="94"/>
      <c r="M871" s="83"/>
      <c r="N871" s="94"/>
      <c r="O871" s="83"/>
      <c r="P871" s="492"/>
      <c r="Q871" s="83"/>
      <c r="R871" s="83"/>
      <c r="S871" s="83"/>
      <c r="T871" s="83"/>
      <c r="U871" s="83"/>
      <c r="V871" s="83"/>
      <c r="W871" s="94"/>
      <c r="X871" s="94"/>
      <c r="Y871" s="94"/>
      <c r="Z871" s="83"/>
      <c r="AA871" s="83"/>
      <c r="AB871" s="83"/>
      <c r="AC871" s="83"/>
      <c r="AD871" s="83"/>
      <c r="AE871" s="83"/>
      <c r="AF871" s="83"/>
      <c r="AG871" s="83"/>
      <c r="AH871" s="83"/>
      <c r="AI871" s="83"/>
      <c r="AJ871" s="83"/>
      <c r="AK871" s="83"/>
      <c r="AL871" s="83"/>
      <c r="AM871" s="83"/>
      <c r="AN871" s="83"/>
      <c r="AO871" s="83"/>
      <c r="AP871" s="94"/>
      <c r="AQ871" s="94"/>
    </row>
    <row r="872" ht="15.75" customHeight="1">
      <c r="A872" s="83"/>
      <c r="B872" s="83"/>
      <c r="C872" s="83"/>
      <c r="D872" s="83"/>
      <c r="E872" s="83"/>
      <c r="F872" s="83"/>
      <c r="G872" s="83"/>
      <c r="H872" s="83"/>
      <c r="I872" s="94"/>
      <c r="J872" s="83"/>
      <c r="K872" s="83"/>
      <c r="L872" s="94"/>
      <c r="M872" s="83"/>
      <c r="N872" s="94"/>
      <c r="O872" s="83"/>
      <c r="P872" s="492"/>
      <c r="Q872" s="83"/>
      <c r="R872" s="83"/>
      <c r="S872" s="83"/>
      <c r="T872" s="83"/>
      <c r="U872" s="83"/>
      <c r="V872" s="83"/>
      <c r="W872" s="94"/>
      <c r="X872" s="94"/>
      <c r="Y872" s="94"/>
      <c r="Z872" s="83"/>
      <c r="AA872" s="83"/>
      <c r="AB872" s="83"/>
      <c r="AC872" s="83"/>
      <c r="AD872" s="83"/>
      <c r="AE872" s="83"/>
      <c r="AF872" s="83"/>
      <c r="AG872" s="83"/>
      <c r="AH872" s="83"/>
      <c r="AI872" s="83"/>
      <c r="AJ872" s="83"/>
      <c r="AK872" s="83"/>
      <c r="AL872" s="83"/>
      <c r="AM872" s="83"/>
      <c r="AN872" s="83"/>
      <c r="AO872" s="83"/>
      <c r="AP872" s="94"/>
      <c r="AQ872" s="94"/>
    </row>
    <row r="873" ht="15.75" customHeight="1">
      <c r="A873" s="83"/>
      <c r="B873" s="83"/>
      <c r="C873" s="83"/>
      <c r="D873" s="83"/>
      <c r="E873" s="83"/>
      <c r="F873" s="83"/>
      <c r="G873" s="83"/>
      <c r="H873" s="83"/>
      <c r="I873" s="94"/>
      <c r="J873" s="83"/>
      <c r="K873" s="83"/>
      <c r="L873" s="94"/>
      <c r="M873" s="83"/>
      <c r="N873" s="94"/>
      <c r="O873" s="83"/>
      <c r="P873" s="492"/>
      <c r="Q873" s="83"/>
      <c r="R873" s="83"/>
      <c r="S873" s="83"/>
      <c r="T873" s="83"/>
      <c r="U873" s="83"/>
      <c r="V873" s="83"/>
      <c r="W873" s="94"/>
      <c r="X873" s="94"/>
      <c r="Y873" s="94"/>
      <c r="Z873" s="83"/>
      <c r="AA873" s="83"/>
      <c r="AB873" s="83"/>
      <c r="AC873" s="83"/>
      <c r="AD873" s="83"/>
      <c r="AE873" s="83"/>
      <c r="AF873" s="83"/>
      <c r="AG873" s="83"/>
      <c r="AH873" s="83"/>
      <c r="AI873" s="83"/>
      <c r="AJ873" s="83"/>
      <c r="AK873" s="83"/>
      <c r="AL873" s="83"/>
      <c r="AM873" s="83"/>
      <c r="AN873" s="83"/>
      <c r="AO873" s="83"/>
      <c r="AP873" s="94"/>
      <c r="AQ873" s="94"/>
    </row>
    <row r="874" ht="15.75" customHeight="1">
      <c r="A874" s="83"/>
      <c r="B874" s="83"/>
      <c r="C874" s="83"/>
      <c r="D874" s="83"/>
      <c r="E874" s="83"/>
      <c r="F874" s="83"/>
      <c r="G874" s="83"/>
      <c r="H874" s="83"/>
      <c r="I874" s="94"/>
      <c r="J874" s="83"/>
      <c r="K874" s="83"/>
      <c r="L874" s="94"/>
      <c r="M874" s="83"/>
      <c r="N874" s="94"/>
      <c r="O874" s="83"/>
      <c r="P874" s="492"/>
      <c r="Q874" s="83"/>
      <c r="R874" s="83"/>
      <c r="S874" s="83"/>
      <c r="T874" s="83"/>
      <c r="U874" s="83"/>
      <c r="V874" s="83"/>
      <c r="W874" s="94"/>
      <c r="X874" s="94"/>
      <c r="Y874" s="94"/>
      <c r="Z874" s="83"/>
      <c r="AA874" s="83"/>
      <c r="AB874" s="83"/>
      <c r="AC874" s="83"/>
      <c r="AD874" s="83"/>
      <c r="AE874" s="83"/>
      <c r="AF874" s="83"/>
      <c r="AG874" s="83"/>
      <c r="AH874" s="83"/>
      <c r="AI874" s="83"/>
      <c r="AJ874" s="83"/>
      <c r="AK874" s="83"/>
      <c r="AL874" s="83"/>
      <c r="AM874" s="83"/>
      <c r="AN874" s="83"/>
      <c r="AO874" s="83"/>
      <c r="AP874" s="94"/>
      <c r="AQ874" s="94"/>
    </row>
    <row r="875" ht="15.75" customHeight="1">
      <c r="A875" s="83"/>
      <c r="B875" s="83"/>
      <c r="C875" s="83"/>
      <c r="D875" s="83"/>
      <c r="E875" s="83"/>
      <c r="F875" s="83"/>
      <c r="G875" s="83"/>
      <c r="H875" s="83"/>
      <c r="I875" s="94"/>
      <c r="J875" s="83"/>
      <c r="K875" s="83"/>
      <c r="L875" s="94"/>
      <c r="M875" s="83"/>
      <c r="N875" s="94"/>
      <c r="O875" s="83"/>
      <c r="P875" s="492"/>
      <c r="Q875" s="83"/>
      <c r="R875" s="83"/>
      <c r="S875" s="83"/>
      <c r="T875" s="83"/>
      <c r="U875" s="83"/>
      <c r="V875" s="83"/>
      <c r="W875" s="94"/>
      <c r="X875" s="94"/>
      <c r="Y875" s="94"/>
      <c r="Z875" s="83"/>
      <c r="AA875" s="83"/>
      <c r="AB875" s="83"/>
      <c r="AC875" s="83"/>
      <c r="AD875" s="83"/>
      <c r="AE875" s="83"/>
      <c r="AF875" s="83"/>
      <c r="AG875" s="83"/>
      <c r="AH875" s="83"/>
      <c r="AI875" s="83"/>
      <c r="AJ875" s="83"/>
      <c r="AK875" s="83"/>
      <c r="AL875" s="83"/>
      <c r="AM875" s="83"/>
      <c r="AN875" s="83"/>
      <c r="AO875" s="83"/>
      <c r="AP875" s="94"/>
      <c r="AQ875" s="94"/>
    </row>
    <row r="876" ht="15.75" customHeight="1">
      <c r="A876" s="83"/>
      <c r="B876" s="83"/>
      <c r="C876" s="83"/>
      <c r="D876" s="83"/>
      <c r="E876" s="83"/>
      <c r="F876" s="83"/>
      <c r="G876" s="83"/>
      <c r="H876" s="83"/>
      <c r="I876" s="94"/>
      <c r="J876" s="83"/>
      <c r="K876" s="83"/>
      <c r="L876" s="94"/>
      <c r="M876" s="83"/>
      <c r="N876" s="94"/>
      <c r="O876" s="83"/>
      <c r="P876" s="492"/>
      <c r="Q876" s="83"/>
      <c r="R876" s="83"/>
      <c r="S876" s="83"/>
      <c r="T876" s="83"/>
      <c r="U876" s="83"/>
      <c r="V876" s="83"/>
      <c r="W876" s="94"/>
      <c r="X876" s="94"/>
      <c r="Y876" s="94"/>
      <c r="Z876" s="83"/>
      <c r="AA876" s="83"/>
      <c r="AB876" s="83"/>
      <c r="AC876" s="83"/>
      <c r="AD876" s="83"/>
      <c r="AE876" s="83"/>
      <c r="AF876" s="83"/>
      <c r="AG876" s="83"/>
      <c r="AH876" s="83"/>
      <c r="AI876" s="83"/>
      <c r="AJ876" s="83"/>
      <c r="AK876" s="83"/>
      <c r="AL876" s="83"/>
      <c r="AM876" s="83"/>
      <c r="AN876" s="83"/>
      <c r="AO876" s="83"/>
      <c r="AP876" s="94"/>
      <c r="AQ876" s="94"/>
    </row>
    <row r="877" ht="15.75" customHeight="1">
      <c r="A877" s="83"/>
      <c r="B877" s="83"/>
      <c r="C877" s="83"/>
      <c r="D877" s="83"/>
      <c r="E877" s="83"/>
      <c r="F877" s="83"/>
      <c r="G877" s="83"/>
      <c r="H877" s="83"/>
      <c r="I877" s="94"/>
      <c r="J877" s="83"/>
      <c r="K877" s="83"/>
      <c r="L877" s="94"/>
      <c r="M877" s="83"/>
      <c r="N877" s="94"/>
      <c r="O877" s="83"/>
      <c r="P877" s="492"/>
      <c r="Q877" s="83"/>
      <c r="R877" s="83"/>
      <c r="S877" s="83"/>
      <c r="T877" s="83"/>
      <c r="U877" s="83"/>
      <c r="V877" s="83"/>
      <c r="W877" s="94"/>
      <c r="X877" s="94"/>
      <c r="Y877" s="94"/>
      <c r="Z877" s="83"/>
      <c r="AA877" s="83"/>
      <c r="AB877" s="83"/>
      <c r="AC877" s="83"/>
      <c r="AD877" s="83"/>
      <c r="AE877" s="83"/>
      <c r="AF877" s="83"/>
      <c r="AG877" s="83"/>
      <c r="AH877" s="83"/>
      <c r="AI877" s="83"/>
      <c r="AJ877" s="83"/>
      <c r="AK877" s="83"/>
      <c r="AL877" s="83"/>
      <c r="AM877" s="83"/>
      <c r="AN877" s="83"/>
      <c r="AO877" s="83"/>
      <c r="AP877" s="94"/>
      <c r="AQ877" s="94"/>
    </row>
    <row r="878" ht="15.75" customHeight="1">
      <c r="A878" s="83"/>
      <c r="B878" s="83"/>
      <c r="C878" s="83"/>
      <c r="D878" s="83"/>
      <c r="E878" s="83"/>
      <c r="F878" s="83"/>
      <c r="G878" s="83"/>
      <c r="H878" s="83"/>
      <c r="I878" s="94"/>
      <c r="J878" s="83"/>
      <c r="K878" s="83"/>
      <c r="L878" s="94"/>
      <c r="M878" s="83"/>
      <c r="N878" s="94"/>
      <c r="O878" s="83"/>
      <c r="P878" s="492"/>
      <c r="Q878" s="83"/>
      <c r="R878" s="83"/>
      <c r="S878" s="83"/>
      <c r="T878" s="83"/>
      <c r="U878" s="83"/>
      <c r="V878" s="83"/>
      <c r="W878" s="94"/>
      <c r="X878" s="94"/>
      <c r="Y878" s="94"/>
      <c r="Z878" s="83"/>
      <c r="AA878" s="83"/>
      <c r="AB878" s="83"/>
      <c r="AC878" s="83"/>
      <c r="AD878" s="83"/>
      <c r="AE878" s="83"/>
      <c r="AF878" s="83"/>
      <c r="AG878" s="83"/>
      <c r="AH878" s="83"/>
      <c r="AI878" s="83"/>
      <c r="AJ878" s="83"/>
      <c r="AK878" s="83"/>
      <c r="AL878" s="83"/>
      <c r="AM878" s="83"/>
      <c r="AN878" s="83"/>
      <c r="AO878" s="83"/>
      <c r="AP878" s="94"/>
      <c r="AQ878" s="94"/>
    </row>
    <row r="879" ht="15.75" customHeight="1">
      <c r="A879" s="83"/>
      <c r="B879" s="83"/>
      <c r="C879" s="83"/>
      <c r="D879" s="83"/>
      <c r="E879" s="83"/>
      <c r="F879" s="83"/>
      <c r="G879" s="83"/>
      <c r="H879" s="83"/>
      <c r="I879" s="94"/>
      <c r="J879" s="83"/>
      <c r="K879" s="83"/>
      <c r="L879" s="94"/>
      <c r="M879" s="83"/>
      <c r="N879" s="94"/>
      <c r="O879" s="83"/>
      <c r="P879" s="492"/>
      <c r="Q879" s="83"/>
      <c r="R879" s="83"/>
      <c r="S879" s="83"/>
      <c r="T879" s="83"/>
      <c r="U879" s="83"/>
      <c r="V879" s="83"/>
      <c r="W879" s="94"/>
      <c r="X879" s="94"/>
      <c r="Y879" s="94"/>
      <c r="Z879" s="83"/>
      <c r="AA879" s="83"/>
      <c r="AB879" s="83"/>
      <c r="AC879" s="83"/>
      <c r="AD879" s="83"/>
      <c r="AE879" s="83"/>
      <c r="AF879" s="83"/>
      <c r="AG879" s="83"/>
      <c r="AH879" s="83"/>
      <c r="AI879" s="83"/>
      <c r="AJ879" s="83"/>
      <c r="AK879" s="83"/>
      <c r="AL879" s="83"/>
      <c r="AM879" s="83"/>
      <c r="AN879" s="83"/>
      <c r="AO879" s="83"/>
      <c r="AP879" s="94"/>
      <c r="AQ879" s="94"/>
    </row>
    <row r="880" ht="15.75" customHeight="1">
      <c r="A880" s="83"/>
      <c r="B880" s="83"/>
      <c r="C880" s="83"/>
      <c r="D880" s="83"/>
      <c r="E880" s="83"/>
      <c r="F880" s="83"/>
      <c r="G880" s="83"/>
      <c r="H880" s="83"/>
      <c r="I880" s="94"/>
      <c r="J880" s="83"/>
      <c r="K880" s="83"/>
      <c r="L880" s="94"/>
      <c r="M880" s="83"/>
      <c r="N880" s="94"/>
      <c r="O880" s="83"/>
      <c r="P880" s="492"/>
      <c r="Q880" s="83"/>
      <c r="R880" s="83"/>
      <c r="S880" s="83"/>
      <c r="T880" s="83"/>
      <c r="U880" s="83"/>
      <c r="V880" s="83"/>
      <c r="W880" s="94"/>
      <c r="X880" s="94"/>
      <c r="Y880" s="94"/>
      <c r="Z880" s="83"/>
      <c r="AA880" s="83"/>
      <c r="AB880" s="83"/>
      <c r="AC880" s="83"/>
      <c r="AD880" s="83"/>
      <c r="AE880" s="83"/>
      <c r="AF880" s="83"/>
      <c r="AG880" s="83"/>
      <c r="AH880" s="83"/>
      <c r="AI880" s="83"/>
      <c r="AJ880" s="83"/>
      <c r="AK880" s="83"/>
      <c r="AL880" s="83"/>
      <c r="AM880" s="83"/>
      <c r="AN880" s="83"/>
      <c r="AO880" s="83"/>
      <c r="AP880" s="94"/>
      <c r="AQ880" s="94"/>
    </row>
    <row r="881" ht="15.75" customHeight="1">
      <c r="A881" s="83"/>
      <c r="B881" s="83"/>
      <c r="C881" s="83"/>
      <c r="D881" s="83"/>
      <c r="E881" s="83"/>
      <c r="F881" s="83"/>
      <c r="G881" s="83"/>
      <c r="H881" s="83"/>
      <c r="I881" s="94"/>
      <c r="J881" s="83"/>
      <c r="K881" s="83"/>
      <c r="L881" s="94"/>
      <c r="M881" s="83"/>
      <c r="N881" s="94"/>
      <c r="O881" s="83"/>
      <c r="P881" s="492"/>
      <c r="Q881" s="83"/>
      <c r="R881" s="83"/>
      <c r="S881" s="83"/>
      <c r="T881" s="83"/>
      <c r="U881" s="83"/>
      <c r="V881" s="83"/>
      <c r="W881" s="94"/>
      <c r="X881" s="94"/>
      <c r="Y881" s="94"/>
      <c r="Z881" s="83"/>
      <c r="AA881" s="83"/>
      <c r="AB881" s="83"/>
      <c r="AC881" s="83"/>
      <c r="AD881" s="83"/>
      <c r="AE881" s="83"/>
      <c r="AF881" s="83"/>
      <c r="AG881" s="83"/>
      <c r="AH881" s="83"/>
      <c r="AI881" s="83"/>
      <c r="AJ881" s="83"/>
      <c r="AK881" s="83"/>
      <c r="AL881" s="83"/>
      <c r="AM881" s="83"/>
      <c r="AN881" s="83"/>
      <c r="AO881" s="83"/>
      <c r="AP881" s="94"/>
      <c r="AQ881" s="94"/>
    </row>
    <row r="882" ht="15.75" customHeight="1">
      <c r="A882" s="83"/>
      <c r="B882" s="83"/>
      <c r="C882" s="83"/>
      <c r="D882" s="83"/>
      <c r="E882" s="83"/>
      <c r="F882" s="83"/>
      <c r="G882" s="83"/>
      <c r="H882" s="83"/>
      <c r="I882" s="94"/>
      <c r="J882" s="83"/>
      <c r="K882" s="83"/>
      <c r="L882" s="94"/>
      <c r="M882" s="83"/>
      <c r="N882" s="94"/>
      <c r="O882" s="83"/>
      <c r="P882" s="492"/>
      <c r="Q882" s="83"/>
      <c r="R882" s="83"/>
      <c r="S882" s="83"/>
      <c r="T882" s="83"/>
      <c r="U882" s="83"/>
      <c r="V882" s="83"/>
      <c r="W882" s="94"/>
      <c r="X882" s="94"/>
      <c r="Y882" s="94"/>
      <c r="Z882" s="83"/>
      <c r="AA882" s="83"/>
      <c r="AB882" s="83"/>
      <c r="AC882" s="83"/>
      <c r="AD882" s="83"/>
      <c r="AE882" s="83"/>
      <c r="AF882" s="83"/>
      <c r="AG882" s="83"/>
      <c r="AH882" s="83"/>
      <c r="AI882" s="83"/>
      <c r="AJ882" s="83"/>
      <c r="AK882" s="83"/>
      <c r="AL882" s="83"/>
      <c r="AM882" s="83"/>
      <c r="AN882" s="83"/>
      <c r="AO882" s="83"/>
      <c r="AP882" s="94"/>
      <c r="AQ882" s="94"/>
    </row>
    <row r="883" ht="15.75" customHeight="1">
      <c r="A883" s="83"/>
      <c r="B883" s="83"/>
      <c r="C883" s="83"/>
      <c r="D883" s="83"/>
      <c r="E883" s="83"/>
      <c r="F883" s="83"/>
      <c r="G883" s="83"/>
      <c r="H883" s="83"/>
      <c r="I883" s="94"/>
      <c r="J883" s="83"/>
      <c r="K883" s="83"/>
      <c r="L883" s="94"/>
      <c r="M883" s="83"/>
      <c r="N883" s="94"/>
      <c r="O883" s="83"/>
      <c r="P883" s="492"/>
      <c r="Q883" s="83"/>
      <c r="R883" s="83"/>
      <c r="S883" s="83"/>
      <c r="T883" s="83"/>
      <c r="U883" s="83"/>
      <c r="V883" s="83"/>
      <c r="W883" s="94"/>
      <c r="X883" s="94"/>
      <c r="Y883" s="94"/>
      <c r="Z883" s="83"/>
      <c r="AA883" s="83"/>
      <c r="AB883" s="83"/>
      <c r="AC883" s="83"/>
      <c r="AD883" s="83"/>
      <c r="AE883" s="83"/>
      <c r="AF883" s="83"/>
      <c r="AG883" s="83"/>
      <c r="AH883" s="83"/>
      <c r="AI883" s="83"/>
      <c r="AJ883" s="83"/>
      <c r="AK883" s="83"/>
      <c r="AL883" s="83"/>
      <c r="AM883" s="83"/>
      <c r="AN883" s="83"/>
      <c r="AO883" s="83"/>
      <c r="AP883" s="94"/>
      <c r="AQ883" s="94"/>
    </row>
    <row r="884" ht="15.75" customHeight="1">
      <c r="A884" s="83"/>
      <c r="B884" s="83"/>
      <c r="C884" s="83"/>
      <c r="D884" s="83"/>
      <c r="E884" s="83"/>
      <c r="F884" s="83"/>
      <c r="G884" s="83"/>
      <c r="H884" s="83"/>
      <c r="I884" s="94"/>
      <c r="J884" s="83"/>
      <c r="K884" s="83"/>
      <c r="L884" s="94"/>
      <c r="M884" s="83"/>
      <c r="N884" s="94"/>
      <c r="O884" s="83"/>
      <c r="P884" s="492"/>
      <c r="Q884" s="83"/>
      <c r="R884" s="83"/>
      <c r="S884" s="83"/>
      <c r="T884" s="83"/>
      <c r="U884" s="83"/>
      <c r="V884" s="83"/>
      <c r="W884" s="94"/>
      <c r="X884" s="94"/>
      <c r="Y884" s="94"/>
      <c r="Z884" s="83"/>
      <c r="AA884" s="83"/>
      <c r="AB884" s="83"/>
      <c r="AC884" s="83"/>
      <c r="AD884" s="83"/>
      <c r="AE884" s="83"/>
      <c r="AF884" s="83"/>
      <c r="AG884" s="83"/>
      <c r="AH884" s="83"/>
      <c r="AI884" s="83"/>
      <c r="AJ884" s="83"/>
      <c r="AK884" s="83"/>
      <c r="AL884" s="83"/>
      <c r="AM884" s="83"/>
      <c r="AN884" s="83"/>
      <c r="AO884" s="83"/>
      <c r="AP884" s="94"/>
      <c r="AQ884" s="94"/>
    </row>
    <row r="885" ht="15.75" customHeight="1">
      <c r="A885" s="83"/>
      <c r="B885" s="83"/>
      <c r="C885" s="83"/>
      <c r="D885" s="83"/>
      <c r="E885" s="83"/>
      <c r="F885" s="83"/>
      <c r="G885" s="83"/>
      <c r="H885" s="83"/>
      <c r="I885" s="94"/>
      <c r="J885" s="83"/>
      <c r="K885" s="83"/>
      <c r="L885" s="94"/>
      <c r="M885" s="83"/>
      <c r="N885" s="94"/>
      <c r="O885" s="83"/>
      <c r="P885" s="492"/>
      <c r="Q885" s="83"/>
      <c r="R885" s="83"/>
      <c r="S885" s="83"/>
      <c r="T885" s="83"/>
      <c r="U885" s="83"/>
      <c r="V885" s="83"/>
      <c r="W885" s="94"/>
      <c r="X885" s="94"/>
      <c r="Y885" s="94"/>
      <c r="Z885" s="83"/>
      <c r="AA885" s="83"/>
      <c r="AB885" s="83"/>
      <c r="AC885" s="83"/>
      <c r="AD885" s="83"/>
      <c r="AE885" s="83"/>
      <c r="AF885" s="83"/>
      <c r="AG885" s="83"/>
      <c r="AH885" s="83"/>
      <c r="AI885" s="83"/>
      <c r="AJ885" s="83"/>
      <c r="AK885" s="83"/>
      <c r="AL885" s="83"/>
      <c r="AM885" s="83"/>
      <c r="AN885" s="83"/>
      <c r="AO885" s="83"/>
      <c r="AP885" s="94"/>
      <c r="AQ885" s="94"/>
    </row>
    <row r="886" ht="15.75" customHeight="1">
      <c r="A886" s="83"/>
      <c r="B886" s="83"/>
      <c r="C886" s="83"/>
      <c r="D886" s="83"/>
      <c r="E886" s="83"/>
      <c r="F886" s="83"/>
      <c r="G886" s="83"/>
      <c r="H886" s="83"/>
      <c r="I886" s="94"/>
      <c r="J886" s="83"/>
      <c r="K886" s="83"/>
      <c r="L886" s="94"/>
      <c r="M886" s="83"/>
      <c r="N886" s="94"/>
      <c r="O886" s="83"/>
      <c r="P886" s="492"/>
      <c r="Q886" s="83"/>
      <c r="R886" s="83"/>
      <c r="S886" s="83"/>
      <c r="T886" s="83"/>
      <c r="U886" s="83"/>
      <c r="V886" s="83"/>
      <c r="W886" s="94"/>
      <c r="X886" s="94"/>
      <c r="Y886" s="94"/>
      <c r="Z886" s="83"/>
      <c r="AA886" s="83"/>
      <c r="AB886" s="83"/>
      <c r="AC886" s="83"/>
      <c r="AD886" s="83"/>
      <c r="AE886" s="83"/>
      <c r="AF886" s="83"/>
      <c r="AG886" s="83"/>
      <c r="AH886" s="83"/>
      <c r="AI886" s="83"/>
      <c r="AJ886" s="83"/>
      <c r="AK886" s="83"/>
      <c r="AL886" s="83"/>
      <c r="AM886" s="83"/>
      <c r="AN886" s="83"/>
      <c r="AO886" s="83"/>
      <c r="AP886" s="94"/>
      <c r="AQ886" s="94"/>
    </row>
    <row r="887" ht="15.75" customHeight="1">
      <c r="A887" s="83"/>
      <c r="B887" s="83"/>
      <c r="C887" s="83"/>
      <c r="D887" s="83"/>
      <c r="E887" s="83"/>
      <c r="F887" s="83"/>
      <c r="G887" s="83"/>
      <c r="H887" s="83"/>
      <c r="I887" s="94"/>
      <c r="J887" s="83"/>
      <c r="K887" s="83"/>
      <c r="L887" s="94"/>
      <c r="M887" s="83"/>
      <c r="N887" s="94"/>
      <c r="O887" s="83"/>
      <c r="P887" s="492"/>
      <c r="Q887" s="83"/>
      <c r="R887" s="83"/>
      <c r="S887" s="83"/>
      <c r="T887" s="83"/>
      <c r="U887" s="83"/>
      <c r="V887" s="83"/>
      <c r="W887" s="94"/>
      <c r="X887" s="94"/>
      <c r="Y887" s="94"/>
      <c r="Z887" s="83"/>
      <c r="AA887" s="83"/>
      <c r="AB887" s="83"/>
      <c r="AC887" s="83"/>
      <c r="AD887" s="83"/>
      <c r="AE887" s="83"/>
      <c r="AF887" s="83"/>
      <c r="AG887" s="83"/>
      <c r="AH887" s="83"/>
      <c r="AI887" s="83"/>
      <c r="AJ887" s="83"/>
      <c r="AK887" s="83"/>
      <c r="AL887" s="83"/>
      <c r="AM887" s="83"/>
      <c r="AN887" s="83"/>
      <c r="AO887" s="83"/>
      <c r="AP887" s="94"/>
      <c r="AQ887" s="94"/>
    </row>
    <row r="888" ht="15.75" customHeight="1">
      <c r="A888" s="83"/>
      <c r="B888" s="83"/>
      <c r="C888" s="83"/>
      <c r="D888" s="83"/>
      <c r="E888" s="83"/>
      <c r="F888" s="83"/>
      <c r="G888" s="83"/>
      <c r="H888" s="83"/>
      <c r="I888" s="94"/>
      <c r="J888" s="83"/>
      <c r="K888" s="83"/>
      <c r="L888" s="94"/>
      <c r="M888" s="83"/>
      <c r="N888" s="94"/>
      <c r="O888" s="83"/>
      <c r="P888" s="492"/>
      <c r="Q888" s="83"/>
      <c r="R888" s="83"/>
      <c r="S888" s="83"/>
      <c r="T888" s="83"/>
      <c r="U888" s="83"/>
      <c r="V888" s="83"/>
      <c r="W888" s="94"/>
      <c r="X888" s="94"/>
      <c r="Y888" s="94"/>
      <c r="Z888" s="83"/>
      <c r="AA888" s="83"/>
      <c r="AB888" s="83"/>
      <c r="AC888" s="83"/>
      <c r="AD888" s="83"/>
      <c r="AE888" s="83"/>
      <c r="AF888" s="83"/>
      <c r="AG888" s="83"/>
      <c r="AH888" s="83"/>
      <c r="AI888" s="83"/>
      <c r="AJ888" s="83"/>
      <c r="AK888" s="83"/>
      <c r="AL888" s="83"/>
      <c r="AM888" s="83"/>
      <c r="AN888" s="83"/>
      <c r="AO888" s="83"/>
      <c r="AP888" s="94"/>
      <c r="AQ888" s="94"/>
    </row>
    <row r="889" ht="15.75" customHeight="1">
      <c r="A889" s="83"/>
      <c r="B889" s="83"/>
      <c r="C889" s="83"/>
      <c r="D889" s="83"/>
      <c r="E889" s="83"/>
      <c r="F889" s="83"/>
      <c r="G889" s="83"/>
      <c r="H889" s="83"/>
      <c r="I889" s="94"/>
      <c r="J889" s="83"/>
      <c r="K889" s="83"/>
      <c r="L889" s="94"/>
      <c r="M889" s="83"/>
      <c r="N889" s="94"/>
      <c r="O889" s="83"/>
      <c r="P889" s="492"/>
      <c r="Q889" s="83"/>
      <c r="R889" s="83"/>
      <c r="S889" s="83"/>
      <c r="T889" s="83"/>
      <c r="U889" s="83"/>
      <c r="V889" s="83"/>
      <c r="W889" s="94"/>
      <c r="X889" s="94"/>
      <c r="Y889" s="94"/>
      <c r="Z889" s="83"/>
      <c r="AA889" s="83"/>
      <c r="AB889" s="83"/>
      <c r="AC889" s="83"/>
      <c r="AD889" s="83"/>
      <c r="AE889" s="83"/>
      <c r="AF889" s="83"/>
      <c r="AG889" s="83"/>
      <c r="AH889" s="83"/>
      <c r="AI889" s="83"/>
      <c r="AJ889" s="83"/>
      <c r="AK889" s="83"/>
      <c r="AL889" s="83"/>
      <c r="AM889" s="83"/>
      <c r="AN889" s="83"/>
      <c r="AO889" s="83"/>
      <c r="AP889" s="94"/>
      <c r="AQ889" s="94"/>
    </row>
    <row r="890" ht="15.75" customHeight="1">
      <c r="A890" s="83"/>
      <c r="B890" s="83"/>
      <c r="C890" s="83"/>
      <c r="D890" s="83"/>
      <c r="E890" s="83"/>
      <c r="F890" s="83"/>
      <c r="G890" s="83"/>
      <c r="H890" s="83"/>
      <c r="I890" s="94"/>
      <c r="J890" s="83"/>
      <c r="K890" s="83"/>
      <c r="L890" s="94"/>
      <c r="M890" s="83"/>
      <c r="N890" s="94"/>
      <c r="O890" s="83"/>
      <c r="P890" s="492"/>
      <c r="Q890" s="83"/>
      <c r="R890" s="83"/>
      <c r="S890" s="83"/>
      <c r="T890" s="83"/>
      <c r="U890" s="83"/>
      <c r="V890" s="83"/>
      <c r="W890" s="94"/>
      <c r="X890" s="94"/>
      <c r="Y890" s="94"/>
      <c r="Z890" s="83"/>
      <c r="AA890" s="83"/>
      <c r="AB890" s="83"/>
      <c r="AC890" s="83"/>
      <c r="AD890" s="83"/>
      <c r="AE890" s="83"/>
      <c r="AF890" s="83"/>
      <c r="AG890" s="83"/>
      <c r="AH890" s="83"/>
      <c r="AI890" s="83"/>
      <c r="AJ890" s="83"/>
      <c r="AK890" s="83"/>
      <c r="AL890" s="83"/>
      <c r="AM890" s="83"/>
      <c r="AN890" s="83"/>
      <c r="AO890" s="83"/>
      <c r="AP890" s="94"/>
      <c r="AQ890" s="94"/>
    </row>
    <row r="891" ht="15.75" customHeight="1">
      <c r="A891" s="83"/>
      <c r="B891" s="83"/>
      <c r="C891" s="83"/>
      <c r="D891" s="83"/>
      <c r="E891" s="83"/>
      <c r="F891" s="83"/>
      <c r="G891" s="83"/>
      <c r="H891" s="83"/>
      <c r="I891" s="94"/>
      <c r="J891" s="83"/>
      <c r="K891" s="83"/>
      <c r="L891" s="94"/>
      <c r="M891" s="83"/>
      <c r="N891" s="94"/>
      <c r="O891" s="83"/>
      <c r="P891" s="492"/>
      <c r="Q891" s="83"/>
      <c r="R891" s="83"/>
      <c r="S891" s="83"/>
      <c r="T891" s="83"/>
      <c r="U891" s="83"/>
      <c r="V891" s="83"/>
      <c r="W891" s="94"/>
      <c r="X891" s="94"/>
      <c r="Y891" s="94"/>
      <c r="Z891" s="83"/>
      <c r="AA891" s="83"/>
      <c r="AB891" s="83"/>
      <c r="AC891" s="83"/>
      <c r="AD891" s="83"/>
      <c r="AE891" s="83"/>
      <c r="AF891" s="83"/>
      <c r="AG891" s="83"/>
      <c r="AH891" s="83"/>
      <c r="AI891" s="83"/>
      <c r="AJ891" s="83"/>
      <c r="AK891" s="83"/>
      <c r="AL891" s="83"/>
      <c r="AM891" s="83"/>
      <c r="AN891" s="83"/>
      <c r="AO891" s="83"/>
      <c r="AP891" s="94"/>
      <c r="AQ891" s="94"/>
    </row>
    <row r="892" ht="15.75" customHeight="1">
      <c r="A892" s="83"/>
      <c r="B892" s="83"/>
      <c r="C892" s="83"/>
      <c r="D892" s="83"/>
      <c r="E892" s="83"/>
      <c r="F892" s="83"/>
      <c r="G892" s="83"/>
      <c r="H892" s="83"/>
      <c r="I892" s="94"/>
      <c r="J892" s="83"/>
      <c r="K892" s="83"/>
      <c r="L892" s="94"/>
      <c r="M892" s="83"/>
      <c r="N892" s="94"/>
      <c r="O892" s="83"/>
      <c r="P892" s="492"/>
      <c r="Q892" s="83"/>
      <c r="R892" s="83"/>
      <c r="S892" s="83"/>
      <c r="T892" s="83"/>
      <c r="U892" s="83"/>
      <c r="V892" s="83"/>
      <c r="W892" s="94"/>
      <c r="X892" s="94"/>
      <c r="Y892" s="94"/>
      <c r="Z892" s="83"/>
      <c r="AA892" s="83"/>
      <c r="AB892" s="83"/>
      <c r="AC892" s="83"/>
      <c r="AD892" s="83"/>
      <c r="AE892" s="83"/>
      <c r="AF892" s="83"/>
      <c r="AG892" s="83"/>
      <c r="AH892" s="83"/>
      <c r="AI892" s="83"/>
      <c r="AJ892" s="83"/>
      <c r="AK892" s="83"/>
      <c r="AL892" s="83"/>
      <c r="AM892" s="83"/>
      <c r="AN892" s="83"/>
      <c r="AO892" s="83"/>
      <c r="AP892" s="94"/>
      <c r="AQ892" s="94"/>
    </row>
    <row r="893" ht="15.75" customHeight="1">
      <c r="A893" s="83"/>
      <c r="B893" s="83"/>
      <c r="C893" s="83"/>
      <c r="D893" s="83"/>
      <c r="E893" s="83"/>
      <c r="F893" s="83"/>
      <c r="G893" s="83"/>
      <c r="H893" s="83"/>
      <c r="I893" s="94"/>
      <c r="J893" s="83"/>
      <c r="K893" s="83"/>
      <c r="L893" s="94"/>
      <c r="M893" s="83"/>
      <c r="N893" s="94"/>
      <c r="O893" s="83"/>
      <c r="P893" s="492"/>
      <c r="Q893" s="83"/>
      <c r="R893" s="83"/>
      <c r="S893" s="83"/>
      <c r="T893" s="83"/>
      <c r="U893" s="83"/>
      <c r="V893" s="83"/>
      <c r="W893" s="94"/>
      <c r="X893" s="94"/>
      <c r="Y893" s="94"/>
      <c r="Z893" s="83"/>
      <c r="AA893" s="83"/>
      <c r="AB893" s="83"/>
      <c r="AC893" s="83"/>
      <c r="AD893" s="83"/>
      <c r="AE893" s="83"/>
      <c r="AF893" s="83"/>
      <c r="AG893" s="83"/>
      <c r="AH893" s="83"/>
      <c r="AI893" s="83"/>
      <c r="AJ893" s="83"/>
      <c r="AK893" s="83"/>
      <c r="AL893" s="83"/>
      <c r="AM893" s="83"/>
      <c r="AN893" s="83"/>
      <c r="AO893" s="83"/>
      <c r="AP893" s="94"/>
      <c r="AQ893" s="94"/>
    </row>
    <row r="894" ht="15.75" customHeight="1">
      <c r="A894" s="83"/>
      <c r="B894" s="83"/>
      <c r="C894" s="83"/>
      <c r="D894" s="83"/>
      <c r="E894" s="83"/>
      <c r="F894" s="83"/>
      <c r="G894" s="83"/>
      <c r="H894" s="83"/>
      <c r="I894" s="94"/>
      <c r="J894" s="83"/>
      <c r="K894" s="83"/>
      <c r="L894" s="94"/>
      <c r="M894" s="83"/>
      <c r="N894" s="94"/>
      <c r="O894" s="83"/>
      <c r="P894" s="492"/>
      <c r="Q894" s="83"/>
      <c r="R894" s="83"/>
      <c r="S894" s="83"/>
      <c r="T894" s="83"/>
      <c r="U894" s="83"/>
      <c r="V894" s="83"/>
      <c r="W894" s="94"/>
      <c r="X894" s="94"/>
      <c r="Y894" s="94"/>
      <c r="Z894" s="83"/>
      <c r="AA894" s="83"/>
      <c r="AB894" s="83"/>
      <c r="AC894" s="83"/>
      <c r="AD894" s="83"/>
      <c r="AE894" s="83"/>
      <c r="AF894" s="83"/>
      <c r="AG894" s="83"/>
      <c r="AH894" s="83"/>
      <c r="AI894" s="83"/>
      <c r="AJ894" s="83"/>
      <c r="AK894" s="83"/>
      <c r="AL894" s="83"/>
      <c r="AM894" s="83"/>
      <c r="AN894" s="83"/>
      <c r="AO894" s="83"/>
      <c r="AP894" s="94"/>
      <c r="AQ894" s="94"/>
    </row>
    <row r="895" ht="15.75" customHeight="1">
      <c r="A895" s="83"/>
      <c r="B895" s="83"/>
      <c r="C895" s="83"/>
      <c r="D895" s="83"/>
      <c r="E895" s="83"/>
      <c r="F895" s="83"/>
      <c r="G895" s="83"/>
      <c r="H895" s="83"/>
      <c r="I895" s="94"/>
      <c r="J895" s="83"/>
      <c r="K895" s="83"/>
      <c r="L895" s="94"/>
      <c r="M895" s="83"/>
      <c r="N895" s="94"/>
      <c r="O895" s="83"/>
      <c r="P895" s="492"/>
      <c r="Q895" s="83"/>
      <c r="R895" s="83"/>
      <c r="S895" s="83"/>
      <c r="T895" s="83"/>
      <c r="U895" s="83"/>
      <c r="V895" s="83"/>
      <c r="W895" s="94"/>
      <c r="X895" s="94"/>
      <c r="Y895" s="94"/>
      <c r="Z895" s="83"/>
      <c r="AA895" s="83"/>
      <c r="AB895" s="83"/>
      <c r="AC895" s="83"/>
      <c r="AD895" s="83"/>
      <c r="AE895" s="83"/>
      <c r="AF895" s="83"/>
      <c r="AG895" s="83"/>
      <c r="AH895" s="83"/>
      <c r="AI895" s="83"/>
      <c r="AJ895" s="83"/>
      <c r="AK895" s="83"/>
      <c r="AL895" s="83"/>
      <c r="AM895" s="83"/>
      <c r="AN895" s="83"/>
      <c r="AO895" s="83"/>
      <c r="AP895" s="94"/>
      <c r="AQ895" s="94"/>
    </row>
    <row r="896" ht="15.75" customHeight="1">
      <c r="A896" s="83"/>
      <c r="B896" s="83"/>
      <c r="C896" s="83"/>
      <c r="D896" s="83"/>
      <c r="E896" s="83"/>
      <c r="F896" s="83"/>
      <c r="G896" s="83"/>
      <c r="H896" s="83"/>
      <c r="I896" s="94"/>
      <c r="J896" s="83"/>
      <c r="K896" s="83"/>
      <c r="L896" s="94"/>
      <c r="M896" s="83"/>
      <c r="N896" s="94"/>
      <c r="O896" s="83"/>
      <c r="P896" s="492"/>
      <c r="Q896" s="83"/>
      <c r="R896" s="83"/>
      <c r="S896" s="83"/>
      <c r="T896" s="83"/>
      <c r="U896" s="83"/>
      <c r="V896" s="83"/>
      <c r="W896" s="94"/>
      <c r="X896" s="94"/>
      <c r="Y896" s="94"/>
      <c r="Z896" s="83"/>
      <c r="AA896" s="83"/>
      <c r="AB896" s="83"/>
      <c r="AC896" s="83"/>
      <c r="AD896" s="83"/>
      <c r="AE896" s="83"/>
      <c r="AF896" s="83"/>
      <c r="AG896" s="83"/>
      <c r="AH896" s="83"/>
      <c r="AI896" s="83"/>
      <c r="AJ896" s="83"/>
      <c r="AK896" s="83"/>
      <c r="AL896" s="83"/>
      <c r="AM896" s="83"/>
      <c r="AN896" s="83"/>
      <c r="AO896" s="83"/>
      <c r="AP896" s="94"/>
      <c r="AQ896" s="94"/>
    </row>
    <row r="897" ht="15.75" customHeight="1">
      <c r="A897" s="83"/>
      <c r="B897" s="83"/>
      <c r="C897" s="83"/>
      <c r="D897" s="83"/>
      <c r="E897" s="83"/>
      <c r="F897" s="83"/>
      <c r="G897" s="83"/>
      <c r="H897" s="83"/>
      <c r="I897" s="94"/>
      <c r="J897" s="83"/>
      <c r="K897" s="83"/>
      <c r="L897" s="94"/>
      <c r="M897" s="83"/>
      <c r="N897" s="94"/>
      <c r="O897" s="83"/>
      <c r="P897" s="492"/>
      <c r="Q897" s="83"/>
      <c r="R897" s="83"/>
      <c r="S897" s="83"/>
      <c r="T897" s="83"/>
      <c r="U897" s="83"/>
      <c r="V897" s="83"/>
      <c r="W897" s="94"/>
      <c r="X897" s="94"/>
      <c r="Y897" s="94"/>
      <c r="Z897" s="83"/>
      <c r="AA897" s="83"/>
      <c r="AB897" s="83"/>
      <c r="AC897" s="83"/>
      <c r="AD897" s="83"/>
      <c r="AE897" s="83"/>
      <c r="AF897" s="83"/>
      <c r="AG897" s="83"/>
      <c r="AH897" s="83"/>
      <c r="AI897" s="83"/>
      <c r="AJ897" s="83"/>
      <c r="AK897" s="83"/>
      <c r="AL897" s="83"/>
      <c r="AM897" s="83"/>
      <c r="AN897" s="83"/>
      <c r="AO897" s="83"/>
      <c r="AP897" s="94"/>
      <c r="AQ897" s="94"/>
    </row>
    <row r="898" ht="15.75" customHeight="1">
      <c r="A898" s="83"/>
      <c r="B898" s="83"/>
      <c r="C898" s="83"/>
      <c r="D898" s="83"/>
      <c r="E898" s="83"/>
      <c r="F898" s="83"/>
      <c r="G898" s="83"/>
      <c r="H898" s="83"/>
      <c r="I898" s="94"/>
      <c r="J898" s="83"/>
      <c r="K898" s="83"/>
      <c r="L898" s="94"/>
      <c r="M898" s="83"/>
      <c r="N898" s="94"/>
      <c r="O898" s="83"/>
      <c r="P898" s="492"/>
      <c r="Q898" s="83"/>
      <c r="R898" s="83"/>
      <c r="S898" s="83"/>
      <c r="T898" s="83"/>
      <c r="U898" s="83"/>
      <c r="V898" s="83"/>
      <c r="W898" s="94"/>
      <c r="X898" s="94"/>
      <c r="Y898" s="94"/>
      <c r="Z898" s="83"/>
      <c r="AA898" s="83"/>
      <c r="AB898" s="83"/>
      <c r="AC898" s="83"/>
      <c r="AD898" s="83"/>
      <c r="AE898" s="83"/>
      <c r="AF898" s="83"/>
      <c r="AG898" s="83"/>
      <c r="AH898" s="83"/>
      <c r="AI898" s="83"/>
      <c r="AJ898" s="83"/>
      <c r="AK898" s="83"/>
      <c r="AL898" s="83"/>
      <c r="AM898" s="83"/>
      <c r="AN898" s="83"/>
      <c r="AO898" s="83"/>
      <c r="AP898" s="94"/>
      <c r="AQ898" s="94"/>
    </row>
    <row r="899" ht="15.75" customHeight="1">
      <c r="A899" s="83"/>
      <c r="B899" s="83"/>
      <c r="C899" s="83"/>
      <c r="D899" s="83"/>
      <c r="E899" s="83"/>
      <c r="F899" s="83"/>
      <c r="G899" s="83"/>
      <c r="H899" s="83"/>
      <c r="I899" s="94"/>
      <c r="J899" s="83"/>
      <c r="K899" s="83"/>
      <c r="L899" s="94"/>
      <c r="M899" s="83"/>
      <c r="N899" s="94"/>
      <c r="O899" s="83"/>
      <c r="P899" s="492"/>
      <c r="Q899" s="83"/>
      <c r="R899" s="83"/>
      <c r="S899" s="83"/>
      <c r="T899" s="83"/>
      <c r="U899" s="83"/>
      <c r="V899" s="83"/>
      <c r="W899" s="94"/>
      <c r="X899" s="94"/>
      <c r="Y899" s="94"/>
      <c r="Z899" s="83"/>
      <c r="AA899" s="83"/>
      <c r="AB899" s="83"/>
      <c r="AC899" s="83"/>
      <c r="AD899" s="83"/>
      <c r="AE899" s="83"/>
      <c r="AF899" s="83"/>
      <c r="AG899" s="83"/>
      <c r="AH899" s="83"/>
      <c r="AI899" s="83"/>
      <c r="AJ899" s="83"/>
      <c r="AK899" s="83"/>
      <c r="AL899" s="83"/>
      <c r="AM899" s="83"/>
      <c r="AN899" s="83"/>
      <c r="AO899" s="83"/>
      <c r="AP899" s="94"/>
      <c r="AQ899" s="94"/>
    </row>
    <row r="900" ht="15.75" customHeight="1">
      <c r="A900" s="83"/>
      <c r="B900" s="83"/>
      <c r="C900" s="83"/>
      <c r="D900" s="83"/>
      <c r="E900" s="83"/>
      <c r="F900" s="83"/>
      <c r="G900" s="83"/>
      <c r="H900" s="83"/>
      <c r="I900" s="94"/>
      <c r="J900" s="83"/>
      <c r="K900" s="83"/>
      <c r="L900" s="94"/>
      <c r="M900" s="83"/>
      <c r="N900" s="94"/>
      <c r="O900" s="83"/>
      <c r="P900" s="492"/>
      <c r="Q900" s="83"/>
      <c r="R900" s="83"/>
      <c r="S900" s="83"/>
      <c r="T900" s="83"/>
      <c r="U900" s="83"/>
      <c r="V900" s="83"/>
      <c r="W900" s="94"/>
      <c r="X900" s="94"/>
      <c r="Y900" s="94"/>
      <c r="Z900" s="83"/>
      <c r="AA900" s="83"/>
      <c r="AB900" s="83"/>
      <c r="AC900" s="83"/>
      <c r="AD900" s="83"/>
      <c r="AE900" s="83"/>
      <c r="AF900" s="83"/>
      <c r="AG900" s="83"/>
      <c r="AH900" s="83"/>
      <c r="AI900" s="83"/>
      <c r="AJ900" s="83"/>
      <c r="AK900" s="83"/>
      <c r="AL900" s="83"/>
      <c r="AM900" s="83"/>
      <c r="AN900" s="83"/>
      <c r="AO900" s="83"/>
      <c r="AP900" s="94"/>
      <c r="AQ900" s="94"/>
    </row>
    <row r="901" ht="15.75" customHeight="1">
      <c r="A901" s="83"/>
      <c r="B901" s="83"/>
      <c r="C901" s="83"/>
      <c r="D901" s="83"/>
      <c r="E901" s="83"/>
      <c r="F901" s="83"/>
      <c r="G901" s="83"/>
      <c r="H901" s="83"/>
      <c r="I901" s="94"/>
      <c r="J901" s="83"/>
      <c r="K901" s="83"/>
      <c r="L901" s="94"/>
      <c r="M901" s="83"/>
      <c r="N901" s="94"/>
      <c r="O901" s="83"/>
      <c r="P901" s="492"/>
      <c r="Q901" s="83"/>
      <c r="R901" s="83"/>
      <c r="S901" s="83"/>
      <c r="T901" s="83"/>
      <c r="U901" s="83"/>
      <c r="V901" s="83"/>
      <c r="W901" s="94"/>
      <c r="X901" s="94"/>
      <c r="Y901" s="94"/>
      <c r="Z901" s="83"/>
      <c r="AA901" s="83"/>
      <c r="AB901" s="83"/>
      <c r="AC901" s="83"/>
      <c r="AD901" s="83"/>
      <c r="AE901" s="83"/>
      <c r="AF901" s="83"/>
      <c r="AG901" s="83"/>
      <c r="AH901" s="83"/>
      <c r="AI901" s="83"/>
      <c r="AJ901" s="83"/>
      <c r="AK901" s="83"/>
      <c r="AL901" s="83"/>
      <c r="AM901" s="83"/>
      <c r="AN901" s="83"/>
      <c r="AO901" s="83"/>
      <c r="AP901" s="94"/>
      <c r="AQ901" s="94"/>
    </row>
    <row r="902" ht="15.75" customHeight="1">
      <c r="A902" s="83"/>
      <c r="B902" s="83"/>
      <c r="C902" s="83"/>
      <c r="D902" s="83"/>
      <c r="E902" s="83"/>
      <c r="F902" s="83"/>
      <c r="G902" s="83"/>
      <c r="H902" s="83"/>
      <c r="I902" s="94"/>
      <c r="J902" s="83"/>
      <c r="K902" s="83"/>
      <c r="L902" s="94"/>
      <c r="M902" s="83"/>
      <c r="N902" s="94"/>
      <c r="O902" s="83"/>
      <c r="P902" s="492"/>
      <c r="Q902" s="83"/>
      <c r="R902" s="83"/>
      <c r="S902" s="83"/>
      <c r="T902" s="83"/>
      <c r="U902" s="83"/>
      <c r="V902" s="83"/>
      <c r="W902" s="94"/>
      <c r="X902" s="94"/>
      <c r="Y902" s="94"/>
      <c r="Z902" s="83"/>
      <c r="AA902" s="83"/>
      <c r="AB902" s="83"/>
      <c r="AC902" s="83"/>
      <c r="AD902" s="83"/>
      <c r="AE902" s="83"/>
      <c r="AF902" s="83"/>
      <c r="AG902" s="83"/>
      <c r="AH902" s="83"/>
      <c r="AI902" s="83"/>
      <c r="AJ902" s="83"/>
      <c r="AK902" s="83"/>
      <c r="AL902" s="83"/>
      <c r="AM902" s="83"/>
      <c r="AN902" s="83"/>
      <c r="AO902" s="83"/>
      <c r="AP902" s="94"/>
      <c r="AQ902" s="94"/>
    </row>
    <row r="903" ht="15.75" customHeight="1">
      <c r="A903" s="83"/>
      <c r="B903" s="83"/>
      <c r="C903" s="83"/>
      <c r="D903" s="83"/>
      <c r="E903" s="83"/>
      <c r="F903" s="83"/>
      <c r="G903" s="83"/>
      <c r="H903" s="83"/>
      <c r="I903" s="94"/>
      <c r="J903" s="83"/>
      <c r="K903" s="83"/>
      <c r="L903" s="94"/>
      <c r="M903" s="83"/>
      <c r="N903" s="94"/>
      <c r="O903" s="83"/>
      <c r="P903" s="492"/>
      <c r="Q903" s="83"/>
      <c r="R903" s="83"/>
      <c r="S903" s="83"/>
      <c r="T903" s="83"/>
      <c r="U903" s="83"/>
      <c r="V903" s="83"/>
      <c r="W903" s="94"/>
      <c r="X903" s="94"/>
      <c r="Y903" s="94"/>
      <c r="Z903" s="83"/>
      <c r="AA903" s="83"/>
      <c r="AB903" s="83"/>
      <c r="AC903" s="83"/>
      <c r="AD903" s="83"/>
      <c r="AE903" s="83"/>
      <c r="AF903" s="83"/>
      <c r="AG903" s="83"/>
      <c r="AH903" s="83"/>
      <c r="AI903" s="83"/>
      <c r="AJ903" s="83"/>
      <c r="AK903" s="83"/>
      <c r="AL903" s="83"/>
      <c r="AM903" s="83"/>
      <c r="AN903" s="83"/>
      <c r="AO903" s="83"/>
      <c r="AP903" s="94"/>
      <c r="AQ903" s="94"/>
    </row>
    <row r="904" ht="15.75" customHeight="1">
      <c r="A904" s="83"/>
      <c r="B904" s="83"/>
      <c r="C904" s="83"/>
      <c r="D904" s="83"/>
      <c r="E904" s="83"/>
      <c r="F904" s="83"/>
      <c r="G904" s="83"/>
      <c r="H904" s="83"/>
      <c r="I904" s="94"/>
      <c r="J904" s="83"/>
      <c r="K904" s="83"/>
      <c r="L904" s="94"/>
      <c r="M904" s="83"/>
      <c r="N904" s="94"/>
      <c r="O904" s="83"/>
      <c r="P904" s="492"/>
      <c r="Q904" s="83"/>
      <c r="R904" s="83"/>
      <c r="S904" s="83"/>
      <c r="T904" s="83"/>
      <c r="U904" s="83"/>
      <c r="V904" s="83"/>
      <c r="W904" s="94"/>
      <c r="X904" s="94"/>
      <c r="Y904" s="94"/>
      <c r="Z904" s="83"/>
      <c r="AA904" s="83"/>
      <c r="AB904" s="83"/>
      <c r="AC904" s="83"/>
      <c r="AD904" s="83"/>
      <c r="AE904" s="83"/>
      <c r="AF904" s="83"/>
      <c r="AG904" s="83"/>
      <c r="AH904" s="83"/>
      <c r="AI904" s="83"/>
      <c r="AJ904" s="83"/>
      <c r="AK904" s="83"/>
      <c r="AL904" s="83"/>
      <c r="AM904" s="83"/>
      <c r="AN904" s="83"/>
      <c r="AO904" s="83"/>
      <c r="AP904" s="94"/>
      <c r="AQ904" s="94"/>
    </row>
    <row r="905" ht="15.75" customHeight="1">
      <c r="A905" s="83"/>
      <c r="B905" s="83"/>
      <c r="C905" s="83"/>
      <c r="D905" s="83"/>
      <c r="E905" s="83"/>
      <c r="F905" s="83"/>
      <c r="G905" s="83"/>
      <c r="H905" s="83"/>
      <c r="I905" s="94"/>
      <c r="J905" s="83"/>
      <c r="K905" s="83"/>
      <c r="L905" s="94"/>
      <c r="M905" s="83"/>
      <c r="N905" s="94"/>
      <c r="O905" s="83"/>
      <c r="P905" s="492"/>
      <c r="Q905" s="83"/>
      <c r="R905" s="83"/>
      <c r="S905" s="83"/>
      <c r="T905" s="83"/>
      <c r="U905" s="83"/>
      <c r="V905" s="83"/>
      <c r="W905" s="94"/>
      <c r="X905" s="94"/>
      <c r="Y905" s="94"/>
      <c r="Z905" s="83"/>
      <c r="AA905" s="83"/>
      <c r="AB905" s="83"/>
      <c r="AC905" s="83"/>
      <c r="AD905" s="83"/>
      <c r="AE905" s="83"/>
      <c r="AF905" s="83"/>
      <c r="AG905" s="83"/>
      <c r="AH905" s="83"/>
      <c r="AI905" s="83"/>
      <c r="AJ905" s="83"/>
      <c r="AK905" s="83"/>
      <c r="AL905" s="83"/>
      <c r="AM905" s="83"/>
      <c r="AN905" s="83"/>
      <c r="AO905" s="83"/>
      <c r="AP905" s="94"/>
      <c r="AQ905" s="94"/>
    </row>
    <row r="906" ht="15.75" customHeight="1">
      <c r="A906" s="83"/>
      <c r="B906" s="83"/>
      <c r="C906" s="83"/>
      <c r="D906" s="83"/>
      <c r="E906" s="83"/>
      <c r="F906" s="83"/>
      <c r="G906" s="83"/>
      <c r="H906" s="83"/>
      <c r="I906" s="94"/>
      <c r="J906" s="83"/>
      <c r="K906" s="83"/>
      <c r="L906" s="94"/>
      <c r="M906" s="83"/>
      <c r="N906" s="94"/>
      <c r="O906" s="83"/>
      <c r="P906" s="492"/>
      <c r="Q906" s="83"/>
      <c r="R906" s="83"/>
      <c r="S906" s="83"/>
      <c r="T906" s="83"/>
      <c r="U906" s="83"/>
      <c r="V906" s="83"/>
      <c r="W906" s="94"/>
      <c r="X906" s="94"/>
      <c r="Y906" s="94"/>
      <c r="Z906" s="83"/>
      <c r="AA906" s="83"/>
      <c r="AB906" s="83"/>
      <c r="AC906" s="83"/>
      <c r="AD906" s="83"/>
      <c r="AE906" s="83"/>
      <c r="AF906" s="83"/>
      <c r="AG906" s="83"/>
      <c r="AH906" s="83"/>
      <c r="AI906" s="83"/>
      <c r="AJ906" s="83"/>
      <c r="AK906" s="83"/>
      <c r="AL906" s="83"/>
      <c r="AM906" s="83"/>
      <c r="AN906" s="83"/>
      <c r="AO906" s="83"/>
      <c r="AP906" s="94"/>
      <c r="AQ906" s="94"/>
    </row>
    <row r="907" ht="15.75" customHeight="1">
      <c r="A907" s="83"/>
      <c r="B907" s="83"/>
      <c r="C907" s="83"/>
      <c r="D907" s="83"/>
      <c r="E907" s="83"/>
      <c r="F907" s="83"/>
      <c r="G907" s="83"/>
      <c r="H907" s="83"/>
      <c r="I907" s="94"/>
      <c r="J907" s="83"/>
      <c r="K907" s="83"/>
      <c r="L907" s="94"/>
      <c r="M907" s="83"/>
      <c r="N907" s="94"/>
      <c r="O907" s="83"/>
      <c r="P907" s="492"/>
      <c r="Q907" s="83"/>
      <c r="R907" s="83"/>
      <c r="S907" s="83"/>
      <c r="T907" s="83"/>
      <c r="U907" s="83"/>
      <c r="V907" s="83"/>
      <c r="W907" s="94"/>
      <c r="X907" s="94"/>
      <c r="Y907" s="94"/>
      <c r="Z907" s="83"/>
      <c r="AA907" s="83"/>
      <c r="AB907" s="83"/>
      <c r="AC907" s="83"/>
      <c r="AD907" s="83"/>
      <c r="AE907" s="83"/>
      <c r="AF907" s="83"/>
      <c r="AG907" s="83"/>
      <c r="AH907" s="83"/>
      <c r="AI907" s="83"/>
      <c r="AJ907" s="83"/>
      <c r="AK907" s="83"/>
      <c r="AL907" s="83"/>
      <c r="AM907" s="83"/>
      <c r="AN907" s="83"/>
      <c r="AO907" s="83"/>
      <c r="AP907" s="94"/>
      <c r="AQ907" s="94"/>
    </row>
    <row r="908" ht="15.75" customHeight="1">
      <c r="A908" s="83"/>
      <c r="B908" s="83"/>
      <c r="C908" s="83"/>
      <c r="D908" s="83"/>
      <c r="E908" s="83"/>
      <c r="F908" s="83"/>
      <c r="G908" s="83"/>
      <c r="H908" s="83"/>
      <c r="I908" s="94"/>
      <c r="J908" s="83"/>
      <c r="K908" s="83"/>
      <c r="L908" s="94"/>
      <c r="M908" s="83"/>
      <c r="N908" s="94"/>
      <c r="O908" s="83"/>
      <c r="P908" s="492"/>
      <c r="Q908" s="83"/>
      <c r="R908" s="83"/>
      <c r="S908" s="83"/>
      <c r="T908" s="83"/>
      <c r="U908" s="83"/>
      <c r="V908" s="83"/>
      <c r="W908" s="94"/>
      <c r="X908" s="94"/>
      <c r="Y908" s="94"/>
      <c r="Z908" s="83"/>
      <c r="AA908" s="83"/>
      <c r="AB908" s="83"/>
      <c r="AC908" s="83"/>
      <c r="AD908" s="83"/>
      <c r="AE908" s="83"/>
      <c r="AF908" s="83"/>
      <c r="AG908" s="83"/>
      <c r="AH908" s="83"/>
      <c r="AI908" s="83"/>
      <c r="AJ908" s="83"/>
      <c r="AK908" s="83"/>
      <c r="AL908" s="83"/>
      <c r="AM908" s="83"/>
      <c r="AN908" s="83"/>
      <c r="AO908" s="83"/>
      <c r="AP908" s="94"/>
      <c r="AQ908" s="94"/>
    </row>
    <row r="909" ht="15.75" customHeight="1">
      <c r="A909" s="83"/>
      <c r="B909" s="83"/>
      <c r="C909" s="83"/>
      <c r="D909" s="83"/>
      <c r="E909" s="83"/>
      <c r="F909" s="83"/>
      <c r="G909" s="83"/>
      <c r="H909" s="83"/>
      <c r="I909" s="94"/>
      <c r="J909" s="83"/>
      <c r="K909" s="83"/>
      <c r="L909" s="94"/>
      <c r="M909" s="83"/>
      <c r="N909" s="94"/>
      <c r="O909" s="83"/>
      <c r="P909" s="492"/>
      <c r="Q909" s="83"/>
      <c r="R909" s="83"/>
      <c r="S909" s="83"/>
      <c r="T909" s="83"/>
      <c r="U909" s="83"/>
      <c r="V909" s="83"/>
      <c r="W909" s="94"/>
      <c r="X909" s="94"/>
      <c r="Y909" s="94"/>
      <c r="Z909" s="83"/>
      <c r="AA909" s="83"/>
      <c r="AB909" s="83"/>
      <c r="AC909" s="83"/>
      <c r="AD909" s="83"/>
      <c r="AE909" s="83"/>
      <c r="AF909" s="83"/>
      <c r="AG909" s="83"/>
      <c r="AH909" s="83"/>
      <c r="AI909" s="83"/>
      <c r="AJ909" s="83"/>
      <c r="AK909" s="83"/>
      <c r="AL909" s="83"/>
      <c r="AM909" s="83"/>
      <c r="AN909" s="83"/>
      <c r="AO909" s="83"/>
      <c r="AP909" s="94"/>
      <c r="AQ909" s="94"/>
    </row>
    <row r="910" ht="15.75" customHeight="1">
      <c r="A910" s="83"/>
      <c r="B910" s="83"/>
      <c r="C910" s="83"/>
      <c r="D910" s="83"/>
      <c r="E910" s="83"/>
      <c r="F910" s="83"/>
      <c r="G910" s="83"/>
      <c r="H910" s="83"/>
      <c r="I910" s="94"/>
      <c r="J910" s="83"/>
      <c r="K910" s="83"/>
      <c r="L910" s="94"/>
      <c r="M910" s="83"/>
      <c r="N910" s="94"/>
      <c r="O910" s="83"/>
      <c r="P910" s="492"/>
      <c r="Q910" s="83"/>
      <c r="R910" s="83"/>
      <c r="S910" s="83"/>
      <c r="T910" s="83"/>
      <c r="U910" s="83"/>
      <c r="V910" s="83"/>
      <c r="W910" s="94"/>
      <c r="X910" s="94"/>
      <c r="Y910" s="94"/>
      <c r="Z910" s="83"/>
      <c r="AA910" s="83"/>
      <c r="AB910" s="83"/>
      <c r="AC910" s="83"/>
      <c r="AD910" s="83"/>
      <c r="AE910" s="83"/>
      <c r="AF910" s="83"/>
      <c r="AG910" s="83"/>
      <c r="AH910" s="83"/>
      <c r="AI910" s="83"/>
      <c r="AJ910" s="83"/>
      <c r="AK910" s="83"/>
      <c r="AL910" s="83"/>
      <c r="AM910" s="83"/>
      <c r="AN910" s="83"/>
      <c r="AO910" s="83"/>
      <c r="AP910" s="94"/>
      <c r="AQ910" s="94"/>
    </row>
    <row r="911" ht="15.75" customHeight="1">
      <c r="A911" s="83"/>
      <c r="B911" s="83"/>
      <c r="C911" s="83"/>
      <c r="D911" s="83"/>
      <c r="E911" s="83"/>
      <c r="F911" s="83"/>
      <c r="G911" s="83"/>
      <c r="H911" s="83"/>
      <c r="I911" s="94"/>
      <c r="J911" s="83"/>
      <c r="K911" s="83"/>
      <c r="L911" s="94"/>
      <c r="M911" s="83"/>
      <c r="N911" s="94"/>
      <c r="O911" s="83"/>
      <c r="P911" s="492"/>
      <c r="Q911" s="83"/>
      <c r="R911" s="83"/>
      <c r="S911" s="83"/>
      <c r="T911" s="83"/>
      <c r="U911" s="83"/>
      <c r="V911" s="83"/>
      <c r="W911" s="94"/>
      <c r="X911" s="94"/>
      <c r="Y911" s="94"/>
      <c r="Z911" s="83"/>
      <c r="AA911" s="83"/>
      <c r="AB911" s="83"/>
      <c r="AC911" s="83"/>
      <c r="AD911" s="83"/>
      <c r="AE911" s="83"/>
      <c r="AF911" s="83"/>
      <c r="AG911" s="83"/>
      <c r="AH911" s="83"/>
      <c r="AI911" s="83"/>
      <c r="AJ911" s="83"/>
      <c r="AK911" s="83"/>
      <c r="AL911" s="83"/>
      <c r="AM911" s="83"/>
      <c r="AN911" s="83"/>
      <c r="AO911" s="83"/>
      <c r="AP911" s="94"/>
      <c r="AQ911" s="94"/>
    </row>
    <row r="912" ht="15.75" customHeight="1">
      <c r="A912" s="83"/>
      <c r="B912" s="83"/>
      <c r="C912" s="83"/>
      <c r="D912" s="83"/>
      <c r="E912" s="83"/>
      <c r="F912" s="83"/>
      <c r="G912" s="83"/>
      <c r="H912" s="83"/>
      <c r="I912" s="94"/>
      <c r="J912" s="83"/>
      <c r="K912" s="83"/>
      <c r="L912" s="94"/>
      <c r="M912" s="83"/>
      <c r="N912" s="94"/>
      <c r="O912" s="83"/>
      <c r="P912" s="492"/>
      <c r="Q912" s="83"/>
      <c r="R912" s="83"/>
      <c r="S912" s="83"/>
      <c r="T912" s="83"/>
      <c r="U912" s="83"/>
      <c r="V912" s="83"/>
      <c r="W912" s="94"/>
      <c r="X912" s="94"/>
      <c r="Y912" s="94"/>
      <c r="Z912" s="83"/>
      <c r="AA912" s="83"/>
      <c r="AB912" s="83"/>
      <c r="AC912" s="83"/>
      <c r="AD912" s="83"/>
      <c r="AE912" s="83"/>
      <c r="AF912" s="83"/>
      <c r="AG912" s="83"/>
      <c r="AH912" s="83"/>
      <c r="AI912" s="83"/>
      <c r="AJ912" s="83"/>
      <c r="AK912" s="83"/>
      <c r="AL912" s="83"/>
      <c r="AM912" s="83"/>
      <c r="AN912" s="83"/>
      <c r="AO912" s="83"/>
      <c r="AP912" s="94"/>
      <c r="AQ912" s="94"/>
    </row>
    <row r="913" ht="15.75" customHeight="1">
      <c r="A913" s="83"/>
      <c r="B913" s="83"/>
      <c r="C913" s="83"/>
      <c r="D913" s="83"/>
      <c r="E913" s="83"/>
      <c r="F913" s="83"/>
      <c r="G913" s="83"/>
      <c r="H913" s="83"/>
      <c r="I913" s="94"/>
      <c r="J913" s="83"/>
      <c r="K913" s="83"/>
      <c r="L913" s="94"/>
      <c r="M913" s="83"/>
      <c r="N913" s="94"/>
      <c r="O913" s="83"/>
      <c r="P913" s="492"/>
      <c r="Q913" s="83"/>
      <c r="R913" s="83"/>
      <c r="S913" s="83"/>
      <c r="T913" s="83"/>
      <c r="U913" s="83"/>
      <c r="V913" s="83"/>
      <c r="W913" s="94"/>
      <c r="X913" s="94"/>
      <c r="Y913" s="94"/>
      <c r="Z913" s="83"/>
      <c r="AA913" s="83"/>
      <c r="AB913" s="83"/>
      <c r="AC913" s="83"/>
      <c r="AD913" s="83"/>
      <c r="AE913" s="83"/>
      <c r="AF913" s="83"/>
      <c r="AG913" s="83"/>
      <c r="AH913" s="83"/>
      <c r="AI913" s="83"/>
      <c r="AJ913" s="83"/>
      <c r="AK913" s="83"/>
      <c r="AL913" s="83"/>
      <c r="AM913" s="83"/>
      <c r="AN913" s="83"/>
      <c r="AO913" s="83"/>
      <c r="AP913" s="94"/>
      <c r="AQ913" s="94"/>
    </row>
    <row r="914" ht="15.75" customHeight="1">
      <c r="A914" s="83"/>
      <c r="B914" s="83"/>
      <c r="C914" s="83"/>
      <c r="D914" s="83"/>
      <c r="E914" s="83"/>
      <c r="F914" s="83"/>
      <c r="G914" s="83"/>
      <c r="H914" s="83"/>
      <c r="I914" s="94"/>
      <c r="J914" s="83"/>
      <c r="K914" s="83"/>
      <c r="L914" s="94"/>
      <c r="M914" s="83"/>
      <c r="N914" s="94"/>
      <c r="O914" s="83"/>
      <c r="P914" s="492"/>
      <c r="Q914" s="83"/>
      <c r="R914" s="83"/>
      <c r="S914" s="83"/>
      <c r="T914" s="83"/>
      <c r="U914" s="83"/>
      <c r="V914" s="83"/>
      <c r="W914" s="94"/>
      <c r="X914" s="94"/>
      <c r="Y914" s="94"/>
      <c r="Z914" s="83"/>
      <c r="AA914" s="83"/>
      <c r="AB914" s="83"/>
      <c r="AC914" s="83"/>
      <c r="AD914" s="83"/>
      <c r="AE914" s="83"/>
      <c r="AF914" s="83"/>
      <c r="AG914" s="83"/>
      <c r="AH914" s="83"/>
      <c r="AI914" s="83"/>
      <c r="AJ914" s="83"/>
      <c r="AK914" s="83"/>
      <c r="AL914" s="83"/>
      <c r="AM914" s="83"/>
      <c r="AN914" s="83"/>
      <c r="AO914" s="83"/>
      <c r="AP914" s="94"/>
      <c r="AQ914" s="94"/>
    </row>
    <row r="915" ht="15.75" customHeight="1">
      <c r="A915" s="83"/>
      <c r="B915" s="83"/>
      <c r="C915" s="83"/>
      <c r="D915" s="83"/>
      <c r="E915" s="83"/>
      <c r="F915" s="83"/>
      <c r="G915" s="83"/>
      <c r="H915" s="83"/>
      <c r="I915" s="94"/>
      <c r="J915" s="83"/>
      <c r="K915" s="83"/>
      <c r="L915" s="94"/>
      <c r="M915" s="83"/>
      <c r="N915" s="94"/>
      <c r="O915" s="83"/>
      <c r="P915" s="492"/>
      <c r="Q915" s="83"/>
      <c r="R915" s="83"/>
      <c r="S915" s="83"/>
      <c r="T915" s="83"/>
      <c r="U915" s="83"/>
      <c r="V915" s="83"/>
      <c r="W915" s="94"/>
      <c r="X915" s="94"/>
      <c r="Y915" s="94"/>
      <c r="Z915" s="83"/>
      <c r="AA915" s="83"/>
      <c r="AB915" s="83"/>
      <c r="AC915" s="83"/>
      <c r="AD915" s="83"/>
      <c r="AE915" s="83"/>
      <c r="AF915" s="83"/>
      <c r="AG915" s="83"/>
      <c r="AH915" s="83"/>
      <c r="AI915" s="83"/>
      <c r="AJ915" s="83"/>
      <c r="AK915" s="83"/>
      <c r="AL915" s="83"/>
      <c r="AM915" s="83"/>
      <c r="AN915" s="83"/>
      <c r="AO915" s="83"/>
      <c r="AP915" s="94"/>
      <c r="AQ915" s="94"/>
    </row>
    <row r="916" ht="15.75" customHeight="1">
      <c r="A916" s="83"/>
      <c r="B916" s="83"/>
      <c r="C916" s="83"/>
      <c r="D916" s="83"/>
      <c r="E916" s="83"/>
      <c r="F916" s="83"/>
      <c r="G916" s="83"/>
      <c r="H916" s="83"/>
      <c r="I916" s="94"/>
      <c r="J916" s="83"/>
      <c r="K916" s="83"/>
      <c r="L916" s="94"/>
      <c r="M916" s="83"/>
      <c r="N916" s="94"/>
      <c r="O916" s="83"/>
      <c r="P916" s="492"/>
      <c r="Q916" s="83"/>
      <c r="R916" s="83"/>
      <c r="S916" s="83"/>
      <c r="T916" s="83"/>
      <c r="U916" s="83"/>
      <c r="V916" s="83"/>
      <c r="W916" s="94"/>
      <c r="X916" s="94"/>
      <c r="Y916" s="94"/>
      <c r="Z916" s="83"/>
      <c r="AA916" s="83"/>
      <c r="AB916" s="83"/>
      <c r="AC916" s="83"/>
      <c r="AD916" s="83"/>
      <c r="AE916" s="83"/>
      <c r="AF916" s="83"/>
      <c r="AG916" s="83"/>
      <c r="AH916" s="83"/>
      <c r="AI916" s="83"/>
      <c r="AJ916" s="83"/>
      <c r="AK916" s="83"/>
      <c r="AL916" s="83"/>
      <c r="AM916" s="83"/>
      <c r="AN916" s="83"/>
      <c r="AO916" s="83"/>
      <c r="AP916" s="94"/>
      <c r="AQ916" s="94"/>
    </row>
    <row r="917" ht="15.75" customHeight="1">
      <c r="A917" s="83"/>
      <c r="B917" s="83"/>
      <c r="C917" s="83"/>
      <c r="D917" s="83"/>
      <c r="E917" s="83"/>
      <c r="F917" s="83"/>
      <c r="G917" s="83"/>
      <c r="H917" s="83"/>
      <c r="I917" s="94"/>
      <c r="J917" s="83"/>
      <c r="K917" s="83"/>
      <c r="L917" s="94"/>
      <c r="M917" s="83"/>
      <c r="N917" s="94"/>
      <c r="O917" s="83"/>
      <c r="P917" s="492"/>
      <c r="Q917" s="83"/>
      <c r="R917" s="83"/>
      <c r="S917" s="83"/>
      <c r="T917" s="83"/>
      <c r="U917" s="83"/>
      <c r="V917" s="83"/>
      <c r="W917" s="94"/>
      <c r="X917" s="94"/>
      <c r="Y917" s="94"/>
      <c r="Z917" s="83"/>
      <c r="AA917" s="83"/>
      <c r="AB917" s="83"/>
      <c r="AC917" s="83"/>
      <c r="AD917" s="83"/>
      <c r="AE917" s="83"/>
      <c r="AF917" s="83"/>
      <c r="AG917" s="83"/>
      <c r="AH917" s="83"/>
      <c r="AI917" s="83"/>
      <c r="AJ917" s="83"/>
      <c r="AK917" s="83"/>
      <c r="AL917" s="83"/>
      <c r="AM917" s="83"/>
      <c r="AN917" s="83"/>
      <c r="AO917" s="83"/>
      <c r="AP917" s="94"/>
      <c r="AQ917" s="94"/>
    </row>
    <row r="918" ht="15.75" customHeight="1">
      <c r="A918" s="83"/>
      <c r="B918" s="83"/>
      <c r="C918" s="83"/>
      <c r="D918" s="83"/>
      <c r="E918" s="83"/>
      <c r="F918" s="83"/>
      <c r="G918" s="83"/>
      <c r="H918" s="83"/>
      <c r="I918" s="94"/>
      <c r="J918" s="83"/>
      <c r="K918" s="83"/>
      <c r="L918" s="94"/>
      <c r="M918" s="83"/>
      <c r="N918" s="94"/>
      <c r="O918" s="83"/>
      <c r="P918" s="492"/>
      <c r="Q918" s="83"/>
      <c r="R918" s="83"/>
      <c r="S918" s="83"/>
      <c r="T918" s="83"/>
      <c r="U918" s="83"/>
      <c r="V918" s="83"/>
      <c r="W918" s="94"/>
      <c r="X918" s="94"/>
      <c r="Y918" s="94"/>
      <c r="Z918" s="83"/>
      <c r="AA918" s="83"/>
      <c r="AB918" s="83"/>
      <c r="AC918" s="83"/>
      <c r="AD918" s="83"/>
      <c r="AE918" s="83"/>
      <c r="AF918" s="83"/>
      <c r="AG918" s="83"/>
      <c r="AH918" s="83"/>
      <c r="AI918" s="83"/>
      <c r="AJ918" s="83"/>
      <c r="AK918" s="83"/>
      <c r="AL918" s="83"/>
      <c r="AM918" s="83"/>
      <c r="AN918" s="83"/>
      <c r="AO918" s="83"/>
      <c r="AP918" s="94"/>
      <c r="AQ918" s="94"/>
    </row>
    <row r="919" ht="15.75" customHeight="1">
      <c r="A919" s="83"/>
      <c r="B919" s="83"/>
      <c r="C919" s="83"/>
      <c r="D919" s="83"/>
      <c r="E919" s="83"/>
      <c r="F919" s="83"/>
      <c r="G919" s="83"/>
      <c r="H919" s="83"/>
      <c r="I919" s="94"/>
      <c r="J919" s="83"/>
      <c r="K919" s="83"/>
      <c r="L919" s="94"/>
      <c r="M919" s="83"/>
      <c r="N919" s="94"/>
      <c r="O919" s="83"/>
      <c r="P919" s="492"/>
      <c r="Q919" s="83"/>
      <c r="R919" s="83"/>
      <c r="S919" s="83"/>
      <c r="T919" s="83"/>
      <c r="U919" s="83"/>
      <c r="V919" s="83"/>
      <c r="W919" s="94"/>
      <c r="X919" s="94"/>
      <c r="Y919" s="94"/>
      <c r="Z919" s="83"/>
      <c r="AA919" s="83"/>
      <c r="AB919" s="83"/>
      <c r="AC919" s="83"/>
      <c r="AD919" s="83"/>
      <c r="AE919" s="83"/>
      <c r="AF919" s="83"/>
      <c r="AG919" s="83"/>
      <c r="AH919" s="83"/>
      <c r="AI919" s="83"/>
      <c r="AJ919" s="83"/>
      <c r="AK919" s="83"/>
      <c r="AL919" s="83"/>
      <c r="AM919" s="83"/>
      <c r="AN919" s="83"/>
      <c r="AO919" s="83"/>
      <c r="AP919" s="94"/>
      <c r="AQ919" s="94"/>
    </row>
    <row r="920" ht="15.75" customHeight="1">
      <c r="A920" s="83"/>
      <c r="B920" s="83"/>
      <c r="C920" s="83"/>
      <c r="D920" s="83"/>
      <c r="E920" s="83"/>
      <c r="F920" s="83"/>
      <c r="G920" s="83"/>
      <c r="H920" s="83"/>
      <c r="I920" s="94"/>
      <c r="J920" s="83"/>
      <c r="K920" s="83"/>
      <c r="L920" s="94"/>
      <c r="M920" s="83"/>
      <c r="N920" s="94"/>
      <c r="O920" s="83"/>
      <c r="P920" s="492"/>
      <c r="Q920" s="83"/>
      <c r="R920" s="83"/>
      <c r="S920" s="83"/>
      <c r="T920" s="83"/>
      <c r="U920" s="83"/>
      <c r="V920" s="83"/>
      <c r="W920" s="94"/>
      <c r="X920" s="94"/>
      <c r="Y920" s="94"/>
      <c r="Z920" s="83"/>
      <c r="AA920" s="83"/>
      <c r="AB920" s="83"/>
      <c r="AC920" s="83"/>
      <c r="AD920" s="83"/>
      <c r="AE920" s="83"/>
      <c r="AF920" s="83"/>
      <c r="AG920" s="83"/>
      <c r="AH920" s="83"/>
      <c r="AI920" s="83"/>
      <c r="AJ920" s="83"/>
      <c r="AK920" s="83"/>
      <c r="AL920" s="83"/>
      <c r="AM920" s="83"/>
      <c r="AN920" s="83"/>
      <c r="AO920" s="83"/>
      <c r="AP920" s="94"/>
      <c r="AQ920" s="94"/>
    </row>
    <row r="921" ht="15.75" customHeight="1">
      <c r="A921" s="83"/>
      <c r="B921" s="83"/>
      <c r="C921" s="83"/>
      <c r="D921" s="83"/>
      <c r="E921" s="83"/>
      <c r="F921" s="83"/>
      <c r="G921" s="83"/>
      <c r="H921" s="83"/>
      <c r="I921" s="94"/>
      <c r="J921" s="83"/>
      <c r="K921" s="83"/>
      <c r="L921" s="94"/>
      <c r="M921" s="83"/>
      <c r="N921" s="94"/>
      <c r="O921" s="83"/>
      <c r="P921" s="492"/>
      <c r="Q921" s="83"/>
      <c r="R921" s="83"/>
      <c r="S921" s="83"/>
      <c r="T921" s="83"/>
      <c r="U921" s="83"/>
      <c r="V921" s="83"/>
      <c r="W921" s="94"/>
      <c r="X921" s="94"/>
      <c r="Y921" s="94"/>
      <c r="Z921" s="83"/>
      <c r="AA921" s="83"/>
      <c r="AB921" s="83"/>
      <c r="AC921" s="83"/>
      <c r="AD921" s="83"/>
      <c r="AE921" s="83"/>
      <c r="AF921" s="83"/>
      <c r="AG921" s="83"/>
      <c r="AH921" s="83"/>
      <c r="AI921" s="83"/>
      <c r="AJ921" s="83"/>
      <c r="AK921" s="83"/>
      <c r="AL921" s="83"/>
      <c r="AM921" s="83"/>
      <c r="AN921" s="83"/>
      <c r="AO921" s="83"/>
      <c r="AP921" s="94"/>
      <c r="AQ921" s="94"/>
    </row>
    <row r="922" ht="15.75" customHeight="1">
      <c r="A922" s="83"/>
      <c r="B922" s="83"/>
      <c r="C922" s="83"/>
      <c r="D922" s="83"/>
      <c r="E922" s="83"/>
      <c r="F922" s="83"/>
      <c r="G922" s="83"/>
      <c r="H922" s="83"/>
      <c r="I922" s="94"/>
      <c r="J922" s="83"/>
      <c r="K922" s="83"/>
      <c r="L922" s="94"/>
      <c r="M922" s="83"/>
      <c r="N922" s="94"/>
      <c r="O922" s="83"/>
      <c r="P922" s="492"/>
      <c r="Q922" s="83"/>
      <c r="R922" s="83"/>
      <c r="S922" s="83"/>
      <c r="T922" s="83"/>
      <c r="U922" s="83"/>
      <c r="V922" s="83"/>
      <c r="W922" s="94"/>
      <c r="X922" s="94"/>
      <c r="Y922" s="94"/>
      <c r="Z922" s="83"/>
      <c r="AA922" s="83"/>
      <c r="AB922" s="83"/>
      <c r="AC922" s="83"/>
      <c r="AD922" s="83"/>
      <c r="AE922" s="83"/>
      <c r="AF922" s="83"/>
      <c r="AG922" s="83"/>
      <c r="AH922" s="83"/>
      <c r="AI922" s="83"/>
      <c r="AJ922" s="83"/>
      <c r="AK922" s="83"/>
      <c r="AL922" s="83"/>
      <c r="AM922" s="83"/>
      <c r="AN922" s="83"/>
      <c r="AO922" s="83"/>
      <c r="AP922" s="94"/>
      <c r="AQ922" s="94"/>
    </row>
    <row r="923" ht="15.75" customHeight="1">
      <c r="A923" s="83"/>
      <c r="B923" s="83"/>
      <c r="C923" s="83"/>
      <c r="D923" s="83"/>
      <c r="E923" s="83"/>
      <c r="F923" s="83"/>
      <c r="G923" s="83"/>
      <c r="H923" s="83"/>
      <c r="I923" s="94"/>
      <c r="J923" s="83"/>
      <c r="K923" s="83"/>
      <c r="L923" s="94"/>
      <c r="M923" s="83"/>
      <c r="N923" s="94"/>
      <c r="O923" s="83"/>
      <c r="P923" s="492"/>
      <c r="Q923" s="83"/>
      <c r="R923" s="83"/>
      <c r="S923" s="83"/>
      <c r="T923" s="83"/>
      <c r="U923" s="83"/>
      <c r="V923" s="83"/>
      <c r="W923" s="94"/>
      <c r="X923" s="94"/>
      <c r="Y923" s="94"/>
      <c r="Z923" s="83"/>
      <c r="AA923" s="83"/>
      <c r="AB923" s="83"/>
      <c r="AC923" s="83"/>
      <c r="AD923" s="83"/>
      <c r="AE923" s="83"/>
      <c r="AF923" s="83"/>
      <c r="AG923" s="83"/>
      <c r="AH923" s="83"/>
      <c r="AI923" s="83"/>
      <c r="AJ923" s="83"/>
      <c r="AK923" s="83"/>
      <c r="AL923" s="83"/>
      <c r="AM923" s="83"/>
      <c r="AN923" s="83"/>
      <c r="AO923" s="83"/>
      <c r="AP923" s="94"/>
      <c r="AQ923" s="94"/>
    </row>
    <row r="924" ht="15.75" customHeight="1">
      <c r="A924" s="83"/>
      <c r="B924" s="83"/>
      <c r="C924" s="83"/>
      <c r="D924" s="83"/>
      <c r="E924" s="83"/>
      <c r="F924" s="83"/>
      <c r="G924" s="83"/>
      <c r="H924" s="83"/>
      <c r="I924" s="94"/>
      <c r="J924" s="83"/>
      <c r="K924" s="83"/>
      <c r="L924" s="94"/>
      <c r="M924" s="83"/>
      <c r="N924" s="94"/>
      <c r="O924" s="83"/>
      <c r="P924" s="492"/>
      <c r="Q924" s="83"/>
      <c r="R924" s="83"/>
      <c r="S924" s="83"/>
      <c r="T924" s="83"/>
      <c r="U924" s="83"/>
      <c r="V924" s="83"/>
      <c r="W924" s="94"/>
      <c r="X924" s="94"/>
      <c r="Y924" s="94"/>
      <c r="Z924" s="83"/>
      <c r="AA924" s="83"/>
      <c r="AB924" s="83"/>
      <c r="AC924" s="83"/>
      <c r="AD924" s="83"/>
      <c r="AE924" s="83"/>
      <c r="AF924" s="83"/>
      <c r="AG924" s="83"/>
      <c r="AH924" s="83"/>
      <c r="AI924" s="83"/>
      <c r="AJ924" s="83"/>
      <c r="AK924" s="83"/>
      <c r="AL924" s="83"/>
      <c r="AM924" s="83"/>
      <c r="AN924" s="83"/>
      <c r="AO924" s="83"/>
      <c r="AP924" s="94"/>
      <c r="AQ924" s="94"/>
    </row>
    <row r="925" ht="15.75" customHeight="1">
      <c r="A925" s="83"/>
      <c r="B925" s="83"/>
      <c r="C925" s="83"/>
      <c r="D925" s="83"/>
      <c r="E925" s="83"/>
      <c r="F925" s="83"/>
      <c r="G925" s="83"/>
      <c r="H925" s="83"/>
      <c r="I925" s="94"/>
      <c r="J925" s="83"/>
      <c r="K925" s="83"/>
      <c r="L925" s="94"/>
      <c r="M925" s="83"/>
      <c r="N925" s="94"/>
      <c r="O925" s="83"/>
      <c r="P925" s="492"/>
      <c r="Q925" s="83"/>
      <c r="R925" s="83"/>
      <c r="S925" s="83"/>
      <c r="T925" s="83"/>
      <c r="U925" s="83"/>
      <c r="V925" s="83"/>
      <c r="W925" s="94"/>
      <c r="X925" s="94"/>
      <c r="Y925" s="94"/>
      <c r="Z925" s="83"/>
      <c r="AA925" s="83"/>
      <c r="AB925" s="83"/>
      <c r="AC925" s="83"/>
      <c r="AD925" s="83"/>
      <c r="AE925" s="83"/>
      <c r="AF925" s="83"/>
      <c r="AG925" s="83"/>
      <c r="AH925" s="83"/>
      <c r="AI925" s="83"/>
      <c r="AJ925" s="83"/>
      <c r="AK925" s="83"/>
      <c r="AL925" s="83"/>
      <c r="AM925" s="83"/>
      <c r="AN925" s="83"/>
      <c r="AO925" s="83"/>
      <c r="AP925" s="94"/>
      <c r="AQ925" s="94"/>
    </row>
    <row r="926" ht="15.75" customHeight="1">
      <c r="A926" s="83"/>
      <c r="B926" s="83"/>
      <c r="C926" s="83"/>
      <c r="D926" s="83"/>
      <c r="E926" s="83"/>
      <c r="F926" s="83"/>
      <c r="G926" s="83"/>
      <c r="H926" s="83"/>
      <c r="I926" s="94"/>
      <c r="J926" s="83"/>
      <c r="K926" s="83"/>
      <c r="L926" s="94"/>
      <c r="M926" s="83"/>
      <c r="N926" s="94"/>
      <c r="O926" s="83"/>
      <c r="P926" s="492"/>
      <c r="Q926" s="83"/>
      <c r="R926" s="83"/>
      <c r="S926" s="83"/>
      <c r="T926" s="83"/>
      <c r="U926" s="83"/>
      <c r="V926" s="83"/>
      <c r="W926" s="94"/>
      <c r="X926" s="94"/>
      <c r="Y926" s="94"/>
      <c r="Z926" s="83"/>
      <c r="AA926" s="83"/>
      <c r="AB926" s="83"/>
      <c r="AC926" s="83"/>
      <c r="AD926" s="83"/>
      <c r="AE926" s="83"/>
      <c r="AF926" s="83"/>
      <c r="AG926" s="83"/>
      <c r="AH926" s="83"/>
      <c r="AI926" s="83"/>
      <c r="AJ926" s="83"/>
      <c r="AK926" s="83"/>
      <c r="AL926" s="83"/>
      <c r="AM926" s="83"/>
      <c r="AN926" s="83"/>
      <c r="AO926" s="83"/>
      <c r="AP926" s="94"/>
      <c r="AQ926" s="94"/>
    </row>
    <row r="927" ht="15.75" customHeight="1">
      <c r="A927" s="83"/>
      <c r="B927" s="83"/>
      <c r="C927" s="83"/>
      <c r="D927" s="83"/>
      <c r="E927" s="83"/>
      <c r="F927" s="83"/>
      <c r="G927" s="83"/>
      <c r="H927" s="83"/>
      <c r="I927" s="94"/>
      <c r="J927" s="83"/>
      <c r="K927" s="83"/>
      <c r="L927" s="94"/>
      <c r="M927" s="83"/>
      <c r="N927" s="94"/>
      <c r="O927" s="83"/>
      <c r="P927" s="492"/>
      <c r="Q927" s="83"/>
      <c r="R927" s="83"/>
      <c r="S927" s="83"/>
      <c r="T927" s="83"/>
      <c r="U927" s="83"/>
      <c r="V927" s="83"/>
      <c r="W927" s="94"/>
      <c r="X927" s="94"/>
      <c r="Y927" s="94"/>
      <c r="Z927" s="83"/>
      <c r="AA927" s="83"/>
      <c r="AB927" s="83"/>
      <c r="AC927" s="83"/>
      <c r="AD927" s="83"/>
      <c r="AE927" s="83"/>
      <c r="AF927" s="83"/>
      <c r="AG927" s="83"/>
      <c r="AH927" s="83"/>
      <c r="AI927" s="83"/>
      <c r="AJ927" s="83"/>
      <c r="AK927" s="83"/>
      <c r="AL927" s="83"/>
      <c r="AM927" s="83"/>
      <c r="AN927" s="83"/>
      <c r="AO927" s="83"/>
      <c r="AP927" s="94"/>
      <c r="AQ927" s="94"/>
    </row>
    <row r="928" ht="15.75" customHeight="1">
      <c r="A928" s="83"/>
      <c r="B928" s="83"/>
      <c r="C928" s="83"/>
      <c r="D928" s="83"/>
      <c r="E928" s="83"/>
      <c r="F928" s="83"/>
      <c r="G928" s="83"/>
      <c r="H928" s="83"/>
      <c r="I928" s="94"/>
      <c r="J928" s="83"/>
      <c r="K928" s="83"/>
      <c r="L928" s="94"/>
      <c r="M928" s="83"/>
      <c r="N928" s="94"/>
      <c r="O928" s="83"/>
      <c r="P928" s="492"/>
      <c r="Q928" s="83"/>
      <c r="R928" s="83"/>
      <c r="S928" s="83"/>
      <c r="T928" s="83"/>
      <c r="U928" s="83"/>
      <c r="V928" s="83"/>
      <c r="W928" s="94"/>
      <c r="X928" s="94"/>
      <c r="Y928" s="94"/>
      <c r="Z928" s="83"/>
      <c r="AA928" s="83"/>
      <c r="AB928" s="83"/>
      <c r="AC928" s="83"/>
      <c r="AD928" s="83"/>
      <c r="AE928" s="83"/>
      <c r="AF928" s="83"/>
      <c r="AG928" s="83"/>
      <c r="AH928" s="83"/>
      <c r="AI928" s="83"/>
      <c r="AJ928" s="83"/>
      <c r="AK928" s="83"/>
      <c r="AL928" s="83"/>
      <c r="AM928" s="83"/>
      <c r="AN928" s="83"/>
      <c r="AO928" s="83"/>
      <c r="AP928" s="94"/>
      <c r="AQ928" s="94"/>
    </row>
    <row r="929" ht="15.75" customHeight="1">
      <c r="A929" s="83"/>
      <c r="B929" s="83"/>
      <c r="C929" s="83"/>
      <c r="D929" s="83"/>
      <c r="E929" s="83"/>
      <c r="F929" s="83"/>
      <c r="G929" s="83"/>
      <c r="H929" s="83"/>
      <c r="I929" s="94"/>
      <c r="J929" s="83"/>
      <c r="K929" s="83"/>
      <c r="L929" s="94"/>
      <c r="M929" s="83"/>
      <c r="N929" s="94"/>
      <c r="O929" s="83"/>
      <c r="P929" s="492"/>
      <c r="Q929" s="83"/>
      <c r="R929" s="83"/>
      <c r="S929" s="83"/>
      <c r="T929" s="83"/>
      <c r="U929" s="83"/>
      <c r="V929" s="83"/>
      <c r="W929" s="94"/>
      <c r="X929" s="94"/>
      <c r="Y929" s="94"/>
      <c r="Z929" s="83"/>
      <c r="AA929" s="83"/>
      <c r="AB929" s="83"/>
      <c r="AC929" s="83"/>
      <c r="AD929" s="83"/>
      <c r="AE929" s="83"/>
      <c r="AF929" s="83"/>
      <c r="AG929" s="83"/>
      <c r="AH929" s="83"/>
      <c r="AI929" s="83"/>
      <c r="AJ929" s="83"/>
      <c r="AK929" s="83"/>
      <c r="AL929" s="83"/>
      <c r="AM929" s="83"/>
      <c r="AN929" s="83"/>
      <c r="AO929" s="83"/>
      <c r="AP929" s="94"/>
      <c r="AQ929" s="94"/>
    </row>
    <row r="930" ht="15.75" customHeight="1">
      <c r="A930" s="83"/>
      <c r="B930" s="83"/>
      <c r="C930" s="83"/>
      <c r="D930" s="83"/>
      <c r="E930" s="83"/>
      <c r="F930" s="83"/>
      <c r="G930" s="83"/>
      <c r="H930" s="83"/>
      <c r="I930" s="94"/>
      <c r="J930" s="83"/>
      <c r="K930" s="83"/>
      <c r="L930" s="94"/>
      <c r="M930" s="83"/>
      <c r="N930" s="94"/>
      <c r="O930" s="83"/>
      <c r="P930" s="492"/>
      <c r="Q930" s="83"/>
      <c r="R930" s="83"/>
      <c r="S930" s="83"/>
      <c r="T930" s="83"/>
      <c r="U930" s="83"/>
      <c r="V930" s="83"/>
      <c r="W930" s="94"/>
      <c r="X930" s="94"/>
      <c r="Y930" s="94"/>
      <c r="Z930" s="83"/>
      <c r="AA930" s="83"/>
      <c r="AB930" s="83"/>
      <c r="AC930" s="83"/>
      <c r="AD930" s="83"/>
      <c r="AE930" s="83"/>
      <c r="AF930" s="83"/>
      <c r="AG930" s="83"/>
      <c r="AH930" s="83"/>
      <c r="AI930" s="83"/>
      <c r="AJ930" s="83"/>
      <c r="AK930" s="83"/>
      <c r="AL930" s="83"/>
      <c r="AM930" s="83"/>
      <c r="AN930" s="83"/>
      <c r="AO930" s="83"/>
      <c r="AP930" s="94"/>
      <c r="AQ930" s="94"/>
    </row>
    <row r="931" ht="15.75" customHeight="1">
      <c r="A931" s="83"/>
      <c r="B931" s="83"/>
      <c r="C931" s="83"/>
      <c r="D931" s="83"/>
      <c r="E931" s="83"/>
      <c r="F931" s="83"/>
      <c r="G931" s="83"/>
      <c r="H931" s="83"/>
      <c r="I931" s="94"/>
      <c r="J931" s="83"/>
      <c r="K931" s="83"/>
      <c r="L931" s="94"/>
      <c r="M931" s="83"/>
      <c r="N931" s="94"/>
      <c r="O931" s="83"/>
      <c r="P931" s="492"/>
      <c r="Q931" s="83"/>
      <c r="R931" s="83"/>
      <c r="S931" s="83"/>
      <c r="T931" s="83"/>
      <c r="U931" s="83"/>
      <c r="V931" s="83"/>
      <c r="W931" s="94"/>
      <c r="X931" s="94"/>
      <c r="Y931" s="94"/>
      <c r="Z931" s="83"/>
      <c r="AA931" s="83"/>
      <c r="AB931" s="83"/>
      <c r="AC931" s="83"/>
      <c r="AD931" s="83"/>
      <c r="AE931" s="83"/>
      <c r="AF931" s="83"/>
      <c r="AG931" s="83"/>
      <c r="AH931" s="83"/>
      <c r="AI931" s="83"/>
      <c r="AJ931" s="83"/>
      <c r="AK931" s="83"/>
      <c r="AL931" s="83"/>
      <c r="AM931" s="83"/>
      <c r="AN931" s="83"/>
      <c r="AO931" s="83"/>
      <c r="AP931" s="94"/>
      <c r="AQ931" s="94"/>
    </row>
    <row r="932" ht="15.75" customHeight="1">
      <c r="A932" s="83"/>
      <c r="B932" s="83"/>
      <c r="C932" s="83"/>
      <c r="D932" s="83"/>
      <c r="E932" s="83"/>
      <c r="F932" s="83"/>
      <c r="G932" s="83"/>
      <c r="H932" s="83"/>
      <c r="I932" s="94"/>
      <c r="J932" s="83"/>
      <c r="K932" s="83"/>
      <c r="L932" s="94"/>
      <c r="M932" s="83"/>
      <c r="N932" s="94"/>
      <c r="O932" s="83"/>
      <c r="P932" s="492"/>
      <c r="Q932" s="83"/>
      <c r="R932" s="83"/>
      <c r="S932" s="83"/>
      <c r="T932" s="83"/>
      <c r="U932" s="83"/>
      <c r="V932" s="83"/>
      <c r="W932" s="94"/>
      <c r="X932" s="94"/>
      <c r="Y932" s="94"/>
      <c r="Z932" s="83"/>
      <c r="AA932" s="83"/>
      <c r="AB932" s="83"/>
      <c r="AC932" s="83"/>
      <c r="AD932" s="83"/>
      <c r="AE932" s="83"/>
      <c r="AF932" s="83"/>
      <c r="AG932" s="83"/>
      <c r="AH932" s="83"/>
      <c r="AI932" s="83"/>
      <c r="AJ932" s="83"/>
      <c r="AK932" s="83"/>
      <c r="AL932" s="83"/>
      <c r="AM932" s="83"/>
      <c r="AN932" s="83"/>
      <c r="AO932" s="83"/>
      <c r="AP932" s="94"/>
      <c r="AQ932" s="94"/>
    </row>
    <row r="933" ht="15.75" customHeight="1">
      <c r="A933" s="83"/>
      <c r="B933" s="83"/>
      <c r="C933" s="83"/>
      <c r="D933" s="83"/>
      <c r="E933" s="83"/>
      <c r="F933" s="83"/>
      <c r="G933" s="83"/>
      <c r="H933" s="83"/>
      <c r="I933" s="94"/>
      <c r="J933" s="83"/>
      <c r="K933" s="83"/>
      <c r="L933" s="94"/>
      <c r="M933" s="83"/>
      <c r="N933" s="94"/>
      <c r="O933" s="83"/>
      <c r="P933" s="492"/>
      <c r="Q933" s="83"/>
      <c r="R933" s="83"/>
      <c r="S933" s="83"/>
      <c r="T933" s="83"/>
      <c r="U933" s="83"/>
      <c r="V933" s="83"/>
      <c r="W933" s="94"/>
      <c r="X933" s="94"/>
      <c r="Y933" s="94"/>
      <c r="Z933" s="83"/>
      <c r="AA933" s="83"/>
      <c r="AB933" s="83"/>
      <c r="AC933" s="83"/>
      <c r="AD933" s="83"/>
      <c r="AE933" s="83"/>
      <c r="AF933" s="83"/>
      <c r="AG933" s="83"/>
      <c r="AH933" s="83"/>
      <c r="AI933" s="83"/>
      <c r="AJ933" s="83"/>
      <c r="AK933" s="83"/>
      <c r="AL933" s="83"/>
      <c r="AM933" s="83"/>
      <c r="AN933" s="83"/>
      <c r="AO933" s="83"/>
      <c r="AP933" s="94"/>
      <c r="AQ933" s="94"/>
    </row>
    <row r="934" ht="15.75" customHeight="1">
      <c r="A934" s="83"/>
      <c r="B934" s="83"/>
      <c r="C934" s="83"/>
      <c r="D934" s="83"/>
      <c r="E934" s="83"/>
      <c r="F934" s="83"/>
      <c r="G934" s="83"/>
      <c r="H934" s="83"/>
      <c r="I934" s="94"/>
      <c r="J934" s="83"/>
      <c r="K934" s="83"/>
      <c r="L934" s="94"/>
      <c r="M934" s="83"/>
      <c r="N934" s="94"/>
      <c r="O934" s="83"/>
      <c r="P934" s="492"/>
      <c r="Q934" s="83"/>
      <c r="R934" s="83"/>
      <c r="S934" s="83"/>
      <c r="T934" s="83"/>
      <c r="U934" s="83"/>
      <c r="V934" s="83"/>
      <c r="W934" s="94"/>
      <c r="X934" s="94"/>
      <c r="Y934" s="94"/>
      <c r="Z934" s="83"/>
      <c r="AA934" s="83"/>
      <c r="AB934" s="83"/>
      <c r="AC934" s="83"/>
      <c r="AD934" s="83"/>
      <c r="AE934" s="83"/>
      <c r="AF934" s="83"/>
      <c r="AG934" s="83"/>
      <c r="AH934" s="83"/>
      <c r="AI934" s="83"/>
      <c r="AJ934" s="83"/>
      <c r="AK934" s="83"/>
      <c r="AL934" s="83"/>
      <c r="AM934" s="83"/>
      <c r="AN934" s="83"/>
      <c r="AO934" s="83"/>
      <c r="AP934" s="94"/>
      <c r="AQ934" s="94"/>
    </row>
    <row r="935" ht="15.75" customHeight="1">
      <c r="A935" s="83"/>
      <c r="B935" s="83"/>
      <c r="C935" s="83"/>
      <c r="D935" s="83"/>
      <c r="E935" s="83"/>
      <c r="F935" s="83"/>
      <c r="G935" s="83"/>
      <c r="H935" s="83"/>
      <c r="I935" s="94"/>
      <c r="J935" s="83"/>
      <c r="K935" s="83"/>
      <c r="L935" s="94"/>
      <c r="M935" s="83"/>
      <c r="N935" s="94"/>
      <c r="O935" s="83"/>
      <c r="P935" s="492"/>
      <c r="Q935" s="83"/>
      <c r="R935" s="83"/>
      <c r="S935" s="83"/>
      <c r="T935" s="83"/>
      <c r="U935" s="83"/>
      <c r="V935" s="83"/>
      <c r="W935" s="94"/>
      <c r="X935" s="94"/>
      <c r="Y935" s="94"/>
      <c r="Z935" s="83"/>
      <c r="AA935" s="83"/>
      <c r="AB935" s="83"/>
      <c r="AC935" s="83"/>
      <c r="AD935" s="83"/>
      <c r="AE935" s="83"/>
      <c r="AF935" s="83"/>
      <c r="AG935" s="83"/>
      <c r="AH935" s="83"/>
      <c r="AI935" s="83"/>
      <c r="AJ935" s="83"/>
      <c r="AK935" s="83"/>
      <c r="AL935" s="83"/>
      <c r="AM935" s="83"/>
      <c r="AN935" s="83"/>
      <c r="AO935" s="83"/>
      <c r="AP935" s="94"/>
      <c r="AQ935" s="94"/>
    </row>
    <row r="936" ht="15.75" customHeight="1">
      <c r="A936" s="83"/>
      <c r="B936" s="83"/>
      <c r="C936" s="83"/>
      <c r="D936" s="83"/>
      <c r="E936" s="83"/>
      <c r="F936" s="83"/>
      <c r="G936" s="83"/>
      <c r="H936" s="83"/>
      <c r="I936" s="94"/>
      <c r="J936" s="83"/>
      <c r="K936" s="83"/>
      <c r="L936" s="94"/>
      <c r="M936" s="83"/>
      <c r="N936" s="94"/>
      <c r="O936" s="83"/>
      <c r="P936" s="492"/>
      <c r="Q936" s="83"/>
      <c r="R936" s="83"/>
      <c r="S936" s="83"/>
      <c r="T936" s="83"/>
      <c r="U936" s="83"/>
      <c r="V936" s="83"/>
      <c r="W936" s="94"/>
      <c r="X936" s="94"/>
      <c r="Y936" s="94"/>
      <c r="Z936" s="83"/>
      <c r="AA936" s="83"/>
      <c r="AB936" s="83"/>
      <c r="AC936" s="83"/>
      <c r="AD936" s="83"/>
      <c r="AE936" s="83"/>
      <c r="AF936" s="83"/>
      <c r="AG936" s="83"/>
      <c r="AH936" s="83"/>
      <c r="AI936" s="83"/>
      <c r="AJ936" s="83"/>
      <c r="AK936" s="83"/>
      <c r="AL936" s="83"/>
      <c r="AM936" s="83"/>
      <c r="AN936" s="83"/>
      <c r="AO936" s="83"/>
      <c r="AP936" s="94"/>
      <c r="AQ936" s="94"/>
    </row>
    <row r="937" ht="15.75" customHeight="1">
      <c r="A937" s="83"/>
      <c r="B937" s="83"/>
      <c r="C937" s="83"/>
      <c r="D937" s="83"/>
      <c r="E937" s="83"/>
      <c r="F937" s="83"/>
      <c r="G937" s="83"/>
      <c r="H937" s="83"/>
      <c r="I937" s="94"/>
      <c r="J937" s="83"/>
      <c r="K937" s="83"/>
      <c r="L937" s="94"/>
      <c r="M937" s="83"/>
      <c r="N937" s="94"/>
      <c r="O937" s="83"/>
      <c r="P937" s="492"/>
      <c r="Q937" s="83"/>
      <c r="R937" s="83"/>
      <c r="S937" s="83"/>
      <c r="T937" s="83"/>
      <c r="U937" s="83"/>
      <c r="V937" s="83"/>
      <c r="W937" s="94"/>
      <c r="X937" s="94"/>
      <c r="Y937" s="94"/>
      <c r="Z937" s="83"/>
      <c r="AA937" s="83"/>
      <c r="AB937" s="83"/>
      <c r="AC937" s="83"/>
      <c r="AD937" s="83"/>
      <c r="AE937" s="83"/>
      <c r="AF937" s="83"/>
      <c r="AG937" s="83"/>
      <c r="AH937" s="83"/>
      <c r="AI937" s="83"/>
      <c r="AJ937" s="83"/>
      <c r="AK937" s="83"/>
      <c r="AL937" s="83"/>
      <c r="AM937" s="83"/>
      <c r="AN937" s="83"/>
      <c r="AO937" s="83"/>
      <c r="AP937" s="94"/>
      <c r="AQ937" s="94"/>
    </row>
    <row r="938" ht="15.75" customHeight="1">
      <c r="A938" s="83"/>
      <c r="B938" s="83"/>
      <c r="C938" s="83"/>
      <c r="D938" s="83"/>
      <c r="E938" s="83"/>
      <c r="F938" s="83"/>
      <c r="G938" s="83"/>
      <c r="H938" s="83"/>
      <c r="I938" s="94"/>
      <c r="J938" s="83"/>
      <c r="K938" s="83"/>
      <c r="L938" s="94"/>
      <c r="M938" s="83"/>
      <c r="N938" s="94"/>
      <c r="O938" s="83"/>
      <c r="P938" s="492"/>
      <c r="Q938" s="83"/>
      <c r="R938" s="83"/>
      <c r="S938" s="83"/>
      <c r="T938" s="83"/>
      <c r="U938" s="83"/>
      <c r="V938" s="83"/>
      <c r="W938" s="94"/>
      <c r="X938" s="94"/>
      <c r="Y938" s="94"/>
      <c r="Z938" s="83"/>
      <c r="AA938" s="83"/>
      <c r="AB938" s="83"/>
      <c r="AC938" s="83"/>
      <c r="AD938" s="83"/>
      <c r="AE938" s="83"/>
      <c r="AF938" s="83"/>
      <c r="AG938" s="83"/>
      <c r="AH938" s="83"/>
      <c r="AI938" s="83"/>
      <c r="AJ938" s="83"/>
      <c r="AK938" s="83"/>
      <c r="AL938" s="83"/>
      <c r="AM938" s="83"/>
      <c r="AN938" s="83"/>
      <c r="AO938" s="83"/>
      <c r="AP938" s="94"/>
      <c r="AQ938" s="94"/>
    </row>
    <row r="939" ht="15.75" customHeight="1">
      <c r="A939" s="83"/>
      <c r="B939" s="83"/>
      <c r="C939" s="83"/>
      <c r="D939" s="83"/>
      <c r="E939" s="83"/>
      <c r="F939" s="83"/>
      <c r="G939" s="83"/>
      <c r="H939" s="83"/>
      <c r="I939" s="94"/>
      <c r="J939" s="83"/>
      <c r="K939" s="83"/>
      <c r="L939" s="94"/>
      <c r="M939" s="83"/>
      <c r="N939" s="94"/>
      <c r="O939" s="83"/>
      <c r="P939" s="492"/>
      <c r="Q939" s="83"/>
      <c r="R939" s="83"/>
      <c r="S939" s="83"/>
      <c r="T939" s="83"/>
      <c r="U939" s="83"/>
      <c r="V939" s="83"/>
      <c r="W939" s="94"/>
      <c r="X939" s="94"/>
      <c r="Y939" s="94"/>
      <c r="Z939" s="83"/>
      <c r="AA939" s="83"/>
      <c r="AB939" s="83"/>
      <c r="AC939" s="83"/>
      <c r="AD939" s="83"/>
      <c r="AE939" s="83"/>
      <c r="AF939" s="83"/>
      <c r="AG939" s="83"/>
      <c r="AH939" s="83"/>
      <c r="AI939" s="83"/>
      <c r="AJ939" s="83"/>
      <c r="AK939" s="83"/>
      <c r="AL939" s="83"/>
      <c r="AM939" s="83"/>
      <c r="AN939" s="83"/>
      <c r="AO939" s="83"/>
      <c r="AP939" s="94"/>
      <c r="AQ939" s="94"/>
    </row>
    <row r="940" ht="15.75" customHeight="1">
      <c r="A940" s="83"/>
      <c r="B940" s="83"/>
      <c r="C940" s="83"/>
      <c r="D940" s="83"/>
      <c r="E940" s="83"/>
      <c r="F940" s="83"/>
      <c r="G940" s="83"/>
      <c r="H940" s="83"/>
      <c r="I940" s="94"/>
      <c r="J940" s="83"/>
      <c r="K940" s="83"/>
      <c r="L940" s="94"/>
      <c r="M940" s="83"/>
      <c r="N940" s="94"/>
      <c r="O940" s="83"/>
      <c r="P940" s="492"/>
      <c r="Q940" s="83"/>
      <c r="R940" s="83"/>
      <c r="S940" s="83"/>
      <c r="T940" s="83"/>
      <c r="U940" s="83"/>
      <c r="V940" s="83"/>
      <c r="W940" s="94"/>
      <c r="X940" s="94"/>
      <c r="Y940" s="94"/>
      <c r="Z940" s="83"/>
      <c r="AA940" s="83"/>
      <c r="AB940" s="83"/>
      <c r="AC940" s="83"/>
      <c r="AD940" s="83"/>
      <c r="AE940" s="83"/>
      <c r="AF940" s="83"/>
      <c r="AG940" s="83"/>
      <c r="AH940" s="83"/>
      <c r="AI940" s="83"/>
      <c r="AJ940" s="83"/>
      <c r="AK940" s="83"/>
      <c r="AL940" s="83"/>
      <c r="AM940" s="83"/>
      <c r="AN940" s="83"/>
      <c r="AO940" s="83"/>
      <c r="AP940" s="94"/>
      <c r="AQ940" s="94"/>
    </row>
    <row r="941" ht="15.75" customHeight="1">
      <c r="A941" s="83"/>
      <c r="B941" s="83"/>
      <c r="C941" s="83"/>
      <c r="D941" s="83"/>
      <c r="E941" s="83"/>
      <c r="F941" s="83"/>
      <c r="G941" s="83"/>
      <c r="H941" s="83"/>
      <c r="I941" s="94"/>
      <c r="J941" s="83"/>
      <c r="K941" s="83"/>
      <c r="L941" s="94"/>
      <c r="M941" s="83"/>
      <c r="N941" s="94"/>
      <c r="O941" s="83"/>
      <c r="P941" s="492"/>
      <c r="Q941" s="83"/>
      <c r="R941" s="83"/>
      <c r="S941" s="83"/>
      <c r="T941" s="83"/>
      <c r="U941" s="83"/>
      <c r="V941" s="83"/>
      <c r="W941" s="94"/>
      <c r="X941" s="94"/>
      <c r="Y941" s="94"/>
      <c r="Z941" s="83"/>
      <c r="AA941" s="83"/>
      <c r="AB941" s="83"/>
      <c r="AC941" s="83"/>
      <c r="AD941" s="83"/>
      <c r="AE941" s="83"/>
      <c r="AF941" s="83"/>
      <c r="AG941" s="83"/>
      <c r="AH941" s="83"/>
      <c r="AI941" s="83"/>
      <c r="AJ941" s="83"/>
      <c r="AK941" s="83"/>
      <c r="AL941" s="83"/>
      <c r="AM941" s="83"/>
      <c r="AN941" s="83"/>
      <c r="AO941" s="83"/>
      <c r="AP941" s="94"/>
      <c r="AQ941" s="94"/>
    </row>
    <row r="942" ht="15.75" customHeight="1">
      <c r="A942" s="83"/>
      <c r="B942" s="83"/>
      <c r="C942" s="83"/>
      <c r="D942" s="83"/>
      <c r="E942" s="83"/>
      <c r="F942" s="83"/>
      <c r="G942" s="83"/>
      <c r="H942" s="83"/>
      <c r="I942" s="94"/>
      <c r="J942" s="83"/>
      <c r="K942" s="83"/>
      <c r="L942" s="94"/>
      <c r="M942" s="83"/>
      <c r="N942" s="94"/>
      <c r="O942" s="83"/>
      <c r="P942" s="492"/>
      <c r="Q942" s="83"/>
      <c r="R942" s="83"/>
      <c r="S942" s="83"/>
      <c r="T942" s="83"/>
      <c r="U942" s="83"/>
      <c r="V942" s="83"/>
      <c r="W942" s="94"/>
      <c r="X942" s="94"/>
      <c r="Y942" s="94"/>
      <c r="Z942" s="83"/>
      <c r="AA942" s="83"/>
      <c r="AB942" s="83"/>
      <c r="AC942" s="83"/>
      <c r="AD942" s="83"/>
      <c r="AE942" s="83"/>
      <c r="AF942" s="83"/>
      <c r="AG942" s="83"/>
      <c r="AH942" s="83"/>
      <c r="AI942" s="83"/>
      <c r="AJ942" s="83"/>
      <c r="AK942" s="83"/>
      <c r="AL942" s="83"/>
      <c r="AM942" s="83"/>
      <c r="AN942" s="83"/>
      <c r="AO942" s="83"/>
      <c r="AP942" s="94"/>
      <c r="AQ942" s="94"/>
    </row>
    <row r="943" ht="15.75" customHeight="1">
      <c r="A943" s="83"/>
      <c r="B943" s="83"/>
      <c r="C943" s="83"/>
      <c r="D943" s="83"/>
      <c r="E943" s="83"/>
      <c r="F943" s="83"/>
      <c r="G943" s="83"/>
      <c r="H943" s="83"/>
      <c r="I943" s="94"/>
      <c r="J943" s="83"/>
      <c r="K943" s="83"/>
      <c r="L943" s="94"/>
      <c r="M943" s="83"/>
      <c r="N943" s="94"/>
      <c r="O943" s="83"/>
      <c r="P943" s="492"/>
      <c r="Q943" s="83"/>
      <c r="R943" s="83"/>
      <c r="S943" s="83"/>
      <c r="T943" s="83"/>
      <c r="U943" s="83"/>
      <c r="V943" s="83"/>
      <c r="W943" s="94"/>
      <c r="X943" s="94"/>
      <c r="Y943" s="94"/>
      <c r="Z943" s="83"/>
      <c r="AA943" s="83"/>
      <c r="AB943" s="83"/>
      <c r="AC943" s="83"/>
      <c r="AD943" s="83"/>
      <c r="AE943" s="83"/>
      <c r="AF943" s="83"/>
      <c r="AG943" s="83"/>
      <c r="AH943" s="83"/>
      <c r="AI943" s="83"/>
      <c r="AJ943" s="83"/>
      <c r="AK943" s="83"/>
      <c r="AL943" s="83"/>
      <c r="AM943" s="83"/>
      <c r="AN943" s="83"/>
      <c r="AO943" s="83"/>
      <c r="AP943" s="94"/>
      <c r="AQ943" s="94"/>
    </row>
    <row r="944" ht="15.75" customHeight="1">
      <c r="A944" s="83"/>
      <c r="B944" s="83"/>
      <c r="C944" s="83"/>
      <c r="D944" s="83"/>
      <c r="E944" s="83"/>
      <c r="F944" s="83"/>
      <c r="G944" s="83"/>
      <c r="H944" s="83"/>
      <c r="I944" s="94"/>
      <c r="J944" s="83"/>
      <c r="K944" s="83"/>
      <c r="L944" s="94"/>
      <c r="M944" s="83"/>
      <c r="N944" s="94"/>
      <c r="O944" s="83"/>
      <c r="P944" s="492"/>
      <c r="Q944" s="83"/>
      <c r="R944" s="83"/>
      <c r="S944" s="83"/>
      <c r="T944" s="83"/>
      <c r="U944" s="83"/>
      <c r="V944" s="83"/>
      <c r="W944" s="94"/>
      <c r="X944" s="94"/>
      <c r="Y944" s="94"/>
      <c r="Z944" s="83"/>
      <c r="AA944" s="83"/>
      <c r="AB944" s="83"/>
      <c r="AC944" s="83"/>
      <c r="AD944" s="83"/>
      <c r="AE944" s="83"/>
      <c r="AF944" s="83"/>
      <c r="AG944" s="83"/>
      <c r="AH944" s="83"/>
      <c r="AI944" s="83"/>
      <c r="AJ944" s="83"/>
      <c r="AK944" s="83"/>
      <c r="AL944" s="83"/>
      <c r="AM944" s="83"/>
      <c r="AN944" s="83"/>
      <c r="AO944" s="83"/>
      <c r="AP944" s="94"/>
      <c r="AQ944" s="94"/>
    </row>
    <row r="945" ht="15.75" customHeight="1">
      <c r="A945" s="83"/>
      <c r="B945" s="83"/>
      <c r="C945" s="83"/>
      <c r="D945" s="83"/>
      <c r="E945" s="83"/>
      <c r="F945" s="83"/>
      <c r="G945" s="83"/>
      <c r="H945" s="83"/>
      <c r="I945" s="94"/>
      <c r="J945" s="83"/>
      <c r="K945" s="83"/>
      <c r="L945" s="94"/>
      <c r="M945" s="83"/>
      <c r="N945" s="94"/>
      <c r="O945" s="83"/>
      <c r="P945" s="492"/>
      <c r="Q945" s="83"/>
      <c r="R945" s="83"/>
      <c r="S945" s="83"/>
      <c r="T945" s="83"/>
      <c r="U945" s="83"/>
      <c r="V945" s="83"/>
      <c r="W945" s="94"/>
      <c r="X945" s="94"/>
      <c r="Y945" s="94"/>
      <c r="Z945" s="83"/>
      <c r="AA945" s="83"/>
      <c r="AB945" s="83"/>
      <c r="AC945" s="83"/>
      <c r="AD945" s="83"/>
      <c r="AE945" s="83"/>
      <c r="AF945" s="83"/>
      <c r="AG945" s="83"/>
      <c r="AH945" s="83"/>
      <c r="AI945" s="83"/>
      <c r="AJ945" s="83"/>
      <c r="AK945" s="83"/>
      <c r="AL945" s="83"/>
      <c r="AM945" s="83"/>
      <c r="AN945" s="83"/>
      <c r="AO945" s="83"/>
      <c r="AP945" s="94"/>
      <c r="AQ945" s="94"/>
    </row>
    <row r="946" ht="15.75" customHeight="1">
      <c r="A946" s="83"/>
      <c r="B946" s="83"/>
      <c r="C946" s="83"/>
      <c r="D946" s="83"/>
      <c r="E946" s="83"/>
      <c r="F946" s="83"/>
      <c r="G946" s="83"/>
      <c r="H946" s="83"/>
      <c r="I946" s="94"/>
      <c r="J946" s="83"/>
      <c r="K946" s="83"/>
      <c r="L946" s="94"/>
      <c r="M946" s="83"/>
      <c r="N946" s="94"/>
      <c r="O946" s="83"/>
      <c r="P946" s="492"/>
      <c r="Q946" s="83"/>
      <c r="R946" s="83"/>
      <c r="S946" s="83"/>
      <c r="T946" s="83"/>
      <c r="U946" s="83"/>
      <c r="V946" s="83"/>
      <c r="W946" s="94"/>
      <c r="X946" s="94"/>
      <c r="Y946" s="94"/>
      <c r="Z946" s="83"/>
      <c r="AA946" s="83"/>
      <c r="AB946" s="83"/>
      <c r="AC946" s="83"/>
      <c r="AD946" s="83"/>
      <c r="AE946" s="83"/>
      <c r="AF946" s="83"/>
      <c r="AG946" s="83"/>
      <c r="AH946" s="83"/>
      <c r="AI946" s="83"/>
      <c r="AJ946" s="83"/>
      <c r="AK946" s="83"/>
      <c r="AL946" s="83"/>
      <c r="AM946" s="83"/>
      <c r="AN946" s="83"/>
      <c r="AO946" s="83"/>
      <c r="AP946" s="94"/>
      <c r="AQ946" s="94"/>
    </row>
    <row r="947" ht="15.75" customHeight="1">
      <c r="A947" s="83"/>
      <c r="B947" s="83"/>
      <c r="C947" s="83"/>
      <c r="D947" s="83"/>
      <c r="E947" s="83"/>
      <c r="F947" s="83"/>
      <c r="G947" s="83"/>
      <c r="H947" s="83"/>
      <c r="I947" s="94"/>
      <c r="J947" s="83"/>
      <c r="K947" s="83"/>
      <c r="L947" s="94"/>
      <c r="M947" s="83"/>
      <c r="N947" s="94"/>
      <c r="O947" s="83"/>
      <c r="P947" s="492"/>
      <c r="Q947" s="83"/>
      <c r="R947" s="83"/>
      <c r="S947" s="83"/>
      <c r="T947" s="83"/>
      <c r="U947" s="83"/>
      <c r="V947" s="83"/>
      <c r="W947" s="94"/>
      <c r="X947" s="94"/>
      <c r="Y947" s="94"/>
      <c r="Z947" s="83"/>
      <c r="AA947" s="83"/>
      <c r="AB947" s="83"/>
      <c r="AC947" s="83"/>
      <c r="AD947" s="83"/>
      <c r="AE947" s="83"/>
      <c r="AF947" s="83"/>
      <c r="AG947" s="83"/>
      <c r="AH947" s="83"/>
      <c r="AI947" s="83"/>
      <c r="AJ947" s="83"/>
      <c r="AK947" s="83"/>
      <c r="AL947" s="83"/>
      <c r="AM947" s="83"/>
      <c r="AN947" s="83"/>
      <c r="AO947" s="83"/>
      <c r="AP947" s="94"/>
      <c r="AQ947" s="94"/>
    </row>
    <row r="948" ht="15.75" customHeight="1">
      <c r="A948" s="83"/>
      <c r="B948" s="83"/>
      <c r="C948" s="83"/>
      <c r="D948" s="83"/>
      <c r="E948" s="83"/>
      <c r="F948" s="83"/>
      <c r="G948" s="83"/>
      <c r="H948" s="83"/>
      <c r="I948" s="94"/>
      <c r="J948" s="83"/>
      <c r="K948" s="83"/>
      <c r="L948" s="94"/>
      <c r="M948" s="83"/>
      <c r="N948" s="94"/>
      <c r="O948" s="83"/>
      <c r="P948" s="492"/>
      <c r="Q948" s="83"/>
      <c r="R948" s="83"/>
      <c r="S948" s="83"/>
      <c r="T948" s="83"/>
      <c r="U948" s="83"/>
      <c r="V948" s="83"/>
      <c r="W948" s="94"/>
      <c r="X948" s="94"/>
      <c r="Y948" s="94"/>
      <c r="Z948" s="83"/>
      <c r="AA948" s="83"/>
      <c r="AB948" s="83"/>
      <c r="AC948" s="83"/>
      <c r="AD948" s="83"/>
      <c r="AE948" s="83"/>
      <c r="AF948" s="83"/>
      <c r="AG948" s="83"/>
      <c r="AH948" s="83"/>
      <c r="AI948" s="83"/>
      <c r="AJ948" s="83"/>
      <c r="AK948" s="83"/>
      <c r="AL948" s="83"/>
      <c r="AM948" s="83"/>
      <c r="AN948" s="83"/>
      <c r="AO948" s="83"/>
      <c r="AP948" s="94"/>
      <c r="AQ948" s="94"/>
    </row>
    <row r="949" ht="15.75" customHeight="1">
      <c r="A949" s="83"/>
      <c r="B949" s="83"/>
      <c r="C949" s="83"/>
      <c r="D949" s="83"/>
      <c r="E949" s="83"/>
      <c r="F949" s="83"/>
      <c r="G949" s="83"/>
      <c r="H949" s="83"/>
      <c r="I949" s="94"/>
      <c r="J949" s="83"/>
      <c r="K949" s="83"/>
      <c r="L949" s="94"/>
      <c r="M949" s="83"/>
      <c r="N949" s="94"/>
      <c r="O949" s="83"/>
      <c r="P949" s="492"/>
      <c r="Q949" s="83"/>
      <c r="R949" s="83"/>
      <c r="S949" s="83"/>
      <c r="T949" s="83"/>
      <c r="U949" s="83"/>
      <c r="V949" s="83"/>
      <c r="W949" s="94"/>
      <c r="X949" s="94"/>
      <c r="Y949" s="94"/>
      <c r="Z949" s="83"/>
      <c r="AA949" s="83"/>
      <c r="AB949" s="83"/>
      <c r="AC949" s="83"/>
      <c r="AD949" s="83"/>
      <c r="AE949" s="83"/>
      <c r="AF949" s="83"/>
      <c r="AG949" s="83"/>
      <c r="AH949" s="83"/>
      <c r="AI949" s="83"/>
      <c r="AJ949" s="83"/>
      <c r="AK949" s="83"/>
      <c r="AL949" s="83"/>
      <c r="AM949" s="83"/>
      <c r="AN949" s="83"/>
      <c r="AO949" s="83"/>
      <c r="AP949" s="94"/>
      <c r="AQ949" s="94"/>
    </row>
    <row r="950" ht="15.75" customHeight="1">
      <c r="A950" s="83"/>
      <c r="B950" s="83"/>
      <c r="C950" s="83"/>
      <c r="D950" s="83"/>
      <c r="E950" s="83"/>
      <c r="F950" s="83"/>
      <c r="G950" s="83"/>
      <c r="H950" s="83"/>
      <c r="I950" s="94"/>
      <c r="J950" s="83"/>
      <c r="K950" s="83"/>
      <c r="L950" s="94"/>
      <c r="M950" s="83"/>
      <c r="N950" s="94"/>
      <c r="O950" s="83"/>
      <c r="P950" s="492"/>
      <c r="Q950" s="83"/>
      <c r="R950" s="83"/>
      <c r="S950" s="83"/>
      <c r="T950" s="83"/>
      <c r="U950" s="83"/>
      <c r="V950" s="83"/>
      <c r="W950" s="94"/>
      <c r="X950" s="94"/>
      <c r="Y950" s="94"/>
      <c r="Z950" s="83"/>
      <c r="AA950" s="83"/>
      <c r="AB950" s="83"/>
      <c r="AC950" s="83"/>
      <c r="AD950" s="83"/>
      <c r="AE950" s="83"/>
      <c r="AF950" s="83"/>
      <c r="AG950" s="83"/>
      <c r="AH950" s="83"/>
      <c r="AI950" s="83"/>
      <c r="AJ950" s="83"/>
      <c r="AK950" s="83"/>
      <c r="AL950" s="83"/>
      <c r="AM950" s="83"/>
      <c r="AN950" s="83"/>
      <c r="AO950" s="83"/>
      <c r="AP950" s="94"/>
      <c r="AQ950" s="94"/>
    </row>
    <row r="951" ht="15.75" customHeight="1">
      <c r="A951" s="83"/>
      <c r="B951" s="83"/>
      <c r="C951" s="83"/>
      <c r="D951" s="83"/>
      <c r="E951" s="83"/>
      <c r="F951" s="83"/>
      <c r="G951" s="83"/>
      <c r="H951" s="83"/>
      <c r="I951" s="94"/>
      <c r="J951" s="83"/>
      <c r="K951" s="83"/>
      <c r="L951" s="94"/>
      <c r="M951" s="83"/>
      <c r="N951" s="94"/>
      <c r="O951" s="83"/>
      <c r="P951" s="492"/>
      <c r="Q951" s="83"/>
      <c r="R951" s="83"/>
      <c r="S951" s="83"/>
      <c r="T951" s="83"/>
      <c r="U951" s="83"/>
      <c r="V951" s="83"/>
      <c r="W951" s="94"/>
      <c r="X951" s="94"/>
      <c r="Y951" s="94"/>
      <c r="Z951" s="83"/>
      <c r="AA951" s="83"/>
      <c r="AB951" s="83"/>
      <c r="AC951" s="83"/>
      <c r="AD951" s="83"/>
      <c r="AE951" s="83"/>
      <c r="AF951" s="83"/>
      <c r="AG951" s="83"/>
      <c r="AH951" s="83"/>
      <c r="AI951" s="83"/>
      <c r="AJ951" s="83"/>
      <c r="AK951" s="83"/>
      <c r="AL951" s="83"/>
      <c r="AM951" s="83"/>
      <c r="AN951" s="83"/>
      <c r="AO951" s="83"/>
      <c r="AP951" s="94"/>
      <c r="AQ951" s="94"/>
    </row>
    <row r="952" ht="15.75" customHeight="1">
      <c r="A952" s="83"/>
      <c r="B952" s="83"/>
      <c r="C952" s="83"/>
      <c r="D952" s="83"/>
      <c r="E952" s="83"/>
      <c r="F952" s="83"/>
      <c r="G952" s="83"/>
      <c r="H952" s="83"/>
      <c r="I952" s="94"/>
      <c r="J952" s="83"/>
      <c r="K952" s="83"/>
      <c r="L952" s="94"/>
      <c r="M952" s="83"/>
      <c r="N952" s="94"/>
      <c r="O952" s="83"/>
      <c r="P952" s="492"/>
      <c r="Q952" s="83"/>
      <c r="R952" s="83"/>
      <c r="S952" s="83"/>
      <c r="T952" s="83"/>
      <c r="U952" s="83"/>
      <c r="V952" s="83"/>
      <c r="W952" s="94"/>
      <c r="X952" s="94"/>
      <c r="Y952" s="94"/>
      <c r="Z952" s="83"/>
      <c r="AA952" s="83"/>
      <c r="AB952" s="83"/>
      <c r="AC952" s="83"/>
      <c r="AD952" s="83"/>
      <c r="AE952" s="83"/>
      <c r="AF952" s="83"/>
      <c r="AG952" s="83"/>
      <c r="AH952" s="83"/>
      <c r="AI952" s="83"/>
      <c r="AJ952" s="83"/>
      <c r="AK952" s="83"/>
      <c r="AL952" s="83"/>
      <c r="AM952" s="83"/>
      <c r="AN952" s="83"/>
      <c r="AO952" s="83"/>
      <c r="AP952" s="94"/>
      <c r="AQ952" s="94"/>
    </row>
    <row r="953" ht="15.75" customHeight="1">
      <c r="A953" s="83"/>
      <c r="B953" s="83"/>
      <c r="C953" s="83"/>
      <c r="D953" s="83"/>
      <c r="E953" s="83"/>
      <c r="F953" s="83"/>
      <c r="G953" s="83"/>
      <c r="H953" s="83"/>
      <c r="I953" s="94"/>
      <c r="J953" s="83"/>
      <c r="K953" s="83"/>
      <c r="L953" s="94"/>
      <c r="M953" s="83"/>
      <c r="N953" s="94"/>
      <c r="O953" s="83"/>
      <c r="P953" s="492"/>
      <c r="Q953" s="83"/>
      <c r="R953" s="83"/>
      <c r="S953" s="83"/>
      <c r="T953" s="83"/>
      <c r="U953" s="83"/>
      <c r="V953" s="83"/>
      <c r="W953" s="94"/>
      <c r="X953" s="94"/>
      <c r="Y953" s="94"/>
      <c r="Z953" s="83"/>
      <c r="AA953" s="83"/>
      <c r="AB953" s="83"/>
      <c r="AC953" s="83"/>
      <c r="AD953" s="83"/>
      <c r="AE953" s="83"/>
      <c r="AF953" s="83"/>
      <c r="AG953" s="83"/>
      <c r="AH953" s="83"/>
      <c r="AI953" s="83"/>
      <c r="AJ953" s="83"/>
      <c r="AK953" s="83"/>
      <c r="AL953" s="83"/>
      <c r="AM953" s="83"/>
      <c r="AN953" s="83"/>
      <c r="AO953" s="83"/>
      <c r="AP953" s="94"/>
      <c r="AQ953" s="94"/>
    </row>
    <row r="954" ht="15.75" customHeight="1">
      <c r="A954" s="83"/>
      <c r="B954" s="83"/>
      <c r="C954" s="83"/>
      <c r="D954" s="83"/>
      <c r="E954" s="83"/>
      <c r="F954" s="83"/>
      <c r="G954" s="83"/>
      <c r="H954" s="83"/>
      <c r="I954" s="94"/>
      <c r="J954" s="83"/>
      <c r="K954" s="83"/>
      <c r="L954" s="94"/>
      <c r="M954" s="83"/>
      <c r="N954" s="94"/>
      <c r="O954" s="83"/>
      <c r="P954" s="492"/>
      <c r="Q954" s="83"/>
      <c r="R954" s="83"/>
      <c r="S954" s="83"/>
      <c r="T954" s="83"/>
      <c r="U954" s="83"/>
      <c r="V954" s="83"/>
      <c r="W954" s="94"/>
      <c r="X954" s="94"/>
      <c r="Y954" s="94"/>
      <c r="Z954" s="83"/>
      <c r="AA954" s="83"/>
      <c r="AB954" s="83"/>
      <c r="AC954" s="83"/>
      <c r="AD954" s="83"/>
      <c r="AE954" s="83"/>
      <c r="AF954" s="83"/>
      <c r="AG954" s="83"/>
      <c r="AH954" s="83"/>
      <c r="AI954" s="83"/>
      <c r="AJ954" s="83"/>
      <c r="AK954" s="83"/>
      <c r="AL954" s="83"/>
      <c r="AM954" s="83"/>
      <c r="AN954" s="83"/>
      <c r="AO954" s="83"/>
      <c r="AP954" s="94"/>
      <c r="AQ954" s="94"/>
    </row>
    <row r="955" ht="15.75" customHeight="1">
      <c r="A955" s="83"/>
      <c r="B955" s="83"/>
      <c r="C955" s="83"/>
      <c r="D955" s="83"/>
      <c r="E955" s="83"/>
      <c r="F955" s="83"/>
      <c r="G955" s="83"/>
      <c r="H955" s="83"/>
      <c r="I955" s="94"/>
      <c r="J955" s="83"/>
      <c r="K955" s="83"/>
      <c r="L955" s="94"/>
      <c r="M955" s="83"/>
      <c r="N955" s="94"/>
      <c r="O955" s="83"/>
      <c r="P955" s="492"/>
      <c r="Q955" s="83"/>
      <c r="R955" s="83"/>
      <c r="S955" s="83"/>
      <c r="T955" s="83"/>
      <c r="U955" s="83"/>
      <c r="V955" s="83"/>
      <c r="W955" s="94"/>
      <c r="X955" s="94"/>
      <c r="Y955" s="94"/>
      <c r="Z955" s="83"/>
      <c r="AA955" s="83"/>
      <c r="AB955" s="83"/>
      <c r="AC955" s="83"/>
      <c r="AD955" s="83"/>
      <c r="AE955" s="83"/>
      <c r="AF955" s="83"/>
      <c r="AG955" s="83"/>
      <c r="AH955" s="83"/>
      <c r="AI955" s="83"/>
      <c r="AJ955" s="83"/>
      <c r="AK955" s="83"/>
      <c r="AL955" s="83"/>
      <c r="AM955" s="83"/>
      <c r="AN955" s="83"/>
      <c r="AO955" s="83"/>
      <c r="AP955" s="94"/>
      <c r="AQ955" s="94"/>
    </row>
    <row r="956" ht="15.75" customHeight="1">
      <c r="A956" s="83"/>
      <c r="B956" s="83"/>
      <c r="C956" s="83"/>
      <c r="D956" s="83"/>
      <c r="E956" s="83"/>
      <c r="F956" s="83"/>
      <c r="G956" s="83"/>
      <c r="H956" s="83"/>
      <c r="I956" s="94"/>
      <c r="J956" s="83"/>
      <c r="K956" s="83"/>
      <c r="L956" s="94"/>
      <c r="M956" s="83"/>
      <c r="N956" s="94"/>
      <c r="O956" s="83"/>
      <c r="P956" s="492"/>
      <c r="Q956" s="83"/>
      <c r="R956" s="83"/>
      <c r="S956" s="83"/>
      <c r="T956" s="83"/>
      <c r="U956" s="83"/>
      <c r="V956" s="83"/>
      <c r="W956" s="94"/>
      <c r="X956" s="94"/>
      <c r="Y956" s="94"/>
      <c r="Z956" s="83"/>
      <c r="AA956" s="83"/>
      <c r="AB956" s="83"/>
      <c r="AC956" s="83"/>
      <c r="AD956" s="83"/>
      <c r="AE956" s="83"/>
      <c r="AF956" s="83"/>
      <c r="AG956" s="83"/>
      <c r="AH956" s="83"/>
      <c r="AI956" s="83"/>
      <c r="AJ956" s="83"/>
      <c r="AK956" s="83"/>
      <c r="AL956" s="83"/>
      <c r="AM956" s="83"/>
      <c r="AN956" s="83"/>
      <c r="AO956" s="83"/>
      <c r="AP956" s="94"/>
      <c r="AQ956" s="94"/>
    </row>
    <row r="957" ht="15.75" customHeight="1">
      <c r="A957" s="83"/>
      <c r="B957" s="83"/>
      <c r="C957" s="83"/>
      <c r="D957" s="83"/>
      <c r="E957" s="83"/>
      <c r="F957" s="83"/>
      <c r="G957" s="83"/>
      <c r="H957" s="83"/>
      <c r="I957" s="94"/>
      <c r="J957" s="83"/>
      <c r="K957" s="83"/>
      <c r="L957" s="94"/>
      <c r="M957" s="83"/>
      <c r="N957" s="94"/>
      <c r="O957" s="83"/>
      <c r="P957" s="492"/>
      <c r="Q957" s="83"/>
      <c r="R957" s="83"/>
      <c r="S957" s="83"/>
      <c r="T957" s="83"/>
      <c r="U957" s="83"/>
      <c r="V957" s="83"/>
      <c r="W957" s="94"/>
      <c r="X957" s="94"/>
      <c r="Y957" s="94"/>
      <c r="Z957" s="83"/>
      <c r="AA957" s="83"/>
      <c r="AB957" s="83"/>
      <c r="AC957" s="83"/>
      <c r="AD957" s="83"/>
      <c r="AE957" s="83"/>
      <c r="AF957" s="83"/>
      <c r="AG957" s="83"/>
      <c r="AH957" s="83"/>
      <c r="AI957" s="83"/>
      <c r="AJ957" s="83"/>
      <c r="AK957" s="83"/>
      <c r="AL957" s="83"/>
      <c r="AM957" s="83"/>
      <c r="AN957" s="83"/>
      <c r="AO957" s="83"/>
      <c r="AP957" s="94"/>
      <c r="AQ957" s="94"/>
    </row>
    <row r="958" ht="15.75" customHeight="1">
      <c r="A958" s="83"/>
      <c r="B958" s="83"/>
      <c r="C958" s="83"/>
      <c r="D958" s="83"/>
      <c r="E958" s="83"/>
      <c r="F958" s="83"/>
      <c r="G958" s="83"/>
      <c r="H958" s="83"/>
      <c r="I958" s="94"/>
      <c r="J958" s="83"/>
      <c r="K958" s="83"/>
      <c r="L958" s="94"/>
      <c r="M958" s="83"/>
      <c r="N958" s="94"/>
      <c r="O958" s="83"/>
      <c r="P958" s="492"/>
      <c r="Q958" s="83"/>
      <c r="R958" s="83"/>
      <c r="S958" s="83"/>
      <c r="T958" s="83"/>
      <c r="U958" s="83"/>
      <c r="V958" s="83"/>
      <c r="W958" s="94"/>
      <c r="X958" s="94"/>
      <c r="Y958" s="94"/>
      <c r="Z958" s="83"/>
      <c r="AA958" s="83"/>
      <c r="AB958" s="83"/>
      <c r="AC958" s="83"/>
      <c r="AD958" s="83"/>
      <c r="AE958" s="83"/>
      <c r="AF958" s="83"/>
      <c r="AG958" s="83"/>
      <c r="AH958" s="83"/>
      <c r="AI958" s="83"/>
      <c r="AJ958" s="83"/>
      <c r="AK958" s="83"/>
      <c r="AL958" s="83"/>
      <c r="AM958" s="83"/>
      <c r="AN958" s="83"/>
      <c r="AO958" s="83"/>
      <c r="AP958" s="94"/>
      <c r="AQ958" s="94"/>
    </row>
    <row r="959" ht="15.75" customHeight="1">
      <c r="A959" s="83"/>
      <c r="B959" s="83"/>
      <c r="C959" s="83"/>
      <c r="D959" s="83"/>
      <c r="E959" s="83"/>
      <c r="F959" s="83"/>
      <c r="G959" s="83"/>
      <c r="H959" s="83"/>
      <c r="I959" s="94"/>
      <c r="J959" s="83"/>
      <c r="K959" s="83"/>
      <c r="L959" s="94"/>
      <c r="M959" s="83"/>
      <c r="N959" s="94"/>
      <c r="O959" s="83"/>
      <c r="P959" s="492"/>
      <c r="Q959" s="83"/>
      <c r="R959" s="83"/>
      <c r="S959" s="83"/>
      <c r="T959" s="83"/>
      <c r="U959" s="83"/>
      <c r="V959" s="83"/>
      <c r="W959" s="94"/>
      <c r="X959" s="94"/>
      <c r="Y959" s="94"/>
      <c r="Z959" s="83"/>
      <c r="AA959" s="83"/>
      <c r="AB959" s="83"/>
      <c r="AC959" s="83"/>
      <c r="AD959" s="83"/>
      <c r="AE959" s="83"/>
      <c r="AF959" s="83"/>
      <c r="AG959" s="83"/>
      <c r="AH959" s="83"/>
      <c r="AI959" s="83"/>
      <c r="AJ959" s="83"/>
      <c r="AK959" s="83"/>
      <c r="AL959" s="83"/>
      <c r="AM959" s="83"/>
      <c r="AN959" s="83"/>
      <c r="AO959" s="83"/>
      <c r="AP959" s="94"/>
      <c r="AQ959" s="94"/>
    </row>
    <row r="960" ht="15.75" customHeight="1">
      <c r="A960" s="83"/>
      <c r="B960" s="83"/>
      <c r="C960" s="83"/>
      <c r="D960" s="83"/>
      <c r="E960" s="83"/>
      <c r="F960" s="83"/>
      <c r="G960" s="83"/>
      <c r="H960" s="83"/>
      <c r="I960" s="94"/>
      <c r="J960" s="83"/>
      <c r="K960" s="83"/>
      <c r="L960" s="94"/>
      <c r="M960" s="83"/>
      <c r="N960" s="94"/>
      <c r="O960" s="83"/>
      <c r="P960" s="492"/>
      <c r="Q960" s="83"/>
      <c r="R960" s="83"/>
      <c r="S960" s="83"/>
      <c r="T960" s="83"/>
      <c r="U960" s="83"/>
      <c r="V960" s="83"/>
      <c r="W960" s="94"/>
      <c r="X960" s="94"/>
      <c r="Y960" s="94"/>
      <c r="Z960" s="83"/>
      <c r="AA960" s="83"/>
      <c r="AB960" s="83"/>
      <c r="AC960" s="83"/>
      <c r="AD960" s="83"/>
      <c r="AE960" s="83"/>
      <c r="AF960" s="83"/>
      <c r="AG960" s="83"/>
      <c r="AH960" s="83"/>
      <c r="AI960" s="83"/>
      <c r="AJ960" s="83"/>
      <c r="AK960" s="83"/>
      <c r="AL960" s="83"/>
      <c r="AM960" s="83"/>
      <c r="AN960" s="83"/>
      <c r="AO960" s="83"/>
      <c r="AP960" s="94"/>
      <c r="AQ960" s="94"/>
    </row>
    <row r="961" ht="15.75" customHeight="1">
      <c r="A961" s="83"/>
      <c r="B961" s="83"/>
      <c r="C961" s="83"/>
      <c r="D961" s="83"/>
      <c r="E961" s="83"/>
      <c r="F961" s="83"/>
      <c r="G961" s="83"/>
      <c r="H961" s="83"/>
      <c r="I961" s="94"/>
      <c r="J961" s="83"/>
      <c r="K961" s="83"/>
      <c r="L961" s="94"/>
      <c r="M961" s="83"/>
      <c r="N961" s="94"/>
      <c r="O961" s="83"/>
      <c r="P961" s="492"/>
      <c r="Q961" s="83"/>
      <c r="R961" s="83"/>
      <c r="S961" s="83"/>
      <c r="T961" s="83"/>
      <c r="U961" s="83"/>
      <c r="V961" s="83"/>
      <c r="W961" s="94"/>
      <c r="X961" s="94"/>
      <c r="Y961" s="94"/>
      <c r="Z961" s="83"/>
      <c r="AA961" s="83"/>
      <c r="AB961" s="83"/>
      <c r="AC961" s="83"/>
      <c r="AD961" s="83"/>
      <c r="AE961" s="83"/>
      <c r="AF961" s="83"/>
      <c r="AG961" s="83"/>
      <c r="AH961" s="83"/>
      <c r="AI961" s="83"/>
      <c r="AJ961" s="83"/>
      <c r="AK961" s="83"/>
      <c r="AL961" s="83"/>
      <c r="AM961" s="83"/>
      <c r="AN961" s="83"/>
      <c r="AO961" s="83"/>
      <c r="AP961" s="94"/>
      <c r="AQ961" s="94"/>
    </row>
    <row r="962" ht="15.75" customHeight="1">
      <c r="A962" s="83"/>
      <c r="B962" s="83"/>
      <c r="C962" s="83"/>
      <c r="D962" s="83"/>
      <c r="E962" s="83"/>
      <c r="F962" s="83"/>
      <c r="G962" s="83"/>
      <c r="H962" s="83"/>
      <c r="I962" s="94"/>
      <c r="J962" s="83"/>
      <c r="K962" s="83"/>
      <c r="L962" s="94"/>
      <c r="M962" s="83"/>
      <c r="N962" s="94"/>
      <c r="O962" s="83"/>
      <c r="P962" s="492"/>
      <c r="Q962" s="83"/>
      <c r="R962" s="83"/>
      <c r="S962" s="83"/>
      <c r="T962" s="83"/>
      <c r="U962" s="83"/>
      <c r="V962" s="83"/>
      <c r="W962" s="94"/>
      <c r="X962" s="94"/>
      <c r="Y962" s="94"/>
      <c r="Z962" s="83"/>
      <c r="AA962" s="83"/>
      <c r="AB962" s="83"/>
      <c r="AC962" s="83"/>
      <c r="AD962" s="83"/>
      <c r="AE962" s="83"/>
      <c r="AF962" s="83"/>
      <c r="AG962" s="83"/>
      <c r="AH962" s="83"/>
      <c r="AI962" s="83"/>
      <c r="AJ962" s="83"/>
      <c r="AK962" s="83"/>
      <c r="AL962" s="83"/>
      <c r="AM962" s="83"/>
      <c r="AN962" s="83"/>
      <c r="AO962" s="83"/>
      <c r="AP962" s="94"/>
      <c r="AQ962" s="94"/>
    </row>
    <row r="963" ht="15.75" customHeight="1">
      <c r="A963" s="83"/>
      <c r="B963" s="83"/>
      <c r="C963" s="83"/>
      <c r="D963" s="83"/>
      <c r="E963" s="83"/>
      <c r="F963" s="83"/>
      <c r="G963" s="83"/>
      <c r="H963" s="83"/>
      <c r="I963" s="94"/>
      <c r="J963" s="83"/>
      <c r="K963" s="83"/>
      <c r="L963" s="94"/>
      <c r="M963" s="83"/>
      <c r="N963" s="94"/>
      <c r="O963" s="83"/>
      <c r="P963" s="492"/>
      <c r="Q963" s="83"/>
      <c r="R963" s="83"/>
      <c r="S963" s="83"/>
      <c r="T963" s="83"/>
      <c r="U963" s="83"/>
      <c r="V963" s="83"/>
      <c r="W963" s="94"/>
      <c r="X963" s="94"/>
      <c r="Y963" s="94"/>
      <c r="Z963" s="83"/>
      <c r="AA963" s="83"/>
      <c r="AB963" s="83"/>
      <c r="AC963" s="83"/>
      <c r="AD963" s="83"/>
      <c r="AE963" s="83"/>
      <c r="AF963" s="83"/>
      <c r="AG963" s="83"/>
      <c r="AH963" s="83"/>
      <c r="AI963" s="83"/>
      <c r="AJ963" s="83"/>
      <c r="AK963" s="83"/>
      <c r="AL963" s="83"/>
      <c r="AM963" s="83"/>
      <c r="AN963" s="83"/>
      <c r="AO963" s="83"/>
      <c r="AP963" s="94"/>
      <c r="AQ963" s="94"/>
    </row>
    <row r="964" ht="15.75" customHeight="1">
      <c r="A964" s="83"/>
      <c r="B964" s="83"/>
      <c r="C964" s="83"/>
      <c r="D964" s="83"/>
      <c r="E964" s="83"/>
      <c r="F964" s="83"/>
      <c r="G964" s="83"/>
      <c r="H964" s="83"/>
      <c r="I964" s="94"/>
      <c r="J964" s="83"/>
      <c r="K964" s="83"/>
      <c r="L964" s="94"/>
      <c r="M964" s="83"/>
      <c r="N964" s="94"/>
      <c r="O964" s="83"/>
      <c r="P964" s="492"/>
      <c r="Q964" s="83"/>
      <c r="R964" s="83"/>
      <c r="S964" s="83"/>
      <c r="T964" s="83"/>
      <c r="U964" s="83"/>
      <c r="V964" s="83"/>
      <c r="W964" s="94"/>
      <c r="X964" s="94"/>
      <c r="Y964" s="94"/>
      <c r="Z964" s="83"/>
      <c r="AA964" s="83"/>
      <c r="AB964" s="83"/>
      <c r="AC964" s="83"/>
      <c r="AD964" s="83"/>
      <c r="AE964" s="83"/>
      <c r="AF964" s="83"/>
      <c r="AG964" s="83"/>
      <c r="AH964" s="83"/>
      <c r="AI964" s="83"/>
      <c r="AJ964" s="83"/>
      <c r="AK964" s="83"/>
      <c r="AL964" s="83"/>
      <c r="AM964" s="83"/>
      <c r="AN964" s="83"/>
      <c r="AO964" s="83"/>
      <c r="AP964" s="94"/>
      <c r="AQ964" s="94"/>
    </row>
    <row r="965" ht="15.75" customHeight="1">
      <c r="A965" s="83"/>
      <c r="B965" s="83"/>
      <c r="C965" s="83"/>
      <c r="D965" s="83"/>
      <c r="E965" s="83"/>
      <c r="F965" s="83"/>
      <c r="G965" s="83"/>
      <c r="H965" s="83"/>
      <c r="I965" s="94"/>
      <c r="J965" s="83"/>
      <c r="K965" s="83"/>
      <c r="L965" s="94"/>
      <c r="M965" s="83"/>
      <c r="N965" s="94"/>
      <c r="O965" s="83"/>
      <c r="P965" s="492"/>
      <c r="Q965" s="83"/>
      <c r="R965" s="83"/>
      <c r="S965" s="83"/>
      <c r="T965" s="83"/>
      <c r="U965" s="83"/>
      <c r="V965" s="83"/>
      <c r="W965" s="94"/>
      <c r="X965" s="94"/>
      <c r="Y965" s="94"/>
      <c r="Z965" s="83"/>
      <c r="AA965" s="83"/>
      <c r="AB965" s="83"/>
      <c r="AC965" s="83"/>
      <c r="AD965" s="83"/>
      <c r="AE965" s="83"/>
      <c r="AF965" s="83"/>
      <c r="AG965" s="83"/>
      <c r="AH965" s="83"/>
      <c r="AI965" s="83"/>
      <c r="AJ965" s="83"/>
      <c r="AK965" s="83"/>
      <c r="AL965" s="83"/>
      <c r="AM965" s="83"/>
      <c r="AN965" s="83"/>
      <c r="AO965" s="83"/>
      <c r="AP965" s="94"/>
      <c r="AQ965" s="94"/>
    </row>
    <row r="966" ht="15.75" customHeight="1">
      <c r="A966" s="83"/>
      <c r="B966" s="83"/>
      <c r="C966" s="83"/>
      <c r="D966" s="83"/>
      <c r="E966" s="83"/>
      <c r="F966" s="83"/>
      <c r="G966" s="83"/>
      <c r="H966" s="83"/>
      <c r="I966" s="94"/>
      <c r="J966" s="83"/>
      <c r="K966" s="83"/>
      <c r="L966" s="94"/>
      <c r="M966" s="83"/>
      <c r="N966" s="94"/>
      <c r="O966" s="83"/>
      <c r="P966" s="492"/>
      <c r="Q966" s="83"/>
      <c r="R966" s="83"/>
      <c r="S966" s="83"/>
      <c r="T966" s="83"/>
      <c r="U966" s="83"/>
      <c r="V966" s="83"/>
      <c r="W966" s="94"/>
      <c r="X966" s="94"/>
      <c r="Y966" s="94"/>
      <c r="Z966" s="83"/>
      <c r="AA966" s="83"/>
      <c r="AB966" s="83"/>
      <c r="AC966" s="83"/>
      <c r="AD966" s="83"/>
      <c r="AE966" s="83"/>
      <c r="AF966" s="83"/>
      <c r="AG966" s="83"/>
      <c r="AH966" s="83"/>
      <c r="AI966" s="83"/>
      <c r="AJ966" s="83"/>
      <c r="AK966" s="83"/>
      <c r="AL966" s="83"/>
      <c r="AM966" s="83"/>
      <c r="AN966" s="83"/>
      <c r="AO966" s="83"/>
      <c r="AP966" s="94"/>
      <c r="AQ966" s="94"/>
    </row>
    <row r="967" ht="15.75" customHeight="1">
      <c r="A967" s="83"/>
      <c r="B967" s="83"/>
      <c r="C967" s="83"/>
      <c r="D967" s="83"/>
      <c r="E967" s="83"/>
      <c r="F967" s="83"/>
      <c r="G967" s="83"/>
      <c r="H967" s="83"/>
      <c r="I967" s="94"/>
      <c r="J967" s="83"/>
      <c r="K967" s="83"/>
      <c r="L967" s="94"/>
      <c r="M967" s="83"/>
      <c r="N967" s="94"/>
      <c r="O967" s="83"/>
      <c r="P967" s="492"/>
      <c r="Q967" s="83"/>
      <c r="R967" s="83"/>
      <c r="S967" s="83"/>
      <c r="T967" s="83"/>
      <c r="U967" s="83"/>
      <c r="V967" s="83"/>
      <c r="W967" s="94"/>
      <c r="X967" s="94"/>
      <c r="Y967" s="94"/>
      <c r="Z967" s="83"/>
      <c r="AA967" s="83"/>
      <c r="AB967" s="83"/>
      <c r="AC967" s="83"/>
      <c r="AD967" s="83"/>
      <c r="AE967" s="83"/>
      <c r="AF967" s="83"/>
      <c r="AG967" s="83"/>
      <c r="AH967" s="83"/>
      <c r="AI967" s="83"/>
      <c r="AJ967" s="83"/>
      <c r="AK967" s="83"/>
      <c r="AL967" s="83"/>
      <c r="AM967" s="83"/>
      <c r="AN967" s="83"/>
      <c r="AO967" s="83"/>
      <c r="AP967" s="94"/>
      <c r="AQ967" s="94"/>
    </row>
    <row r="968" ht="15.75" customHeight="1">
      <c r="A968" s="83"/>
      <c r="B968" s="83"/>
      <c r="C968" s="83"/>
      <c r="D968" s="83"/>
      <c r="E968" s="83"/>
      <c r="F968" s="83"/>
      <c r="G968" s="83"/>
      <c r="H968" s="83"/>
      <c r="I968" s="94"/>
      <c r="J968" s="83"/>
      <c r="K968" s="83"/>
      <c r="L968" s="94"/>
      <c r="M968" s="83"/>
      <c r="N968" s="94"/>
      <c r="O968" s="83"/>
      <c r="P968" s="492"/>
      <c r="Q968" s="83"/>
      <c r="R968" s="83"/>
      <c r="S968" s="83"/>
      <c r="T968" s="83"/>
      <c r="U968" s="83"/>
      <c r="V968" s="83"/>
      <c r="W968" s="94"/>
      <c r="X968" s="94"/>
      <c r="Y968" s="94"/>
      <c r="Z968" s="83"/>
      <c r="AA968" s="83"/>
      <c r="AB968" s="83"/>
      <c r="AC968" s="83"/>
      <c r="AD968" s="83"/>
      <c r="AE968" s="83"/>
      <c r="AF968" s="83"/>
      <c r="AG968" s="83"/>
      <c r="AH968" s="83"/>
      <c r="AI968" s="83"/>
      <c r="AJ968" s="83"/>
      <c r="AK968" s="83"/>
      <c r="AL968" s="83"/>
      <c r="AM968" s="83"/>
      <c r="AN968" s="83"/>
      <c r="AO968" s="83"/>
      <c r="AP968" s="94"/>
      <c r="AQ968" s="94"/>
    </row>
    <row r="969" ht="15.75" customHeight="1">
      <c r="A969" s="83"/>
      <c r="B969" s="83"/>
      <c r="C969" s="83"/>
      <c r="D969" s="83"/>
      <c r="E969" s="83"/>
      <c r="F969" s="83"/>
      <c r="G969" s="83"/>
      <c r="H969" s="83"/>
      <c r="I969" s="94"/>
      <c r="J969" s="83"/>
      <c r="K969" s="83"/>
      <c r="L969" s="94"/>
      <c r="M969" s="83"/>
      <c r="N969" s="94"/>
      <c r="O969" s="83"/>
      <c r="P969" s="492"/>
      <c r="Q969" s="83"/>
      <c r="R969" s="83"/>
      <c r="S969" s="83"/>
      <c r="T969" s="83"/>
      <c r="U969" s="83"/>
      <c r="V969" s="83"/>
      <c r="W969" s="94"/>
      <c r="X969" s="94"/>
      <c r="Y969" s="94"/>
      <c r="Z969" s="83"/>
      <c r="AA969" s="83"/>
      <c r="AB969" s="83"/>
      <c r="AC969" s="83"/>
      <c r="AD969" s="83"/>
      <c r="AE969" s="83"/>
      <c r="AF969" s="83"/>
      <c r="AG969" s="83"/>
      <c r="AH969" s="83"/>
      <c r="AI969" s="83"/>
      <c r="AJ969" s="83"/>
      <c r="AK969" s="83"/>
      <c r="AL969" s="83"/>
      <c r="AM969" s="83"/>
      <c r="AN969" s="83"/>
      <c r="AO969" s="83"/>
      <c r="AP969" s="94"/>
      <c r="AQ969" s="94"/>
    </row>
    <row r="970" ht="15.75" customHeight="1">
      <c r="A970" s="83"/>
      <c r="B970" s="83"/>
      <c r="C970" s="83"/>
      <c r="D970" s="83"/>
      <c r="E970" s="83"/>
      <c r="F970" s="83"/>
      <c r="G970" s="83"/>
      <c r="H970" s="83"/>
      <c r="I970" s="94"/>
      <c r="J970" s="83"/>
      <c r="K970" s="83"/>
      <c r="L970" s="94"/>
      <c r="M970" s="83"/>
      <c r="N970" s="94"/>
      <c r="O970" s="83"/>
      <c r="P970" s="492"/>
      <c r="Q970" s="83"/>
      <c r="R970" s="83"/>
      <c r="S970" s="83"/>
      <c r="T970" s="83"/>
      <c r="U970" s="83"/>
      <c r="V970" s="83"/>
      <c r="W970" s="94"/>
      <c r="X970" s="94"/>
      <c r="Y970" s="94"/>
      <c r="Z970" s="83"/>
      <c r="AA970" s="83"/>
      <c r="AB970" s="83"/>
      <c r="AC970" s="83"/>
      <c r="AD970" s="83"/>
      <c r="AE970" s="83"/>
      <c r="AF970" s="83"/>
      <c r="AG970" s="83"/>
      <c r="AH970" s="83"/>
      <c r="AI970" s="83"/>
      <c r="AJ970" s="83"/>
      <c r="AK970" s="83"/>
      <c r="AL970" s="83"/>
      <c r="AM970" s="83"/>
      <c r="AN970" s="83"/>
      <c r="AO970" s="83"/>
      <c r="AP970" s="94"/>
      <c r="AQ970" s="94"/>
    </row>
    <row r="971" ht="15.75" customHeight="1">
      <c r="A971" s="83"/>
      <c r="B971" s="83"/>
      <c r="C971" s="83"/>
      <c r="D971" s="83"/>
      <c r="E971" s="83"/>
      <c r="F971" s="83"/>
      <c r="G971" s="83"/>
      <c r="H971" s="83"/>
      <c r="I971" s="94"/>
      <c r="J971" s="83"/>
      <c r="K971" s="83"/>
      <c r="L971" s="94"/>
      <c r="M971" s="83"/>
      <c r="N971" s="94"/>
      <c r="O971" s="83"/>
      <c r="P971" s="492"/>
      <c r="Q971" s="83"/>
      <c r="R971" s="83"/>
      <c r="S971" s="83"/>
      <c r="T971" s="83"/>
      <c r="U971" s="83"/>
      <c r="V971" s="83"/>
      <c r="W971" s="94"/>
      <c r="X971" s="94"/>
      <c r="Y971" s="94"/>
      <c r="Z971" s="83"/>
      <c r="AA971" s="83"/>
      <c r="AB971" s="83"/>
      <c r="AC971" s="83"/>
      <c r="AD971" s="83"/>
      <c r="AE971" s="83"/>
      <c r="AF971" s="83"/>
      <c r="AG971" s="83"/>
      <c r="AH971" s="83"/>
      <c r="AI971" s="83"/>
      <c r="AJ971" s="83"/>
      <c r="AK971" s="83"/>
      <c r="AL971" s="83"/>
      <c r="AM971" s="83"/>
      <c r="AN971" s="83"/>
      <c r="AO971" s="83"/>
      <c r="AP971" s="94"/>
      <c r="AQ971" s="94"/>
    </row>
    <row r="972" ht="15.75" customHeight="1">
      <c r="A972" s="83"/>
      <c r="B972" s="83"/>
      <c r="C972" s="83"/>
      <c r="D972" s="83"/>
      <c r="E972" s="83"/>
      <c r="F972" s="83"/>
      <c r="G972" s="83"/>
      <c r="H972" s="83"/>
      <c r="I972" s="94"/>
      <c r="J972" s="83"/>
      <c r="K972" s="83"/>
      <c r="L972" s="94"/>
      <c r="M972" s="83"/>
      <c r="N972" s="94"/>
      <c r="O972" s="83"/>
      <c r="P972" s="492"/>
      <c r="Q972" s="83"/>
      <c r="R972" s="83"/>
      <c r="S972" s="83"/>
      <c r="T972" s="83"/>
      <c r="U972" s="83"/>
      <c r="V972" s="83"/>
      <c r="W972" s="94"/>
      <c r="X972" s="94"/>
      <c r="Y972" s="94"/>
      <c r="Z972" s="83"/>
      <c r="AA972" s="83"/>
      <c r="AB972" s="83"/>
      <c r="AC972" s="83"/>
      <c r="AD972" s="83"/>
      <c r="AE972" s="83"/>
      <c r="AF972" s="83"/>
      <c r="AG972" s="83"/>
      <c r="AH972" s="83"/>
      <c r="AI972" s="83"/>
      <c r="AJ972" s="83"/>
      <c r="AK972" s="83"/>
      <c r="AL972" s="83"/>
      <c r="AM972" s="83"/>
      <c r="AN972" s="83"/>
      <c r="AO972" s="83"/>
      <c r="AP972" s="94"/>
      <c r="AQ972" s="94"/>
    </row>
    <row r="973" ht="15.75" customHeight="1">
      <c r="A973" s="83"/>
      <c r="B973" s="83"/>
      <c r="C973" s="83"/>
      <c r="D973" s="83"/>
      <c r="E973" s="83"/>
      <c r="F973" s="83"/>
      <c r="G973" s="83"/>
      <c r="H973" s="83"/>
      <c r="I973" s="94"/>
      <c r="J973" s="83"/>
      <c r="K973" s="83"/>
      <c r="L973" s="94"/>
      <c r="M973" s="83"/>
      <c r="N973" s="94"/>
      <c r="O973" s="83"/>
      <c r="P973" s="492"/>
      <c r="Q973" s="83"/>
      <c r="R973" s="83"/>
      <c r="S973" s="83"/>
      <c r="T973" s="83"/>
      <c r="U973" s="83"/>
      <c r="V973" s="83"/>
      <c r="W973" s="94"/>
      <c r="X973" s="94"/>
      <c r="Y973" s="94"/>
      <c r="Z973" s="83"/>
      <c r="AA973" s="83"/>
      <c r="AB973" s="83"/>
      <c r="AC973" s="83"/>
      <c r="AD973" s="83"/>
      <c r="AE973" s="83"/>
      <c r="AF973" s="83"/>
      <c r="AG973" s="83"/>
      <c r="AH973" s="83"/>
      <c r="AI973" s="83"/>
      <c r="AJ973" s="83"/>
      <c r="AK973" s="83"/>
      <c r="AL973" s="83"/>
      <c r="AM973" s="83"/>
      <c r="AN973" s="83"/>
      <c r="AO973" s="83"/>
      <c r="AP973" s="94"/>
      <c r="AQ973" s="94"/>
    </row>
    <row r="974" ht="15.75" customHeight="1">
      <c r="A974" s="83"/>
      <c r="B974" s="83"/>
      <c r="C974" s="83"/>
      <c r="D974" s="83"/>
      <c r="E974" s="83"/>
      <c r="F974" s="83"/>
      <c r="G974" s="83"/>
      <c r="H974" s="83"/>
      <c r="I974" s="94"/>
      <c r="J974" s="83"/>
      <c r="K974" s="83"/>
      <c r="L974" s="94"/>
      <c r="M974" s="83"/>
      <c r="N974" s="94"/>
      <c r="O974" s="83"/>
      <c r="P974" s="492"/>
      <c r="Q974" s="83"/>
      <c r="R974" s="83"/>
      <c r="S974" s="83"/>
      <c r="T974" s="83"/>
      <c r="U974" s="83"/>
      <c r="V974" s="83"/>
      <c r="W974" s="94"/>
      <c r="X974" s="94"/>
      <c r="Y974" s="94"/>
      <c r="Z974" s="83"/>
      <c r="AA974" s="83"/>
      <c r="AB974" s="83"/>
      <c r="AC974" s="83"/>
      <c r="AD974" s="83"/>
      <c r="AE974" s="83"/>
      <c r="AF974" s="83"/>
      <c r="AG974" s="83"/>
      <c r="AH974" s="83"/>
      <c r="AI974" s="83"/>
      <c r="AJ974" s="83"/>
      <c r="AK974" s="83"/>
      <c r="AL974" s="83"/>
      <c r="AM974" s="83"/>
      <c r="AN974" s="83"/>
      <c r="AO974" s="83"/>
      <c r="AP974" s="94"/>
      <c r="AQ974" s="94"/>
    </row>
    <row r="975" ht="15.75" customHeight="1">
      <c r="A975" s="83"/>
      <c r="B975" s="83"/>
      <c r="C975" s="83"/>
      <c r="D975" s="83"/>
      <c r="E975" s="83"/>
      <c r="F975" s="83"/>
      <c r="G975" s="83"/>
      <c r="H975" s="83"/>
      <c r="I975" s="94"/>
      <c r="J975" s="83"/>
      <c r="K975" s="83"/>
      <c r="L975" s="94"/>
      <c r="M975" s="83"/>
      <c r="N975" s="94"/>
      <c r="O975" s="83"/>
      <c r="P975" s="492"/>
      <c r="Q975" s="83"/>
      <c r="R975" s="83"/>
      <c r="S975" s="83"/>
      <c r="T975" s="83"/>
      <c r="U975" s="83"/>
      <c r="V975" s="83"/>
      <c r="W975" s="94"/>
      <c r="X975" s="94"/>
      <c r="Y975" s="94"/>
      <c r="Z975" s="83"/>
      <c r="AA975" s="83"/>
      <c r="AB975" s="83"/>
      <c r="AC975" s="83"/>
      <c r="AD975" s="83"/>
      <c r="AE975" s="83"/>
      <c r="AF975" s="83"/>
      <c r="AG975" s="83"/>
      <c r="AH975" s="83"/>
      <c r="AI975" s="83"/>
      <c r="AJ975" s="83"/>
      <c r="AK975" s="83"/>
      <c r="AL975" s="83"/>
      <c r="AM975" s="83"/>
      <c r="AN975" s="83"/>
      <c r="AO975" s="83"/>
      <c r="AP975" s="94"/>
      <c r="AQ975" s="94"/>
    </row>
    <row r="976" ht="15.75" customHeight="1">
      <c r="A976" s="83"/>
      <c r="B976" s="83"/>
      <c r="C976" s="83"/>
      <c r="D976" s="83"/>
      <c r="E976" s="83"/>
      <c r="F976" s="83"/>
      <c r="G976" s="83"/>
      <c r="H976" s="83"/>
      <c r="I976" s="94"/>
      <c r="J976" s="83"/>
      <c r="K976" s="83"/>
      <c r="L976" s="94"/>
      <c r="M976" s="83"/>
      <c r="N976" s="94"/>
      <c r="O976" s="83"/>
      <c r="P976" s="492"/>
      <c r="Q976" s="83"/>
      <c r="R976" s="83"/>
      <c r="S976" s="83"/>
      <c r="T976" s="83"/>
      <c r="U976" s="83"/>
      <c r="V976" s="83"/>
      <c r="W976" s="94"/>
      <c r="X976" s="94"/>
      <c r="Y976" s="94"/>
      <c r="Z976" s="83"/>
      <c r="AA976" s="83"/>
      <c r="AB976" s="83"/>
      <c r="AC976" s="83"/>
      <c r="AD976" s="83"/>
      <c r="AE976" s="83"/>
      <c r="AF976" s="83"/>
      <c r="AG976" s="83"/>
      <c r="AH976" s="83"/>
      <c r="AI976" s="83"/>
      <c r="AJ976" s="83"/>
      <c r="AK976" s="83"/>
      <c r="AL976" s="83"/>
      <c r="AM976" s="83"/>
      <c r="AN976" s="83"/>
      <c r="AO976" s="83"/>
      <c r="AP976" s="94"/>
      <c r="AQ976" s="94"/>
    </row>
    <row r="977" ht="15.75" customHeight="1">
      <c r="A977" s="83"/>
      <c r="B977" s="83"/>
      <c r="C977" s="83"/>
      <c r="D977" s="83"/>
      <c r="E977" s="83"/>
      <c r="F977" s="83"/>
      <c r="G977" s="83"/>
      <c r="H977" s="83"/>
      <c r="I977" s="94"/>
      <c r="J977" s="83"/>
      <c r="K977" s="83"/>
      <c r="L977" s="94"/>
      <c r="M977" s="83"/>
      <c r="N977" s="94"/>
      <c r="O977" s="83"/>
      <c r="P977" s="492"/>
      <c r="Q977" s="83"/>
      <c r="R977" s="83"/>
      <c r="S977" s="83"/>
      <c r="T977" s="83"/>
      <c r="U977" s="83"/>
      <c r="V977" s="83"/>
      <c r="W977" s="94"/>
      <c r="X977" s="94"/>
      <c r="Y977" s="94"/>
      <c r="Z977" s="83"/>
      <c r="AA977" s="83"/>
      <c r="AB977" s="83"/>
      <c r="AC977" s="83"/>
      <c r="AD977" s="83"/>
      <c r="AE977" s="83"/>
      <c r="AF977" s="83"/>
      <c r="AG977" s="83"/>
      <c r="AH977" s="83"/>
      <c r="AI977" s="83"/>
      <c r="AJ977" s="83"/>
      <c r="AK977" s="83"/>
      <c r="AL977" s="83"/>
      <c r="AM977" s="83"/>
      <c r="AN977" s="83"/>
      <c r="AO977" s="83"/>
      <c r="AP977" s="94"/>
      <c r="AQ977" s="94"/>
    </row>
    <row r="978" ht="15.75" customHeight="1">
      <c r="A978" s="83"/>
      <c r="B978" s="83"/>
      <c r="C978" s="83"/>
      <c r="D978" s="83"/>
      <c r="E978" s="83"/>
      <c r="F978" s="83"/>
      <c r="G978" s="83"/>
      <c r="H978" s="83"/>
      <c r="I978" s="94"/>
      <c r="J978" s="83"/>
      <c r="K978" s="83"/>
      <c r="L978" s="94"/>
      <c r="M978" s="83"/>
      <c r="N978" s="94"/>
      <c r="O978" s="83"/>
      <c r="P978" s="492"/>
      <c r="Q978" s="83"/>
      <c r="R978" s="83"/>
      <c r="S978" s="83"/>
      <c r="T978" s="83"/>
      <c r="U978" s="83"/>
      <c r="V978" s="83"/>
      <c r="W978" s="94"/>
      <c r="X978" s="94"/>
      <c r="Y978" s="94"/>
      <c r="Z978" s="83"/>
      <c r="AA978" s="83"/>
      <c r="AB978" s="83"/>
      <c r="AC978" s="83"/>
      <c r="AD978" s="83"/>
      <c r="AE978" s="83"/>
      <c r="AF978" s="83"/>
      <c r="AG978" s="83"/>
      <c r="AH978" s="83"/>
      <c r="AI978" s="83"/>
      <c r="AJ978" s="83"/>
      <c r="AK978" s="83"/>
      <c r="AL978" s="83"/>
      <c r="AM978" s="83"/>
      <c r="AN978" s="83"/>
      <c r="AO978" s="83"/>
      <c r="AP978" s="94"/>
      <c r="AQ978" s="94"/>
    </row>
    <row r="979" ht="15.75" customHeight="1">
      <c r="A979" s="83"/>
      <c r="B979" s="83"/>
      <c r="C979" s="83"/>
      <c r="D979" s="83"/>
      <c r="E979" s="83"/>
      <c r="F979" s="83"/>
      <c r="G979" s="83"/>
      <c r="H979" s="83"/>
      <c r="I979" s="94"/>
      <c r="J979" s="83"/>
      <c r="K979" s="83"/>
      <c r="L979" s="94"/>
      <c r="M979" s="83"/>
      <c r="N979" s="94"/>
      <c r="O979" s="83"/>
      <c r="P979" s="492"/>
      <c r="Q979" s="83"/>
      <c r="R979" s="83"/>
      <c r="S979" s="83"/>
      <c r="T979" s="83"/>
      <c r="U979" s="83"/>
      <c r="V979" s="83"/>
      <c r="W979" s="94"/>
      <c r="X979" s="94"/>
      <c r="Y979" s="94"/>
      <c r="Z979" s="83"/>
      <c r="AA979" s="83"/>
      <c r="AB979" s="83"/>
      <c r="AC979" s="83"/>
      <c r="AD979" s="83"/>
      <c r="AE979" s="83"/>
      <c r="AF979" s="83"/>
      <c r="AG979" s="83"/>
      <c r="AH979" s="83"/>
      <c r="AI979" s="83"/>
      <c r="AJ979" s="83"/>
      <c r="AK979" s="83"/>
      <c r="AL979" s="83"/>
      <c r="AM979" s="83"/>
      <c r="AN979" s="83"/>
      <c r="AO979" s="83"/>
      <c r="AP979" s="94"/>
      <c r="AQ979" s="94"/>
    </row>
    <row r="980" ht="15.75" customHeight="1">
      <c r="A980" s="83"/>
      <c r="B980" s="83"/>
      <c r="C980" s="83"/>
      <c r="D980" s="83"/>
      <c r="E980" s="83"/>
      <c r="F980" s="83"/>
      <c r="G980" s="83"/>
      <c r="H980" s="83"/>
      <c r="I980" s="94"/>
      <c r="J980" s="83"/>
      <c r="K980" s="83"/>
      <c r="L980" s="94"/>
      <c r="M980" s="83"/>
      <c r="N980" s="94"/>
      <c r="O980" s="83"/>
      <c r="P980" s="492"/>
      <c r="Q980" s="83"/>
      <c r="R980" s="83"/>
      <c r="S980" s="83"/>
      <c r="T980" s="83"/>
      <c r="U980" s="83"/>
      <c r="V980" s="83"/>
      <c r="W980" s="94"/>
      <c r="X980" s="94"/>
      <c r="Y980" s="94"/>
      <c r="Z980" s="83"/>
      <c r="AA980" s="83"/>
      <c r="AB980" s="83"/>
      <c r="AC980" s="83"/>
      <c r="AD980" s="83"/>
      <c r="AE980" s="83"/>
      <c r="AF980" s="83"/>
      <c r="AG980" s="83"/>
      <c r="AH980" s="83"/>
      <c r="AI980" s="83"/>
      <c r="AJ980" s="83"/>
      <c r="AK980" s="83"/>
      <c r="AL980" s="83"/>
      <c r="AM980" s="83"/>
      <c r="AN980" s="83"/>
      <c r="AO980" s="83"/>
      <c r="AP980" s="94"/>
      <c r="AQ980" s="94"/>
    </row>
    <row r="981" ht="15.75" customHeight="1">
      <c r="A981" s="83"/>
      <c r="B981" s="83"/>
      <c r="C981" s="83"/>
      <c r="D981" s="83"/>
      <c r="E981" s="83"/>
      <c r="F981" s="83"/>
      <c r="G981" s="83"/>
      <c r="H981" s="83"/>
      <c r="I981" s="94"/>
      <c r="J981" s="83"/>
      <c r="K981" s="83"/>
      <c r="L981" s="94"/>
      <c r="M981" s="83"/>
      <c r="N981" s="94"/>
      <c r="O981" s="83"/>
      <c r="P981" s="492"/>
      <c r="Q981" s="83"/>
      <c r="R981" s="83"/>
      <c r="S981" s="83"/>
      <c r="T981" s="83"/>
      <c r="U981" s="83"/>
      <c r="V981" s="83"/>
      <c r="W981" s="94"/>
      <c r="X981" s="94"/>
      <c r="Y981" s="94"/>
      <c r="Z981" s="83"/>
      <c r="AA981" s="83"/>
      <c r="AB981" s="83"/>
      <c r="AC981" s="83"/>
      <c r="AD981" s="83"/>
      <c r="AE981" s="83"/>
      <c r="AF981" s="83"/>
      <c r="AG981" s="83"/>
      <c r="AH981" s="83"/>
      <c r="AI981" s="83"/>
      <c r="AJ981" s="83"/>
      <c r="AK981" s="83"/>
      <c r="AL981" s="83"/>
      <c r="AM981" s="83"/>
      <c r="AN981" s="83"/>
      <c r="AO981" s="83"/>
      <c r="AP981" s="94"/>
      <c r="AQ981" s="94"/>
    </row>
    <row r="982" ht="15.75" customHeight="1">
      <c r="A982" s="83"/>
      <c r="B982" s="83"/>
      <c r="C982" s="83"/>
      <c r="D982" s="83"/>
      <c r="E982" s="83"/>
      <c r="F982" s="83"/>
      <c r="G982" s="83"/>
      <c r="H982" s="83"/>
      <c r="I982" s="94"/>
      <c r="J982" s="83"/>
      <c r="K982" s="83"/>
      <c r="L982" s="94"/>
      <c r="M982" s="83"/>
      <c r="N982" s="94"/>
      <c r="O982" s="83"/>
      <c r="P982" s="492"/>
      <c r="Q982" s="83"/>
      <c r="R982" s="83"/>
      <c r="S982" s="83"/>
      <c r="T982" s="83"/>
      <c r="U982" s="83"/>
      <c r="V982" s="83"/>
      <c r="W982" s="94"/>
      <c r="X982" s="94"/>
      <c r="Y982" s="94"/>
      <c r="Z982" s="83"/>
      <c r="AA982" s="83"/>
      <c r="AB982" s="83"/>
      <c r="AC982" s="83"/>
      <c r="AD982" s="83"/>
      <c r="AE982" s="83"/>
      <c r="AF982" s="83"/>
      <c r="AG982" s="83"/>
      <c r="AH982" s="83"/>
      <c r="AI982" s="83"/>
      <c r="AJ982" s="83"/>
      <c r="AK982" s="83"/>
      <c r="AL982" s="83"/>
      <c r="AM982" s="83"/>
      <c r="AN982" s="83"/>
      <c r="AO982" s="83"/>
      <c r="AP982" s="94"/>
      <c r="AQ982" s="94"/>
    </row>
    <row r="983" ht="15.75" customHeight="1">
      <c r="A983" s="83"/>
      <c r="B983" s="83"/>
      <c r="C983" s="83"/>
      <c r="D983" s="83"/>
      <c r="E983" s="83"/>
      <c r="F983" s="83"/>
      <c r="G983" s="83"/>
      <c r="H983" s="83"/>
      <c r="I983" s="94"/>
      <c r="J983" s="83"/>
      <c r="K983" s="83"/>
      <c r="L983" s="94"/>
      <c r="M983" s="83"/>
      <c r="N983" s="94"/>
      <c r="O983" s="83"/>
      <c r="P983" s="492"/>
      <c r="Q983" s="83"/>
      <c r="R983" s="83"/>
      <c r="S983" s="83"/>
      <c r="T983" s="83"/>
      <c r="U983" s="83"/>
      <c r="V983" s="83"/>
      <c r="W983" s="94"/>
      <c r="X983" s="94"/>
      <c r="Y983" s="94"/>
      <c r="Z983" s="83"/>
      <c r="AA983" s="83"/>
      <c r="AB983" s="83"/>
      <c r="AC983" s="83"/>
      <c r="AD983" s="83"/>
      <c r="AE983" s="83"/>
      <c r="AF983" s="83"/>
      <c r="AG983" s="83"/>
      <c r="AH983" s="83"/>
      <c r="AI983" s="83"/>
      <c r="AJ983" s="83"/>
      <c r="AK983" s="83"/>
      <c r="AL983" s="83"/>
      <c r="AM983" s="83"/>
      <c r="AN983" s="83"/>
      <c r="AO983" s="83"/>
      <c r="AP983" s="94"/>
      <c r="AQ983" s="94"/>
    </row>
    <row r="984" ht="15.75" customHeight="1">
      <c r="A984" s="83"/>
      <c r="B984" s="83"/>
      <c r="C984" s="83"/>
      <c r="D984" s="83"/>
      <c r="E984" s="83"/>
      <c r="F984" s="83"/>
      <c r="G984" s="83"/>
      <c r="H984" s="83"/>
      <c r="I984" s="94"/>
      <c r="J984" s="83"/>
      <c r="K984" s="83"/>
      <c r="L984" s="94"/>
      <c r="M984" s="83"/>
      <c r="N984" s="94"/>
      <c r="O984" s="83"/>
      <c r="P984" s="492"/>
      <c r="Q984" s="83"/>
      <c r="R984" s="83"/>
      <c r="S984" s="83"/>
      <c r="T984" s="83"/>
      <c r="U984" s="83"/>
      <c r="V984" s="83"/>
      <c r="W984" s="94"/>
      <c r="X984" s="94"/>
      <c r="Y984" s="94"/>
      <c r="Z984" s="83"/>
      <c r="AA984" s="83"/>
      <c r="AB984" s="83"/>
      <c r="AC984" s="83"/>
      <c r="AD984" s="83"/>
      <c r="AE984" s="83"/>
      <c r="AF984" s="83"/>
      <c r="AG984" s="83"/>
      <c r="AH984" s="83"/>
      <c r="AI984" s="83"/>
      <c r="AJ984" s="83"/>
      <c r="AK984" s="83"/>
      <c r="AL984" s="83"/>
      <c r="AM984" s="83"/>
      <c r="AN984" s="83"/>
      <c r="AO984" s="83"/>
      <c r="AP984" s="94"/>
      <c r="AQ984" s="94"/>
    </row>
    <row r="985" ht="15.75" customHeight="1">
      <c r="A985" s="83"/>
      <c r="B985" s="83"/>
      <c r="C985" s="83"/>
      <c r="D985" s="83"/>
      <c r="E985" s="83"/>
      <c r="F985" s="83"/>
      <c r="G985" s="83"/>
      <c r="H985" s="83"/>
      <c r="I985" s="94"/>
      <c r="J985" s="83"/>
      <c r="K985" s="83"/>
      <c r="L985" s="94"/>
      <c r="M985" s="83"/>
      <c r="N985" s="94"/>
      <c r="O985" s="83"/>
      <c r="P985" s="492"/>
      <c r="Q985" s="83"/>
      <c r="R985" s="83"/>
      <c r="S985" s="83"/>
      <c r="T985" s="83"/>
      <c r="U985" s="83"/>
      <c r="V985" s="83"/>
      <c r="W985" s="94"/>
      <c r="X985" s="94"/>
      <c r="Y985" s="94"/>
      <c r="Z985" s="83"/>
      <c r="AA985" s="83"/>
      <c r="AB985" s="83"/>
      <c r="AC985" s="83"/>
      <c r="AD985" s="83"/>
      <c r="AE985" s="83"/>
      <c r="AF985" s="83"/>
      <c r="AG985" s="83"/>
      <c r="AH985" s="83"/>
      <c r="AI985" s="83"/>
      <c r="AJ985" s="83"/>
      <c r="AK985" s="83"/>
      <c r="AL985" s="83"/>
      <c r="AM985" s="83"/>
      <c r="AN985" s="83"/>
      <c r="AO985" s="83"/>
      <c r="AP985" s="94"/>
      <c r="AQ985" s="94"/>
    </row>
    <row r="986" ht="15.75" customHeight="1">
      <c r="A986" s="83"/>
      <c r="B986" s="83"/>
      <c r="C986" s="83"/>
      <c r="D986" s="83"/>
      <c r="E986" s="83"/>
      <c r="F986" s="83"/>
      <c r="G986" s="83"/>
      <c r="H986" s="83"/>
      <c r="I986" s="94"/>
      <c r="J986" s="83"/>
      <c r="K986" s="83"/>
      <c r="L986" s="94"/>
      <c r="M986" s="83"/>
      <c r="N986" s="94"/>
      <c r="O986" s="83"/>
      <c r="P986" s="492"/>
      <c r="Q986" s="83"/>
      <c r="R986" s="83"/>
      <c r="S986" s="83"/>
      <c r="T986" s="83"/>
      <c r="U986" s="83"/>
      <c r="V986" s="83"/>
      <c r="W986" s="94"/>
      <c r="X986" s="94"/>
      <c r="Y986" s="94"/>
      <c r="Z986" s="83"/>
      <c r="AA986" s="83"/>
      <c r="AB986" s="83"/>
      <c r="AC986" s="83"/>
      <c r="AD986" s="83"/>
      <c r="AE986" s="83"/>
      <c r="AF986" s="83"/>
      <c r="AG986" s="83"/>
      <c r="AH986" s="83"/>
      <c r="AI986" s="83"/>
      <c r="AJ986" s="83"/>
      <c r="AK986" s="83"/>
      <c r="AL986" s="83"/>
      <c r="AM986" s="83"/>
      <c r="AN986" s="83"/>
      <c r="AO986" s="83"/>
      <c r="AP986" s="94"/>
      <c r="AQ986" s="94"/>
    </row>
    <row r="987" ht="15.75" customHeight="1">
      <c r="A987" s="83"/>
      <c r="B987" s="83"/>
      <c r="C987" s="83"/>
      <c r="D987" s="83"/>
      <c r="E987" s="83"/>
      <c r="F987" s="83"/>
      <c r="G987" s="83"/>
      <c r="H987" s="83"/>
      <c r="I987" s="94"/>
      <c r="J987" s="83"/>
      <c r="K987" s="83"/>
      <c r="L987" s="94"/>
      <c r="M987" s="83"/>
      <c r="N987" s="94"/>
      <c r="O987" s="83"/>
      <c r="P987" s="492"/>
      <c r="Q987" s="83"/>
      <c r="R987" s="83"/>
      <c r="S987" s="83"/>
      <c r="T987" s="83"/>
      <c r="U987" s="83"/>
      <c r="V987" s="83"/>
      <c r="W987" s="94"/>
      <c r="X987" s="94"/>
      <c r="Y987" s="94"/>
      <c r="Z987" s="83"/>
      <c r="AA987" s="83"/>
      <c r="AB987" s="83"/>
      <c r="AC987" s="83"/>
      <c r="AD987" s="83"/>
      <c r="AE987" s="83"/>
      <c r="AF987" s="83"/>
      <c r="AG987" s="83"/>
      <c r="AH987" s="83"/>
      <c r="AI987" s="83"/>
      <c r="AJ987" s="83"/>
      <c r="AK987" s="83"/>
      <c r="AL987" s="83"/>
      <c r="AM987" s="83"/>
      <c r="AN987" s="83"/>
      <c r="AO987" s="83"/>
      <c r="AP987" s="94"/>
      <c r="AQ987" s="94"/>
    </row>
    <row r="988" ht="15.75" customHeight="1">
      <c r="A988" s="83"/>
      <c r="B988" s="83"/>
      <c r="C988" s="83"/>
      <c r="D988" s="83"/>
      <c r="E988" s="83"/>
      <c r="F988" s="83"/>
      <c r="G988" s="83"/>
      <c r="H988" s="83"/>
      <c r="I988" s="94"/>
      <c r="J988" s="83"/>
      <c r="K988" s="83"/>
      <c r="L988" s="94"/>
      <c r="M988" s="83"/>
      <c r="N988" s="94"/>
      <c r="O988" s="83"/>
      <c r="P988" s="492"/>
      <c r="Q988" s="83"/>
      <c r="R988" s="83"/>
      <c r="S988" s="83"/>
      <c r="T988" s="83"/>
      <c r="U988" s="83"/>
      <c r="V988" s="83"/>
      <c r="W988" s="94"/>
      <c r="X988" s="94"/>
      <c r="Y988" s="94"/>
      <c r="Z988" s="83"/>
      <c r="AA988" s="83"/>
      <c r="AB988" s="83"/>
      <c r="AC988" s="83"/>
      <c r="AD988" s="83"/>
      <c r="AE988" s="83"/>
      <c r="AF988" s="83"/>
      <c r="AG988" s="83"/>
      <c r="AH988" s="83"/>
      <c r="AI988" s="83"/>
      <c r="AJ988" s="83"/>
      <c r="AK988" s="83"/>
      <c r="AL988" s="83"/>
      <c r="AM988" s="83"/>
      <c r="AN988" s="83"/>
      <c r="AO988" s="83"/>
      <c r="AP988" s="94"/>
      <c r="AQ988" s="94"/>
    </row>
  </sheetData>
  <autoFilter ref="$A$2:$AQ$222">
    <sortState ref="A2:AQ222">
      <sortCondition ref="A2:A222"/>
      <sortCondition descending="1" ref="AQ2:AQ222"/>
    </sortState>
  </autoFilter>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20.0"/>
    <col customWidth="1" min="2" max="2" width="3.5"/>
    <col customWidth="1" min="3" max="3" width="3.88"/>
    <col customWidth="1" hidden="1" min="4" max="5" width="6.88"/>
    <col customWidth="1" min="6" max="6" width="3.13"/>
    <col customWidth="1" min="7" max="7" width="4.88"/>
    <col customWidth="1" min="8" max="9" width="6.5"/>
    <col customWidth="1" min="10" max="10" width="3.13"/>
    <col customWidth="1" min="11" max="11" width="4.88"/>
    <col customWidth="1" min="12" max="13" width="5.75"/>
    <col customWidth="1" min="14" max="14" width="3.13"/>
    <col customWidth="1" min="15" max="15" width="4.88"/>
    <col customWidth="1" min="16" max="17" width="5.75"/>
    <col customWidth="1" min="18" max="21" width="3.13"/>
    <col customWidth="1" min="22" max="22" width="7.63"/>
    <col customWidth="1" min="23" max="23" width="9.5"/>
    <col customWidth="1" min="24" max="24" width="4.5"/>
    <col customWidth="1" min="25" max="25" width="14.13"/>
    <col customWidth="1" min="26" max="26" width="4.5"/>
    <col customWidth="1" min="27" max="27" width="10.88"/>
    <col customWidth="1" min="28" max="28" width="4.5"/>
    <col customWidth="1" min="29" max="29" width="14.25"/>
    <col customWidth="1" min="30" max="30" width="4.5"/>
    <col customWidth="1" min="31" max="31" width="21.88"/>
    <col customWidth="1" min="32" max="32" width="4.5"/>
    <col customWidth="1" min="33" max="33" width="19.63"/>
    <col customWidth="1" min="34" max="34" width="4.5"/>
    <col customWidth="1" min="35" max="38" width="6.0"/>
    <col customWidth="1" min="39" max="39" width="2.0"/>
  </cols>
  <sheetData>
    <row r="1">
      <c r="D1" s="493"/>
      <c r="E1" s="493"/>
      <c r="F1" s="67" t="s">
        <v>2649</v>
      </c>
      <c r="G1" s="80"/>
      <c r="H1" s="80"/>
      <c r="I1" s="81"/>
      <c r="J1" s="67" t="s">
        <v>2650</v>
      </c>
      <c r="K1" s="80"/>
      <c r="L1" s="80"/>
      <c r="M1" s="81"/>
      <c r="N1" s="65" t="s">
        <v>2651</v>
      </c>
      <c r="Q1" s="200"/>
      <c r="W1" s="494"/>
      <c r="X1" s="495"/>
      <c r="Y1" s="494"/>
      <c r="Z1" s="495"/>
      <c r="AA1" s="494"/>
      <c r="AB1" s="494"/>
      <c r="AC1" s="494"/>
      <c r="AD1" s="343"/>
      <c r="AE1" s="343"/>
      <c r="AF1" s="343"/>
      <c r="AG1" s="343"/>
      <c r="AH1" s="343"/>
      <c r="AI1" s="496"/>
      <c r="AJ1" s="496"/>
      <c r="AK1" s="496"/>
      <c r="AM1" s="5"/>
    </row>
    <row r="2" ht="63.75" customHeight="1">
      <c r="A2" s="5" t="s">
        <v>2652</v>
      </c>
      <c r="B2" s="5" t="s">
        <v>1413</v>
      </c>
      <c r="C2" s="5" t="s">
        <v>1941</v>
      </c>
      <c r="D2" s="497" t="s">
        <v>2653</v>
      </c>
      <c r="E2" s="497" t="s">
        <v>2654</v>
      </c>
      <c r="F2" s="498" t="s">
        <v>1476</v>
      </c>
      <c r="G2" s="359" t="s">
        <v>1477</v>
      </c>
      <c r="H2" s="499" t="s">
        <v>1481</v>
      </c>
      <c r="I2" s="500" t="s">
        <v>2655</v>
      </c>
      <c r="J2" s="498" t="s">
        <v>1476</v>
      </c>
      <c r="K2" s="359" t="s">
        <v>1477</v>
      </c>
      <c r="L2" s="501" t="s">
        <v>1481</v>
      </c>
      <c r="M2" s="502" t="s">
        <v>2656</v>
      </c>
      <c r="N2" s="359" t="s">
        <v>1476</v>
      </c>
      <c r="O2" s="359" t="s">
        <v>1477</v>
      </c>
      <c r="P2" s="503" t="s">
        <v>1481</v>
      </c>
      <c r="Q2" s="502" t="s">
        <v>2657</v>
      </c>
      <c r="R2" s="504" t="s">
        <v>1703</v>
      </c>
      <c r="S2" s="505" t="s">
        <v>1705</v>
      </c>
      <c r="T2" s="505" t="s">
        <v>1704</v>
      </c>
      <c r="U2" s="506" t="s">
        <v>1706</v>
      </c>
      <c r="V2" s="184" t="s">
        <v>1491</v>
      </c>
      <c r="W2" s="5" t="s">
        <v>1492</v>
      </c>
      <c r="X2" s="480" t="s">
        <v>2658</v>
      </c>
      <c r="Y2" s="479" t="s">
        <v>1505</v>
      </c>
      <c r="Z2" s="480" t="s">
        <v>1506</v>
      </c>
      <c r="AA2" s="479" t="s">
        <v>2659</v>
      </c>
      <c r="AB2" s="481" t="s">
        <v>2554</v>
      </c>
      <c r="AC2" s="479" t="s">
        <v>1507</v>
      </c>
      <c r="AD2" s="481" t="s">
        <v>1508</v>
      </c>
      <c r="AE2" s="479" t="s">
        <v>1509</v>
      </c>
      <c r="AF2" s="481" t="s">
        <v>1510</v>
      </c>
      <c r="AG2" s="479" t="s">
        <v>1511</v>
      </c>
      <c r="AH2" s="481" t="s">
        <v>1512</v>
      </c>
      <c r="AI2" s="482" t="s">
        <v>1515</v>
      </c>
      <c r="AJ2" s="507" t="s">
        <v>1514</v>
      </c>
      <c r="AK2" s="508" t="s">
        <v>1513</v>
      </c>
      <c r="AL2" s="5" t="s">
        <v>1400</v>
      </c>
      <c r="AM2" s="5"/>
    </row>
    <row r="3">
      <c r="A3" s="509" t="s">
        <v>2660</v>
      </c>
      <c r="B3" s="510">
        <v>1.0</v>
      </c>
      <c r="C3" s="510">
        <v>1.0</v>
      </c>
      <c r="D3" s="511" t="s">
        <v>2661</v>
      </c>
      <c r="E3" s="512" t="s">
        <v>2662</v>
      </c>
      <c r="F3" s="513">
        <v>4.0</v>
      </c>
      <c r="G3" s="514">
        <v>12.0</v>
      </c>
      <c r="H3" s="515" t="s">
        <v>1671</v>
      </c>
      <c r="I3" s="489">
        <f>IFERROR(__xludf.DUMMYFUNCTION("SUM(F3 * 0.33, G3
*
SWITCH(
LEN(H3) - LEN(SUBSTITUTE(H3,"","","""")),
0 , VLOOKUP(H3, Variables!$A:$B, 2, FALSE),
1 , VLOOKUP(index(split(H3 ,"", "", FALSE),1,1), Variables!$A:$B , 2, FALSE) + VLOOKUP(index(split(H3 ,"", "", FALSE),1,2), Variables!$A:$B ,"&amp;" 2, FALSE),
2 , VLOOKUP(index(split(H3 ,"", "", FALSE),1,1), Variables!$A:$B , 2, FALSE) + VLOOKUP(index(split(H3 ,"", "", FALSE),1,2), Variables!$A:$B , 2, FALSE) + VLOOKUP(index(split(H3 ,"", "", FALSE),1,3), Variables!$A:$B , 2, FALSE)
)
)"),27.32)</f>
        <v>27.32</v>
      </c>
      <c r="J3" s="513">
        <v>4.0</v>
      </c>
      <c r="K3" s="514">
        <v>14.0</v>
      </c>
      <c r="L3" s="515" t="s">
        <v>2594</v>
      </c>
      <c r="M3" s="312">
        <f>IFERROR(__xludf.DUMMYFUNCTION("SUM(J3 * 0.33, K3
*
SWITCH(
LEN(L3) - LEN(SUBSTITUTE(L3,"","","""")),
0 , VLOOKUP(L3, Variables!$A:$B, 2, FALSE),
1 , VLOOKUP(index(split(L3 ,"", "", FALSE),1,1), Variables!$A:$B , 2, FALSE) + VLOOKUP(index(split(L3 ,"", "", FALSE),1,2), Variables!$A:$B ,"&amp;" 2, FALSE),
2 , VLOOKUP(index(split(L3 ,"", "", FALSE),1,1), Variables!$A:$B , 2, FALSE) + VLOOKUP(index(split(L3 ,"", "", FALSE),1,2), Variables!$A:$B , 2, FALSE) + VLOOKUP(index(split(L3 ,"", "", FALSE),1,3), Variables!$A:$B , 2, FALSE)
)
)"),40.986666666666665)</f>
        <v>40.98666667</v>
      </c>
      <c r="N3" s="514">
        <v>4.0</v>
      </c>
      <c r="O3" s="514">
        <v>17.0</v>
      </c>
      <c r="P3" s="340" t="s">
        <v>2594</v>
      </c>
      <c r="Q3" s="312">
        <f>IFERROR(__xludf.DUMMYFUNCTION("SUM(N3 * 0.33, O3
*
SWITCH(
LEN(P3) - LEN(SUBSTITUTE(P3,"","","""")),
0 , VLOOKUP(P3, Variables!$A:$B, 2, FALSE),
1 , VLOOKUP(index(split(P3 ,"", "", FALSE),1,1), Variables!$A:$B , 2, FALSE) + VLOOKUP(index(split(P3 ,"", "", FALSE),1,2), Variables!$A:$B ,"&amp;" 2, FALSE),
2 , VLOOKUP(index(split(P3 ,"", "", FALSE),1,1), Variables!$A:$B , 2, FALSE) + VLOOKUP(index(split(P3 ,"", "", FALSE),1,2), Variables!$A:$B , 2, FALSE) + VLOOKUP(index(split(P3 ,"", "", FALSE),1,3), Variables!$A:$B , 2, FALSE)
)
)"),49.486666666666665)</f>
        <v>49.48666667</v>
      </c>
      <c r="R3" s="513">
        <v>5.0</v>
      </c>
      <c r="S3" s="514">
        <v>2.0</v>
      </c>
      <c r="T3" s="514">
        <v>1.0</v>
      </c>
      <c r="U3" s="516">
        <v>4.0</v>
      </c>
      <c r="V3" s="343" t="s">
        <v>1521</v>
      </c>
      <c r="W3" s="343" t="s">
        <v>1525</v>
      </c>
      <c r="X3" s="312">
        <f>IFERROR(__xludf.DUMMYFUNCTION("SWITCH(
LEN(W3) - LEN(SUBSTITUTE(W3,"","","""")),
0 , VLOOKUP(W3, Variables!$A:$B, 2, FALSE),
1 , VLOOKUP(index(split(W3 ,"", "", FALSE),1,1), Variables!$A:$B , 2, FALSE) + VLOOKUP(index(split(W3 ,"", "", FALSE),1,2), Variables!$A:$B , 2, FALSE),
2 , VLOO"&amp;"KUP(index(split(W3 ,"", "", FALSE),1,1), Variables!$A:$B , 2, FALSE) + VLOOKUP(index(split(W3 ,"", "", FALSE),1,2), Variables!$A:$B , 2, FALSE) + VLOOKUP(index(split(W3 ,"", "", FALSE),1,3), Variables!$A:$B , 2, FALSE),
3 , VLOOKUP(index(split(W3 ,"", "","&amp;" FALSE),1,1), Variables!$A:$B , 2, FALSE) + VLOOKUP(index(split(W3 ,"", "", FALSE),1,2), Variables!$A:$B , 2, FALSE) + VLOOKUP(index(split(W3 ,"", "", FALSE),1,3), Variables!$A:$B , 2, FALSE) + VLOOKUP(index(split(W3 ,"", "", FALSE),1,4), Variables!$A:$B "&amp;", 2, FALSE)
)"),3.333333333333333)</f>
        <v>3.333333333</v>
      </c>
      <c r="Y3" s="343" t="s">
        <v>2663</v>
      </c>
      <c r="Z3" s="342">
        <f>IFERROR(__xludf.DUMMYFUNCTION("IF(ISBLANK(Y3), , 
SWITCH(
LEN(Y3)- LEN(SUBSTITUTE(Y3,"","","""")), 
0 , VLOOKUP(Y3, vote4TRAITS!A:C , 3, FALSE),
1 , VLOOKUP(index(split(Y3 ,"", "", FALSE),1,1), vote4TRAITS!A:C , 3, FALSE) + VLOOKUP(index(split(Y3 ,"", "", FALSE),1,2), vote4TRAITS!A:C ,"&amp;" 3, FALSE),
2 , VLOOKUP(index(split(Y3 ,"", "", FALSE),1,1), vote4TRAITS!A:C , 3, FALSE) + VLOOKUP(index(split(Y3 ,"", "", FALSE),1,2), vote4TRAITS!A:C , 3, FALSE) + VLOOKUP(index(split(Y3 ,"", "", FALSE),1,3), vote4TRAITS!A:C , 3, FALSE)
)
)"),8.0)</f>
        <v>8</v>
      </c>
      <c r="AA3" s="343"/>
      <c r="AB3" s="343" t="str">
        <f>IFERROR(__xludf.DUMMYFUNCTION("IF(ISBLANK(AA3), , 
SWITCH(
LEN(AA3)- LEN(SUBSTITUTE(AA3,"","","""")), 
0 , VLOOKUP(AA3, vote4ACTIONS!A:C , 3, FALSE),
1 , VLOOKUP(index(split(AA3 ,"", "", FALSE),1,1), vote4ACTIONS!A:C , 3, FALSE) + VLOOKUP(index(split(AA3 ,"", "", FALSE),1,2), vote4ACTI"&amp;"ONS!A:C , 3, FALSE),
2 , VLOOKUP(index(split(AA3 ,"", "", FALSE),1,1), vote4ACTIONS!A:C , 3, FALSE) + VLOOKUP(index(split(AA3 ,"", "", FALSE),1,2), vote4ACTIONS!A:C , 3, FALSE) + VLOOKUP(index(split(AA3 ,"", "", FALSE),1,3), vote4ACTIONS!A:C , 3, FALSE)
)"&amp;"
)"),"")</f>
        <v/>
      </c>
      <c r="AC3" s="343" t="s">
        <v>1564</v>
      </c>
      <c r="AD3" s="517">
        <f>IF(ISBLANK(AC3),,IF(IFERROR(SEARCH("SS:",AC3),0) &gt; 0, 
VLOOKUP(SUBSTITUTE(AC3,"SS: ",""),vote4SURGE!$A:$C , 3, FALSE) - 2,
VLOOKUP(SUBSTITUTE(AC3,"S: ",""),vote4SURGE!$A:$C , 3, FALSE)
)
)</f>
        <v>3.5</v>
      </c>
      <c r="AE3" s="343"/>
      <c r="AF3" s="343" t="str">
        <f>IF(ISBLANK(AE3),,IF(IFERROR(SEARCH("SS:",AE3),0) &gt; 0, 
VLOOKUP(SUBSTITUTE(AE3,"SS: ",""),vote4SURGE!$A:$C , 3, FALSE) - 2,
VLOOKUP(SUBSTITUTE(AE3,"S: ",""),vote4SURGE!$A:$C , 3, FALSE)
)
)</f>
        <v/>
      </c>
      <c r="AG3" s="343"/>
      <c r="AH3" s="343" t="str">
        <f>IF(ISBLANK(AG3),,IF(IFERROR(SEARCH("SS:",AG3),0) &gt; 0, 
VLOOKUP(SUBSTITUTE(AG3,"SS: ",""),vote4SURGE!$A:$C , 3, FALSE) - 2,
VLOOKUP(SUBSTITUTE(AG3,"S: ",""),vote4SURGE!$A:$C , 3, FALSE)
)
)</f>
        <v/>
      </c>
      <c r="AI3" s="343">
        <f t="shared" ref="AI3:AI39" si="1">IF(AK3 &gt; 1, 
MAX(AD3,AF3,AH3) + 
(IF(OR(AK3 = 0,AJ3 = 0), 1 ,(AJ3 / AK3)) * (SUM(AD3,AF3,AH3) - MAX(AD3,AF3,AH3)))
,
IF(OR(AK3 = 0,AJ3 = 0), 1 ,(AJ3 / AK3)) * SUM(AD3,AF3,AH3)
)</f>
        <v>3.5</v>
      </c>
      <c r="AJ3" s="343">
        <f>ROUND(IFS(
IFERROR(SEARCH("Blue, Yellow, Yellow, Green",W3),0) &gt; 0 , VLOOKUP("Blue", Variables!A:C , 3 , FALSE) + (VLOOKUP("Yellow", Variables!A:C , 3 , FALSE) * 2) + VLOOKUP("Green", Variables!A:C , 3 , FALSE),
IFERROR(SEARCH("Blue, Yellow, Green, Green",W3),0) &gt; 0 , VLOOKUP("Blue", Variables!A:C , 3 , FALSE) + VLOOKUP("Yellow", Variables!A:C , 3 , FALSE)  + (VLOOKUP("Green", Variables!A:C , 3 , FALSE) * 2),
IFERROR(SEARCH("Blue, Red, Red",W3),0) &gt; 0 , VLOOKUP("Blue", Variables!A:C , 3 , FALSE) + VLOOKUP("Red", Variables!A:C , 3 , FALSE) * 2,
IFERROR(SEARCH("Blue, Yellow, Yellow",W3),0) &gt; 0 , VLOOKUP("Blue", Variables!A:C , 3 , FALSE) + (VLOOKUP("Yellow", Variables!A:C , 3 , FALSE) * 2),
IFERROR(SEARCH("Blue, Yellow, Green",W3),0) &gt; 0 , VLOOKUP("Blue", Variables!A:C , 3 , FALSE) + VLOOKUP("Yellow", Variables!A:C , 3 , FALSE) + VLOOKUP("Green", Variables!A:C , 3 , FALSE),
IFERROR(SEARCH("Blue, Red, Green",W3),0) &gt; 0 , VLOOKUP("Blue", Variables!A:C , 3 , FALSE) + VLOOKUP("Red", Variables!A:C , 3 , FALSE) + VLOOKUP("Green", Variables!A:C , 3 , FALSE),
IFERROR(SEARCH("Blue, Red, Yellow",W3),0) &gt; 0 , VLOOKUP("Blue", Variables!A:C , 3 , FALSE) + VLOOKUP("Red", Variables!A:C , 3 , FALSE) + VLOOKUP("Yellow", Variables!A:C , 3 , FALSE),
IFERROR(SEARCH("Blue, Green, Green",W3),0) &gt; 0 , VLOOKUP("Blue", Variables!A:C , 3 , FALSE) + (VLOOKUP("Green", Variables!A:C , 3 , FALSE) * 2),
IFERROR(SEARCH("Blue, Yellow",W3),0) &gt; 0 , VLOOKUP("Blue", Variables!A:C , 3 , FALSE) + VLOOKUP("Yellow", Variables!A:C , 3 , FALSE),
IFERROR(SEARCH("Blue, Red",W3),0) &gt; 0 , VLOOKUP("Blue", Variables!A:C , 3 , FALSE) + VLOOKUP("Red", Variables!A:C , 3 , FALSE),
IFERROR(SEARCH("Blue, Green",W3),0) &gt; 0 , VLOOKUP("Blue", Variables!A:C , 3 , FALSE) + VLOOKUP("Green", Variables!A:C , 3 , FALSE),
IFERROR(SEARCH("Green",W3),0) &gt; 0 , VLOOKUP("Green", Variables!A:C , 3 , FALSE),
IFERROR(SEARCH("Blue",W3),0) &gt; 0 , VLOOKUP("Blue", Variables!A:C , 3 , FALSE),
IFERROR(SEARCH("Yellow",W3),0) &gt; 0 , VLOOKUP("Yellow", Variables!A:C , 3 , FALSE),
IFERROR(SEARCH("Black, Black",W3),0) &gt; 0 , VLOOKUP("Black", Variables!A:C , 3 , FALSE) * 2,
IFERROR(SEARCH("Grey, Grey",W3),0) &gt; 0 , VLOOKUP("Grey", Variables!A:C , 3 , FALSE) * 2,
IFERROR(SEARCH("Grey, Brown",W3),0) &gt; 0 , VLOOKUP("Grey", Variables!A:C , 3 , FALSE)  + VLOOKUP("Brown", Variables!A:C , 3 , FALSE),
IFERROR(SEARCH("Black, Grey",W3),0) &gt; 0 , VLOOKUP("Black", Variables!A:C , 3 , FALSE) + VLOOKUP("Grey", Variables!A:C , 3 , FALSE),
IFERROR(SEARCH("Black, Brown",W3),0) &gt; 0 , VLOOKUP("Black", Variables!A:C , 3 , FALSE) + VLOOKUP("Brown", Variables!A:C , 3 , FALSE),
IFERROR(SEARCH("Black",W3),0) &gt; 0 , VLOOKUP("Black", Variables!A:C , 3 , FALSE),
IFERROR(SEARCH("Grey",W3),0) &gt; 0 , VLOOKUP("Grey", Variables!A:C , 3 , FALSE),
IFERROR(SEARCH("Brown",W3),0) &gt; 0 , VLOOKUP("Brown", Variables!A:C , 3 , FALSE),
0=0,0)
,
)</f>
        <v>1</v>
      </c>
      <c r="AK3" s="343">
        <f t="shared" ref="AK3:AK39" si="2">SUM(
IF(ISBLANK(AC3),,IF(IFERROR(SEARCH("SS:",AC3),0) &gt; 0, 2, 1)),
IF(ISBLANK(AE3),,IF(IFERROR(SEARCH("SS:",AE3),0) &gt; 0, 2, 1)),
IF(ISBLANK(AG3),,IF(IFERROR(SEARCH("SS:",AG3),0) &gt; 0, 2, 1)),
)</f>
        <v>1</v>
      </c>
      <c r="AL3" s="345">
        <f t="shared" ref="AL3:AL39" si="3">SUM(R3:U3,X3,Z3,AB3,AI3)</f>
        <v>26.83333333</v>
      </c>
      <c r="AM3" s="5"/>
    </row>
    <row r="4">
      <c r="A4" s="509" t="s">
        <v>2660</v>
      </c>
      <c r="B4" s="380">
        <v>2.0</v>
      </c>
      <c r="C4" s="380">
        <v>1.0</v>
      </c>
      <c r="D4" s="511" t="s">
        <v>2661</v>
      </c>
      <c r="E4" s="512" t="s">
        <v>2662</v>
      </c>
      <c r="F4" s="513">
        <v>4.0</v>
      </c>
      <c r="G4" s="514">
        <v>13.0</v>
      </c>
      <c r="H4" s="515" t="s">
        <v>2594</v>
      </c>
      <c r="I4" s="489">
        <f>IFERROR(__xludf.DUMMYFUNCTION("SUM(F4 * 0.33, G4
*
SWITCH(
LEN(H4) - LEN(SUBSTITUTE(H4,"","","""")),
0 , VLOOKUP(H4, Variables!$A:$B, 2, FALSE),
1 , VLOOKUP(index(split(H4 ,"", "", FALSE),1,1), Variables!$A:$B , 2, FALSE) + VLOOKUP(index(split(H4 ,"", "", FALSE),1,2), Variables!$A:$B ,"&amp;" 2, FALSE),
2 , VLOOKUP(index(split(H4 ,"", "", FALSE),1,1), Variables!$A:$B , 2, FALSE) + VLOOKUP(index(split(H4 ,"", "", FALSE),1,2), Variables!$A:$B , 2, FALSE) + VLOOKUP(index(split(H4 ,"", "", FALSE),1,3), Variables!$A:$B , 2, FALSE)
)
)"),38.15333333333333)</f>
        <v>38.15333333</v>
      </c>
      <c r="J4" s="513">
        <v>4.0</v>
      </c>
      <c r="K4" s="514">
        <v>16.0</v>
      </c>
      <c r="L4" s="515" t="s">
        <v>2599</v>
      </c>
      <c r="M4" s="312">
        <f>IFERROR(__xludf.DUMMYFUNCTION("SUM(J4 * 0.33, K4
*
SWITCH(
LEN(L4) - LEN(SUBSTITUTE(L4,"","","""")),
0 , VLOOKUP(L4, Variables!$A:$B, 2, FALSE),
1 , VLOOKUP(index(split(L4 ,"", "", FALSE),1,1), Variables!$A:$B , 2, FALSE) + VLOOKUP(index(split(L4 ,"", "", FALSE),1,2), Variables!$A:$B ,"&amp;" 2, FALSE),
2 , VLOOKUP(index(split(L4 ,"", "", FALSE),1,1), Variables!$A:$B , 2, FALSE) + VLOOKUP(index(split(L4 ,"", "", FALSE),1,2), Variables!$A:$B , 2, FALSE) + VLOOKUP(index(split(L4 ,"", "", FALSE),1,3), Variables!$A:$B , 2, FALSE)
)
)"),57.32)</f>
        <v>57.32</v>
      </c>
      <c r="N4" s="514">
        <v>4.0</v>
      </c>
      <c r="O4" s="514">
        <v>19.0</v>
      </c>
      <c r="P4" s="340" t="s">
        <v>2599</v>
      </c>
      <c r="Q4" s="312">
        <f>IFERROR(__xludf.DUMMYFUNCTION("SUM(N4 * 0.33, O4
*
SWITCH(
LEN(P4) - LEN(SUBSTITUTE(P4,"","","""")),
0 , VLOOKUP(P4, Variables!$A:$B, 2, FALSE),
1 , VLOOKUP(index(split(P4 ,"", "", FALSE),1,1), Variables!$A:$B , 2, FALSE) + VLOOKUP(index(split(P4 ,"", "", FALSE),1,2), Variables!$A:$B ,"&amp;" 2, FALSE),
2 , VLOOKUP(index(split(P4 ,"", "", FALSE),1,1), Variables!$A:$B , 2, FALSE) + VLOOKUP(index(split(P4 ,"", "", FALSE),1,2), Variables!$A:$B , 2, FALSE) + VLOOKUP(index(split(P4 ,"", "", FALSE),1,3), Variables!$A:$B , 2, FALSE)
)
)"),67.82)</f>
        <v>67.82</v>
      </c>
      <c r="R4" s="513">
        <v>5.0</v>
      </c>
      <c r="S4" s="514">
        <v>2.0</v>
      </c>
      <c r="T4" s="514">
        <v>1.0</v>
      </c>
      <c r="U4" s="516">
        <v>4.0</v>
      </c>
      <c r="V4" s="343" t="s">
        <v>1521</v>
      </c>
      <c r="W4" s="343" t="s">
        <v>1528</v>
      </c>
      <c r="X4" s="312">
        <f>IFERROR(__xludf.DUMMYFUNCTION("SWITCH(
LEN(W4) - LEN(SUBSTITUTE(W4,"","","""")),
0 , VLOOKUP(W4, Variables!$A:$B, 2, FALSE),
1 , VLOOKUP(index(split(W4 ,"", "", FALSE),1,1), Variables!$A:$B , 2, FALSE) + VLOOKUP(index(split(W4 ,"", "", FALSE),1,2), Variables!$A:$B , 2, FALSE),
2 , VLOO"&amp;"KUP(index(split(W4 ,"", "", FALSE),1,1), Variables!$A:$B , 2, FALSE) + VLOOKUP(index(split(W4 ,"", "", FALSE),1,2), Variables!$A:$B , 2, FALSE) + VLOOKUP(index(split(W4 ,"", "", FALSE),1,3), Variables!$A:$B , 2, FALSE),
3 , VLOOKUP(index(split(W4 ,"", "","&amp;" FALSE),1,1), Variables!$A:$B , 2, FALSE) + VLOOKUP(index(split(W4 ,"", "", FALSE),1,2), Variables!$A:$B , 2, FALSE) + VLOOKUP(index(split(W4 ,"", "", FALSE),1,3), Variables!$A:$B , 2, FALSE) + VLOOKUP(index(split(W4 ,"", "", FALSE),1,4), Variables!$A:$B "&amp;", 2, FALSE)
)"),5.5)</f>
        <v>5.5</v>
      </c>
      <c r="Y4" s="343" t="s">
        <v>2663</v>
      </c>
      <c r="Z4" s="342">
        <f>IFERROR(__xludf.DUMMYFUNCTION("IF(ISBLANK(Y4), , 
SWITCH(
LEN(Y4)- LEN(SUBSTITUTE(Y4,"","","""")), 
0 , VLOOKUP(Y4, vote4TRAITS!A:C , 3, FALSE),
1 , VLOOKUP(index(split(Y4 ,"", "", FALSE),1,1), vote4TRAITS!A:C , 3, FALSE) + VLOOKUP(index(split(Y4 ,"", "", FALSE),1,2), vote4TRAITS!A:C ,"&amp;" 3, FALSE),
2 , VLOOKUP(index(split(Y4 ,"", "", FALSE),1,1), vote4TRAITS!A:C , 3, FALSE) + VLOOKUP(index(split(Y4 ,"", "", FALSE),1,2), vote4TRAITS!A:C , 3, FALSE) + VLOOKUP(index(split(Y4 ,"", "", FALSE),1,3), vote4TRAITS!A:C , 3, FALSE)
)
)"),8.0)</f>
        <v>8</v>
      </c>
      <c r="AA4" s="343" t="s">
        <v>1367</v>
      </c>
      <c r="AB4" s="343">
        <f>IFERROR(__xludf.DUMMYFUNCTION("IF(ISBLANK(AA4), , 
SWITCH(
LEN(AA4)- LEN(SUBSTITUTE(AA4,"","","""")), 
0 , VLOOKUP(AA4, vote4ACTIONS!A:C , 3, FALSE),
1 , VLOOKUP(index(split(AA4 ,"", "", FALSE),1,1), vote4ACTIONS!A:C , 3, FALSE) + VLOOKUP(index(split(AA4 ,"", "", FALSE),1,2), vote4ACTI"&amp;"ONS!A:C , 3, FALSE),
2 , VLOOKUP(index(split(AA4 ,"", "", FALSE),1,1), vote4ACTIONS!A:C , 3, FALSE) + VLOOKUP(index(split(AA4 ,"", "", FALSE),1,2), vote4ACTIONS!A:C , 3, FALSE) + VLOOKUP(index(split(AA4 ,"", "", FALSE),1,3), vote4ACTIONS!A:C , 3, FALSE)
)"&amp;"
)"),4.0)</f>
        <v>4</v>
      </c>
      <c r="AC4" s="343" t="s">
        <v>1564</v>
      </c>
      <c r="AD4" s="517">
        <f>IF(ISBLANK(AC4),,IF(IFERROR(SEARCH("SS:",AC4),0) &gt; 0, 
VLOOKUP(SUBSTITUTE(AC4,"SS: ",""),vote4SURGE!$A:$C , 3, FALSE) - 2,
VLOOKUP(SUBSTITUTE(AC4,"S: ",""),vote4SURGE!$A:$C , 3, FALSE)
)
)</f>
        <v>3.5</v>
      </c>
      <c r="AE4" s="343"/>
      <c r="AF4" s="343" t="str">
        <f>IF(ISBLANK(AE4),,IF(IFERROR(SEARCH("SS:",AE4),0) &gt; 0, 
VLOOKUP(SUBSTITUTE(AE4,"SS: ",""),vote4SURGE!$A:$C , 3, FALSE) - 2,
VLOOKUP(SUBSTITUTE(AE4,"S: ",""),vote4SURGE!$A:$C , 3, FALSE)
)
)</f>
        <v/>
      </c>
      <c r="AG4" s="343"/>
      <c r="AH4" s="343" t="str">
        <f>IF(ISBLANK(AG4),,IF(IFERROR(SEARCH("SS:",AG4),0) &gt; 0, 
VLOOKUP(SUBSTITUTE(AG4,"SS: ",""),vote4SURGE!$A:$C , 3, FALSE) - 2,
VLOOKUP(SUBSTITUTE(AG4,"S: ",""),vote4SURGE!$A:$C , 3, FALSE)
)
)</f>
        <v/>
      </c>
      <c r="AI4" s="343">
        <f t="shared" si="1"/>
        <v>3.5</v>
      </c>
      <c r="AJ4" s="343">
        <f>ROUND(IFS(
IFERROR(SEARCH("Blue, Yellow, Yellow, Green",W4),0) &gt; 0 , VLOOKUP("Blue", Variables!A:C , 3 , FALSE) + (VLOOKUP("Yellow", Variables!A:C , 3 , FALSE) * 2) + VLOOKUP("Green", Variables!A:C , 3 , FALSE),
IFERROR(SEARCH("Blue, Yellow, Green, Green",W4),0) &gt; 0 , VLOOKUP("Blue", Variables!A:C , 3 , FALSE) + VLOOKUP("Yellow", Variables!A:C , 3 , FALSE)  + (VLOOKUP("Green", Variables!A:C , 3 , FALSE) * 2),
IFERROR(SEARCH("Blue, Red, Red",W4),0) &gt; 0 , VLOOKUP("Blue", Variables!A:C , 3 , FALSE) + VLOOKUP("Red", Variables!A:C , 3 , FALSE) * 2,
IFERROR(SEARCH("Blue, Yellow, Yellow",W4),0) &gt; 0 , VLOOKUP("Blue", Variables!A:C , 3 , FALSE) + (VLOOKUP("Yellow", Variables!A:C , 3 , FALSE) * 2),
IFERROR(SEARCH("Blue, Yellow, Green",W4),0) &gt; 0 , VLOOKUP("Blue", Variables!A:C , 3 , FALSE) + VLOOKUP("Yellow", Variables!A:C , 3 , FALSE) + VLOOKUP("Green", Variables!A:C , 3 , FALSE),
IFERROR(SEARCH("Blue, Red, Green",W4),0) &gt; 0 , VLOOKUP("Blue", Variables!A:C , 3 , FALSE) + VLOOKUP("Red", Variables!A:C , 3 , FALSE) + VLOOKUP("Green", Variables!A:C , 3 , FALSE),
IFERROR(SEARCH("Blue, Red, Yellow",W4),0) &gt; 0 , VLOOKUP("Blue", Variables!A:C , 3 , FALSE) + VLOOKUP("Red", Variables!A:C , 3 , FALSE) + VLOOKUP("Yellow", Variables!A:C , 3 , FALSE),
IFERROR(SEARCH("Blue, Green, Green",W4),0) &gt; 0 , VLOOKUP("Blue", Variables!A:C , 3 , FALSE) + (VLOOKUP("Green", Variables!A:C , 3 , FALSE) * 2),
IFERROR(SEARCH("Blue, Yellow",W4),0) &gt; 0 , VLOOKUP("Blue", Variables!A:C , 3 , FALSE) + VLOOKUP("Yellow", Variables!A:C , 3 , FALSE),
IFERROR(SEARCH("Blue, Red",W4),0) &gt; 0 , VLOOKUP("Blue", Variables!A:C , 3 , FALSE) + VLOOKUP("Red", Variables!A:C , 3 , FALSE),
IFERROR(SEARCH("Blue, Green",W4),0) &gt; 0 , VLOOKUP("Blue", Variables!A:C , 3 , FALSE) + VLOOKUP("Green", Variables!A:C , 3 , FALSE),
IFERROR(SEARCH("Green",W4),0) &gt; 0 , VLOOKUP("Green", Variables!A:C , 3 , FALSE),
IFERROR(SEARCH("Blue",W4),0) &gt; 0 , VLOOKUP("Blue", Variables!A:C , 3 , FALSE),
IFERROR(SEARCH("Yellow",W4),0) &gt; 0 , VLOOKUP("Yellow", Variables!A:C , 3 , FALSE),
IFERROR(SEARCH("Black, Black",W4),0) &gt; 0 , VLOOKUP("Black", Variables!A:C , 3 , FALSE) * 2,
IFERROR(SEARCH("Grey, Grey",W4),0) &gt; 0 , VLOOKUP("Grey", Variables!A:C , 3 , FALSE) * 2,
IFERROR(SEARCH("Grey, Brown",W4),0) &gt; 0 , VLOOKUP("Grey", Variables!A:C , 3 , FALSE)  + VLOOKUP("Brown", Variables!A:C , 3 , FALSE),
IFERROR(SEARCH("Black, Grey",W4),0) &gt; 0 , VLOOKUP("Black", Variables!A:C , 3 , FALSE) + VLOOKUP("Grey", Variables!A:C , 3 , FALSE),
IFERROR(SEARCH("Black, Brown",W4),0) &gt; 0 , VLOOKUP("Black", Variables!A:C , 3 , FALSE) + VLOOKUP("Brown", Variables!A:C , 3 , FALSE),
IFERROR(SEARCH("Black",W4),0) &gt; 0 , VLOOKUP("Black", Variables!A:C , 3 , FALSE),
IFERROR(SEARCH("Grey",W4),0) &gt; 0 , VLOOKUP("Grey", Variables!A:C , 3 , FALSE),
IFERROR(SEARCH("Brown",W4),0) &gt; 0 , VLOOKUP("Brown", Variables!A:C , 3 , FALSE),
0=0,0)
,
)</f>
        <v>1</v>
      </c>
      <c r="AK4" s="343">
        <f t="shared" si="2"/>
        <v>1</v>
      </c>
      <c r="AL4" s="345">
        <f t="shared" si="3"/>
        <v>33</v>
      </c>
      <c r="AM4" s="383"/>
    </row>
    <row r="5">
      <c r="A5" s="509" t="s">
        <v>2664</v>
      </c>
      <c r="B5" s="510">
        <v>1.0</v>
      </c>
      <c r="C5" s="510">
        <v>1.0</v>
      </c>
      <c r="D5" s="511" t="s">
        <v>1827</v>
      </c>
      <c r="E5" s="512" t="s">
        <v>2665</v>
      </c>
      <c r="F5" s="513">
        <v>4.0</v>
      </c>
      <c r="G5" s="514">
        <v>12.0</v>
      </c>
      <c r="H5" s="515" t="s">
        <v>1663</v>
      </c>
      <c r="I5" s="489">
        <f>IFERROR(__xludf.DUMMYFUNCTION("SUM(F5 * 0.33, G5
*
SWITCH(
LEN(H5) - LEN(SUBSTITUTE(H5,"","","""")),
0 , VLOOKUP(H5, Variables!$A:$B, 2, FALSE),
1 , VLOOKUP(index(split(H5 ,"", "", FALSE),1,1), Variables!$A:$B , 2, FALSE) + VLOOKUP(index(split(H5 ,"", "", FALSE),1,2), Variables!$A:$B ,"&amp;" 2, FALSE),
2 , VLOOKUP(index(split(H5 ,"", "", FALSE),1,1), Variables!$A:$B , 2, FALSE) + VLOOKUP(index(split(H5 ,"", "", FALSE),1,2), Variables!$A:$B , 2, FALSE) + VLOOKUP(index(split(H5 ,"", "", FALSE),1,3), Variables!$A:$B , 2, FALSE)
)
)"),17.32)</f>
        <v>17.32</v>
      </c>
      <c r="J5" s="513">
        <v>4.0</v>
      </c>
      <c r="K5" s="514">
        <v>14.0</v>
      </c>
      <c r="L5" s="515" t="s">
        <v>2575</v>
      </c>
      <c r="M5" s="312">
        <f>IFERROR(__xludf.DUMMYFUNCTION("SUM(J5 * 0.33, K5
*
SWITCH(
LEN(L5) - LEN(SUBSTITUTE(L5,"","","""")),
0 , VLOOKUP(L5, Variables!$A:$B, 2, FALSE),
1 , VLOOKUP(index(split(L5 ,"", "", FALSE),1,1), Variables!$A:$B , 2, FALSE) + VLOOKUP(index(split(L5 ,"", "", FALSE),1,2), Variables!$A:$B ,"&amp;" 2, FALSE),
2 , VLOOKUP(index(split(L5 ,"", "", FALSE),1,1), Variables!$A:$B , 2, FALSE) + VLOOKUP(index(split(L5 ,"", "", FALSE),1,2), Variables!$A:$B , 2, FALSE) + VLOOKUP(index(split(L5 ,"", "", FALSE),1,3), Variables!$A:$B , 2, FALSE)
)
)"),29.32)</f>
        <v>29.32</v>
      </c>
      <c r="N5" s="514">
        <v>4.0</v>
      </c>
      <c r="O5" s="514">
        <v>16.0</v>
      </c>
      <c r="P5" s="515" t="s">
        <v>2575</v>
      </c>
      <c r="Q5" s="312">
        <f>IFERROR(__xludf.DUMMYFUNCTION("SUM(N5 * 0.33, O5
*
SWITCH(
LEN(P5) - LEN(SUBSTITUTE(P5,"","","""")),
0 , VLOOKUP(P5, Variables!$A:$B, 2, FALSE),
1 , VLOOKUP(index(split(P5 ,"", "", FALSE),1,1), Variables!$A:$B , 2, FALSE) + VLOOKUP(index(split(P5 ,"", "", FALSE),1,2), Variables!$A:$B ,"&amp;" 2, FALSE),
2 , VLOOKUP(index(split(P5 ,"", "", FALSE),1,1), Variables!$A:$B , 2, FALSE) + VLOOKUP(index(split(P5 ,"", "", FALSE),1,2), Variables!$A:$B , 2, FALSE) + VLOOKUP(index(split(P5 ,"", "", FALSE),1,3), Variables!$A:$B , 2, FALSE)
)
)"),33.32)</f>
        <v>33.32</v>
      </c>
      <c r="R5" s="513">
        <v>2.0</v>
      </c>
      <c r="S5" s="514">
        <v>4.0</v>
      </c>
      <c r="T5" s="514">
        <v>2.0</v>
      </c>
      <c r="U5" s="516">
        <v>4.0</v>
      </c>
      <c r="V5" s="343" t="s">
        <v>1567</v>
      </c>
      <c r="W5" s="343" t="s">
        <v>1592</v>
      </c>
      <c r="X5" s="312">
        <f>IFERROR(__xludf.DUMMYFUNCTION("SWITCH(
LEN(W5) - LEN(SUBSTITUTE(W5,"","","""")),
0 , VLOOKUP(W5, Variables!$A:$B, 2, FALSE),
1 , VLOOKUP(index(split(W5 ,"", "", FALSE),1,1), Variables!$A:$B , 2, FALSE) + VLOOKUP(index(split(W5 ,"", "", FALSE),1,2), Variables!$A:$B , 2, FALSE),
2 , VLOO"&amp;"KUP(index(split(W5 ,"", "", FALSE),1,1), Variables!$A:$B , 2, FALSE) + VLOOKUP(index(split(W5 ,"", "", FALSE),1,2), Variables!$A:$B , 2, FALSE) + VLOOKUP(index(split(W5 ,"", "", FALSE),1,3), Variables!$A:$B , 2, FALSE),
3 , VLOOKUP(index(split(W5 ,"", "","&amp;" FALSE),1,1), Variables!$A:$B , 2, FALSE) + VLOOKUP(index(split(W5 ,"", "", FALSE),1,2), Variables!$A:$B , 2, FALSE) + VLOOKUP(index(split(W5 ,"", "", FALSE),1,3), Variables!$A:$B , 2, FALSE) + VLOOKUP(index(split(W5 ,"", "", FALSE),1,4), Variables!$A:$B "&amp;", 2, FALSE)
)"),1.8333333333333335)</f>
        <v>1.833333333</v>
      </c>
      <c r="Y5" s="343" t="s">
        <v>999</v>
      </c>
      <c r="Z5" s="342">
        <f>IFERROR(__xludf.DUMMYFUNCTION("IF(ISBLANK(Y5), , 
SWITCH(
LEN(Y5)- LEN(SUBSTITUTE(Y5,"","","""")), 
0 , VLOOKUP(Y5, vote4TRAITS!A:C , 3, FALSE),
1 , VLOOKUP(index(split(Y5 ,"", "", FALSE),1,1), vote4TRAITS!A:C , 3, FALSE) + VLOOKUP(index(split(Y5 ,"", "", FALSE),1,2), vote4TRAITS!A:C ,"&amp;" 3, FALSE),
2 , VLOOKUP(index(split(Y5 ,"", "", FALSE),1,1), vote4TRAITS!A:C , 3, FALSE) + VLOOKUP(index(split(Y5 ,"", "", FALSE),1,2), vote4TRAITS!A:C , 3, FALSE) + VLOOKUP(index(split(Y5 ,"", "", FALSE),1,3), vote4TRAITS!A:C , 3, FALSE)
)
)"),5.0)</f>
        <v>5</v>
      </c>
      <c r="AA5" s="343" t="s">
        <v>1294</v>
      </c>
      <c r="AB5" s="343">
        <f>IFERROR(__xludf.DUMMYFUNCTION("IF(ISBLANK(AA5), , 
SWITCH(
LEN(AA5)- LEN(SUBSTITUTE(AA5,"","","""")), 
0 , VLOOKUP(AA5, vote4ACTIONS!A:C , 3, FALSE),
1 , VLOOKUP(index(split(AA5 ,"", "", FALSE),1,1), vote4ACTIONS!A:C , 3, FALSE) + VLOOKUP(index(split(AA5 ,"", "", FALSE),1,2), vote4ACTI"&amp;"ONS!A:C , 3, FALSE),
2 , VLOOKUP(index(split(AA5 ,"", "", FALSE),1,1), vote4ACTIONS!A:C , 3, FALSE) + VLOOKUP(index(split(AA5 ,"", "", FALSE),1,2), vote4ACTIONS!A:C , 3, FALSE) + VLOOKUP(index(split(AA5 ,"", "", FALSE),1,3), vote4ACTIONS!A:C , 3, FALSE)
)"&amp;"
)"),1.5)</f>
        <v>1.5</v>
      </c>
      <c r="AC5" s="343" t="s">
        <v>1566</v>
      </c>
      <c r="AD5" s="517">
        <f>IF(ISBLANK(AC5),,IF(IFERROR(SEARCH("SS:",AC5),0) &gt; 0, 
VLOOKUP(SUBSTITUTE(AC5,"SS: ",""),vote4SURGE!$A:$C , 3, FALSE) - 2,
VLOOKUP(SUBSTITUTE(AC5,"S: ",""),vote4SURGE!$A:$C , 3, FALSE)
)
)</f>
        <v>3</v>
      </c>
      <c r="AE5" s="343"/>
      <c r="AF5" s="343" t="str">
        <f>IF(ISBLANK(AE5),,IF(IFERROR(SEARCH("SS:",AE5),0) &gt; 0, 
VLOOKUP(SUBSTITUTE(AE5,"SS: ",""),vote4SURGE!$A:$C , 3, FALSE) - 2,
VLOOKUP(SUBSTITUTE(AE5,"S: ",""),vote4SURGE!$A:$C , 3, FALSE)
)
)</f>
        <v/>
      </c>
      <c r="AG5" s="343"/>
      <c r="AH5" s="343" t="str">
        <f>IF(ISBLANK(AG5),,IF(IFERROR(SEARCH("SS:",AG5),0) &gt; 0, 
VLOOKUP(SUBSTITUTE(AG5,"SS: ",""),vote4SURGE!$A:$C , 3, FALSE) - 2,
VLOOKUP(SUBSTITUTE(AG5,"S: ",""),vote4SURGE!$A:$C , 3, FALSE)
)
)</f>
        <v/>
      </c>
      <c r="AI5" s="517">
        <f t="shared" si="1"/>
        <v>3</v>
      </c>
      <c r="AJ5" s="343">
        <f>ROUND(IFS(
IFERROR(SEARCH("Blue, Yellow, Yellow, Green",W5),0) &gt; 0 , VLOOKUP("Blue", Variables!A:C , 3 , FALSE) + (VLOOKUP("Yellow", Variables!A:C , 3 , FALSE) * 2) + VLOOKUP("Green", Variables!A:C , 3 , FALSE),
IFERROR(SEARCH("Blue, Yellow, Green, Green",W5),0) &gt; 0 , VLOOKUP("Blue", Variables!A:C , 3 , FALSE) + VLOOKUP("Yellow", Variables!A:C , 3 , FALSE)  + (VLOOKUP("Green", Variables!A:C , 3 , FALSE) * 2),
IFERROR(SEARCH("Blue, Red, Red",W5),0) &gt; 0 , VLOOKUP("Blue", Variables!A:C , 3 , FALSE) + VLOOKUP("Red", Variables!A:C , 3 , FALSE) * 2,
IFERROR(SEARCH("Blue, Yellow, Yellow",W5),0) &gt; 0 , VLOOKUP("Blue", Variables!A:C , 3 , FALSE) + (VLOOKUP("Yellow", Variables!A:C , 3 , FALSE) * 2),
IFERROR(SEARCH("Blue, Yellow, Green",W5),0) &gt; 0 , VLOOKUP("Blue", Variables!A:C , 3 , FALSE) + VLOOKUP("Yellow", Variables!A:C , 3 , FALSE) + VLOOKUP("Green", Variables!A:C , 3 , FALSE),
IFERROR(SEARCH("Blue, Red, Green",W5),0) &gt; 0 , VLOOKUP("Blue", Variables!A:C , 3 , FALSE) + VLOOKUP("Red", Variables!A:C , 3 , FALSE) + VLOOKUP("Green", Variables!A:C , 3 , FALSE),
IFERROR(SEARCH("Blue, Red, Yellow",W5),0) &gt; 0 , VLOOKUP("Blue", Variables!A:C , 3 , FALSE) + VLOOKUP("Red", Variables!A:C , 3 , FALSE) + VLOOKUP("Yellow", Variables!A:C , 3 , FALSE),
IFERROR(SEARCH("Blue, Green, Green",W5),0) &gt; 0 , VLOOKUP("Blue", Variables!A:C , 3 , FALSE) + (VLOOKUP("Green", Variables!A:C , 3 , FALSE) * 2),
IFERROR(SEARCH("Blue, Yellow",W5),0) &gt; 0 , VLOOKUP("Blue", Variables!A:C , 3 , FALSE) + VLOOKUP("Yellow", Variables!A:C , 3 , FALSE),
IFERROR(SEARCH("Blue, Red",W5),0) &gt; 0 , VLOOKUP("Blue", Variables!A:C , 3 , FALSE) + VLOOKUP("Red", Variables!A:C , 3 , FALSE),
IFERROR(SEARCH("Blue, Green",W5),0) &gt; 0 , VLOOKUP("Blue", Variables!A:C , 3 , FALSE) + VLOOKUP("Green", Variables!A:C , 3 , FALSE),
IFERROR(SEARCH("Green",W5),0) &gt; 0 , VLOOKUP("Green", Variables!A:C , 3 , FALSE),
IFERROR(SEARCH("Blue",W5),0) &gt; 0 , VLOOKUP("Blue", Variables!A:C , 3 , FALSE),
IFERROR(SEARCH("Yellow",W5),0) &gt; 0 , VLOOKUP("Yellow", Variables!A:C , 3 , FALSE),
IFERROR(SEARCH("Black, Black",W5),0) &gt; 0 , VLOOKUP("Black", Variables!A:C , 3 , FALSE) * 2,
IFERROR(SEARCH("Grey, Grey",W5),0) &gt; 0 , VLOOKUP("Grey", Variables!A:C , 3 , FALSE) * 2,
IFERROR(SEARCH("Grey, Brown",W5),0) &gt; 0 , VLOOKUP("Grey", Variables!A:C , 3 , FALSE)  + VLOOKUP("Brown", Variables!A:C , 3 , FALSE),
IFERROR(SEARCH("Black, Grey",W5),0) &gt; 0 , VLOOKUP("Black", Variables!A:C , 3 , FALSE) + VLOOKUP("Grey", Variables!A:C , 3 , FALSE),
IFERROR(SEARCH("Black, Brown",W5),0) &gt; 0 , VLOOKUP("Black", Variables!A:C , 3 , FALSE) + VLOOKUP("Brown", Variables!A:C , 3 , FALSE),
IFERROR(SEARCH("Black",W5),0) &gt; 0 , VLOOKUP("Black", Variables!A:C , 3 , FALSE),
IFERROR(SEARCH("Grey",W5),0) &gt; 0 , VLOOKUP("Grey", Variables!A:C , 3 , FALSE),
IFERROR(SEARCH("Brown",W5),0) &gt; 0 , VLOOKUP("Brown", Variables!A:C , 3 , FALSE),
0=0,0)
,
)</f>
        <v>1</v>
      </c>
      <c r="AK5" s="343">
        <f t="shared" si="2"/>
        <v>2</v>
      </c>
      <c r="AL5" s="345">
        <f t="shared" si="3"/>
        <v>23.33333333</v>
      </c>
    </row>
    <row r="6">
      <c r="A6" s="509" t="s">
        <v>2664</v>
      </c>
      <c r="B6" s="380">
        <v>2.0</v>
      </c>
      <c r="C6" s="380">
        <v>1.0</v>
      </c>
      <c r="D6" s="511" t="s">
        <v>1827</v>
      </c>
      <c r="E6" s="512" t="s">
        <v>2665</v>
      </c>
      <c r="F6" s="513">
        <v>4.0</v>
      </c>
      <c r="G6" s="514">
        <v>20.0</v>
      </c>
      <c r="H6" s="515" t="s">
        <v>2599</v>
      </c>
      <c r="I6" s="489">
        <f>IFERROR(__xludf.DUMMYFUNCTION("SUM(F6 * 0.33, G6
*
SWITCH(
LEN(H6) - LEN(SUBSTITUTE(H6,"","","""")),
0 , VLOOKUP(H6, Variables!$A:$B, 2, FALSE),
1 , VLOOKUP(index(split(H6 ,"", "", FALSE),1,1), Variables!$A:$B , 2, FALSE) + VLOOKUP(index(split(H6 ,"", "", FALSE),1,2), Variables!$A:$B ,"&amp;" 2, FALSE),
2 , VLOOKUP(index(split(H6 ,"", "", FALSE),1,1), Variables!$A:$B , 2, FALSE) + VLOOKUP(index(split(H6 ,"", "", FALSE),1,2), Variables!$A:$B , 2, FALSE) + VLOOKUP(index(split(H6 ,"", "", FALSE),1,3), Variables!$A:$B , 2, FALSE)
)
)"),71.32)</f>
        <v>71.32</v>
      </c>
      <c r="J6" s="513">
        <v>4.0</v>
      </c>
      <c r="K6" s="514">
        <v>24.0</v>
      </c>
      <c r="L6" s="515" t="s">
        <v>1676</v>
      </c>
      <c r="M6" s="312">
        <f>IFERROR(__xludf.DUMMYFUNCTION("SUM(J6 * 0.33, K6
*
SWITCH(
LEN(L6) - LEN(SUBSTITUTE(L6,"","","""")),
0 , VLOOKUP(L6, Variables!$A:$B, 2, FALSE),
1 , VLOOKUP(index(split(L6 ,"", "", FALSE),1,1), Variables!$A:$B , 2, FALSE) + VLOOKUP(index(split(L6 ,"", "", FALSE),1,2), Variables!$A:$B ,"&amp;" 2, FALSE),
2 , VLOOKUP(index(split(L6 ,"", "", FALSE),1,1), Variables!$A:$B , 2, FALSE) + VLOOKUP(index(split(L6 ,"", "", FALSE),1,2), Variables!$A:$B , 2, FALSE) + VLOOKUP(index(split(L6 ,"", "", FALSE),1,3), Variables!$A:$B , 2, FALSE)
)
)"),105.32)</f>
        <v>105.32</v>
      </c>
      <c r="N6" s="514">
        <v>4.0</v>
      </c>
      <c r="O6" s="514">
        <v>28.0</v>
      </c>
      <c r="P6" s="340" t="s">
        <v>2666</v>
      </c>
      <c r="Q6" s="312">
        <f>IFERROR(__xludf.DUMMYFUNCTION("SUM(N6 * 0.33, O6
*
SWITCH(
LEN(P6) - LEN(SUBSTITUTE(P6,"","","""")),
0 , VLOOKUP(P6, Variables!$A:$B, 2, FALSE),
1 , VLOOKUP(index(split(P6 ,"", "", FALSE),1,1), Variables!$A:$B , 2, FALSE) + VLOOKUP(index(split(P6 ,"", "", FALSE),1,2), Variables!$A:$B ,"&amp;" 2, FALSE),
2 , VLOOKUP(index(split(P6 ,"", "", FALSE),1,1), Variables!$A:$B , 2, FALSE) + VLOOKUP(index(split(P6 ,"", "", FALSE),1,2), Variables!$A:$B , 2, FALSE) + VLOOKUP(index(split(P6 ,"", "", FALSE),1,3), Variables!$A:$B , 2, FALSE)
)
)"),136.6533333333333)</f>
        <v>136.6533333</v>
      </c>
      <c r="R6" s="513">
        <v>2.0</v>
      </c>
      <c r="S6" s="514">
        <v>4.0</v>
      </c>
      <c r="T6" s="514">
        <v>2.0</v>
      </c>
      <c r="U6" s="516">
        <v>4.0</v>
      </c>
      <c r="V6" s="343" t="s">
        <v>1567</v>
      </c>
      <c r="W6" s="343" t="s">
        <v>1618</v>
      </c>
      <c r="X6" s="312">
        <f>IFERROR(__xludf.DUMMYFUNCTION("SWITCH(
LEN(W6) - LEN(SUBSTITUTE(W6,"","","""")),
0 , VLOOKUP(W6, Variables!$A:$B, 2, FALSE),
1 , VLOOKUP(index(split(W6 ,"", "", FALSE),1,1), Variables!$A:$B , 2, FALSE) + VLOOKUP(index(split(W6 ,"", "", FALSE),1,2), Variables!$A:$B , 2, FALSE),
2 , VLOO"&amp;"KUP(index(split(W6 ,"", "", FALSE),1,1), Variables!$A:$B , 2, FALSE) + VLOOKUP(index(split(W6 ,"", "", FALSE),1,2), Variables!$A:$B , 2, FALSE) + VLOOKUP(index(split(W6 ,"", "", FALSE),1,3), Variables!$A:$B , 2, FALSE),
3 , VLOOKUP(index(split(W6 ,"", "","&amp;" FALSE),1,1), Variables!$A:$B , 2, FALSE) + VLOOKUP(index(split(W6 ,"", "", FALSE),1,2), Variables!$A:$B , 2, FALSE) + VLOOKUP(index(split(W6 ,"", "", FALSE),1,3), Variables!$A:$B , 2, FALSE) + VLOOKUP(index(split(W6 ,"", "", FALSE),1,4), Variables!$A:$B "&amp;", 2, FALSE)
)"),2.5)</f>
        <v>2.5</v>
      </c>
      <c r="Y6" s="343" t="s">
        <v>999</v>
      </c>
      <c r="Z6" s="342">
        <f>IFERROR(__xludf.DUMMYFUNCTION("IF(ISBLANK(Y6), , 
SWITCH(
LEN(Y6)- LEN(SUBSTITUTE(Y6,"","","""")), 
0 , VLOOKUP(Y6, vote4TRAITS!A:C , 3, FALSE),
1 , VLOOKUP(index(split(Y6 ,"", "", FALSE),1,1), vote4TRAITS!A:C , 3, FALSE) + VLOOKUP(index(split(Y6 ,"", "", FALSE),1,2), vote4TRAITS!A:C ,"&amp;" 3, FALSE),
2 , VLOOKUP(index(split(Y6 ,"", "", FALSE),1,1), vote4TRAITS!A:C , 3, FALSE) + VLOOKUP(index(split(Y6 ,"", "", FALSE),1,2), vote4TRAITS!A:C , 3, FALSE) + VLOOKUP(index(split(Y6 ,"", "", FALSE),1,3), vote4TRAITS!A:C , 3, FALSE)
)
)"),5.0)</f>
        <v>5</v>
      </c>
      <c r="AA6" s="343" t="s">
        <v>2667</v>
      </c>
      <c r="AB6" s="343">
        <f>IFERROR(__xludf.DUMMYFUNCTION("IF(ISBLANK(AA6), , 
SWITCH(
LEN(AA6)- LEN(SUBSTITUTE(AA6,"","","""")), 
0 , VLOOKUP(AA6, vote4ACTIONS!A:C , 3, FALSE),
1 , VLOOKUP(index(split(AA6 ,"", "", FALSE),1,1), vote4ACTIONS!A:C , 3, FALSE) + VLOOKUP(index(split(AA6 ,"", "", FALSE),1,2), vote4ACTI"&amp;"ONS!A:C , 3, FALSE),
2 , VLOOKUP(index(split(AA6 ,"", "", FALSE),1,1), vote4ACTIONS!A:C , 3, FALSE) + VLOOKUP(index(split(AA6 ,"", "", FALSE),1,2), vote4ACTIONS!A:C , 3, FALSE) + VLOOKUP(index(split(AA6 ,"", "", FALSE),1,3), vote4ACTIONS!A:C , 3, FALSE)
)"&amp;"
)"),5.0)</f>
        <v>5</v>
      </c>
      <c r="AC6" s="343" t="s">
        <v>1566</v>
      </c>
      <c r="AD6" s="517">
        <f>IF(ISBLANK(AC6),,IF(IFERROR(SEARCH("SS:",AC6),0) &gt; 0, 
VLOOKUP(SUBSTITUTE(AC6,"SS: ",""),vote4SURGE!$A:$C , 3, FALSE) - 2,
VLOOKUP(SUBSTITUTE(AC6,"S: ",""),vote4SURGE!$A:$C , 3, FALSE)
)
)</f>
        <v>3</v>
      </c>
      <c r="AE6" s="343"/>
      <c r="AF6" s="343" t="str">
        <f>IF(ISBLANK(AE6),,IF(IFERROR(SEARCH("SS:",AE6),0) &gt; 0, 
VLOOKUP(SUBSTITUTE(AE6,"SS: ",""),vote4SURGE!$A:$C , 3, FALSE) - 2,
VLOOKUP(SUBSTITUTE(AE6,"S: ",""),vote4SURGE!$A:$C , 3, FALSE)
)
)</f>
        <v/>
      </c>
      <c r="AG6" s="343"/>
      <c r="AH6" s="343" t="str">
        <f>IF(ISBLANK(AG6),,IF(IFERROR(SEARCH("SS:",AG6),0) &gt; 0, 
VLOOKUP(SUBSTITUTE(AG6,"SS: ",""),vote4SURGE!$A:$C , 3, FALSE) - 2,
VLOOKUP(SUBSTITUTE(AG6,"S: ",""),vote4SURGE!$A:$C , 3, FALSE)
)
)</f>
        <v/>
      </c>
      <c r="AI6" s="517">
        <f t="shared" si="1"/>
        <v>3</v>
      </c>
      <c r="AJ6" s="343">
        <f>ROUND(IFS(
IFERROR(SEARCH("Blue, Yellow, Yellow, Green",W6),0) &gt; 0 , VLOOKUP("Blue", Variables!A:C , 3 , FALSE) + (VLOOKUP("Yellow", Variables!A:C , 3 , FALSE) * 2) + VLOOKUP("Green", Variables!A:C , 3 , FALSE),
IFERROR(SEARCH("Blue, Yellow, Green, Green",W6),0) &gt; 0 , VLOOKUP("Blue", Variables!A:C , 3 , FALSE) + VLOOKUP("Yellow", Variables!A:C , 3 , FALSE)  + (VLOOKUP("Green", Variables!A:C , 3 , FALSE) * 2),
IFERROR(SEARCH("Blue, Red, Red",W6),0) &gt; 0 , VLOOKUP("Blue", Variables!A:C , 3 , FALSE) + VLOOKUP("Red", Variables!A:C , 3 , FALSE) * 2,
IFERROR(SEARCH("Blue, Yellow, Yellow",W6),0) &gt; 0 , VLOOKUP("Blue", Variables!A:C , 3 , FALSE) + (VLOOKUP("Yellow", Variables!A:C , 3 , FALSE) * 2),
IFERROR(SEARCH("Blue, Yellow, Green",W6),0) &gt; 0 , VLOOKUP("Blue", Variables!A:C , 3 , FALSE) + VLOOKUP("Yellow", Variables!A:C , 3 , FALSE) + VLOOKUP("Green", Variables!A:C , 3 , FALSE),
IFERROR(SEARCH("Blue, Red, Green",W6),0) &gt; 0 , VLOOKUP("Blue", Variables!A:C , 3 , FALSE) + VLOOKUP("Red", Variables!A:C , 3 , FALSE) + VLOOKUP("Green", Variables!A:C , 3 , FALSE),
IFERROR(SEARCH("Blue, Red, Yellow",W6),0) &gt; 0 , VLOOKUP("Blue", Variables!A:C , 3 , FALSE) + VLOOKUP("Red", Variables!A:C , 3 , FALSE) + VLOOKUP("Yellow", Variables!A:C , 3 , FALSE),
IFERROR(SEARCH("Blue, Green, Green",W6),0) &gt; 0 , VLOOKUP("Blue", Variables!A:C , 3 , FALSE) + (VLOOKUP("Green", Variables!A:C , 3 , FALSE) * 2),
IFERROR(SEARCH("Blue, Yellow",W6),0) &gt; 0 , VLOOKUP("Blue", Variables!A:C , 3 , FALSE) + VLOOKUP("Yellow", Variables!A:C , 3 , FALSE),
IFERROR(SEARCH("Blue, Red",W6),0) &gt; 0 , VLOOKUP("Blue", Variables!A:C , 3 , FALSE) + VLOOKUP("Red", Variables!A:C , 3 , FALSE),
IFERROR(SEARCH("Blue, Green",W6),0) &gt; 0 , VLOOKUP("Blue", Variables!A:C , 3 , FALSE) + VLOOKUP("Green", Variables!A:C , 3 , FALSE),
IFERROR(SEARCH("Green",W6),0) &gt; 0 , VLOOKUP("Green", Variables!A:C , 3 , FALSE),
IFERROR(SEARCH("Blue",W6),0) &gt; 0 , VLOOKUP("Blue", Variables!A:C , 3 , FALSE),
IFERROR(SEARCH("Yellow",W6),0) &gt; 0 , VLOOKUP("Yellow", Variables!A:C , 3 , FALSE),
IFERROR(SEARCH("Black, Black",W6),0) &gt; 0 , VLOOKUP("Black", Variables!A:C , 3 , FALSE) * 2,
IFERROR(SEARCH("Grey, Grey",W6),0) &gt; 0 , VLOOKUP("Grey", Variables!A:C , 3 , FALSE) * 2,
IFERROR(SEARCH("Grey, Brown",W6),0) &gt; 0 , VLOOKUP("Grey", Variables!A:C , 3 , FALSE)  + VLOOKUP("Brown", Variables!A:C , 3 , FALSE),
IFERROR(SEARCH("Black, Grey",W6),0) &gt; 0 , VLOOKUP("Black", Variables!A:C , 3 , FALSE) + VLOOKUP("Grey", Variables!A:C , 3 , FALSE),
IFERROR(SEARCH("Black, Brown",W6),0) &gt; 0 , VLOOKUP("Black", Variables!A:C , 3 , FALSE) + VLOOKUP("Brown", Variables!A:C , 3 , FALSE),
IFERROR(SEARCH("Black",W6),0) &gt; 0 , VLOOKUP("Black", Variables!A:C , 3 , FALSE),
IFERROR(SEARCH("Grey",W6),0) &gt; 0 , VLOOKUP("Grey", Variables!A:C , 3 , FALSE),
IFERROR(SEARCH("Brown",W6),0) &gt; 0 , VLOOKUP("Brown", Variables!A:C , 3 , FALSE),
0=0,0)
,
)</f>
        <v>2</v>
      </c>
      <c r="AK6" s="343">
        <f t="shared" si="2"/>
        <v>2</v>
      </c>
      <c r="AL6" s="345">
        <f t="shared" si="3"/>
        <v>27.5</v>
      </c>
    </row>
    <row r="7">
      <c r="A7" s="518" t="s">
        <v>2668</v>
      </c>
      <c r="B7" s="510">
        <v>1.0</v>
      </c>
      <c r="C7" s="510">
        <v>1.0</v>
      </c>
      <c r="D7" s="511" t="s">
        <v>2669</v>
      </c>
      <c r="E7" s="512" t="s">
        <v>2670</v>
      </c>
      <c r="F7" s="513">
        <v>4.0</v>
      </c>
      <c r="G7" s="514">
        <v>10.0</v>
      </c>
      <c r="H7" s="515" t="s">
        <v>1671</v>
      </c>
      <c r="I7" s="489">
        <f>IFERROR(__xludf.DUMMYFUNCTION("SUM(F7 * 0.33, G7
*
SWITCH(
LEN(H7) - LEN(SUBSTITUTE(H7,"","","""")),
0 , VLOOKUP(H7, Variables!$A:$B, 2, FALSE),
1 , VLOOKUP(index(split(H7 ,"", "", FALSE),1,1), Variables!$A:$B , 2, FALSE) + VLOOKUP(index(split(H7 ,"", "", FALSE),1,2), Variables!$A:$B ,"&amp;" 2, FALSE),
2 , VLOOKUP(index(split(H7 ,"", "", FALSE),1,1), Variables!$A:$B , 2, FALSE) + VLOOKUP(index(split(H7 ,"", "", FALSE),1,2), Variables!$A:$B , 2, FALSE) + VLOOKUP(index(split(H7 ,"", "", FALSE),1,3), Variables!$A:$B , 2, FALSE)
)
)"),22.986666666666665)</f>
        <v>22.98666667</v>
      </c>
      <c r="J7" s="513">
        <v>4.0</v>
      </c>
      <c r="K7" s="514">
        <v>13.0</v>
      </c>
      <c r="L7" s="515" t="s">
        <v>1671</v>
      </c>
      <c r="M7" s="312">
        <f>IFERROR(__xludf.DUMMYFUNCTION("SUM(J7 * 0.33, K7
*
SWITCH(
LEN(L7) - LEN(SUBSTITUTE(L7,"","","""")),
0 , VLOOKUP(L7, Variables!$A:$B, 2, FALSE),
1 , VLOOKUP(index(split(L7 ,"", "", FALSE),1,1), Variables!$A:$B , 2, FALSE) + VLOOKUP(index(split(L7 ,"", "", FALSE),1,2), Variables!$A:$B ,"&amp;" 2, FALSE),
2 , VLOOKUP(index(split(L7 ,"", "", FALSE),1,1), Variables!$A:$B , 2, FALSE) + VLOOKUP(index(split(L7 ,"", "", FALSE),1,2), Variables!$A:$B , 2, FALSE) + VLOOKUP(index(split(L7 ,"", "", FALSE),1,3), Variables!$A:$B , 2, FALSE)
)
)"),29.486666666666665)</f>
        <v>29.48666667</v>
      </c>
      <c r="N7" s="514">
        <v>4.0</v>
      </c>
      <c r="O7" s="514">
        <v>16.0</v>
      </c>
      <c r="P7" s="515" t="s">
        <v>1671</v>
      </c>
      <c r="Q7" s="312">
        <f>IFERROR(__xludf.DUMMYFUNCTION("SUM(N7 * 0.33, O7
*
SWITCH(
LEN(P7) - LEN(SUBSTITUTE(P7,"","","""")),
0 , VLOOKUP(P7, Variables!$A:$B, 2, FALSE),
1 , VLOOKUP(index(split(P7 ,"", "", FALSE),1,1), Variables!$A:$B , 2, FALSE) + VLOOKUP(index(split(P7 ,"", "", FALSE),1,2), Variables!$A:$B ,"&amp;" 2, FALSE),
2 , VLOOKUP(index(split(P7 ,"", "", FALSE),1,1), Variables!$A:$B , 2, FALSE) + VLOOKUP(index(split(P7 ,"", "", FALSE),1,2), Variables!$A:$B , 2, FALSE) + VLOOKUP(index(split(P7 ,"", "", FALSE),1,3), Variables!$A:$B , 2, FALSE)
)
)"),35.986666666666665)</f>
        <v>35.98666667</v>
      </c>
      <c r="R7" s="513">
        <v>4.0</v>
      </c>
      <c r="S7" s="514">
        <v>3.0</v>
      </c>
      <c r="T7" s="514">
        <v>3.0</v>
      </c>
      <c r="U7" s="516">
        <v>4.0</v>
      </c>
      <c r="V7" s="343" t="s">
        <v>1521</v>
      </c>
      <c r="W7" s="343" t="s">
        <v>1525</v>
      </c>
      <c r="X7" s="312">
        <f>IFERROR(__xludf.DUMMYFUNCTION("SWITCH(
LEN(W7) - LEN(SUBSTITUTE(W7,"","","""")),
0 , VLOOKUP(W7, Variables!$A:$B, 2, FALSE),
1 , VLOOKUP(index(split(W7 ,"", "", FALSE),1,1), Variables!$A:$B , 2, FALSE) + VLOOKUP(index(split(W7 ,"", "", FALSE),1,2), Variables!$A:$B , 2, FALSE),
2 , VLOO"&amp;"KUP(index(split(W7 ,"", "", FALSE),1,1), Variables!$A:$B , 2, FALSE) + VLOOKUP(index(split(W7 ,"", "", FALSE),1,2), Variables!$A:$B , 2, FALSE) + VLOOKUP(index(split(W7 ,"", "", FALSE),1,3), Variables!$A:$B , 2, FALSE),
3 , VLOOKUP(index(split(W7 ,"", "","&amp;" FALSE),1,1), Variables!$A:$B , 2, FALSE) + VLOOKUP(index(split(W7 ,"", "", FALSE),1,2), Variables!$A:$B , 2, FALSE) + VLOOKUP(index(split(W7 ,"", "", FALSE),1,3), Variables!$A:$B , 2, FALSE) + VLOOKUP(index(split(W7 ,"", "", FALSE),1,4), Variables!$A:$B "&amp;", 2, FALSE)
)"),3.333333333333333)</f>
        <v>3.333333333</v>
      </c>
      <c r="Y7" s="343"/>
      <c r="Z7" s="342" t="str">
        <f>IFERROR(__xludf.DUMMYFUNCTION("IF(ISBLANK(Y7), , 
SWITCH(
LEN(Y7)- LEN(SUBSTITUTE(Y7,"","","""")), 
0 , VLOOKUP(Y7, vote4TRAITS!A:C , 3, FALSE),
1 , VLOOKUP(index(split(Y7 ,"", "", FALSE),1,1), vote4TRAITS!A:C , 3, FALSE) + VLOOKUP(index(split(Y7 ,"", "", FALSE),1,2), vote4TRAITS!A:C ,"&amp;" 3, FALSE),
2 , VLOOKUP(index(split(Y7 ,"", "", FALSE),1,1), vote4TRAITS!A:C , 3, FALSE) + VLOOKUP(index(split(Y7 ,"", "", FALSE),1,2), vote4TRAITS!A:C , 3, FALSE) + VLOOKUP(index(split(Y7 ,"", "", FALSE),1,3), vote4TRAITS!A:C , 3, FALSE)
)
)"),"")</f>
        <v/>
      </c>
      <c r="AA7" s="343" t="s">
        <v>1322</v>
      </c>
      <c r="AB7" s="343">
        <f>IFERROR(__xludf.DUMMYFUNCTION("IF(ISBLANK(AA7), , 
SWITCH(
LEN(AA7)- LEN(SUBSTITUTE(AA7,"","","""")), 
0 , VLOOKUP(AA7, vote4ACTIONS!A:C , 3, FALSE),
1 , VLOOKUP(index(split(AA7 ,"", "", FALSE),1,1), vote4ACTIONS!A:C , 3, FALSE) + VLOOKUP(index(split(AA7 ,"", "", FALSE),1,2), vote4ACTI"&amp;"ONS!A:C , 3, FALSE),
2 , VLOOKUP(index(split(AA7 ,"", "", FALSE),1,1), vote4ACTIONS!A:C , 3, FALSE) + VLOOKUP(index(split(AA7 ,"", "", FALSE),1,2), vote4ACTIONS!A:C , 3, FALSE) + VLOOKUP(index(split(AA7 ,"", "", FALSE),1,3), vote4ACTIONS!A:C , 3, FALSE)
)"&amp;"
)"),1.0)</f>
        <v>1</v>
      </c>
      <c r="AC7" s="343" t="s">
        <v>1524</v>
      </c>
      <c r="AD7" s="517">
        <f>IF(ISBLANK(AC7),,IF(IFERROR(SEARCH("SS:",AC7),0) &gt; 0, 
VLOOKUP(SUBSTITUTE(AC7,"SS: ",""),vote4SURGE!$A:$C , 3, FALSE) - 2,
VLOOKUP(SUBSTITUTE(AC7,"S: ",""),vote4SURGE!$A:$C , 3, FALSE)
)
)</f>
        <v>4.5</v>
      </c>
      <c r="AE7" s="343"/>
      <c r="AF7" s="343" t="str">
        <f>IF(ISBLANK(AE7),,IF(IFERROR(SEARCH("SS:",AE7),0) &gt; 0, 
VLOOKUP(SUBSTITUTE(AE7,"SS: ",""),vote4SURGE!$A:$C , 3, FALSE) - 2,
VLOOKUP(SUBSTITUTE(AE7,"S: ",""),vote4SURGE!$A:$C , 3, FALSE)
)
)</f>
        <v/>
      </c>
      <c r="AG7" s="343"/>
      <c r="AH7" s="343" t="str">
        <f>IF(ISBLANK(AG7),,IF(IFERROR(SEARCH("SS:",AG7),0) &gt; 0, 
VLOOKUP(SUBSTITUTE(AG7,"SS: ",""),vote4SURGE!$A:$C , 3, FALSE) - 2,
VLOOKUP(SUBSTITUTE(AG7,"S: ",""),vote4SURGE!$A:$C , 3, FALSE)
)
)</f>
        <v/>
      </c>
      <c r="AI7" s="343">
        <f t="shared" si="1"/>
        <v>4.5</v>
      </c>
      <c r="AJ7" s="343">
        <f>ROUND(IFS(
IFERROR(SEARCH("Blue, Yellow, Yellow, Green",W7),0) &gt; 0 , VLOOKUP("Blue", Variables!A:C , 3 , FALSE) + (VLOOKUP("Yellow", Variables!A:C , 3 , FALSE) * 2) + VLOOKUP("Green", Variables!A:C , 3 , FALSE),
IFERROR(SEARCH("Blue, Yellow, Green, Green",W7),0) &gt; 0 , VLOOKUP("Blue", Variables!A:C , 3 , FALSE) + VLOOKUP("Yellow", Variables!A:C , 3 , FALSE)  + (VLOOKUP("Green", Variables!A:C , 3 , FALSE) * 2),
IFERROR(SEARCH("Blue, Red, Red",W7),0) &gt; 0 , VLOOKUP("Blue", Variables!A:C , 3 , FALSE) + VLOOKUP("Red", Variables!A:C , 3 , FALSE) * 2,
IFERROR(SEARCH("Blue, Yellow, Yellow",W7),0) &gt; 0 , VLOOKUP("Blue", Variables!A:C , 3 , FALSE) + (VLOOKUP("Yellow", Variables!A:C , 3 , FALSE) * 2),
IFERROR(SEARCH("Blue, Yellow, Green",W7),0) &gt; 0 , VLOOKUP("Blue", Variables!A:C , 3 , FALSE) + VLOOKUP("Yellow", Variables!A:C , 3 , FALSE) + VLOOKUP("Green", Variables!A:C , 3 , FALSE),
IFERROR(SEARCH("Blue, Red, Green",W7),0) &gt; 0 , VLOOKUP("Blue", Variables!A:C , 3 , FALSE) + VLOOKUP("Red", Variables!A:C , 3 , FALSE) + VLOOKUP("Green", Variables!A:C , 3 , FALSE),
IFERROR(SEARCH("Blue, Red, Yellow",W7),0) &gt; 0 , VLOOKUP("Blue", Variables!A:C , 3 , FALSE) + VLOOKUP("Red", Variables!A:C , 3 , FALSE) + VLOOKUP("Yellow", Variables!A:C , 3 , FALSE),
IFERROR(SEARCH("Blue, Green, Green",W7),0) &gt; 0 , VLOOKUP("Blue", Variables!A:C , 3 , FALSE) + (VLOOKUP("Green", Variables!A:C , 3 , FALSE) * 2),
IFERROR(SEARCH("Blue, Yellow",W7),0) &gt; 0 , VLOOKUP("Blue", Variables!A:C , 3 , FALSE) + VLOOKUP("Yellow", Variables!A:C , 3 , FALSE),
IFERROR(SEARCH("Blue, Red",W7),0) &gt; 0 , VLOOKUP("Blue", Variables!A:C , 3 , FALSE) + VLOOKUP("Red", Variables!A:C , 3 , FALSE),
IFERROR(SEARCH("Blue, Green",W7),0) &gt; 0 , VLOOKUP("Blue", Variables!A:C , 3 , FALSE) + VLOOKUP("Green", Variables!A:C , 3 , FALSE),
IFERROR(SEARCH("Green",W7),0) &gt; 0 , VLOOKUP("Green", Variables!A:C , 3 , FALSE),
IFERROR(SEARCH("Blue",W7),0) &gt; 0 , VLOOKUP("Blue", Variables!A:C , 3 , FALSE),
IFERROR(SEARCH("Yellow",W7),0) &gt; 0 , VLOOKUP("Yellow", Variables!A:C , 3 , FALSE),
IFERROR(SEARCH("Black, Black",W7),0) &gt; 0 , VLOOKUP("Black", Variables!A:C , 3 , FALSE) * 2,
IFERROR(SEARCH("Grey, Grey",W7),0) &gt; 0 , VLOOKUP("Grey", Variables!A:C , 3 , FALSE) * 2,
IFERROR(SEARCH("Grey, Brown",W7),0) &gt; 0 , VLOOKUP("Grey", Variables!A:C , 3 , FALSE)  + VLOOKUP("Brown", Variables!A:C , 3 , FALSE),
IFERROR(SEARCH("Black, Grey",W7),0) &gt; 0 , VLOOKUP("Black", Variables!A:C , 3 , FALSE) + VLOOKUP("Grey", Variables!A:C , 3 , FALSE),
IFERROR(SEARCH("Black, Brown",W7),0) &gt; 0 , VLOOKUP("Black", Variables!A:C , 3 , FALSE) + VLOOKUP("Brown", Variables!A:C , 3 , FALSE),
IFERROR(SEARCH("Black",W7),0) &gt; 0 , VLOOKUP("Black", Variables!A:C , 3 , FALSE),
IFERROR(SEARCH("Grey",W7),0) &gt; 0 , VLOOKUP("Grey", Variables!A:C , 3 , FALSE),
IFERROR(SEARCH("Brown",W7),0) &gt; 0 , VLOOKUP("Brown", Variables!A:C , 3 , FALSE),
0=0,0)
,
)</f>
        <v>1</v>
      </c>
      <c r="AK7" s="343">
        <f t="shared" si="2"/>
        <v>1</v>
      </c>
      <c r="AL7" s="345">
        <f t="shared" si="3"/>
        <v>22.83333333</v>
      </c>
    </row>
    <row r="8">
      <c r="A8" s="509" t="s">
        <v>2668</v>
      </c>
      <c r="B8" s="380">
        <v>2.0</v>
      </c>
      <c r="C8" s="380">
        <v>1.0</v>
      </c>
      <c r="D8" s="511" t="s">
        <v>2669</v>
      </c>
      <c r="E8" s="512" t="s">
        <v>2670</v>
      </c>
      <c r="F8" s="513">
        <v>4.0</v>
      </c>
      <c r="G8" s="514">
        <v>16.0</v>
      </c>
      <c r="H8" s="515" t="s">
        <v>2599</v>
      </c>
      <c r="I8" s="489">
        <f>IFERROR(__xludf.DUMMYFUNCTION("SUM(F8 * 0.33, G8
*
SWITCH(
LEN(H8) - LEN(SUBSTITUTE(H8,"","","""")),
0 , VLOOKUP(H8, Variables!$A:$B, 2, FALSE),
1 , VLOOKUP(index(split(H8 ,"", "", FALSE),1,1), Variables!$A:$B , 2, FALSE) + VLOOKUP(index(split(H8 ,"", "", FALSE),1,2), Variables!$A:$B ,"&amp;" 2, FALSE),
2 , VLOOKUP(index(split(H8 ,"", "", FALSE),1,1), Variables!$A:$B , 2, FALSE) + VLOOKUP(index(split(H8 ,"", "", FALSE),1,2), Variables!$A:$B , 2, FALSE) + VLOOKUP(index(split(H8 ,"", "", FALSE),1,3), Variables!$A:$B , 2, FALSE)
)
)"),57.32)</f>
        <v>57.32</v>
      </c>
      <c r="J8" s="513">
        <v>4.0</v>
      </c>
      <c r="K8" s="514">
        <v>18.0</v>
      </c>
      <c r="L8" s="515" t="s">
        <v>2671</v>
      </c>
      <c r="M8" s="312">
        <f>IFERROR(__xludf.DUMMYFUNCTION("SUM(J8 * 0.33, K8
*
SWITCH(
LEN(L8) - LEN(SUBSTITUTE(L8,"","","""")),
0 , VLOOKUP(L8, Variables!$A:$B, 2, FALSE),
1 , VLOOKUP(index(split(L8 ,"", "", FALSE),1,1), Variables!$A:$B , 2, FALSE) + VLOOKUP(index(split(L8 ,"", "", FALSE),1,2), Variables!$A:$B ,"&amp;" 2, FALSE),
2 , VLOOKUP(index(split(L8 ,"", "", FALSE),1,1), Variables!$A:$B , 2, FALSE) + VLOOKUP(index(split(L8 ,"", "", FALSE),1,2), Variables!$A:$B , 2, FALSE) + VLOOKUP(index(split(L8 ,"", "", FALSE),1,3), Variables!$A:$B , 2, FALSE)
)
)"),76.32)</f>
        <v>76.32</v>
      </c>
      <c r="N8" s="514">
        <v>4.0</v>
      </c>
      <c r="O8" s="514">
        <v>20.0</v>
      </c>
      <c r="P8" s="340" t="s">
        <v>2666</v>
      </c>
      <c r="Q8" s="312">
        <f>IFERROR(__xludf.DUMMYFUNCTION("SUM(N8 * 0.33, O8
*
SWITCH(
LEN(P8) - LEN(SUBSTITUTE(P8,"","","""")),
0 , VLOOKUP(P8, Variables!$A:$B, 2, FALSE),
1 , VLOOKUP(index(split(P8 ,"", "", FALSE),1,1), Variables!$A:$B , 2, FALSE) + VLOOKUP(index(split(P8 ,"", "", FALSE),1,2), Variables!$A:$B ,"&amp;" 2, FALSE),
2 , VLOOKUP(index(split(P8 ,"", "", FALSE),1,1), Variables!$A:$B , 2, FALSE) + VLOOKUP(index(split(P8 ,"", "", FALSE),1,2), Variables!$A:$B , 2, FALSE) + VLOOKUP(index(split(P8 ,"", "", FALSE),1,3), Variables!$A:$B , 2, FALSE)
)
)"),97.98666666666665)</f>
        <v>97.98666667</v>
      </c>
      <c r="R8" s="513">
        <v>4.0</v>
      </c>
      <c r="S8" s="514">
        <v>3.0</v>
      </c>
      <c r="T8" s="514">
        <v>3.0</v>
      </c>
      <c r="U8" s="516">
        <v>4.0</v>
      </c>
      <c r="V8" s="343" t="s">
        <v>1521</v>
      </c>
      <c r="W8" s="343" t="s">
        <v>1528</v>
      </c>
      <c r="X8" s="312">
        <f>IFERROR(__xludf.DUMMYFUNCTION("SWITCH(
LEN(W8) - LEN(SUBSTITUTE(W8,"","","""")),
0 , VLOOKUP(W8, Variables!$A:$B, 2, FALSE),
1 , VLOOKUP(index(split(W8 ,"", "", FALSE),1,1), Variables!$A:$B , 2, FALSE) + VLOOKUP(index(split(W8 ,"", "", FALSE),1,2), Variables!$A:$B , 2, FALSE),
2 , VLOO"&amp;"KUP(index(split(W8 ,"", "", FALSE),1,1), Variables!$A:$B , 2, FALSE) + VLOOKUP(index(split(W8 ,"", "", FALSE),1,2), Variables!$A:$B , 2, FALSE) + VLOOKUP(index(split(W8 ,"", "", FALSE),1,3), Variables!$A:$B , 2, FALSE),
3 , VLOOKUP(index(split(W8 ,"", "","&amp;" FALSE),1,1), Variables!$A:$B , 2, FALSE) + VLOOKUP(index(split(W8 ,"", "", FALSE),1,2), Variables!$A:$B , 2, FALSE) + VLOOKUP(index(split(W8 ,"", "", FALSE),1,3), Variables!$A:$B , 2, FALSE) + VLOOKUP(index(split(W8 ,"", "", FALSE),1,4), Variables!$A:$B "&amp;", 2, FALSE)
)"),5.5)</f>
        <v>5.5</v>
      </c>
      <c r="Y8" s="343"/>
      <c r="Z8" s="342" t="str">
        <f>IFERROR(__xludf.DUMMYFUNCTION("IF(ISBLANK(Y8), , 
SWITCH(
LEN(Y8)- LEN(SUBSTITUTE(Y8,"","","""")), 
0 , VLOOKUP(Y8, vote4TRAITS!A:C , 3, FALSE),
1 , VLOOKUP(index(split(Y8 ,"", "", FALSE),1,1), vote4TRAITS!A:C , 3, FALSE) + VLOOKUP(index(split(Y8 ,"", "", FALSE),1,2), vote4TRAITS!A:C ,"&amp;" 3, FALSE),
2 , VLOOKUP(index(split(Y8 ,"", "", FALSE),1,1), vote4TRAITS!A:C , 3, FALSE) + VLOOKUP(index(split(Y8 ,"", "", FALSE),1,2), vote4TRAITS!A:C , 3, FALSE) + VLOOKUP(index(split(Y8 ,"", "", FALSE),1,3), vote4TRAITS!A:C , 3, FALSE)
)
)"),"")</f>
        <v/>
      </c>
      <c r="AA8" s="343" t="s">
        <v>2672</v>
      </c>
      <c r="AB8" s="343">
        <f>IFERROR(__xludf.DUMMYFUNCTION("IF(ISBLANK(AA8), , 
SWITCH(
LEN(AA8)- LEN(SUBSTITUTE(AA8,"","","""")), 
0 , VLOOKUP(AA8, vote4ACTIONS!A:C , 3, FALSE),
1 , VLOOKUP(index(split(AA8 ,"", "", FALSE),1,1), vote4ACTIONS!A:C , 3, FALSE) + VLOOKUP(index(split(AA8 ,"", "", FALSE),1,2), vote4ACTI"&amp;"ONS!A:C , 3, FALSE),
2 , VLOOKUP(index(split(AA8 ,"", "", FALSE),1,1), vote4ACTIONS!A:C , 3, FALSE) + VLOOKUP(index(split(AA8 ,"", "", FALSE),1,2), vote4ACTIONS!A:C , 3, FALSE) + VLOOKUP(index(split(AA8 ,"", "", FALSE),1,3), vote4ACTIONS!A:C , 3, FALSE)
)"&amp;"
)"),5.0)</f>
        <v>5</v>
      </c>
      <c r="AC8" s="343" t="s">
        <v>1524</v>
      </c>
      <c r="AD8" s="517">
        <f>IF(ISBLANK(AC8),,IF(IFERROR(SEARCH("SS:",AC8),0) &gt; 0, 
VLOOKUP(SUBSTITUTE(AC8,"SS: ",""),vote4SURGE!$A:$C , 3, FALSE) - 2,
VLOOKUP(SUBSTITUTE(AC8,"S: ",""),vote4SURGE!$A:$C , 3, FALSE)
)
)</f>
        <v>4.5</v>
      </c>
      <c r="AE8" s="343" t="s">
        <v>2673</v>
      </c>
      <c r="AF8" s="517">
        <f>IF(ISBLANK(AE8),,IF(IFERROR(SEARCH("SS:",AE8),0) &gt; 0, 
VLOOKUP(SUBSTITUTE(AE8,"SS: ",""),vote4SURGE!$A:$C , 3, FALSE) - 2,
VLOOKUP(SUBSTITUTE(AE8,"S: ",""),vote4SURGE!$A:$C , 3, FALSE)
)
)</f>
        <v>4</v>
      </c>
      <c r="AG8" s="343"/>
      <c r="AH8" s="343" t="str">
        <f>IF(ISBLANK(AG8),,IF(IFERROR(SEARCH("SS:",AG8),0) &gt; 0, 
VLOOKUP(SUBSTITUTE(AG8,"SS: ",""),vote4SURGE!$A:$C , 3, FALSE) - 2,
VLOOKUP(SUBSTITUTE(AG8,"S: ",""),vote4SURGE!$A:$C , 3, FALSE)
)
)</f>
        <v/>
      </c>
      <c r="AI8" s="517">
        <f t="shared" si="1"/>
        <v>6.5</v>
      </c>
      <c r="AJ8" s="343">
        <f>ROUND(IFS(
IFERROR(SEARCH("Blue, Yellow, Yellow, Green",W8),0) &gt; 0 , VLOOKUP("Blue", Variables!A:C , 3 , FALSE) + (VLOOKUP("Yellow", Variables!A:C , 3 , FALSE) * 2) + VLOOKUP("Green", Variables!A:C , 3 , FALSE),
IFERROR(SEARCH("Blue, Yellow, Green, Green",W8),0) &gt; 0 , VLOOKUP("Blue", Variables!A:C , 3 , FALSE) + VLOOKUP("Yellow", Variables!A:C , 3 , FALSE)  + (VLOOKUP("Green", Variables!A:C , 3 , FALSE) * 2),
IFERROR(SEARCH("Blue, Red, Red",W8),0) &gt; 0 , VLOOKUP("Blue", Variables!A:C , 3 , FALSE) + VLOOKUP("Red", Variables!A:C , 3 , FALSE) * 2,
IFERROR(SEARCH("Blue, Yellow, Yellow",W8),0) &gt; 0 , VLOOKUP("Blue", Variables!A:C , 3 , FALSE) + (VLOOKUP("Yellow", Variables!A:C , 3 , FALSE) * 2),
IFERROR(SEARCH("Blue, Yellow, Green",W8),0) &gt; 0 , VLOOKUP("Blue", Variables!A:C , 3 , FALSE) + VLOOKUP("Yellow", Variables!A:C , 3 , FALSE) + VLOOKUP("Green", Variables!A:C , 3 , FALSE),
IFERROR(SEARCH("Blue, Red, Green",W8),0) &gt; 0 , VLOOKUP("Blue", Variables!A:C , 3 , FALSE) + VLOOKUP("Red", Variables!A:C , 3 , FALSE) + VLOOKUP("Green", Variables!A:C , 3 , FALSE),
IFERROR(SEARCH("Blue, Red, Yellow",W8),0) &gt; 0 , VLOOKUP("Blue", Variables!A:C , 3 , FALSE) + VLOOKUP("Red", Variables!A:C , 3 , FALSE) + VLOOKUP("Yellow", Variables!A:C , 3 , FALSE),
IFERROR(SEARCH("Blue, Green, Green",W8),0) &gt; 0 , VLOOKUP("Blue", Variables!A:C , 3 , FALSE) + (VLOOKUP("Green", Variables!A:C , 3 , FALSE) * 2),
IFERROR(SEARCH("Blue, Yellow",W8),0) &gt; 0 , VLOOKUP("Blue", Variables!A:C , 3 , FALSE) + VLOOKUP("Yellow", Variables!A:C , 3 , FALSE),
IFERROR(SEARCH("Blue, Red",W8),0) &gt; 0 , VLOOKUP("Blue", Variables!A:C , 3 , FALSE) + VLOOKUP("Red", Variables!A:C , 3 , FALSE),
IFERROR(SEARCH("Blue, Green",W8),0) &gt; 0 , VLOOKUP("Blue", Variables!A:C , 3 , FALSE) + VLOOKUP("Green", Variables!A:C , 3 , FALSE),
IFERROR(SEARCH("Green",W8),0) &gt; 0 , VLOOKUP("Green", Variables!A:C , 3 , FALSE),
IFERROR(SEARCH("Blue",W8),0) &gt; 0 , VLOOKUP("Blue", Variables!A:C , 3 , FALSE),
IFERROR(SEARCH("Yellow",W8),0) &gt; 0 , VLOOKUP("Yellow", Variables!A:C , 3 , FALSE),
IFERROR(SEARCH("Black, Black",W8),0) &gt; 0 , VLOOKUP("Black", Variables!A:C , 3 , FALSE) * 2,
IFERROR(SEARCH("Grey, Grey",W8),0) &gt; 0 , VLOOKUP("Grey", Variables!A:C , 3 , FALSE) * 2,
IFERROR(SEARCH("Grey, Brown",W8),0) &gt; 0 , VLOOKUP("Grey", Variables!A:C , 3 , FALSE)  + VLOOKUP("Brown", Variables!A:C , 3 , FALSE),
IFERROR(SEARCH("Black, Grey",W8),0) &gt; 0 , VLOOKUP("Black", Variables!A:C , 3 , FALSE) + VLOOKUP("Grey", Variables!A:C , 3 , FALSE),
IFERROR(SEARCH("Black, Brown",W8),0) &gt; 0 , VLOOKUP("Black", Variables!A:C , 3 , FALSE) + VLOOKUP("Brown", Variables!A:C , 3 , FALSE),
IFERROR(SEARCH("Black",W8),0) &gt; 0 , VLOOKUP("Black", Variables!A:C , 3 , FALSE),
IFERROR(SEARCH("Grey",W8),0) &gt; 0 , VLOOKUP("Grey", Variables!A:C , 3 , FALSE),
IFERROR(SEARCH("Brown",W8),0) &gt; 0 , VLOOKUP("Brown", Variables!A:C , 3 , FALSE),
0=0,0)
,
)</f>
        <v>1</v>
      </c>
      <c r="AK8" s="343">
        <f t="shared" si="2"/>
        <v>2</v>
      </c>
      <c r="AL8" s="345">
        <f t="shared" si="3"/>
        <v>31</v>
      </c>
      <c r="AM8" s="383"/>
    </row>
    <row r="9">
      <c r="A9" s="518" t="s">
        <v>2674</v>
      </c>
      <c r="B9" s="510">
        <v>1.0</v>
      </c>
      <c r="C9" s="510">
        <v>1.0</v>
      </c>
      <c r="D9" s="511" t="s">
        <v>2669</v>
      </c>
      <c r="E9" s="512" t="s">
        <v>2675</v>
      </c>
      <c r="F9" s="513">
        <v>4.0</v>
      </c>
      <c r="G9" s="514">
        <v>9.0</v>
      </c>
      <c r="H9" s="515" t="s">
        <v>1663</v>
      </c>
      <c r="I9" s="489">
        <f>IFERROR(__xludf.DUMMYFUNCTION("SUM(F9 * 0.33, G9
*
SWITCH(
LEN(H9) - LEN(SUBSTITUTE(H9,"","","""")),
0 , VLOOKUP(H9, Variables!$A:$B, 2, FALSE),
1 , VLOOKUP(index(split(H9 ,"", "", FALSE),1,1), Variables!$A:$B , 2, FALSE) + VLOOKUP(index(split(H9 ,"", "", FALSE),1,2), Variables!$A:$B ,"&amp;" 2, FALSE),
2 , VLOOKUP(index(split(H9 ,"", "", FALSE),1,1), Variables!$A:$B , 2, FALSE) + VLOOKUP(index(split(H9 ,"", "", FALSE),1,2), Variables!$A:$B , 2, FALSE) + VLOOKUP(index(split(H9 ,"", "", FALSE),1,3), Variables!$A:$B , 2, FALSE)
)
)"),13.32)</f>
        <v>13.32</v>
      </c>
      <c r="J9" s="513">
        <v>4.0</v>
      </c>
      <c r="K9" s="514">
        <v>11.0</v>
      </c>
      <c r="L9" s="515" t="s">
        <v>2575</v>
      </c>
      <c r="M9" s="312">
        <f>IFERROR(__xludf.DUMMYFUNCTION("SUM(J9 * 0.33, K9
*
SWITCH(
LEN(L9) - LEN(SUBSTITUTE(L9,"","","""")),
0 , VLOOKUP(L9, Variables!$A:$B, 2, FALSE),
1 , VLOOKUP(index(split(L9 ,"", "", FALSE),1,1), Variables!$A:$B , 2, FALSE) + VLOOKUP(index(split(L9 ,"", "", FALSE),1,2), Variables!$A:$B ,"&amp;" 2, FALSE),
2 , VLOOKUP(index(split(L9 ,"", "", FALSE),1,1), Variables!$A:$B , 2, FALSE) + VLOOKUP(index(split(L9 ,"", "", FALSE),1,2), Variables!$A:$B , 2, FALSE) + VLOOKUP(index(split(L9 ,"", "", FALSE),1,3), Variables!$A:$B , 2, FALSE)
)
)"),23.32)</f>
        <v>23.32</v>
      </c>
      <c r="N9" s="514">
        <v>4.0</v>
      </c>
      <c r="O9" s="514">
        <v>15.0</v>
      </c>
      <c r="P9" s="515" t="s">
        <v>2575</v>
      </c>
      <c r="Q9" s="312">
        <f>IFERROR(__xludf.DUMMYFUNCTION("SUM(N9 * 0.33, O9
*
SWITCH(
LEN(P9) - LEN(SUBSTITUTE(P9,"","","""")),
0 , VLOOKUP(P9, Variables!$A:$B, 2, FALSE),
1 , VLOOKUP(index(split(P9 ,"", "", FALSE),1,1), Variables!$A:$B , 2, FALSE) + VLOOKUP(index(split(P9 ,"", "", FALSE),1,2), Variables!$A:$B ,"&amp;" 2, FALSE),
2 , VLOOKUP(index(split(P9 ,"", "", FALSE),1,1), Variables!$A:$B , 2, FALSE) + VLOOKUP(index(split(P9 ,"", "", FALSE),1,2), Variables!$A:$B , 2, FALSE) + VLOOKUP(index(split(P9 ,"", "", FALSE),1,3), Variables!$A:$B , 2, FALSE)
)
)"),31.32)</f>
        <v>31.32</v>
      </c>
      <c r="R9" s="513">
        <v>4.0</v>
      </c>
      <c r="S9" s="514">
        <v>3.0</v>
      </c>
      <c r="T9" s="514">
        <v>4.0</v>
      </c>
      <c r="U9" s="516">
        <v>1.0</v>
      </c>
      <c r="V9" s="343" t="s">
        <v>1521</v>
      </c>
      <c r="W9" s="343" t="s">
        <v>1525</v>
      </c>
      <c r="X9" s="312">
        <f>IFERROR(__xludf.DUMMYFUNCTION("SWITCH(
LEN(W9) - LEN(SUBSTITUTE(W9,"","","""")),
0 , VLOOKUP(W9, Variables!$A:$B, 2, FALSE),
1 , VLOOKUP(index(split(W9 ,"", "", FALSE),1,1), Variables!$A:$B , 2, FALSE) + VLOOKUP(index(split(W9 ,"", "", FALSE),1,2), Variables!$A:$B , 2, FALSE),
2 , VLOO"&amp;"KUP(index(split(W9 ,"", "", FALSE),1,1), Variables!$A:$B , 2, FALSE) + VLOOKUP(index(split(W9 ,"", "", FALSE),1,2), Variables!$A:$B , 2, FALSE) + VLOOKUP(index(split(W9 ,"", "", FALSE),1,3), Variables!$A:$B , 2, FALSE),
3 , VLOOKUP(index(split(W9 ,"", "","&amp;" FALSE),1,1), Variables!$A:$B , 2, FALSE) + VLOOKUP(index(split(W9 ,"", "", FALSE),1,2), Variables!$A:$B , 2, FALSE) + VLOOKUP(index(split(W9 ,"", "", FALSE),1,3), Variables!$A:$B , 2, FALSE) + VLOOKUP(index(split(W9 ,"", "", FALSE),1,4), Variables!$A:$B "&amp;", 2, FALSE)
)"),3.333333333333333)</f>
        <v>3.333333333</v>
      </c>
      <c r="Y9" s="343" t="s">
        <v>2676</v>
      </c>
      <c r="Z9" s="342">
        <f>IFERROR(__xludf.DUMMYFUNCTION("IF(ISBLANK(Y9), , 
SWITCH(
LEN(Y9)- LEN(SUBSTITUTE(Y9,"","","""")), 
0 , VLOOKUP(Y9, vote4TRAITS!A:C , 3, FALSE),
1 , VLOOKUP(index(split(Y9 ,"", "", FALSE),1,1), vote4TRAITS!A:C , 3, FALSE) + VLOOKUP(index(split(Y9 ,"", "", FALSE),1,2), vote4TRAITS!A:C ,"&amp;" 3, FALSE),
2 , VLOOKUP(index(split(Y9 ,"", "", FALSE),1,1), vote4TRAITS!A:C , 3, FALSE) + VLOOKUP(index(split(Y9 ,"", "", FALSE),1,2), vote4TRAITS!A:C , 3, FALSE) + VLOOKUP(index(split(Y9 ,"", "", FALSE),1,3), vote4TRAITS!A:C , 3, FALSE)
)
)"),11.5)</f>
        <v>11.5</v>
      </c>
      <c r="AA9" s="343"/>
      <c r="AB9" s="343" t="str">
        <f>IFERROR(__xludf.DUMMYFUNCTION("IF(ISBLANK(AA9), , 
SWITCH(
LEN(AA9)- LEN(SUBSTITUTE(AA9,"","","""")), 
0 , VLOOKUP(AA9, vote4ACTIONS!A:C , 3, FALSE),
1 , VLOOKUP(index(split(AA9 ,"", "", FALSE),1,1), vote4ACTIONS!A:C , 3, FALSE) + VLOOKUP(index(split(AA9 ,"", "", FALSE),1,2), vote4ACTI"&amp;"ONS!A:C , 3, FALSE),
2 , VLOOKUP(index(split(AA9 ,"", "", FALSE),1,1), vote4ACTIONS!A:C , 3, FALSE) + VLOOKUP(index(split(AA9 ,"", "", FALSE),1,2), vote4ACTIONS!A:C , 3, FALSE) + VLOOKUP(index(split(AA9 ,"", "", FALSE),1,3), vote4ACTIONS!A:C , 3, FALSE)
)"&amp;"
)"),"")</f>
        <v/>
      </c>
      <c r="AC9" s="343" t="s">
        <v>1252</v>
      </c>
      <c r="AD9" s="517">
        <f>IF(ISBLANK(AC9),,IF(IFERROR(SEARCH("SS:",AC9),0) &gt; 0, 
VLOOKUP(SUBSTITUTE(AC9,"SS: ",""),vote4SURGE!$A:$C , 3, FALSE) - 2,
VLOOKUP(SUBSTITUTE(AC9,"S: ",""),vote4SURGE!$A:$C , 3, FALSE)
)
)</f>
        <v>4</v>
      </c>
      <c r="AE9" s="343"/>
      <c r="AF9" s="343" t="str">
        <f>IF(ISBLANK(AE9),,IF(IFERROR(SEARCH("SS:",AE9),0) &gt; 0, 
VLOOKUP(SUBSTITUTE(AE9,"SS: ",""),vote4SURGE!$A:$C , 3, FALSE) - 2,
VLOOKUP(SUBSTITUTE(AE9,"S: ",""),vote4SURGE!$A:$C , 3, FALSE)
)
)</f>
        <v/>
      </c>
      <c r="AG9" s="343"/>
      <c r="AH9" s="343" t="str">
        <f>IF(ISBLANK(AG9),,IF(IFERROR(SEARCH("SS:",AG9),0) &gt; 0, 
VLOOKUP(SUBSTITUTE(AG9,"SS: ",""),vote4SURGE!$A:$C , 3, FALSE) - 2,
VLOOKUP(SUBSTITUTE(AG9,"S: ",""),vote4SURGE!$A:$C , 3, FALSE)
)
)</f>
        <v/>
      </c>
      <c r="AI9" s="343">
        <f t="shared" si="1"/>
        <v>4</v>
      </c>
      <c r="AJ9" s="343">
        <f>ROUND(IFS(
IFERROR(SEARCH("Blue, Yellow, Yellow, Green",W9),0) &gt; 0 , VLOOKUP("Blue", Variables!A:C , 3 , FALSE) + (VLOOKUP("Yellow", Variables!A:C , 3 , FALSE) * 2) + VLOOKUP("Green", Variables!A:C , 3 , FALSE),
IFERROR(SEARCH("Blue, Yellow, Green, Green",W9),0) &gt; 0 , VLOOKUP("Blue", Variables!A:C , 3 , FALSE) + VLOOKUP("Yellow", Variables!A:C , 3 , FALSE)  + (VLOOKUP("Green", Variables!A:C , 3 , FALSE) * 2),
IFERROR(SEARCH("Blue, Red, Red",W9),0) &gt; 0 , VLOOKUP("Blue", Variables!A:C , 3 , FALSE) + VLOOKUP("Red", Variables!A:C , 3 , FALSE) * 2,
IFERROR(SEARCH("Blue, Yellow, Yellow",W9),0) &gt; 0 , VLOOKUP("Blue", Variables!A:C , 3 , FALSE) + (VLOOKUP("Yellow", Variables!A:C , 3 , FALSE) * 2),
IFERROR(SEARCH("Blue, Yellow, Green",W9),0) &gt; 0 , VLOOKUP("Blue", Variables!A:C , 3 , FALSE) + VLOOKUP("Yellow", Variables!A:C , 3 , FALSE) + VLOOKUP("Green", Variables!A:C , 3 , FALSE),
IFERROR(SEARCH("Blue, Red, Green",W9),0) &gt; 0 , VLOOKUP("Blue", Variables!A:C , 3 , FALSE) + VLOOKUP("Red", Variables!A:C , 3 , FALSE) + VLOOKUP("Green", Variables!A:C , 3 , FALSE),
IFERROR(SEARCH("Blue, Red, Yellow",W9),0) &gt; 0 , VLOOKUP("Blue", Variables!A:C , 3 , FALSE) + VLOOKUP("Red", Variables!A:C , 3 , FALSE) + VLOOKUP("Yellow", Variables!A:C , 3 , FALSE),
IFERROR(SEARCH("Blue, Green, Green",W9),0) &gt; 0 , VLOOKUP("Blue", Variables!A:C , 3 , FALSE) + (VLOOKUP("Green", Variables!A:C , 3 , FALSE) * 2),
IFERROR(SEARCH("Blue, Yellow",W9),0) &gt; 0 , VLOOKUP("Blue", Variables!A:C , 3 , FALSE) + VLOOKUP("Yellow", Variables!A:C , 3 , FALSE),
IFERROR(SEARCH("Blue, Red",W9),0) &gt; 0 , VLOOKUP("Blue", Variables!A:C , 3 , FALSE) + VLOOKUP("Red", Variables!A:C , 3 , FALSE),
IFERROR(SEARCH("Blue, Green",W9),0) &gt; 0 , VLOOKUP("Blue", Variables!A:C , 3 , FALSE) + VLOOKUP("Green", Variables!A:C , 3 , FALSE),
IFERROR(SEARCH("Green",W9),0) &gt; 0 , VLOOKUP("Green", Variables!A:C , 3 , FALSE),
IFERROR(SEARCH("Blue",W9),0) &gt; 0 , VLOOKUP("Blue", Variables!A:C , 3 , FALSE),
IFERROR(SEARCH("Yellow",W9),0) &gt; 0 , VLOOKUP("Yellow", Variables!A:C , 3 , FALSE),
IFERROR(SEARCH("Black, Black",W9),0) &gt; 0 , VLOOKUP("Black", Variables!A:C , 3 , FALSE) * 2,
IFERROR(SEARCH("Grey, Grey",W9),0) &gt; 0 , VLOOKUP("Grey", Variables!A:C , 3 , FALSE) * 2,
IFERROR(SEARCH("Grey, Brown",W9),0) &gt; 0 , VLOOKUP("Grey", Variables!A:C , 3 , FALSE)  + VLOOKUP("Brown", Variables!A:C , 3 , FALSE),
IFERROR(SEARCH("Black, Grey",W9),0) &gt; 0 , VLOOKUP("Black", Variables!A:C , 3 , FALSE) + VLOOKUP("Grey", Variables!A:C , 3 , FALSE),
IFERROR(SEARCH("Black, Brown",W9),0) &gt; 0 , VLOOKUP("Black", Variables!A:C , 3 , FALSE) + VLOOKUP("Brown", Variables!A:C , 3 , FALSE),
IFERROR(SEARCH("Black",W9),0) &gt; 0 , VLOOKUP("Black", Variables!A:C , 3 , FALSE),
IFERROR(SEARCH("Grey",W9),0) &gt; 0 , VLOOKUP("Grey", Variables!A:C , 3 , FALSE),
IFERROR(SEARCH("Brown",W9),0) &gt; 0 , VLOOKUP("Brown", Variables!A:C , 3 , FALSE),
0=0,0)
,
)</f>
        <v>1</v>
      </c>
      <c r="AK9" s="343">
        <f t="shared" si="2"/>
        <v>1</v>
      </c>
      <c r="AL9" s="345">
        <f t="shared" si="3"/>
        <v>30.83333333</v>
      </c>
      <c r="AM9" s="383"/>
    </row>
    <row r="10">
      <c r="A10" s="509" t="s">
        <v>2674</v>
      </c>
      <c r="B10" s="380">
        <v>2.0</v>
      </c>
      <c r="C10" s="380">
        <v>1.0</v>
      </c>
      <c r="D10" s="511" t="s">
        <v>2669</v>
      </c>
      <c r="E10" s="512" t="s">
        <v>2675</v>
      </c>
      <c r="F10" s="513">
        <v>4.0</v>
      </c>
      <c r="G10" s="514">
        <v>13.0</v>
      </c>
      <c r="H10" s="515" t="s">
        <v>2575</v>
      </c>
      <c r="I10" s="489">
        <f>IFERROR(__xludf.DUMMYFUNCTION("SUM(F10 * 0.33, G10
*
SWITCH(
LEN(H10) - LEN(SUBSTITUTE(H10,"","","""")),
0 , VLOOKUP(H10, Variables!$A:$B, 2, FALSE),
1 , VLOOKUP(index(split(H10 ,"", "", FALSE),1,1), Variables!$A:$B , 2, FALSE) + VLOOKUP(index(split(H10 ,"", "", FALSE),1,2), Variables!"&amp;"$A:$B , 2, FALSE),
2 , VLOOKUP(index(split(H10 ,"", "", FALSE),1,1), Variables!$A:$B , 2, FALSE) + VLOOKUP(index(split(H10 ,"", "", FALSE),1,2), Variables!$A:$B , 2, FALSE) + VLOOKUP(index(split(H10 ,"", "", FALSE),1,3), Variables!$A:$B , 2, FALSE)
)
)"),27.32)</f>
        <v>27.32</v>
      </c>
      <c r="J10" s="513">
        <v>4.0</v>
      </c>
      <c r="K10" s="514">
        <v>15.0</v>
      </c>
      <c r="L10" s="515" t="s">
        <v>2590</v>
      </c>
      <c r="M10" s="312">
        <f>IFERROR(__xludf.DUMMYFUNCTION("SUM(J10 * 0.33, K10
*
SWITCH(
LEN(L10) - LEN(SUBSTITUTE(L10,"","","""")),
0 , VLOOKUP(L10, Variables!$A:$B, 2, FALSE),
1 , VLOOKUP(index(split(L10 ,"", "", FALSE),1,1), Variables!$A:$B , 2, FALSE) + VLOOKUP(index(split(L10 ,"", "", FALSE),1,2), Variables!"&amp;"$A:$B , 2, FALSE),
2 , VLOOKUP(index(split(L10 ,"", "", FALSE),1,1), Variables!$A:$B , 2, FALSE) + VLOOKUP(index(split(L10 ,"", "", FALSE),1,2), Variables!$A:$B , 2, FALSE) + VLOOKUP(index(split(L10 ,"", "", FALSE),1,3), Variables!$A:$B , 2, FALSE)
)
)"),41.32)</f>
        <v>41.32</v>
      </c>
      <c r="N10" s="514">
        <v>4.0</v>
      </c>
      <c r="O10" s="514">
        <v>18.0</v>
      </c>
      <c r="P10" s="515" t="s">
        <v>2677</v>
      </c>
      <c r="Q10" s="312">
        <f>IFERROR(__xludf.DUMMYFUNCTION("SUM(N10 * 0.33, O10
*
SWITCH(
LEN(P10) - LEN(SUBSTITUTE(P10,"","","""")),
0 , VLOOKUP(P10, Variables!$A:$B, 2, FALSE),
1 , VLOOKUP(index(split(P10 ,"", "", FALSE),1,1), Variables!$A:$B , 2, FALSE) + VLOOKUP(index(split(P10 ,"", "", FALSE),1,2), Variables!"&amp;"$A:$B , 2, FALSE),
2 , VLOOKUP(index(split(P10 ,"", "", FALSE),1,1), Variables!$A:$B , 2, FALSE) + VLOOKUP(index(split(P10 ,"", "", FALSE),1,2), Variables!$A:$B , 2, FALSE) + VLOOKUP(index(split(P10 ,"", "", FALSE),1,3), Variables!$A:$B , 2, FALSE)
)
)"),61.31999999999999)</f>
        <v>61.32</v>
      </c>
      <c r="R10" s="513">
        <v>4.0</v>
      </c>
      <c r="S10" s="514">
        <v>3.0</v>
      </c>
      <c r="T10" s="514">
        <v>4.0</v>
      </c>
      <c r="U10" s="516">
        <v>1.0</v>
      </c>
      <c r="V10" s="343" t="s">
        <v>1521</v>
      </c>
      <c r="W10" s="343" t="s">
        <v>1528</v>
      </c>
      <c r="X10" s="312">
        <f>IFERROR(__xludf.DUMMYFUNCTION("SWITCH(
LEN(W10) - LEN(SUBSTITUTE(W10,"","","""")),
0 , VLOOKUP(W10, Variables!$A:$B, 2, FALSE),
1 , VLOOKUP(index(split(W10 ,"", "", FALSE),1,1), Variables!$A:$B , 2, FALSE) + VLOOKUP(index(split(W10 ,"", "", FALSE),1,2), Variables!$A:$B , 2, FALSE),
2 ,"&amp;" VLOOKUP(index(split(W10 ,"", "", FALSE),1,1), Variables!$A:$B , 2, FALSE) + VLOOKUP(index(split(W10 ,"", "", FALSE),1,2), Variables!$A:$B , 2, FALSE) + VLOOKUP(index(split(W10 ,"", "", FALSE),1,3), Variables!$A:$B , 2, FALSE),
3 , VLOOKUP(index(split(W10"&amp;" ,"", "", FALSE),1,1), Variables!$A:$B , 2, FALSE) + VLOOKUP(index(split(W10 ,"", "", FALSE),1,2), Variables!$A:$B , 2, FALSE) + VLOOKUP(index(split(W10 ,"", "", FALSE),1,3), Variables!$A:$B , 2, FALSE) + VLOOKUP(index(split(W10 ,"", "", FALSE),1,4), Vari"&amp;"ables!$A:$B , 2, FALSE)
)"),5.5)</f>
        <v>5.5</v>
      </c>
      <c r="Y10" s="343" t="s">
        <v>2676</v>
      </c>
      <c r="Z10" s="342">
        <f>IFERROR(__xludf.DUMMYFUNCTION("IF(ISBLANK(Y10), , 
SWITCH(
LEN(Y10)- LEN(SUBSTITUTE(Y10,"","","""")), 
0 , VLOOKUP(Y10, vote4TRAITS!A:C , 3, FALSE),
1 , VLOOKUP(index(split(Y10 ,"", "", FALSE),1,1), vote4TRAITS!A:C , 3, FALSE) + VLOOKUP(index(split(Y10 ,"", "", FALSE),1,2), vote4TRAITS"&amp;"!A:C , 3, FALSE),
2 , VLOOKUP(index(split(Y10 ,"", "", FALSE),1,1), vote4TRAITS!A:C , 3, FALSE) + VLOOKUP(index(split(Y10 ,"", "", FALSE),1,2), vote4TRAITS!A:C , 3, FALSE) + VLOOKUP(index(split(Y10 ,"", "", FALSE),1,3), vote4TRAITS!A:C , 3, FALSE)
)
)"),11.5)</f>
        <v>11.5</v>
      </c>
      <c r="AA10" s="343" t="s">
        <v>1308</v>
      </c>
      <c r="AB10" s="343">
        <f>IFERROR(__xludf.DUMMYFUNCTION("IF(ISBLANK(AA10), , 
SWITCH(
LEN(AA10)- LEN(SUBSTITUTE(AA10,"","","""")), 
0 , VLOOKUP(AA10, vote4ACTIONS!A:C , 3, FALSE),
1 , VLOOKUP(index(split(AA10 ,"", "", FALSE),1,1), vote4ACTIONS!A:C , 3, FALSE) + VLOOKUP(index(split(AA10 ,"", "", FALSE),1,2), vot"&amp;"e4ACTIONS!A:C , 3, FALSE),
2 , VLOOKUP(index(split(AA10 ,"", "", FALSE),1,1), vote4ACTIONS!A:C , 3, FALSE) + VLOOKUP(index(split(AA10 ,"", "", FALSE),1,2), vote4ACTIONS!A:C , 3, FALSE) + VLOOKUP(index(split(AA10 ,"", "", FALSE),1,3), vote4ACTIONS!A:C , 3,"&amp;" FALSE)
)
)"),5.0)</f>
        <v>5</v>
      </c>
      <c r="AC10" s="343" t="s">
        <v>1252</v>
      </c>
      <c r="AD10" s="517">
        <f>IF(ISBLANK(AC10),,IF(IFERROR(SEARCH("SS:",AC10),0) &gt; 0, 
VLOOKUP(SUBSTITUTE(AC10,"SS: ",""),vote4SURGE!$A:$C , 3, FALSE) - 2,
VLOOKUP(SUBSTITUTE(AC10,"S: ",""),vote4SURGE!$A:$C , 3, FALSE)
)
)</f>
        <v>4</v>
      </c>
      <c r="AE10" s="343"/>
      <c r="AF10" s="343" t="str">
        <f>IF(ISBLANK(AE10),,IF(IFERROR(SEARCH("SS:",AE10),0) &gt; 0, 
VLOOKUP(SUBSTITUTE(AE10,"SS: ",""),vote4SURGE!$A:$C , 3, FALSE) - 2,
VLOOKUP(SUBSTITUTE(AE10,"S: ",""),vote4SURGE!$A:$C , 3, FALSE)
)
)</f>
        <v/>
      </c>
      <c r="AG10" s="343"/>
      <c r="AH10" s="343" t="str">
        <f>IF(ISBLANK(AG10),,IF(IFERROR(SEARCH("SS:",AG10),0) &gt; 0, 
VLOOKUP(SUBSTITUTE(AG10,"SS: ",""),vote4SURGE!$A:$C , 3, FALSE) - 2,
VLOOKUP(SUBSTITUTE(AG10,"S: ",""),vote4SURGE!$A:$C , 3, FALSE)
)
)</f>
        <v/>
      </c>
      <c r="AI10" s="343">
        <f t="shared" si="1"/>
        <v>4</v>
      </c>
      <c r="AJ10" s="343">
        <f>ROUND(IFS(
IFERROR(SEARCH("Blue, Yellow, Yellow, Green",W10),0) &gt; 0 , VLOOKUP("Blue", Variables!A:C , 3 , FALSE) + (VLOOKUP("Yellow", Variables!A:C , 3 , FALSE) * 2) + VLOOKUP("Green", Variables!A:C , 3 , FALSE),
IFERROR(SEARCH("Blue, Yellow, Green, Green",W10),0) &gt; 0 , VLOOKUP("Blue", Variables!A:C , 3 , FALSE) + VLOOKUP("Yellow", Variables!A:C , 3 , FALSE)  + (VLOOKUP("Green", Variables!A:C , 3 , FALSE) * 2),
IFERROR(SEARCH("Blue, Red, Red",W10),0) &gt; 0 , VLOOKUP("Blue", Variables!A:C , 3 , FALSE) + VLOOKUP("Red", Variables!A:C , 3 , FALSE) * 2,
IFERROR(SEARCH("Blue, Yellow, Yellow",W10),0) &gt; 0 , VLOOKUP("Blue", Variables!A:C , 3 , FALSE) + (VLOOKUP("Yellow", Variables!A:C , 3 , FALSE) * 2),
IFERROR(SEARCH("Blue, Yellow, Green",W10),0) &gt; 0 , VLOOKUP("Blue", Variables!A:C , 3 , FALSE) + VLOOKUP("Yellow", Variables!A:C , 3 , FALSE) + VLOOKUP("Green", Variables!A:C , 3 , FALSE),
IFERROR(SEARCH("Blue, Red, Green",W10),0) &gt; 0 , VLOOKUP("Blue", Variables!A:C , 3 , FALSE) + VLOOKUP("Red", Variables!A:C , 3 , FALSE) + VLOOKUP("Green", Variables!A:C , 3 , FALSE),
IFERROR(SEARCH("Blue, Red, Yellow",W10),0) &gt; 0 , VLOOKUP("Blue", Variables!A:C , 3 , FALSE) + VLOOKUP("Red", Variables!A:C , 3 , FALSE) + VLOOKUP("Yellow", Variables!A:C , 3 , FALSE),
IFERROR(SEARCH("Blue, Green, Green",W10),0) &gt; 0 , VLOOKUP("Blue", Variables!A:C , 3 , FALSE) + (VLOOKUP("Green", Variables!A:C , 3 , FALSE) * 2),
IFERROR(SEARCH("Blue, Yellow",W10),0) &gt; 0 , VLOOKUP("Blue", Variables!A:C , 3 , FALSE) + VLOOKUP("Yellow", Variables!A:C , 3 , FALSE),
IFERROR(SEARCH("Blue, Red",W10),0) &gt; 0 , VLOOKUP("Blue", Variables!A:C , 3 , FALSE) + VLOOKUP("Red", Variables!A:C , 3 , FALSE),
IFERROR(SEARCH("Blue, Green",W10),0) &gt; 0 , VLOOKUP("Blue", Variables!A:C , 3 , FALSE) + VLOOKUP("Green", Variables!A:C , 3 , FALSE),
IFERROR(SEARCH("Green",W10),0) &gt; 0 , VLOOKUP("Green", Variables!A:C , 3 , FALSE),
IFERROR(SEARCH("Blue",W10),0) &gt; 0 , VLOOKUP("Blue", Variables!A:C , 3 , FALSE),
IFERROR(SEARCH("Yellow",W10),0) &gt; 0 , VLOOKUP("Yellow", Variables!A:C , 3 , FALSE),
IFERROR(SEARCH("Black, Black",W10),0) &gt; 0 , VLOOKUP("Black", Variables!A:C , 3 , FALSE) * 2,
IFERROR(SEARCH("Grey, Grey",W10),0) &gt; 0 , VLOOKUP("Grey", Variables!A:C , 3 , FALSE) * 2,
IFERROR(SEARCH("Grey, Brown",W10),0) &gt; 0 , VLOOKUP("Grey", Variables!A:C , 3 , FALSE)  + VLOOKUP("Brown", Variables!A:C , 3 , FALSE),
IFERROR(SEARCH("Black, Grey",W10),0) &gt; 0 , VLOOKUP("Black", Variables!A:C , 3 , FALSE) + VLOOKUP("Grey", Variables!A:C , 3 , FALSE),
IFERROR(SEARCH("Black, Brown",W10),0) &gt; 0 , VLOOKUP("Black", Variables!A:C , 3 , FALSE) + VLOOKUP("Brown", Variables!A:C , 3 , FALSE),
IFERROR(SEARCH("Black",W10),0) &gt; 0 , VLOOKUP("Black", Variables!A:C , 3 , FALSE),
IFERROR(SEARCH("Grey",W10),0) &gt; 0 , VLOOKUP("Grey", Variables!A:C , 3 , FALSE),
IFERROR(SEARCH("Brown",W10),0) &gt; 0 , VLOOKUP("Brown", Variables!A:C , 3 , FALSE),
0=0,0)
,
)</f>
        <v>1</v>
      </c>
      <c r="AK10" s="343">
        <f t="shared" si="2"/>
        <v>1</v>
      </c>
      <c r="AL10" s="345">
        <f t="shared" si="3"/>
        <v>38</v>
      </c>
      <c r="AM10" s="383"/>
    </row>
    <row r="11">
      <c r="A11" s="509" t="s">
        <v>2678</v>
      </c>
      <c r="B11" s="510">
        <v>1.0</v>
      </c>
      <c r="C11" s="510">
        <v>4.0</v>
      </c>
      <c r="D11" s="511" t="s">
        <v>1766</v>
      </c>
      <c r="E11" s="512" t="s">
        <v>2679</v>
      </c>
      <c r="F11" s="513">
        <v>3.0</v>
      </c>
      <c r="G11" s="514">
        <v>12.0</v>
      </c>
      <c r="H11" s="515" t="s">
        <v>1663</v>
      </c>
      <c r="I11" s="489">
        <f>IFERROR(__xludf.DUMMYFUNCTION("SUM(F11 * 0.33, G11
*
SWITCH(
LEN(H11) - LEN(SUBSTITUTE(H11,"","","""")),
0 , VLOOKUP(H11, Variables!$A:$B, 2, FALSE),
1 , VLOOKUP(index(split(H11 ,"", "", FALSE),1,1), Variables!$A:$B , 2, FALSE) + VLOOKUP(index(split(H11 ,"", "", FALSE),1,2), Variables!"&amp;"$A:$B , 2, FALSE),
2 , VLOOKUP(index(split(H11 ,"", "", FALSE),1,1), Variables!$A:$B , 2, FALSE) + VLOOKUP(index(split(H11 ,"", "", FALSE),1,2), Variables!$A:$B , 2, FALSE) + VLOOKUP(index(split(H11 ,"", "", FALSE),1,3), Variables!$A:$B , 2, FALSE)
)
)"),16.99)</f>
        <v>16.99</v>
      </c>
      <c r="J11" s="513">
        <v>3.0</v>
      </c>
      <c r="K11" s="514">
        <v>14.0</v>
      </c>
      <c r="L11" s="515" t="s">
        <v>2575</v>
      </c>
      <c r="M11" s="312">
        <f>IFERROR(__xludf.DUMMYFUNCTION("SUM(J11 * 0.33, K11
*
SWITCH(
LEN(L11) - LEN(SUBSTITUTE(L11,"","","""")),
0 , VLOOKUP(L11, Variables!$A:$B, 2, FALSE),
1 , VLOOKUP(index(split(L11 ,"", "", FALSE),1,1), Variables!$A:$B , 2, FALSE) + VLOOKUP(index(split(L11 ,"", "", FALSE),1,2), Variables!"&amp;"$A:$B , 2, FALSE),
2 , VLOOKUP(index(split(L11 ,"", "", FALSE),1,1), Variables!$A:$B , 2, FALSE) + VLOOKUP(index(split(L11 ,"", "", FALSE),1,2), Variables!$A:$B , 2, FALSE) + VLOOKUP(index(split(L11 ,"", "", FALSE),1,3), Variables!$A:$B , 2, FALSE)
)
)"),28.99)</f>
        <v>28.99</v>
      </c>
      <c r="N11" s="514">
        <v>3.0</v>
      </c>
      <c r="O11" s="514">
        <v>18.0</v>
      </c>
      <c r="P11" s="515" t="s">
        <v>2575</v>
      </c>
      <c r="Q11" s="312">
        <f>IFERROR(__xludf.DUMMYFUNCTION("SUM(N11 * 0.33, O11
*
SWITCH(
LEN(P11) - LEN(SUBSTITUTE(P11,"","","""")),
0 , VLOOKUP(P11, Variables!$A:$B, 2, FALSE),
1 , VLOOKUP(index(split(P11 ,"", "", FALSE),1,1), Variables!$A:$B , 2, FALSE) + VLOOKUP(index(split(P11 ,"", "", FALSE),1,2), Variables!"&amp;"$A:$B , 2, FALSE),
2 , VLOOKUP(index(split(P11 ,"", "", FALSE),1,1), Variables!$A:$B , 2, FALSE) + VLOOKUP(index(split(P11 ,"", "", FALSE),1,2), Variables!$A:$B , 2, FALSE) + VLOOKUP(index(split(P11 ,"", "", FALSE),1,3), Variables!$A:$B , 2, FALSE)
)
)"),36.99)</f>
        <v>36.99</v>
      </c>
      <c r="R11" s="513">
        <v>6.0</v>
      </c>
      <c r="S11" s="514">
        <v>1.0</v>
      </c>
      <c r="T11" s="514">
        <v>2.0</v>
      </c>
      <c r="U11" s="516">
        <v>2.0</v>
      </c>
      <c r="V11" s="343" t="s">
        <v>1521</v>
      </c>
      <c r="W11" s="343" t="s">
        <v>1525</v>
      </c>
      <c r="X11" s="312">
        <f>IFERROR(__xludf.DUMMYFUNCTION("SWITCH(
LEN(W11) - LEN(SUBSTITUTE(W11,"","","""")),
0 , VLOOKUP(W11, Variables!$A:$B, 2, FALSE),
1 , VLOOKUP(index(split(W11 ,"", "", FALSE),1,1), Variables!$A:$B , 2, FALSE) + VLOOKUP(index(split(W11 ,"", "", FALSE),1,2), Variables!$A:$B , 2, FALSE),
2 ,"&amp;" VLOOKUP(index(split(W11 ,"", "", FALSE),1,1), Variables!$A:$B , 2, FALSE) + VLOOKUP(index(split(W11 ,"", "", FALSE),1,2), Variables!$A:$B , 2, FALSE) + VLOOKUP(index(split(W11 ,"", "", FALSE),1,3), Variables!$A:$B , 2, FALSE),
3 , VLOOKUP(index(split(W11"&amp;" ,"", "", FALSE),1,1), Variables!$A:$B , 2, FALSE) + VLOOKUP(index(split(W11 ,"", "", FALSE),1,2), Variables!$A:$B , 2, FALSE) + VLOOKUP(index(split(W11 ,"", "", FALSE),1,3), Variables!$A:$B , 2, FALSE) + VLOOKUP(index(split(W11 ,"", "", FALSE),1,4), Vari"&amp;"ables!$A:$B , 2, FALSE)
)"),3.333333333333333)</f>
        <v>3.333333333</v>
      </c>
      <c r="Y11" s="343" t="s">
        <v>1099</v>
      </c>
      <c r="Z11" s="342">
        <f>IFERROR(__xludf.DUMMYFUNCTION("IF(ISBLANK(Y11), , 
SWITCH(
LEN(Y11)- LEN(SUBSTITUTE(Y11,"","","""")), 
0 , VLOOKUP(Y11, vote4TRAITS!A:C , 3, FALSE),
1 , VLOOKUP(index(split(Y11 ,"", "", FALSE),1,1), vote4TRAITS!A:C , 3, FALSE) + VLOOKUP(index(split(Y11 ,"", "", FALSE),1,2), vote4TRAITS"&amp;"!A:C , 3, FALSE),
2 , VLOOKUP(index(split(Y11 ,"", "", FALSE),1,1), vote4TRAITS!A:C , 3, FALSE) + VLOOKUP(index(split(Y11 ,"", "", FALSE),1,2), vote4TRAITS!A:C , 3, FALSE) + VLOOKUP(index(split(Y11 ,"", "", FALSE),1,3), vote4TRAITS!A:C , 3, FALSE)
)
)"),6.5)</f>
        <v>6.5</v>
      </c>
      <c r="AA11" s="343" t="s">
        <v>1369</v>
      </c>
      <c r="AB11" s="343">
        <f>IFERROR(__xludf.DUMMYFUNCTION("IF(ISBLANK(AA11), , 
SWITCH(
LEN(AA11)- LEN(SUBSTITUTE(AA11,"","","""")), 
0 , VLOOKUP(AA11, vote4ACTIONS!A:C , 3, FALSE),
1 , VLOOKUP(index(split(AA11 ,"", "", FALSE),1,1), vote4ACTIONS!A:C , 3, FALSE) + VLOOKUP(index(split(AA11 ,"", "", FALSE),1,2), vot"&amp;"e4ACTIONS!A:C , 3, FALSE),
2 , VLOOKUP(index(split(AA11 ,"", "", FALSE),1,1), vote4ACTIONS!A:C , 3, FALSE) + VLOOKUP(index(split(AA11 ,"", "", FALSE),1,2), vote4ACTIONS!A:C , 3, FALSE) + VLOOKUP(index(split(AA11 ,"", "", FALSE),1,3), vote4ACTIONS!A:C , 3,"&amp;" FALSE)
)
)"),4.5)</f>
        <v>4.5</v>
      </c>
      <c r="AC11" s="343" t="s">
        <v>1562</v>
      </c>
      <c r="AD11" s="517">
        <f>IF(ISBLANK(AC11),,IF(IFERROR(SEARCH("SS:",AC11),0) &gt; 0, 
VLOOKUP(SUBSTITUTE(AC11,"SS: ",""),vote4SURGE!$A:$C , 3, FALSE) - 2,
VLOOKUP(SUBSTITUTE(AC11,"S: ",""),vote4SURGE!$A:$C , 3, FALSE)
)
)</f>
        <v>3.5</v>
      </c>
      <c r="AE11" s="343"/>
      <c r="AF11" s="343" t="str">
        <f>IF(ISBLANK(AE11),,IF(IFERROR(SEARCH("SS:",AE11),0) &gt; 0, 
VLOOKUP(SUBSTITUTE(AE11,"SS: ",""),vote4SURGE!$A:$C , 3, FALSE) - 2,
VLOOKUP(SUBSTITUTE(AE11,"S: ",""),vote4SURGE!$A:$C , 3, FALSE)
)
)</f>
        <v/>
      </c>
      <c r="AG11" s="343"/>
      <c r="AH11" s="343" t="str">
        <f>IF(ISBLANK(AG11),,IF(IFERROR(SEARCH("SS:",AG11),0) &gt; 0, 
VLOOKUP(SUBSTITUTE(AG11,"SS: ",""),vote4SURGE!$A:$C , 3, FALSE) - 2,
VLOOKUP(SUBSTITUTE(AG11,"S: ",""),vote4SURGE!$A:$C , 3, FALSE)
)
)</f>
        <v/>
      </c>
      <c r="AI11" s="343">
        <f t="shared" si="1"/>
        <v>3.5</v>
      </c>
      <c r="AJ11" s="343">
        <f>ROUND(IFS(
IFERROR(SEARCH("Blue, Yellow, Yellow, Green",W11),0) &gt; 0 , VLOOKUP("Blue", Variables!A:C , 3 , FALSE) + (VLOOKUP("Yellow", Variables!A:C , 3 , FALSE) * 2) + VLOOKUP("Green", Variables!A:C , 3 , FALSE),
IFERROR(SEARCH("Blue, Yellow, Green, Green",W11),0) &gt; 0 , VLOOKUP("Blue", Variables!A:C , 3 , FALSE) + VLOOKUP("Yellow", Variables!A:C , 3 , FALSE)  + (VLOOKUP("Green", Variables!A:C , 3 , FALSE) * 2),
IFERROR(SEARCH("Blue, Red, Red",W11),0) &gt; 0 , VLOOKUP("Blue", Variables!A:C , 3 , FALSE) + VLOOKUP("Red", Variables!A:C , 3 , FALSE) * 2,
IFERROR(SEARCH("Blue, Yellow, Yellow",W11),0) &gt; 0 , VLOOKUP("Blue", Variables!A:C , 3 , FALSE) + (VLOOKUP("Yellow", Variables!A:C , 3 , FALSE) * 2),
IFERROR(SEARCH("Blue, Yellow, Green",W11),0) &gt; 0 , VLOOKUP("Blue", Variables!A:C , 3 , FALSE) + VLOOKUP("Yellow", Variables!A:C , 3 , FALSE) + VLOOKUP("Green", Variables!A:C , 3 , FALSE),
IFERROR(SEARCH("Blue, Red, Green",W11),0) &gt; 0 , VLOOKUP("Blue", Variables!A:C , 3 , FALSE) + VLOOKUP("Red", Variables!A:C , 3 , FALSE) + VLOOKUP("Green", Variables!A:C , 3 , FALSE),
IFERROR(SEARCH("Blue, Red, Yellow",W11),0) &gt; 0 , VLOOKUP("Blue", Variables!A:C , 3 , FALSE) + VLOOKUP("Red", Variables!A:C , 3 , FALSE) + VLOOKUP("Yellow", Variables!A:C , 3 , FALSE),
IFERROR(SEARCH("Blue, Green, Green",W11),0) &gt; 0 , VLOOKUP("Blue", Variables!A:C , 3 , FALSE) + (VLOOKUP("Green", Variables!A:C , 3 , FALSE) * 2),
IFERROR(SEARCH("Blue, Yellow",W11),0) &gt; 0 , VLOOKUP("Blue", Variables!A:C , 3 , FALSE) + VLOOKUP("Yellow", Variables!A:C , 3 , FALSE),
IFERROR(SEARCH("Blue, Red",W11),0) &gt; 0 , VLOOKUP("Blue", Variables!A:C , 3 , FALSE) + VLOOKUP("Red", Variables!A:C , 3 , FALSE),
IFERROR(SEARCH("Blue, Green",W11),0) &gt; 0 , VLOOKUP("Blue", Variables!A:C , 3 , FALSE) + VLOOKUP("Green", Variables!A:C , 3 , FALSE),
IFERROR(SEARCH("Green",W11),0) &gt; 0 , VLOOKUP("Green", Variables!A:C , 3 , FALSE),
IFERROR(SEARCH("Blue",W11),0) &gt; 0 , VLOOKUP("Blue", Variables!A:C , 3 , FALSE),
IFERROR(SEARCH("Yellow",W11),0) &gt; 0 , VLOOKUP("Yellow", Variables!A:C , 3 , FALSE),
IFERROR(SEARCH("Black, Black",W11),0) &gt; 0 , VLOOKUP("Black", Variables!A:C , 3 , FALSE) * 2,
IFERROR(SEARCH("Grey, Grey",W11),0) &gt; 0 , VLOOKUP("Grey", Variables!A:C , 3 , FALSE) * 2,
IFERROR(SEARCH("Grey, Brown",W11),0) &gt; 0 , VLOOKUP("Grey", Variables!A:C , 3 , FALSE)  + VLOOKUP("Brown", Variables!A:C , 3 , FALSE),
IFERROR(SEARCH("Black, Grey",W11),0) &gt; 0 , VLOOKUP("Black", Variables!A:C , 3 , FALSE) + VLOOKUP("Grey", Variables!A:C , 3 , FALSE),
IFERROR(SEARCH("Black, Brown",W11),0) &gt; 0 , VLOOKUP("Black", Variables!A:C , 3 , FALSE) + VLOOKUP("Brown", Variables!A:C , 3 , FALSE),
IFERROR(SEARCH("Black",W11),0) &gt; 0 , VLOOKUP("Black", Variables!A:C , 3 , FALSE),
IFERROR(SEARCH("Grey",W11),0) &gt; 0 , VLOOKUP("Grey", Variables!A:C , 3 , FALSE),
IFERROR(SEARCH("Brown",W11),0) &gt; 0 , VLOOKUP("Brown", Variables!A:C , 3 , FALSE),
0=0,0)
,
)</f>
        <v>1</v>
      </c>
      <c r="AK11" s="343">
        <f t="shared" si="2"/>
        <v>1</v>
      </c>
      <c r="AL11" s="345">
        <f t="shared" si="3"/>
        <v>28.83333333</v>
      </c>
      <c r="AM11" s="383"/>
    </row>
    <row r="12">
      <c r="A12" s="509" t="s">
        <v>2678</v>
      </c>
      <c r="B12" s="380">
        <v>2.0</v>
      </c>
      <c r="C12" s="380">
        <v>4.0</v>
      </c>
      <c r="D12" s="511" t="s">
        <v>1766</v>
      </c>
      <c r="E12" s="512" t="s">
        <v>2679</v>
      </c>
      <c r="F12" s="513">
        <v>3.0</v>
      </c>
      <c r="G12" s="514">
        <v>16.0</v>
      </c>
      <c r="H12" s="515" t="s">
        <v>2575</v>
      </c>
      <c r="I12" s="489">
        <f>IFERROR(__xludf.DUMMYFUNCTION("SUM(F12 * 0.33, G12
*
SWITCH(
LEN(H12) - LEN(SUBSTITUTE(H12,"","","""")),
0 , VLOOKUP(H12, Variables!$A:$B, 2, FALSE),
1 , VLOOKUP(index(split(H12 ,"", "", FALSE),1,1), Variables!$A:$B , 2, FALSE) + VLOOKUP(index(split(H12 ,"", "", FALSE),1,2), Variables!"&amp;"$A:$B , 2, FALSE),
2 , VLOOKUP(index(split(H12 ,"", "", FALSE),1,1), Variables!$A:$B , 2, FALSE) + VLOOKUP(index(split(H12 ,"", "", FALSE),1,2), Variables!$A:$B , 2, FALSE) + VLOOKUP(index(split(H12 ,"", "", FALSE),1,3), Variables!$A:$B , 2, FALSE)
)
)"),32.99)</f>
        <v>32.99</v>
      </c>
      <c r="J12" s="513">
        <v>3.0</v>
      </c>
      <c r="K12" s="514">
        <v>18.0</v>
      </c>
      <c r="L12" s="515" t="s">
        <v>2590</v>
      </c>
      <c r="M12" s="312">
        <f>IFERROR(__xludf.DUMMYFUNCTION("SUM(J12 * 0.33, K12
*
SWITCH(
LEN(L12) - LEN(SUBSTITUTE(L12,"","","""")),
0 , VLOOKUP(L12, Variables!$A:$B, 2, FALSE),
1 , VLOOKUP(index(split(L12 ,"", "", FALSE),1,1), Variables!$A:$B , 2, FALSE) + VLOOKUP(index(split(L12 ,"", "", FALSE),1,2), Variables!"&amp;"$A:$B , 2, FALSE),
2 , VLOOKUP(index(split(L12 ,"", "", FALSE),1,1), Variables!$A:$B , 2, FALSE) + VLOOKUP(index(split(L12 ,"", "", FALSE),1,2), Variables!$A:$B , 2, FALSE) + VLOOKUP(index(split(L12 ,"", "", FALSE),1,3), Variables!$A:$B , 2, FALSE)
)
)"),48.99)</f>
        <v>48.99</v>
      </c>
      <c r="N12" s="514">
        <v>3.0</v>
      </c>
      <c r="O12" s="514">
        <v>23.0</v>
      </c>
      <c r="P12" s="515" t="s">
        <v>2590</v>
      </c>
      <c r="Q12" s="312">
        <f>IFERROR(__xludf.DUMMYFUNCTION("SUM(N12 * 0.33, O12
*
SWITCH(
LEN(P12) - LEN(SUBSTITUTE(P12,"","","""")),
0 , VLOOKUP(P12, Variables!$A:$B, 2, FALSE),
1 , VLOOKUP(index(split(P12 ,"", "", FALSE),1,1), Variables!$A:$B , 2, FALSE) + VLOOKUP(index(split(P12 ,"", "", FALSE),1,2), Variables!"&amp;"$A:$B , 2, FALSE),
2 , VLOOKUP(index(split(P12 ,"", "", FALSE),1,1), Variables!$A:$B , 2, FALSE) + VLOOKUP(index(split(P12 ,"", "", FALSE),1,2), Variables!$A:$B , 2, FALSE) + VLOOKUP(index(split(P12 ,"", "", FALSE),1,3), Variables!$A:$B , 2, FALSE)
)
)"),62.32333333333333)</f>
        <v>62.32333333</v>
      </c>
      <c r="R12" s="513">
        <v>6.0</v>
      </c>
      <c r="S12" s="514">
        <v>1.0</v>
      </c>
      <c r="T12" s="514">
        <v>2.0</v>
      </c>
      <c r="U12" s="516">
        <v>2.0</v>
      </c>
      <c r="V12" s="343" t="s">
        <v>1521</v>
      </c>
      <c r="W12" s="343" t="s">
        <v>1528</v>
      </c>
      <c r="X12" s="312">
        <f>IFERROR(__xludf.DUMMYFUNCTION("SWITCH(
LEN(W12) - LEN(SUBSTITUTE(W12,"","","""")),
0 , VLOOKUP(W12, Variables!$A:$B, 2, FALSE),
1 , VLOOKUP(index(split(W12 ,"", "", FALSE),1,1), Variables!$A:$B , 2, FALSE) + VLOOKUP(index(split(W12 ,"", "", FALSE),1,2), Variables!$A:$B , 2, FALSE),
2 ,"&amp;" VLOOKUP(index(split(W12 ,"", "", FALSE),1,1), Variables!$A:$B , 2, FALSE) + VLOOKUP(index(split(W12 ,"", "", FALSE),1,2), Variables!$A:$B , 2, FALSE) + VLOOKUP(index(split(W12 ,"", "", FALSE),1,3), Variables!$A:$B , 2, FALSE),
3 , VLOOKUP(index(split(W12"&amp;" ,"", "", FALSE),1,1), Variables!$A:$B , 2, FALSE) + VLOOKUP(index(split(W12 ,"", "", FALSE),1,2), Variables!$A:$B , 2, FALSE) + VLOOKUP(index(split(W12 ,"", "", FALSE),1,3), Variables!$A:$B , 2, FALSE) + VLOOKUP(index(split(W12 ,"", "", FALSE),1,4), Vari"&amp;"ables!$A:$B , 2, FALSE)
)"),5.5)</f>
        <v>5.5</v>
      </c>
      <c r="Y12" s="343" t="s">
        <v>2680</v>
      </c>
      <c r="Z12" s="342">
        <f>IFERROR(__xludf.DUMMYFUNCTION("IF(ISBLANK(Y12), , 
SWITCH(
LEN(Y12)- LEN(SUBSTITUTE(Y12,"","","""")), 
0 , VLOOKUP(Y12, vote4TRAITS!A:C , 3, FALSE),
1 , VLOOKUP(index(split(Y12 ,"", "", FALSE),1,1), vote4TRAITS!A:C , 3, FALSE) + VLOOKUP(index(split(Y12 ,"", "", FALSE),1,2), vote4TRAITS"&amp;"!A:C , 3, FALSE),
2 , VLOOKUP(index(split(Y12 ,"", "", FALSE),1,1), vote4TRAITS!A:C , 3, FALSE) + VLOOKUP(index(split(Y12 ,"", "", FALSE),1,2), vote4TRAITS!A:C , 3, FALSE) + VLOOKUP(index(split(Y12 ,"", "", FALSE),1,3), vote4TRAITS!A:C , 3, FALSE)
)
)"),9.5)</f>
        <v>9.5</v>
      </c>
      <c r="AA12" s="343" t="s">
        <v>1369</v>
      </c>
      <c r="AB12" s="343">
        <f>IFERROR(__xludf.DUMMYFUNCTION("IF(ISBLANK(AA12), , 
SWITCH(
LEN(AA12)- LEN(SUBSTITUTE(AA12,"","","""")), 
0 , VLOOKUP(AA12, vote4ACTIONS!A:C , 3, FALSE),
1 , VLOOKUP(index(split(AA12 ,"", "", FALSE),1,1), vote4ACTIONS!A:C , 3, FALSE) + VLOOKUP(index(split(AA12 ,"", "", FALSE),1,2), vot"&amp;"e4ACTIONS!A:C , 3, FALSE),
2 , VLOOKUP(index(split(AA12 ,"", "", FALSE),1,1), vote4ACTIONS!A:C , 3, FALSE) + VLOOKUP(index(split(AA12 ,"", "", FALSE),1,2), vote4ACTIONS!A:C , 3, FALSE) + VLOOKUP(index(split(AA12 ,"", "", FALSE),1,3), vote4ACTIONS!A:C , 3,"&amp;" FALSE)
)
)"),4.5)</f>
        <v>4.5</v>
      </c>
      <c r="AC12" s="343" t="s">
        <v>1562</v>
      </c>
      <c r="AD12" s="517">
        <f>IF(ISBLANK(AC12),,IF(IFERROR(SEARCH("SS:",AC12),0) &gt; 0, 
VLOOKUP(SUBSTITUTE(AC12,"SS: ",""),vote4SURGE!$A:$C , 3, FALSE) - 2,
VLOOKUP(SUBSTITUTE(AC12,"S: ",""),vote4SURGE!$A:$C , 3, FALSE)
)
)</f>
        <v>3.5</v>
      </c>
      <c r="AE12" s="343"/>
      <c r="AF12" s="343" t="str">
        <f>IF(ISBLANK(AE12),,IF(IFERROR(SEARCH("SS:",AE12),0) &gt; 0, 
VLOOKUP(SUBSTITUTE(AE12,"SS: ",""),vote4SURGE!$A:$C , 3, FALSE) - 2,
VLOOKUP(SUBSTITUTE(AE12,"S: ",""),vote4SURGE!$A:$C , 3, FALSE)
)
)</f>
        <v/>
      </c>
      <c r="AG12" s="343"/>
      <c r="AH12" s="343" t="str">
        <f>IF(ISBLANK(AG12),,IF(IFERROR(SEARCH("SS:",AG12),0) &gt; 0, 
VLOOKUP(SUBSTITUTE(AG12,"SS: ",""),vote4SURGE!$A:$C , 3, FALSE) - 2,
VLOOKUP(SUBSTITUTE(AG12,"S: ",""),vote4SURGE!$A:$C , 3, FALSE)
)
)</f>
        <v/>
      </c>
      <c r="AI12" s="343">
        <f t="shared" si="1"/>
        <v>3.5</v>
      </c>
      <c r="AJ12" s="343">
        <f>ROUND(IFS(
IFERROR(SEARCH("Blue, Yellow, Yellow, Green",W12),0) &gt; 0 , VLOOKUP("Blue", Variables!A:C , 3 , FALSE) + (VLOOKUP("Yellow", Variables!A:C , 3 , FALSE) * 2) + VLOOKUP("Green", Variables!A:C , 3 , FALSE),
IFERROR(SEARCH("Blue, Yellow, Green, Green",W12),0) &gt; 0 , VLOOKUP("Blue", Variables!A:C , 3 , FALSE) + VLOOKUP("Yellow", Variables!A:C , 3 , FALSE)  + (VLOOKUP("Green", Variables!A:C , 3 , FALSE) * 2),
IFERROR(SEARCH("Blue, Red, Red",W12),0) &gt; 0 , VLOOKUP("Blue", Variables!A:C , 3 , FALSE) + VLOOKUP("Red", Variables!A:C , 3 , FALSE) * 2,
IFERROR(SEARCH("Blue, Yellow, Yellow",W12),0) &gt; 0 , VLOOKUP("Blue", Variables!A:C , 3 , FALSE) + (VLOOKUP("Yellow", Variables!A:C , 3 , FALSE) * 2),
IFERROR(SEARCH("Blue, Yellow, Green",W12),0) &gt; 0 , VLOOKUP("Blue", Variables!A:C , 3 , FALSE) + VLOOKUP("Yellow", Variables!A:C , 3 , FALSE) + VLOOKUP("Green", Variables!A:C , 3 , FALSE),
IFERROR(SEARCH("Blue, Red, Green",W12),0) &gt; 0 , VLOOKUP("Blue", Variables!A:C , 3 , FALSE) + VLOOKUP("Red", Variables!A:C , 3 , FALSE) + VLOOKUP("Green", Variables!A:C , 3 , FALSE),
IFERROR(SEARCH("Blue, Red, Yellow",W12),0) &gt; 0 , VLOOKUP("Blue", Variables!A:C , 3 , FALSE) + VLOOKUP("Red", Variables!A:C , 3 , FALSE) + VLOOKUP("Yellow", Variables!A:C , 3 , FALSE),
IFERROR(SEARCH("Blue, Green, Green",W12),0) &gt; 0 , VLOOKUP("Blue", Variables!A:C , 3 , FALSE) + (VLOOKUP("Green", Variables!A:C , 3 , FALSE) * 2),
IFERROR(SEARCH("Blue, Yellow",W12),0) &gt; 0 , VLOOKUP("Blue", Variables!A:C , 3 , FALSE) + VLOOKUP("Yellow", Variables!A:C , 3 , FALSE),
IFERROR(SEARCH("Blue, Red",W12),0) &gt; 0 , VLOOKUP("Blue", Variables!A:C , 3 , FALSE) + VLOOKUP("Red", Variables!A:C , 3 , FALSE),
IFERROR(SEARCH("Blue, Green",W12),0) &gt; 0 , VLOOKUP("Blue", Variables!A:C , 3 , FALSE) + VLOOKUP("Green", Variables!A:C , 3 , FALSE),
IFERROR(SEARCH("Green",W12),0) &gt; 0 , VLOOKUP("Green", Variables!A:C , 3 , FALSE),
IFERROR(SEARCH("Blue",W12),0) &gt; 0 , VLOOKUP("Blue", Variables!A:C , 3 , FALSE),
IFERROR(SEARCH("Yellow",W12),0) &gt; 0 , VLOOKUP("Yellow", Variables!A:C , 3 , FALSE),
IFERROR(SEARCH("Black, Black",W12),0) &gt; 0 , VLOOKUP("Black", Variables!A:C , 3 , FALSE) * 2,
IFERROR(SEARCH("Grey, Grey",W12),0) &gt; 0 , VLOOKUP("Grey", Variables!A:C , 3 , FALSE) * 2,
IFERROR(SEARCH("Grey, Brown",W12),0) &gt; 0 , VLOOKUP("Grey", Variables!A:C , 3 , FALSE)  + VLOOKUP("Brown", Variables!A:C , 3 , FALSE),
IFERROR(SEARCH("Black, Grey",W12),0) &gt; 0 , VLOOKUP("Black", Variables!A:C , 3 , FALSE) + VLOOKUP("Grey", Variables!A:C , 3 , FALSE),
IFERROR(SEARCH("Black, Brown",W12),0) &gt; 0 , VLOOKUP("Black", Variables!A:C , 3 , FALSE) + VLOOKUP("Brown", Variables!A:C , 3 , FALSE),
IFERROR(SEARCH("Black",W12),0) &gt; 0 , VLOOKUP("Black", Variables!A:C , 3 , FALSE),
IFERROR(SEARCH("Grey",W12),0) &gt; 0 , VLOOKUP("Grey", Variables!A:C , 3 , FALSE),
IFERROR(SEARCH("Brown",W12),0) &gt; 0 , VLOOKUP("Brown", Variables!A:C , 3 , FALSE),
0=0,0)
,
)</f>
        <v>1</v>
      </c>
      <c r="AK12" s="343">
        <f t="shared" si="2"/>
        <v>1</v>
      </c>
      <c r="AL12" s="345">
        <f t="shared" si="3"/>
        <v>34</v>
      </c>
      <c r="AM12" s="383"/>
    </row>
    <row r="13">
      <c r="A13" s="509" t="s">
        <v>2681</v>
      </c>
      <c r="B13" s="510">
        <v>1.0</v>
      </c>
      <c r="C13" s="510">
        <v>4.0</v>
      </c>
      <c r="D13" s="511" t="s">
        <v>1861</v>
      </c>
      <c r="E13" s="512" t="s">
        <v>2682</v>
      </c>
      <c r="F13" s="513">
        <v>3.0</v>
      </c>
      <c r="G13" s="514">
        <v>13.0</v>
      </c>
      <c r="H13" s="515" t="s">
        <v>1671</v>
      </c>
      <c r="I13" s="489">
        <f>IFERROR(__xludf.DUMMYFUNCTION("SUM(F13 * 0.33, G13
*
SWITCH(
LEN(H13) - LEN(SUBSTITUTE(H13,"","","""")),
0 , VLOOKUP(H13, Variables!$A:$B, 2, FALSE),
1 , VLOOKUP(index(split(H13 ,"", "", FALSE),1,1), Variables!$A:$B , 2, FALSE) + VLOOKUP(index(split(H13 ,"", "", FALSE),1,2), Variables!"&amp;"$A:$B , 2, FALSE),
2 , VLOOKUP(index(split(H13 ,"", "", FALSE),1,1), Variables!$A:$B , 2, FALSE) + VLOOKUP(index(split(H13 ,"", "", FALSE),1,2), Variables!$A:$B , 2, FALSE) + VLOOKUP(index(split(H13 ,"", "", FALSE),1,3), Variables!$A:$B , 2, FALSE)
)
)"),29.156666666666663)</f>
        <v>29.15666667</v>
      </c>
      <c r="J13" s="513">
        <v>3.0</v>
      </c>
      <c r="K13" s="514">
        <v>16.0</v>
      </c>
      <c r="L13" s="515" t="s">
        <v>1671</v>
      </c>
      <c r="M13" s="312">
        <f>IFERROR(__xludf.DUMMYFUNCTION("SUM(J13 * 0.33, K13
*
SWITCH(
LEN(L13) - LEN(SUBSTITUTE(L13,"","","""")),
0 , VLOOKUP(L13, Variables!$A:$B, 2, FALSE),
1 , VLOOKUP(index(split(L13 ,"", "", FALSE),1,1), Variables!$A:$B , 2, FALSE) + VLOOKUP(index(split(L13 ,"", "", FALSE),1,2), Variables!"&amp;"$A:$B , 2, FALSE),
2 , VLOOKUP(index(split(L13 ,"", "", FALSE),1,1), Variables!$A:$B , 2, FALSE) + VLOOKUP(index(split(L13 ,"", "", FALSE),1,2), Variables!$A:$B , 2, FALSE) + VLOOKUP(index(split(L13 ,"", "", FALSE),1,3), Variables!$A:$B , 2, FALSE)
)
)"),35.656666666666666)</f>
        <v>35.65666667</v>
      </c>
      <c r="N13" s="514">
        <v>3.0</v>
      </c>
      <c r="O13" s="514">
        <v>19.0</v>
      </c>
      <c r="P13" s="340" t="s">
        <v>2594</v>
      </c>
      <c r="Q13" s="312">
        <f>IFERROR(__xludf.DUMMYFUNCTION("SUM(N13 * 0.33, O13
*
SWITCH(
LEN(P13) - LEN(SUBSTITUTE(P13,"","","""")),
0 , VLOOKUP(P13, Variables!$A:$B, 2, FALSE),
1 , VLOOKUP(index(split(P13 ,"", "", FALSE),1,1), Variables!$A:$B , 2, FALSE) + VLOOKUP(index(split(P13 ,"", "", FALSE),1,2), Variables!"&amp;"$A:$B , 2, FALSE),
2 , VLOOKUP(index(split(P13 ,"", "", FALSE),1,1), Variables!$A:$B , 2, FALSE) + VLOOKUP(index(split(P13 ,"", "", FALSE),1,2), Variables!$A:$B , 2, FALSE) + VLOOKUP(index(split(P13 ,"", "", FALSE),1,3), Variables!$A:$B , 2, FALSE)
)
)"),54.82333333333333)</f>
        <v>54.82333333</v>
      </c>
      <c r="R13" s="513">
        <v>3.0</v>
      </c>
      <c r="S13" s="514">
        <v>5.0</v>
      </c>
      <c r="T13" s="514">
        <v>3.0</v>
      </c>
      <c r="U13" s="516">
        <v>4.0</v>
      </c>
      <c r="V13" s="343" t="s">
        <v>1567</v>
      </c>
      <c r="W13" s="343" t="s">
        <v>1522</v>
      </c>
      <c r="X13" s="312">
        <f>IFERROR(__xludf.DUMMYFUNCTION("SWITCH(
LEN(W13) - LEN(SUBSTITUTE(W13,"","","""")),
0 , VLOOKUP(W13, Variables!$A:$B, 2, FALSE),
1 , VLOOKUP(index(split(W13 ,"", "", FALSE),1,1), Variables!$A:$B , 2, FALSE) + VLOOKUP(index(split(W13 ,"", "", FALSE),1,2), Variables!$A:$B , 2, FALSE),
2 ,"&amp;" VLOOKUP(index(split(W13 ,"", "", FALSE),1,1), Variables!$A:$B , 2, FALSE) + VLOOKUP(index(split(W13 ,"", "", FALSE),1,2), Variables!$A:$B , 2, FALSE) + VLOOKUP(index(split(W13 ,"", "", FALSE),1,3), Variables!$A:$B , 2, FALSE),
3 , VLOOKUP(index(split(W13"&amp;" ,"", "", FALSE),1,1), Variables!$A:$B , 2, FALSE) + VLOOKUP(index(split(W13 ,"", "", FALSE),1,2), Variables!$A:$B , 2, FALSE) + VLOOKUP(index(split(W13 ,"", "", FALSE),1,3), Variables!$A:$B , 2, FALSE) + VLOOKUP(index(split(W13 ,"", "", FALSE),1,4), Vari"&amp;"ables!$A:$B , 2, FALSE)
)"),3.9999999999999996)</f>
        <v>4</v>
      </c>
      <c r="Y13" s="343" t="s">
        <v>971</v>
      </c>
      <c r="Z13" s="342">
        <f>IFERROR(__xludf.DUMMYFUNCTION("IF(ISBLANK(Y13), , 
SWITCH(
LEN(Y13)- LEN(SUBSTITUTE(Y13,"","","""")), 
0 , VLOOKUP(Y13, vote4TRAITS!A:C , 3, FALSE),
1 , VLOOKUP(index(split(Y13 ,"", "", FALSE),1,1), vote4TRAITS!A:C , 3, FALSE) + VLOOKUP(index(split(Y13 ,"", "", FALSE),1,2), vote4TRAITS"&amp;"!A:C , 3, FALSE),
2 , VLOOKUP(index(split(Y13 ,"", "", FALSE),1,1), vote4TRAITS!A:C , 3, FALSE) + VLOOKUP(index(split(Y13 ,"", "", FALSE),1,2), vote4TRAITS!A:C , 3, FALSE) + VLOOKUP(index(split(Y13 ,"", "", FALSE),1,3), vote4TRAITS!A:C , 3, FALSE)
)
)"),1.75)</f>
        <v>1.75</v>
      </c>
      <c r="AA13" s="343" t="s">
        <v>1381</v>
      </c>
      <c r="AB13" s="343">
        <f>IFERROR(__xludf.DUMMYFUNCTION("IF(ISBLANK(AA13), , 
SWITCH(
LEN(AA13)- LEN(SUBSTITUTE(AA13,"","","""")), 
0 , VLOOKUP(AA13, vote4ACTIONS!A:C , 3, FALSE),
1 , VLOOKUP(index(split(AA13 ,"", "", FALSE),1,1), vote4ACTIONS!A:C , 3, FALSE) + VLOOKUP(index(split(AA13 ,"", "", FALSE),1,2), vot"&amp;"e4ACTIONS!A:C , 3, FALSE),
2 , VLOOKUP(index(split(AA13 ,"", "", FALSE),1,1), vote4ACTIONS!A:C , 3, FALSE) + VLOOKUP(index(split(AA13 ,"", "", FALSE),1,2), vote4ACTIONS!A:C , 3, FALSE) + VLOOKUP(index(split(AA13 ,"", "", FALSE),1,3), vote4ACTIONS!A:C , 3,"&amp;" FALSE)
)
)"),4.5)</f>
        <v>4.5</v>
      </c>
      <c r="AC13" s="343" t="s">
        <v>2683</v>
      </c>
      <c r="AD13" s="517">
        <f>IF(ISBLANK(AC13),,IF(IFERROR(SEARCH("SS:",AC13),0) &gt; 0, 
VLOOKUP(SUBSTITUTE(AC13,"SS: ",""),vote4SURGE!$A:$C , 3, FALSE) - 2,
VLOOKUP(SUBSTITUTE(AC13,"S: ",""),vote4SURGE!$A:$C , 3, FALSE)
)
)</f>
        <v>4.5</v>
      </c>
      <c r="AE13" s="343"/>
      <c r="AF13" s="343" t="str">
        <f>IF(ISBLANK(AE13),,IF(IFERROR(SEARCH("SS:",AE13),0) &gt; 0, 
VLOOKUP(SUBSTITUTE(AE13,"SS: ",""),vote4SURGE!$A:$C , 3, FALSE) - 2,
VLOOKUP(SUBSTITUTE(AE13,"S: ",""),vote4SURGE!$A:$C , 3, FALSE)
)
)</f>
        <v/>
      </c>
      <c r="AG13" s="343"/>
      <c r="AH13" s="343" t="str">
        <f>IF(ISBLANK(AG13),,IF(IFERROR(SEARCH("SS:",AG13),0) &gt; 0, 
VLOOKUP(SUBSTITUTE(AG13,"SS: ",""),vote4SURGE!$A:$C , 3, FALSE) - 2,
VLOOKUP(SUBSTITUTE(AG13,"S: ",""),vote4SURGE!$A:$C , 3, FALSE)
)
)</f>
        <v/>
      </c>
      <c r="AI13" s="517">
        <f t="shared" si="1"/>
        <v>4.5</v>
      </c>
      <c r="AJ13" s="343">
        <f>ROUND(IFS(
IFERROR(SEARCH("Blue, Yellow, Yellow, Green",W13),0) &gt; 0 , VLOOKUP("Blue", Variables!A:C , 3 , FALSE) + (VLOOKUP("Yellow", Variables!A:C , 3 , FALSE) * 2) + VLOOKUP("Green", Variables!A:C , 3 , FALSE),
IFERROR(SEARCH("Blue, Yellow, Green, Green",W13),0) &gt; 0 , VLOOKUP("Blue", Variables!A:C , 3 , FALSE) + VLOOKUP("Yellow", Variables!A:C , 3 , FALSE)  + (VLOOKUP("Green", Variables!A:C , 3 , FALSE) * 2),
IFERROR(SEARCH("Blue, Red, Red",W13),0) &gt; 0 , VLOOKUP("Blue", Variables!A:C , 3 , FALSE) + VLOOKUP("Red", Variables!A:C , 3 , FALSE) * 2,
IFERROR(SEARCH("Blue, Yellow, Yellow",W13),0) &gt; 0 , VLOOKUP("Blue", Variables!A:C , 3 , FALSE) + (VLOOKUP("Yellow", Variables!A:C , 3 , FALSE) * 2),
IFERROR(SEARCH("Blue, Yellow, Green",W13),0) &gt; 0 , VLOOKUP("Blue", Variables!A:C , 3 , FALSE) + VLOOKUP("Yellow", Variables!A:C , 3 , FALSE) + VLOOKUP("Green", Variables!A:C , 3 , FALSE),
IFERROR(SEARCH("Blue, Red, Green",W13),0) &gt; 0 , VLOOKUP("Blue", Variables!A:C , 3 , FALSE) + VLOOKUP("Red", Variables!A:C , 3 , FALSE) + VLOOKUP("Green", Variables!A:C , 3 , FALSE),
IFERROR(SEARCH("Blue, Red, Yellow",W13),0) &gt; 0 , VLOOKUP("Blue", Variables!A:C , 3 , FALSE) + VLOOKUP("Red", Variables!A:C , 3 , FALSE) + VLOOKUP("Yellow", Variables!A:C , 3 , FALSE),
IFERROR(SEARCH("Blue, Green, Green",W13),0) &gt; 0 , VLOOKUP("Blue", Variables!A:C , 3 , FALSE) + (VLOOKUP("Green", Variables!A:C , 3 , FALSE) * 2),
IFERROR(SEARCH("Blue, Yellow",W13),0) &gt; 0 , VLOOKUP("Blue", Variables!A:C , 3 , FALSE) + VLOOKUP("Yellow", Variables!A:C , 3 , FALSE),
IFERROR(SEARCH("Blue, Red",W13),0) &gt; 0 , VLOOKUP("Blue", Variables!A:C , 3 , FALSE) + VLOOKUP("Red", Variables!A:C , 3 , FALSE),
IFERROR(SEARCH("Blue, Green",W13),0) &gt; 0 , VLOOKUP("Blue", Variables!A:C , 3 , FALSE) + VLOOKUP("Green", Variables!A:C , 3 , FALSE),
IFERROR(SEARCH("Green",W13),0) &gt; 0 , VLOOKUP("Green", Variables!A:C , 3 , FALSE),
IFERROR(SEARCH("Blue",W13),0) &gt; 0 , VLOOKUP("Blue", Variables!A:C , 3 , FALSE),
IFERROR(SEARCH("Yellow",W13),0) &gt; 0 , VLOOKUP("Yellow", Variables!A:C , 3 , FALSE),
IFERROR(SEARCH("Black, Black",W13),0) &gt; 0 , VLOOKUP("Black", Variables!A:C , 3 , FALSE) * 2,
IFERROR(SEARCH("Grey, Grey",W13),0) &gt; 0 , VLOOKUP("Grey", Variables!A:C , 3 , FALSE) * 2,
IFERROR(SEARCH("Grey, Brown",W13),0) &gt; 0 , VLOOKUP("Grey", Variables!A:C , 3 , FALSE)  + VLOOKUP("Brown", Variables!A:C , 3 , FALSE),
IFERROR(SEARCH("Black, Grey",W13),0) &gt; 0 , VLOOKUP("Black", Variables!A:C , 3 , FALSE) + VLOOKUP("Grey", Variables!A:C , 3 , FALSE),
IFERROR(SEARCH("Black, Brown",W13),0) &gt; 0 , VLOOKUP("Black", Variables!A:C , 3 , FALSE) + VLOOKUP("Brown", Variables!A:C , 3 , FALSE),
IFERROR(SEARCH("Black",W13),0) &gt; 0 , VLOOKUP("Black", Variables!A:C , 3 , FALSE),
IFERROR(SEARCH("Grey",W13),0) &gt; 0 , VLOOKUP("Grey", Variables!A:C , 3 , FALSE),
IFERROR(SEARCH("Brown",W13),0) &gt; 0 , VLOOKUP("Brown", Variables!A:C , 3 , FALSE),
0=0,0)
,
)</f>
        <v>1</v>
      </c>
      <c r="AK13" s="343">
        <f t="shared" si="2"/>
        <v>2</v>
      </c>
      <c r="AL13" s="345">
        <f t="shared" si="3"/>
        <v>29.75</v>
      </c>
      <c r="AM13" s="383"/>
    </row>
    <row r="14">
      <c r="A14" s="509" t="s">
        <v>2681</v>
      </c>
      <c r="B14" s="380">
        <v>2.0</v>
      </c>
      <c r="C14" s="380">
        <v>4.0</v>
      </c>
      <c r="D14" s="511" t="s">
        <v>1861</v>
      </c>
      <c r="E14" s="512" t="s">
        <v>2682</v>
      </c>
      <c r="F14" s="513">
        <v>3.0</v>
      </c>
      <c r="G14" s="514">
        <v>18.0</v>
      </c>
      <c r="H14" s="340" t="s">
        <v>2594</v>
      </c>
      <c r="I14" s="489">
        <f>IFERROR(__xludf.DUMMYFUNCTION("SUM(F14 * 0.33, G14
*
SWITCH(
LEN(H14) - LEN(SUBSTITUTE(H14,"","","""")),
0 , VLOOKUP(H14, Variables!$A:$B, 2, FALSE),
1 , VLOOKUP(index(split(H14 ,"", "", FALSE),1,1), Variables!$A:$B , 2, FALSE) + VLOOKUP(index(split(H14 ,"", "", FALSE),1,2), Variables!"&amp;"$A:$B , 2, FALSE),
2 , VLOOKUP(index(split(H14 ,"", "", FALSE),1,1), Variables!$A:$B , 2, FALSE) + VLOOKUP(index(split(H14 ,"", "", FALSE),1,2), Variables!$A:$B , 2, FALSE) + VLOOKUP(index(split(H14 ,"", "", FALSE),1,3), Variables!$A:$B , 2, FALSE)
)
)"),51.989999999999995)</f>
        <v>51.99</v>
      </c>
      <c r="J14" s="513">
        <v>3.0</v>
      </c>
      <c r="K14" s="514">
        <v>21.0</v>
      </c>
      <c r="L14" s="340" t="s">
        <v>2594</v>
      </c>
      <c r="M14" s="312">
        <f>IFERROR(__xludf.DUMMYFUNCTION("SUM(J14 * 0.33, K14
*
SWITCH(
LEN(L14) - LEN(SUBSTITUTE(L14,"","","""")),
0 , VLOOKUP(L14, Variables!$A:$B, 2, FALSE),
1 , VLOOKUP(index(split(L14 ,"", "", FALSE),1,1), Variables!$A:$B , 2, FALSE) + VLOOKUP(index(split(L14 ,"", "", FALSE),1,2), Variables!"&amp;"$A:$B , 2, FALSE),
2 , VLOOKUP(index(split(L14 ,"", "", FALSE),1,1), Variables!$A:$B , 2, FALSE) + VLOOKUP(index(split(L14 ,"", "", FALSE),1,2), Variables!$A:$B , 2, FALSE) + VLOOKUP(index(split(L14 ,"", "", FALSE),1,3), Variables!$A:$B , 2, FALSE)
)
)"),60.489999999999995)</f>
        <v>60.49</v>
      </c>
      <c r="N14" s="513">
        <v>3.0</v>
      </c>
      <c r="O14" s="514">
        <v>24.0</v>
      </c>
      <c r="P14" s="340" t="s">
        <v>2599</v>
      </c>
      <c r="Q14" s="312">
        <f>IFERROR(__xludf.DUMMYFUNCTION("SUM(N14 * 0.33, O14
*
SWITCH(
LEN(P14) - LEN(SUBSTITUTE(P14,"","","""")),
0 , VLOOKUP(P14, Variables!$A:$B, 2, FALSE),
1 , VLOOKUP(index(split(P14 ,"", "", FALSE),1,1), Variables!$A:$B , 2, FALSE) + VLOOKUP(index(split(P14 ,"", "", FALSE),1,2), Variables!"&amp;"$A:$B , 2, FALSE),
2 , VLOOKUP(index(split(P14 ,"", "", FALSE),1,1), Variables!$A:$B , 2, FALSE) + VLOOKUP(index(split(P14 ,"", "", FALSE),1,2), Variables!$A:$B , 2, FALSE) + VLOOKUP(index(split(P14 ,"", "", FALSE),1,3), Variables!$A:$B , 2, FALSE)
)
)"),84.99)</f>
        <v>84.99</v>
      </c>
      <c r="R14" s="513">
        <v>3.0</v>
      </c>
      <c r="S14" s="514">
        <v>5.0</v>
      </c>
      <c r="T14" s="514">
        <v>3.0</v>
      </c>
      <c r="U14" s="516">
        <v>4.0</v>
      </c>
      <c r="V14" s="343" t="s">
        <v>1567</v>
      </c>
      <c r="W14" s="343" t="s">
        <v>2684</v>
      </c>
      <c r="X14" s="312">
        <f>IFERROR(__xludf.DUMMYFUNCTION("SWITCH(
LEN(W14) - LEN(SUBSTITUTE(W14,"","","""")),
0 , VLOOKUP(W14, Variables!$A:$B, 2, FALSE),
1 , VLOOKUP(index(split(W14 ,"", "", FALSE),1,1), Variables!$A:$B , 2, FALSE) + VLOOKUP(index(split(W14 ,"", "", FALSE),1,2), Variables!$A:$B , 2, FALSE),
2 ,"&amp;" VLOOKUP(index(split(W14 ,"", "", FALSE),1,1), Variables!$A:$B , 2, FALSE) + VLOOKUP(index(split(W14 ,"", "", FALSE),1,2), Variables!$A:$B , 2, FALSE) + VLOOKUP(index(split(W14 ,"", "", FALSE),1,3), Variables!$A:$B , 2, FALSE),
3 , VLOOKUP(index(split(W14"&amp;" ,"", "", FALSE),1,1), Variables!$A:$B , 2, FALSE) + VLOOKUP(index(split(W14 ,"", "", FALSE),1,2), Variables!$A:$B , 2, FALSE) + VLOOKUP(index(split(W14 ,"", "", FALSE),1,3), Variables!$A:$B , 2, FALSE) + VLOOKUP(index(split(W14 ,"", "", FALSE),1,4), Vari"&amp;"ables!$A:$B , 2, FALSE)
)"),5.166666666666667)</f>
        <v>5.166666667</v>
      </c>
      <c r="Y14" s="343" t="s">
        <v>2685</v>
      </c>
      <c r="Z14" s="342">
        <f>IFERROR(__xludf.DUMMYFUNCTION("IF(ISBLANK(Y14), , 
SWITCH(
LEN(Y14)- LEN(SUBSTITUTE(Y14,"","","""")), 
0 , VLOOKUP(Y14, vote4TRAITS!A:C , 3, FALSE),
1 , VLOOKUP(index(split(Y14 ,"", "", FALSE),1,1), vote4TRAITS!A:C , 3, FALSE) + VLOOKUP(index(split(Y14 ,"", "", FALSE),1,2), vote4TRAITS"&amp;"!A:C , 3, FALSE),
2 , VLOOKUP(index(split(Y14 ,"", "", FALSE),1,1), vote4TRAITS!A:C , 3, FALSE) + VLOOKUP(index(split(Y14 ,"", "", FALSE),1,2), vote4TRAITS!A:C , 3, FALSE) + VLOOKUP(index(split(Y14 ,"", "", FALSE),1,3), vote4TRAITS!A:C , 3, FALSE)
)
)"),8.0)</f>
        <v>8</v>
      </c>
      <c r="AA14" s="343" t="s">
        <v>1381</v>
      </c>
      <c r="AB14" s="343">
        <f>IFERROR(__xludf.DUMMYFUNCTION("IF(ISBLANK(AA14), , 
SWITCH(
LEN(AA14)- LEN(SUBSTITUTE(AA14,"","","""")), 
0 , VLOOKUP(AA14, vote4ACTIONS!A:C , 3, FALSE),
1 , VLOOKUP(index(split(AA14 ,"", "", FALSE),1,1), vote4ACTIONS!A:C , 3, FALSE) + VLOOKUP(index(split(AA14 ,"", "", FALSE),1,2), vot"&amp;"e4ACTIONS!A:C , 3, FALSE),
2 , VLOOKUP(index(split(AA14 ,"", "", FALSE),1,1), vote4ACTIONS!A:C , 3, FALSE) + VLOOKUP(index(split(AA14 ,"", "", FALSE),1,2), vote4ACTIONS!A:C , 3, FALSE) + VLOOKUP(index(split(AA14 ,"", "", FALSE),1,3), vote4ACTIONS!A:C , 3,"&amp;" FALSE)
)
)"),4.5)</f>
        <v>4.5</v>
      </c>
      <c r="AC14" s="343" t="s">
        <v>2683</v>
      </c>
      <c r="AD14" s="517">
        <f>IF(ISBLANK(AC14),,IF(IFERROR(SEARCH("SS:",AC14),0) &gt; 0, 
VLOOKUP(SUBSTITUTE(AC14,"SS: ",""),vote4SURGE!$A:$C , 3, FALSE) - 2,
VLOOKUP(SUBSTITUTE(AC14,"S: ",""),vote4SURGE!$A:$C , 3, FALSE)
)
)</f>
        <v>4.5</v>
      </c>
      <c r="AE14" s="343"/>
      <c r="AF14" s="343" t="str">
        <f>IF(ISBLANK(AE14),,IF(IFERROR(SEARCH("SS:",AE14),0) &gt; 0, 
VLOOKUP(SUBSTITUTE(AE14,"SS: ",""),vote4SURGE!$A:$C , 3, FALSE) - 2,
VLOOKUP(SUBSTITUTE(AE14,"S: ",""),vote4SURGE!$A:$C , 3, FALSE)
)
)</f>
        <v/>
      </c>
      <c r="AG14" s="343"/>
      <c r="AH14" s="343" t="str">
        <f>IF(ISBLANK(AG14),,IF(IFERROR(SEARCH("SS:",AG14),0) &gt; 0, 
VLOOKUP(SUBSTITUTE(AG14,"SS: ",""),vote4SURGE!$A:$C , 3, FALSE) - 2,
VLOOKUP(SUBSTITUTE(AG14,"S: ",""),vote4SURGE!$A:$C , 3, FALSE)
)
)</f>
        <v/>
      </c>
      <c r="AI14" s="517">
        <f t="shared" si="1"/>
        <v>4.5</v>
      </c>
      <c r="AJ14" s="343">
        <f>ROUND(IFS(
IFERROR(SEARCH("Blue, Yellow, Yellow, Green",W14),0) &gt; 0 , VLOOKUP("Blue", Variables!A:C , 3 , FALSE) + (VLOOKUP("Yellow", Variables!A:C , 3 , FALSE) * 2) + VLOOKUP("Green", Variables!A:C , 3 , FALSE),
IFERROR(SEARCH("Blue, Yellow, Green, Green",W14),0) &gt; 0 , VLOOKUP("Blue", Variables!A:C , 3 , FALSE) + VLOOKUP("Yellow", Variables!A:C , 3 , FALSE)  + (VLOOKUP("Green", Variables!A:C , 3 , FALSE) * 2),
IFERROR(SEARCH("Blue, Red, Red",W14),0) &gt; 0 , VLOOKUP("Blue", Variables!A:C , 3 , FALSE) + VLOOKUP("Red", Variables!A:C , 3 , FALSE) * 2,
IFERROR(SEARCH("Blue, Yellow, Yellow",W14),0) &gt; 0 , VLOOKUP("Blue", Variables!A:C , 3 , FALSE) + (VLOOKUP("Yellow", Variables!A:C , 3 , FALSE) * 2),
IFERROR(SEARCH("Blue, Yellow, Green",W14),0) &gt; 0 , VLOOKUP("Blue", Variables!A:C , 3 , FALSE) + VLOOKUP("Yellow", Variables!A:C , 3 , FALSE) + VLOOKUP("Green", Variables!A:C , 3 , FALSE),
IFERROR(SEARCH("Blue, Red, Green",W14),0) &gt; 0 , VLOOKUP("Blue", Variables!A:C , 3 , FALSE) + VLOOKUP("Red", Variables!A:C , 3 , FALSE) + VLOOKUP("Green", Variables!A:C , 3 , FALSE),
IFERROR(SEARCH("Blue, Red, Yellow",W14),0) &gt; 0 , VLOOKUP("Blue", Variables!A:C , 3 , FALSE) + VLOOKUP("Red", Variables!A:C , 3 , FALSE) + VLOOKUP("Yellow", Variables!A:C , 3 , FALSE),
IFERROR(SEARCH("Blue, Green, Green",W14),0) &gt; 0 , VLOOKUP("Blue", Variables!A:C , 3 , FALSE) + (VLOOKUP("Green", Variables!A:C , 3 , FALSE) * 2),
IFERROR(SEARCH("Blue, Yellow",W14),0) &gt; 0 , VLOOKUP("Blue", Variables!A:C , 3 , FALSE) + VLOOKUP("Yellow", Variables!A:C , 3 , FALSE),
IFERROR(SEARCH("Blue, Red",W14),0) &gt; 0 , VLOOKUP("Blue", Variables!A:C , 3 , FALSE) + VLOOKUP("Red", Variables!A:C , 3 , FALSE),
IFERROR(SEARCH("Blue, Green",W14),0) &gt; 0 , VLOOKUP("Blue", Variables!A:C , 3 , FALSE) + VLOOKUP("Green", Variables!A:C , 3 , FALSE),
IFERROR(SEARCH("Green",W14),0) &gt; 0 , VLOOKUP("Green", Variables!A:C , 3 , FALSE),
IFERROR(SEARCH("Blue",W14),0) &gt; 0 , VLOOKUP("Blue", Variables!A:C , 3 , FALSE),
IFERROR(SEARCH("Yellow",W14),0) &gt; 0 , VLOOKUP("Yellow", Variables!A:C , 3 , FALSE),
IFERROR(SEARCH("Black, Black",W14),0) &gt; 0 , VLOOKUP("Black", Variables!A:C , 3 , FALSE) * 2,
IFERROR(SEARCH("Grey, Grey",W14),0) &gt; 0 , VLOOKUP("Grey", Variables!A:C , 3 , FALSE) * 2,
IFERROR(SEARCH("Grey, Brown",W14),0) &gt; 0 , VLOOKUP("Grey", Variables!A:C , 3 , FALSE)  + VLOOKUP("Brown", Variables!A:C , 3 , FALSE),
IFERROR(SEARCH("Black, Grey",W14),0) &gt; 0 , VLOOKUP("Black", Variables!A:C , 3 , FALSE) + VLOOKUP("Grey", Variables!A:C , 3 , FALSE),
IFERROR(SEARCH("Black, Brown",W14),0) &gt; 0 , VLOOKUP("Black", Variables!A:C , 3 , FALSE) + VLOOKUP("Brown", Variables!A:C , 3 , FALSE),
IFERROR(SEARCH("Black",W14),0) &gt; 0 , VLOOKUP("Black", Variables!A:C , 3 , FALSE),
IFERROR(SEARCH("Grey",W14),0) &gt; 0 , VLOOKUP("Grey", Variables!A:C , 3 , FALSE),
IFERROR(SEARCH("Brown",W14),0) &gt; 0 , VLOOKUP("Brown", Variables!A:C , 3 , FALSE),
0=0,0)
,
)</f>
        <v>1</v>
      </c>
      <c r="AK14" s="343">
        <f t="shared" si="2"/>
        <v>2</v>
      </c>
      <c r="AL14" s="345">
        <f t="shared" si="3"/>
        <v>37.16666667</v>
      </c>
      <c r="AM14" s="383"/>
    </row>
    <row r="15">
      <c r="A15" s="509" t="s">
        <v>2686</v>
      </c>
      <c r="B15" s="510">
        <v>1.0</v>
      </c>
      <c r="C15" s="510">
        <v>1.0</v>
      </c>
      <c r="D15" s="511" t="s">
        <v>2661</v>
      </c>
      <c r="E15" s="512" t="s">
        <v>2687</v>
      </c>
      <c r="F15" s="513">
        <v>4.0</v>
      </c>
      <c r="G15" s="514">
        <v>11.0</v>
      </c>
      <c r="H15" s="515" t="s">
        <v>1663</v>
      </c>
      <c r="I15" s="489">
        <f>IFERROR(__xludf.DUMMYFUNCTION("SUM(F15 * 0.33, G15
*
SWITCH(
LEN(H15) - LEN(SUBSTITUTE(H15,"","","""")),
0 , VLOOKUP(H15, Variables!$A:$B, 2, FALSE),
1 , VLOOKUP(index(split(H15 ,"", "", FALSE),1,1), Variables!$A:$B , 2, FALSE) + VLOOKUP(index(split(H15 ,"", "", FALSE),1,2), Variables!"&amp;"$A:$B , 2, FALSE),
2 , VLOOKUP(index(split(H15 ,"", "", FALSE),1,1), Variables!$A:$B , 2, FALSE) + VLOOKUP(index(split(H15 ,"", "", FALSE),1,2), Variables!$A:$B , 2, FALSE) + VLOOKUP(index(split(H15 ,"", "", FALSE),1,3), Variables!$A:$B , 2, FALSE)
)
)"),15.986666666666666)</f>
        <v>15.98666667</v>
      </c>
      <c r="J15" s="513">
        <v>4.0</v>
      </c>
      <c r="K15" s="514">
        <v>13.0</v>
      </c>
      <c r="L15" s="515" t="s">
        <v>1671</v>
      </c>
      <c r="M15" s="312">
        <f>IFERROR(__xludf.DUMMYFUNCTION("SUM(J15 * 0.33, K15
*
SWITCH(
LEN(L15) - LEN(SUBSTITUTE(L15,"","","""")),
0 , VLOOKUP(L15, Variables!$A:$B, 2, FALSE),
1 , VLOOKUP(index(split(L15 ,"", "", FALSE),1,1), Variables!$A:$B , 2, FALSE) + VLOOKUP(index(split(L15 ,"", "", FALSE),1,2), Variables!"&amp;"$A:$B , 2, FALSE),
2 , VLOOKUP(index(split(L15 ,"", "", FALSE),1,1), Variables!$A:$B , 2, FALSE) + VLOOKUP(index(split(L15 ,"", "", FALSE),1,2), Variables!$A:$B , 2, FALSE) + VLOOKUP(index(split(L15 ,"", "", FALSE),1,3), Variables!$A:$B , 2, FALSE)
)
)"),29.486666666666665)</f>
        <v>29.48666667</v>
      </c>
      <c r="N15" s="514">
        <v>4.0</v>
      </c>
      <c r="O15" s="514">
        <v>16.0</v>
      </c>
      <c r="P15" s="340" t="s">
        <v>1671</v>
      </c>
      <c r="Q15" s="312">
        <f>IFERROR(__xludf.DUMMYFUNCTION("SUM(N15 * 0.33, O15
*
SWITCH(
LEN(P15) - LEN(SUBSTITUTE(P15,"","","""")),
0 , VLOOKUP(P15, Variables!$A:$B, 2, FALSE),
1 , VLOOKUP(index(split(P15 ,"", "", FALSE),1,1), Variables!$A:$B , 2, FALSE) + VLOOKUP(index(split(P15 ,"", "", FALSE),1,2), Variables!"&amp;"$A:$B , 2, FALSE),
2 , VLOOKUP(index(split(P15 ,"", "", FALSE),1,1), Variables!$A:$B , 2, FALSE) + VLOOKUP(index(split(P15 ,"", "", FALSE),1,2), Variables!$A:$B , 2, FALSE) + VLOOKUP(index(split(P15 ,"", "", FALSE),1,3), Variables!$A:$B , 2, FALSE)
)
)"),35.986666666666665)</f>
        <v>35.98666667</v>
      </c>
      <c r="R15" s="513">
        <v>3.0</v>
      </c>
      <c r="S15" s="514">
        <v>4.0</v>
      </c>
      <c r="T15" s="514">
        <v>4.0</v>
      </c>
      <c r="U15" s="516">
        <v>1.0</v>
      </c>
      <c r="V15" s="343" t="s">
        <v>1567</v>
      </c>
      <c r="W15" s="343" t="s">
        <v>1548</v>
      </c>
      <c r="X15" s="312">
        <f>IFERROR(__xludf.DUMMYFUNCTION("SWITCH(
LEN(W15) - LEN(SUBSTITUTE(W15,"","","""")),
0 , VLOOKUP(W15, Variables!$A:$B, 2, FALSE),
1 , VLOOKUP(index(split(W15 ,"", "", FALSE),1,1), Variables!$A:$B , 2, FALSE) + VLOOKUP(index(split(W15 ,"", "", FALSE),1,2), Variables!$A:$B , 2, FALSE),
2 ,"&amp;" VLOOKUP(index(split(W15 ,"", "", FALSE),1,1), Variables!$A:$B , 2, FALSE) + VLOOKUP(index(split(W15 ,"", "", FALSE),1,2), Variables!$A:$B , 2, FALSE) + VLOOKUP(index(split(W15 ,"", "", FALSE),1,3), Variables!$A:$B , 2, FALSE),
3 , VLOOKUP(index(split(W15"&amp;" ,"", "", FALSE),1,1), Variables!$A:$B , 2, FALSE) + VLOOKUP(index(split(W15 ,"", "", FALSE),1,2), Variables!$A:$B , 2, FALSE) + VLOOKUP(index(split(W15 ,"", "", FALSE),1,3), Variables!$A:$B , 2, FALSE) + VLOOKUP(index(split(W15 ,"", "", FALSE),1,4), Vari"&amp;"ables!$A:$B , 2, FALSE)
)"),2.3333333333333335)</f>
        <v>2.333333333</v>
      </c>
      <c r="Y15" s="343" t="s">
        <v>2688</v>
      </c>
      <c r="Z15" s="342">
        <f>IFERROR(__xludf.DUMMYFUNCTION("IF(ISBLANK(Y15), , 
SWITCH(
LEN(Y15)- LEN(SUBSTITUTE(Y15,"","","""")), 
0 , VLOOKUP(Y15, vote4TRAITS!A:C , 3, FALSE),
1 , VLOOKUP(index(split(Y15 ,"", "", FALSE),1,1), vote4TRAITS!A:C , 3, FALSE) + VLOOKUP(index(split(Y15 ,"", "", FALSE),1,2), vote4TRAITS"&amp;"!A:C , 3, FALSE),
2 , VLOOKUP(index(split(Y15 ,"", "", FALSE),1,1), vote4TRAITS!A:C , 3, FALSE) + VLOOKUP(index(split(Y15 ,"", "", FALSE),1,2), vote4TRAITS!A:C , 3, FALSE) + VLOOKUP(index(split(Y15 ,"", "", FALSE),1,3), vote4TRAITS!A:C , 3, FALSE)
)
)"),8.5)</f>
        <v>8.5</v>
      </c>
      <c r="AA15" s="343"/>
      <c r="AB15" s="343" t="str">
        <f>IFERROR(__xludf.DUMMYFUNCTION("IF(ISBLANK(AA15), , 
SWITCH(
LEN(AA15)- LEN(SUBSTITUTE(AA15,"","","""")), 
0 , VLOOKUP(AA15, vote4ACTIONS!A:C , 3, FALSE),
1 , VLOOKUP(index(split(AA15 ,"", "", FALSE),1,1), vote4ACTIONS!A:C , 3, FALSE) + VLOOKUP(index(split(AA15 ,"", "", FALSE),1,2), vot"&amp;"e4ACTIONS!A:C , 3, FALSE),
2 , VLOOKUP(index(split(AA15 ,"", "", FALSE),1,1), vote4ACTIONS!A:C , 3, FALSE) + VLOOKUP(index(split(AA15 ,"", "", FALSE),1,2), vote4ACTIONS!A:C , 3, FALSE) + VLOOKUP(index(split(AA15 ,"", "", FALSE),1,3), vote4ACTIONS!A:C , 3,"&amp;" FALSE)
)
)"),"")</f>
        <v/>
      </c>
      <c r="AC15" s="343" t="s">
        <v>2689</v>
      </c>
      <c r="AD15" s="517">
        <f>IF(ISBLANK(AC15),,IF(IFERROR(SEARCH("SS:",AC15),0) &gt; 0, 
VLOOKUP(SUBSTITUTE(AC15,"SS: ",""),vote4SURGE!$A:$C , 3, FALSE) - 2,
VLOOKUP(SUBSTITUTE(AC15,"S: ",""),vote4SURGE!$A:$C , 3, FALSE)
)
)</f>
        <v>6</v>
      </c>
      <c r="AE15" s="343"/>
      <c r="AF15" s="343" t="str">
        <f>IF(ISBLANK(AE15),,IF(IFERROR(SEARCH("SS:",AE15),0) &gt; 0, 
VLOOKUP(SUBSTITUTE(AE15,"SS: ",""),vote4SURGE!$A:$C , 3, FALSE) - 2,
VLOOKUP(SUBSTITUTE(AE15,"S: ",""),vote4SURGE!$A:$C , 3, FALSE)
)
)</f>
        <v/>
      </c>
      <c r="AG15" s="343"/>
      <c r="AH15" s="343" t="str">
        <f>IF(ISBLANK(AG15),,IF(IFERROR(SEARCH("SS:",AG15),0) &gt; 0, 
VLOOKUP(SUBSTITUTE(AG15,"SS: ",""),vote4SURGE!$A:$C , 3, FALSE) - 2,
VLOOKUP(SUBSTITUTE(AG15,"S: ",""),vote4SURGE!$A:$C , 3, FALSE)
)
)</f>
        <v/>
      </c>
      <c r="AI15" s="343">
        <f t="shared" si="1"/>
        <v>6</v>
      </c>
      <c r="AJ15" s="343">
        <f>ROUND(IFS(
IFERROR(SEARCH("Blue, Yellow, Yellow, Green",W15),0) &gt; 0 , VLOOKUP("Blue", Variables!A:C , 3 , FALSE) + (VLOOKUP("Yellow", Variables!A:C , 3 , FALSE) * 2) + VLOOKUP("Green", Variables!A:C , 3 , FALSE),
IFERROR(SEARCH("Blue, Yellow, Green, Green",W15),0) &gt; 0 , VLOOKUP("Blue", Variables!A:C , 3 , FALSE) + VLOOKUP("Yellow", Variables!A:C , 3 , FALSE)  + (VLOOKUP("Green", Variables!A:C , 3 , FALSE) * 2),
IFERROR(SEARCH("Blue, Red, Red",W15),0) &gt; 0 , VLOOKUP("Blue", Variables!A:C , 3 , FALSE) + VLOOKUP("Red", Variables!A:C , 3 , FALSE) * 2,
IFERROR(SEARCH("Blue, Yellow, Yellow",W15),0) &gt; 0 , VLOOKUP("Blue", Variables!A:C , 3 , FALSE) + (VLOOKUP("Yellow", Variables!A:C , 3 , FALSE) * 2),
IFERROR(SEARCH("Blue, Yellow, Green",W15),0) &gt; 0 , VLOOKUP("Blue", Variables!A:C , 3 , FALSE) + VLOOKUP("Yellow", Variables!A:C , 3 , FALSE) + VLOOKUP("Green", Variables!A:C , 3 , FALSE),
IFERROR(SEARCH("Blue, Red, Green",W15),0) &gt; 0 , VLOOKUP("Blue", Variables!A:C , 3 , FALSE) + VLOOKUP("Red", Variables!A:C , 3 , FALSE) + VLOOKUP("Green", Variables!A:C , 3 , FALSE),
IFERROR(SEARCH("Blue, Red, Yellow",W15),0) &gt; 0 , VLOOKUP("Blue", Variables!A:C , 3 , FALSE) + VLOOKUP("Red", Variables!A:C , 3 , FALSE) + VLOOKUP("Yellow", Variables!A:C , 3 , FALSE),
IFERROR(SEARCH("Blue, Green, Green",W15),0) &gt; 0 , VLOOKUP("Blue", Variables!A:C , 3 , FALSE) + (VLOOKUP("Green", Variables!A:C , 3 , FALSE) * 2),
IFERROR(SEARCH("Blue, Yellow",W15),0) &gt; 0 , VLOOKUP("Blue", Variables!A:C , 3 , FALSE) + VLOOKUP("Yellow", Variables!A:C , 3 , FALSE),
IFERROR(SEARCH("Blue, Red",W15),0) &gt; 0 , VLOOKUP("Blue", Variables!A:C , 3 , FALSE) + VLOOKUP("Red", Variables!A:C , 3 , FALSE),
IFERROR(SEARCH("Blue, Green",W15),0) &gt; 0 , VLOOKUP("Blue", Variables!A:C , 3 , FALSE) + VLOOKUP("Green", Variables!A:C , 3 , FALSE),
IFERROR(SEARCH("Green",W15),0) &gt; 0 , VLOOKUP("Green", Variables!A:C , 3 , FALSE),
IFERROR(SEARCH("Blue",W15),0) &gt; 0 , VLOOKUP("Blue", Variables!A:C , 3 , FALSE),
IFERROR(SEARCH("Yellow",W15),0) &gt; 0 , VLOOKUP("Yellow", Variables!A:C , 3 , FALSE),
IFERROR(SEARCH("Black, Black",W15),0) &gt; 0 , VLOOKUP("Black", Variables!A:C , 3 , FALSE) * 2,
IFERROR(SEARCH("Grey, Grey",W15),0) &gt; 0 , VLOOKUP("Grey", Variables!A:C , 3 , FALSE) * 2,
IFERROR(SEARCH("Grey, Brown",W15),0) &gt; 0 , VLOOKUP("Grey", Variables!A:C , 3 , FALSE)  + VLOOKUP("Brown", Variables!A:C , 3 , FALSE),
IFERROR(SEARCH("Black, Grey",W15),0) &gt; 0 , VLOOKUP("Black", Variables!A:C , 3 , FALSE) + VLOOKUP("Grey", Variables!A:C , 3 , FALSE),
IFERROR(SEARCH("Black, Brown",W15),0) &gt; 0 , VLOOKUP("Black", Variables!A:C , 3 , FALSE) + VLOOKUP("Brown", Variables!A:C , 3 , FALSE),
IFERROR(SEARCH("Black",W15),0) &gt; 0 , VLOOKUP("Black", Variables!A:C , 3 , FALSE),
IFERROR(SEARCH("Grey",W15),0) &gt; 0 , VLOOKUP("Grey", Variables!A:C , 3 , FALSE),
IFERROR(SEARCH("Brown",W15),0) &gt; 0 , VLOOKUP("Brown", Variables!A:C , 3 , FALSE),
0=0,0)
,
)</f>
        <v>1</v>
      </c>
      <c r="AK15" s="343">
        <f t="shared" si="2"/>
        <v>1</v>
      </c>
      <c r="AL15" s="345">
        <f t="shared" si="3"/>
        <v>28.83333333</v>
      </c>
      <c r="AM15" s="383"/>
    </row>
    <row r="16">
      <c r="A16" s="509" t="s">
        <v>2686</v>
      </c>
      <c r="B16" s="380">
        <v>2.0</v>
      </c>
      <c r="C16" s="380">
        <v>1.0</v>
      </c>
      <c r="D16" s="511" t="s">
        <v>2661</v>
      </c>
      <c r="E16" s="512" t="s">
        <v>2687</v>
      </c>
      <c r="F16" s="513">
        <v>4.0</v>
      </c>
      <c r="G16" s="514">
        <v>13.0</v>
      </c>
      <c r="H16" s="515" t="s">
        <v>1671</v>
      </c>
      <c r="I16" s="489">
        <f>IFERROR(__xludf.DUMMYFUNCTION("SUM(F16 * 0.33, G16
*
SWITCH(
LEN(H16) - LEN(SUBSTITUTE(H16,"","","""")),
0 , VLOOKUP(H16, Variables!$A:$B, 2, FALSE),
1 , VLOOKUP(index(split(H16 ,"", "", FALSE),1,1), Variables!$A:$B , 2, FALSE) + VLOOKUP(index(split(H16 ,"", "", FALSE),1,2), Variables!"&amp;"$A:$B , 2, FALSE),
2 , VLOOKUP(index(split(H16 ,"", "", FALSE),1,1), Variables!$A:$B , 2, FALSE) + VLOOKUP(index(split(H16 ,"", "", FALSE),1,2), Variables!$A:$B , 2, FALSE) + VLOOKUP(index(split(H16 ,"", "", FALSE),1,3), Variables!$A:$B , 2, FALSE)
)
)"),29.486666666666665)</f>
        <v>29.48666667</v>
      </c>
      <c r="J16" s="513">
        <v>4.0</v>
      </c>
      <c r="K16" s="514">
        <v>15.0</v>
      </c>
      <c r="L16" s="340" t="s">
        <v>2594</v>
      </c>
      <c r="M16" s="312">
        <f>IFERROR(__xludf.DUMMYFUNCTION("SUM(J16 * 0.33, K16
*
SWITCH(
LEN(L16) - LEN(SUBSTITUTE(L16,"","","""")),
0 , VLOOKUP(L16, Variables!$A:$B, 2, FALSE),
1 , VLOOKUP(index(split(L16 ,"", "", FALSE),1,1), Variables!$A:$B , 2, FALSE) + VLOOKUP(index(split(L16 ,"", "", FALSE),1,2), Variables!"&amp;"$A:$B , 2, FALSE),
2 , VLOOKUP(index(split(L16 ,"", "", FALSE),1,1), Variables!$A:$B , 2, FALSE) + VLOOKUP(index(split(L16 ,"", "", FALSE),1,2), Variables!$A:$B , 2, FALSE) + VLOOKUP(index(split(L16 ,"", "", FALSE),1,3), Variables!$A:$B , 2, FALSE)
)
)"),43.81999999999999)</f>
        <v>43.82</v>
      </c>
      <c r="N16" s="513">
        <v>4.0</v>
      </c>
      <c r="O16" s="514">
        <v>19.0</v>
      </c>
      <c r="P16" s="340" t="s">
        <v>2594</v>
      </c>
      <c r="Q16" s="312">
        <f>IFERROR(__xludf.DUMMYFUNCTION("SUM(N16 * 0.33, O16
*
SWITCH(
LEN(P16) - LEN(SUBSTITUTE(P16,"","","""")),
0 , VLOOKUP(P16, Variables!$A:$B, 2, FALSE),
1 , VLOOKUP(index(split(P16 ,"", "", FALSE),1,1), Variables!$A:$B , 2, FALSE) + VLOOKUP(index(split(P16 ,"", "", FALSE),1,2), Variables!"&amp;"$A:$B , 2, FALSE),
2 , VLOOKUP(index(split(P16 ,"", "", FALSE),1,1), Variables!$A:$B , 2, FALSE) + VLOOKUP(index(split(P16 ,"", "", FALSE),1,2), Variables!$A:$B , 2, FALSE) + VLOOKUP(index(split(P16 ,"", "", FALSE),1,3), Variables!$A:$B , 2, FALSE)
)
)"),55.15333333333333)</f>
        <v>55.15333333</v>
      </c>
      <c r="R16" s="513">
        <v>3.0</v>
      </c>
      <c r="S16" s="514">
        <v>4.0</v>
      </c>
      <c r="T16" s="514">
        <v>4.0</v>
      </c>
      <c r="U16" s="516">
        <v>1.0</v>
      </c>
      <c r="V16" s="343" t="s">
        <v>1567</v>
      </c>
      <c r="W16" s="343" t="s">
        <v>1546</v>
      </c>
      <c r="X16" s="312">
        <f>IFERROR(__xludf.DUMMYFUNCTION("SWITCH(
LEN(W16) - LEN(SUBSTITUTE(W16,"","","""")),
0 , VLOOKUP(W16, Variables!$A:$B, 2, FALSE),
1 , VLOOKUP(index(split(W16 ,"", "", FALSE),1,1), Variables!$A:$B , 2, FALSE) + VLOOKUP(index(split(W16 ,"", "", FALSE),1,2), Variables!$A:$B , 2, FALSE),
2 ,"&amp;" VLOOKUP(index(split(W16 ,"", "", FALSE),1,1), Variables!$A:$B , 2, FALSE) + VLOOKUP(index(split(W16 ,"", "", FALSE),1,2), Variables!$A:$B , 2, FALSE) + VLOOKUP(index(split(W16 ,"", "", FALSE),1,3), Variables!$A:$B , 2, FALSE),
3 , VLOOKUP(index(split(W16"&amp;" ,"", "", FALSE),1,1), Variables!$A:$B , 2, FALSE) + VLOOKUP(index(split(W16 ,"", "", FALSE),1,2), Variables!$A:$B , 2, FALSE) + VLOOKUP(index(split(W16 ,"", "", FALSE),1,3), Variables!$A:$B , 2, FALSE) + VLOOKUP(index(split(W16 ,"", "", FALSE),1,4), Vari"&amp;"ables!$A:$B , 2, FALSE)
)"),3.5)</f>
        <v>3.5</v>
      </c>
      <c r="Y16" s="343" t="s">
        <v>2690</v>
      </c>
      <c r="Z16" s="342">
        <f>IFERROR(__xludf.DUMMYFUNCTION("IF(ISBLANK(Y16), , 
SWITCH(
LEN(Y16)- LEN(SUBSTITUTE(Y16,"","","""")), 
0 , VLOOKUP(Y16, vote4TRAITS!A:C , 3, FALSE),
1 , VLOOKUP(index(split(Y16 ,"", "", FALSE),1,1), vote4TRAITS!A:C , 3, FALSE) + VLOOKUP(index(split(Y16 ,"", "", FALSE),1,2), vote4TRAITS"&amp;"!A:C , 3, FALSE),
2 , VLOOKUP(index(split(Y16 ,"", "", FALSE),1,1), vote4TRAITS!A:C , 3, FALSE) + VLOOKUP(index(split(Y16 ,"", "", FALSE),1,2), vote4TRAITS!A:C , 3, FALSE) + VLOOKUP(index(split(Y16 ,"", "", FALSE),1,3), vote4TRAITS!A:C , 3, FALSE)
)
)"),16.5)</f>
        <v>16.5</v>
      </c>
      <c r="AA16" s="343"/>
      <c r="AB16" s="343" t="str">
        <f>IFERROR(__xludf.DUMMYFUNCTION("IF(ISBLANK(AA16), , 
SWITCH(
LEN(AA16)- LEN(SUBSTITUTE(AA16,"","","""")), 
0 , VLOOKUP(AA16, vote4ACTIONS!A:C , 3, FALSE),
1 , VLOOKUP(index(split(AA16 ,"", "", FALSE),1,1), vote4ACTIONS!A:C , 3, FALSE) + VLOOKUP(index(split(AA16 ,"", "", FALSE),1,2), vot"&amp;"e4ACTIONS!A:C , 3, FALSE),
2 , VLOOKUP(index(split(AA16 ,"", "", FALSE),1,1), vote4ACTIONS!A:C , 3, FALSE) + VLOOKUP(index(split(AA16 ,"", "", FALSE),1,2), vote4ACTIONS!A:C , 3, FALSE) + VLOOKUP(index(split(AA16 ,"", "", FALSE),1,3), vote4ACTIONS!A:C , 3,"&amp;" FALSE)
)
)"),"")</f>
        <v/>
      </c>
      <c r="AC16" s="343" t="s">
        <v>2689</v>
      </c>
      <c r="AD16" s="517">
        <f>IF(ISBLANK(AC16),,IF(IFERROR(SEARCH("SS:",AC16),0) &gt; 0, 
VLOOKUP(SUBSTITUTE(AC16,"SS: ",""),vote4SURGE!$A:$C , 3, FALSE) - 2,
VLOOKUP(SUBSTITUTE(AC16,"S: ",""),vote4SURGE!$A:$C , 3, FALSE)
)
)</f>
        <v>6</v>
      </c>
      <c r="AE16" s="343"/>
      <c r="AF16" s="343" t="str">
        <f>IF(ISBLANK(AE16),,IF(IFERROR(SEARCH("SS:",AE16),0) &gt; 0, 
VLOOKUP(SUBSTITUTE(AE16,"SS: ",""),vote4SURGE!$A:$C , 3, FALSE) - 2,
VLOOKUP(SUBSTITUTE(AE16,"S: ",""),vote4SURGE!$A:$C , 3, FALSE)
)
)</f>
        <v/>
      </c>
      <c r="AG16" s="343"/>
      <c r="AH16" s="343" t="str">
        <f>IF(ISBLANK(AG16),,IF(IFERROR(SEARCH("SS:",AG16),0) &gt; 0, 
VLOOKUP(SUBSTITUTE(AG16,"SS: ",""),vote4SURGE!$A:$C , 3, FALSE) - 2,
VLOOKUP(SUBSTITUTE(AG16,"S: ",""),vote4SURGE!$A:$C , 3, FALSE)
)
)</f>
        <v/>
      </c>
      <c r="AI16" s="343">
        <f t="shared" si="1"/>
        <v>6</v>
      </c>
      <c r="AJ16" s="343">
        <f>ROUND(IFS(
IFERROR(SEARCH("Blue, Yellow, Yellow, Green",W16),0) &gt; 0 , VLOOKUP("Blue", Variables!A:C , 3 , FALSE) + (VLOOKUP("Yellow", Variables!A:C , 3 , FALSE) * 2) + VLOOKUP("Green", Variables!A:C , 3 , FALSE),
IFERROR(SEARCH("Blue, Yellow, Green, Green",W16),0) &gt; 0 , VLOOKUP("Blue", Variables!A:C , 3 , FALSE) + VLOOKUP("Yellow", Variables!A:C , 3 , FALSE)  + (VLOOKUP("Green", Variables!A:C , 3 , FALSE) * 2),
IFERROR(SEARCH("Blue, Red, Red",W16),0) &gt; 0 , VLOOKUP("Blue", Variables!A:C , 3 , FALSE) + VLOOKUP("Red", Variables!A:C , 3 , FALSE) * 2,
IFERROR(SEARCH("Blue, Yellow, Yellow",W16),0) &gt; 0 , VLOOKUP("Blue", Variables!A:C , 3 , FALSE) + (VLOOKUP("Yellow", Variables!A:C , 3 , FALSE) * 2),
IFERROR(SEARCH("Blue, Yellow, Green",W16),0) &gt; 0 , VLOOKUP("Blue", Variables!A:C , 3 , FALSE) + VLOOKUP("Yellow", Variables!A:C , 3 , FALSE) + VLOOKUP("Green", Variables!A:C , 3 , FALSE),
IFERROR(SEARCH("Blue, Red, Green",W16),0) &gt; 0 , VLOOKUP("Blue", Variables!A:C , 3 , FALSE) + VLOOKUP("Red", Variables!A:C , 3 , FALSE) + VLOOKUP("Green", Variables!A:C , 3 , FALSE),
IFERROR(SEARCH("Blue, Red, Yellow",W16),0) &gt; 0 , VLOOKUP("Blue", Variables!A:C , 3 , FALSE) + VLOOKUP("Red", Variables!A:C , 3 , FALSE) + VLOOKUP("Yellow", Variables!A:C , 3 , FALSE),
IFERROR(SEARCH("Blue, Green, Green",W16),0) &gt; 0 , VLOOKUP("Blue", Variables!A:C , 3 , FALSE) + (VLOOKUP("Green", Variables!A:C , 3 , FALSE) * 2),
IFERROR(SEARCH("Blue, Yellow",W16),0) &gt; 0 , VLOOKUP("Blue", Variables!A:C , 3 , FALSE) + VLOOKUP("Yellow", Variables!A:C , 3 , FALSE),
IFERROR(SEARCH("Blue, Red",W16),0) &gt; 0 , VLOOKUP("Blue", Variables!A:C , 3 , FALSE) + VLOOKUP("Red", Variables!A:C , 3 , FALSE),
IFERROR(SEARCH("Blue, Green",W16),0) &gt; 0 , VLOOKUP("Blue", Variables!A:C , 3 , FALSE) + VLOOKUP("Green", Variables!A:C , 3 , FALSE),
IFERROR(SEARCH("Green",W16),0) &gt; 0 , VLOOKUP("Green", Variables!A:C , 3 , FALSE),
IFERROR(SEARCH("Blue",W16),0) &gt; 0 , VLOOKUP("Blue", Variables!A:C , 3 , FALSE),
IFERROR(SEARCH("Yellow",W16),0) &gt; 0 , VLOOKUP("Yellow", Variables!A:C , 3 , FALSE),
IFERROR(SEARCH("Black, Black",W16),0) &gt; 0 , VLOOKUP("Black", Variables!A:C , 3 , FALSE) * 2,
IFERROR(SEARCH("Grey, Grey",W16),0) &gt; 0 , VLOOKUP("Grey", Variables!A:C , 3 , FALSE) * 2,
IFERROR(SEARCH("Grey, Brown",W16),0) &gt; 0 , VLOOKUP("Grey", Variables!A:C , 3 , FALSE)  + VLOOKUP("Brown", Variables!A:C , 3 , FALSE),
IFERROR(SEARCH("Black, Grey",W16),0) &gt; 0 , VLOOKUP("Black", Variables!A:C , 3 , FALSE) + VLOOKUP("Grey", Variables!A:C , 3 , FALSE),
IFERROR(SEARCH("Black, Brown",W16),0) &gt; 0 , VLOOKUP("Black", Variables!A:C , 3 , FALSE) + VLOOKUP("Brown", Variables!A:C , 3 , FALSE),
IFERROR(SEARCH("Black",W16),0) &gt; 0 , VLOOKUP("Black", Variables!A:C , 3 , FALSE),
IFERROR(SEARCH("Grey",W16),0) &gt; 0 , VLOOKUP("Grey", Variables!A:C , 3 , FALSE),
IFERROR(SEARCH("Brown",W16),0) &gt; 0 , VLOOKUP("Brown", Variables!A:C , 3 , FALSE),
0=0,0)
,
)</f>
        <v>1</v>
      </c>
      <c r="AK16" s="343">
        <f t="shared" si="2"/>
        <v>1</v>
      </c>
      <c r="AL16" s="345">
        <f t="shared" si="3"/>
        <v>38</v>
      </c>
      <c r="AM16" s="383"/>
    </row>
    <row r="17">
      <c r="A17" s="509" t="s">
        <v>2691</v>
      </c>
      <c r="B17" s="510">
        <v>1.0</v>
      </c>
      <c r="C17" s="510">
        <v>1.0</v>
      </c>
      <c r="D17" s="511" t="s">
        <v>2669</v>
      </c>
      <c r="E17" s="512" t="s">
        <v>2692</v>
      </c>
      <c r="F17" s="513">
        <v>5.0</v>
      </c>
      <c r="G17" s="514">
        <v>6.0</v>
      </c>
      <c r="H17" s="515" t="s">
        <v>1621</v>
      </c>
      <c r="I17" s="489">
        <f>IFERROR(__xludf.DUMMYFUNCTION("SUM(F17 * 0.33, G17
*
SWITCH(
LEN(H17) - LEN(SUBSTITUTE(H17,"","","""")),
0 , VLOOKUP(H17, Variables!$A:$B, 2, FALSE),
1 , VLOOKUP(index(split(H17 ,"", "", FALSE),1,1), Variables!$A:$B , 2, FALSE) + VLOOKUP(index(split(H17 ,"", "", FALSE),1,2), Variables!"&amp;"$A:$B , 2, FALSE),
2 , VLOOKUP(index(split(H17 ,"", "", FALSE),1,1), Variables!$A:$B , 2, FALSE) + VLOOKUP(index(split(H17 ,"", "", FALSE),1,2), Variables!$A:$B , 2, FALSE) + VLOOKUP(index(split(H17 ,"", "", FALSE),1,3), Variables!$A:$B , 2, FALSE)
)
)"),5.65)</f>
        <v>5.65</v>
      </c>
      <c r="J17" s="513">
        <v>5.0</v>
      </c>
      <c r="K17" s="514">
        <v>9.0</v>
      </c>
      <c r="L17" s="515" t="s">
        <v>1663</v>
      </c>
      <c r="M17" s="312">
        <f>IFERROR(__xludf.DUMMYFUNCTION("SUM(J17 * 0.33, K17
*
SWITCH(
LEN(L17) - LEN(SUBSTITUTE(L17,"","","""")),
0 , VLOOKUP(L17, Variables!$A:$B, 2, FALSE),
1 , VLOOKUP(index(split(L17 ,"", "", FALSE),1,1), Variables!$A:$B , 2, FALSE) + VLOOKUP(index(split(L17 ,"", "", FALSE),1,2), Variables!"&amp;"$A:$B , 2, FALSE),
2 , VLOOKUP(index(split(L17 ,"", "", FALSE),1,1), Variables!$A:$B , 2, FALSE) + VLOOKUP(index(split(L17 ,"", "", FALSE),1,2), Variables!$A:$B , 2, FALSE) + VLOOKUP(index(split(L17 ,"", "", FALSE),1,3), Variables!$A:$B , 2, FALSE)
)
)"),13.65)</f>
        <v>13.65</v>
      </c>
      <c r="N17" s="514">
        <v>5.0</v>
      </c>
      <c r="O17" s="514">
        <v>12.0</v>
      </c>
      <c r="P17" s="340" t="s">
        <v>1663</v>
      </c>
      <c r="Q17" s="312">
        <f>IFERROR(__xludf.DUMMYFUNCTION("SUM(N17 * 0.33, O17
*
SWITCH(
LEN(P17) - LEN(SUBSTITUTE(P17,"","","""")),
0 , VLOOKUP(P17, Variables!$A:$B, 2, FALSE),
1 , VLOOKUP(index(split(P17 ,"", "", FALSE),1,1), Variables!$A:$B , 2, FALSE) + VLOOKUP(index(split(P17 ,"", "", FALSE),1,2), Variables!"&amp;"$A:$B , 2, FALSE),
2 , VLOOKUP(index(split(P17 ,"", "", FALSE),1,1), Variables!$A:$B , 2, FALSE) + VLOOKUP(index(split(P17 ,"", "", FALSE),1,2), Variables!$A:$B , 2, FALSE) + VLOOKUP(index(split(P17 ,"", "", FALSE),1,3), Variables!$A:$B , 2, FALSE)
)
)"),17.65)</f>
        <v>17.65</v>
      </c>
      <c r="R17" s="513">
        <v>1.0</v>
      </c>
      <c r="S17" s="514">
        <v>3.0</v>
      </c>
      <c r="T17" s="514">
        <v>3.0</v>
      </c>
      <c r="U17" s="516">
        <v>5.0</v>
      </c>
      <c r="V17" s="343" t="s">
        <v>1567</v>
      </c>
      <c r="W17" s="343" t="s">
        <v>1548</v>
      </c>
      <c r="X17" s="312">
        <f>IFERROR(__xludf.DUMMYFUNCTION("SWITCH(
LEN(W17) - LEN(SUBSTITUTE(W17,"","","""")),
0 , VLOOKUP(W17, Variables!$A:$B, 2, FALSE),
1 , VLOOKUP(index(split(W17 ,"", "", FALSE),1,1), Variables!$A:$B , 2, FALSE) + VLOOKUP(index(split(W17 ,"", "", FALSE),1,2), Variables!$A:$B , 2, FALSE),
2 ,"&amp;" VLOOKUP(index(split(W17 ,"", "", FALSE),1,1), Variables!$A:$B , 2, FALSE) + VLOOKUP(index(split(W17 ,"", "", FALSE),1,2), Variables!$A:$B , 2, FALSE) + VLOOKUP(index(split(W17 ,"", "", FALSE),1,3), Variables!$A:$B , 2, FALSE),
3 , VLOOKUP(index(split(W17"&amp;" ,"", "", FALSE),1,1), Variables!$A:$B , 2, FALSE) + VLOOKUP(index(split(W17 ,"", "", FALSE),1,2), Variables!$A:$B , 2, FALSE) + VLOOKUP(index(split(W17 ,"", "", FALSE),1,3), Variables!$A:$B , 2, FALSE) + VLOOKUP(index(split(W17 ,"", "", FALSE),1,4), Vari"&amp;"ables!$A:$B , 2, FALSE)
)"),2.3333333333333335)</f>
        <v>2.333333333</v>
      </c>
      <c r="Y17" s="343"/>
      <c r="Z17" s="342" t="str">
        <f>IFERROR(__xludf.DUMMYFUNCTION("IF(ISBLANK(Y17), , 
SWITCH(
LEN(Y17)- LEN(SUBSTITUTE(Y17,"","","""")), 
0 , VLOOKUP(Y17, vote4TRAITS!A:C , 3, FALSE),
1 , VLOOKUP(index(split(Y17 ,"", "", FALSE),1,1), vote4TRAITS!A:C , 3, FALSE) + VLOOKUP(index(split(Y17 ,"", "", FALSE),1,2), vote4TRAITS"&amp;"!A:C , 3, FALSE),
2 , VLOOKUP(index(split(Y17 ,"", "", FALSE),1,1), vote4TRAITS!A:C , 3, FALSE) + VLOOKUP(index(split(Y17 ,"", "", FALSE),1,2), vote4TRAITS!A:C , 3, FALSE) + VLOOKUP(index(split(Y17 ,"", "", FALSE),1,3), vote4TRAITS!A:C , 3, FALSE)
)
)"),"")</f>
        <v/>
      </c>
      <c r="AA17" s="343" t="s">
        <v>2693</v>
      </c>
      <c r="AB17" s="343">
        <f>IFERROR(__xludf.DUMMYFUNCTION("IF(ISBLANK(AA17), , 
SWITCH(
LEN(AA17)- LEN(SUBSTITUTE(AA17,"","","""")), 
0 , VLOOKUP(AA17, vote4ACTIONS!A:C , 3, FALSE),
1 , VLOOKUP(index(split(AA17 ,"", "", FALSE),1,1), vote4ACTIONS!A:C , 3, FALSE) + VLOOKUP(index(split(AA17 ,"", "", FALSE),1,2), vot"&amp;"e4ACTIONS!A:C , 3, FALSE),
2 , VLOOKUP(index(split(AA17 ,"", "", FALSE),1,1), vote4ACTIONS!A:C , 3, FALSE) + VLOOKUP(index(split(AA17 ,"", "", FALSE),1,2), vote4ACTIONS!A:C , 3, FALSE) + VLOOKUP(index(split(AA17 ,"", "", FALSE),1,3), vote4ACTIONS!A:C , 3,"&amp;" FALSE)
)
)"),3.0)</f>
        <v>3</v>
      </c>
      <c r="AC17" s="343" t="s">
        <v>2694</v>
      </c>
      <c r="AD17" s="517">
        <f>IF(ISBLANK(AC17),,IF(IFERROR(SEARCH("SS:",AC17),0) &gt; 0, 
VLOOKUP(SUBSTITUTE(AC17,"SS: ",""),vote4SURGE!$A:$C , 3, FALSE) - 2,
VLOOKUP(SUBSTITUTE(AC17,"S: ",""),vote4SURGE!$A:$C , 3, FALSE)
)
)</f>
        <v>4</v>
      </c>
      <c r="AE17" s="343"/>
      <c r="AF17" s="343" t="str">
        <f>IF(ISBLANK(AE17),,IF(IFERROR(SEARCH("SS:",AE17),0) &gt; 0, 
VLOOKUP(SUBSTITUTE(AE17,"SS: ",""),vote4SURGE!$A:$C , 3, FALSE) - 2,
VLOOKUP(SUBSTITUTE(AE17,"S: ",""),vote4SURGE!$A:$C , 3, FALSE)
)
)</f>
        <v/>
      </c>
      <c r="AG17" s="343"/>
      <c r="AH17" s="343" t="str">
        <f>IF(ISBLANK(AG17),,IF(IFERROR(SEARCH("SS:",AG17),0) &gt; 0, 
VLOOKUP(SUBSTITUTE(AG17,"SS: ",""),vote4SURGE!$A:$C , 3, FALSE) - 2,
VLOOKUP(SUBSTITUTE(AG17,"S: ",""),vote4SURGE!$A:$C , 3, FALSE)
)
)</f>
        <v/>
      </c>
      <c r="AI17" s="343">
        <f t="shared" si="1"/>
        <v>4</v>
      </c>
      <c r="AJ17" s="343">
        <f>ROUND(IFS(
IFERROR(SEARCH("Blue, Yellow, Yellow, Green",W17),0) &gt; 0 , VLOOKUP("Blue", Variables!A:C , 3 , FALSE) + (VLOOKUP("Yellow", Variables!A:C , 3 , FALSE) * 2) + VLOOKUP("Green", Variables!A:C , 3 , FALSE),
IFERROR(SEARCH("Blue, Yellow, Green, Green",W17),0) &gt; 0 , VLOOKUP("Blue", Variables!A:C , 3 , FALSE) + VLOOKUP("Yellow", Variables!A:C , 3 , FALSE)  + (VLOOKUP("Green", Variables!A:C , 3 , FALSE) * 2),
IFERROR(SEARCH("Blue, Red, Red",W17),0) &gt; 0 , VLOOKUP("Blue", Variables!A:C , 3 , FALSE) + VLOOKUP("Red", Variables!A:C , 3 , FALSE) * 2,
IFERROR(SEARCH("Blue, Yellow, Yellow",W17),0) &gt; 0 , VLOOKUP("Blue", Variables!A:C , 3 , FALSE) + (VLOOKUP("Yellow", Variables!A:C , 3 , FALSE) * 2),
IFERROR(SEARCH("Blue, Yellow, Green",W17),0) &gt; 0 , VLOOKUP("Blue", Variables!A:C , 3 , FALSE) + VLOOKUP("Yellow", Variables!A:C , 3 , FALSE) + VLOOKUP("Green", Variables!A:C , 3 , FALSE),
IFERROR(SEARCH("Blue, Red, Green",W17),0) &gt; 0 , VLOOKUP("Blue", Variables!A:C , 3 , FALSE) + VLOOKUP("Red", Variables!A:C , 3 , FALSE) + VLOOKUP("Green", Variables!A:C , 3 , FALSE),
IFERROR(SEARCH("Blue, Red, Yellow",W17),0) &gt; 0 , VLOOKUP("Blue", Variables!A:C , 3 , FALSE) + VLOOKUP("Red", Variables!A:C , 3 , FALSE) + VLOOKUP("Yellow", Variables!A:C , 3 , FALSE),
IFERROR(SEARCH("Blue, Green, Green",W17),0) &gt; 0 , VLOOKUP("Blue", Variables!A:C , 3 , FALSE) + (VLOOKUP("Green", Variables!A:C , 3 , FALSE) * 2),
IFERROR(SEARCH("Blue, Yellow",W17),0) &gt; 0 , VLOOKUP("Blue", Variables!A:C , 3 , FALSE) + VLOOKUP("Yellow", Variables!A:C , 3 , FALSE),
IFERROR(SEARCH("Blue, Red",W17),0) &gt; 0 , VLOOKUP("Blue", Variables!A:C , 3 , FALSE) + VLOOKUP("Red", Variables!A:C , 3 , FALSE),
IFERROR(SEARCH("Blue, Green",W17),0) &gt; 0 , VLOOKUP("Blue", Variables!A:C , 3 , FALSE) + VLOOKUP("Green", Variables!A:C , 3 , FALSE),
IFERROR(SEARCH("Green",W17),0) &gt; 0 , VLOOKUP("Green", Variables!A:C , 3 , FALSE),
IFERROR(SEARCH("Blue",W17),0) &gt; 0 , VLOOKUP("Blue", Variables!A:C , 3 , FALSE),
IFERROR(SEARCH("Yellow",W17),0) &gt; 0 , VLOOKUP("Yellow", Variables!A:C , 3 , FALSE),
IFERROR(SEARCH("Black, Black",W17),0) &gt; 0 , VLOOKUP("Black", Variables!A:C , 3 , FALSE) * 2,
IFERROR(SEARCH("Grey, Grey",W17),0) &gt; 0 , VLOOKUP("Grey", Variables!A:C , 3 , FALSE) * 2,
IFERROR(SEARCH("Grey, Brown",W17),0) &gt; 0 , VLOOKUP("Grey", Variables!A:C , 3 , FALSE)  + VLOOKUP("Brown", Variables!A:C , 3 , FALSE),
IFERROR(SEARCH("Black, Grey",W17),0) &gt; 0 , VLOOKUP("Black", Variables!A:C , 3 , FALSE) + VLOOKUP("Grey", Variables!A:C , 3 , FALSE),
IFERROR(SEARCH("Black, Brown",W17),0) &gt; 0 , VLOOKUP("Black", Variables!A:C , 3 , FALSE) + VLOOKUP("Brown", Variables!A:C , 3 , FALSE),
IFERROR(SEARCH("Black",W17),0) &gt; 0 , VLOOKUP("Black", Variables!A:C , 3 , FALSE),
IFERROR(SEARCH("Grey",W17),0) &gt; 0 , VLOOKUP("Grey", Variables!A:C , 3 , FALSE),
IFERROR(SEARCH("Brown",W17),0) &gt; 0 , VLOOKUP("Brown", Variables!A:C , 3 , FALSE),
0=0,0)
,
)</f>
        <v>1</v>
      </c>
      <c r="AK17" s="343">
        <f t="shared" si="2"/>
        <v>1</v>
      </c>
      <c r="AL17" s="345">
        <f t="shared" si="3"/>
        <v>21.33333333</v>
      </c>
      <c r="AM17" s="383"/>
    </row>
    <row r="18">
      <c r="A18" s="518" t="s">
        <v>2691</v>
      </c>
      <c r="B18" s="380">
        <v>2.0</v>
      </c>
      <c r="C18" s="380">
        <v>1.0</v>
      </c>
      <c r="D18" s="511" t="s">
        <v>2669</v>
      </c>
      <c r="E18" s="512" t="s">
        <v>2692</v>
      </c>
      <c r="F18" s="513">
        <v>5.0</v>
      </c>
      <c r="G18" s="514">
        <v>9.0</v>
      </c>
      <c r="H18" s="515" t="s">
        <v>1663</v>
      </c>
      <c r="I18" s="489">
        <f>IFERROR(__xludf.DUMMYFUNCTION("SUM(F18 * 0.33, G18
*
SWITCH(
LEN(H18) - LEN(SUBSTITUTE(H18,"","","""")),
0 , VLOOKUP(H18, Variables!$A:$B, 2, FALSE),
1 , VLOOKUP(index(split(H18 ,"", "", FALSE),1,1), Variables!$A:$B , 2, FALSE) + VLOOKUP(index(split(H18 ,"", "", FALSE),1,2), Variables!"&amp;"$A:$B , 2, FALSE),
2 , VLOOKUP(index(split(H18 ,"", "", FALSE),1,1), Variables!$A:$B , 2, FALSE) + VLOOKUP(index(split(H18 ,"", "", FALSE),1,2), Variables!$A:$B , 2, FALSE) + VLOOKUP(index(split(H18 ,"", "", FALSE),1,3), Variables!$A:$B , 2, FALSE)
)
)"),13.65)</f>
        <v>13.65</v>
      </c>
      <c r="J18" s="513">
        <v>5.0</v>
      </c>
      <c r="K18" s="514">
        <v>11.0</v>
      </c>
      <c r="L18" s="515" t="s">
        <v>2575</v>
      </c>
      <c r="M18" s="312">
        <f>IFERROR(__xludf.DUMMYFUNCTION("SUM(J18 * 0.33, K18
*
SWITCH(
LEN(L18) - LEN(SUBSTITUTE(L18,"","","""")),
0 , VLOOKUP(L18, Variables!$A:$B, 2, FALSE),
1 , VLOOKUP(index(split(L18 ,"", "", FALSE),1,1), Variables!$A:$B , 2, FALSE) + VLOOKUP(index(split(L18 ,"", "", FALSE),1,2), Variables!"&amp;"$A:$B , 2, FALSE),
2 , VLOOKUP(index(split(L18 ,"", "", FALSE),1,1), Variables!$A:$B , 2, FALSE) + VLOOKUP(index(split(L18 ,"", "", FALSE),1,2), Variables!$A:$B , 2, FALSE) + VLOOKUP(index(split(L18 ,"", "", FALSE),1,3), Variables!$A:$B , 2, FALSE)
)
)"),23.65)</f>
        <v>23.65</v>
      </c>
      <c r="N18" s="514">
        <v>5.0</v>
      </c>
      <c r="O18" s="514">
        <v>15.0</v>
      </c>
      <c r="P18" s="515" t="s">
        <v>2575</v>
      </c>
      <c r="Q18" s="312">
        <f>IFERROR(__xludf.DUMMYFUNCTION("SUM(N18 * 0.33, O18
*
SWITCH(
LEN(P18) - LEN(SUBSTITUTE(P18,"","","""")),
0 , VLOOKUP(P18, Variables!$A:$B, 2, FALSE),
1 , VLOOKUP(index(split(P18 ,"", "", FALSE),1,1), Variables!$A:$B , 2, FALSE) + VLOOKUP(index(split(P18 ,"", "", FALSE),1,2), Variables!"&amp;"$A:$B , 2, FALSE),
2 , VLOOKUP(index(split(P18 ,"", "", FALSE),1,1), Variables!$A:$B , 2, FALSE) + VLOOKUP(index(split(P18 ,"", "", FALSE),1,2), Variables!$A:$B , 2, FALSE) + VLOOKUP(index(split(P18 ,"", "", FALSE),1,3), Variables!$A:$B , 2, FALSE)
)
)"),31.65)</f>
        <v>31.65</v>
      </c>
      <c r="R18" s="513">
        <v>1.0</v>
      </c>
      <c r="S18" s="514">
        <v>3.0</v>
      </c>
      <c r="T18" s="514">
        <v>3.0</v>
      </c>
      <c r="U18" s="516">
        <v>5.0</v>
      </c>
      <c r="V18" s="343" t="s">
        <v>1567</v>
      </c>
      <c r="W18" s="343" t="s">
        <v>1537</v>
      </c>
      <c r="X18" s="312">
        <f>IFERROR(__xludf.DUMMYFUNCTION("SWITCH(
LEN(W18) - LEN(SUBSTITUTE(W18,"","","""")),
0 , VLOOKUP(W18, Variables!$A:$B, 2, FALSE),
1 , VLOOKUP(index(split(W18 ,"", "", FALSE),1,1), Variables!$A:$B , 2, FALSE) + VLOOKUP(index(split(W18 ,"", "", FALSE),1,2), Variables!$A:$B , 2, FALSE),
2 ,"&amp;" VLOOKUP(index(split(W18 ,"", "", FALSE),1,1), Variables!$A:$B , 2, FALSE) + VLOOKUP(index(split(W18 ,"", "", FALSE),1,2), Variables!$A:$B , 2, FALSE) + VLOOKUP(index(split(W18 ,"", "", FALSE),1,3), Variables!$A:$B , 2, FALSE),
3 , VLOOKUP(index(split(W18"&amp;" ,"", "", FALSE),1,1), Variables!$A:$B , 2, FALSE) + VLOOKUP(index(split(W18 ,"", "", FALSE),1,2), Variables!$A:$B , 2, FALSE) + VLOOKUP(index(split(W18 ,"", "", FALSE),1,3), Variables!$A:$B , 2, FALSE) + VLOOKUP(index(split(W18 ,"", "", FALSE),1,4), Vari"&amp;"ables!$A:$B , 2, FALSE)
)"),4.5)</f>
        <v>4.5</v>
      </c>
      <c r="Y18" s="343"/>
      <c r="Z18" s="342" t="str">
        <f>IFERROR(__xludf.DUMMYFUNCTION("IF(ISBLANK(Y18), , 
SWITCH(
LEN(Y18)- LEN(SUBSTITUTE(Y18,"","","""")), 
0 , VLOOKUP(Y18, vote4TRAITS!A:C , 3, FALSE),
1 , VLOOKUP(index(split(Y18 ,"", "", FALSE),1,1), vote4TRAITS!A:C , 3, FALSE) + VLOOKUP(index(split(Y18 ,"", "", FALSE),1,2), vote4TRAITS"&amp;"!A:C , 3, FALSE),
2 , VLOOKUP(index(split(Y18 ,"", "", FALSE),1,1), vote4TRAITS!A:C , 3, FALSE) + VLOOKUP(index(split(Y18 ,"", "", FALSE),1,2), vote4TRAITS!A:C , 3, FALSE) + VLOOKUP(index(split(Y18 ,"", "", FALSE),1,3), vote4TRAITS!A:C , 3, FALSE)
)
)"),"")</f>
        <v/>
      </c>
      <c r="AA18" s="343" t="s">
        <v>2695</v>
      </c>
      <c r="AB18" s="343">
        <f>IFERROR(__xludf.DUMMYFUNCTION("IF(ISBLANK(AA18), , 
SWITCH(
LEN(AA18)- LEN(SUBSTITUTE(AA18,"","","""")), 
0 , VLOOKUP(AA18, vote4ACTIONS!A:C , 3, FALSE),
1 , VLOOKUP(index(split(AA18 ,"", "", FALSE),1,1), vote4ACTIONS!A:C , 3, FALSE) + VLOOKUP(index(split(AA18 ,"", "", FALSE),1,2), vot"&amp;"e4ACTIONS!A:C , 3, FALSE),
2 , VLOOKUP(index(split(AA18 ,"", "", FALSE),1,1), vote4ACTIONS!A:C , 3, FALSE) + VLOOKUP(index(split(AA18 ,"", "", FALSE),1,2), vote4ACTIONS!A:C , 3, FALSE) + VLOOKUP(index(split(AA18 ,"", "", FALSE),1,3), vote4ACTIONS!A:C , 3,"&amp;" FALSE)
)
)"),6.0)</f>
        <v>6</v>
      </c>
      <c r="AC18" s="343" t="s">
        <v>2694</v>
      </c>
      <c r="AD18" s="517">
        <f>IF(ISBLANK(AC18),,IF(IFERROR(SEARCH("SS:",AC18),0) &gt; 0, 
VLOOKUP(SUBSTITUTE(AC18,"SS: ",""),vote4SURGE!$A:$C , 3, FALSE) - 2,
VLOOKUP(SUBSTITUTE(AC18,"S: ",""),vote4SURGE!$A:$C , 3, FALSE)
)
)</f>
        <v>4</v>
      </c>
      <c r="AE18" s="343"/>
      <c r="AF18" s="343" t="str">
        <f>IF(ISBLANK(AE18),,IF(IFERROR(SEARCH("SS:",AE18),0) &gt; 0, 
VLOOKUP(SUBSTITUTE(AE18,"SS: ",""),vote4SURGE!$A:$C , 3, FALSE) - 2,
VLOOKUP(SUBSTITUTE(AE18,"S: ",""),vote4SURGE!$A:$C , 3, FALSE)
)
)</f>
        <v/>
      </c>
      <c r="AG18" s="343"/>
      <c r="AH18" s="343" t="str">
        <f>IF(ISBLANK(AG18),,IF(IFERROR(SEARCH("SS:",AG18),0) &gt; 0, 
VLOOKUP(SUBSTITUTE(AG18,"SS: ",""),vote4SURGE!$A:$C , 3, FALSE) - 2,
VLOOKUP(SUBSTITUTE(AG18,"S: ",""),vote4SURGE!$A:$C , 3, FALSE)
)
)</f>
        <v/>
      </c>
      <c r="AI18" s="343">
        <f t="shared" si="1"/>
        <v>4</v>
      </c>
      <c r="AJ18" s="343">
        <f>ROUND(IFS(
IFERROR(SEARCH("Blue, Yellow, Yellow, Green",W18),0) &gt; 0 , VLOOKUP("Blue", Variables!A:C , 3 , FALSE) + (VLOOKUP("Yellow", Variables!A:C , 3 , FALSE) * 2) + VLOOKUP("Green", Variables!A:C , 3 , FALSE),
IFERROR(SEARCH("Blue, Yellow, Green, Green",W18),0) &gt; 0 , VLOOKUP("Blue", Variables!A:C , 3 , FALSE) + VLOOKUP("Yellow", Variables!A:C , 3 , FALSE)  + (VLOOKUP("Green", Variables!A:C , 3 , FALSE) * 2),
IFERROR(SEARCH("Blue, Red, Red",W18),0) &gt; 0 , VLOOKUP("Blue", Variables!A:C , 3 , FALSE) + VLOOKUP("Red", Variables!A:C , 3 , FALSE) * 2,
IFERROR(SEARCH("Blue, Yellow, Yellow",W18),0) &gt; 0 , VLOOKUP("Blue", Variables!A:C , 3 , FALSE) + (VLOOKUP("Yellow", Variables!A:C , 3 , FALSE) * 2),
IFERROR(SEARCH("Blue, Yellow, Green",W18),0) &gt; 0 , VLOOKUP("Blue", Variables!A:C , 3 , FALSE) + VLOOKUP("Yellow", Variables!A:C , 3 , FALSE) + VLOOKUP("Green", Variables!A:C , 3 , FALSE),
IFERROR(SEARCH("Blue, Red, Green",W18),0) &gt; 0 , VLOOKUP("Blue", Variables!A:C , 3 , FALSE) + VLOOKUP("Red", Variables!A:C , 3 , FALSE) + VLOOKUP("Green", Variables!A:C , 3 , FALSE),
IFERROR(SEARCH("Blue, Red, Yellow",W18),0) &gt; 0 , VLOOKUP("Blue", Variables!A:C , 3 , FALSE) + VLOOKUP("Red", Variables!A:C , 3 , FALSE) + VLOOKUP("Yellow", Variables!A:C , 3 , FALSE),
IFERROR(SEARCH("Blue, Green, Green",W18),0) &gt; 0 , VLOOKUP("Blue", Variables!A:C , 3 , FALSE) + (VLOOKUP("Green", Variables!A:C , 3 , FALSE) * 2),
IFERROR(SEARCH("Blue, Yellow",W18),0) &gt; 0 , VLOOKUP("Blue", Variables!A:C , 3 , FALSE) + VLOOKUP("Yellow", Variables!A:C , 3 , FALSE),
IFERROR(SEARCH("Blue, Red",W18),0) &gt; 0 , VLOOKUP("Blue", Variables!A:C , 3 , FALSE) + VLOOKUP("Red", Variables!A:C , 3 , FALSE),
IFERROR(SEARCH("Blue, Green",W18),0) &gt; 0 , VLOOKUP("Blue", Variables!A:C , 3 , FALSE) + VLOOKUP("Green", Variables!A:C , 3 , FALSE),
IFERROR(SEARCH("Green",W18),0) &gt; 0 , VLOOKUP("Green", Variables!A:C , 3 , FALSE),
IFERROR(SEARCH("Blue",W18),0) &gt; 0 , VLOOKUP("Blue", Variables!A:C , 3 , FALSE),
IFERROR(SEARCH("Yellow",W18),0) &gt; 0 , VLOOKUP("Yellow", Variables!A:C , 3 , FALSE),
IFERROR(SEARCH("Black, Black",W18),0) &gt; 0 , VLOOKUP("Black", Variables!A:C , 3 , FALSE) * 2,
IFERROR(SEARCH("Grey, Grey",W18),0) &gt; 0 , VLOOKUP("Grey", Variables!A:C , 3 , FALSE) * 2,
IFERROR(SEARCH("Grey, Brown",W18),0) &gt; 0 , VLOOKUP("Grey", Variables!A:C , 3 , FALSE)  + VLOOKUP("Brown", Variables!A:C , 3 , FALSE),
IFERROR(SEARCH("Black, Grey",W18),0) &gt; 0 , VLOOKUP("Black", Variables!A:C , 3 , FALSE) + VLOOKUP("Grey", Variables!A:C , 3 , FALSE),
IFERROR(SEARCH("Black, Brown",W18),0) &gt; 0 , VLOOKUP("Black", Variables!A:C , 3 , FALSE) + VLOOKUP("Brown", Variables!A:C , 3 , FALSE),
IFERROR(SEARCH("Black",W18),0) &gt; 0 , VLOOKUP("Black", Variables!A:C , 3 , FALSE),
IFERROR(SEARCH("Grey",W18),0) &gt; 0 , VLOOKUP("Grey", Variables!A:C , 3 , FALSE),
IFERROR(SEARCH("Brown",W18),0) &gt; 0 , VLOOKUP("Brown", Variables!A:C , 3 , FALSE),
0=0,0)
,
)</f>
        <v>1</v>
      </c>
      <c r="AK18" s="343">
        <f t="shared" si="2"/>
        <v>1</v>
      </c>
      <c r="AL18" s="345">
        <f t="shared" si="3"/>
        <v>26.5</v>
      </c>
      <c r="AM18" s="383"/>
    </row>
    <row r="19">
      <c r="A19" s="518" t="s">
        <v>2696</v>
      </c>
      <c r="B19" s="510">
        <v>1.0</v>
      </c>
      <c r="C19" s="510">
        <v>1.0</v>
      </c>
      <c r="D19" s="511" t="s">
        <v>2669</v>
      </c>
      <c r="E19" s="512" t="s">
        <v>2697</v>
      </c>
      <c r="F19" s="513">
        <v>4.0</v>
      </c>
      <c r="G19" s="514">
        <v>8.0</v>
      </c>
      <c r="H19" s="515" t="s">
        <v>1663</v>
      </c>
      <c r="I19" s="489">
        <f>IFERROR(__xludf.DUMMYFUNCTION("SUM(F19 * 0.33, G19
*
SWITCH(
LEN(H19) - LEN(SUBSTITUTE(H19,"","","""")),
0 , VLOOKUP(H19, Variables!$A:$B, 2, FALSE),
1 , VLOOKUP(index(split(H19 ,"", "", FALSE),1,1), Variables!$A:$B , 2, FALSE) + VLOOKUP(index(split(H19 ,"", "", FALSE),1,2), Variables!"&amp;"$A:$B , 2, FALSE),
2 , VLOOKUP(index(split(H19 ,"", "", FALSE),1,1), Variables!$A:$B , 2, FALSE) + VLOOKUP(index(split(H19 ,"", "", FALSE),1,2), Variables!$A:$B , 2, FALSE) + VLOOKUP(index(split(H19 ,"", "", FALSE),1,3), Variables!$A:$B , 2, FALSE)
)
)"),11.986666666666666)</f>
        <v>11.98666667</v>
      </c>
      <c r="J19" s="513">
        <v>4.0</v>
      </c>
      <c r="K19" s="514">
        <v>11.0</v>
      </c>
      <c r="L19" s="515" t="s">
        <v>1663</v>
      </c>
      <c r="M19" s="312">
        <f>IFERROR(__xludf.DUMMYFUNCTION("SUM(J19 * 0.33, K19
*
SWITCH(
LEN(L19) - LEN(SUBSTITUTE(L19,"","","""")),
0 , VLOOKUP(L19, Variables!$A:$B, 2, FALSE),
1 , VLOOKUP(index(split(L19 ,"", "", FALSE),1,1), Variables!$A:$B , 2, FALSE) + VLOOKUP(index(split(L19 ,"", "", FALSE),1,2), Variables!"&amp;"$A:$B , 2, FALSE),
2 , VLOOKUP(index(split(L19 ,"", "", FALSE),1,1), Variables!$A:$B , 2, FALSE) + VLOOKUP(index(split(L19 ,"", "", FALSE),1,2), Variables!$A:$B , 2, FALSE) + VLOOKUP(index(split(L19 ,"", "", FALSE),1,3), Variables!$A:$B , 2, FALSE)
)
)"),15.986666666666666)</f>
        <v>15.98666667</v>
      </c>
      <c r="N19" s="514">
        <v>4.0</v>
      </c>
      <c r="O19" s="514">
        <v>13.0</v>
      </c>
      <c r="P19" s="515" t="s">
        <v>2575</v>
      </c>
      <c r="Q19" s="312">
        <f>IFERROR(__xludf.DUMMYFUNCTION("SUM(N19 * 0.33, O19
*
SWITCH(
LEN(P19) - LEN(SUBSTITUTE(P19,"","","""")),
0 , VLOOKUP(P19, Variables!$A:$B, 2, FALSE),
1 , VLOOKUP(index(split(P19 ,"", "", FALSE),1,1), Variables!$A:$B , 2, FALSE) + VLOOKUP(index(split(P19 ,"", "", FALSE),1,2), Variables!"&amp;"$A:$B , 2, FALSE),
2 , VLOOKUP(index(split(P19 ,"", "", FALSE),1,1), Variables!$A:$B , 2, FALSE) + VLOOKUP(index(split(P19 ,"", "", FALSE),1,2), Variables!$A:$B , 2, FALSE) + VLOOKUP(index(split(P19 ,"", "", FALSE),1,3), Variables!$A:$B , 2, FALSE)
)
)"),27.32)</f>
        <v>27.32</v>
      </c>
      <c r="R19" s="513">
        <v>2.0</v>
      </c>
      <c r="S19" s="514">
        <v>4.0</v>
      </c>
      <c r="T19" s="514">
        <v>2.0</v>
      </c>
      <c r="U19" s="516">
        <v>3.0</v>
      </c>
      <c r="V19" s="343" t="s">
        <v>1567</v>
      </c>
      <c r="W19" s="343" t="s">
        <v>1525</v>
      </c>
      <c r="X19" s="312">
        <f>IFERROR(__xludf.DUMMYFUNCTION("SWITCH(
LEN(W19) - LEN(SUBSTITUTE(W19,"","","""")),
0 , VLOOKUP(W19, Variables!$A:$B, 2, FALSE),
1 , VLOOKUP(index(split(W19 ,"", "", FALSE),1,1), Variables!$A:$B , 2, FALSE) + VLOOKUP(index(split(W19 ,"", "", FALSE),1,2), Variables!$A:$B , 2, FALSE),
2 ,"&amp;" VLOOKUP(index(split(W19 ,"", "", FALSE),1,1), Variables!$A:$B , 2, FALSE) + VLOOKUP(index(split(W19 ,"", "", FALSE),1,2), Variables!$A:$B , 2, FALSE) + VLOOKUP(index(split(W19 ,"", "", FALSE),1,3), Variables!$A:$B , 2, FALSE),
3 , VLOOKUP(index(split(W19"&amp;" ,"", "", FALSE),1,1), Variables!$A:$B , 2, FALSE) + VLOOKUP(index(split(W19 ,"", "", FALSE),1,2), Variables!$A:$B , 2, FALSE) + VLOOKUP(index(split(W19 ,"", "", FALSE),1,3), Variables!$A:$B , 2, FALSE) + VLOOKUP(index(split(W19 ,"", "", FALSE),1,4), Vari"&amp;"ables!$A:$B , 2, FALSE)
)"),3.333333333333333)</f>
        <v>3.333333333</v>
      </c>
      <c r="Y19" s="343" t="s">
        <v>967</v>
      </c>
      <c r="Z19" s="342">
        <f>IFERROR(__xludf.DUMMYFUNCTION("IF(ISBLANK(Y19), , 
SWITCH(
LEN(Y19)- LEN(SUBSTITUTE(Y19,"","","""")), 
0 , VLOOKUP(Y19, vote4TRAITS!A:C , 3, FALSE),
1 , VLOOKUP(index(split(Y19 ,"", "", FALSE),1,1), vote4TRAITS!A:C , 3, FALSE) + VLOOKUP(index(split(Y19 ,"", "", FALSE),1,2), vote4TRAITS"&amp;"!A:C , 3, FALSE),
2 , VLOOKUP(index(split(Y19 ,"", "", FALSE),1,1), vote4TRAITS!A:C , 3, FALSE) + VLOOKUP(index(split(Y19 ,"", "", FALSE),1,2), vote4TRAITS!A:C , 3, FALSE) + VLOOKUP(index(split(Y19 ,"", "", FALSE),1,3), vote4TRAITS!A:C , 3, FALSE)
)
)"),1.6666666666666667)</f>
        <v>1.666666667</v>
      </c>
      <c r="AA19" s="343" t="s">
        <v>1343</v>
      </c>
      <c r="AB19" s="343">
        <f>IFERROR(__xludf.DUMMYFUNCTION("IF(ISBLANK(AA19), , 
SWITCH(
LEN(AA19)- LEN(SUBSTITUTE(AA19,"","","""")), 
0 , VLOOKUP(AA19, vote4ACTIONS!A:C , 3, FALSE),
1 , VLOOKUP(index(split(AA19 ,"", "", FALSE),1,1), vote4ACTIONS!A:C , 3, FALSE) + VLOOKUP(index(split(AA19 ,"", "", FALSE),1,2), vot"&amp;"e4ACTIONS!A:C , 3, FALSE),
2 , VLOOKUP(index(split(AA19 ,"", "", FALSE),1,1), vote4ACTIONS!A:C , 3, FALSE) + VLOOKUP(index(split(AA19 ,"", "", FALSE),1,2), vote4ACTIONS!A:C , 3, FALSE) + VLOOKUP(index(split(AA19 ,"", "", FALSE),1,3), vote4ACTIONS!A:C , 3,"&amp;" FALSE)
)
)"),4.0)</f>
        <v>4</v>
      </c>
      <c r="AC19" s="343"/>
      <c r="AD19" s="343" t="str">
        <f>IF(ISBLANK(AC19),,IF(IFERROR(SEARCH("SS:",AC19),0) &gt; 0, 
VLOOKUP(SUBSTITUTE(AC19,"SS: ",""),vote4SURGE!$A:$C , 3, FALSE) - 2,
VLOOKUP(SUBSTITUTE(AC19,"S: ",""),vote4SURGE!$A:$C , 3, FALSE)
)
)</f>
        <v/>
      </c>
      <c r="AE19" s="343"/>
      <c r="AF19" s="343" t="str">
        <f>IF(ISBLANK(AE19),,IF(IFERROR(SEARCH("SS:",AE19),0) &gt; 0, 
VLOOKUP(SUBSTITUTE(AE19,"SS: ",""),vote4SURGE!$A:$C , 3, FALSE) - 2,
VLOOKUP(SUBSTITUTE(AE19,"S: ",""),vote4SURGE!$A:$C , 3, FALSE)
)
)</f>
        <v/>
      </c>
      <c r="AG19" s="343"/>
      <c r="AH19" s="343" t="str">
        <f>IF(ISBLANK(AG19),,IF(IFERROR(SEARCH("SS:",AG19),0) &gt; 0, 
VLOOKUP(SUBSTITUTE(AG19,"SS: ",""),vote4SURGE!$A:$C , 3, FALSE) - 2,
VLOOKUP(SUBSTITUTE(AG19,"S: ",""),vote4SURGE!$A:$C , 3, FALSE)
)
)</f>
        <v/>
      </c>
      <c r="AI19" s="343">
        <f t="shared" si="1"/>
        <v>0</v>
      </c>
      <c r="AJ19" s="343">
        <f>ROUND(IFS(
IFERROR(SEARCH("Blue, Yellow, Yellow, Green",W19),0) &gt; 0 , VLOOKUP("Blue", Variables!A:C , 3 , FALSE) + (VLOOKUP("Yellow", Variables!A:C , 3 , FALSE) * 2) + VLOOKUP("Green", Variables!A:C , 3 , FALSE),
IFERROR(SEARCH("Blue, Yellow, Green, Green",W19),0) &gt; 0 , VLOOKUP("Blue", Variables!A:C , 3 , FALSE) + VLOOKUP("Yellow", Variables!A:C , 3 , FALSE)  + (VLOOKUP("Green", Variables!A:C , 3 , FALSE) * 2),
IFERROR(SEARCH("Blue, Red, Red",W19),0) &gt; 0 , VLOOKUP("Blue", Variables!A:C , 3 , FALSE) + VLOOKUP("Red", Variables!A:C , 3 , FALSE) * 2,
IFERROR(SEARCH("Blue, Yellow, Yellow",W19),0) &gt; 0 , VLOOKUP("Blue", Variables!A:C , 3 , FALSE) + (VLOOKUP("Yellow", Variables!A:C , 3 , FALSE) * 2),
IFERROR(SEARCH("Blue, Yellow, Green",W19),0) &gt; 0 , VLOOKUP("Blue", Variables!A:C , 3 , FALSE) + VLOOKUP("Yellow", Variables!A:C , 3 , FALSE) + VLOOKUP("Green", Variables!A:C , 3 , FALSE),
IFERROR(SEARCH("Blue, Red, Green",W19),0) &gt; 0 , VLOOKUP("Blue", Variables!A:C , 3 , FALSE) + VLOOKUP("Red", Variables!A:C , 3 , FALSE) + VLOOKUP("Green", Variables!A:C , 3 , FALSE),
IFERROR(SEARCH("Blue, Red, Yellow",W19),0) &gt; 0 , VLOOKUP("Blue", Variables!A:C , 3 , FALSE) + VLOOKUP("Red", Variables!A:C , 3 , FALSE) + VLOOKUP("Yellow", Variables!A:C , 3 , FALSE),
IFERROR(SEARCH("Blue, Green, Green",W19),0) &gt; 0 , VLOOKUP("Blue", Variables!A:C , 3 , FALSE) + (VLOOKUP("Green", Variables!A:C , 3 , FALSE) * 2),
IFERROR(SEARCH("Blue, Yellow",W19),0) &gt; 0 , VLOOKUP("Blue", Variables!A:C , 3 , FALSE) + VLOOKUP("Yellow", Variables!A:C , 3 , FALSE),
IFERROR(SEARCH("Blue, Red",W19),0) &gt; 0 , VLOOKUP("Blue", Variables!A:C , 3 , FALSE) + VLOOKUP("Red", Variables!A:C , 3 , FALSE),
IFERROR(SEARCH("Blue, Green",W19),0) &gt; 0 , VLOOKUP("Blue", Variables!A:C , 3 , FALSE) + VLOOKUP("Green", Variables!A:C , 3 , FALSE),
IFERROR(SEARCH("Green",W19),0) &gt; 0 , VLOOKUP("Green", Variables!A:C , 3 , FALSE),
IFERROR(SEARCH("Blue",W19),0) &gt; 0 , VLOOKUP("Blue", Variables!A:C , 3 , FALSE),
IFERROR(SEARCH("Yellow",W19),0) &gt; 0 , VLOOKUP("Yellow", Variables!A:C , 3 , FALSE),
IFERROR(SEARCH("Black, Black",W19),0) &gt; 0 , VLOOKUP("Black", Variables!A:C , 3 , FALSE) * 2,
IFERROR(SEARCH("Grey, Grey",W19),0) &gt; 0 , VLOOKUP("Grey", Variables!A:C , 3 , FALSE) * 2,
IFERROR(SEARCH("Grey, Brown",W19),0) &gt; 0 , VLOOKUP("Grey", Variables!A:C , 3 , FALSE)  + VLOOKUP("Brown", Variables!A:C , 3 , FALSE),
IFERROR(SEARCH("Black, Grey",W19),0) &gt; 0 , VLOOKUP("Black", Variables!A:C , 3 , FALSE) + VLOOKUP("Grey", Variables!A:C , 3 , FALSE),
IFERROR(SEARCH("Black, Brown",W19),0) &gt; 0 , VLOOKUP("Black", Variables!A:C , 3 , FALSE) + VLOOKUP("Brown", Variables!A:C , 3 , FALSE),
IFERROR(SEARCH("Black",W19),0) &gt; 0 , VLOOKUP("Black", Variables!A:C , 3 , FALSE),
IFERROR(SEARCH("Grey",W19),0) &gt; 0 , VLOOKUP("Grey", Variables!A:C , 3 , FALSE),
IFERROR(SEARCH("Brown",W19),0) &gt; 0 , VLOOKUP("Brown", Variables!A:C , 3 , FALSE),
0=0,0)
,
)</f>
        <v>1</v>
      </c>
      <c r="AK19" s="343">
        <f t="shared" si="2"/>
        <v>0</v>
      </c>
      <c r="AL19" s="345">
        <f t="shared" si="3"/>
        <v>20</v>
      </c>
      <c r="AM19" s="383"/>
    </row>
    <row r="20" ht="15.75" customHeight="1">
      <c r="A20" s="509" t="s">
        <v>2696</v>
      </c>
      <c r="B20" s="380">
        <v>2.0</v>
      </c>
      <c r="C20" s="380">
        <v>1.0</v>
      </c>
      <c r="D20" s="511" t="s">
        <v>2669</v>
      </c>
      <c r="E20" s="512" t="s">
        <v>2697</v>
      </c>
      <c r="F20" s="513">
        <v>4.0</v>
      </c>
      <c r="G20" s="514">
        <v>10.0</v>
      </c>
      <c r="H20" s="515" t="s">
        <v>2575</v>
      </c>
      <c r="I20" s="489">
        <f>IFERROR(__xludf.DUMMYFUNCTION("SUM(F20 * 0.33, G20
*
SWITCH(
LEN(H20) - LEN(SUBSTITUTE(H20,"","","""")),
0 , VLOOKUP(H20, Variables!$A:$B, 2, FALSE),
1 , VLOOKUP(index(split(H20 ,"", "", FALSE),1,1), Variables!$A:$B , 2, FALSE) + VLOOKUP(index(split(H20 ,"", "", FALSE),1,2), Variables!"&amp;"$A:$B , 2, FALSE),
2 , VLOOKUP(index(split(H20 ,"", "", FALSE),1,1), Variables!$A:$B , 2, FALSE) + VLOOKUP(index(split(H20 ,"", "", FALSE),1,2), Variables!$A:$B , 2, FALSE) + VLOOKUP(index(split(H20 ,"", "", FALSE),1,3), Variables!$A:$B , 2, FALSE)
)
)"),21.32)</f>
        <v>21.32</v>
      </c>
      <c r="J20" s="513">
        <v>4.0</v>
      </c>
      <c r="K20" s="514">
        <v>12.0</v>
      </c>
      <c r="L20" s="515" t="s">
        <v>2590</v>
      </c>
      <c r="M20" s="312">
        <f>IFERROR(__xludf.DUMMYFUNCTION("SUM(J20 * 0.33, K20
*
SWITCH(
LEN(L20) - LEN(SUBSTITUTE(L20,"","","""")),
0 , VLOOKUP(L20, Variables!$A:$B, 2, FALSE),
1 , VLOOKUP(index(split(L20 ,"", "", FALSE),1,1), Variables!$A:$B , 2, FALSE) + VLOOKUP(index(split(L20 ,"", "", FALSE),1,2), Variables!"&amp;"$A:$B , 2, FALSE),
2 , VLOOKUP(index(split(L20 ,"", "", FALSE),1,1), Variables!$A:$B , 2, FALSE) + VLOOKUP(index(split(L20 ,"", "", FALSE),1,2), Variables!$A:$B , 2, FALSE) + VLOOKUP(index(split(L20 ,"", "", FALSE),1,3), Variables!$A:$B , 2, FALSE)
)
)"),33.32)</f>
        <v>33.32</v>
      </c>
      <c r="N20" s="514">
        <v>4.0</v>
      </c>
      <c r="O20" s="514">
        <v>15.0</v>
      </c>
      <c r="P20" s="340" t="s">
        <v>2599</v>
      </c>
      <c r="Q20" s="312">
        <f>IFERROR(__xludf.DUMMYFUNCTION("SUM(N20 * 0.33, O20
*
SWITCH(
LEN(P20) - LEN(SUBSTITUTE(P20,"","","""")),
0 , VLOOKUP(P20, Variables!$A:$B, 2, FALSE),
1 , VLOOKUP(index(split(P20 ,"", "", FALSE),1,1), Variables!$A:$B , 2, FALSE) + VLOOKUP(index(split(P20 ,"", "", FALSE),1,2), Variables!"&amp;"$A:$B , 2, FALSE),
2 , VLOOKUP(index(split(P20 ,"", "", FALSE),1,1), Variables!$A:$B , 2, FALSE) + VLOOKUP(index(split(P20 ,"", "", FALSE),1,2), Variables!$A:$B , 2, FALSE) + VLOOKUP(index(split(P20 ,"", "", FALSE),1,3), Variables!$A:$B , 2, FALSE)
)
)"),53.82)</f>
        <v>53.82</v>
      </c>
      <c r="R20" s="513">
        <v>2.0</v>
      </c>
      <c r="S20" s="514">
        <v>4.0</v>
      </c>
      <c r="T20" s="514">
        <v>2.0</v>
      </c>
      <c r="U20" s="516">
        <v>3.0</v>
      </c>
      <c r="V20" s="343" t="s">
        <v>1567</v>
      </c>
      <c r="W20" s="343" t="s">
        <v>1537</v>
      </c>
      <c r="X20" s="312">
        <f>IFERROR(__xludf.DUMMYFUNCTION("SWITCH(
LEN(W20) - LEN(SUBSTITUTE(W20,"","","""")),
0 , VLOOKUP(W20, Variables!$A:$B, 2, FALSE),
1 , VLOOKUP(index(split(W20 ,"", "", FALSE),1,1), Variables!$A:$B , 2, FALSE) + VLOOKUP(index(split(W20 ,"", "", FALSE),1,2), Variables!$A:$B , 2, FALSE),
2 ,"&amp;" VLOOKUP(index(split(W20 ,"", "", FALSE),1,1), Variables!$A:$B , 2, FALSE) + VLOOKUP(index(split(W20 ,"", "", FALSE),1,2), Variables!$A:$B , 2, FALSE) + VLOOKUP(index(split(W20 ,"", "", FALSE),1,3), Variables!$A:$B , 2, FALSE),
3 , VLOOKUP(index(split(W20"&amp;" ,"", "", FALSE),1,1), Variables!$A:$B , 2, FALSE) + VLOOKUP(index(split(W20 ,"", "", FALSE),1,2), Variables!$A:$B , 2, FALSE) + VLOOKUP(index(split(W20 ,"", "", FALSE),1,3), Variables!$A:$B , 2, FALSE) + VLOOKUP(index(split(W20 ,"", "", FALSE),1,4), Vari"&amp;"ables!$A:$B , 2, FALSE)
)"),4.5)</f>
        <v>4.5</v>
      </c>
      <c r="Y20" s="343" t="s">
        <v>967</v>
      </c>
      <c r="Z20" s="342">
        <f>IFERROR(__xludf.DUMMYFUNCTION("IF(ISBLANK(Y20), , 
SWITCH(
LEN(Y20)- LEN(SUBSTITUTE(Y20,"","","""")), 
0 , VLOOKUP(Y20, vote4TRAITS!A:C , 3, FALSE),
1 , VLOOKUP(index(split(Y20 ,"", "", FALSE),1,1), vote4TRAITS!A:C , 3, FALSE) + VLOOKUP(index(split(Y20 ,"", "", FALSE),1,2), vote4TRAITS"&amp;"!A:C , 3, FALSE),
2 , VLOOKUP(index(split(Y20 ,"", "", FALSE),1,1), vote4TRAITS!A:C , 3, FALSE) + VLOOKUP(index(split(Y20 ,"", "", FALSE),1,2), vote4TRAITS!A:C , 3, FALSE) + VLOOKUP(index(split(Y20 ,"", "", FALSE),1,3), vote4TRAITS!A:C , 3, FALSE)
)
)"),1.6666666666666667)</f>
        <v>1.666666667</v>
      </c>
      <c r="AA20" s="343" t="s">
        <v>1343</v>
      </c>
      <c r="AB20" s="343">
        <f>IFERROR(__xludf.DUMMYFUNCTION("IF(ISBLANK(AA20), , 
SWITCH(
LEN(AA20)- LEN(SUBSTITUTE(AA20,"","","""")), 
0 , VLOOKUP(AA20, vote4ACTIONS!A:C , 3, FALSE),
1 , VLOOKUP(index(split(AA20 ,"", "", FALSE),1,1), vote4ACTIONS!A:C , 3, FALSE) + VLOOKUP(index(split(AA20 ,"", "", FALSE),1,2), vot"&amp;"e4ACTIONS!A:C , 3, FALSE),
2 , VLOOKUP(index(split(AA20 ,"", "", FALSE),1,1), vote4ACTIONS!A:C , 3, FALSE) + VLOOKUP(index(split(AA20 ,"", "", FALSE),1,2), vote4ACTIONS!A:C , 3, FALSE) + VLOOKUP(index(split(AA20 ,"", "", FALSE),1,3), vote4ACTIONS!A:C , 3,"&amp;" FALSE)
)
)"),4.0)</f>
        <v>4</v>
      </c>
      <c r="AC20" s="343" t="s">
        <v>2595</v>
      </c>
      <c r="AD20" s="517">
        <f>IF(ISBLANK(AC20),,IF(IFERROR(SEARCH("SS:",AC20),0) &gt; 0, 
VLOOKUP(SUBSTITUTE(AC20,"SS: ",""),vote4SURGE!$A:$C , 3, FALSE) - 2,
VLOOKUP(SUBSTITUTE(AC20,"S: ",""),vote4SURGE!$A:$C , 3, FALSE)
)
)</f>
        <v>3.5</v>
      </c>
      <c r="AE20" s="343" t="s">
        <v>1562</v>
      </c>
      <c r="AF20" s="517">
        <f>IF(ISBLANK(AE20),,IF(IFERROR(SEARCH("SS:",AE20),0) &gt; 0, 
VLOOKUP(SUBSTITUTE(AE20,"SS: ",""),vote4SURGE!$A:$C , 3, FALSE) - 2,
VLOOKUP(SUBSTITUTE(AE20,"S: ",""),vote4SURGE!$A:$C , 3, FALSE)
)
)</f>
        <v>3.5</v>
      </c>
      <c r="AG20" s="343"/>
      <c r="AH20" s="343" t="str">
        <f>IF(ISBLANK(AG20),,IF(IFERROR(SEARCH("SS:",AG20),0) &gt; 0, 
VLOOKUP(SUBSTITUTE(AG20,"SS: ",""),vote4SURGE!$A:$C , 3, FALSE) - 2,
VLOOKUP(SUBSTITUTE(AG20,"S: ",""),vote4SURGE!$A:$C , 3, FALSE)
)
)</f>
        <v/>
      </c>
      <c r="AI20" s="517">
        <f t="shared" si="1"/>
        <v>5.25</v>
      </c>
      <c r="AJ20" s="343">
        <f>ROUND(IFS(
IFERROR(SEARCH("Blue, Yellow, Yellow, Green",W20),0) &gt; 0 , VLOOKUP("Blue", Variables!A:C , 3 , FALSE) + (VLOOKUP("Yellow", Variables!A:C , 3 , FALSE) * 2) + VLOOKUP("Green", Variables!A:C , 3 , FALSE),
IFERROR(SEARCH("Blue, Yellow, Green, Green",W20),0) &gt; 0 , VLOOKUP("Blue", Variables!A:C , 3 , FALSE) + VLOOKUP("Yellow", Variables!A:C , 3 , FALSE)  + (VLOOKUP("Green", Variables!A:C , 3 , FALSE) * 2),
IFERROR(SEARCH("Blue, Red, Red",W20),0) &gt; 0 , VLOOKUP("Blue", Variables!A:C , 3 , FALSE) + VLOOKUP("Red", Variables!A:C , 3 , FALSE) * 2,
IFERROR(SEARCH("Blue, Yellow, Yellow",W20),0) &gt; 0 , VLOOKUP("Blue", Variables!A:C , 3 , FALSE) + (VLOOKUP("Yellow", Variables!A:C , 3 , FALSE) * 2),
IFERROR(SEARCH("Blue, Yellow, Green",W20),0) &gt; 0 , VLOOKUP("Blue", Variables!A:C , 3 , FALSE) + VLOOKUP("Yellow", Variables!A:C , 3 , FALSE) + VLOOKUP("Green", Variables!A:C , 3 , FALSE),
IFERROR(SEARCH("Blue, Red, Green",W20),0) &gt; 0 , VLOOKUP("Blue", Variables!A:C , 3 , FALSE) + VLOOKUP("Red", Variables!A:C , 3 , FALSE) + VLOOKUP("Green", Variables!A:C , 3 , FALSE),
IFERROR(SEARCH("Blue, Red, Yellow",W20),0) &gt; 0 , VLOOKUP("Blue", Variables!A:C , 3 , FALSE) + VLOOKUP("Red", Variables!A:C , 3 , FALSE) + VLOOKUP("Yellow", Variables!A:C , 3 , FALSE),
IFERROR(SEARCH("Blue, Green, Green",W20),0) &gt; 0 , VLOOKUP("Blue", Variables!A:C , 3 , FALSE) + (VLOOKUP("Green", Variables!A:C , 3 , FALSE) * 2),
IFERROR(SEARCH("Blue, Yellow",W20),0) &gt; 0 , VLOOKUP("Blue", Variables!A:C , 3 , FALSE) + VLOOKUP("Yellow", Variables!A:C , 3 , FALSE),
IFERROR(SEARCH("Blue, Red",W20),0) &gt; 0 , VLOOKUP("Blue", Variables!A:C , 3 , FALSE) + VLOOKUP("Red", Variables!A:C , 3 , FALSE),
IFERROR(SEARCH("Blue, Green",W20),0) &gt; 0 , VLOOKUP("Blue", Variables!A:C , 3 , FALSE) + VLOOKUP("Green", Variables!A:C , 3 , FALSE),
IFERROR(SEARCH("Green",W20),0) &gt; 0 , VLOOKUP("Green", Variables!A:C , 3 , FALSE),
IFERROR(SEARCH("Blue",W20),0) &gt; 0 , VLOOKUP("Blue", Variables!A:C , 3 , FALSE),
IFERROR(SEARCH("Yellow",W20),0) &gt; 0 , VLOOKUP("Yellow", Variables!A:C , 3 , FALSE),
IFERROR(SEARCH("Black, Black",W20),0) &gt; 0 , VLOOKUP("Black", Variables!A:C , 3 , FALSE) * 2,
IFERROR(SEARCH("Grey, Grey",W20),0) &gt; 0 , VLOOKUP("Grey", Variables!A:C , 3 , FALSE) * 2,
IFERROR(SEARCH("Grey, Brown",W20),0) &gt; 0 , VLOOKUP("Grey", Variables!A:C , 3 , FALSE)  + VLOOKUP("Brown", Variables!A:C , 3 , FALSE),
IFERROR(SEARCH("Black, Grey",W20),0) &gt; 0 , VLOOKUP("Black", Variables!A:C , 3 , FALSE) + VLOOKUP("Grey", Variables!A:C , 3 , FALSE),
IFERROR(SEARCH("Black, Brown",W20),0) &gt; 0 , VLOOKUP("Black", Variables!A:C , 3 , FALSE) + VLOOKUP("Brown", Variables!A:C , 3 , FALSE),
IFERROR(SEARCH("Black",W20),0) &gt; 0 , VLOOKUP("Black", Variables!A:C , 3 , FALSE),
IFERROR(SEARCH("Grey",W20),0) &gt; 0 , VLOOKUP("Grey", Variables!A:C , 3 , FALSE),
IFERROR(SEARCH("Brown",W20),0) &gt; 0 , VLOOKUP("Brown", Variables!A:C , 3 , FALSE),
0=0,0)
,
)</f>
        <v>1</v>
      </c>
      <c r="AK20" s="343">
        <f t="shared" si="2"/>
        <v>2</v>
      </c>
      <c r="AL20" s="345">
        <f t="shared" si="3"/>
        <v>26.41666667</v>
      </c>
      <c r="AM20" s="383"/>
    </row>
    <row r="21" ht="15.75" customHeight="1">
      <c r="A21" s="509" t="s">
        <v>2698</v>
      </c>
      <c r="B21" s="380">
        <v>2.0</v>
      </c>
      <c r="C21" s="380">
        <v>4.0</v>
      </c>
      <c r="D21" s="511" t="s">
        <v>1827</v>
      </c>
      <c r="E21" s="512" t="s">
        <v>2699</v>
      </c>
      <c r="F21" s="513">
        <v>3.0</v>
      </c>
      <c r="G21" s="514">
        <v>20.0</v>
      </c>
      <c r="H21" s="340" t="s">
        <v>2599</v>
      </c>
      <c r="I21" s="489">
        <f>IFERROR(__xludf.DUMMYFUNCTION("SUM(F21 * 0.33, G21
*
SWITCH(
LEN(H21) - LEN(SUBSTITUTE(H21,"","","""")),
0 , VLOOKUP(H21, Variables!$A:$B, 2, FALSE),
1 , VLOOKUP(index(split(H21 ,"", "", FALSE),1,1), Variables!$A:$B , 2, FALSE) + VLOOKUP(index(split(H21 ,"", "", FALSE),1,2), Variables!"&amp;"$A:$B , 2, FALSE),
2 , VLOOKUP(index(split(H21 ,"", "", FALSE),1,1), Variables!$A:$B , 2, FALSE) + VLOOKUP(index(split(H21 ,"", "", FALSE),1,2), Variables!$A:$B , 2, FALSE) + VLOOKUP(index(split(H21 ,"", "", FALSE),1,3), Variables!$A:$B , 2, FALSE)
)
)"),70.99)</f>
        <v>70.99</v>
      </c>
      <c r="J21" s="513">
        <v>3.0</v>
      </c>
      <c r="K21" s="514">
        <v>24.0</v>
      </c>
      <c r="L21" s="515" t="s">
        <v>1676</v>
      </c>
      <c r="M21" s="312">
        <f>IFERROR(__xludf.DUMMYFUNCTION("SUM(J21 * 0.33, K21
*
SWITCH(
LEN(L21) - LEN(SUBSTITUTE(L21,"","","""")),
0 , VLOOKUP(L21, Variables!$A:$B, 2, FALSE),
1 , VLOOKUP(index(split(L21 ,"", "", FALSE),1,1), Variables!$A:$B , 2, FALSE) + VLOOKUP(index(split(L21 ,"", "", FALSE),1,2), Variables!"&amp;"$A:$B , 2, FALSE),
2 , VLOOKUP(index(split(L21 ,"", "", FALSE),1,1), Variables!$A:$B , 2, FALSE) + VLOOKUP(index(split(L21 ,"", "", FALSE),1,2), Variables!$A:$B , 2, FALSE) + VLOOKUP(index(split(L21 ,"", "", FALSE),1,3), Variables!$A:$B , 2, FALSE)
)
)"),104.99)</f>
        <v>104.99</v>
      </c>
      <c r="N21" s="514">
        <v>3.0</v>
      </c>
      <c r="O21" s="514">
        <v>28.0</v>
      </c>
      <c r="P21" s="340" t="s">
        <v>2666</v>
      </c>
      <c r="Q21" s="312">
        <f>IFERROR(__xludf.DUMMYFUNCTION("SUM(N21 * 0.33, O21
*
SWITCH(
LEN(P21) - LEN(SUBSTITUTE(P21,"","","""")),
0 , VLOOKUP(P21, Variables!$A:$B, 2, FALSE),
1 , VLOOKUP(index(split(P21 ,"", "", FALSE),1,1), Variables!$A:$B , 2, FALSE) + VLOOKUP(index(split(P21 ,"", "", FALSE),1,2), Variables!"&amp;"$A:$B , 2, FALSE),
2 , VLOOKUP(index(split(P21 ,"", "", FALSE),1,1), Variables!$A:$B , 2, FALSE) + VLOOKUP(index(split(P21 ,"", "", FALSE),1,2), Variables!$A:$B , 2, FALSE) + VLOOKUP(index(split(P21 ,"", "", FALSE),1,3), Variables!$A:$B , 2, FALSE)
)
)"),136.32333333333332)</f>
        <v>136.3233333</v>
      </c>
      <c r="R21" s="513">
        <v>3.0</v>
      </c>
      <c r="S21" s="514">
        <v>3.0</v>
      </c>
      <c r="T21" s="514">
        <v>3.0</v>
      </c>
      <c r="U21" s="516">
        <v>3.0</v>
      </c>
      <c r="V21" s="343" t="s">
        <v>1521</v>
      </c>
      <c r="W21" s="343" t="s">
        <v>1522</v>
      </c>
      <c r="X21" s="312">
        <f>IFERROR(__xludf.DUMMYFUNCTION("SWITCH(
LEN(W21) - LEN(SUBSTITUTE(W21,"","","""")),
0 , VLOOKUP(W21, Variables!$A:$B, 2, FALSE),
1 , VLOOKUP(index(split(W21 ,"", "", FALSE),1,1), Variables!$A:$B , 2, FALSE) + VLOOKUP(index(split(W21 ,"", "", FALSE),1,2), Variables!$A:$B , 2, FALSE),
2 ,"&amp;" VLOOKUP(index(split(W21 ,"", "", FALSE),1,1), Variables!$A:$B , 2, FALSE) + VLOOKUP(index(split(W21 ,"", "", FALSE),1,2), Variables!$A:$B , 2, FALSE) + VLOOKUP(index(split(W21 ,"", "", FALSE),1,3), Variables!$A:$B , 2, FALSE),
3 , VLOOKUP(index(split(W21"&amp;" ,"", "", FALSE),1,1), Variables!$A:$B , 2, FALSE) + VLOOKUP(index(split(W21 ,"", "", FALSE),1,2), Variables!$A:$B , 2, FALSE) + VLOOKUP(index(split(W21 ,"", "", FALSE),1,3), Variables!$A:$B , 2, FALSE) + VLOOKUP(index(split(W21 ,"", "", FALSE),1,4), Vari"&amp;"ables!$A:$B , 2, FALSE)
)"),3.9999999999999996)</f>
        <v>4</v>
      </c>
      <c r="Y21" s="343" t="s">
        <v>999</v>
      </c>
      <c r="Z21" s="342">
        <f>IFERROR(__xludf.DUMMYFUNCTION("IF(ISBLANK(Y21), , 
SWITCH(
LEN(Y21)- LEN(SUBSTITUTE(Y21,"","","""")), 
0 , VLOOKUP(Y21, vote4TRAITS!A:C , 3, FALSE),
1 , VLOOKUP(index(split(Y21 ,"", "", FALSE),1,1), vote4TRAITS!A:C , 3, FALSE) + VLOOKUP(index(split(Y21 ,"", "", FALSE),1,2), vote4TRAITS"&amp;"!A:C , 3, FALSE),
2 , VLOOKUP(index(split(Y21 ,"", "", FALSE),1,1), vote4TRAITS!A:C , 3, FALSE) + VLOOKUP(index(split(Y21 ,"", "", FALSE),1,2), vote4TRAITS!A:C , 3, FALSE) + VLOOKUP(index(split(Y21 ,"", "", FALSE),1,3), vote4TRAITS!A:C , 3, FALSE)
)
)"),5.0)</f>
        <v>5</v>
      </c>
      <c r="AA21" s="343" t="s">
        <v>2700</v>
      </c>
      <c r="AB21" s="343">
        <f>IFERROR(__xludf.DUMMYFUNCTION("IF(ISBLANK(AA21), , 
SWITCH(
LEN(AA21)- LEN(SUBSTITUTE(AA21,"","","""")), 
0 , VLOOKUP(AA21, vote4ACTIONS!A:C , 3, FALSE),
1 , VLOOKUP(index(split(AA21 ,"", "", FALSE),1,1), vote4ACTIONS!A:C , 3, FALSE) + VLOOKUP(index(split(AA21 ,"", "", FALSE),1,2), vot"&amp;"e4ACTIONS!A:C , 3, FALSE),
2 , VLOOKUP(index(split(AA21 ,"", "", FALSE),1,1), vote4ACTIONS!A:C , 3, FALSE) + VLOOKUP(index(split(AA21 ,"", "", FALSE),1,2), vote4ACTIONS!A:C , 3, FALSE) + VLOOKUP(index(split(AA21 ,"", "", FALSE),1,3), vote4ACTIONS!A:C , 3,"&amp;" FALSE)
)
)"),5.75)</f>
        <v>5.75</v>
      </c>
      <c r="AC21" s="343" t="s">
        <v>1539</v>
      </c>
      <c r="AD21" s="517">
        <f>IF(ISBLANK(AC21),,IF(IFERROR(SEARCH("SS:",AC21),0) &gt; 0, 
VLOOKUP(SUBSTITUTE(AC21,"SS: ",""),vote4SURGE!$A:$C , 3, FALSE) - 2,
VLOOKUP(SUBSTITUTE(AC21,"S: ",""),vote4SURGE!$A:$C , 3, FALSE)
)
)</f>
        <v>5</v>
      </c>
      <c r="AE21" s="343"/>
      <c r="AF21" s="343" t="str">
        <f>IF(ISBLANK(AE21),,IF(IFERROR(SEARCH("SS:",AE21),0) &gt; 0, 
VLOOKUP(SUBSTITUTE(AE21,"SS: ",""),vote4SURGE!$A:$C , 3, FALSE) - 2,
VLOOKUP(SUBSTITUTE(AE21,"S: ",""),vote4SURGE!$A:$C , 3, FALSE)
)
)</f>
        <v/>
      </c>
      <c r="AG21" s="343"/>
      <c r="AH21" s="343" t="str">
        <f>IF(ISBLANK(AG21),,IF(IFERROR(SEARCH("SS:",AG21),0) &gt; 0, 
VLOOKUP(SUBSTITUTE(AG21,"SS: ",""),vote4SURGE!$A:$C , 3, FALSE) - 2,
VLOOKUP(SUBSTITUTE(AG21,"S: ",""),vote4SURGE!$A:$C , 3, FALSE)
)
)</f>
        <v/>
      </c>
      <c r="AI21" s="343">
        <f t="shared" si="1"/>
        <v>5</v>
      </c>
      <c r="AJ21" s="343">
        <f>ROUND(IFS(
IFERROR(SEARCH("Blue, Yellow, Yellow, Green",W21),0) &gt; 0 , VLOOKUP("Blue", Variables!A:C , 3 , FALSE) + (VLOOKUP("Yellow", Variables!A:C , 3 , FALSE) * 2) + VLOOKUP("Green", Variables!A:C , 3 , FALSE),
IFERROR(SEARCH("Blue, Yellow, Green, Green",W21),0) &gt; 0 , VLOOKUP("Blue", Variables!A:C , 3 , FALSE) + VLOOKUP("Yellow", Variables!A:C , 3 , FALSE)  + (VLOOKUP("Green", Variables!A:C , 3 , FALSE) * 2),
IFERROR(SEARCH("Blue, Red, Red",W21),0) &gt; 0 , VLOOKUP("Blue", Variables!A:C , 3 , FALSE) + VLOOKUP("Red", Variables!A:C , 3 , FALSE) * 2,
IFERROR(SEARCH("Blue, Yellow, Yellow",W21),0) &gt; 0 , VLOOKUP("Blue", Variables!A:C , 3 , FALSE) + (VLOOKUP("Yellow", Variables!A:C , 3 , FALSE) * 2),
IFERROR(SEARCH("Blue, Yellow, Green",W21),0) &gt; 0 , VLOOKUP("Blue", Variables!A:C , 3 , FALSE) + VLOOKUP("Yellow", Variables!A:C , 3 , FALSE) + VLOOKUP("Green", Variables!A:C , 3 , FALSE),
IFERROR(SEARCH("Blue, Red, Green",W21),0) &gt; 0 , VLOOKUP("Blue", Variables!A:C , 3 , FALSE) + VLOOKUP("Red", Variables!A:C , 3 , FALSE) + VLOOKUP("Green", Variables!A:C , 3 , FALSE),
IFERROR(SEARCH("Blue, Red, Yellow",W21),0) &gt; 0 , VLOOKUP("Blue", Variables!A:C , 3 , FALSE) + VLOOKUP("Red", Variables!A:C , 3 , FALSE) + VLOOKUP("Yellow", Variables!A:C , 3 , FALSE),
IFERROR(SEARCH("Blue, Green, Green",W21),0) &gt; 0 , VLOOKUP("Blue", Variables!A:C , 3 , FALSE) + (VLOOKUP("Green", Variables!A:C , 3 , FALSE) * 2),
IFERROR(SEARCH("Blue, Yellow",W21),0) &gt; 0 , VLOOKUP("Blue", Variables!A:C , 3 , FALSE) + VLOOKUP("Yellow", Variables!A:C , 3 , FALSE),
IFERROR(SEARCH("Blue, Red",W21),0) &gt; 0 , VLOOKUP("Blue", Variables!A:C , 3 , FALSE) + VLOOKUP("Red", Variables!A:C , 3 , FALSE),
IFERROR(SEARCH("Blue, Green",W21),0) &gt; 0 , VLOOKUP("Blue", Variables!A:C , 3 , FALSE) + VLOOKUP("Green", Variables!A:C , 3 , FALSE),
IFERROR(SEARCH("Green",W21),0) &gt; 0 , VLOOKUP("Green", Variables!A:C , 3 , FALSE),
IFERROR(SEARCH("Blue",W21),0) &gt; 0 , VLOOKUP("Blue", Variables!A:C , 3 , FALSE),
IFERROR(SEARCH("Yellow",W21),0) &gt; 0 , VLOOKUP("Yellow", Variables!A:C , 3 , FALSE),
IFERROR(SEARCH("Black, Black",W21),0) &gt; 0 , VLOOKUP("Black", Variables!A:C , 3 , FALSE) * 2,
IFERROR(SEARCH("Grey, Grey",W21),0) &gt; 0 , VLOOKUP("Grey", Variables!A:C , 3 , FALSE) * 2,
IFERROR(SEARCH("Grey, Brown",W21),0) &gt; 0 , VLOOKUP("Grey", Variables!A:C , 3 , FALSE)  + VLOOKUP("Brown", Variables!A:C , 3 , FALSE),
IFERROR(SEARCH("Black, Grey",W21),0) &gt; 0 , VLOOKUP("Black", Variables!A:C , 3 , FALSE) + VLOOKUP("Grey", Variables!A:C , 3 , FALSE),
IFERROR(SEARCH("Black, Brown",W21),0) &gt; 0 , VLOOKUP("Black", Variables!A:C , 3 , FALSE) + VLOOKUP("Brown", Variables!A:C , 3 , FALSE),
IFERROR(SEARCH("Black",W21),0) &gt; 0 , VLOOKUP("Black", Variables!A:C , 3 , FALSE),
IFERROR(SEARCH("Grey",W21),0) &gt; 0 , VLOOKUP("Grey", Variables!A:C , 3 , FALSE),
IFERROR(SEARCH("Brown",W21),0) &gt; 0 , VLOOKUP("Brown", Variables!A:C , 3 , FALSE),
0=0,0)
,
)</f>
        <v>1</v>
      </c>
      <c r="AK21" s="343">
        <f t="shared" si="2"/>
        <v>1</v>
      </c>
      <c r="AL21" s="345">
        <f t="shared" si="3"/>
        <v>31.75</v>
      </c>
      <c r="AM21" s="383"/>
    </row>
    <row r="22" ht="15.75" customHeight="1">
      <c r="A22" s="509" t="s">
        <v>1880</v>
      </c>
      <c r="B22" s="380">
        <v>2.0</v>
      </c>
      <c r="C22" s="380">
        <v>1.0</v>
      </c>
      <c r="D22" s="511" t="s">
        <v>1827</v>
      </c>
      <c r="E22" s="512" t="s">
        <v>2701</v>
      </c>
      <c r="F22" s="513">
        <v>5.0</v>
      </c>
      <c r="G22" s="514">
        <v>8.0</v>
      </c>
      <c r="H22" s="515" t="s">
        <v>1621</v>
      </c>
      <c r="I22" s="489">
        <f>IFERROR(__xludf.DUMMYFUNCTION("SUM(F22 * 0.33, G22
*
SWITCH(
LEN(H22) - LEN(SUBSTITUTE(H22,"","","""")),
0 , VLOOKUP(H22, Variables!$A:$B, 2, FALSE),
1 , VLOOKUP(index(split(H22 ,"", "", FALSE),1,1), Variables!$A:$B , 2, FALSE) + VLOOKUP(index(split(H22 ,"", "", FALSE),1,2), Variables!"&amp;"$A:$B , 2, FALSE),
2 , VLOOKUP(index(split(H22 ,"", "", FALSE),1,1), Variables!$A:$B , 2, FALSE) + VLOOKUP(index(split(H22 ,"", "", FALSE),1,2), Variables!$A:$B , 2, FALSE) + VLOOKUP(index(split(H22 ,"", "", FALSE),1,3), Variables!$A:$B , 2, FALSE)
)
)"),6.983333333333333)</f>
        <v>6.983333333</v>
      </c>
      <c r="J22" s="513">
        <v>5.0</v>
      </c>
      <c r="K22" s="514">
        <v>10.0</v>
      </c>
      <c r="L22" s="519" t="s">
        <v>1663</v>
      </c>
      <c r="M22" s="312">
        <f>IFERROR(__xludf.DUMMYFUNCTION("SUM(J22 * 0.33, K22
*
SWITCH(
LEN(L22) - LEN(SUBSTITUTE(L22,"","","""")),
0 , VLOOKUP(L22, Variables!$A:$B, 2, FALSE),
1 , VLOOKUP(index(split(L22 ,"", "", FALSE),1,1), Variables!$A:$B , 2, FALSE) + VLOOKUP(index(split(L22 ,"", "", FALSE),1,2), Variables!"&amp;"$A:$B , 2, FALSE),
2 , VLOOKUP(index(split(L22 ,"", "", FALSE),1,1), Variables!$A:$B , 2, FALSE) + VLOOKUP(index(split(L22 ,"", "", FALSE),1,2), Variables!$A:$B , 2, FALSE) + VLOOKUP(index(split(L22 ,"", "", FALSE),1,3), Variables!$A:$B , 2, FALSE)
)
)"),14.983333333333333)</f>
        <v>14.98333333</v>
      </c>
      <c r="N22" s="514">
        <v>5.0</v>
      </c>
      <c r="O22" s="514">
        <v>12.0</v>
      </c>
      <c r="P22" s="340" t="s">
        <v>1663</v>
      </c>
      <c r="Q22" s="312">
        <f>IFERROR(__xludf.DUMMYFUNCTION("SUM(N22 * 0.33, O22
*
SWITCH(
LEN(P22) - LEN(SUBSTITUTE(P22,"","","""")),
0 , VLOOKUP(P22, Variables!$A:$B, 2, FALSE),
1 , VLOOKUP(index(split(P22 ,"", "", FALSE),1,1), Variables!$A:$B , 2, FALSE) + VLOOKUP(index(split(P22 ,"", "", FALSE),1,2), Variables!"&amp;"$A:$B , 2, FALSE),
2 , VLOOKUP(index(split(P22 ,"", "", FALSE),1,1), Variables!$A:$B , 2, FALSE) + VLOOKUP(index(split(P22 ,"", "", FALSE),1,2), Variables!$A:$B , 2, FALSE) + VLOOKUP(index(split(P22 ,"", "", FALSE),1,3), Variables!$A:$B , 2, FALSE)
)
)"),17.65)</f>
        <v>17.65</v>
      </c>
      <c r="R22" s="513">
        <v>3.0</v>
      </c>
      <c r="S22" s="514">
        <v>3.0</v>
      </c>
      <c r="T22" s="514">
        <v>3.0</v>
      </c>
      <c r="U22" s="516">
        <v>3.0</v>
      </c>
      <c r="V22" s="343" t="s">
        <v>1567</v>
      </c>
      <c r="W22" s="343" t="s">
        <v>1522</v>
      </c>
      <c r="X22" s="312">
        <f>IFERROR(__xludf.DUMMYFUNCTION("SWITCH(
LEN(W22) - LEN(SUBSTITUTE(W22,"","","""")),
0 , VLOOKUP(W22, Variables!$A:$B, 2, FALSE),
1 , VLOOKUP(index(split(W22 ,"", "", FALSE),1,1), Variables!$A:$B , 2, FALSE) + VLOOKUP(index(split(W22 ,"", "", FALSE),1,2), Variables!$A:$B , 2, FALSE),
2 ,"&amp;" VLOOKUP(index(split(W22 ,"", "", FALSE),1,1), Variables!$A:$B , 2, FALSE) + VLOOKUP(index(split(W22 ,"", "", FALSE),1,2), Variables!$A:$B , 2, FALSE) + VLOOKUP(index(split(W22 ,"", "", FALSE),1,3), Variables!$A:$B , 2, FALSE),
3 , VLOOKUP(index(split(W22"&amp;" ,"", "", FALSE),1,1), Variables!$A:$B , 2, FALSE) + VLOOKUP(index(split(W22 ,"", "", FALSE),1,2), Variables!$A:$B , 2, FALSE) + VLOOKUP(index(split(W22 ,"", "", FALSE),1,3), Variables!$A:$B , 2, FALSE) + VLOOKUP(index(split(W22 ,"", "", FALSE),1,4), Vari"&amp;"ables!$A:$B , 2, FALSE)
)"),3.9999999999999996)</f>
        <v>4</v>
      </c>
      <c r="Y22" s="343" t="s">
        <v>1066</v>
      </c>
      <c r="Z22" s="342">
        <f>IFERROR(__xludf.DUMMYFUNCTION("IF(ISBLANK(Y22), , 
SWITCH(
LEN(Y22)- LEN(SUBSTITUTE(Y22,"","","""")), 
0 , VLOOKUP(Y22, vote4TRAITS!A:C , 3, FALSE),
1 , VLOOKUP(index(split(Y22 ,"", "", FALSE),1,1), vote4TRAITS!A:C , 3, FALSE) + VLOOKUP(index(split(Y22 ,"", "", FALSE),1,2), vote4TRAITS"&amp;"!A:C , 3, FALSE),
2 , VLOOKUP(index(split(Y22 ,"", "", FALSE),1,1), vote4TRAITS!A:C , 3, FALSE) + VLOOKUP(index(split(Y22 ,"", "", FALSE),1,2), vote4TRAITS!A:C , 3, FALSE) + VLOOKUP(index(split(Y22 ,"", "", FALSE),1,3), vote4TRAITS!A:C , 3, FALSE)
)
)"),5.0)</f>
        <v>5</v>
      </c>
      <c r="AA22" s="343" t="s">
        <v>1359</v>
      </c>
      <c r="AB22" s="343">
        <f>IFERROR(__xludf.DUMMYFUNCTION("IF(ISBLANK(AA22), , 
SWITCH(
LEN(AA22)- LEN(SUBSTITUTE(AA22,"","","""")), 
0 , VLOOKUP(AA22, vote4ACTIONS!A:C , 3, FALSE),
1 , VLOOKUP(index(split(AA22 ,"", "", FALSE),1,1), vote4ACTIONS!A:C , 3, FALSE) + VLOOKUP(index(split(AA22 ,"", "", FALSE),1,2), vot"&amp;"e4ACTIONS!A:C , 3, FALSE),
2 , VLOOKUP(index(split(AA22 ,"", "", FALSE),1,1), vote4ACTIONS!A:C , 3, FALSE) + VLOOKUP(index(split(AA22 ,"", "", FALSE),1,2), vote4ACTIONS!A:C , 3, FALSE) + VLOOKUP(index(split(AA22 ,"", "", FALSE),1,3), vote4ACTIONS!A:C , 3,"&amp;" FALSE)
)
)"),-1.5)</f>
        <v>-1.5</v>
      </c>
      <c r="AC22" s="343" t="s">
        <v>1560</v>
      </c>
      <c r="AD22" s="517">
        <f>IF(ISBLANK(AC22),,IF(IFERROR(SEARCH("SS:",AC22),0) &gt; 0, 
VLOOKUP(SUBSTITUTE(AC22,"SS: ",""),vote4SURGE!$A:$C , 3, FALSE) - 2,
VLOOKUP(SUBSTITUTE(AC22,"S: ",""),vote4SURGE!$A:$C , 3, FALSE)
)
)</f>
        <v>4.25</v>
      </c>
      <c r="AE22" s="343" t="s">
        <v>1566</v>
      </c>
      <c r="AF22" s="517">
        <f>IF(ISBLANK(AE22),,IF(IFERROR(SEARCH("SS:",AE22),0) &gt; 0, 
VLOOKUP(SUBSTITUTE(AE22,"SS: ",""),vote4SURGE!$A:$C , 3, FALSE) - 2,
VLOOKUP(SUBSTITUTE(AE22,"S: ",""),vote4SURGE!$A:$C , 3, FALSE)
)
)</f>
        <v>3</v>
      </c>
      <c r="AG22" s="343"/>
      <c r="AH22" s="343" t="str">
        <f>IF(ISBLANK(AG22),,IF(IFERROR(SEARCH("SS:",AG22),0) &gt; 0, 
VLOOKUP(SUBSTITUTE(AG22,"SS: ",""),vote4SURGE!$A:$C , 3, FALSE) - 2,
VLOOKUP(SUBSTITUTE(AG22,"S: ",""),vote4SURGE!$A:$C , 3, FALSE)
)
)</f>
        <v/>
      </c>
      <c r="AI22" s="517">
        <f t="shared" si="1"/>
        <v>5.25</v>
      </c>
      <c r="AJ22" s="343">
        <f>ROUND(IFS(
IFERROR(SEARCH("Blue, Yellow, Yellow, Green",W22),0) &gt; 0 , VLOOKUP("Blue", Variables!A:C , 3 , FALSE) + (VLOOKUP("Yellow", Variables!A:C , 3 , FALSE) * 2) + VLOOKUP("Green", Variables!A:C , 3 , FALSE),
IFERROR(SEARCH("Blue, Yellow, Green, Green",W22),0) &gt; 0 , VLOOKUP("Blue", Variables!A:C , 3 , FALSE) + VLOOKUP("Yellow", Variables!A:C , 3 , FALSE)  + (VLOOKUP("Green", Variables!A:C , 3 , FALSE) * 2),
IFERROR(SEARCH("Blue, Red, Red",W22),0) &gt; 0 , VLOOKUP("Blue", Variables!A:C , 3 , FALSE) + VLOOKUP("Red", Variables!A:C , 3 , FALSE) * 2,
IFERROR(SEARCH("Blue, Yellow, Yellow",W22),0) &gt; 0 , VLOOKUP("Blue", Variables!A:C , 3 , FALSE) + (VLOOKUP("Yellow", Variables!A:C , 3 , FALSE) * 2),
IFERROR(SEARCH("Blue, Yellow, Green",W22),0) &gt; 0 , VLOOKUP("Blue", Variables!A:C , 3 , FALSE) + VLOOKUP("Yellow", Variables!A:C , 3 , FALSE) + VLOOKUP("Green", Variables!A:C , 3 , FALSE),
IFERROR(SEARCH("Blue, Red, Green",W22),0) &gt; 0 , VLOOKUP("Blue", Variables!A:C , 3 , FALSE) + VLOOKUP("Red", Variables!A:C , 3 , FALSE) + VLOOKUP("Green", Variables!A:C , 3 , FALSE),
IFERROR(SEARCH("Blue, Red, Yellow",W22),0) &gt; 0 , VLOOKUP("Blue", Variables!A:C , 3 , FALSE) + VLOOKUP("Red", Variables!A:C , 3 , FALSE) + VLOOKUP("Yellow", Variables!A:C , 3 , FALSE),
IFERROR(SEARCH("Blue, Green, Green",W22),0) &gt; 0 , VLOOKUP("Blue", Variables!A:C , 3 , FALSE) + (VLOOKUP("Green", Variables!A:C , 3 , FALSE) * 2),
IFERROR(SEARCH("Blue, Yellow",W22),0) &gt; 0 , VLOOKUP("Blue", Variables!A:C , 3 , FALSE) + VLOOKUP("Yellow", Variables!A:C , 3 , FALSE),
IFERROR(SEARCH("Blue, Red",W22),0) &gt; 0 , VLOOKUP("Blue", Variables!A:C , 3 , FALSE) + VLOOKUP("Red", Variables!A:C , 3 , FALSE),
IFERROR(SEARCH("Blue, Green",W22),0) &gt; 0 , VLOOKUP("Blue", Variables!A:C , 3 , FALSE) + VLOOKUP("Green", Variables!A:C , 3 , FALSE),
IFERROR(SEARCH("Green",W22),0) &gt; 0 , VLOOKUP("Green", Variables!A:C , 3 , FALSE),
IFERROR(SEARCH("Blue",W22),0) &gt; 0 , VLOOKUP("Blue", Variables!A:C , 3 , FALSE),
IFERROR(SEARCH("Yellow",W22),0) &gt; 0 , VLOOKUP("Yellow", Variables!A:C , 3 , FALSE),
IFERROR(SEARCH("Black, Black",W22),0) &gt; 0 , VLOOKUP("Black", Variables!A:C , 3 , FALSE) * 2,
IFERROR(SEARCH("Grey, Grey",W22),0) &gt; 0 , VLOOKUP("Grey", Variables!A:C , 3 , FALSE) * 2,
IFERROR(SEARCH("Grey, Brown",W22),0) &gt; 0 , VLOOKUP("Grey", Variables!A:C , 3 , FALSE)  + VLOOKUP("Brown", Variables!A:C , 3 , FALSE),
IFERROR(SEARCH("Black, Grey",W22),0) &gt; 0 , VLOOKUP("Black", Variables!A:C , 3 , FALSE) + VLOOKUP("Grey", Variables!A:C , 3 , FALSE),
IFERROR(SEARCH("Black, Brown",W22),0) &gt; 0 , VLOOKUP("Black", Variables!A:C , 3 , FALSE) + VLOOKUP("Brown", Variables!A:C , 3 , FALSE),
IFERROR(SEARCH("Black",W22),0) &gt; 0 , VLOOKUP("Black", Variables!A:C , 3 , FALSE),
IFERROR(SEARCH("Grey",W22),0) &gt; 0 , VLOOKUP("Grey", Variables!A:C , 3 , FALSE),
IFERROR(SEARCH("Brown",W22),0) &gt; 0 , VLOOKUP("Brown", Variables!A:C , 3 , FALSE),
0=0,0)
,
)</f>
        <v>1</v>
      </c>
      <c r="AK22" s="343">
        <f t="shared" si="2"/>
        <v>3</v>
      </c>
      <c r="AL22" s="345">
        <f t="shared" si="3"/>
        <v>24.75</v>
      </c>
      <c r="AM22" s="383"/>
    </row>
    <row r="23" ht="15.75" customHeight="1">
      <c r="A23" s="509" t="s">
        <v>2702</v>
      </c>
      <c r="B23" s="510">
        <v>1.0</v>
      </c>
      <c r="C23" s="510">
        <v>1.0</v>
      </c>
      <c r="D23" s="511" t="s">
        <v>1861</v>
      </c>
      <c r="E23" s="512" t="s">
        <v>2703</v>
      </c>
      <c r="F23" s="513">
        <v>3.0</v>
      </c>
      <c r="G23" s="514">
        <v>8.0</v>
      </c>
      <c r="H23" s="515" t="s">
        <v>1663</v>
      </c>
      <c r="I23" s="489">
        <f>IFERROR(__xludf.DUMMYFUNCTION("SUM(F23 * 0.33, G23
*
SWITCH(
LEN(H23) - LEN(SUBSTITUTE(H23,"","","""")),
0 , VLOOKUP(H23, Variables!$A:$B, 2, FALSE),
1 , VLOOKUP(index(split(H23 ,"", "", FALSE),1,1), Variables!$A:$B , 2, FALSE) + VLOOKUP(index(split(H23 ,"", "", FALSE),1,2), Variables!"&amp;"$A:$B , 2, FALSE),
2 , VLOOKUP(index(split(H23 ,"", "", FALSE),1,1), Variables!$A:$B , 2, FALSE) + VLOOKUP(index(split(H23 ,"", "", FALSE),1,2), Variables!$A:$B , 2, FALSE) + VLOOKUP(index(split(H23 ,"", "", FALSE),1,3), Variables!$A:$B , 2, FALSE)
)
)"),11.656666666666666)</f>
        <v>11.65666667</v>
      </c>
      <c r="J23" s="513">
        <v>3.0</v>
      </c>
      <c r="K23" s="514">
        <v>10.0</v>
      </c>
      <c r="L23" s="515" t="s">
        <v>1663</v>
      </c>
      <c r="M23" s="312">
        <f>IFERROR(__xludf.DUMMYFUNCTION("SUM(J23 * 0.33, K23
*
SWITCH(
LEN(L23) - LEN(SUBSTITUTE(L23,"","","""")),
0 , VLOOKUP(L23, Variables!$A:$B, 2, FALSE),
1 , VLOOKUP(index(split(L23 ,"", "", FALSE),1,1), Variables!$A:$B , 2, FALSE) + VLOOKUP(index(split(L23 ,"", "", FALSE),1,2), Variables!"&amp;"$A:$B , 2, FALSE),
2 , VLOOKUP(index(split(L23 ,"", "", FALSE),1,1), Variables!$A:$B , 2, FALSE) + VLOOKUP(index(split(L23 ,"", "", FALSE),1,2), Variables!$A:$B , 2, FALSE) + VLOOKUP(index(split(L23 ,"", "", FALSE),1,3), Variables!$A:$B , 2, FALSE)
)
)"),14.323333333333332)</f>
        <v>14.32333333</v>
      </c>
      <c r="N23" s="514">
        <v>3.0</v>
      </c>
      <c r="O23" s="514">
        <v>12.0</v>
      </c>
      <c r="P23" s="340" t="s">
        <v>1671</v>
      </c>
      <c r="Q23" s="312">
        <f>IFERROR(__xludf.DUMMYFUNCTION("SUM(N23 * 0.33, O23
*
SWITCH(
LEN(P23) - LEN(SUBSTITUTE(P23,"","","""")),
0 , VLOOKUP(P23, Variables!$A:$B, 2, FALSE),
1 , VLOOKUP(index(split(P23 ,"", "", FALSE),1,1), Variables!$A:$B , 2, FALSE) + VLOOKUP(index(split(P23 ,"", "", FALSE),1,2), Variables!"&amp;"$A:$B , 2, FALSE),
2 , VLOOKUP(index(split(P23 ,"", "", FALSE),1,1), Variables!$A:$B , 2, FALSE) + VLOOKUP(index(split(P23 ,"", "", FALSE),1,2), Variables!$A:$B , 2, FALSE) + VLOOKUP(index(split(P23 ,"", "", FALSE),1,3), Variables!$A:$B , 2, FALSE)
)
)"),26.99)</f>
        <v>26.99</v>
      </c>
      <c r="R23" s="513">
        <v>1.0</v>
      </c>
      <c r="S23" s="514">
        <v>4.0</v>
      </c>
      <c r="T23" s="514">
        <v>3.0</v>
      </c>
      <c r="U23" s="516">
        <v>3.0</v>
      </c>
      <c r="V23" s="343" t="s">
        <v>1567</v>
      </c>
      <c r="W23" s="343" t="s">
        <v>1618</v>
      </c>
      <c r="X23" s="312">
        <f>IFERROR(__xludf.DUMMYFUNCTION("SWITCH(
LEN(W23) - LEN(SUBSTITUTE(W23,"","","""")),
0 , VLOOKUP(W23, Variables!$A:$B, 2, FALSE),
1 , VLOOKUP(index(split(W23 ,"", "", FALSE),1,1), Variables!$A:$B , 2, FALSE) + VLOOKUP(index(split(W23 ,"", "", FALSE),1,2), Variables!$A:$B , 2, FALSE),
2 ,"&amp;" VLOOKUP(index(split(W23 ,"", "", FALSE),1,1), Variables!$A:$B , 2, FALSE) + VLOOKUP(index(split(W23 ,"", "", FALSE),1,2), Variables!$A:$B , 2, FALSE) + VLOOKUP(index(split(W23 ,"", "", FALSE),1,3), Variables!$A:$B , 2, FALSE),
3 , VLOOKUP(index(split(W23"&amp;" ,"", "", FALSE),1,1), Variables!$A:$B , 2, FALSE) + VLOOKUP(index(split(W23 ,"", "", FALSE),1,2), Variables!$A:$B , 2, FALSE) + VLOOKUP(index(split(W23 ,"", "", FALSE),1,3), Variables!$A:$B , 2, FALSE) + VLOOKUP(index(split(W23 ,"", "", FALSE),1,4), Vari"&amp;"ables!$A:$B , 2, FALSE)
)"),2.5)</f>
        <v>2.5</v>
      </c>
      <c r="Y23" s="343"/>
      <c r="Z23" s="342" t="str">
        <f>IFERROR(__xludf.DUMMYFUNCTION("IF(ISBLANK(Y23), , 
SWITCH(
LEN(Y23)- LEN(SUBSTITUTE(Y23,"","","""")), 
0 , VLOOKUP(Y23, vote4TRAITS!A:C , 3, FALSE),
1 , VLOOKUP(index(split(Y23 ,"", "", FALSE),1,1), vote4TRAITS!A:C , 3, FALSE) + VLOOKUP(index(split(Y23 ,"", "", FALSE),1,2), vote4TRAITS"&amp;"!A:C , 3, FALSE),
2 , VLOOKUP(index(split(Y23 ,"", "", FALSE),1,1), vote4TRAITS!A:C , 3, FALSE) + VLOOKUP(index(split(Y23 ,"", "", FALSE),1,2), vote4TRAITS!A:C , 3, FALSE) + VLOOKUP(index(split(Y23 ,"", "", FALSE),1,3), vote4TRAITS!A:C , 3, FALSE)
)
)"),"")</f>
        <v/>
      </c>
      <c r="AA23" s="343" t="s">
        <v>1345</v>
      </c>
      <c r="AB23" s="343">
        <f>IFERROR(__xludf.DUMMYFUNCTION("IF(ISBLANK(AA23), , 
SWITCH(
LEN(AA23)- LEN(SUBSTITUTE(AA23,"","","""")), 
0 , VLOOKUP(AA23, vote4ACTIONS!A:C , 3, FALSE),
1 , VLOOKUP(index(split(AA23 ,"", "", FALSE),1,1), vote4ACTIONS!A:C , 3, FALSE) + VLOOKUP(index(split(AA23 ,"", "", FALSE),1,2), vot"&amp;"e4ACTIONS!A:C , 3, FALSE),
2 , VLOOKUP(index(split(AA23 ,"", "", FALSE),1,1), vote4ACTIONS!A:C , 3, FALSE) + VLOOKUP(index(split(AA23 ,"", "", FALSE),1,2), vote4ACTIONS!A:C , 3, FALSE) + VLOOKUP(index(split(AA23 ,"", "", FALSE),1,3), vote4ACTIONS!A:C , 3,"&amp;" FALSE)
)
)"),2.0)</f>
        <v>2</v>
      </c>
      <c r="AC23" s="343" t="s">
        <v>1534</v>
      </c>
      <c r="AD23" s="517">
        <f>IF(ISBLANK(AC23),,IF(IFERROR(SEARCH("SS:",AC23),0) &gt; 0, 
VLOOKUP(SUBSTITUTE(AC23,"SS: ",""),vote4SURGE!$A:$C , 3, FALSE) - 2,
VLOOKUP(SUBSTITUTE(AC23,"S: ",""),vote4SURGE!$A:$C , 3, FALSE)
)
)</f>
        <v>4.25</v>
      </c>
      <c r="AE23" s="343" t="s">
        <v>2704</v>
      </c>
      <c r="AF23" s="517">
        <f>IF(ISBLANK(AE23),,IF(IFERROR(SEARCH("SS:",AE23),0) &gt; 0, 
VLOOKUP(SUBSTITUTE(AE23,"SS: ",""),vote4SURGE!$A:$C , 3, FALSE) - 2,
VLOOKUP(SUBSTITUTE(AE23,"S: ",""),vote4SURGE!$A:$C , 3, FALSE)
)
)</f>
        <v>2</v>
      </c>
      <c r="AG23" s="343"/>
      <c r="AH23" s="343" t="str">
        <f>IF(ISBLANK(AG23),,IF(IFERROR(SEARCH("SS:",AG23),0) &gt; 0, 
VLOOKUP(SUBSTITUTE(AG23,"SS: ",""),vote4SURGE!$A:$C , 3, FALSE) - 2,
VLOOKUP(SUBSTITUTE(AG23,"S: ",""),vote4SURGE!$A:$C , 3, FALSE)
)
)</f>
        <v/>
      </c>
      <c r="AI23" s="517">
        <f t="shared" si="1"/>
        <v>5.583333333</v>
      </c>
      <c r="AJ23" s="343">
        <f>ROUND(IFS(
IFERROR(SEARCH("Blue, Yellow, Yellow, Green",W23),0) &gt; 0 , VLOOKUP("Blue", Variables!A:C , 3 , FALSE) + (VLOOKUP("Yellow", Variables!A:C , 3 , FALSE) * 2) + VLOOKUP("Green", Variables!A:C , 3 , FALSE),
IFERROR(SEARCH("Blue, Yellow, Green, Green",W23),0) &gt; 0 , VLOOKUP("Blue", Variables!A:C , 3 , FALSE) + VLOOKUP("Yellow", Variables!A:C , 3 , FALSE)  + (VLOOKUP("Green", Variables!A:C , 3 , FALSE) * 2),
IFERROR(SEARCH("Blue, Red, Red",W23),0) &gt; 0 , VLOOKUP("Blue", Variables!A:C , 3 , FALSE) + VLOOKUP("Red", Variables!A:C , 3 , FALSE) * 2,
IFERROR(SEARCH("Blue, Yellow, Yellow",W23),0) &gt; 0 , VLOOKUP("Blue", Variables!A:C , 3 , FALSE) + (VLOOKUP("Yellow", Variables!A:C , 3 , FALSE) * 2),
IFERROR(SEARCH("Blue, Yellow, Green",W23),0) &gt; 0 , VLOOKUP("Blue", Variables!A:C , 3 , FALSE) + VLOOKUP("Yellow", Variables!A:C , 3 , FALSE) + VLOOKUP("Green", Variables!A:C , 3 , FALSE),
IFERROR(SEARCH("Blue, Red, Green",W23),0) &gt; 0 , VLOOKUP("Blue", Variables!A:C , 3 , FALSE) + VLOOKUP("Red", Variables!A:C , 3 , FALSE) + VLOOKUP("Green", Variables!A:C , 3 , FALSE),
IFERROR(SEARCH("Blue, Red, Yellow",W23),0) &gt; 0 , VLOOKUP("Blue", Variables!A:C , 3 , FALSE) + VLOOKUP("Red", Variables!A:C , 3 , FALSE) + VLOOKUP("Yellow", Variables!A:C , 3 , FALSE),
IFERROR(SEARCH("Blue, Green, Green",W23),0) &gt; 0 , VLOOKUP("Blue", Variables!A:C , 3 , FALSE) + (VLOOKUP("Green", Variables!A:C , 3 , FALSE) * 2),
IFERROR(SEARCH("Blue, Yellow",W23),0) &gt; 0 , VLOOKUP("Blue", Variables!A:C , 3 , FALSE) + VLOOKUP("Yellow", Variables!A:C , 3 , FALSE),
IFERROR(SEARCH("Blue, Red",W23),0) &gt; 0 , VLOOKUP("Blue", Variables!A:C , 3 , FALSE) + VLOOKUP("Red", Variables!A:C , 3 , FALSE),
IFERROR(SEARCH("Blue, Green",W23),0) &gt; 0 , VLOOKUP("Blue", Variables!A:C , 3 , FALSE) + VLOOKUP("Green", Variables!A:C , 3 , FALSE),
IFERROR(SEARCH("Green",W23),0) &gt; 0 , VLOOKUP("Green", Variables!A:C , 3 , FALSE),
IFERROR(SEARCH("Blue",W23),0) &gt; 0 , VLOOKUP("Blue", Variables!A:C , 3 , FALSE),
IFERROR(SEARCH("Yellow",W23),0) &gt; 0 , VLOOKUP("Yellow", Variables!A:C , 3 , FALSE),
IFERROR(SEARCH("Black, Black",W23),0) &gt; 0 , VLOOKUP("Black", Variables!A:C , 3 , FALSE) * 2,
IFERROR(SEARCH("Grey, Grey",W23),0) &gt; 0 , VLOOKUP("Grey", Variables!A:C , 3 , FALSE) * 2,
IFERROR(SEARCH("Grey, Brown",W23),0) &gt; 0 , VLOOKUP("Grey", Variables!A:C , 3 , FALSE)  + VLOOKUP("Brown", Variables!A:C , 3 , FALSE),
IFERROR(SEARCH("Black, Grey",W23),0) &gt; 0 , VLOOKUP("Black", Variables!A:C , 3 , FALSE) + VLOOKUP("Grey", Variables!A:C , 3 , FALSE),
IFERROR(SEARCH("Black, Brown",W23),0) &gt; 0 , VLOOKUP("Black", Variables!A:C , 3 , FALSE) + VLOOKUP("Brown", Variables!A:C , 3 , FALSE),
IFERROR(SEARCH("Black",W23),0) &gt; 0 , VLOOKUP("Black", Variables!A:C , 3 , FALSE),
IFERROR(SEARCH("Grey",W23),0) &gt; 0 , VLOOKUP("Grey", Variables!A:C , 3 , FALSE),
IFERROR(SEARCH("Brown",W23),0) &gt; 0 , VLOOKUP("Brown", Variables!A:C , 3 , FALSE),
0=0,0)
,
)</f>
        <v>2</v>
      </c>
      <c r="AK23" s="343">
        <f t="shared" si="2"/>
        <v>3</v>
      </c>
      <c r="AL23" s="345">
        <f t="shared" si="3"/>
        <v>21.08333333</v>
      </c>
      <c r="AM23" s="383"/>
    </row>
    <row r="24" ht="15.75" customHeight="1">
      <c r="A24" s="509" t="s">
        <v>2702</v>
      </c>
      <c r="B24" s="380">
        <v>2.0</v>
      </c>
      <c r="C24" s="380">
        <v>1.0</v>
      </c>
      <c r="D24" s="511" t="s">
        <v>1861</v>
      </c>
      <c r="E24" s="512" t="s">
        <v>2703</v>
      </c>
      <c r="F24" s="513">
        <v>3.0</v>
      </c>
      <c r="G24" s="514">
        <v>12.0</v>
      </c>
      <c r="H24" s="340" t="s">
        <v>1671</v>
      </c>
      <c r="I24" s="489">
        <f>IFERROR(__xludf.DUMMYFUNCTION("SUM(F24 * 0.33, G24
*
SWITCH(
LEN(H24) - LEN(SUBSTITUTE(H24,"","","""")),
0 , VLOOKUP(H24, Variables!$A:$B, 2, FALSE),
1 , VLOOKUP(index(split(H24 ,"", "", FALSE),1,1), Variables!$A:$B , 2, FALSE) + VLOOKUP(index(split(H24 ,"", "", FALSE),1,2), Variables!"&amp;"$A:$B , 2, FALSE),
2 , VLOOKUP(index(split(H24 ,"", "", FALSE),1,1), Variables!$A:$B , 2, FALSE) + VLOOKUP(index(split(H24 ,"", "", FALSE),1,2), Variables!$A:$B , 2, FALSE) + VLOOKUP(index(split(H24 ,"", "", FALSE),1,3), Variables!$A:$B , 2, FALSE)
)
)"),26.99)</f>
        <v>26.99</v>
      </c>
      <c r="J24" s="513">
        <v>3.0</v>
      </c>
      <c r="K24" s="514">
        <v>14.0</v>
      </c>
      <c r="L24" s="515" t="s">
        <v>2590</v>
      </c>
      <c r="M24" s="312">
        <f>IFERROR(__xludf.DUMMYFUNCTION("SUM(J24 * 0.33, K24
*
SWITCH(
LEN(L24) - LEN(SUBSTITUTE(L24,"","","""")),
0 , VLOOKUP(L24, Variables!$A:$B, 2, FALSE),
1 , VLOOKUP(index(split(L24 ,"", "", FALSE),1,1), Variables!$A:$B , 2, FALSE) + VLOOKUP(index(split(L24 ,"", "", FALSE),1,2), Variables!"&amp;"$A:$B , 2, FALSE),
2 , VLOOKUP(index(split(L24 ,"", "", FALSE),1,1), Variables!$A:$B , 2, FALSE) + VLOOKUP(index(split(L24 ,"", "", FALSE),1,2), Variables!$A:$B , 2, FALSE) + VLOOKUP(index(split(L24 ,"", "", FALSE),1,3), Variables!$A:$B , 2, FALSE)
)
)"),38.32333333333333)</f>
        <v>38.32333333</v>
      </c>
      <c r="N24" s="514">
        <v>3.0</v>
      </c>
      <c r="O24" s="514">
        <v>17.0</v>
      </c>
      <c r="P24" s="515" t="s">
        <v>2590</v>
      </c>
      <c r="Q24" s="312">
        <f>IFERROR(__xludf.DUMMYFUNCTION("SUM(N24 * 0.33, O24
*
SWITCH(
LEN(P24) - LEN(SUBSTITUTE(P24,"","","""")),
0 , VLOOKUP(P24, Variables!$A:$B, 2, FALSE),
1 , VLOOKUP(index(split(P24 ,"", "", FALSE),1,1), Variables!$A:$B , 2, FALSE) + VLOOKUP(index(split(P24 ,"", "", FALSE),1,2), Variables!"&amp;"$A:$B , 2, FALSE),
2 , VLOOKUP(index(split(P24 ,"", "", FALSE),1,1), Variables!$A:$B , 2, FALSE) + VLOOKUP(index(split(P24 ,"", "", FALSE),1,2), Variables!$A:$B , 2, FALSE) + VLOOKUP(index(split(P24 ,"", "", FALSE),1,3), Variables!$A:$B , 2, FALSE)
)
)"),46.32333333333333)</f>
        <v>46.32333333</v>
      </c>
      <c r="R24" s="513">
        <v>1.0</v>
      </c>
      <c r="S24" s="514">
        <v>4.0</v>
      </c>
      <c r="T24" s="514">
        <v>3.0</v>
      </c>
      <c r="U24" s="516">
        <v>3.0</v>
      </c>
      <c r="V24" s="343" t="s">
        <v>1567</v>
      </c>
      <c r="W24" s="343" t="s">
        <v>2705</v>
      </c>
      <c r="X24" s="312">
        <f>IFERROR(__xludf.DUMMYFUNCTION("SWITCH(
LEN(W24) - LEN(SUBSTITUTE(W24,"","","""")),
0 , VLOOKUP(W24, Variables!$A:$B, 2, FALSE),
1 , VLOOKUP(index(split(W24 ,"", "", FALSE),1,1), Variables!$A:$B , 2, FALSE) + VLOOKUP(index(split(W24 ,"", "", FALSE),1,2), Variables!$A:$B , 2, FALSE),
2 ,"&amp;" VLOOKUP(index(split(W24 ,"", "", FALSE),1,1), Variables!$A:$B , 2, FALSE) + VLOOKUP(index(split(W24 ,"", "", FALSE),1,2), Variables!$A:$B , 2, FALSE) + VLOOKUP(index(split(W24 ,"", "", FALSE),1,3), Variables!$A:$B , 2, FALSE),
3 , VLOOKUP(index(split(W24"&amp;" ,"", "", FALSE),1,1), Variables!$A:$B , 2, FALSE) + VLOOKUP(index(split(W24 ,"", "", FALSE),1,2), Variables!$A:$B , 2, FALSE) + VLOOKUP(index(split(W24 ,"", "", FALSE),1,3), Variables!$A:$B , 2, FALSE) + VLOOKUP(index(split(W24 ,"", "", FALSE),1,4), Vari"&amp;"ables!$A:$B , 2, FALSE)
)"),4.666666666666666)</f>
        <v>4.666666667</v>
      </c>
      <c r="Y24" s="343" t="s">
        <v>1083</v>
      </c>
      <c r="Z24" s="342">
        <f>IFERROR(__xludf.DUMMYFUNCTION("IF(ISBLANK(Y24), , 
SWITCH(
LEN(Y24)- LEN(SUBSTITUTE(Y24,"","","""")), 
0 , VLOOKUP(Y24, vote4TRAITS!A:C , 3, FALSE),
1 , VLOOKUP(index(split(Y24 ,"", "", FALSE),1,1), vote4TRAITS!A:C , 3, FALSE) + VLOOKUP(index(split(Y24 ,"", "", FALSE),1,2), vote4TRAITS"&amp;"!A:C , 3, FALSE),
2 , VLOOKUP(index(split(Y24 ,"", "", FALSE),1,1), vote4TRAITS!A:C , 3, FALSE) + VLOOKUP(index(split(Y24 ,"", "", FALSE),1,2), vote4TRAITS!A:C , 3, FALSE) + VLOOKUP(index(split(Y24 ,"", "", FALSE),1,3), vote4TRAITS!A:C , 3, FALSE)
)
)"),5.0)</f>
        <v>5</v>
      </c>
      <c r="AA24" s="343" t="s">
        <v>1345</v>
      </c>
      <c r="AB24" s="343">
        <f>IFERROR(__xludf.DUMMYFUNCTION("IF(ISBLANK(AA24), , 
SWITCH(
LEN(AA24)- LEN(SUBSTITUTE(AA24,"","","""")), 
0 , VLOOKUP(AA24, vote4ACTIONS!A:C , 3, FALSE),
1 , VLOOKUP(index(split(AA24 ,"", "", FALSE),1,1), vote4ACTIONS!A:C , 3, FALSE) + VLOOKUP(index(split(AA24 ,"", "", FALSE),1,2), vot"&amp;"e4ACTIONS!A:C , 3, FALSE),
2 , VLOOKUP(index(split(AA24 ,"", "", FALSE),1,1), vote4ACTIONS!A:C , 3, FALSE) + VLOOKUP(index(split(AA24 ,"", "", FALSE),1,2), vote4ACTIONS!A:C , 3, FALSE) + VLOOKUP(index(split(AA24 ,"", "", FALSE),1,3), vote4ACTIONS!A:C , 3,"&amp;" FALSE)
)
)"),2.0)</f>
        <v>2</v>
      </c>
      <c r="AC24" s="343" t="s">
        <v>1534</v>
      </c>
      <c r="AD24" s="517">
        <f>IF(ISBLANK(AC24),,IF(IFERROR(SEARCH("SS:",AC24),0) &gt; 0, 
VLOOKUP(SUBSTITUTE(AC24,"SS: ",""),vote4SURGE!$A:$C , 3, FALSE) - 2,
VLOOKUP(SUBSTITUTE(AC24,"S: ",""),vote4SURGE!$A:$C , 3, FALSE)
)
)</f>
        <v>4.25</v>
      </c>
      <c r="AE24" s="343" t="s">
        <v>2704</v>
      </c>
      <c r="AF24" s="517">
        <f>IF(ISBLANK(AE24),,IF(IFERROR(SEARCH("SS:",AE24),0) &gt; 0, 
VLOOKUP(SUBSTITUTE(AE24,"SS: ",""),vote4SURGE!$A:$C , 3, FALSE) - 2,
VLOOKUP(SUBSTITUTE(AE24,"S: ",""),vote4SURGE!$A:$C , 3, FALSE)
)
)</f>
        <v>2</v>
      </c>
      <c r="AG24" s="343"/>
      <c r="AH24" s="343" t="str">
        <f>IF(ISBLANK(AG24),,IF(IFERROR(SEARCH("SS:",AG24),0) &gt; 0, 
VLOOKUP(SUBSTITUTE(AG24,"SS: ",""),vote4SURGE!$A:$C , 3, FALSE) - 2,
VLOOKUP(SUBSTITUTE(AG24,"S: ",""),vote4SURGE!$A:$C , 3, FALSE)
)
)</f>
        <v/>
      </c>
      <c r="AI24" s="517">
        <f t="shared" si="1"/>
        <v>4.916666667</v>
      </c>
      <c r="AJ24" s="343">
        <f>ROUND(IFS(
IFERROR(SEARCH("Blue, Yellow, Yellow, Green",W24),0) &gt; 0 , VLOOKUP("Blue", Variables!A:C , 3 , FALSE) + (VLOOKUP("Yellow", Variables!A:C , 3 , FALSE) * 2) + VLOOKUP("Green", Variables!A:C , 3 , FALSE),
IFERROR(SEARCH("Blue, Yellow, Green, Green",W24),0) &gt; 0 , VLOOKUP("Blue", Variables!A:C , 3 , FALSE) + VLOOKUP("Yellow", Variables!A:C , 3 , FALSE)  + (VLOOKUP("Green", Variables!A:C , 3 , FALSE) * 2),
IFERROR(SEARCH("Blue, Red, Red",W24),0) &gt; 0 , VLOOKUP("Blue", Variables!A:C , 3 , FALSE) + VLOOKUP("Red", Variables!A:C , 3 , FALSE) * 2,
IFERROR(SEARCH("Blue, Yellow, Yellow",W24),0) &gt; 0 , VLOOKUP("Blue", Variables!A:C , 3 , FALSE) + (VLOOKUP("Yellow", Variables!A:C , 3 , FALSE) * 2),
IFERROR(SEARCH("Blue, Yellow, Green",W24),0) &gt; 0 , VLOOKUP("Blue", Variables!A:C , 3 , FALSE) + VLOOKUP("Yellow", Variables!A:C , 3 , FALSE) + VLOOKUP("Green", Variables!A:C , 3 , FALSE),
IFERROR(SEARCH("Blue, Red, Green",W24),0) &gt; 0 , VLOOKUP("Blue", Variables!A:C , 3 , FALSE) + VLOOKUP("Red", Variables!A:C , 3 , FALSE) + VLOOKUP("Green", Variables!A:C , 3 , FALSE),
IFERROR(SEARCH("Blue, Red, Yellow",W24),0) &gt; 0 , VLOOKUP("Blue", Variables!A:C , 3 , FALSE) + VLOOKUP("Red", Variables!A:C , 3 , FALSE) + VLOOKUP("Yellow", Variables!A:C , 3 , FALSE),
IFERROR(SEARCH("Blue, Green, Green",W24),0) &gt; 0 , VLOOKUP("Blue", Variables!A:C , 3 , FALSE) + (VLOOKUP("Green", Variables!A:C , 3 , FALSE) * 2),
IFERROR(SEARCH("Blue, Yellow",W24),0) &gt; 0 , VLOOKUP("Blue", Variables!A:C , 3 , FALSE) + VLOOKUP("Yellow", Variables!A:C , 3 , FALSE),
IFERROR(SEARCH("Blue, Red",W24),0) &gt; 0 , VLOOKUP("Blue", Variables!A:C , 3 , FALSE) + VLOOKUP("Red", Variables!A:C , 3 , FALSE),
IFERROR(SEARCH("Blue, Green",W24),0) &gt; 0 , VLOOKUP("Blue", Variables!A:C , 3 , FALSE) + VLOOKUP("Green", Variables!A:C , 3 , FALSE),
IFERROR(SEARCH("Green",W24),0) &gt; 0 , VLOOKUP("Green", Variables!A:C , 3 , FALSE),
IFERROR(SEARCH("Blue",W24),0) &gt; 0 , VLOOKUP("Blue", Variables!A:C , 3 , FALSE),
IFERROR(SEARCH("Yellow",W24),0) &gt; 0 , VLOOKUP("Yellow", Variables!A:C , 3 , FALSE),
IFERROR(SEARCH("Black, Black",W24),0) &gt; 0 , VLOOKUP("Black", Variables!A:C , 3 , FALSE) * 2,
IFERROR(SEARCH("Grey, Grey",W24),0) &gt; 0 , VLOOKUP("Grey", Variables!A:C , 3 , FALSE) * 2,
IFERROR(SEARCH("Grey, Brown",W24),0) &gt; 0 , VLOOKUP("Grey", Variables!A:C , 3 , FALSE)  + VLOOKUP("Brown", Variables!A:C , 3 , FALSE),
IFERROR(SEARCH("Black, Grey",W24),0) &gt; 0 , VLOOKUP("Black", Variables!A:C , 3 , FALSE) + VLOOKUP("Grey", Variables!A:C , 3 , FALSE),
IFERROR(SEARCH("Black, Brown",W24),0) &gt; 0 , VLOOKUP("Black", Variables!A:C , 3 , FALSE) + VLOOKUP("Brown", Variables!A:C , 3 , FALSE),
IFERROR(SEARCH("Black",W24),0) &gt; 0 , VLOOKUP("Black", Variables!A:C , 3 , FALSE),
IFERROR(SEARCH("Grey",W24),0) &gt; 0 , VLOOKUP("Grey", Variables!A:C , 3 , FALSE),
IFERROR(SEARCH("Brown",W24),0) &gt; 0 , VLOOKUP("Brown", Variables!A:C , 3 , FALSE),
0=0,0)
,
)</f>
        <v>1</v>
      </c>
      <c r="AK24" s="343">
        <f t="shared" si="2"/>
        <v>3</v>
      </c>
      <c r="AL24" s="345">
        <f t="shared" si="3"/>
        <v>27.58333333</v>
      </c>
      <c r="AM24" s="383"/>
    </row>
    <row r="25" ht="15.75" customHeight="1">
      <c r="A25" s="509" t="s">
        <v>1893</v>
      </c>
      <c r="B25" s="380">
        <v>2.0</v>
      </c>
      <c r="C25" s="380">
        <v>1.0</v>
      </c>
      <c r="D25" s="511" t="s">
        <v>1827</v>
      </c>
      <c r="E25" s="512" t="s">
        <v>2706</v>
      </c>
      <c r="F25" s="513">
        <v>3.0</v>
      </c>
      <c r="G25" s="514">
        <v>8.0</v>
      </c>
      <c r="H25" s="515" t="s">
        <v>1621</v>
      </c>
      <c r="I25" s="489">
        <f>IFERROR(__xludf.DUMMYFUNCTION("SUM(F25 * 0.33, G25
*
SWITCH(
LEN(H25) - LEN(SUBSTITUTE(H25,"","","""")),
0 , VLOOKUP(H25, Variables!$A:$B, 2, FALSE),
1 , VLOOKUP(index(split(H25 ,"", "", FALSE),1,1), Variables!$A:$B , 2, FALSE) + VLOOKUP(index(split(H25 ,"", "", FALSE),1,2), Variables!"&amp;"$A:$B , 2, FALSE),
2 , VLOOKUP(index(split(H25 ,"", "", FALSE),1,1), Variables!$A:$B , 2, FALSE) + VLOOKUP(index(split(H25 ,"", "", FALSE),1,2), Variables!$A:$B , 2, FALSE) + VLOOKUP(index(split(H25 ,"", "", FALSE),1,3), Variables!$A:$B , 2, FALSE)
)
)"),6.323333333333333)</f>
        <v>6.323333333</v>
      </c>
      <c r="J25" s="513">
        <v>3.0</v>
      </c>
      <c r="K25" s="514">
        <v>8.0</v>
      </c>
      <c r="L25" s="519" t="s">
        <v>1663</v>
      </c>
      <c r="M25" s="312">
        <f>IFERROR(__xludf.DUMMYFUNCTION("SUM(J25 * 0.33, K25
*
SWITCH(
LEN(L25) - LEN(SUBSTITUTE(L25,"","","""")),
0 , VLOOKUP(L25, Variables!$A:$B, 2, FALSE),
1 , VLOOKUP(index(split(L25 ,"", "", FALSE),1,1), Variables!$A:$B , 2, FALSE) + VLOOKUP(index(split(L25 ,"", "", FALSE),1,2), Variables!"&amp;"$A:$B , 2, FALSE),
2 , VLOOKUP(index(split(L25 ,"", "", FALSE),1,1), Variables!$A:$B , 2, FALSE) + VLOOKUP(index(split(L25 ,"", "", FALSE),1,2), Variables!$A:$B , 2, FALSE) + VLOOKUP(index(split(L25 ,"", "", FALSE),1,3), Variables!$A:$B , 2, FALSE)
)
)"),11.656666666666666)</f>
        <v>11.65666667</v>
      </c>
      <c r="N25" s="514">
        <v>3.0</v>
      </c>
      <c r="O25" s="514">
        <v>10.0</v>
      </c>
      <c r="P25" s="340" t="s">
        <v>1663</v>
      </c>
      <c r="Q25" s="312">
        <f>IFERROR(__xludf.DUMMYFUNCTION("SUM(N25 * 0.33, O25
*
SWITCH(
LEN(P25) - LEN(SUBSTITUTE(P25,"","","""")),
0 , VLOOKUP(P25, Variables!$A:$B, 2, FALSE),
1 , VLOOKUP(index(split(P25 ,"", "", FALSE),1,1), Variables!$A:$B , 2, FALSE) + VLOOKUP(index(split(P25 ,"", "", FALSE),1,2), Variables!"&amp;"$A:$B , 2, FALSE),
2 , VLOOKUP(index(split(P25 ,"", "", FALSE),1,1), Variables!$A:$B , 2, FALSE) + VLOOKUP(index(split(P25 ,"", "", FALSE),1,2), Variables!$A:$B , 2, FALSE) + VLOOKUP(index(split(P25 ,"", "", FALSE),1,3), Variables!$A:$B , 2, FALSE)
)
)"),14.323333333333332)</f>
        <v>14.32333333</v>
      </c>
      <c r="R25" s="513">
        <v>3.0</v>
      </c>
      <c r="S25" s="514">
        <v>3.0</v>
      </c>
      <c r="T25" s="514">
        <v>3.0</v>
      </c>
      <c r="U25" s="516">
        <v>3.0</v>
      </c>
      <c r="V25" s="343" t="s">
        <v>1521</v>
      </c>
      <c r="W25" s="343" t="s">
        <v>1522</v>
      </c>
      <c r="X25" s="312">
        <f>IFERROR(__xludf.DUMMYFUNCTION("SWITCH(
LEN(W25) - LEN(SUBSTITUTE(W25,"","","""")),
0 , VLOOKUP(W25, Variables!$A:$B, 2, FALSE),
1 , VLOOKUP(index(split(W25 ,"", "", FALSE),1,1), Variables!$A:$B , 2, FALSE) + VLOOKUP(index(split(W25 ,"", "", FALSE),1,2), Variables!$A:$B , 2, FALSE),
2 ,"&amp;" VLOOKUP(index(split(W25 ,"", "", FALSE),1,1), Variables!$A:$B , 2, FALSE) + VLOOKUP(index(split(W25 ,"", "", FALSE),1,2), Variables!$A:$B , 2, FALSE) + VLOOKUP(index(split(W25 ,"", "", FALSE),1,3), Variables!$A:$B , 2, FALSE),
3 , VLOOKUP(index(split(W25"&amp;" ,"", "", FALSE),1,1), Variables!$A:$B , 2, FALSE) + VLOOKUP(index(split(W25 ,"", "", FALSE),1,2), Variables!$A:$B , 2, FALSE) + VLOOKUP(index(split(W25 ,"", "", FALSE),1,3), Variables!$A:$B , 2, FALSE) + VLOOKUP(index(split(W25 ,"", "", FALSE),1,4), Vari"&amp;"ables!$A:$B , 2, FALSE)
)"),3.9999999999999996)</f>
        <v>4</v>
      </c>
      <c r="Y25" s="343" t="s">
        <v>1151</v>
      </c>
      <c r="Z25" s="342">
        <f>IFERROR(__xludf.DUMMYFUNCTION("IF(ISBLANK(Y25), , 
SWITCH(
LEN(Y25)- LEN(SUBSTITUTE(Y25,"","","""")), 
0 , VLOOKUP(Y25, vote4TRAITS!A:C , 3, FALSE),
1 , VLOOKUP(index(split(Y25 ,"", "", FALSE),1,1), vote4TRAITS!A:C , 3, FALSE) + VLOOKUP(index(split(Y25 ,"", "", FALSE),1,2), vote4TRAITS"&amp;"!A:C , 3, FALSE),
2 , VLOOKUP(index(split(Y25 ,"", "", FALSE),1,1), vote4TRAITS!A:C , 3, FALSE) + VLOOKUP(index(split(Y25 ,"", "", FALSE),1,2), vote4TRAITS!A:C , 3, FALSE) + VLOOKUP(index(split(Y25 ,"", "", FALSE),1,3), vote4TRAITS!A:C , 3, FALSE)
)
)"),3.5)</f>
        <v>3.5</v>
      </c>
      <c r="AA25" s="343" t="s">
        <v>1353</v>
      </c>
      <c r="AB25" s="343">
        <f>IFERROR(__xludf.DUMMYFUNCTION("IF(ISBLANK(AA25), , 
SWITCH(
LEN(AA25)- LEN(SUBSTITUTE(AA25,"","","""")), 
0 , VLOOKUP(AA25, vote4ACTIONS!A:C , 3, FALSE),
1 , VLOOKUP(index(split(AA25 ,"", "", FALSE),1,1), vote4ACTIONS!A:C , 3, FALSE) + VLOOKUP(index(split(AA25 ,"", "", FALSE),1,2), vot"&amp;"e4ACTIONS!A:C , 3, FALSE),
2 , VLOOKUP(index(split(AA25 ,"", "", FALSE),1,1), vote4ACTIONS!A:C , 3, FALSE) + VLOOKUP(index(split(AA25 ,"", "", FALSE),1,2), vote4ACTIONS!A:C , 3, FALSE) + VLOOKUP(index(split(AA25 ,"", "", FALSE),1,3), vote4ACTIONS!A:C , 3,"&amp;" FALSE)
)
)"),1.5)</f>
        <v>1.5</v>
      </c>
      <c r="AC25" s="343" t="s">
        <v>2707</v>
      </c>
      <c r="AD25" s="517">
        <f>IF(ISBLANK(AC25),,IF(IFERROR(SEARCH("SS:",AC25),0) &gt; 0, 
VLOOKUP(SUBSTITUTE(AC25,"SS: ",""),vote4SURGE!$A:$C , 3, FALSE) - 2,
VLOOKUP(SUBSTITUTE(AC25,"S: ",""),vote4SURGE!$A:$C , 3, FALSE)
)
)</f>
        <v>5.333333333</v>
      </c>
      <c r="AE25" s="343" t="s">
        <v>2708</v>
      </c>
      <c r="AF25" s="517">
        <f>IF(ISBLANK(AE25),,IF(IFERROR(SEARCH("SS:",AE25),0) &gt; 0, 
VLOOKUP(SUBSTITUTE(AE25,"SS: ",""),vote4SURGE!$A:$C , 3, FALSE) - 2,
VLOOKUP(SUBSTITUTE(AE25,"S: ",""),vote4SURGE!$A:$C , 3, FALSE)
)
)</f>
        <v>5.333333333</v>
      </c>
      <c r="AG25" s="343"/>
      <c r="AH25" s="343" t="str">
        <f>IF(ISBLANK(AG25),,IF(IFERROR(SEARCH("SS:",AG25),0) &gt; 0, 
VLOOKUP(SUBSTITUTE(AG25,"SS: ",""),vote4SURGE!$A:$C , 3, FALSE) - 2,
VLOOKUP(SUBSTITUTE(AG25,"S: ",""),vote4SURGE!$A:$C , 3, FALSE)
)
)</f>
        <v/>
      </c>
      <c r="AI25" s="517">
        <f t="shared" si="1"/>
        <v>8</v>
      </c>
      <c r="AJ25" s="343">
        <f>ROUND(IFS(
IFERROR(SEARCH("Blue, Yellow, Yellow, Green",W25),0) &gt; 0 , VLOOKUP("Blue", Variables!A:C , 3 , FALSE) + (VLOOKUP("Yellow", Variables!A:C , 3 , FALSE) * 2) + VLOOKUP("Green", Variables!A:C , 3 , FALSE),
IFERROR(SEARCH("Blue, Yellow, Green, Green",W25),0) &gt; 0 , VLOOKUP("Blue", Variables!A:C , 3 , FALSE) + VLOOKUP("Yellow", Variables!A:C , 3 , FALSE)  + (VLOOKUP("Green", Variables!A:C , 3 , FALSE) * 2),
IFERROR(SEARCH("Blue, Red, Red",W25),0) &gt; 0 , VLOOKUP("Blue", Variables!A:C , 3 , FALSE) + VLOOKUP("Red", Variables!A:C , 3 , FALSE) * 2,
IFERROR(SEARCH("Blue, Yellow, Yellow",W25),0) &gt; 0 , VLOOKUP("Blue", Variables!A:C , 3 , FALSE) + (VLOOKUP("Yellow", Variables!A:C , 3 , FALSE) * 2),
IFERROR(SEARCH("Blue, Yellow, Green",W25),0) &gt; 0 , VLOOKUP("Blue", Variables!A:C , 3 , FALSE) + VLOOKUP("Yellow", Variables!A:C , 3 , FALSE) + VLOOKUP("Green", Variables!A:C , 3 , FALSE),
IFERROR(SEARCH("Blue, Red, Green",W25),0) &gt; 0 , VLOOKUP("Blue", Variables!A:C , 3 , FALSE) + VLOOKUP("Red", Variables!A:C , 3 , FALSE) + VLOOKUP("Green", Variables!A:C , 3 , FALSE),
IFERROR(SEARCH("Blue, Red, Yellow",W25),0) &gt; 0 , VLOOKUP("Blue", Variables!A:C , 3 , FALSE) + VLOOKUP("Red", Variables!A:C , 3 , FALSE) + VLOOKUP("Yellow", Variables!A:C , 3 , FALSE),
IFERROR(SEARCH("Blue, Green, Green",W25),0) &gt; 0 , VLOOKUP("Blue", Variables!A:C , 3 , FALSE) + (VLOOKUP("Green", Variables!A:C , 3 , FALSE) * 2),
IFERROR(SEARCH("Blue, Yellow",W25),0) &gt; 0 , VLOOKUP("Blue", Variables!A:C , 3 , FALSE) + VLOOKUP("Yellow", Variables!A:C , 3 , FALSE),
IFERROR(SEARCH("Blue, Red",W25),0) &gt; 0 , VLOOKUP("Blue", Variables!A:C , 3 , FALSE) + VLOOKUP("Red", Variables!A:C , 3 , FALSE),
IFERROR(SEARCH("Blue, Green",W25),0) &gt; 0 , VLOOKUP("Blue", Variables!A:C , 3 , FALSE) + VLOOKUP("Green", Variables!A:C , 3 , FALSE),
IFERROR(SEARCH("Green",W25),0) &gt; 0 , VLOOKUP("Green", Variables!A:C , 3 , FALSE),
IFERROR(SEARCH("Blue",W25),0) &gt; 0 , VLOOKUP("Blue", Variables!A:C , 3 , FALSE),
IFERROR(SEARCH("Yellow",W25),0) &gt; 0 , VLOOKUP("Yellow", Variables!A:C , 3 , FALSE),
IFERROR(SEARCH("Black, Black",W25),0) &gt; 0 , VLOOKUP("Black", Variables!A:C , 3 , FALSE) * 2,
IFERROR(SEARCH("Grey, Grey",W25),0) &gt; 0 , VLOOKUP("Grey", Variables!A:C , 3 , FALSE) * 2,
IFERROR(SEARCH("Grey, Brown",W25),0) &gt; 0 , VLOOKUP("Grey", Variables!A:C , 3 , FALSE)  + VLOOKUP("Brown", Variables!A:C , 3 , FALSE),
IFERROR(SEARCH("Black, Grey",W25),0) &gt; 0 , VLOOKUP("Black", Variables!A:C , 3 , FALSE) + VLOOKUP("Grey", Variables!A:C , 3 , FALSE),
IFERROR(SEARCH("Black, Brown",W25),0) &gt; 0 , VLOOKUP("Black", Variables!A:C , 3 , FALSE) + VLOOKUP("Brown", Variables!A:C , 3 , FALSE),
IFERROR(SEARCH("Black",W25),0) &gt; 0 , VLOOKUP("Black", Variables!A:C , 3 , FALSE),
IFERROR(SEARCH("Grey",W25),0) &gt; 0 , VLOOKUP("Grey", Variables!A:C , 3 , FALSE),
IFERROR(SEARCH("Brown",W25),0) &gt; 0 , VLOOKUP("Brown", Variables!A:C , 3 , FALSE),
0=0,0)
,
)</f>
        <v>1</v>
      </c>
      <c r="AK25" s="343">
        <f t="shared" si="2"/>
        <v>2</v>
      </c>
      <c r="AL25" s="345">
        <f t="shared" si="3"/>
        <v>29</v>
      </c>
      <c r="AM25" s="383"/>
    </row>
    <row r="26" ht="15.75" customHeight="1">
      <c r="A26" s="518" t="s">
        <v>2709</v>
      </c>
      <c r="B26" s="510">
        <v>1.0</v>
      </c>
      <c r="C26" s="510">
        <v>1.0</v>
      </c>
      <c r="D26" s="511" t="s">
        <v>2669</v>
      </c>
      <c r="E26" s="512" t="s">
        <v>2710</v>
      </c>
      <c r="F26" s="513">
        <v>3.0</v>
      </c>
      <c r="G26" s="514">
        <v>10.0</v>
      </c>
      <c r="H26" s="515" t="s">
        <v>2575</v>
      </c>
      <c r="I26" s="489">
        <f>IFERROR(__xludf.DUMMYFUNCTION("SUM(F26 * 0.33, G26
*
SWITCH(
LEN(H26) - LEN(SUBSTITUTE(H26,"","","""")),
0 , VLOOKUP(H26, Variables!$A:$B, 2, FALSE),
1 , VLOOKUP(index(split(H26 ,"", "", FALSE),1,1), Variables!$A:$B , 2, FALSE) + VLOOKUP(index(split(H26 ,"", "", FALSE),1,2), Variables!"&amp;"$A:$B , 2, FALSE),
2 , VLOOKUP(index(split(H26 ,"", "", FALSE),1,1), Variables!$A:$B , 2, FALSE) + VLOOKUP(index(split(H26 ,"", "", FALSE),1,2), Variables!$A:$B , 2, FALSE) + VLOOKUP(index(split(H26 ,"", "", FALSE),1,3), Variables!$A:$B , 2, FALSE)
)
)"),20.99)</f>
        <v>20.99</v>
      </c>
      <c r="J26" s="513">
        <v>3.0</v>
      </c>
      <c r="K26" s="514">
        <v>14.0</v>
      </c>
      <c r="L26" s="515" t="s">
        <v>2575</v>
      </c>
      <c r="M26" s="312">
        <f>IFERROR(__xludf.DUMMYFUNCTION("SUM(J26 * 0.33, K26
*
SWITCH(
LEN(L26) - LEN(SUBSTITUTE(L26,"","","""")),
0 , VLOOKUP(L26, Variables!$A:$B, 2, FALSE),
1 , VLOOKUP(index(split(L26 ,"", "", FALSE),1,1), Variables!$A:$B , 2, FALSE) + VLOOKUP(index(split(L26 ,"", "", FALSE),1,2), Variables!"&amp;"$A:$B , 2, FALSE),
2 , VLOOKUP(index(split(L26 ,"", "", FALSE),1,1), Variables!$A:$B , 2, FALSE) + VLOOKUP(index(split(L26 ,"", "", FALSE),1,2), Variables!$A:$B , 2, FALSE) + VLOOKUP(index(split(L26 ,"", "", FALSE),1,3), Variables!$A:$B , 2, FALSE)
)
)"),28.99)</f>
        <v>28.99</v>
      </c>
      <c r="N26" s="514">
        <v>3.0</v>
      </c>
      <c r="O26" s="514">
        <v>16.0</v>
      </c>
      <c r="P26" s="340" t="s">
        <v>2590</v>
      </c>
      <c r="Q26" s="312">
        <f>IFERROR(__xludf.DUMMYFUNCTION("SUM(N26 * 0.33, O26
*
SWITCH(
LEN(P26) - LEN(SUBSTITUTE(P26,"","","""")),
0 , VLOOKUP(P26, Variables!$A:$B, 2, FALSE),
1 , VLOOKUP(index(split(P26 ,"", "", FALSE),1,1), Variables!$A:$B , 2, FALSE) + VLOOKUP(index(split(P26 ,"", "", FALSE),1,2), Variables!"&amp;"$A:$B , 2, FALSE),
2 , VLOOKUP(index(split(P26 ,"", "", FALSE),1,1), Variables!$A:$B , 2, FALSE) + VLOOKUP(index(split(P26 ,"", "", FALSE),1,2), Variables!$A:$B , 2, FALSE) + VLOOKUP(index(split(P26 ,"", "", FALSE),1,3), Variables!$A:$B , 2, FALSE)
)
)"),43.656666666666666)</f>
        <v>43.65666667</v>
      </c>
      <c r="R26" s="513">
        <v>5.0</v>
      </c>
      <c r="S26" s="514">
        <v>1.0</v>
      </c>
      <c r="T26" s="514">
        <v>2.0</v>
      </c>
      <c r="U26" s="516">
        <v>4.0</v>
      </c>
      <c r="V26" s="343" t="s">
        <v>1521</v>
      </c>
      <c r="W26" s="343" t="s">
        <v>1525</v>
      </c>
      <c r="X26" s="312">
        <f>IFERROR(__xludf.DUMMYFUNCTION("SWITCH(
LEN(W26) - LEN(SUBSTITUTE(W26,"","","""")),
0 , VLOOKUP(W26, Variables!$A:$B, 2, FALSE),
1 , VLOOKUP(index(split(W26 ,"", "", FALSE),1,1), Variables!$A:$B , 2, FALSE) + VLOOKUP(index(split(W26 ,"", "", FALSE),1,2), Variables!$A:$B , 2, FALSE),
2 ,"&amp;" VLOOKUP(index(split(W26 ,"", "", FALSE),1,1), Variables!$A:$B , 2, FALSE) + VLOOKUP(index(split(W26 ,"", "", FALSE),1,2), Variables!$A:$B , 2, FALSE) + VLOOKUP(index(split(W26 ,"", "", FALSE),1,3), Variables!$A:$B , 2, FALSE),
3 , VLOOKUP(index(split(W26"&amp;" ,"", "", FALSE),1,1), Variables!$A:$B , 2, FALSE) + VLOOKUP(index(split(W26 ,"", "", FALSE),1,2), Variables!$A:$B , 2, FALSE) + VLOOKUP(index(split(W26 ,"", "", FALSE),1,3), Variables!$A:$B , 2, FALSE) + VLOOKUP(index(split(W26 ,"", "", FALSE),1,4), Vari"&amp;"ables!$A:$B , 2, FALSE)
)"),3.333333333333333)</f>
        <v>3.333333333</v>
      </c>
      <c r="Y26" s="343" t="s">
        <v>1160</v>
      </c>
      <c r="Z26" s="342">
        <f>IFERROR(__xludf.DUMMYFUNCTION("IF(ISBLANK(Y26), , 
SWITCH(
LEN(Y26)- LEN(SUBSTITUTE(Y26,"","","""")), 
0 , VLOOKUP(Y26, vote4TRAITS!A:C , 3, FALSE),
1 , VLOOKUP(index(split(Y26 ,"", "", FALSE),1,1), vote4TRAITS!A:C , 3, FALSE) + VLOOKUP(index(split(Y26 ,"", "", FALSE),1,2), vote4TRAITS"&amp;"!A:C , 3, FALSE),
2 , VLOOKUP(index(split(Y26 ,"", "", FALSE),1,1), vote4TRAITS!A:C , 3, FALSE) + VLOOKUP(index(split(Y26 ,"", "", FALSE),1,2), vote4TRAITS!A:C , 3, FALSE) + VLOOKUP(index(split(Y26 ,"", "", FALSE),1,3), vote4TRAITS!A:C , 3, FALSE)
)
)"),3.3333333333333335)</f>
        <v>3.333333333</v>
      </c>
      <c r="AA26" s="343" t="s">
        <v>1355</v>
      </c>
      <c r="AB26" s="343">
        <f>IFERROR(__xludf.DUMMYFUNCTION("IF(ISBLANK(AA26), , 
SWITCH(
LEN(AA26)- LEN(SUBSTITUTE(AA26,"","","""")), 
0 , VLOOKUP(AA26, vote4ACTIONS!A:C , 3, FALSE),
1 , VLOOKUP(index(split(AA26 ,"", "", FALSE),1,1), vote4ACTIONS!A:C , 3, FALSE) + VLOOKUP(index(split(AA26 ,"", "", FALSE),1,2), vot"&amp;"e4ACTIONS!A:C , 3, FALSE),
2 , VLOOKUP(index(split(AA26 ,"", "", FALSE),1,1), vote4ACTIONS!A:C , 3, FALSE) + VLOOKUP(index(split(AA26 ,"", "", FALSE),1,2), vote4ACTIONS!A:C , 3, FALSE) + VLOOKUP(index(split(AA26 ,"", "", FALSE),1,3), vote4ACTIONS!A:C , 3,"&amp;" FALSE)
)
)"),1.0)</f>
        <v>1</v>
      </c>
      <c r="AC26" s="343" t="s">
        <v>1562</v>
      </c>
      <c r="AD26" s="517">
        <f>IF(ISBLANK(AC26),,IF(IFERROR(SEARCH("SS:",AC26),0) &gt; 0, 
VLOOKUP(SUBSTITUTE(AC26,"SS: ",""),vote4SURGE!$A:$C , 3, FALSE) - 2,
VLOOKUP(SUBSTITUTE(AC26,"S: ",""),vote4SURGE!$A:$C , 3, FALSE)
)
)</f>
        <v>3.5</v>
      </c>
      <c r="AE26" s="343"/>
      <c r="AF26" s="343" t="str">
        <f>IF(ISBLANK(AE26),,IF(IFERROR(SEARCH("SS:",AE26),0) &gt; 0, 
VLOOKUP(SUBSTITUTE(AE26,"SS: ",""),vote4SURGE!$A:$C , 3, FALSE) - 2,
VLOOKUP(SUBSTITUTE(AE26,"S: ",""),vote4SURGE!$A:$C , 3, FALSE)
)
)</f>
        <v/>
      </c>
      <c r="AG26" s="343"/>
      <c r="AH26" s="343" t="str">
        <f>IF(ISBLANK(AG26),,IF(IFERROR(SEARCH("SS:",AG26),0) &gt; 0, 
VLOOKUP(SUBSTITUTE(AG26,"SS: ",""),vote4SURGE!$A:$C , 3, FALSE) - 2,
VLOOKUP(SUBSTITUTE(AG26,"S: ",""),vote4SURGE!$A:$C , 3, FALSE)
)
)</f>
        <v/>
      </c>
      <c r="AI26" s="343">
        <f t="shared" si="1"/>
        <v>3.5</v>
      </c>
      <c r="AJ26" s="343">
        <f>ROUND(IFS(
IFERROR(SEARCH("Blue, Yellow, Yellow, Green",W26),0) &gt; 0 , VLOOKUP("Blue", Variables!A:C , 3 , FALSE) + (VLOOKUP("Yellow", Variables!A:C , 3 , FALSE) * 2) + VLOOKUP("Green", Variables!A:C , 3 , FALSE),
IFERROR(SEARCH("Blue, Yellow, Green, Green",W26),0) &gt; 0 , VLOOKUP("Blue", Variables!A:C , 3 , FALSE) + VLOOKUP("Yellow", Variables!A:C , 3 , FALSE)  + (VLOOKUP("Green", Variables!A:C , 3 , FALSE) * 2),
IFERROR(SEARCH("Blue, Red, Red",W26),0) &gt; 0 , VLOOKUP("Blue", Variables!A:C , 3 , FALSE) + VLOOKUP("Red", Variables!A:C , 3 , FALSE) * 2,
IFERROR(SEARCH("Blue, Yellow, Yellow",W26),0) &gt; 0 , VLOOKUP("Blue", Variables!A:C , 3 , FALSE) + (VLOOKUP("Yellow", Variables!A:C , 3 , FALSE) * 2),
IFERROR(SEARCH("Blue, Yellow, Green",W26),0) &gt; 0 , VLOOKUP("Blue", Variables!A:C , 3 , FALSE) + VLOOKUP("Yellow", Variables!A:C , 3 , FALSE) + VLOOKUP("Green", Variables!A:C , 3 , FALSE),
IFERROR(SEARCH("Blue, Red, Green",W26),0) &gt; 0 , VLOOKUP("Blue", Variables!A:C , 3 , FALSE) + VLOOKUP("Red", Variables!A:C , 3 , FALSE) + VLOOKUP("Green", Variables!A:C , 3 , FALSE),
IFERROR(SEARCH("Blue, Red, Yellow",W26),0) &gt; 0 , VLOOKUP("Blue", Variables!A:C , 3 , FALSE) + VLOOKUP("Red", Variables!A:C , 3 , FALSE) + VLOOKUP("Yellow", Variables!A:C , 3 , FALSE),
IFERROR(SEARCH("Blue, Green, Green",W26),0) &gt; 0 , VLOOKUP("Blue", Variables!A:C , 3 , FALSE) + (VLOOKUP("Green", Variables!A:C , 3 , FALSE) * 2),
IFERROR(SEARCH("Blue, Yellow",W26),0) &gt; 0 , VLOOKUP("Blue", Variables!A:C , 3 , FALSE) + VLOOKUP("Yellow", Variables!A:C , 3 , FALSE),
IFERROR(SEARCH("Blue, Red",W26),0) &gt; 0 , VLOOKUP("Blue", Variables!A:C , 3 , FALSE) + VLOOKUP("Red", Variables!A:C , 3 , FALSE),
IFERROR(SEARCH("Blue, Green",W26),0) &gt; 0 , VLOOKUP("Blue", Variables!A:C , 3 , FALSE) + VLOOKUP("Green", Variables!A:C , 3 , FALSE),
IFERROR(SEARCH("Green",W26),0) &gt; 0 , VLOOKUP("Green", Variables!A:C , 3 , FALSE),
IFERROR(SEARCH("Blue",W26),0) &gt; 0 , VLOOKUP("Blue", Variables!A:C , 3 , FALSE),
IFERROR(SEARCH("Yellow",W26),0) &gt; 0 , VLOOKUP("Yellow", Variables!A:C , 3 , FALSE),
IFERROR(SEARCH("Black, Black",W26),0) &gt; 0 , VLOOKUP("Black", Variables!A:C , 3 , FALSE) * 2,
IFERROR(SEARCH("Grey, Grey",W26),0) &gt; 0 , VLOOKUP("Grey", Variables!A:C , 3 , FALSE) * 2,
IFERROR(SEARCH("Grey, Brown",W26),0) &gt; 0 , VLOOKUP("Grey", Variables!A:C , 3 , FALSE)  + VLOOKUP("Brown", Variables!A:C , 3 , FALSE),
IFERROR(SEARCH("Black, Grey",W26),0) &gt; 0 , VLOOKUP("Black", Variables!A:C , 3 , FALSE) + VLOOKUP("Grey", Variables!A:C , 3 , FALSE),
IFERROR(SEARCH("Black, Brown",W26),0) &gt; 0 , VLOOKUP("Black", Variables!A:C , 3 , FALSE) + VLOOKUP("Brown", Variables!A:C , 3 , FALSE),
IFERROR(SEARCH("Black",W26),0) &gt; 0 , VLOOKUP("Black", Variables!A:C , 3 , FALSE),
IFERROR(SEARCH("Grey",W26),0) &gt; 0 , VLOOKUP("Grey", Variables!A:C , 3 , FALSE),
IFERROR(SEARCH("Brown",W26),0) &gt; 0 , VLOOKUP("Brown", Variables!A:C , 3 , FALSE),
0=0,0)
,
)</f>
        <v>1</v>
      </c>
      <c r="AK26" s="343">
        <f t="shared" si="2"/>
        <v>1</v>
      </c>
      <c r="AL26" s="345">
        <f t="shared" si="3"/>
        <v>23.16666667</v>
      </c>
      <c r="AM26" s="383"/>
    </row>
    <row r="27" ht="15.75" customHeight="1">
      <c r="A27" s="509" t="s">
        <v>2709</v>
      </c>
      <c r="B27" s="380">
        <v>2.0</v>
      </c>
      <c r="C27" s="380">
        <v>1.0</v>
      </c>
      <c r="D27" s="511" t="s">
        <v>2669</v>
      </c>
      <c r="E27" s="512" t="s">
        <v>2710</v>
      </c>
      <c r="F27" s="513">
        <v>3.0</v>
      </c>
      <c r="G27" s="514">
        <v>12.0</v>
      </c>
      <c r="H27" s="515" t="s">
        <v>2590</v>
      </c>
      <c r="I27" s="489">
        <f>IFERROR(__xludf.DUMMYFUNCTION("SUM(F27 * 0.33, G27
*
SWITCH(
LEN(H27) - LEN(SUBSTITUTE(H27,"","","""")),
0 , VLOOKUP(H27, Variables!$A:$B, 2, FALSE),
1 , VLOOKUP(index(split(H27 ,"", "", FALSE),1,1), Variables!$A:$B , 2, FALSE) + VLOOKUP(index(split(H27 ,"", "", FALSE),1,2), Variables!"&amp;"$A:$B , 2, FALSE),
2 , VLOOKUP(index(split(H27 ,"", "", FALSE),1,1), Variables!$A:$B , 2, FALSE) + VLOOKUP(index(split(H27 ,"", "", FALSE),1,2), Variables!$A:$B , 2, FALSE) + VLOOKUP(index(split(H27 ,"", "", FALSE),1,3), Variables!$A:$B , 2, FALSE)
)
)"),32.99)</f>
        <v>32.99</v>
      </c>
      <c r="J27" s="513">
        <v>3.0</v>
      </c>
      <c r="K27" s="514">
        <v>15.0</v>
      </c>
      <c r="L27" s="515" t="s">
        <v>2599</v>
      </c>
      <c r="M27" s="312">
        <f>IFERROR(__xludf.DUMMYFUNCTION("SUM(J27 * 0.33, K27
*
SWITCH(
LEN(L27) - LEN(SUBSTITUTE(L27,"","","""")),
0 , VLOOKUP(L27, Variables!$A:$B, 2, FALSE),
1 , VLOOKUP(index(split(L27 ,"", "", FALSE),1,1), Variables!$A:$B , 2, FALSE) + VLOOKUP(index(split(L27 ,"", "", FALSE),1,2), Variables!"&amp;"$A:$B , 2, FALSE),
2 , VLOOKUP(index(split(L27 ,"", "", FALSE),1,1), Variables!$A:$B , 2, FALSE) + VLOOKUP(index(split(L27 ,"", "", FALSE),1,2), Variables!$A:$B , 2, FALSE) + VLOOKUP(index(split(L27 ,"", "", FALSE),1,3), Variables!$A:$B , 2, FALSE)
)
)"),53.49)</f>
        <v>53.49</v>
      </c>
      <c r="N27" s="514">
        <v>3.0</v>
      </c>
      <c r="O27" s="514">
        <v>18.0</v>
      </c>
      <c r="P27" s="340" t="s">
        <v>2671</v>
      </c>
      <c r="Q27" s="312">
        <f>IFERROR(__xludf.DUMMYFUNCTION("SUM(N27 * 0.33, O27
*
SWITCH(
LEN(P27) - LEN(SUBSTITUTE(P27,"","","""")),
0 , VLOOKUP(P27, Variables!$A:$B, 2, FALSE),
1 , VLOOKUP(index(split(P27 ,"", "", FALSE),1,1), Variables!$A:$B , 2, FALSE) + VLOOKUP(index(split(P27 ,"", "", FALSE),1,2), Variables!"&amp;"$A:$B , 2, FALSE),
2 , VLOOKUP(index(split(P27 ,"", "", FALSE),1,1), Variables!$A:$B , 2, FALSE) + VLOOKUP(index(split(P27 ,"", "", FALSE),1,2), Variables!$A:$B , 2, FALSE) + VLOOKUP(index(split(P27 ,"", "", FALSE),1,3), Variables!$A:$B , 2, FALSE)
)
)"),75.99)</f>
        <v>75.99</v>
      </c>
      <c r="R27" s="513">
        <v>5.0</v>
      </c>
      <c r="S27" s="514">
        <v>1.0</v>
      </c>
      <c r="T27" s="514">
        <v>2.0</v>
      </c>
      <c r="U27" s="516">
        <v>4.0</v>
      </c>
      <c r="V27" s="343" t="s">
        <v>1521</v>
      </c>
      <c r="W27" s="343" t="s">
        <v>1528</v>
      </c>
      <c r="X27" s="312">
        <f>IFERROR(__xludf.DUMMYFUNCTION("SWITCH(
LEN(W27) - LEN(SUBSTITUTE(W27,"","","""")),
0 , VLOOKUP(W27, Variables!$A:$B, 2, FALSE),
1 , VLOOKUP(index(split(W27 ,"", "", FALSE),1,1), Variables!$A:$B , 2, FALSE) + VLOOKUP(index(split(W27 ,"", "", FALSE),1,2), Variables!$A:$B , 2, FALSE),
2 ,"&amp;" VLOOKUP(index(split(W27 ,"", "", FALSE),1,1), Variables!$A:$B , 2, FALSE) + VLOOKUP(index(split(W27 ,"", "", FALSE),1,2), Variables!$A:$B , 2, FALSE) + VLOOKUP(index(split(W27 ,"", "", FALSE),1,3), Variables!$A:$B , 2, FALSE),
3 , VLOOKUP(index(split(W27"&amp;" ,"", "", FALSE),1,1), Variables!$A:$B , 2, FALSE) + VLOOKUP(index(split(W27 ,"", "", FALSE),1,2), Variables!$A:$B , 2, FALSE) + VLOOKUP(index(split(W27 ,"", "", FALSE),1,3), Variables!$A:$B , 2, FALSE) + VLOOKUP(index(split(W27 ,"", "", FALSE),1,4), Vari"&amp;"ables!$A:$B , 2, FALSE)
)"),5.5)</f>
        <v>5.5</v>
      </c>
      <c r="Y27" s="343" t="s">
        <v>2711</v>
      </c>
      <c r="Z27" s="342">
        <f>IFERROR(__xludf.DUMMYFUNCTION("IF(ISBLANK(Y27), , 
SWITCH(
LEN(Y27)- LEN(SUBSTITUTE(Y27,"","","""")), 
0 , VLOOKUP(Y27, vote4TRAITS!A:C , 3, FALSE),
1 , VLOOKUP(index(split(Y27 ,"", "", FALSE),1,1), vote4TRAITS!A:C , 3, FALSE) + VLOOKUP(index(split(Y27 ,"", "", FALSE),1,2), vote4TRAITS"&amp;"!A:C , 3, FALSE),
2 , VLOOKUP(index(split(Y27 ,"", "", FALSE),1,1), vote4TRAITS!A:C , 3, FALSE) + VLOOKUP(index(split(Y27 ,"", "", FALSE),1,2), vote4TRAITS!A:C , 3, FALSE) + VLOOKUP(index(split(Y27 ,"", "", FALSE),1,3), vote4TRAITS!A:C , 3, FALSE)
)
)"),6.833333333333334)</f>
        <v>6.833333333</v>
      </c>
      <c r="AA27" s="343" t="s">
        <v>1355</v>
      </c>
      <c r="AB27" s="343">
        <f>IFERROR(__xludf.DUMMYFUNCTION("IF(ISBLANK(AA27), , 
SWITCH(
LEN(AA27)- LEN(SUBSTITUTE(AA27,"","","""")), 
0 , VLOOKUP(AA27, vote4ACTIONS!A:C , 3, FALSE),
1 , VLOOKUP(index(split(AA27 ,"", "", FALSE),1,1), vote4ACTIONS!A:C , 3, FALSE) + VLOOKUP(index(split(AA27 ,"", "", FALSE),1,2), vot"&amp;"e4ACTIONS!A:C , 3, FALSE),
2 , VLOOKUP(index(split(AA27 ,"", "", FALSE),1,1), vote4ACTIONS!A:C , 3, FALSE) + VLOOKUP(index(split(AA27 ,"", "", FALSE),1,2), vote4ACTIONS!A:C , 3, FALSE) + VLOOKUP(index(split(AA27 ,"", "", FALSE),1,3), vote4ACTIONS!A:C , 3,"&amp;" FALSE)
)
)"),1.0)</f>
        <v>1</v>
      </c>
      <c r="AC27" s="343" t="s">
        <v>1534</v>
      </c>
      <c r="AD27" s="517">
        <f>IF(ISBLANK(AC27),,IF(IFERROR(SEARCH("SS:",AC27),0) &gt; 0, 
VLOOKUP(SUBSTITUTE(AC27,"SS: ",""),vote4SURGE!$A:$C , 3, FALSE) - 2,
VLOOKUP(SUBSTITUTE(AC27,"S: ",""),vote4SURGE!$A:$C , 3, FALSE)
)
)</f>
        <v>4.25</v>
      </c>
      <c r="AE27" s="343"/>
      <c r="AF27" s="343" t="str">
        <f>IF(ISBLANK(AE27),,IF(IFERROR(SEARCH("SS:",AE27),0) &gt; 0, 
VLOOKUP(SUBSTITUTE(AE27,"SS: ",""),vote4SURGE!$A:$C , 3, FALSE) - 2,
VLOOKUP(SUBSTITUTE(AE27,"S: ",""),vote4SURGE!$A:$C , 3, FALSE)
)
)</f>
        <v/>
      </c>
      <c r="AG27" s="343"/>
      <c r="AH27" s="343" t="str">
        <f>IF(ISBLANK(AG27),,IF(IFERROR(SEARCH("SS:",AG27),0) &gt; 0, 
VLOOKUP(SUBSTITUTE(AG27,"SS: ",""),vote4SURGE!$A:$C , 3, FALSE) - 2,
VLOOKUP(SUBSTITUTE(AG27,"S: ",""),vote4SURGE!$A:$C , 3, FALSE)
)
)</f>
        <v/>
      </c>
      <c r="AI27" s="343">
        <f t="shared" si="1"/>
        <v>4.25</v>
      </c>
      <c r="AJ27" s="343">
        <f>ROUND(IFS(
IFERROR(SEARCH("Blue, Yellow, Yellow, Green",W27),0) &gt; 0 , VLOOKUP("Blue", Variables!A:C , 3 , FALSE) + (VLOOKUP("Yellow", Variables!A:C , 3 , FALSE) * 2) + VLOOKUP("Green", Variables!A:C , 3 , FALSE),
IFERROR(SEARCH("Blue, Yellow, Green, Green",W27),0) &gt; 0 , VLOOKUP("Blue", Variables!A:C , 3 , FALSE) + VLOOKUP("Yellow", Variables!A:C , 3 , FALSE)  + (VLOOKUP("Green", Variables!A:C , 3 , FALSE) * 2),
IFERROR(SEARCH("Blue, Red, Red",W27),0) &gt; 0 , VLOOKUP("Blue", Variables!A:C , 3 , FALSE) + VLOOKUP("Red", Variables!A:C , 3 , FALSE) * 2,
IFERROR(SEARCH("Blue, Yellow, Yellow",W27),0) &gt; 0 , VLOOKUP("Blue", Variables!A:C , 3 , FALSE) + (VLOOKUP("Yellow", Variables!A:C , 3 , FALSE) * 2),
IFERROR(SEARCH("Blue, Yellow, Green",W27),0) &gt; 0 , VLOOKUP("Blue", Variables!A:C , 3 , FALSE) + VLOOKUP("Yellow", Variables!A:C , 3 , FALSE) + VLOOKUP("Green", Variables!A:C , 3 , FALSE),
IFERROR(SEARCH("Blue, Red, Green",W27),0) &gt; 0 , VLOOKUP("Blue", Variables!A:C , 3 , FALSE) + VLOOKUP("Red", Variables!A:C , 3 , FALSE) + VLOOKUP("Green", Variables!A:C , 3 , FALSE),
IFERROR(SEARCH("Blue, Red, Yellow",W27),0) &gt; 0 , VLOOKUP("Blue", Variables!A:C , 3 , FALSE) + VLOOKUP("Red", Variables!A:C , 3 , FALSE) + VLOOKUP("Yellow", Variables!A:C , 3 , FALSE),
IFERROR(SEARCH("Blue, Green, Green",W27),0) &gt; 0 , VLOOKUP("Blue", Variables!A:C , 3 , FALSE) + (VLOOKUP("Green", Variables!A:C , 3 , FALSE) * 2),
IFERROR(SEARCH("Blue, Yellow",W27),0) &gt; 0 , VLOOKUP("Blue", Variables!A:C , 3 , FALSE) + VLOOKUP("Yellow", Variables!A:C , 3 , FALSE),
IFERROR(SEARCH("Blue, Red",W27),0) &gt; 0 , VLOOKUP("Blue", Variables!A:C , 3 , FALSE) + VLOOKUP("Red", Variables!A:C , 3 , FALSE),
IFERROR(SEARCH("Blue, Green",W27),0) &gt; 0 , VLOOKUP("Blue", Variables!A:C , 3 , FALSE) + VLOOKUP("Green", Variables!A:C , 3 , FALSE),
IFERROR(SEARCH("Green",W27),0) &gt; 0 , VLOOKUP("Green", Variables!A:C , 3 , FALSE),
IFERROR(SEARCH("Blue",W27),0) &gt; 0 , VLOOKUP("Blue", Variables!A:C , 3 , FALSE),
IFERROR(SEARCH("Yellow",W27),0) &gt; 0 , VLOOKUP("Yellow", Variables!A:C , 3 , FALSE),
IFERROR(SEARCH("Black, Black",W27),0) &gt; 0 , VLOOKUP("Black", Variables!A:C , 3 , FALSE) * 2,
IFERROR(SEARCH("Grey, Grey",W27),0) &gt; 0 , VLOOKUP("Grey", Variables!A:C , 3 , FALSE) * 2,
IFERROR(SEARCH("Grey, Brown",W27),0) &gt; 0 , VLOOKUP("Grey", Variables!A:C , 3 , FALSE)  + VLOOKUP("Brown", Variables!A:C , 3 , FALSE),
IFERROR(SEARCH("Black, Grey",W27),0) &gt; 0 , VLOOKUP("Black", Variables!A:C , 3 , FALSE) + VLOOKUP("Grey", Variables!A:C , 3 , FALSE),
IFERROR(SEARCH("Black, Brown",W27),0) &gt; 0 , VLOOKUP("Black", Variables!A:C , 3 , FALSE) + VLOOKUP("Brown", Variables!A:C , 3 , FALSE),
IFERROR(SEARCH("Black",W27),0) &gt; 0 , VLOOKUP("Black", Variables!A:C , 3 , FALSE),
IFERROR(SEARCH("Grey",W27),0) &gt; 0 , VLOOKUP("Grey", Variables!A:C , 3 , FALSE),
IFERROR(SEARCH("Brown",W27),0) &gt; 0 , VLOOKUP("Brown", Variables!A:C , 3 , FALSE),
0=0,0)
,
)</f>
        <v>1</v>
      </c>
      <c r="AK27" s="343">
        <f t="shared" si="2"/>
        <v>1</v>
      </c>
      <c r="AL27" s="345">
        <f t="shared" si="3"/>
        <v>29.58333333</v>
      </c>
      <c r="AM27" s="383"/>
    </row>
    <row r="28" ht="15.75" customHeight="1">
      <c r="A28" s="509" t="s">
        <v>2712</v>
      </c>
      <c r="B28" s="510">
        <v>1.0</v>
      </c>
      <c r="C28" s="510">
        <v>4.0</v>
      </c>
      <c r="D28" s="511" t="s">
        <v>1804</v>
      </c>
      <c r="E28" s="512" t="s">
        <v>2713</v>
      </c>
      <c r="F28" s="513">
        <v>3.0</v>
      </c>
      <c r="G28" s="514">
        <v>10.0</v>
      </c>
      <c r="H28" s="515" t="s">
        <v>1671</v>
      </c>
      <c r="I28" s="489">
        <f>IFERROR(__xludf.DUMMYFUNCTION("SUM(F28 * 0.33, G28
*
SWITCH(
LEN(H28) - LEN(SUBSTITUTE(H28,"","","""")),
0 , VLOOKUP(H28, Variables!$A:$B, 2, FALSE),
1 , VLOOKUP(index(split(H28 ,"", "", FALSE),1,1), Variables!$A:$B , 2, FALSE) + VLOOKUP(index(split(H28 ,"", "", FALSE),1,2), Variables!"&amp;"$A:$B , 2, FALSE),
2 , VLOOKUP(index(split(H28 ,"", "", FALSE),1,1), Variables!$A:$B , 2, FALSE) + VLOOKUP(index(split(H28 ,"", "", FALSE),1,2), Variables!$A:$B , 2, FALSE) + VLOOKUP(index(split(H28 ,"", "", FALSE),1,3), Variables!$A:$B , 2, FALSE)
)
)"),22.656666666666663)</f>
        <v>22.65666667</v>
      </c>
      <c r="J28" s="513">
        <v>3.0</v>
      </c>
      <c r="K28" s="514">
        <v>13.0</v>
      </c>
      <c r="L28" s="515" t="s">
        <v>2590</v>
      </c>
      <c r="M28" s="312">
        <f>IFERROR(__xludf.DUMMYFUNCTION("SUM(J28 * 0.33, K28
*
SWITCH(
LEN(L28) - LEN(SUBSTITUTE(L28,"","","""")),
0 , VLOOKUP(L28, Variables!$A:$B, 2, FALSE),
1 , VLOOKUP(index(split(L28 ,"", "", FALSE),1,1), Variables!$A:$B , 2, FALSE) + VLOOKUP(index(split(L28 ,"", "", FALSE),1,2), Variables!"&amp;"$A:$B , 2, FALSE),
2 , VLOOKUP(index(split(L28 ,"", "", FALSE),1,1), Variables!$A:$B , 2, FALSE) + VLOOKUP(index(split(L28 ,"", "", FALSE),1,2), Variables!$A:$B , 2, FALSE) + VLOOKUP(index(split(L28 ,"", "", FALSE),1,3), Variables!$A:$B , 2, FALSE)
)
)"),35.656666666666666)</f>
        <v>35.65666667</v>
      </c>
      <c r="N28" s="514">
        <v>3.0</v>
      </c>
      <c r="O28" s="514">
        <v>18.0</v>
      </c>
      <c r="P28" s="515" t="s">
        <v>2590</v>
      </c>
      <c r="Q28" s="312">
        <f>IFERROR(__xludf.DUMMYFUNCTION("SUM(N28 * 0.33, O28
*
SWITCH(
LEN(P28) - LEN(SUBSTITUTE(P28,"","","""")),
0 , VLOOKUP(P28, Variables!$A:$B, 2, FALSE),
1 , VLOOKUP(index(split(P28 ,"", "", FALSE),1,1), Variables!$A:$B , 2, FALSE) + VLOOKUP(index(split(P28 ,"", "", FALSE),1,2), Variables!"&amp;"$A:$B , 2, FALSE),
2 , VLOOKUP(index(split(P28 ,"", "", FALSE),1,1), Variables!$A:$B , 2, FALSE) + VLOOKUP(index(split(P28 ,"", "", FALSE),1,2), Variables!$A:$B , 2, FALSE) + VLOOKUP(index(split(P28 ,"", "", FALSE),1,3), Variables!$A:$B , 2, FALSE)
)
)"),48.99)</f>
        <v>48.99</v>
      </c>
      <c r="R28" s="513">
        <v>4.0</v>
      </c>
      <c r="S28" s="514">
        <v>3.0</v>
      </c>
      <c r="T28" s="514">
        <v>4.0</v>
      </c>
      <c r="U28" s="516">
        <v>1.0</v>
      </c>
      <c r="V28" s="343" t="s">
        <v>1521</v>
      </c>
      <c r="W28" s="343" t="s">
        <v>1548</v>
      </c>
      <c r="X28" s="312">
        <f>IFERROR(__xludf.DUMMYFUNCTION("SWITCH(
LEN(W28) - LEN(SUBSTITUTE(W28,"","","""")),
0 , VLOOKUP(W28, Variables!$A:$B, 2, FALSE),
1 , VLOOKUP(index(split(W28 ,"", "", FALSE),1,1), Variables!$A:$B , 2, FALSE) + VLOOKUP(index(split(W28 ,"", "", FALSE),1,2), Variables!$A:$B , 2, FALSE),
2 ,"&amp;" VLOOKUP(index(split(W28 ,"", "", FALSE),1,1), Variables!$A:$B , 2, FALSE) + VLOOKUP(index(split(W28 ,"", "", FALSE),1,2), Variables!$A:$B , 2, FALSE) + VLOOKUP(index(split(W28 ,"", "", FALSE),1,3), Variables!$A:$B , 2, FALSE),
3 , VLOOKUP(index(split(W28"&amp;" ,"", "", FALSE),1,1), Variables!$A:$B , 2, FALSE) + VLOOKUP(index(split(W28 ,"", "", FALSE),1,2), Variables!$A:$B , 2, FALSE) + VLOOKUP(index(split(W28 ,"", "", FALSE),1,3), Variables!$A:$B , 2, FALSE) + VLOOKUP(index(split(W28 ,"", "", FALSE),1,4), Vari"&amp;"ables!$A:$B , 2, FALSE)
)"),2.3333333333333335)</f>
        <v>2.333333333</v>
      </c>
      <c r="Y28" s="343" t="s">
        <v>2714</v>
      </c>
      <c r="Z28" s="342">
        <f>IFERROR(__xludf.DUMMYFUNCTION("IF(ISBLANK(Y28), , 
SWITCH(
LEN(Y28)- LEN(SUBSTITUTE(Y28,"","","""")), 
0 , VLOOKUP(Y28, vote4TRAITS!A:C , 3, FALSE),
1 , VLOOKUP(index(split(Y28 ,"", "", FALSE),1,1), vote4TRAITS!A:C , 3, FALSE) + VLOOKUP(index(split(Y28 ,"", "", FALSE),1,2), vote4TRAITS"&amp;"!A:C , 3, FALSE),
2 , VLOOKUP(index(split(Y28 ,"", "", FALSE),1,1), vote4TRAITS!A:C , 3, FALSE) + VLOOKUP(index(split(Y28 ,"", "", FALSE),1,2), vote4TRAITS!A:C , 3, FALSE) + VLOOKUP(index(split(Y28 ,"", "", FALSE),1,3), vote4TRAITS!A:C , 3, FALSE)
)
)"),14.5)</f>
        <v>14.5</v>
      </c>
      <c r="AA28" s="343"/>
      <c r="AB28" s="343" t="str">
        <f>IFERROR(__xludf.DUMMYFUNCTION("IF(ISBLANK(AA28), , 
SWITCH(
LEN(AA28)- LEN(SUBSTITUTE(AA28,"","","""")), 
0 , VLOOKUP(AA28, vote4ACTIONS!A:C , 3, FALSE),
1 , VLOOKUP(index(split(AA28 ,"", "", FALSE),1,1), vote4ACTIONS!A:C , 3, FALSE) + VLOOKUP(index(split(AA28 ,"", "", FALSE),1,2), vot"&amp;"e4ACTIONS!A:C , 3, FALSE),
2 , VLOOKUP(index(split(AA28 ,"", "", FALSE),1,1), vote4ACTIONS!A:C , 3, FALSE) + VLOOKUP(index(split(AA28 ,"", "", FALSE),1,2), vote4ACTIONS!A:C , 3, FALSE) + VLOOKUP(index(split(AA28 ,"", "", FALSE),1,3), vote4ACTIONS!A:C , 3,"&amp;" FALSE)
)
)"),"")</f>
        <v/>
      </c>
      <c r="AC28" s="343" t="s">
        <v>2715</v>
      </c>
      <c r="AD28" s="517">
        <f>IF(ISBLANK(AC28),,IF(IFERROR(SEARCH("SS:",AC28),0) &gt; 0, 
VLOOKUP(SUBSTITUTE(AC28,"SS: ",""),vote4SURGE!$A:$C , 3, FALSE) - 2,
VLOOKUP(SUBSTITUTE(AC28,"S: ",""),vote4SURGE!$A:$C , 3, FALSE)
)
)</f>
        <v>4.666666667</v>
      </c>
      <c r="AE28" s="343"/>
      <c r="AF28" s="343" t="str">
        <f>IF(ISBLANK(AE28),,IF(IFERROR(SEARCH("SS:",AE28),0) &gt; 0, 
VLOOKUP(SUBSTITUTE(AE28,"SS: ",""),vote4SURGE!$A:$C , 3, FALSE) - 2,
VLOOKUP(SUBSTITUTE(AE28,"S: ",""),vote4SURGE!$A:$C , 3, FALSE)
)
)</f>
        <v/>
      </c>
      <c r="AG28" s="343"/>
      <c r="AH28" s="343" t="str">
        <f>IF(ISBLANK(AG28),,IF(IFERROR(SEARCH("SS:",AG28),0) &gt; 0, 
VLOOKUP(SUBSTITUTE(AG28,"SS: ",""),vote4SURGE!$A:$C , 3, FALSE) - 2,
VLOOKUP(SUBSTITUTE(AG28,"S: ",""),vote4SURGE!$A:$C , 3, FALSE)
)
)</f>
        <v/>
      </c>
      <c r="AI28" s="343">
        <f t="shared" si="1"/>
        <v>4.666666667</v>
      </c>
      <c r="AJ28" s="343">
        <f>ROUND(IFS(
IFERROR(SEARCH("Blue, Yellow, Yellow, Green",W28),0) &gt; 0 , VLOOKUP("Blue", Variables!A:C , 3 , FALSE) + (VLOOKUP("Yellow", Variables!A:C , 3 , FALSE) * 2) + VLOOKUP("Green", Variables!A:C , 3 , FALSE),
IFERROR(SEARCH("Blue, Yellow, Green, Green",W28),0) &gt; 0 , VLOOKUP("Blue", Variables!A:C , 3 , FALSE) + VLOOKUP("Yellow", Variables!A:C , 3 , FALSE)  + (VLOOKUP("Green", Variables!A:C , 3 , FALSE) * 2),
IFERROR(SEARCH("Blue, Red, Red",W28),0) &gt; 0 , VLOOKUP("Blue", Variables!A:C , 3 , FALSE) + VLOOKUP("Red", Variables!A:C , 3 , FALSE) * 2,
IFERROR(SEARCH("Blue, Yellow, Yellow",W28),0) &gt; 0 , VLOOKUP("Blue", Variables!A:C , 3 , FALSE) + (VLOOKUP("Yellow", Variables!A:C , 3 , FALSE) * 2),
IFERROR(SEARCH("Blue, Yellow, Green",W28),0) &gt; 0 , VLOOKUP("Blue", Variables!A:C , 3 , FALSE) + VLOOKUP("Yellow", Variables!A:C , 3 , FALSE) + VLOOKUP("Green", Variables!A:C , 3 , FALSE),
IFERROR(SEARCH("Blue, Red, Green",W28),0) &gt; 0 , VLOOKUP("Blue", Variables!A:C , 3 , FALSE) + VLOOKUP("Red", Variables!A:C , 3 , FALSE) + VLOOKUP("Green", Variables!A:C , 3 , FALSE),
IFERROR(SEARCH("Blue, Red, Yellow",W28),0) &gt; 0 , VLOOKUP("Blue", Variables!A:C , 3 , FALSE) + VLOOKUP("Red", Variables!A:C , 3 , FALSE) + VLOOKUP("Yellow", Variables!A:C , 3 , FALSE),
IFERROR(SEARCH("Blue, Green, Green",W28),0) &gt; 0 , VLOOKUP("Blue", Variables!A:C , 3 , FALSE) + (VLOOKUP("Green", Variables!A:C , 3 , FALSE) * 2),
IFERROR(SEARCH("Blue, Yellow",W28),0) &gt; 0 , VLOOKUP("Blue", Variables!A:C , 3 , FALSE) + VLOOKUP("Yellow", Variables!A:C , 3 , FALSE),
IFERROR(SEARCH("Blue, Red",W28),0) &gt; 0 , VLOOKUP("Blue", Variables!A:C , 3 , FALSE) + VLOOKUP("Red", Variables!A:C , 3 , FALSE),
IFERROR(SEARCH("Blue, Green",W28),0) &gt; 0 , VLOOKUP("Blue", Variables!A:C , 3 , FALSE) + VLOOKUP("Green", Variables!A:C , 3 , FALSE),
IFERROR(SEARCH("Green",W28),0) &gt; 0 , VLOOKUP("Green", Variables!A:C , 3 , FALSE),
IFERROR(SEARCH("Blue",W28),0) &gt; 0 , VLOOKUP("Blue", Variables!A:C , 3 , FALSE),
IFERROR(SEARCH("Yellow",W28),0) &gt; 0 , VLOOKUP("Yellow", Variables!A:C , 3 , FALSE),
IFERROR(SEARCH("Black, Black",W28),0) &gt; 0 , VLOOKUP("Black", Variables!A:C , 3 , FALSE) * 2,
IFERROR(SEARCH("Grey, Grey",W28),0) &gt; 0 , VLOOKUP("Grey", Variables!A:C , 3 , FALSE) * 2,
IFERROR(SEARCH("Grey, Brown",W28),0) &gt; 0 , VLOOKUP("Grey", Variables!A:C , 3 , FALSE)  + VLOOKUP("Brown", Variables!A:C , 3 , FALSE),
IFERROR(SEARCH("Black, Grey",W28),0) &gt; 0 , VLOOKUP("Black", Variables!A:C , 3 , FALSE) + VLOOKUP("Grey", Variables!A:C , 3 , FALSE),
IFERROR(SEARCH("Black, Brown",W28),0) &gt; 0 , VLOOKUP("Black", Variables!A:C , 3 , FALSE) + VLOOKUP("Brown", Variables!A:C , 3 , FALSE),
IFERROR(SEARCH("Black",W28),0) &gt; 0 , VLOOKUP("Black", Variables!A:C , 3 , FALSE),
IFERROR(SEARCH("Grey",W28),0) &gt; 0 , VLOOKUP("Grey", Variables!A:C , 3 , FALSE),
IFERROR(SEARCH("Brown",W28),0) &gt; 0 , VLOOKUP("Brown", Variables!A:C , 3 , FALSE),
0=0,0)
,
)</f>
        <v>1</v>
      </c>
      <c r="AK28" s="343">
        <f t="shared" si="2"/>
        <v>1</v>
      </c>
      <c r="AL28" s="345">
        <f t="shared" si="3"/>
        <v>33.5</v>
      </c>
      <c r="AM28" s="383"/>
    </row>
    <row r="29" ht="15.75" customHeight="1">
      <c r="A29" s="509" t="s">
        <v>2712</v>
      </c>
      <c r="B29" s="380">
        <v>2.0</v>
      </c>
      <c r="C29" s="380">
        <v>4.0</v>
      </c>
      <c r="D29" s="511" t="s">
        <v>1804</v>
      </c>
      <c r="E29" s="512" t="s">
        <v>2713</v>
      </c>
      <c r="F29" s="513">
        <v>3.0</v>
      </c>
      <c r="G29" s="514">
        <v>16.0</v>
      </c>
      <c r="H29" s="515" t="s">
        <v>2590</v>
      </c>
      <c r="I29" s="489">
        <f>IFERROR(__xludf.DUMMYFUNCTION("SUM(F29 * 0.33, G29
*
SWITCH(
LEN(H29) - LEN(SUBSTITUTE(H29,"","","""")),
0 , VLOOKUP(H29, Variables!$A:$B, 2, FALSE),
1 , VLOOKUP(index(split(H29 ,"", "", FALSE),1,1), Variables!$A:$B , 2, FALSE) + VLOOKUP(index(split(H29 ,"", "", FALSE),1,2), Variables!"&amp;"$A:$B , 2, FALSE),
2 , VLOOKUP(index(split(H29 ,"", "", FALSE),1,1), Variables!$A:$B , 2, FALSE) + VLOOKUP(index(split(H29 ,"", "", FALSE),1,2), Variables!$A:$B , 2, FALSE) + VLOOKUP(index(split(H29 ,"", "", FALSE),1,3), Variables!$A:$B , 2, FALSE)
)
)"),43.656666666666666)</f>
        <v>43.65666667</v>
      </c>
      <c r="J29" s="513">
        <v>3.0</v>
      </c>
      <c r="K29" s="514">
        <v>19.0</v>
      </c>
      <c r="L29" s="515" t="s">
        <v>2599</v>
      </c>
      <c r="M29" s="312">
        <f>IFERROR(__xludf.DUMMYFUNCTION("SUM(J29 * 0.33, K29
*
SWITCH(
LEN(L29) - LEN(SUBSTITUTE(L29,"","","""")),
0 , VLOOKUP(L29, Variables!$A:$B, 2, FALSE),
1 , VLOOKUP(index(split(L29 ,"", "", FALSE),1,1), Variables!$A:$B , 2, FALSE) + VLOOKUP(index(split(L29 ,"", "", FALSE),1,2), Variables!"&amp;"$A:$B , 2, FALSE),
2 , VLOOKUP(index(split(L29 ,"", "", FALSE),1,1), Variables!$A:$B , 2, FALSE) + VLOOKUP(index(split(L29 ,"", "", FALSE),1,2), Variables!$A:$B , 2, FALSE) + VLOOKUP(index(split(L29 ,"", "", FALSE),1,3), Variables!$A:$B , 2, FALSE)
)
)"),67.49)</f>
        <v>67.49</v>
      </c>
      <c r="N29" s="514">
        <v>3.0</v>
      </c>
      <c r="O29" s="514">
        <v>24.0</v>
      </c>
      <c r="P29" s="340" t="s">
        <v>2599</v>
      </c>
      <c r="Q29" s="312">
        <f>IFERROR(__xludf.DUMMYFUNCTION("SUM(N29 * 0.33, O29
*
SWITCH(
LEN(P29) - LEN(SUBSTITUTE(P29,"","","""")),
0 , VLOOKUP(P29, Variables!$A:$B, 2, FALSE),
1 , VLOOKUP(index(split(P29 ,"", "", FALSE),1,1), Variables!$A:$B , 2, FALSE) + VLOOKUP(index(split(P29 ,"", "", FALSE),1,2), Variables!"&amp;"$A:$B , 2, FALSE),
2 , VLOOKUP(index(split(P29 ,"", "", FALSE),1,1), Variables!$A:$B , 2, FALSE) + VLOOKUP(index(split(P29 ,"", "", FALSE),1,2), Variables!$A:$B , 2, FALSE) + VLOOKUP(index(split(P29 ,"", "", FALSE),1,3), Variables!$A:$B , 2, FALSE)
)
)"),84.99)</f>
        <v>84.99</v>
      </c>
      <c r="R29" s="513">
        <v>4.0</v>
      </c>
      <c r="S29" s="514">
        <v>3.0</v>
      </c>
      <c r="T29" s="514">
        <v>4.0</v>
      </c>
      <c r="U29" s="516">
        <v>1.0</v>
      </c>
      <c r="V29" s="343" t="s">
        <v>1521</v>
      </c>
      <c r="W29" s="343" t="s">
        <v>1537</v>
      </c>
      <c r="X29" s="312">
        <f>IFERROR(__xludf.DUMMYFUNCTION("SWITCH(
LEN(W29) - LEN(SUBSTITUTE(W29,"","","""")),
0 , VLOOKUP(W29, Variables!$A:$B, 2, FALSE),
1 , VLOOKUP(index(split(W29 ,"", "", FALSE),1,1), Variables!$A:$B , 2, FALSE) + VLOOKUP(index(split(W29 ,"", "", FALSE),1,2), Variables!$A:$B , 2, FALSE),
2 ,"&amp;" VLOOKUP(index(split(W29 ,"", "", FALSE),1,1), Variables!$A:$B , 2, FALSE) + VLOOKUP(index(split(W29 ,"", "", FALSE),1,2), Variables!$A:$B , 2, FALSE) + VLOOKUP(index(split(W29 ,"", "", FALSE),1,3), Variables!$A:$B , 2, FALSE),
3 , VLOOKUP(index(split(W29"&amp;" ,"", "", FALSE),1,1), Variables!$A:$B , 2, FALSE) + VLOOKUP(index(split(W29 ,"", "", FALSE),1,2), Variables!$A:$B , 2, FALSE) + VLOOKUP(index(split(W29 ,"", "", FALSE),1,3), Variables!$A:$B , 2, FALSE) + VLOOKUP(index(split(W29 ,"", "", FALSE),1,4), Vari"&amp;"ables!$A:$B , 2, FALSE)
)"),4.5)</f>
        <v>4.5</v>
      </c>
      <c r="Y29" s="343" t="s">
        <v>1009</v>
      </c>
      <c r="Z29" s="342">
        <f>IFERROR(__xludf.DUMMYFUNCTION("IF(ISBLANK(Y29), , 
SWITCH(
LEN(Y29)- LEN(SUBSTITUTE(Y29,"","","""")), 
0 , VLOOKUP(Y29, vote4TRAITS!A:C , 3, FALSE),
1 , VLOOKUP(index(split(Y29 ,"", "", FALSE),1,1), vote4TRAITS!A:C , 3, FALSE) + VLOOKUP(index(split(Y29 ,"", "", FALSE),1,2), vote4TRAITS"&amp;"!A:C , 3, FALSE),
2 , VLOOKUP(index(split(Y29 ,"", "", FALSE),1,1), vote4TRAITS!A:C , 3, FALSE) + VLOOKUP(index(split(Y29 ,"", "", FALSE),1,2), vote4TRAITS!A:C , 3, FALSE) + VLOOKUP(index(split(Y29 ,"", "", FALSE),1,3), vote4TRAITS!A:C , 3, FALSE)
)
)"),6.5)</f>
        <v>6.5</v>
      </c>
      <c r="AA29" s="343" t="s">
        <v>1387</v>
      </c>
      <c r="AB29" s="343">
        <f>IFERROR(__xludf.DUMMYFUNCTION("IF(ISBLANK(AA29), , 
SWITCH(
LEN(AA29)- LEN(SUBSTITUTE(AA29,"","","""")), 
0 , VLOOKUP(AA29, vote4ACTIONS!A:C , 3, FALSE),
1 , VLOOKUP(index(split(AA29 ,"", "", FALSE),1,1), vote4ACTIONS!A:C , 3, FALSE) + VLOOKUP(index(split(AA29 ,"", "", FALSE),1,2), vot"&amp;"e4ACTIONS!A:C , 3, FALSE),
2 , VLOOKUP(index(split(AA29 ,"", "", FALSE),1,1), vote4ACTIONS!A:C , 3, FALSE) + VLOOKUP(index(split(AA29 ,"", "", FALSE),1,2), vote4ACTIONS!A:C , 3, FALSE) + VLOOKUP(index(split(AA29 ,"", "", FALSE),1,3), vote4ACTIONS!A:C , 3,"&amp;" FALSE)
)
)"),5.0)</f>
        <v>5</v>
      </c>
      <c r="AC29" s="343" t="s">
        <v>2716</v>
      </c>
      <c r="AD29" s="517">
        <f>IF(ISBLANK(AC29),,IF(IFERROR(SEARCH("SS:",AC29),0) &gt; 0, 
VLOOKUP(SUBSTITUTE(AC29,"SS: ",""),vote4SURGE!$A:$C , 3, FALSE) - 2,
VLOOKUP(SUBSTITUTE(AC29,"S: ",""),vote4SURGE!$A:$C , 3, FALSE)
)
)</f>
        <v>5.666666667</v>
      </c>
      <c r="AE29" s="343" t="s">
        <v>1562</v>
      </c>
      <c r="AF29" s="517">
        <f>IF(ISBLANK(AE29),,IF(IFERROR(SEARCH("SS:",AE29),0) &gt; 0, 
VLOOKUP(SUBSTITUTE(AE29,"SS: ",""),vote4SURGE!$A:$C , 3, FALSE) - 2,
VLOOKUP(SUBSTITUTE(AE29,"S: ",""),vote4SURGE!$A:$C , 3, FALSE)
)
)</f>
        <v>3.5</v>
      </c>
      <c r="AG29" s="343"/>
      <c r="AH29" s="343" t="str">
        <f>IF(ISBLANK(AG29),,IF(IFERROR(SEARCH("SS:",AG29),0) &gt; 0, 
VLOOKUP(SUBSTITUTE(AG29,"SS: ",""),vote4SURGE!$A:$C , 3, FALSE) - 2,
VLOOKUP(SUBSTITUTE(AG29,"S: ",""),vote4SURGE!$A:$C , 3, FALSE)
)
)</f>
        <v/>
      </c>
      <c r="AI29" s="517">
        <f t="shared" si="1"/>
        <v>7.416666667</v>
      </c>
      <c r="AJ29" s="343">
        <f>ROUND(IFS(
IFERROR(SEARCH("Blue, Yellow, Yellow, Green",W29),0) &gt; 0 , VLOOKUP("Blue", Variables!A:C , 3 , FALSE) + (VLOOKUP("Yellow", Variables!A:C , 3 , FALSE) * 2) + VLOOKUP("Green", Variables!A:C , 3 , FALSE),
IFERROR(SEARCH("Blue, Yellow, Green, Green",W29),0) &gt; 0 , VLOOKUP("Blue", Variables!A:C , 3 , FALSE) + VLOOKUP("Yellow", Variables!A:C , 3 , FALSE)  + (VLOOKUP("Green", Variables!A:C , 3 , FALSE) * 2),
IFERROR(SEARCH("Blue, Red, Red",W29),0) &gt; 0 , VLOOKUP("Blue", Variables!A:C , 3 , FALSE) + VLOOKUP("Red", Variables!A:C , 3 , FALSE) * 2,
IFERROR(SEARCH("Blue, Yellow, Yellow",W29),0) &gt; 0 , VLOOKUP("Blue", Variables!A:C , 3 , FALSE) + (VLOOKUP("Yellow", Variables!A:C , 3 , FALSE) * 2),
IFERROR(SEARCH("Blue, Yellow, Green",W29),0) &gt; 0 , VLOOKUP("Blue", Variables!A:C , 3 , FALSE) + VLOOKUP("Yellow", Variables!A:C , 3 , FALSE) + VLOOKUP("Green", Variables!A:C , 3 , FALSE),
IFERROR(SEARCH("Blue, Red, Green",W29),0) &gt; 0 , VLOOKUP("Blue", Variables!A:C , 3 , FALSE) + VLOOKUP("Red", Variables!A:C , 3 , FALSE) + VLOOKUP("Green", Variables!A:C , 3 , FALSE),
IFERROR(SEARCH("Blue, Red, Yellow",W29),0) &gt; 0 , VLOOKUP("Blue", Variables!A:C , 3 , FALSE) + VLOOKUP("Red", Variables!A:C , 3 , FALSE) + VLOOKUP("Yellow", Variables!A:C , 3 , FALSE),
IFERROR(SEARCH("Blue, Green, Green",W29),0) &gt; 0 , VLOOKUP("Blue", Variables!A:C , 3 , FALSE) + (VLOOKUP("Green", Variables!A:C , 3 , FALSE) * 2),
IFERROR(SEARCH("Blue, Yellow",W29),0) &gt; 0 , VLOOKUP("Blue", Variables!A:C , 3 , FALSE) + VLOOKUP("Yellow", Variables!A:C , 3 , FALSE),
IFERROR(SEARCH("Blue, Red",W29),0) &gt; 0 , VLOOKUP("Blue", Variables!A:C , 3 , FALSE) + VLOOKUP("Red", Variables!A:C , 3 , FALSE),
IFERROR(SEARCH("Blue, Green",W29),0) &gt; 0 , VLOOKUP("Blue", Variables!A:C , 3 , FALSE) + VLOOKUP("Green", Variables!A:C , 3 , FALSE),
IFERROR(SEARCH("Green",W29),0) &gt; 0 , VLOOKUP("Green", Variables!A:C , 3 , FALSE),
IFERROR(SEARCH("Blue",W29),0) &gt; 0 , VLOOKUP("Blue", Variables!A:C , 3 , FALSE),
IFERROR(SEARCH("Yellow",W29),0) &gt; 0 , VLOOKUP("Yellow", Variables!A:C , 3 , FALSE),
IFERROR(SEARCH("Black, Black",W29),0) &gt; 0 , VLOOKUP("Black", Variables!A:C , 3 , FALSE) * 2,
IFERROR(SEARCH("Grey, Grey",W29),0) &gt; 0 , VLOOKUP("Grey", Variables!A:C , 3 , FALSE) * 2,
IFERROR(SEARCH("Grey, Brown",W29),0) &gt; 0 , VLOOKUP("Grey", Variables!A:C , 3 , FALSE)  + VLOOKUP("Brown", Variables!A:C , 3 , FALSE),
IFERROR(SEARCH("Black, Grey",W29),0) &gt; 0 , VLOOKUP("Black", Variables!A:C , 3 , FALSE) + VLOOKUP("Grey", Variables!A:C , 3 , FALSE),
IFERROR(SEARCH("Black, Brown",W29),0) &gt; 0 , VLOOKUP("Black", Variables!A:C , 3 , FALSE) + VLOOKUP("Brown", Variables!A:C , 3 , FALSE),
IFERROR(SEARCH("Black",W29),0) &gt; 0 , VLOOKUP("Black", Variables!A:C , 3 , FALSE),
IFERROR(SEARCH("Grey",W29),0) &gt; 0 , VLOOKUP("Grey", Variables!A:C , 3 , FALSE),
IFERROR(SEARCH("Brown",W29),0) &gt; 0 , VLOOKUP("Brown", Variables!A:C , 3 , FALSE),
0=0,0)
,
)</f>
        <v>1</v>
      </c>
      <c r="AK29" s="343">
        <f t="shared" si="2"/>
        <v>2</v>
      </c>
      <c r="AL29" s="345">
        <f t="shared" si="3"/>
        <v>35.41666667</v>
      </c>
      <c r="AM29" s="383"/>
    </row>
    <row r="30" ht="15.75" customHeight="1">
      <c r="A30" s="509" t="s">
        <v>2717</v>
      </c>
      <c r="B30" s="510">
        <v>1.0</v>
      </c>
      <c r="C30" s="510">
        <v>1.0</v>
      </c>
      <c r="D30" s="511" t="s">
        <v>2669</v>
      </c>
      <c r="E30" s="512" t="s">
        <v>2718</v>
      </c>
      <c r="F30" s="513">
        <v>3.0</v>
      </c>
      <c r="G30" s="514">
        <v>7.0</v>
      </c>
      <c r="H30" s="515" t="s">
        <v>1621</v>
      </c>
      <c r="I30" s="489">
        <f>IFERROR(__xludf.DUMMYFUNCTION("SUM(F30 * 0.33, G30
*
SWITCH(
LEN(H30) - LEN(SUBSTITUTE(H30,"","","""")),
0 , VLOOKUP(H30, Variables!$A:$B, 2, FALSE),
1 , VLOOKUP(index(split(H30 ,"", "", FALSE),1,1), Variables!$A:$B , 2, FALSE) + VLOOKUP(index(split(H30 ,"", "", FALSE),1,2), Variables!"&amp;"$A:$B , 2, FALSE),
2 , VLOOKUP(index(split(H30 ,"", "", FALSE),1,1), Variables!$A:$B , 2, FALSE) + VLOOKUP(index(split(H30 ,"", "", FALSE),1,2), Variables!$A:$B , 2, FALSE) + VLOOKUP(index(split(H30 ,"", "", FALSE),1,3), Variables!$A:$B , 2, FALSE)
)
)"),5.656666666666666)</f>
        <v>5.656666667</v>
      </c>
      <c r="J30" s="513">
        <v>3.0</v>
      </c>
      <c r="K30" s="514">
        <v>9.0</v>
      </c>
      <c r="L30" s="515" t="s">
        <v>1663</v>
      </c>
      <c r="M30" s="312">
        <f>IFERROR(__xludf.DUMMYFUNCTION("SUM(J30 * 0.33, K30
*
SWITCH(
LEN(L30) - LEN(SUBSTITUTE(L30,"","","""")),
0 , VLOOKUP(L30, Variables!$A:$B, 2, FALSE),
1 , VLOOKUP(index(split(L30 ,"", "", FALSE),1,1), Variables!$A:$B , 2, FALSE) + VLOOKUP(index(split(L30 ,"", "", FALSE),1,2), Variables!"&amp;"$A:$B , 2, FALSE),
2 , VLOOKUP(index(split(L30 ,"", "", FALSE),1,1), Variables!$A:$B , 2, FALSE) + VLOOKUP(index(split(L30 ,"", "", FALSE),1,2), Variables!$A:$B , 2, FALSE) + VLOOKUP(index(split(L30 ,"", "", FALSE),1,3), Variables!$A:$B , 2, FALSE)
)
)"),12.99)</f>
        <v>12.99</v>
      </c>
      <c r="N30" s="514">
        <v>3.0</v>
      </c>
      <c r="O30" s="514">
        <v>13.0</v>
      </c>
      <c r="P30" s="340" t="s">
        <v>1663</v>
      </c>
      <c r="Q30" s="312">
        <f>IFERROR(__xludf.DUMMYFUNCTION("SUM(N30 * 0.33, O30
*
SWITCH(
LEN(P30) - LEN(SUBSTITUTE(P30,"","","""")),
0 , VLOOKUP(P30, Variables!$A:$B, 2, FALSE),
1 , VLOOKUP(index(split(P30 ,"", "", FALSE),1,1), Variables!$A:$B , 2, FALSE) + VLOOKUP(index(split(P30 ,"", "", FALSE),1,2), Variables!"&amp;"$A:$B , 2, FALSE),
2 , VLOOKUP(index(split(P30 ,"", "", FALSE),1,1), Variables!$A:$B , 2, FALSE) + VLOOKUP(index(split(P30 ,"", "", FALSE),1,2), Variables!$A:$B , 2, FALSE) + VLOOKUP(index(split(P30 ,"", "", FALSE),1,3), Variables!$A:$B , 2, FALSE)
)
)"),18.32333333333333)</f>
        <v>18.32333333</v>
      </c>
      <c r="R30" s="513">
        <v>4.0</v>
      </c>
      <c r="S30" s="514">
        <v>3.0</v>
      </c>
      <c r="T30" s="514">
        <v>3.0</v>
      </c>
      <c r="U30" s="516">
        <v>2.0</v>
      </c>
      <c r="V30" s="343" t="s">
        <v>1521</v>
      </c>
      <c r="W30" s="343" t="s">
        <v>1525</v>
      </c>
      <c r="X30" s="312">
        <f>IFERROR(__xludf.DUMMYFUNCTION("SWITCH(
LEN(W30) - LEN(SUBSTITUTE(W30,"","","""")),
0 , VLOOKUP(W30, Variables!$A:$B, 2, FALSE),
1 , VLOOKUP(index(split(W30 ,"", "", FALSE),1,1), Variables!$A:$B , 2, FALSE) + VLOOKUP(index(split(W30 ,"", "", FALSE),1,2), Variables!$A:$B , 2, FALSE),
2 ,"&amp;" VLOOKUP(index(split(W30 ,"", "", FALSE),1,1), Variables!$A:$B , 2, FALSE) + VLOOKUP(index(split(W30 ,"", "", FALSE),1,2), Variables!$A:$B , 2, FALSE) + VLOOKUP(index(split(W30 ,"", "", FALSE),1,3), Variables!$A:$B , 2, FALSE),
3 , VLOOKUP(index(split(W30"&amp;" ,"", "", FALSE),1,1), Variables!$A:$B , 2, FALSE) + VLOOKUP(index(split(W30 ,"", "", FALSE),1,2), Variables!$A:$B , 2, FALSE) + VLOOKUP(index(split(W30 ,"", "", FALSE),1,3), Variables!$A:$B , 2, FALSE) + VLOOKUP(index(split(W30 ,"", "", FALSE),1,4), Vari"&amp;"ables!$A:$B , 2, FALSE)
)"),3.333333333333333)</f>
        <v>3.333333333</v>
      </c>
      <c r="Y30" s="343" t="s">
        <v>1064</v>
      </c>
      <c r="Z30" s="342">
        <f>IFERROR(__xludf.DUMMYFUNCTION("IF(ISBLANK(Y30), , 
SWITCH(
LEN(Y30)- LEN(SUBSTITUTE(Y30,"","","""")), 
0 , VLOOKUP(Y30, vote4TRAITS!A:C , 3, FALSE),
1 , VLOOKUP(index(split(Y30 ,"", "", FALSE),1,1), vote4TRAITS!A:C , 3, FALSE) + VLOOKUP(index(split(Y30 ,"", "", FALSE),1,2), vote4TRAITS"&amp;"!A:C , 3, FALSE),
2 , VLOOKUP(index(split(Y30 ,"", "", FALSE),1,1), vote4TRAITS!A:C , 3, FALSE) + VLOOKUP(index(split(Y30 ,"", "", FALSE),1,2), vote4TRAITS!A:C , 3, FALSE) + VLOOKUP(index(split(Y30 ,"", "", FALSE),1,3), vote4TRAITS!A:C , 3, FALSE)
)
)"),2.0)</f>
        <v>2</v>
      </c>
      <c r="AA30" s="343"/>
      <c r="AB30" s="343" t="str">
        <f>IFERROR(__xludf.DUMMYFUNCTION("IF(ISBLANK(AA30), , 
SWITCH(
LEN(AA30)- LEN(SUBSTITUTE(AA30,"","","""")), 
0 , VLOOKUP(AA30, vote4ACTIONS!A:C , 3, FALSE),
1 , VLOOKUP(index(split(AA30 ,"", "", FALSE),1,1), vote4ACTIONS!A:C , 3, FALSE) + VLOOKUP(index(split(AA30 ,"", "", FALSE),1,2), vot"&amp;"e4ACTIONS!A:C , 3, FALSE),
2 , VLOOKUP(index(split(AA30 ,"", "", FALSE),1,1), vote4ACTIONS!A:C , 3, FALSE) + VLOOKUP(index(split(AA30 ,"", "", FALSE),1,2), vote4ACTIONS!A:C , 3, FALSE) + VLOOKUP(index(split(AA30 ,"", "", FALSE),1,3), vote4ACTIONS!A:C , 3,"&amp;" FALSE)
)
)"),"")</f>
        <v/>
      </c>
      <c r="AC30" s="343" t="s">
        <v>2632</v>
      </c>
      <c r="AD30" s="517">
        <f>IF(ISBLANK(AC30),,IF(IFERROR(SEARCH("SS:",AC30),0) &gt; 0, 
VLOOKUP(SUBSTITUTE(AC30,"SS: ",""),vote4SURGE!$A:$C , 3, FALSE) - 2,
VLOOKUP(SUBSTITUTE(AC30,"S: ",""),vote4SURGE!$A:$C , 3, FALSE)
)
)</f>
        <v>4.25</v>
      </c>
      <c r="AE30" s="343" t="s">
        <v>1562</v>
      </c>
      <c r="AF30" s="517">
        <f>IF(ISBLANK(AE30),,IF(IFERROR(SEARCH("SS:",AE30),0) &gt; 0, 
VLOOKUP(SUBSTITUTE(AE30,"SS: ",""),vote4SURGE!$A:$C , 3, FALSE) - 2,
VLOOKUP(SUBSTITUTE(AE30,"S: ",""),vote4SURGE!$A:$C , 3, FALSE)
)
)</f>
        <v>3.5</v>
      </c>
      <c r="AG30" s="343"/>
      <c r="AH30" s="343" t="str">
        <f>IF(ISBLANK(AG30),,IF(IFERROR(SEARCH("SS:",AG30),0) &gt; 0, 
VLOOKUP(SUBSTITUTE(AG30,"SS: ",""),vote4SURGE!$A:$C , 3, FALSE) - 2,
VLOOKUP(SUBSTITUTE(AG30,"S: ",""),vote4SURGE!$A:$C , 3, FALSE)
)
)</f>
        <v/>
      </c>
      <c r="AI30" s="517">
        <f t="shared" si="1"/>
        <v>6</v>
      </c>
      <c r="AJ30" s="343">
        <f>ROUND(IFS(
IFERROR(SEARCH("Blue, Yellow, Yellow, Green",W30),0) &gt; 0 , VLOOKUP("Blue", Variables!A:C , 3 , FALSE) + (VLOOKUP("Yellow", Variables!A:C , 3 , FALSE) * 2) + VLOOKUP("Green", Variables!A:C , 3 , FALSE),
IFERROR(SEARCH("Blue, Yellow, Green, Green",W30),0) &gt; 0 , VLOOKUP("Blue", Variables!A:C , 3 , FALSE) + VLOOKUP("Yellow", Variables!A:C , 3 , FALSE)  + (VLOOKUP("Green", Variables!A:C , 3 , FALSE) * 2),
IFERROR(SEARCH("Blue, Red, Red",W30),0) &gt; 0 , VLOOKUP("Blue", Variables!A:C , 3 , FALSE) + VLOOKUP("Red", Variables!A:C , 3 , FALSE) * 2,
IFERROR(SEARCH("Blue, Yellow, Yellow",W30),0) &gt; 0 , VLOOKUP("Blue", Variables!A:C , 3 , FALSE) + (VLOOKUP("Yellow", Variables!A:C , 3 , FALSE) * 2),
IFERROR(SEARCH("Blue, Yellow, Green",W30),0) &gt; 0 , VLOOKUP("Blue", Variables!A:C , 3 , FALSE) + VLOOKUP("Yellow", Variables!A:C , 3 , FALSE) + VLOOKUP("Green", Variables!A:C , 3 , FALSE),
IFERROR(SEARCH("Blue, Red, Green",W30),0) &gt; 0 , VLOOKUP("Blue", Variables!A:C , 3 , FALSE) + VLOOKUP("Red", Variables!A:C , 3 , FALSE) + VLOOKUP("Green", Variables!A:C , 3 , FALSE),
IFERROR(SEARCH("Blue, Red, Yellow",W30),0) &gt; 0 , VLOOKUP("Blue", Variables!A:C , 3 , FALSE) + VLOOKUP("Red", Variables!A:C , 3 , FALSE) + VLOOKUP("Yellow", Variables!A:C , 3 , FALSE),
IFERROR(SEARCH("Blue, Green, Green",W30),0) &gt; 0 , VLOOKUP("Blue", Variables!A:C , 3 , FALSE) + (VLOOKUP("Green", Variables!A:C , 3 , FALSE) * 2),
IFERROR(SEARCH("Blue, Yellow",W30),0) &gt; 0 , VLOOKUP("Blue", Variables!A:C , 3 , FALSE) + VLOOKUP("Yellow", Variables!A:C , 3 , FALSE),
IFERROR(SEARCH("Blue, Red",W30),0) &gt; 0 , VLOOKUP("Blue", Variables!A:C , 3 , FALSE) + VLOOKUP("Red", Variables!A:C , 3 , FALSE),
IFERROR(SEARCH("Blue, Green",W30),0) &gt; 0 , VLOOKUP("Blue", Variables!A:C , 3 , FALSE) + VLOOKUP("Green", Variables!A:C , 3 , FALSE),
IFERROR(SEARCH("Green",W30),0) &gt; 0 , VLOOKUP("Green", Variables!A:C , 3 , FALSE),
IFERROR(SEARCH("Blue",W30),0) &gt; 0 , VLOOKUP("Blue", Variables!A:C , 3 , FALSE),
IFERROR(SEARCH("Yellow",W30),0) &gt; 0 , VLOOKUP("Yellow", Variables!A:C , 3 , FALSE),
IFERROR(SEARCH("Black, Black",W30),0) &gt; 0 , VLOOKUP("Black", Variables!A:C , 3 , FALSE) * 2,
IFERROR(SEARCH("Grey, Grey",W30),0) &gt; 0 , VLOOKUP("Grey", Variables!A:C , 3 , FALSE) * 2,
IFERROR(SEARCH("Grey, Brown",W30),0) &gt; 0 , VLOOKUP("Grey", Variables!A:C , 3 , FALSE)  + VLOOKUP("Brown", Variables!A:C , 3 , FALSE),
IFERROR(SEARCH("Black, Grey",W30),0) &gt; 0 , VLOOKUP("Black", Variables!A:C , 3 , FALSE) + VLOOKUP("Grey", Variables!A:C , 3 , FALSE),
IFERROR(SEARCH("Black, Brown",W30),0) &gt; 0 , VLOOKUP("Black", Variables!A:C , 3 , FALSE) + VLOOKUP("Brown", Variables!A:C , 3 , FALSE),
IFERROR(SEARCH("Black",W30),0) &gt; 0 , VLOOKUP("Black", Variables!A:C , 3 , FALSE),
IFERROR(SEARCH("Grey",W30),0) &gt; 0 , VLOOKUP("Grey", Variables!A:C , 3 , FALSE),
IFERROR(SEARCH("Brown",W30),0) &gt; 0 , VLOOKUP("Brown", Variables!A:C , 3 , FALSE),
0=0,0)
,
)</f>
        <v>1</v>
      </c>
      <c r="AK30" s="343">
        <f t="shared" si="2"/>
        <v>2</v>
      </c>
      <c r="AL30" s="345">
        <f t="shared" si="3"/>
        <v>23.33333333</v>
      </c>
      <c r="AM30" s="383"/>
    </row>
    <row r="31" ht="15.75" customHeight="1">
      <c r="A31" s="509" t="s">
        <v>2717</v>
      </c>
      <c r="B31" s="380">
        <v>2.0</v>
      </c>
      <c r="C31" s="380">
        <v>1.0</v>
      </c>
      <c r="D31" s="511" t="s">
        <v>2669</v>
      </c>
      <c r="E31" s="512" t="s">
        <v>2718</v>
      </c>
      <c r="F31" s="513">
        <v>3.0</v>
      </c>
      <c r="G31" s="514">
        <v>10.0</v>
      </c>
      <c r="H31" s="515" t="s">
        <v>1663</v>
      </c>
      <c r="I31" s="489">
        <f>IFERROR(__xludf.DUMMYFUNCTION("SUM(F31 * 0.33, G31
*
SWITCH(
LEN(H31) - LEN(SUBSTITUTE(H31,"","","""")),
0 , VLOOKUP(H31, Variables!$A:$B, 2, FALSE),
1 , VLOOKUP(index(split(H31 ,"", "", FALSE),1,1), Variables!$A:$B , 2, FALSE) + VLOOKUP(index(split(H31 ,"", "", FALSE),1,2), Variables!"&amp;"$A:$B , 2, FALSE),
2 , VLOOKUP(index(split(H31 ,"", "", FALSE),1,1), Variables!$A:$B , 2, FALSE) + VLOOKUP(index(split(H31 ,"", "", FALSE),1,2), Variables!$A:$B , 2, FALSE) + VLOOKUP(index(split(H31 ,"", "", FALSE),1,3), Variables!$A:$B , 2, FALSE)
)
)"),14.323333333333332)</f>
        <v>14.32333333</v>
      </c>
      <c r="J31" s="513">
        <v>3.0</v>
      </c>
      <c r="K31" s="514">
        <v>12.0</v>
      </c>
      <c r="L31" s="515" t="s">
        <v>2575</v>
      </c>
      <c r="M31" s="312">
        <f>IFERROR(__xludf.DUMMYFUNCTION("SUM(J31 * 0.33, K31
*
SWITCH(
LEN(L31) - LEN(SUBSTITUTE(L31,"","","""")),
0 , VLOOKUP(L31, Variables!$A:$B, 2, FALSE),
1 , VLOOKUP(index(split(L31 ,"", "", FALSE),1,1), Variables!$A:$B , 2, FALSE) + VLOOKUP(index(split(L31 ,"", "", FALSE),1,2), Variables!"&amp;"$A:$B , 2, FALSE),
2 , VLOOKUP(index(split(L31 ,"", "", FALSE),1,1), Variables!$A:$B , 2, FALSE) + VLOOKUP(index(split(L31 ,"", "", FALSE),1,2), Variables!$A:$B , 2, FALSE) + VLOOKUP(index(split(L31 ,"", "", FALSE),1,3), Variables!$A:$B , 2, FALSE)
)
)"),24.99)</f>
        <v>24.99</v>
      </c>
      <c r="N31" s="514">
        <v>3.0</v>
      </c>
      <c r="O31" s="514">
        <v>16.0</v>
      </c>
      <c r="P31" s="515" t="s">
        <v>2575</v>
      </c>
      <c r="Q31" s="312">
        <f>IFERROR(__xludf.DUMMYFUNCTION("SUM(N31 * 0.33, O31
*
SWITCH(
LEN(P31) - LEN(SUBSTITUTE(P31,"","","""")),
0 , VLOOKUP(P31, Variables!$A:$B, 2, FALSE),
1 , VLOOKUP(index(split(P31 ,"", "", FALSE),1,1), Variables!$A:$B , 2, FALSE) + VLOOKUP(index(split(P31 ,"", "", FALSE),1,2), Variables!"&amp;"$A:$B , 2, FALSE),
2 , VLOOKUP(index(split(P31 ,"", "", FALSE),1,1), Variables!$A:$B , 2, FALSE) + VLOOKUP(index(split(P31 ,"", "", FALSE),1,2), Variables!$A:$B , 2, FALSE) + VLOOKUP(index(split(P31 ,"", "", FALSE),1,3), Variables!$A:$B , 2, FALSE)
)
)"),32.99)</f>
        <v>32.99</v>
      </c>
      <c r="R31" s="513">
        <v>4.0</v>
      </c>
      <c r="S31" s="514">
        <v>3.0</v>
      </c>
      <c r="T31" s="514">
        <v>3.0</v>
      </c>
      <c r="U31" s="516">
        <v>2.0</v>
      </c>
      <c r="V31" s="343" t="s">
        <v>1521</v>
      </c>
      <c r="W31" s="343" t="s">
        <v>1537</v>
      </c>
      <c r="X31" s="312">
        <f>IFERROR(__xludf.DUMMYFUNCTION("SWITCH(
LEN(W31) - LEN(SUBSTITUTE(W31,"","","""")),
0 , VLOOKUP(W31, Variables!$A:$B, 2, FALSE),
1 , VLOOKUP(index(split(W31 ,"", "", FALSE),1,1), Variables!$A:$B , 2, FALSE) + VLOOKUP(index(split(W31 ,"", "", FALSE),1,2), Variables!$A:$B , 2, FALSE),
2 ,"&amp;" VLOOKUP(index(split(W31 ,"", "", FALSE),1,1), Variables!$A:$B , 2, FALSE) + VLOOKUP(index(split(W31 ,"", "", FALSE),1,2), Variables!$A:$B , 2, FALSE) + VLOOKUP(index(split(W31 ,"", "", FALSE),1,3), Variables!$A:$B , 2, FALSE),
3 , VLOOKUP(index(split(W31"&amp;" ,"", "", FALSE),1,1), Variables!$A:$B , 2, FALSE) + VLOOKUP(index(split(W31 ,"", "", FALSE),1,2), Variables!$A:$B , 2, FALSE) + VLOOKUP(index(split(W31 ,"", "", FALSE),1,3), Variables!$A:$B , 2, FALSE) + VLOOKUP(index(split(W31 ,"", "", FALSE),1,4), Vari"&amp;"ables!$A:$B , 2, FALSE)
)"),4.5)</f>
        <v>4.5</v>
      </c>
      <c r="Y31" s="343" t="s">
        <v>1064</v>
      </c>
      <c r="Z31" s="342">
        <f>IFERROR(__xludf.DUMMYFUNCTION("IF(ISBLANK(Y31), , 
SWITCH(
LEN(Y31)- LEN(SUBSTITUTE(Y31,"","","""")), 
0 , VLOOKUP(Y31, vote4TRAITS!A:C , 3, FALSE),
1 , VLOOKUP(index(split(Y31 ,"", "", FALSE),1,1), vote4TRAITS!A:C , 3, FALSE) + VLOOKUP(index(split(Y31 ,"", "", FALSE),1,2), vote4TRAITS"&amp;"!A:C , 3, FALSE),
2 , VLOOKUP(index(split(Y31 ,"", "", FALSE),1,1), vote4TRAITS!A:C , 3, FALSE) + VLOOKUP(index(split(Y31 ,"", "", FALSE),1,2), vote4TRAITS!A:C , 3, FALSE) + VLOOKUP(index(split(Y31 ,"", "", FALSE),1,3), vote4TRAITS!A:C , 3, FALSE)
)
)"),2.0)</f>
        <v>2</v>
      </c>
      <c r="AA31" s="343" t="s">
        <v>1365</v>
      </c>
      <c r="AB31" s="343">
        <f>IFERROR(__xludf.DUMMYFUNCTION("IF(ISBLANK(AA31), , 
SWITCH(
LEN(AA31)- LEN(SUBSTITUTE(AA31,"","","""")), 
0 , VLOOKUP(AA31, vote4ACTIONS!A:C , 3, FALSE),
1 , VLOOKUP(index(split(AA31 ,"", "", FALSE),1,1), vote4ACTIONS!A:C , 3, FALSE) + VLOOKUP(index(split(AA31 ,"", "", FALSE),1,2), vot"&amp;"e4ACTIONS!A:C , 3, FALSE),
2 , VLOOKUP(index(split(AA31 ,"", "", FALSE),1,1), vote4ACTIONS!A:C , 3, FALSE) + VLOOKUP(index(split(AA31 ,"", "", FALSE),1,2), vote4ACTIONS!A:C , 3, FALSE) + VLOOKUP(index(split(AA31 ,"", "", FALSE),1,3), vote4ACTIONS!A:C , 3,"&amp;" FALSE)
)
)"),0.0)</f>
        <v>0</v>
      </c>
      <c r="AC31" s="343" t="s">
        <v>2632</v>
      </c>
      <c r="AD31" s="517">
        <f>IF(ISBLANK(AC31),,IF(IFERROR(SEARCH("SS:",AC31),0) &gt; 0, 
VLOOKUP(SUBSTITUTE(AC31,"SS: ",""),vote4SURGE!$A:$C , 3, FALSE) - 2,
VLOOKUP(SUBSTITUTE(AC31,"S: ",""),vote4SURGE!$A:$C , 3, FALSE)
)
)</f>
        <v>4.25</v>
      </c>
      <c r="AE31" s="343" t="s">
        <v>1534</v>
      </c>
      <c r="AF31" s="517">
        <f>IF(ISBLANK(AE31),,IF(IFERROR(SEARCH("SS:",AE31),0) &gt; 0, 
VLOOKUP(SUBSTITUTE(AE31,"SS: ",""),vote4SURGE!$A:$C , 3, FALSE) - 2,
VLOOKUP(SUBSTITUTE(AE31,"S: ",""),vote4SURGE!$A:$C , 3, FALSE)
)
)</f>
        <v>4.25</v>
      </c>
      <c r="AG31" s="343"/>
      <c r="AH31" s="343" t="str">
        <f>IF(ISBLANK(AG31),,IF(IFERROR(SEARCH("SS:",AG31),0) &gt; 0, 
VLOOKUP(SUBSTITUTE(AG31,"SS: ",""),vote4SURGE!$A:$C , 3, FALSE) - 2,
VLOOKUP(SUBSTITUTE(AG31,"S: ",""),vote4SURGE!$A:$C , 3, FALSE)
)
)</f>
        <v/>
      </c>
      <c r="AI31" s="517">
        <f t="shared" si="1"/>
        <v>6.375</v>
      </c>
      <c r="AJ31" s="343">
        <f>ROUND(IFS(
IFERROR(SEARCH("Blue, Yellow, Yellow, Green",W31),0) &gt; 0 , VLOOKUP("Blue", Variables!A:C , 3 , FALSE) + (VLOOKUP("Yellow", Variables!A:C , 3 , FALSE) * 2) + VLOOKUP("Green", Variables!A:C , 3 , FALSE),
IFERROR(SEARCH("Blue, Yellow, Green, Green",W31),0) &gt; 0 , VLOOKUP("Blue", Variables!A:C , 3 , FALSE) + VLOOKUP("Yellow", Variables!A:C , 3 , FALSE)  + (VLOOKUP("Green", Variables!A:C , 3 , FALSE) * 2),
IFERROR(SEARCH("Blue, Red, Red",W31),0) &gt; 0 , VLOOKUP("Blue", Variables!A:C , 3 , FALSE) + VLOOKUP("Red", Variables!A:C , 3 , FALSE) * 2,
IFERROR(SEARCH("Blue, Yellow, Yellow",W31),0) &gt; 0 , VLOOKUP("Blue", Variables!A:C , 3 , FALSE) + (VLOOKUP("Yellow", Variables!A:C , 3 , FALSE) * 2),
IFERROR(SEARCH("Blue, Yellow, Green",W31),0) &gt; 0 , VLOOKUP("Blue", Variables!A:C , 3 , FALSE) + VLOOKUP("Yellow", Variables!A:C , 3 , FALSE) + VLOOKUP("Green", Variables!A:C , 3 , FALSE),
IFERROR(SEARCH("Blue, Red, Green",W31),0) &gt; 0 , VLOOKUP("Blue", Variables!A:C , 3 , FALSE) + VLOOKUP("Red", Variables!A:C , 3 , FALSE) + VLOOKUP("Green", Variables!A:C , 3 , FALSE),
IFERROR(SEARCH("Blue, Red, Yellow",W31),0) &gt; 0 , VLOOKUP("Blue", Variables!A:C , 3 , FALSE) + VLOOKUP("Red", Variables!A:C , 3 , FALSE) + VLOOKUP("Yellow", Variables!A:C , 3 , FALSE),
IFERROR(SEARCH("Blue, Green, Green",W31),0) &gt; 0 , VLOOKUP("Blue", Variables!A:C , 3 , FALSE) + (VLOOKUP("Green", Variables!A:C , 3 , FALSE) * 2),
IFERROR(SEARCH("Blue, Yellow",W31),0) &gt; 0 , VLOOKUP("Blue", Variables!A:C , 3 , FALSE) + VLOOKUP("Yellow", Variables!A:C , 3 , FALSE),
IFERROR(SEARCH("Blue, Red",W31),0) &gt; 0 , VLOOKUP("Blue", Variables!A:C , 3 , FALSE) + VLOOKUP("Red", Variables!A:C , 3 , FALSE),
IFERROR(SEARCH("Blue, Green",W31),0) &gt; 0 , VLOOKUP("Blue", Variables!A:C , 3 , FALSE) + VLOOKUP("Green", Variables!A:C , 3 , FALSE),
IFERROR(SEARCH("Green",W31),0) &gt; 0 , VLOOKUP("Green", Variables!A:C , 3 , FALSE),
IFERROR(SEARCH("Blue",W31),0) &gt; 0 , VLOOKUP("Blue", Variables!A:C , 3 , FALSE),
IFERROR(SEARCH("Yellow",W31),0) &gt; 0 , VLOOKUP("Yellow", Variables!A:C , 3 , FALSE),
IFERROR(SEARCH("Black, Black",W31),0) &gt; 0 , VLOOKUP("Black", Variables!A:C , 3 , FALSE) * 2,
IFERROR(SEARCH("Grey, Grey",W31),0) &gt; 0 , VLOOKUP("Grey", Variables!A:C , 3 , FALSE) * 2,
IFERROR(SEARCH("Grey, Brown",W31),0) &gt; 0 , VLOOKUP("Grey", Variables!A:C , 3 , FALSE)  + VLOOKUP("Brown", Variables!A:C , 3 , FALSE),
IFERROR(SEARCH("Black, Grey",W31),0) &gt; 0 , VLOOKUP("Black", Variables!A:C , 3 , FALSE) + VLOOKUP("Grey", Variables!A:C , 3 , FALSE),
IFERROR(SEARCH("Black, Brown",W31),0) &gt; 0 , VLOOKUP("Black", Variables!A:C , 3 , FALSE) + VLOOKUP("Brown", Variables!A:C , 3 , FALSE),
IFERROR(SEARCH("Black",W31),0) &gt; 0 , VLOOKUP("Black", Variables!A:C , 3 , FALSE),
IFERROR(SEARCH("Grey",W31),0) &gt; 0 , VLOOKUP("Grey", Variables!A:C , 3 , FALSE),
IFERROR(SEARCH("Brown",W31),0) &gt; 0 , VLOOKUP("Brown", Variables!A:C , 3 , FALSE),
0=0,0)
,
)</f>
        <v>1</v>
      </c>
      <c r="AK31" s="343">
        <f t="shared" si="2"/>
        <v>2</v>
      </c>
      <c r="AL31" s="345">
        <f t="shared" si="3"/>
        <v>24.875</v>
      </c>
      <c r="AM31" s="383"/>
    </row>
    <row r="32" ht="15.75" customHeight="1">
      <c r="A32" s="509" t="s">
        <v>2719</v>
      </c>
      <c r="B32" s="510">
        <v>1.0</v>
      </c>
      <c r="C32" s="510">
        <v>1.0</v>
      </c>
      <c r="D32" s="511" t="s">
        <v>1861</v>
      </c>
      <c r="E32" s="512" t="s">
        <v>2720</v>
      </c>
      <c r="F32" s="513">
        <v>4.0</v>
      </c>
      <c r="G32" s="514">
        <v>10.0</v>
      </c>
      <c r="H32" s="515" t="s">
        <v>1663</v>
      </c>
      <c r="I32" s="489">
        <f>IFERROR(__xludf.DUMMYFUNCTION("SUM(F32 * 0.33, G32
*
SWITCH(
LEN(H32) - LEN(SUBSTITUTE(H32,"","","""")),
0 , VLOOKUP(H32, Variables!$A:$B, 2, FALSE),
1 , VLOOKUP(index(split(H32 ,"", "", FALSE),1,1), Variables!$A:$B , 2, FALSE) + VLOOKUP(index(split(H32 ,"", "", FALSE),1,2), Variables!"&amp;"$A:$B , 2, FALSE),
2 , VLOOKUP(index(split(H32 ,"", "", FALSE),1,1), Variables!$A:$B , 2, FALSE) + VLOOKUP(index(split(H32 ,"", "", FALSE),1,2), Variables!$A:$B , 2, FALSE) + VLOOKUP(index(split(H32 ,"", "", FALSE),1,3), Variables!$A:$B , 2, FALSE)
)
)"),14.653333333333332)</f>
        <v>14.65333333</v>
      </c>
      <c r="J32" s="513">
        <v>4.0</v>
      </c>
      <c r="K32" s="514">
        <v>12.0</v>
      </c>
      <c r="L32" s="515" t="s">
        <v>1663</v>
      </c>
      <c r="M32" s="312">
        <f>IFERROR(__xludf.DUMMYFUNCTION("SUM(J32 * 0.33, K32
*
SWITCH(
LEN(L32) - LEN(SUBSTITUTE(L32,"","","""")),
0 , VLOOKUP(L32, Variables!$A:$B, 2, FALSE),
1 , VLOOKUP(index(split(L32 ,"", "", FALSE),1,1), Variables!$A:$B , 2, FALSE) + VLOOKUP(index(split(L32 ,"", "", FALSE),1,2), Variables!"&amp;"$A:$B , 2, FALSE),
2 , VLOOKUP(index(split(L32 ,"", "", FALSE),1,1), Variables!$A:$B , 2, FALSE) + VLOOKUP(index(split(L32 ,"", "", FALSE),1,2), Variables!$A:$B , 2, FALSE) + VLOOKUP(index(split(L32 ,"", "", FALSE),1,3), Variables!$A:$B , 2, FALSE)
)
)"),17.32)</f>
        <v>17.32</v>
      </c>
      <c r="N32" s="514">
        <v>4.0</v>
      </c>
      <c r="O32" s="514">
        <v>14.0</v>
      </c>
      <c r="P32" s="340" t="s">
        <v>1671</v>
      </c>
      <c r="Q32" s="312">
        <f>IFERROR(__xludf.DUMMYFUNCTION("SUM(N32 * 0.33, O32
*
SWITCH(
LEN(P32) - LEN(SUBSTITUTE(P32,"","","""")),
0 , VLOOKUP(P32, Variables!$A:$B, 2, FALSE),
1 , VLOOKUP(index(split(P32 ,"", "", FALSE),1,1), Variables!$A:$B , 2, FALSE) + VLOOKUP(index(split(P32 ,"", "", FALSE),1,2), Variables!"&amp;"$A:$B , 2, FALSE),
2 , VLOOKUP(index(split(P32 ,"", "", FALSE),1,1), Variables!$A:$B , 2, FALSE) + VLOOKUP(index(split(P32 ,"", "", FALSE),1,2), Variables!$A:$B , 2, FALSE) + VLOOKUP(index(split(P32 ,"", "", FALSE),1,3), Variables!$A:$B , 2, FALSE)
)
)"),31.653333333333332)</f>
        <v>31.65333333</v>
      </c>
      <c r="R32" s="513">
        <v>2.0</v>
      </c>
      <c r="S32" s="514">
        <v>4.0</v>
      </c>
      <c r="T32" s="514">
        <v>4.0</v>
      </c>
      <c r="U32" s="516">
        <v>2.0</v>
      </c>
      <c r="V32" s="343" t="s">
        <v>1567</v>
      </c>
      <c r="W32" s="343" t="s">
        <v>1525</v>
      </c>
      <c r="X32" s="312">
        <f>IFERROR(__xludf.DUMMYFUNCTION("SWITCH(
LEN(W32) - LEN(SUBSTITUTE(W32,"","","""")),
0 , VLOOKUP(W32, Variables!$A:$B, 2, FALSE),
1 , VLOOKUP(index(split(W32 ,"", "", FALSE),1,1), Variables!$A:$B , 2, FALSE) + VLOOKUP(index(split(W32 ,"", "", FALSE),1,2), Variables!$A:$B , 2, FALSE),
2 ,"&amp;" VLOOKUP(index(split(W32 ,"", "", FALSE),1,1), Variables!$A:$B , 2, FALSE) + VLOOKUP(index(split(W32 ,"", "", FALSE),1,2), Variables!$A:$B , 2, FALSE) + VLOOKUP(index(split(W32 ,"", "", FALSE),1,3), Variables!$A:$B , 2, FALSE),
3 , VLOOKUP(index(split(W32"&amp;" ,"", "", FALSE),1,1), Variables!$A:$B , 2, FALSE) + VLOOKUP(index(split(W32 ,"", "", FALSE),1,2), Variables!$A:$B , 2, FALSE) + VLOOKUP(index(split(W32 ,"", "", FALSE),1,3), Variables!$A:$B , 2, FALSE) + VLOOKUP(index(split(W32 ,"", "", FALSE),1,4), Vari"&amp;"ables!$A:$B , 2, FALSE)
)"),3.333333333333333)</f>
        <v>3.333333333</v>
      </c>
      <c r="Y32" s="343" t="s">
        <v>2721</v>
      </c>
      <c r="Z32" s="342">
        <f>IFERROR(__xludf.DUMMYFUNCTION("IF(ISBLANK(Y32), , 
SWITCH(
LEN(Y32)- LEN(SUBSTITUTE(Y32,"","","""")), 
0 , VLOOKUP(Y32, vote4TRAITS!A:C , 3, FALSE),
1 , VLOOKUP(index(split(Y32 ,"", "", FALSE),1,1), vote4TRAITS!A:C , 3, FALSE) + VLOOKUP(index(split(Y32 ,"", "", FALSE),1,2), vote4TRAITS"&amp;"!A:C , 3, FALSE),
2 , VLOOKUP(index(split(Y32 ,"", "", FALSE),1,1), vote4TRAITS!A:C , 3, FALSE) + VLOOKUP(index(split(Y32 ,"", "", FALSE),1,2), vote4TRAITS!A:C , 3, FALSE) + VLOOKUP(index(split(Y32 ,"", "", FALSE),1,3), vote4TRAITS!A:C , 3, FALSE)
)
)"),10.833333333333332)</f>
        <v>10.83333333</v>
      </c>
      <c r="AA32" s="343"/>
      <c r="AB32" s="343" t="str">
        <f>IFERROR(__xludf.DUMMYFUNCTION("IF(ISBLANK(AA32), , 
SWITCH(
LEN(AA32)- LEN(SUBSTITUTE(AA32,"","","""")), 
0 , VLOOKUP(AA32, vote4ACTIONS!A:C , 3, FALSE),
1 , VLOOKUP(index(split(AA32 ,"", "", FALSE),1,1), vote4ACTIONS!A:C , 3, FALSE) + VLOOKUP(index(split(AA32 ,"", "", FALSE),1,2), vot"&amp;"e4ACTIONS!A:C , 3, FALSE),
2 , VLOOKUP(index(split(AA32 ,"", "", FALSE),1,1), vote4ACTIONS!A:C , 3, FALSE) + VLOOKUP(index(split(AA32 ,"", "", FALSE),1,2), vote4ACTIONS!A:C , 3, FALSE) + VLOOKUP(index(split(AA32 ,"", "", FALSE),1,3), vote4ACTIONS!A:C , 3,"&amp;" FALSE)
)
)"),"")</f>
        <v/>
      </c>
      <c r="AC32" s="343" t="s">
        <v>1534</v>
      </c>
      <c r="AD32" s="517">
        <f>IF(ISBLANK(AC32),,IF(IFERROR(SEARCH("SS:",AC32),0) &gt; 0, 
VLOOKUP(SUBSTITUTE(AC32,"SS: ",""),vote4SURGE!$A:$C , 3, FALSE) - 2,
VLOOKUP(SUBSTITUTE(AC32,"S: ",""),vote4SURGE!$A:$C , 3, FALSE)
)
)</f>
        <v>4.25</v>
      </c>
      <c r="AE32" s="343"/>
      <c r="AF32" s="343" t="str">
        <f>IF(ISBLANK(AE32),,IF(IFERROR(SEARCH("SS:",AE32),0) &gt; 0, 
VLOOKUP(SUBSTITUTE(AE32,"SS: ",""),vote4SURGE!$A:$C , 3, FALSE) - 2,
VLOOKUP(SUBSTITUTE(AE32,"S: ",""),vote4SURGE!$A:$C , 3, FALSE)
)
)</f>
        <v/>
      </c>
      <c r="AG32" s="343"/>
      <c r="AH32" s="343" t="str">
        <f>IF(ISBLANK(AG32),,IF(IFERROR(SEARCH("SS:",AG32),0) &gt; 0, 
VLOOKUP(SUBSTITUTE(AG32,"SS: ",""),vote4SURGE!$A:$C , 3, FALSE) - 2,
VLOOKUP(SUBSTITUTE(AG32,"S: ",""),vote4SURGE!$A:$C , 3, FALSE)
)
)</f>
        <v/>
      </c>
      <c r="AI32" s="343">
        <f t="shared" si="1"/>
        <v>4.25</v>
      </c>
      <c r="AJ32" s="343">
        <f>ROUND(IFS(
IFERROR(SEARCH("Blue, Yellow, Yellow, Green",W32),0) &gt; 0 , VLOOKUP("Blue", Variables!A:C , 3 , FALSE) + (VLOOKUP("Yellow", Variables!A:C , 3 , FALSE) * 2) + VLOOKUP("Green", Variables!A:C , 3 , FALSE),
IFERROR(SEARCH("Blue, Yellow, Green, Green",W32),0) &gt; 0 , VLOOKUP("Blue", Variables!A:C , 3 , FALSE) + VLOOKUP("Yellow", Variables!A:C , 3 , FALSE)  + (VLOOKUP("Green", Variables!A:C , 3 , FALSE) * 2),
IFERROR(SEARCH("Blue, Red, Red",W32),0) &gt; 0 , VLOOKUP("Blue", Variables!A:C , 3 , FALSE) + VLOOKUP("Red", Variables!A:C , 3 , FALSE) * 2,
IFERROR(SEARCH("Blue, Yellow, Yellow",W32),0) &gt; 0 , VLOOKUP("Blue", Variables!A:C , 3 , FALSE) + (VLOOKUP("Yellow", Variables!A:C , 3 , FALSE) * 2),
IFERROR(SEARCH("Blue, Yellow, Green",W32),0) &gt; 0 , VLOOKUP("Blue", Variables!A:C , 3 , FALSE) + VLOOKUP("Yellow", Variables!A:C , 3 , FALSE) + VLOOKUP("Green", Variables!A:C , 3 , FALSE),
IFERROR(SEARCH("Blue, Red, Green",W32),0) &gt; 0 , VLOOKUP("Blue", Variables!A:C , 3 , FALSE) + VLOOKUP("Red", Variables!A:C , 3 , FALSE) + VLOOKUP("Green", Variables!A:C , 3 , FALSE),
IFERROR(SEARCH("Blue, Red, Yellow",W32),0) &gt; 0 , VLOOKUP("Blue", Variables!A:C , 3 , FALSE) + VLOOKUP("Red", Variables!A:C , 3 , FALSE) + VLOOKUP("Yellow", Variables!A:C , 3 , FALSE),
IFERROR(SEARCH("Blue, Green, Green",W32),0) &gt; 0 , VLOOKUP("Blue", Variables!A:C , 3 , FALSE) + (VLOOKUP("Green", Variables!A:C , 3 , FALSE) * 2),
IFERROR(SEARCH("Blue, Yellow",W32),0) &gt; 0 , VLOOKUP("Blue", Variables!A:C , 3 , FALSE) + VLOOKUP("Yellow", Variables!A:C , 3 , FALSE),
IFERROR(SEARCH("Blue, Red",W32),0) &gt; 0 , VLOOKUP("Blue", Variables!A:C , 3 , FALSE) + VLOOKUP("Red", Variables!A:C , 3 , FALSE),
IFERROR(SEARCH("Blue, Green",W32),0) &gt; 0 , VLOOKUP("Blue", Variables!A:C , 3 , FALSE) + VLOOKUP("Green", Variables!A:C , 3 , FALSE),
IFERROR(SEARCH("Green",W32),0) &gt; 0 , VLOOKUP("Green", Variables!A:C , 3 , FALSE),
IFERROR(SEARCH("Blue",W32),0) &gt; 0 , VLOOKUP("Blue", Variables!A:C , 3 , FALSE),
IFERROR(SEARCH("Yellow",W32),0) &gt; 0 , VLOOKUP("Yellow", Variables!A:C , 3 , FALSE),
IFERROR(SEARCH("Black, Black",W32),0) &gt; 0 , VLOOKUP("Black", Variables!A:C , 3 , FALSE) * 2,
IFERROR(SEARCH("Grey, Grey",W32),0) &gt; 0 , VLOOKUP("Grey", Variables!A:C , 3 , FALSE) * 2,
IFERROR(SEARCH("Grey, Brown",W32),0) &gt; 0 , VLOOKUP("Grey", Variables!A:C , 3 , FALSE)  + VLOOKUP("Brown", Variables!A:C , 3 , FALSE),
IFERROR(SEARCH("Black, Grey",W32),0) &gt; 0 , VLOOKUP("Black", Variables!A:C , 3 , FALSE) + VLOOKUP("Grey", Variables!A:C , 3 , FALSE),
IFERROR(SEARCH("Black, Brown",W32),0) &gt; 0 , VLOOKUP("Black", Variables!A:C , 3 , FALSE) + VLOOKUP("Brown", Variables!A:C , 3 , FALSE),
IFERROR(SEARCH("Black",W32),0) &gt; 0 , VLOOKUP("Black", Variables!A:C , 3 , FALSE),
IFERROR(SEARCH("Grey",W32),0) &gt; 0 , VLOOKUP("Grey", Variables!A:C , 3 , FALSE),
IFERROR(SEARCH("Brown",W32),0) &gt; 0 , VLOOKUP("Brown", Variables!A:C , 3 , FALSE),
0=0,0)
,
)</f>
        <v>1</v>
      </c>
      <c r="AK32" s="343">
        <f t="shared" si="2"/>
        <v>1</v>
      </c>
      <c r="AL32" s="345">
        <f t="shared" si="3"/>
        <v>30.41666667</v>
      </c>
      <c r="AM32" s="383"/>
    </row>
    <row r="33" ht="15.75" customHeight="1">
      <c r="A33" s="509" t="s">
        <v>2719</v>
      </c>
      <c r="B33" s="380">
        <v>2.0</v>
      </c>
      <c r="C33" s="380">
        <v>1.0</v>
      </c>
      <c r="D33" s="511" t="s">
        <v>1861</v>
      </c>
      <c r="E33" s="512" t="s">
        <v>2720</v>
      </c>
      <c r="F33" s="513">
        <v>4.0</v>
      </c>
      <c r="G33" s="514">
        <v>12.0</v>
      </c>
      <c r="H33" s="515" t="s">
        <v>1671</v>
      </c>
      <c r="I33" s="489">
        <f>IFERROR(__xludf.DUMMYFUNCTION("SUM(F33 * 0.33, G33
*
SWITCH(
LEN(H33) - LEN(SUBSTITUTE(H33,"","","""")),
0 , VLOOKUP(H33, Variables!$A:$B, 2, FALSE),
1 , VLOOKUP(index(split(H33 ,"", "", FALSE),1,1), Variables!$A:$B , 2, FALSE) + VLOOKUP(index(split(H33 ,"", "", FALSE),1,2), Variables!"&amp;"$A:$B , 2, FALSE),
2 , VLOOKUP(index(split(H33 ,"", "", FALSE),1,1), Variables!$A:$B , 2, FALSE) + VLOOKUP(index(split(H33 ,"", "", FALSE),1,2), Variables!$A:$B , 2, FALSE) + VLOOKUP(index(split(H33 ,"", "", FALSE),1,3), Variables!$A:$B , 2, FALSE)
)
)"),27.32)</f>
        <v>27.32</v>
      </c>
      <c r="J33" s="513">
        <v>4.0</v>
      </c>
      <c r="K33" s="514">
        <v>15.0</v>
      </c>
      <c r="L33" s="515" t="s">
        <v>2590</v>
      </c>
      <c r="M33" s="312">
        <f>IFERROR(__xludf.DUMMYFUNCTION("SUM(J33 * 0.33, K33
*
SWITCH(
LEN(L33) - LEN(SUBSTITUTE(L33,"","","""")),
0 , VLOOKUP(L33, Variables!$A:$B, 2, FALSE),
1 , VLOOKUP(index(split(L33 ,"", "", FALSE),1,1), Variables!$A:$B , 2, FALSE) + VLOOKUP(index(split(L33 ,"", "", FALSE),1,2), Variables!"&amp;"$A:$B , 2, FALSE),
2 , VLOOKUP(index(split(L33 ,"", "", FALSE),1,1), Variables!$A:$B , 2, FALSE) + VLOOKUP(index(split(L33 ,"", "", FALSE),1,2), Variables!$A:$B , 2, FALSE) + VLOOKUP(index(split(L33 ,"", "", FALSE),1,3), Variables!$A:$B , 2, FALSE)
)
)"),41.32)</f>
        <v>41.32</v>
      </c>
      <c r="N33" s="514">
        <v>4.0</v>
      </c>
      <c r="O33" s="514">
        <v>18.0</v>
      </c>
      <c r="P33" s="340" t="s">
        <v>2599</v>
      </c>
      <c r="Q33" s="312">
        <f>IFERROR(__xludf.DUMMYFUNCTION("SUM(N33 * 0.33, O33
*
SWITCH(
LEN(P33) - LEN(SUBSTITUTE(P33,"","","""")),
0 , VLOOKUP(P33, Variables!$A:$B, 2, FALSE),
1 , VLOOKUP(index(split(P33 ,"", "", FALSE),1,1), Variables!$A:$B , 2, FALSE) + VLOOKUP(index(split(P33 ,"", "", FALSE),1,2), Variables!"&amp;"$A:$B , 2, FALSE),
2 , VLOOKUP(index(split(P33 ,"", "", FALSE),1,1), Variables!$A:$B , 2, FALSE) + VLOOKUP(index(split(P33 ,"", "", FALSE),1,2), Variables!$A:$B , 2, FALSE) + VLOOKUP(index(split(P33 ,"", "", FALSE),1,3), Variables!$A:$B , 2, FALSE)
)
)"),64.32)</f>
        <v>64.32</v>
      </c>
      <c r="R33" s="513">
        <v>2.0</v>
      </c>
      <c r="S33" s="514">
        <v>4.0</v>
      </c>
      <c r="T33" s="514">
        <v>4.0</v>
      </c>
      <c r="U33" s="516">
        <v>2.0</v>
      </c>
      <c r="V33" s="343" t="s">
        <v>1567</v>
      </c>
      <c r="W33" s="343" t="s">
        <v>1537</v>
      </c>
      <c r="X33" s="312">
        <f>IFERROR(__xludf.DUMMYFUNCTION("SWITCH(
LEN(W33) - LEN(SUBSTITUTE(W33,"","","""")),
0 , VLOOKUP(W33, Variables!$A:$B, 2, FALSE),
1 , VLOOKUP(index(split(W33 ,"", "", FALSE),1,1), Variables!$A:$B , 2, FALSE) + VLOOKUP(index(split(W33 ,"", "", FALSE),1,2), Variables!$A:$B , 2, FALSE),
2 ,"&amp;" VLOOKUP(index(split(W33 ,"", "", FALSE),1,1), Variables!$A:$B , 2, FALSE) + VLOOKUP(index(split(W33 ,"", "", FALSE),1,2), Variables!$A:$B , 2, FALSE) + VLOOKUP(index(split(W33 ,"", "", FALSE),1,3), Variables!$A:$B , 2, FALSE),
3 , VLOOKUP(index(split(W33"&amp;" ,"", "", FALSE),1,1), Variables!$A:$B , 2, FALSE) + VLOOKUP(index(split(W33 ,"", "", FALSE),1,2), Variables!$A:$B , 2, FALSE) + VLOOKUP(index(split(W33 ,"", "", FALSE),1,3), Variables!$A:$B , 2, FALSE) + VLOOKUP(index(split(W33 ,"", "", FALSE),1,4), Vari"&amp;"ables!$A:$B , 2, FALSE)
)"),4.5)</f>
        <v>4.5</v>
      </c>
      <c r="Y33" s="343" t="s">
        <v>2722</v>
      </c>
      <c r="Z33" s="342">
        <f>IFERROR(__xludf.DUMMYFUNCTION("IF(ISBLANK(Y33), , 
SWITCH(
LEN(Y33)- LEN(SUBSTITUTE(Y33,"","","""")), 
0 , VLOOKUP(Y33, vote4TRAITS!A:C , 3, FALSE),
1 , VLOOKUP(index(split(Y33 ,"", "", FALSE),1,1), vote4TRAITS!A:C , 3, FALSE) + VLOOKUP(index(split(Y33 ,"", "", FALSE),1,2), vote4TRAITS"&amp;"!A:C , 3, FALSE),
2 , VLOOKUP(index(split(Y33 ,"", "", FALSE),1,1), vote4TRAITS!A:C , 3, FALSE) + VLOOKUP(index(split(Y33 ,"", "", FALSE),1,2), vote4TRAITS!A:C , 3, FALSE) + VLOOKUP(index(split(Y33 ,"", "", FALSE),1,3), vote4TRAITS!A:C , 3, FALSE)
)
)"),11.833333333333332)</f>
        <v>11.83333333</v>
      </c>
      <c r="AA33" s="343"/>
      <c r="AB33" s="343" t="str">
        <f>IFERROR(__xludf.DUMMYFUNCTION("IF(ISBLANK(AA33), , 
SWITCH(
LEN(AA33)- LEN(SUBSTITUTE(AA33,"","","""")), 
0 , VLOOKUP(AA33, vote4ACTIONS!A:C , 3, FALSE),
1 , VLOOKUP(index(split(AA33 ,"", "", FALSE),1,1), vote4ACTIONS!A:C , 3, FALSE) + VLOOKUP(index(split(AA33 ,"", "", FALSE),1,2), vot"&amp;"e4ACTIONS!A:C , 3, FALSE),
2 , VLOOKUP(index(split(AA33 ,"", "", FALSE),1,1), vote4ACTIONS!A:C , 3, FALSE) + VLOOKUP(index(split(AA33 ,"", "", FALSE),1,2), vote4ACTIONS!A:C , 3, FALSE) + VLOOKUP(index(split(AA33 ,"", "", FALSE),1,3), vote4ACTIONS!A:C , 3,"&amp;" FALSE)
)
)"),"")</f>
        <v/>
      </c>
      <c r="AC33" s="343" t="s">
        <v>1539</v>
      </c>
      <c r="AD33" s="517">
        <f>IF(ISBLANK(AC33),,IF(IFERROR(SEARCH("SS:",AC33),0) &gt; 0, 
VLOOKUP(SUBSTITUTE(AC33,"SS: ",""),vote4SURGE!$A:$C , 3, FALSE) - 2,
VLOOKUP(SUBSTITUTE(AC33,"S: ",""),vote4SURGE!$A:$C , 3, FALSE)
)
)</f>
        <v>5</v>
      </c>
      <c r="AE33" s="343"/>
      <c r="AF33" s="343" t="str">
        <f>IF(ISBLANK(AE33),,IF(IFERROR(SEARCH("SS:",AE33),0) &gt; 0, 
VLOOKUP(SUBSTITUTE(AE33,"SS: ",""),vote4SURGE!$A:$C , 3, FALSE) - 2,
VLOOKUP(SUBSTITUTE(AE33,"S: ",""),vote4SURGE!$A:$C , 3, FALSE)
)
)</f>
        <v/>
      </c>
      <c r="AG33" s="343"/>
      <c r="AH33" s="343" t="str">
        <f>IF(ISBLANK(AG33),,IF(IFERROR(SEARCH("SS:",AG33),0) &gt; 0, 
VLOOKUP(SUBSTITUTE(AG33,"SS: ",""),vote4SURGE!$A:$C , 3, FALSE) - 2,
VLOOKUP(SUBSTITUTE(AG33,"S: ",""),vote4SURGE!$A:$C , 3, FALSE)
)
)</f>
        <v/>
      </c>
      <c r="AI33" s="343">
        <f t="shared" si="1"/>
        <v>5</v>
      </c>
      <c r="AJ33" s="343">
        <f>ROUND(IFS(
IFERROR(SEARCH("Blue, Yellow, Yellow, Green",W33),0) &gt; 0 , VLOOKUP("Blue", Variables!A:C , 3 , FALSE) + (VLOOKUP("Yellow", Variables!A:C , 3 , FALSE) * 2) + VLOOKUP("Green", Variables!A:C , 3 , FALSE),
IFERROR(SEARCH("Blue, Yellow, Green, Green",W33),0) &gt; 0 , VLOOKUP("Blue", Variables!A:C , 3 , FALSE) + VLOOKUP("Yellow", Variables!A:C , 3 , FALSE)  + (VLOOKUP("Green", Variables!A:C , 3 , FALSE) * 2),
IFERROR(SEARCH("Blue, Red, Red",W33),0) &gt; 0 , VLOOKUP("Blue", Variables!A:C , 3 , FALSE) + VLOOKUP("Red", Variables!A:C , 3 , FALSE) * 2,
IFERROR(SEARCH("Blue, Yellow, Yellow",W33),0) &gt; 0 , VLOOKUP("Blue", Variables!A:C , 3 , FALSE) + (VLOOKUP("Yellow", Variables!A:C , 3 , FALSE) * 2),
IFERROR(SEARCH("Blue, Yellow, Green",W33),0) &gt; 0 , VLOOKUP("Blue", Variables!A:C , 3 , FALSE) + VLOOKUP("Yellow", Variables!A:C , 3 , FALSE) + VLOOKUP("Green", Variables!A:C , 3 , FALSE),
IFERROR(SEARCH("Blue, Red, Green",W33),0) &gt; 0 , VLOOKUP("Blue", Variables!A:C , 3 , FALSE) + VLOOKUP("Red", Variables!A:C , 3 , FALSE) + VLOOKUP("Green", Variables!A:C , 3 , FALSE),
IFERROR(SEARCH("Blue, Red, Yellow",W33),0) &gt; 0 , VLOOKUP("Blue", Variables!A:C , 3 , FALSE) + VLOOKUP("Red", Variables!A:C , 3 , FALSE) + VLOOKUP("Yellow", Variables!A:C , 3 , FALSE),
IFERROR(SEARCH("Blue, Green, Green",W33),0) &gt; 0 , VLOOKUP("Blue", Variables!A:C , 3 , FALSE) + (VLOOKUP("Green", Variables!A:C , 3 , FALSE) * 2),
IFERROR(SEARCH("Blue, Yellow",W33),0) &gt; 0 , VLOOKUP("Blue", Variables!A:C , 3 , FALSE) + VLOOKUP("Yellow", Variables!A:C , 3 , FALSE),
IFERROR(SEARCH("Blue, Red",W33),0) &gt; 0 , VLOOKUP("Blue", Variables!A:C , 3 , FALSE) + VLOOKUP("Red", Variables!A:C , 3 , FALSE),
IFERROR(SEARCH("Blue, Green",W33),0) &gt; 0 , VLOOKUP("Blue", Variables!A:C , 3 , FALSE) + VLOOKUP("Green", Variables!A:C , 3 , FALSE),
IFERROR(SEARCH("Green",W33),0) &gt; 0 , VLOOKUP("Green", Variables!A:C , 3 , FALSE),
IFERROR(SEARCH("Blue",W33),0) &gt; 0 , VLOOKUP("Blue", Variables!A:C , 3 , FALSE),
IFERROR(SEARCH("Yellow",W33),0) &gt; 0 , VLOOKUP("Yellow", Variables!A:C , 3 , FALSE),
IFERROR(SEARCH("Black, Black",W33),0) &gt; 0 , VLOOKUP("Black", Variables!A:C , 3 , FALSE) * 2,
IFERROR(SEARCH("Grey, Grey",W33),0) &gt; 0 , VLOOKUP("Grey", Variables!A:C , 3 , FALSE) * 2,
IFERROR(SEARCH("Grey, Brown",W33),0) &gt; 0 , VLOOKUP("Grey", Variables!A:C , 3 , FALSE)  + VLOOKUP("Brown", Variables!A:C , 3 , FALSE),
IFERROR(SEARCH("Black, Grey",W33),0) &gt; 0 , VLOOKUP("Black", Variables!A:C , 3 , FALSE) + VLOOKUP("Grey", Variables!A:C , 3 , FALSE),
IFERROR(SEARCH("Black, Brown",W33),0) &gt; 0 , VLOOKUP("Black", Variables!A:C , 3 , FALSE) + VLOOKUP("Brown", Variables!A:C , 3 , FALSE),
IFERROR(SEARCH("Black",W33),0) &gt; 0 , VLOOKUP("Black", Variables!A:C , 3 , FALSE),
IFERROR(SEARCH("Grey",W33),0) &gt; 0 , VLOOKUP("Grey", Variables!A:C , 3 , FALSE),
IFERROR(SEARCH("Brown",W33),0) &gt; 0 , VLOOKUP("Brown", Variables!A:C , 3 , FALSE),
0=0,0)
,
)</f>
        <v>1</v>
      </c>
      <c r="AK33" s="343">
        <f t="shared" si="2"/>
        <v>1</v>
      </c>
      <c r="AL33" s="345">
        <f t="shared" si="3"/>
        <v>33.33333333</v>
      </c>
      <c r="AM33" s="383"/>
    </row>
    <row r="34" ht="15.75" customHeight="1">
      <c r="A34" s="509" t="s">
        <v>2723</v>
      </c>
      <c r="B34" s="510">
        <v>1.0</v>
      </c>
      <c r="C34" s="510">
        <v>6.0</v>
      </c>
      <c r="D34" s="511" t="s">
        <v>1808</v>
      </c>
      <c r="E34" s="512" t="s">
        <v>2724</v>
      </c>
      <c r="F34" s="513">
        <v>3.0</v>
      </c>
      <c r="G34" s="514">
        <v>12.0</v>
      </c>
      <c r="H34" s="515" t="s">
        <v>2575</v>
      </c>
      <c r="I34" s="489">
        <f>IFERROR(__xludf.DUMMYFUNCTION("SUM(F34 * 0.33, G34
*
SWITCH(
LEN(H34) - LEN(SUBSTITUTE(H34,"","","""")),
0 , VLOOKUP(H34, Variables!$A:$B, 2, FALSE),
1 , VLOOKUP(index(split(H34 ,"", "", FALSE),1,1), Variables!$A:$B , 2, FALSE) + VLOOKUP(index(split(H34 ,"", "", FALSE),1,2), Variables!"&amp;"$A:$B , 2, FALSE),
2 , VLOOKUP(index(split(H34 ,"", "", FALSE),1,1), Variables!$A:$B , 2, FALSE) + VLOOKUP(index(split(H34 ,"", "", FALSE),1,2), Variables!$A:$B , 2, FALSE) + VLOOKUP(index(split(H34 ,"", "", FALSE),1,3), Variables!$A:$B , 2, FALSE)
)
)"),24.99)</f>
        <v>24.99</v>
      </c>
      <c r="J34" s="513">
        <v>3.0</v>
      </c>
      <c r="K34" s="514">
        <v>14.0</v>
      </c>
      <c r="L34" s="515" t="s">
        <v>2575</v>
      </c>
      <c r="M34" s="312">
        <f>IFERROR(__xludf.DUMMYFUNCTION("SUM(J34 * 0.33, K34
*
SWITCH(
LEN(L34) - LEN(SUBSTITUTE(L34,"","","""")),
0 , VLOOKUP(L34, Variables!$A:$B, 2, FALSE),
1 , VLOOKUP(index(split(L34 ,"", "", FALSE),1,1), Variables!$A:$B , 2, FALSE) + VLOOKUP(index(split(L34 ,"", "", FALSE),1,2), Variables!"&amp;"$A:$B , 2, FALSE),
2 , VLOOKUP(index(split(L34 ,"", "", FALSE),1,1), Variables!$A:$B , 2, FALSE) + VLOOKUP(index(split(L34 ,"", "", FALSE),1,2), Variables!$A:$B , 2, FALSE) + VLOOKUP(index(split(L34 ,"", "", FALSE),1,3), Variables!$A:$B , 2, FALSE)
)
)"),28.99)</f>
        <v>28.99</v>
      </c>
      <c r="N34" s="514">
        <v>3.0</v>
      </c>
      <c r="O34" s="514">
        <v>17.0</v>
      </c>
      <c r="P34" s="340" t="s">
        <v>2594</v>
      </c>
      <c r="Q34" s="312">
        <f>IFERROR(__xludf.DUMMYFUNCTION("SUM(N34 * 0.33, O34
*
SWITCH(
LEN(P34) - LEN(SUBSTITUTE(P34,"","","""")),
0 , VLOOKUP(P34, Variables!$A:$B, 2, FALSE),
1 , VLOOKUP(index(split(P34 ,"", "", FALSE),1,1), Variables!$A:$B , 2, FALSE) + VLOOKUP(index(split(P34 ,"", "", FALSE),1,2), Variables!"&amp;"$A:$B , 2, FALSE),
2 , VLOOKUP(index(split(P34 ,"", "", FALSE),1,1), Variables!$A:$B , 2, FALSE) + VLOOKUP(index(split(P34 ,"", "", FALSE),1,2), Variables!$A:$B , 2, FALSE) + VLOOKUP(index(split(P34 ,"", "", FALSE),1,3), Variables!$A:$B , 2, FALSE)
)
)"),49.156666666666666)</f>
        <v>49.15666667</v>
      </c>
      <c r="R34" s="513">
        <v>5.0</v>
      </c>
      <c r="S34" s="514">
        <v>2.0</v>
      </c>
      <c r="T34" s="514">
        <v>1.0</v>
      </c>
      <c r="U34" s="516">
        <v>3.0</v>
      </c>
      <c r="V34" s="343" t="s">
        <v>1521</v>
      </c>
      <c r="W34" s="343" t="s">
        <v>1525</v>
      </c>
      <c r="X34" s="312">
        <f>IFERROR(__xludf.DUMMYFUNCTION("SWITCH(
LEN(W34) - LEN(SUBSTITUTE(W34,"","","""")),
0 , VLOOKUP(W34, Variables!$A:$B, 2, FALSE),
1 , VLOOKUP(index(split(W34 ,"", "", FALSE),1,1), Variables!$A:$B , 2, FALSE) + VLOOKUP(index(split(W34 ,"", "", FALSE),1,2), Variables!$A:$B , 2, FALSE),
2 ,"&amp;" VLOOKUP(index(split(W34 ,"", "", FALSE),1,1), Variables!$A:$B , 2, FALSE) + VLOOKUP(index(split(W34 ,"", "", FALSE),1,2), Variables!$A:$B , 2, FALSE) + VLOOKUP(index(split(W34 ,"", "", FALSE),1,3), Variables!$A:$B , 2, FALSE),
3 , VLOOKUP(index(split(W34"&amp;" ,"", "", FALSE),1,1), Variables!$A:$B , 2, FALSE) + VLOOKUP(index(split(W34 ,"", "", FALSE),1,2), Variables!$A:$B , 2, FALSE) + VLOOKUP(index(split(W34 ,"", "", FALSE),1,3), Variables!$A:$B , 2, FALSE) + VLOOKUP(index(split(W34 ,"", "", FALSE),1,4), Vari"&amp;"ables!$A:$B , 2, FALSE)
)"),3.333333333333333)</f>
        <v>3.333333333</v>
      </c>
      <c r="Y34" s="343" t="s">
        <v>1043</v>
      </c>
      <c r="Z34" s="342">
        <f>IFERROR(__xludf.DUMMYFUNCTION("IF(ISBLANK(Y34), , 
SWITCH(
LEN(Y34)- LEN(SUBSTITUTE(Y34,"","","""")), 
0 , VLOOKUP(Y34, vote4TRAITS!A:C , 3, FALSE),
1 , VLOOKUP(index(split(Y34 ,"", "", FALSE),1,1), vote4TRAITS!A:C , 3, FALSE) + VLOOKUP(index(split(Y34 ,"", "", FALSE),1,2), vote4TRAITS"&amp;"!A:C , 3, FALSE),
2 , VLOOKUP(index(split(Y34 ,"", "", FALSE),1,1), vote4TRAITS!A:C , 3, FALSE) + VLOOKUP(index(split(Y34 ,"", "", FALSE),1,2), vote4TRAITS!A:C , 3, FALSE) + VLOOKUP(index(split(Y34 ,"", "", FALSE),1,3), vote4TRAITS!A:C , 3, FALSE)
)
)"),2.0)</f>
        <v>2</v>
      </c>
      <c r="AA34" s="343"/>
      <c r="AB34" s="343" t="str">
        <f>IFERROR(__xludf.DUMMYFUNCTION("IF(ISBLANK(AA34), , 
SWITCH(
LEN(AA34)- LEN(SUBSTITUTE(AA34,"","","""")), 
0 , VLOOKUP(AA34, vote4ACTIONS!A:C , 3, FALSE),
1 , VLOOKUP(index(split(AA34 ,"", "", FALSE),1,1), vote4ACTIONS!A:C , 3, FALSE) + VLOOKUP(index(split(AA34 ,"", "", FALSE),1,2), vot"&amp;"e4ACTIONS!A:C , 3, FALSE),
2 , VLOOKUP(index(split(AA34 ,"", "", FALSE),1,1), vote4ACTIONS!A:C , 3, FALSE) + VLOOKUP(index(split(AA34 ,"", "", FALSE),1,2), vote4ACTIONS!A:C , 3, FALSE) + VLOOKUP(index(split(AA34 ,"", "", FALSE),1,3), vote4ACTIONS!A:C , 3,"&amp;" FALSE)
)
)"),"")</f>
        <v/>
      </c>
      <c r="AC34" s="343" t="s">
        <v>2618</v>
      </c>
      <c r="AD34" s="517">
        <f>IF(ISBLANK(AC34),,IF(IFERROR(SEARCH("SS:",AC34),0) &gt; 0, 
VLOOKUP(SUBSTITUTE(AC34,"SS: ",""),vote4SURGE!$A:$C , 3, FALSE) - 2,
VLOOKUP(SUBSTITUTE(AC34,"S: ",""),vote4SURGE!$A:$C , 3, FALSE)
)
)</f>
        <v>7</v>
      </c>
      <c r="AE34" s="343" t="s">
        <v>1603</v>
      </c>
      <c r="AF34" s="517">
        <f>IF(ISBLANK(AE34),,IF(IFERROR(SEARCH("SS:",AE34),0) &gt; 0, 
VLOOKUP(SUBSTITUTE(AE34,"SS: ",""),vote4SURGE!$A:$C , 3, FALSE) - 2,
VLOOKUP(SUBSTITUTE(AE34,"S: ",""),vote4SURGE!$A:$C , 3, FALSE)
)
)</f>
        <v>4.5</v>
      </c>
      <c r="AG34" s="343"/>
      <c r="AH34" s="343" t="str">
        <f>IF(ISBLANK(AG34),,IF(IFERROR(SEARCH("SS:",AG34),0) &gt; 0, 
VLOOKUP(SUBSTITUTE(AG34,"SS: ",""),vote4SURGE!$A:$C , 3, FALSE) - 2,
VLOOKUP(SUBSTITUTE(AG34,"S: ",""),vote4SURGE!$A:$C , 3, FALSE)
)
)</f>
        <v/>
      </c>
      <c r="AI34" s="517">
        <f t="shared" si="1"/>
        <v>9.25</v>
      </c>
      <c r="AJ34" s="343">
        <f>ROUND(IFS(
IFERROR(SEARCH("Blue, Yellow, Yellow, Green",W34),0) &gt; 0 , VLOOKUP("Blue", Variables!A:C , 3 , FALSE) + (VLOOKUP("Yellow", Variables!A:C , 3 , FALSE) * 2) + VLOOKUP("Green", Variables!A:C , 3 , FALSE),
IFERROR(SEARCH("Blue, Yellow, Green, Green",W34),0) &gt; 0 , VLOOKUP("Blue", Variables!A:C , 3 , FALSE) + VLOOKUP("Yellow", Variables!A:C , 3 , FALSE)  + (VLOOKUP("Green", Variables!A:C , 3 , FALSE) * 2),
IFERROR(SEARCH("Blue, Red, Red",W34),0) &gt; 0 , VLOOKUP("Blue", Variables!A:C , 3 , FALSE) + VLOOKUP("Red", Variables!A:C , 3 , FALSE) * 2,
IFERROR(SEARCH("Blue, Yellow, Yellow",W34),0) &gt; 0 , VLOOKUP("Blue", Variables!A:C , 3 , FALSE) + (VLOOKUP("Yellow", Variables!A:C , 3 , FALSE) * 2),
IFERROR(SEARCH("Blue, Yellow, Green",W34),0) &gt; 0 , VLOOKUP("Blue", Variables!A:C , 3 , FALSE) + VLOOKUP("Yellow", Variables!A:C , 3 , FALSE) + VLOOKUP("Green", Variables!A:C , 3 , FALSE),
IFERROR(SEARCH("Blue, Red, Green",W34),0) &gt; 0 , VLOOKUP("Blue", Variables!A:C , 3 , FALSE) + VLOOKUP("Red", Variables!A:C , 3 , FALSE) + VLOOKUP("Green", Variables!A:C , 3 , FALSE),
IFERROR(SEARCH("Blue, Red, Yellow",W34),0) &gt; 0 , VLOOKUP("Blue", Variables!A:C , 3 , FALSE) + VLOOKUP("Red", Variables!A:C , 3 , FALSE) + VLOOKUP("Yellow", Variables!A:C , 3 , FALSE),
IFERROR(SEARCH("Blue, Green, Green",W34),0) &gt; 0 , VLOOKUP("Blue", Variables!A:C , 3 , FALSE) + (VLOOKUP("Green", Variables!A:C , 3 , FALSE) * 2),
IFERROR(SEARCH("Blue, Yellow",W34),0) &gt; 0 , VLOOKUP("Blue", Variables!A:C , 3 , FALSE) + VLOOKUP("Yellow", Variables!A:C , 3 , FALSE),
IFERROR(SEARCH("Blue, Red",W34),0) &gt; 0 , VLOOKUP("Blue", Variables!A:C , 3 , FALSE) + VLOOKUP("Red", Variables!A:C , 3 , FALSE),
IFERROR(SEARCH("Blue, Green",W34),0) &gt; 0 , VLOOKUP("Blue", Variables!A:C , 3 , FALSE) + VLOOKUP("Green", Variables!A:C , 3 , FALSE),
IFERROR(SEARCH("Green",W34),0) &gt; 0 , VLOOKUP("Green", Variables!A:C , 3 , FALSE),
IFERROR(SEARCH("Blue",W34),0) &gt; 0 , VLOOKUP("Blue", Variables!A:C , 3 , FALSE),
IFERROR(SEARCH("Yellow",W34),0) &gt; 0 , VLOOKUP("Yellow", Variables!A:C , 3 , FALSE),
IFERROR(SEARCH("Black, Black",W34),0) &gt; 0 , VLOOKUP("Black", Variables!A:C , 3 , FALSE) * 2,
IFERROR(SEARCH("Grey, Grey",W34),0) &gt; 0 , VLOOKUP("Grey", Variables!A:C , 3 , FALSE) * 2,
IFERROR(SEARCH("Grey, Brown",W34),0) &gt; 0 , VLOOKUP("Grey", Variables!A:C , 3 , FALSE)  + VLOOKUP("Brown", Variables!A:C , 3 , FALSE),
IFERROR(SEARCH("Black, Grey",W34),0) &gt; 0 , VLOOKUP("Black", Variables!A:C , 3 , FALSE) + VLOOKUP("Grey", Variables!A:C , 3 , FALSE),
IFERROR(SEARCH("Black, Brown",W34),0) &gt; 0 , VLOOKUP("Black", Variables!A:C , 3 , FALSE) + VLOOKUP("Brown", Variables!A:C , 3 , FALSE),
IFERROR(SEARCH("Black",W34),0) &gt; 0 , VLOOKUP("Black", Variables!A:C , 3 , FALSE),
IFERROR(SEARCH("Grey",W34),0) &gt; 0 , VLOOKUP("Grey", Variables!A:C , 3 , FALSE),
IFERROR(SEARCH("Brown",W34),0) &gt; 0 , VLOOKUP("Brown", Variables!A:C , 3 , FALSE),
0=0,0)
,
)</f>
        <v>1</v>
      </c>
      <c r="AK34" s="343">
        <f t="shared" si="2"/>
        <v>2</v>
      </c>
      <c r="AL34" s="345">
        <f t="shared" si="3"/>
        <v>25.58333333</v>
      </c>
      <c r="AM34" s="383"/>
    </row>
    <row r="35" ht="15.75" customHeight="1">
      <c r="A35" s="509" t="s">
        <v>2723</v>
      </c>
      <c r="B35" s="380">
        <v>2.0</v>
      </c>
      <c r="C35" s="380">
        <v>6.0</v>
      </c>
      <c r="D35" s="511" t="s">
        <v>1808</v>
      </c>
      <c r="E35" s="512" t="s">
        <v>2724</v>
      </c>
      <c r="F35" s="513">
        <v>3.0</v>
      </c>
      <c r="G35" s="514">
        <v>15.0</v>
      </c>
      <c r="H35" s="515" t="s">
        <v>2590</v>
      </c>
      <c r="I35" s="489">
        <f>IFERROR(__xludf.DUMMYFUNCTION("SUM(F35 * 0.33, G35
*
SWITCH(
LEN(H35) - LEN(SUBSTITUTE(H35,"","","""")),
0 , VLOOKUP(H35, Variables!$A:$B, 2, FALSE),
1 , VLOOKUP(index(split(H35 ,"", "", FALSE),1,1), Variables!$A:$B , 2, FALSE) + VLOOKUP(index(split(H35 ,"", "", FALSE),1,2), Variables!"&amp;"$A:$B , 2, FALSE),
2 , VLOOKUP(index(split(H35 ,"", "", FALSE),1,1), Variables!$A:$B , 2, FALSE) + VLOOKUP(index(split(H35 ,"", "", FALSE),1,2), Variables!$A:$B , 2, FALSE) + VLOOKUP(index(split(H35 ,"", "", FALSE),1,3), Variables!$A:$B , 2, FALSE)
)
)"),40.99)</f>
        <v>40.99</v>
      </c>
      <c r="J35" s="513">
        <v>3.0</v>
      </c>
      <c r="K35" s="514">
        <v>17.0</v>
      </c>
      <c r="L35" s="515" t="s">
        <v>2677</v>
      </c>
      <c r="M35" s="312">
        <f>IFERROR(__xludf.DUMMYFUNCTION("SUM(J35 * 0.33, K35
*
SWITCH(
LEN(L35) - LEN(SUBSTITUTE(L35,"","","""")),
0 , VLOOKUP(L35, Variables!$A:$B, 2, FALSE),
1 , VLOOKUP(index(split(L35 ,"", "", FALSE),1,1), Variables!$A:$B , 2, FALSE) + VLOOKUP(index(split(L35 ,"", "", FALSE),1,2), Variables!"&amp;"$A:$B , 2, FALSE),
2 , VLOOKUP(index(split(L35 ,"", "", FALSE),1,1), Variables!$A:$B , 2, FALSE) + VLOOKUP(index(split(L35 ,"", "", FALSE),1,2), Variables!$A:$B , 2, FALSE) + VLOOKUP(index(split(L35 ,"", "", FALSE),1,3), Variables!$A:$B , 2, FALSE)
)
)"),57.656666666666666)</f>
        <v>57.65666667</v>
      </c>
      <c r="N35" s="514">
        <v>3.0</v>
      </c>
      <c r="O35" s="514">
        <v>22.0</v>
      </c>
      <c r="P35" s="340" t="s">
        <v>2671</v>
      </c>
      <c r="Q35" s="312">
        <f>IFERROR(__xludf.DUMMYFUNCTION("SUM(N35 * 0.33, O35
*
SWITCH(
LEN(P35) - LEN(SUBSTITUTE(P35,"","","""")),
0 , VLOOKUP(P35, Variables!$A:$B, 2, FALSE),
1 , VLOOKUP(index(split(P35 ,"", "", FALSE),1,1), Variables!$A:$B , 2, FALSE) + VLOOKUP(index(split(P35 ,"", "", FALSE),1,2), Variables!"&amp;"$A:$B , 2, FALSE),
2 , VLOOKUP(index(split(P35 ,"", "", FALSE),1,1), Variables!$A:$B , 2, FALSE) + VLOOKUP(index(split(P35 ,"", "", FALSE),1,2), Variables!$A:$B , 2, FALSE) + VLOOKUP(index(split(P35 ,"", "", FALSE),1,3), Variables!$A:$B , 2, FALSE)
)
)"),92.65666666666667)</f>
        <v>92.65666667</v>
      </c>
      <c r="R35" s="513">
        <v>5.0</v>
      </c>
      <c r="S35" s="514">
        <v>2.0</v>
      </c>
      <c r="T35" s="514">
        <v>1.0</v>
      </c>
      <c r="U35" s="516">
        <v>3.0</v>
      </c>
      <c r="V35" s="343" t="s">
        <v>1521</v>
      </c>
      <c r="W35" s="343" t="s">
        <v>1537</v>
      </c>
      <c r="X35" s="312">
        <f>IFERROR(__xludf.DUMMYFUNCTION("SWITCH(
LEN(W35) - LEN(SUBSTITUTE(W35,"","","""")),
0 , VLOOKUP(W35, Variables!$A:$B, 2, FALSE),
1 , VLOOKUP(index(split(W35 ,"", "", FALSE),1,1), Variables!$A:$B , 2, FALSE) + VLOOKUP(index(split(W35 ,"", "", FALSE),1,2), Variables!$A:$B , 2, FALSE),
2 ,"&amp;" VLOOKUP(index(split(W35 ,"", "", FALSE),1,1), Variables!$A:$B , 2, FALSE) + VLOOKUP(index(split(W35 ,"", "", FALSE),1,2), Variables!$A:$B , 2, FALSE) + VLOOKUP(index(split(W35 ,"", "", FALSE),1,3), Variables!$A:$B , 2, FALSE),
3 , VLOOKUP(index(split(W35"&amp;" ,"", "", FALSE),1,1), Variables!$A:$B , 2, FALSE) + VLOOKUP(index(split(W35 ,"", "", FALSE),1,2), Variables!$A:$B , 2, FALSE) + VLOOKUP(index(split(W35 ,"", "", FALSE),1,3), Variables!$A:$B , 2, FALSE) + VLOOKUP(index(split(W35 ,"", "", FALSE),1,4), Vari"&amp;"ables!$A:$B , 2, FALSE)
)"),4.5)</f>
        <v>4.5</v>
      </c>
      <c r="Y35" s="343" t="s">
        <v>1043</v>
      </c>
      <c r="Z35" s="342">
        <f>IFERROR(__xludf.DUMMYFUNCTION("IF(ISBLANK(Y35), , 
SWITCH(
LEN(Y35)- LEN(SUBSTITUTE(Y35,"","","""")), 
0 , VLOOKUP(Y35, vote4TRAITS!A:C , 3, FALSE),
1 , VLOOKUP(index(split(Y35 ,"", "", FALSE),1,1), vote4TRAITS!A:C , 3, FALSE) + VLOOKUP(index(split(Y35 ,"", "", FALSE),1,2), vote4TRAITS"&amp;"!A:C , 3, FALSE),
2 , VLOOKUP(index(split(Y35 ,"", "", FALSE),1,1), vote4TRAITS!A:C , 3, FALSE) + VLOOKUP(index(split(Y35 ,"", "", FALSE),1,2), vote4TRAITS!A:C , 3, FALSE) + VLOOKUP(index(split(Y35 ,"", "", FALSE),1,3), vote4TRAITS!A:C , 3, FALSE)
)
)"),2.0)</f>
        <v>2</v>
      </c>
      <c r="AA35" s="343"/>
      <c r="AB35" s="343" t="str">
        <f>IFERROR(__xludf.DUMMYFUNCTION("IF(ISBLANK(AA35), , 
SWITCH(
LEN(AA35)- LEN(SUBSTITUTE(AA35,"","","""")), 
0 , VLOOKUP(AA35, vote4ACTIONS!A:C , 3, FALSE),
1 , VLOOKUP(index(split(AA35 ,"", "", FALSE),1,1), vote4ACTIONS!A:C , 3, FALSE) + VLOOKUP(index(split(AA35 ,"", "", FALSE),1,2), vot"&amp;"e4ACTIONS!A:C , 3, FALSE),
2 , VLOOKUP(index(split(AA35 ,"", "", FALSE),1,1), vote4ACTIONS!A:C , 3, FALSE) + VLOOKUP(index(split(AA35 ,"", "", FALSE),1,2), vote4ACTIONS!A:C , 3, FALSE) + VLOOKUP(index(split(AA35 ,"", "", FALSE),1,3), vote4ACTIONS!A:C , 3,"&amp;" FALSE)
)
)"),"")</f>
        <v/>
      </c>
      <c r="AC35" s="343" t="s">
        <v>2618</v>
      </c>
      <c r="AD35" s="517">
        <f>IF(ISBLANK(AC35),,IF(IFERROR(SEARCH("SS:",AC35),0) &gt; 0, 
VLOOKUP(SUBSTITUTE(AC35,"SS: ",""),vote4SURGE!$A:$C , 3, FALSE) - 2,
VLOOKUP(SUBSTITUTE(AC35,"S: ",""),vote4SURGE!$A:$C , 3, FALSE)
)
)</f>
        <v>7</v>
      </c>
      <c r="AE35" s="343" t="s">
        <v>1603</v>
      </c>
      <c r="AF35" s="517">
        <f>IF(ISBLANK(AE35),,IF(IFERROR(SEARCH("SS:",AE35),0) &gt; 0, 
VLOOKUP(SUBSTITUTE(AE35,"SS: ",""),vote4SURGE!$A:$C , 3, FALSE) - 2,
VLOOKUP(SUBSTITUTE(AE35,"S: ",""),vote4SURGE!$A:$C , 3, FALSE)
)
)</f>
        <v>4.5</v>
      </c>
      <c r="AG35" s="343" t="s">
        <v>1534</v>
      </c>
      <c r="AH35" s="517">
        <f>IF(ISBLANK(AG35),,IF(IFERROR(SEARCH("SS:",AG35),0) &gt; 0, 
VLOOKUP(SUBSTITUTE(AG35,"SS: ",""),vote4SURGE!$A:$C , 3, FALSE) - 2,
VLOOKUP(SUBSTITUTE(AG35,"S: ",""),vote4SURGE!$A:$C , 3, FALSE)
)
)</f>
        <v>4.25</v>
      </c>
      <c r="AI35" s="517">
        <f t="shared" si="1"/>
        <v>9.916666667</v>
      </c>
      <c r="AJ35" s="343">
        <f>ROUND(IFS(
IFERROR(SEARCH("Blue, Yellow, Yellow, Green",W35),0) &gt; 0 , VLOOKUP("Blue", Variables!A:C , 3 , FALSE) + (VLOOKUP("Yellow", Variables!A:C , 3 , FALSE) * 2) + VLOOKUP("Green", Variables!A:C , 3 , FALSE),
IFERROR(SEARCH("Blue, Yellow, Green, Green",W35),0) &gt; 0 , VLOOKUP("Blue", Variables!A:C , 3 , FALSE) + VLOOKUP("Yellow", Variables!A:C , 3 , FALSE)  + (VLOOKUP("Green", Variables!A:C , 3 , FALSE) * 2),
IFERROR(SEARCH("Blue, Red, Red",W35),0) &gt; 0 , VLOOKUP("Blue", Variables!A:C , 3 , FALSE) + VLOOKUP("Red", Variables!A:C , 3 , FALSE) * 2,
IFERROR(SEARCH("Blue, Yellow, Yellow",W35),0) &gt; 0 , VLOOKUP("Blue", Variables!A:C , 3 , FALSE) + (VLOOKUP("Yellow", Variables!A:C , 3 , FALSE) * 2),
IFERROR(SEARCH("Blue, Yellow, Green",W35),0) &gt; 0 , VLOOKUP("Blue", Variables!A:C , 3 , FALSE) + VLOOKUP("Yellow", Variables!A:C , 3 , FALSE) + VLOOKUP("Green", Variables!A:C , 3 , FALSE),
IFERROR(SEARCH("Blue, Red, Green",W35),0) &gt; 0 , VLOOKUP("Blue", Variables!A:C , 3 , FALSE) + VLOOKUP("Red", Variables!A:C , 3 , FALSE) + VLOOKUP("Green", Variables!A:C , 3 , FALSE),
IFERROR(SEARCH("Blue, Red, Yellow",W35),0) &gt; 0 , VLOOKUP("Blue", Variables!A:C , 3 , FALSE) + VLOOKUP("Red", Variables!A:C , 3 , FALSE) + VLOOKUP("Yellow", Variables!A:C , 3 , FALSE),
IFERROR(SEARCH("Blue, Green, Green",W35),0) &gt; 0 , VLOOKUP("Blue", Variables!A:C , 3 , FALSE) + (VLOOKUP("Green", Variables!A:C , 3 , FALSE) * 2),
IFERROR(SEARCH("Blue, Yellow",W35),0) &gt; 0 , VLOOKUP("Blue", Variables!A:C , 3 , FALSE) + VLOOKUP("Yellow", Variables!A:C , 3 , FALSE),
IFERROR(SEARCH("Blue, Red",W35),0) &gt; 0 , VLOOKUP("Blue", Variables!A:C , 3 , FALSE) + VLOOKUP("Red", Variables!A:C , 3 , FALSE),
IFERROR(SEARCH("Blue, Green",W35),0) &gt; 0 , VLOOKUP("Blue", Variables!A:C , 3 , FALSE) + VLOOKUP("Green", Variables!A:C , 3 , FALSE),
IFERROR(SEARCH("Green",W35),0) &gt; 0 , VLOOKUP("Green", Variables!A:C , 3 , FALSE),
IFERROR(SEARCH("Blue",W35),0) &gt; 0 , VLOOKUP("Blue", Variables!A:C , 3 , FALSE),
IFERROR(SEARCH("Yellow",W35),0) &gt; 0 , VLOOKUP("Yellow", Variables!A:C , 3 , FALSE),
IFERROR(SEARCH("Black, Black",W35),0) &gt; 0 , VLOOKUP("Black", Variables!A:C , 3 , FALSE) * 2,
IFERROR(SEARCH("Grey, Grey",W35),0) &gt; 0 , VLOOKUP("Grey", Variables!A:C , 3 , FALSE) * 2,
IFERROR(SEARCH("Grey, Brown",W35),0) &gt; 0 , VLOOKUP("Grey", Variables!A:C , 3 , FALSE)  + VLOOKUP("Brown", Variables!A:C , 3 , FALSE),
IFERROR(SEARCH("Black, Grey",W35),0) &gt; 0 , VLOOKUP("Black", Variables!A:C , 3 , FALSE) + VLOOKUP("Grey", Variables!A:C , 3 , FALSE),
IFERROR(SEARCH("Black, Brown",W35),0) &gt; 0 , VLOOKUP("Black", Variables!A:C , 3 , FALSE) + VLOOKUP("Brown", Variables!A:C , 3 , FALSE),
IFERROR(SEARCH("Black",W35),0) &gt; 0 , VLOOKUP("Black", Variables!A:C , 3 , FALSE),
IFERROR(SEARCH("Grey",W35),0) &gt; 0 , VLOOKUP("Grey", Variables!A:C , 3 , FALSE),
IFERROR(SEARCH("Brown",W35),0) &gt; 0 , VLOOKUP("Brown", Variables!A:C , 3 , FALSE),
0=0,0)
,
)</f>
        <v>1</v>
      </c>
      <c r="AK35" s="343">
        <f t="shared" si="2"/>
        <v>3</v>
      </c>
      <c r="AL35" s="345">
        <f t="shared" si="3"/>
        <v>27.41666667</v>
      </c>
      <c r="AM35" s="383"/>
    </row>
    <row r="36" ht="15.75" customHeight="1">
      <c r="A36" s="509" t="s">
        <v>2725</v>
      </c>
      <c r="B36" s="510">
        <v>1.0</v>
      </c>
      <c r="C36" s="510">
        <v>2.0</v>
      </c>
      <c r="D36" s="511" t="s">
        <v>1861</v>
      </c>
      <c r="E36" s="512" t="s">
        <v>2726</v>
      </c>
      <c r="F36" s="513">
        <v>3.0</v>
      </c>
      <c r="G36" s="514">
        <v>8.0</v>
      </c>
      <c r="H36" s="515" t="s">
        <v>1663</v>
      </c>
      <c r="I36" s="489">
        <f>IFERROR(__xludf.DUMMYFUNCTION("SUM(F36 * 0.33, G36
*
SWITCH(
LEN(H36) - LEN(SUBSTITUTE(H36,"","","""")),
0 , VLOOKUP(H36, Variables!$A:$B, 2, FALSE),
1 , VLOOKUP(index(split(H36 ,"", "", FALSE),1,1), Variables!$A:$B , 2, FALSE) + VLOOKUP(index(split(H36 ,"", "", FALSE),1,2), Variables!"&amp;"$A:$B , 2, FALSE),
2 , VLOOKUP(index(split(H36 ,"", "", FALSE),1,1), Variables!$A:$B , 2, FALSE) + VLOOKUP(index(split(H36 ,"", "", FALSE),1,2), Variables!$A:$B , 2, FALSE) + VLOOKUP(index(split(H36 ,"", "", FALSE),1,3), Variables!$A:$B , 2, FALSE)
)
)"),11.656666666666666)</f>
        <v>11.65666667</v>
      </c>
      <c r="J36" s="513">
        <v>3.0</v>
      </c>
      <c r="K36" s="514">
        <v>10.0</v>
      </c>
      <c r="L36" s="515" t="s">
        <v>1621</v>
      </c>
      <c r="M36" s="312">
        <f>IFERROR(__xludf.DUMMYFUNCTION("SUM(J36 * 0.33, K36
*
SWITCH(
LEN(L36) - LEN(SUBSTITUTE(L36,"","","""")),
0 , VLOOKUP(L36, Variables!$A:$B, 2, FALSE),
1 , VLOOKUP(index(split(L36 ,"", "", FALSE),1,1), Variables!$A:$B , 2, FALSE) + VLOOKUP(index(split(L36 ,"", "", FALSE),1,2), Variables!"&amp;"$A:$B , 2, FALSE),
2 , VLOOKUP(index(split(L36 ,"", "", FALSE),1,1), Variables!$A:$B , 2, FALSE) + VLOOKUP(index(split(L36 ,"", "", FALSE),1,2), Variables!$A:$B , 2, FALSE) + VLOOKUP(index(split(L36 ,"", "", FALSE),1,3), Variables!$A:$B , 2, FALSE)
)
)"),7.656666666666666)</f>
        <v>7.656666667</v>
      </c>
      <c r="N36" s="514">
        <v>3.0</v>
      </c>
      <c r="O36" s="514">
        <v>13.0</v>
      </c>
      <c r="P36" s="515" t="s">
        <v>2575</v>
      </c>
      <c r="Q36" s="312">
        <f>IFERROR(__xludf.DUMMYFUNCTION("SUM(N36 * 0.33, O36
*
SWITCH(
LEN(P36) - LEN(SUBSTITUTE(P36,"","","""")),
0 , VLOOKUP(P36, Variables!$A:$B, 2, FALSE),
1 , VLOOKUP(index(split(P36 ,"", "", FALSE),1,1), Variables!$A:$B , 2, FALSE) + VLOOKUP(index(split(P36 ,"", "", FALSE),1,2), Variables!"&amp;"$A:$B , 2, FALSE),
2 , VLOOKUP(index(split(P36 ,"", "", FALSE),1,1), Variables!$A:$B , 2, FALSE) + VLOOKUP(index(split(P36 ,"", "", FALSE),1,2), Variables!$A:$B , 2, FALSE) + VLOOKUP(index(split(P36 ,"", "", FALSE),1,3), Variables!$A:$B , 2, FALSE)
)
)"),26.99)</f>
        <v>26.99</v>
      </c>
      <c r="R36" s="513">
        <v>2.0</v>
      </c>
      <c r="S36" s="514">
        <v>3.0</v>
      </c>
      <c r="T36" s="514">
        <v>2.0</v>
      </c>
      <c r="U36" s="516">
        <v>5.0</v>
      </c>
      <c r="V36" s="343" t="s">
        <v>1521</v>
      </c>
      <c r="W36" s="343" t="s">
        <v>1532</v>
      </c>
      <c r="X36" s="312">
        <f>IFERROR(__xludf.DUMMYFUNCTION("SWITCH(
LEN(W36) - LEN(SUBSTITUTE(W36,"","","""")),
0 , VLOOKUP(W36, Variables!$A:$B, 2, FALSE),
1 , VLOOKUP(index(split(W36 ,"", "", FALSE),1,1), Variables!$A:$B , 2, FALSE) + VLOOKUP(index(split(W36 ,"", "", FALSE),1,2), Variables!$A:$B , 2, FALSE),
2 ,"&amp;" VLOOKUP(index(split(W36 ,"", "", FALSE),1,1), Variables!$A:$B , 2, FALSE) + VLOOKUP(index(split(W36 ,"", "", FALSE),1,2), Variables!$A:$B , 2, FALSE) + VLOOKUP(index(split(W36 ,"", "", FALSE),1,3), Variables!$A:$B , 2, FALSE),
3 , VLOOKUP(index(split(W36"&amp;" ,"", "", FALSE),1,1), Variables!$A:$B , 2, FALSE) + VLOOKUP(index(split(W36 ,"", "", FALSE),1,2), Variables!$A:$B , 2, FALSE) + VLOOKUP(index(split(W36 ,"", "", FALSE),1,3), Variables!$A:$B , 2, FALSE) + VLOOKUP(index(split(W36 ,"", "", FALSE),1,4), Vari"&amp;"ables!$A:$B , 2, FALSE)
)"),3.0)</f>
        <v>3</v>
      </c>
      <c r="Y36" s="343" t="s">
        <v>1149</v>
      </c>
      <c r="Z36" s="342">
        <f>IFERROR(__xludf.DUMMYFUNCTION("IF(ISBLANK(Y36), , 
SWITCH(
LEN(Y36)- LEN(SUBSTITUTE(Y36,"","","""")), 
0 , VLOOKUP(Y36, vote4TRAITS!A:C , 3, FALSE),
1 , VLOOKUP(index(split(Y36 ,"", "", FALSE),1,1), vote4TRAITS!A:C , 3, FALSE) + VLOOKUP(index(split(Y36 ,"", "", FALSE),1,2), vote4TRAITS"&amp;"!A:C , 3, FALSE),
2 , VLOOKUP(index(split(Y36 ,"", "", FALSE),1,1), vote4TRAITS!A:C , 3, FALSE) + VLOOKUP(index(split(Y36 ,"", "", FALSE),1,2), vote4TRAITS!A:C , 3, FALSE) + VLOOKUP(index(split(Y36 ,"", "", FALSE),1,3), vote4TRAITS!A:C , 3, FALSE)
)
)"),4.333333333333333)</f>
        <v>4.333333333</v>
      </c>
      <c r="AA36" s="343"/>
      <c r="AB36" s="343" t="str">
        <f>IFERROR(__xludf.DUMMYFUNCTION("IF(ISBLANK(AA36), , 
SWITCH(
LEN(AA36)- LEN(SUBSTITUTE(AA36,"","","""")), 
0 , VLOOKUP(AA36, vote4ACTIONS!A:C , 3, FALSE),
1 , VLOOKUP(index(split(AA36 ,"", "", FALSE),1,1), vote4ACTIONS!A:C , 3, FALSE) + VLOOKUP(index(split(AA36 ,"", "", FALSE),1,2), vot"&amp;"e4ACTIONS!A:C , 3, FALSE),
2 , VLOOKUP(index(split(AA36 ,"", "", FALSE),1,1), vote4ACTIONS!A:C , 3, FALSE) + VLOOKUP(index(split(AA36 ,"", "", FALSE),1,2), vote4ACTIONS!A:C , 3, FALSE) + VLOOKUP(index(split(AA36 ,"", "", FALSE),1,3), vote4ACTIONS!A:C , 3,"&amp;" FALSE)
)
)"),"")</f>
        <v/>
      </c>
      <c r="AC36" s="343" t="s">
        <v>2727</v>
      </c>
      <c r="AD36" s="517">
        <f>IF(ISBLANK(AC36),,IF(IFERROR(SEARCH("SS:",AC36),0) &gt; 0, 
VLOOKUP(SUBSTITUTE(AC36,"SS: ",""),vote4SURGE!$A:$C , 3, FALSE) - 2,
VLOOKUP(SUBSTITUTE(AC36,"S: ",""),vote4SURGE!$A:$C , 3, FALSE)
)
)</f>
        <v>2</v>
      </c>
      <c r="AE36" s="343" t="s">
        <v>1586</v>
      </c>
      <c r="AF36" s="517">
        <f>IF(ISBLANK(AE36),,IF(IFERROR(SEARCH("SS:",AE36),0) &gt; 0, 
VLOOKUP(SUBSTITUTE(AE36,"SS: ",""),vote4SURGE!$A:$C , 3, FALSE) - 2,
VLOOKUP(SUBSTITUTE(AE36,"S: ",""),vote4SURGE!$A:$C , 3, FALSE)
)
)</f>
        <v>2.25</v>
      </c>
      <c r="AG36" s="343"/>
      <c r="AH36" s="343" t="str">
        <f>IF(ISBLANK(AG36),,IF(IFERROR(SEARCH("SS:",AG36),0) &gt; 0, 
VLOOKUP(SUBSTITUTE(AG36,"SS: ",""),vote4SURGE!$A:$C , 3, FALSE) - 2,
VLOOKUP(SUBSTITUTE(AG36,"S: ",""),vote4SURGE!$A:$C , 3, FALSE)
)
)</f>
        <v/>
      </c>
      <c r="AI36" s="517">
        <f t="shared" si="1"/>
        <v>3.583333333</v>
      </c>
      <c r="AJ36" s="343">
        <f>ROUND(IFS(
IFERROR(SEARCH("Blue, Yellow, Yellow, Green",W36),0) &gt; 0 , VLOOKUP("Blue", Variables!A:C , 3 , FALSE) + (VLOOKUP("Yellow", Variables!A:C , 3 , FALSE) * 2) + VLOOKUP("Green", Variables!A:C , 3 , FALSE),
IFERROR(SEARCH("Blue, Yellow, Green, Green",W36),0) &gt; 0 , VLOOKUP("Blue", Variables!A:C , 3 , FALSE) + VLOOKUP("Yellow", Variables!A:C , 3 , FALSE)  + (VLOOKUP("Green", Variables!A:C , 3 , FALSE) * 2),
IFERROR(SEARCH("Blue, Red, Red",W36),0) &gt; 0 , VLOOKUP("Blue", Variables!A:C , 3 , FALSE) + VLOOKUP("Red", Variables!A:C , 3 , FALSE) * 2,
IFERROR(SEARCH("Blue, Yellow, Yellow",W36),0) &gt; 0 , VLOOKUP("Blue", Variables!A:C , 3 , FALSE) + (VLOOKUP("Yellow", Variables!A:C , 3 , FALSE) * 2),
IFERROR(SEARCH("Blue, Yellow, Green",W36),0) &gt; 0 , VLOOKUP("Blue", Variables!A:C , 3 , FALSE) + VLOOKUP("Yellow", Variables!A:C , 3 , FALSE) + VLOOKUP("Green", Variables!A:C , 3 , FALSE),
IFERROR(SEARCH("Blue, Red, Green",W36),0) &gt; 0 , VLOOKUP("Blue", Variables!A:C , 3 , FALSE) + VLOOKUP("Red", Variables!A:C , 3 , FALSE) + VLOOKUP("Green", Variables!A:C , 3 , FALSE),
IFERROR(SEARCH("Blue, Red, Yellow",W36),0) &gt; 0 , VLOOKUP("Blue", Variables!A:C , 3 , FALSE) + VLOOKUP("Red", Variables!A:C , 3 , FALSE) + VLOOKUP("Yellow", Variables!A:C , 3 , FALSE),
IFERROR(SEARCH("Blue, Green, Green",W36),0) &gt; 0 , VLOOKUP("Blue", Variables!A:C , 3 , FALSE) + (VLOOKUP("Green", Variables!A:C , 3 , FALSE) * 2),
IFERROR(SEARCH("Blue, Yellow",W36),0) &gt; 0 , VLOOKUP("Blue", Variables!A:C , 3 , FALSE) + VLOOKUP("Yellow", Variables!A:C , 3 , FALSE),
IFERROR(SEARCH("Blue, Red",W36),0) &gt; 0 , VLOOKUP("Blue", Variables!A:C , 3 , FALSE) + VLOOKUP("Red", Variables!A:C , 3 , FALSE),
IFERROR(SEARCH("Blue, Green",W36),0) &gt; 0 , VLOOKUP("Blue", Variables!A:C , 3 , FALSE) + VLOOKUP("Green", Variables!A:C , 3 , FALSE),
IFERROR(SEARCH("Green",W36),0) &gt; 0 , VLOOKUP("Green", Variables!A:C , 3 , FALSE),
IFERROR(SEARCH("Blue",W36),0) &gt; 0 , VLOOKUP("Blue", Variables!A:C , 3 , FALSE),
IFERROR(SEARCH("Yellow",W36),0) &gt; 0 , VLOOKUP("Yellow", Variables!A:C , 3 , FALSE),
IFERROR(SEARCH("Black, Black",W36),0) &gt; 0 , VLOOKUP("Black", Variables!A:C , 3 , FALSE) * 2,
IFERROR(SEARCH("Grey, Grey",W36),0) &gt; 0 , VLOOKUP("Grey", Variables!A:C , 3 , FALSE) * 2,
IFERROR(SEARCH("Grey, Brown",W36),0) &gt; 0 , VLOOKUP("Grey", Variables!A:C , 3 , FALSE)  + VLOOKUP("Brown", Variables!A:C , 3 , FALSE),
IFERROR(SEARCH("Black, Grey",W36),0) &gt; 0 , VLOOKUP("Black", Variables!A:C , 3 , FALSE) + VLOOKUP("Grey", Variables!A:C , 3 , FALSE),
IFERROR(SEARCH("Black, Brown",W36),0) &gt; 0 , VLOOKUP("Black", Variables!A:C , 3 , FALSE) + VLOOKUP("Brown", Variables!A:C , 3 , FALSE),
IFERROR(SEARCH("Black",W36),0) &gt; 0 , VLOOKUP("Black", Variables!A:C , 3 , FALSE),
IFERROR(SEARCH("Grey",W36),0) &gt; 0 , VLOOKUP("Grey", Variables!A:C , 3 , FALSE),
IFERROR(SEARCH("Brown",W36),0) &gt; 0 , VLOOKUP("Brown", Variables!A:C , 3 , FALSE),
0=0,0)
,
)</f>
        <v>2</v>
      </c>
      <c r="AK36" s="343">
        <f t="shared" si="2"/>
        <v>3</v>
      </c>
      <c r="AL36" s="345">
        <f t="shared" si="3"/>
        <v>22.91666667</v>
      </c>
      <c r="AM36" s="383"/>
    </row>
    <row r="37" ht="15.75" customHeight="1">
      <c r="A37" s="509" t="s">
        <v>2725</v>
      </c>
      <c r="B37" s="380">
        <v>2.0</v>
      </c>
      <c r="C37" s="380">
        <v>2.0</v>
      </c>
      <c r="D37" s="511" t="s">
        <v>1861</v>
      </c>
      <c r="E37" s="512" t="s">
        <v>2726</v>
      </c>
      <c r="F37" s="513">
        <v>3.0</v>
      </c>
      <c r="G37" s="514">
        <v>11.0</v>
      </c>
      <c r="H37" s="515" t="s">
        <v>2575</v>
      </c>
      <c r="I37" s="489">
        <f>IFERROR(__xludf.DUMMYFUNCTION("SUM(F37 * 0.33, G37
*
SWITCH(
LEN(H37) - LEN(SUBSTITUTE(H37,"","","""")),
0 , VLOOKUP(H37, Variables!$A:$B, 2, FALSE),
1 , VLOOKUP(index(split(H37 ,"", "", FALSE),1,1), Variables!$A:$B , 2, FALSE) + VLOOKUP(index(split(H37 ,"", "", FALSE),1,2), Variables!"&amp;"$A:$B , 2, FALSE),
2 , VLOOKUP(index(split(H37 ,"", "", FALSE),1,1), Variables!$A:$B , 2, FALSE) + VLOOKUP(index(split(H37 ,"", "", FALSE),1,2), Variables!$A:$B , 2, FALSE) + VLOOKUP(index(split(H37 ,"", "", FALSE),1,3), Variables!$A:$B , 2, FALSE)
)
)"),22.99)</f>
        <v>22.99</v>
      </c>
      <c r="J37" s="513">
        <v>3.0</v>
      </c>
      <c r="K37" s="514">
        <v>13.0</v>
      </c>
      <c r="L37" s="340" t="s">
        <v>2594</v>
      </c>
      <c r="M37" s="312">
        <f>IFERROR(__xludf.DUMMYFUNCTION("SUM(J37 * 0.33, K37
*
SWITCH(
LEN(L37) - LEN(SUBSTITUTE(L37,"","","""")),
0 , VLOOKUP(L37, Variables!$A:$B, 2, FALSE),
1 , VLOOKUP(index(split(L37 ,"", "", FALSE),1,1), Variables!$A:$B , 2, FALSE) + VLOOKUP(index(split(L37 ,"", "", FALSE),1,2), Variables!"&amp;"$A:$B , 2, FALSE),
2 , VLOOKUP(index(split(L37 ,"", "", FALSE),1,1), Variables!$A:$B , 2, FALSE) + VLOOKUP(index(split(L37 ,"", "", FALSE),1,2), Variables!$A:$B , 2, FALSE) + VLOOKUP(index(split(L37 ,"", "", FALSE),1,3), Variables!$A:$B , 2, FALSE)
)
)"),37.82333333333333)</f>
        <v>37.82333333</v>
      </c>
      <c r="N37" s="513">
        <v>3.0</v>
      </c>
      <c r="O37" s="514">
        <v>17.0</v>
      </c>
      <c r="P37" s="340" t="s">
        <v>2599</v>
      </c>
      <c r="Q37" s="312">
        <f>IFERROR(__xludf.DUMMYFUNCTION("SUM(N37 * 0.33, O37
*
SWITCH(
LEN(P37) - LEN(SUBSTITUTE(P37,"","","""")),
0 , VLOOKUP(P37, Variables!$A:$B, 2, FALSE),
1 , VLOOKUP(index(split(P37 ,"", "", FALSE),1,1), Variables!$A:$B , 2, FALSE) + VLOOKUP(index(split(P37 ,"", "", FALSE),1,2), Variables!"&amp;"$A:$B , 2, FALSE),
2 , VLOOKUP(index(split(P37 ,"", "", FALSE),1,1), Variables!$A:$B , 2, FALSE) + VLOOKUP(index(split(P37 ,"", "", FALSE),1,2), Variables!$A:$B , 2, FALSE) + VLOOKUP(index(split(P37 ,"", "", FALSE),1,3), Variables!$A:$B , 2, FALSE)
)
)"),60.49)</f>
        <v>60.49</v>
      </c>
      <c r="R37" s="513">
        <v>2.0</v>
      </c>
      <c r="S37" s="514">
        <v>3.0</v>
      </c>
      <c r="T37" s="514">
        <v>2.0</v>
      </c>
      <c r="U37" s="516">
        <v>5.0</v>
      </c>
      <c r="V37" s="343" t="s">
        <v>1521</v>
      </c>
      <c r="W37" s="343" t="s">
        <v>1569</v>
      </c>
      <c r="X37" s="312">
        <f>IFERROR(__xludf.DUMMYFUNCTION("SWITCH(
LEN(W37) - LEN(SUBSTITUTE(W37,"","","""")),
0 , VLOOKUP(W37, Variables!$A:$B, 2, FALSE),
1 , VLOOKUP(index(split(W37 ,"", "", FALSE),1,1), Variables!$A:$B , 2, FALSE) + VLOOKUP(index(split(W37 ,"", "", FALSE),1,2), Variables!$A:$B , 2, FALSE),
2 ,"&amp;" VLOOKUP(index(split(W37 ,"", "", FALSE),1,1), Variables!$A:$B , 2, FALSE) + VLOOKUP(index(split(W37 ,"", "", FALSE),1,2), Variables!$A:$B , 2, FALSE) + VLOOKUP(index(split(W37 ,"", "", FALSE),1,3), Variables!$A:$B , 2, FALSE),
3 , VLOOKUP(index(split(W37"&amp;" ,"", "", FALSE),1,1), Variables!$A:$B , 2, FALSE) + VLOOKUP(index(split(W37 ,"", "", FALSE),1,2), Variables!$A:$B , 2, FALSE) + VLOOKUP(index(split(W37 ,"", "", FALSE),1,3), Variables!$A:$B , 2, FALSE) + VLOOKUP(index(split(W37 ,"", "", FALSE),1,4), Vari"&amp;"ables!$A:$B , 2, FALSE)
)"),3.6666666666666665)</f>
        <v>3.666666667</v>
      </c>
      <c r="Y37" s="343" t="s">
        <v>2728</v>
      </c>
      <c r="Z37" s="342">
        <f>IFERROR(__xludf.DUMMYFUNCTION("IF(ISBLANK(Y37), , 
SWITCH(
LEN(Y37)- LEN(SUBSTITUTE(Y37,"","","""")), 
0 , VLOOKUP(Y37, vote4TRAITS!A:C , 3, FALSE),
1 , VLOOKUP(index(split(Y37 ,"", "", FALSE),1,1), vote4TRAITS!A:C , 3, FALSE) + VLOOKUP(index(split(Y37 ,"", "", FALSE),1,2), vote4TRAITS"&amp;"!A:C , 3, FALSE),
2 , VLOOKUP(index(split(Y37 ,"", "", FALSE),1,1), vote4TRAITS!A:C , 3, FALSE) + VLOOKUP(index(split(Y37 ,"", "", FALSE),1,2), vote4TRAITS!A:C , 3, FALSE) + VLOOKUP(index(split(Y37 ,"", "", FALSE),1,3), vote4TRAITS!A:C , 3, FALSE)
)
)"),7.833333333333333)</f>
        <v>7.833333333</v>
      </c>
      <c r="AA37" s="343"/>
      <c r="AB37" s="343" t="str">
        <f>IFERROR(__xludf.DUMMYFUNCTION("IF(ISBLANK(AA37), , 
SWITCH(
LEN(AA37)- LEN(SUBSTITUTE(AA37,"","","""")), 
0 , VLOOKUP(AA37, vote4ACTIONS!A:C , 3, FALSE),
1 , VLOOKUP(index(split(AA37 ,"", "", FALSE),1,1), vote4ACTIONS!A:C , 3, FALSE) + VLOOKUP(index(split(AA37 ,"", "", FALSE),1,2), vot"&amp;"e4ACTIONS!A:C , 3, FALSE),
2 , VLOOKUP(index(split(AA37 ,"", "", FALSE),1,1), vote4ACTIONS!A:C , 3, FALSE) + VLOOKUP(index(split(AA37 ,"", "", FALSE),1,2), vote4ACTIONS!A:C , 3, FALSE) + VLOOKUP(index(split(AA37 ,"", "", FALSE),1,3), vote4ACTIONS!A:C , 3,"&amp;" FALSE)
)
)"),"")</f>
        <v/>
      </c>
      <c r="AC37" s="343" t="s">
        <v>2727</v>
      </c>
      <c r="AD37" s="517">
        <f>IF(ISBLANK(AC37),,IF(IFERROR(SEARCH("SS:",AC37),0) &gt; 0, 
VLOOKUP(SUBSTITUTE(AC37,"SS: ",""),vote4SURGE!$A:$C , 3, FALSE) - 2,
VLOOKUP(SUBSTITUTE(AC37,"S: ",""),vote4SURGE!$A:$C , 3, FALSE)
)
)</f>
        <v>2</v>
      </c>
      <c r="AE37" s="343" t="s">
        <v>1566</v>
      </c>
      <c r="AF37" s="517">
        <f>IF(ISBLANK(AE37),,IF(IFERROR(SEARCH("SS:",AE37),0) &gt; 0, 
VLOOKUP(SUBSTITUTE(AE37,"SS: ",""),vote4SURGE!$A:$C , 3, FALSE) - 2,
VLOOKUP(SUBSTITUTE(AE37,"S: ",""),vote4SURGE!$A:$C , 3, FALSE)
)
)</f>
        <v>3</v>
      </c>
      <c r="AG37" s="343"/>
      <c r="AH37" s="343" t="str">
        <f>IF(ISBLANK(AG37),,IF(IFERROR(SEARCH("SS:",AG37),0) &gt; 0, 
VLOOKUP(SUBSTITUTE(AG37,"SS: ",""),vote4SURGE!$A:$C , 3, FALSE) - 2,
VLOOKUP(SUBSTITUTE(AG37,"S: ",""),vote4SURGE!$A:$C , 3, FALSE)
)
)</f>
        <v/>
      </c>
      <c r="AI37" s="517">
        <f t="shared" si="1"/>
        <v>4.333333333</v>
      </c>
      <c r="AJ37" s="343">
        <f>ROUND(IFS(
IFERROR(SEARCH("Blue, Yellow, Yellow, Green",W37),0) &gt; 0 , VLOOKUP("Blue", Variables!A:C , 3 , FALSE) + (VLOOKUP("Yellow", Variables!A:C , 3 , FALSE) * 2) + VLOOKUP("Green", Variables!A:C , 3 , FALSE),
IFERROR(SEARCH("Blue, Yellow, Green, Green",W37),0) &gt; 0 , VLOOKUP("Blue", Variables!A:C , 3 , FALSE) + VLOOKUP("Yellow", Variables!A:C , 3 , FALSE)  + (VLOOKUP("Green", Variables!A:C , 3 , FALSE) * 2),
IFERROR(SEARCH("Blue, Red, Red",W37),0) &gt; 0 , VLOOKUP("Blue", Variables!A:C , 3 , FALSE) + VLOOKUP("Red", Variables!A:C , 3 , FALSE) * 2,
IFERROR(SEARCH("Blue, Yellow, Yellow",W37),0) &gt; 0 , VLOOKUP("Blue", Variables!A:C , 3 , FALSE) + (VLOOKUP("Yellow", Variables!A:C , 3 , FALSE) * 2),
IFERROR(SEARCH("Blue, Yellow, Green",W37),0) &gt; 0 , VLOOKUP("Blue", Variables!A:C , 3 , FALSE) + VLOOKUP("Yellow", Variables!A:C , 3 , FALSE) + VLOOKUP("Green", Variables!A:C , 3 , FALSE),
IFERROR(SEARCH("Blue, Red, Green",W37),0) &gt; 0 , VLOOKUP("Blue", Variables!A:C , 3 , FALSE) + VLOOKUP("Red", Variables!A:C , 3 , FALSE) + VLOOKUP("Green", Variables!A:C , 3 , FALSE),
IFERROR(SEARCH("Blue, Red, Yellow",W37),0) &gt; 0 , VLOOKUP("Blue", Variables!A:C , 3 , FALSE) + VLOOKUP("Red", Variables!A:C , 3 , FALSE) + VLOOKUP("Yellow", Variables!A:C , 3 , FALSE),
IFERROR(SEARCH("Blue, Green, Green",W37),0) &gt; 0 , VLOOKUP("Blue", Variables!A:C , 3 , FALSE) + (VLOOKUP("Green", Variables!A:C , 3 , FALSE) * 2),
IFERROR(SEARCH("Blue, Yellow",W37),0) &gt; 0 , VLOOKUP("Blue", Variables!A:C , 3 , FALSE) + VLOOKUP("Yellow", Variables!A:C , 3 , FALSE),
IFERROR(SEARCH("Blue, Red",W37),0) &gt; 0 , VLOOKUP("Blue", Variables!A:C , 3 , FALSE) + VLOOKUP("Red", Variables!A:C , 3 , FALSE),
IFERROR(SEARCH("Blue, Green",W37),0) &gt; 0 , VLOOKUP("Blue", Variables!A:C , 3 , FALSE) + VLOOKUP("Green", Variables!A:C , 3 , FALSE),
IFERROR(SEARCH("Green",W37),0) &gt; 0 , VLOOKUP("Green", Variables!A:C , 3 , FALSE),
IFERROR(SEARCH("Blue",W37),0) &gt; 0 , VLOOKUP("Blue", Variables!A:C , 3 , FALSE),
IFERROR(SEARCH("Yellow",W37),0) &gt; 0 , VLOOKUP("Yellow", Variables!A:C , 3 , FALSE),
IFERROR(SEARCH("Black, Black",W37),0) &gt; 0 , VLOOKUP("Black", Variables!A:C , 3 , FALSE) * 2,
IFERROR(SEARCH("Grey, Grey",W37),0) &gt; 0 , VLOOKUP("Grey", Variables!A:C , 3 , FALSE) * 2,
IFERROR(SEARCH("Grey, Brown",W37),0) &gt; 0 , VLOOKUP("Grey", Variables!A:C , 3 , FALSE)  + VLOOKUP("Brown", Variables!A:C , 3 , FALSE),
IFERROR(SEARCH("Black, Grey",W37),0) &gt; 0 , VLOOKUP("Black", Variables!A:C , 3 , FALSE) + VLOOKUP("Grey", Variables!A:C , 3 , FALSE),
IFERROR(SEARCH("Black, Brown",W37),0) &gt; 0 , VLOOKUP("Black", Variables!A:C , 3 , FALSE) + VLOOKUP("Brown", Variables!A:C , 3 , FALSE),
IFERROR(SEARCH("Black",W37),0) &gt; 0 , VLOOKUP("Black", Variables!A:C , 3 , FALSE),
IFERROR(SEARCH("Grey",W37),0) &gt; 0 , VLOOKUP("Grey", Variables!A:C , 3 , FALSE),
IFERROR(SEARCH("Brown",W37),0) &gt; 0 , VLOOKUP("Brown", Variables!A:C , 3 , FALSE),
0=0,0)
,
)</f>
        <v>2</v>
      </c>
      <c r="AK37" s="343">
        <f t="shared" si="2"/>
        <v>3</v>
      </c>
      <c r="AL37" s="345">
        <f t="shared" si="3"/>
        <v>27.83333333</v>
      </c>
      <c r="AM37" s="383"/>
    </row>
    <row r="38" ht="15.75" customHeight="1">
      <c r="A38" s="509" t="s">
        <v>2729</v>
      </c>
      <c r="B38" s="510">
        <v>1.0</v>
      </c>
      <c r="C38" s="510">
        <v>1.0</v>
      </c>
      <c r="D38" s="511" t="s">
        <v>2661</v>
      </c>
      <c r="E38" s="512" t="s">
        <v>2730</v>
      </c>
      <c r="F38" s="513">
        <v>5.0</v>
      </c>
      <c r="G38" s="514">
        <v>9.0</v>
      </c>
      <c r="H38" s="515" t="s">
        <v>1663</v>
      </c>
      <c r="I38" s="489">
        <f>IFERROR(__xludf.DUMMYFUNCTION("SUM(F38 * 0.33, G38
*
SWITCH(
LEN(H38) - LEN(SUBSTITUTE(H38,"","","""")),
0 , VLOOKUP(H38, Variables!$A:$B, 2, FALSE),
1 , VLOOKUP(index(split(H38 ,"", "", FALSE),1,1), Variables!$A:$B , 2, FALSE) + VLOOKUP(index(split(H38 ,"", "", FALSE),1,2), Variables!"&amp;"$A:$B , 2, FALSE),
2 , VLOOKUP(index(split(H38 ,"", "", FALSE),1,1), Variables!$A:$B , 2, FALSE) + VLOOKUP(index(split(H38 ,"", "", FALSE),1,2), Variables!$A:$B , 2, FALSE) + VLOOKUP(index(split(H38 ,"", "", FALSE),1,3), Variables!$A:$B , 2, FALSE)
)
)"),13.65)</f>
        <v>13.65</v>
      </c>
      <c r="J38" s="513">
        <v>5.0</v>
      </c>
      <c r="K38" s="514">
        <v>12.0</v>
      </c>
      <c r="L38" s="515" t="s">
        <v>1663</v>
      </c>
      <c r="M38" s="312">
        <f>IFERROR(__xludf.DUMMYFUNCTION("SUM(J38 * 0.33, K38
*
SWITCH(
LEN(L38) - LEN(SUBSTITUTE(L38,"","","""")),
0 , VLOOKUP(L38, Variables!$A:$B, 2, FALSE),
1 , VLOOKUP(index(split(L38 ,"", "", FALSE),1,1), Variables!$A:$B , 2, FALSE) + VLOOKUP(index(split(L38 ,"", "", FALSE),1,2), Variables!"&amp;"$A:$B , 2, FALSE),
2 , VLOOKUP(index(split(L38 ,"", "", FALSE),1,1), Variables!$A:$B , 2, FALSE) + VLOOKUP(index(split(L38 ,"", "", FALSE),1,2), Variables!$A:$B , 2, FALSE) + VLOOKUP(index(split(L38 ,"", "", FALSE),1,3), Variables!$A:$B , 2, FALSE)
)
)"),17.65)</f>
        <v>17.65</v>
      </c>
      <c r="N38" s="514">
        <v>5.0</v>
      </c>
      <c r="O38" s="514">
        <v>15.0</v>
      </c>
      <c r="P38" s="340" t="s">
        <v>1671</v>
      </c>
      <c r="Q38" s="312">
        <f>IFERROR(__xludf.DUMMYFUNCTION("SUM(N38 * 0.33, O38
*
SWITCH(
LEN(P38) - LEN(SUBSTITUTE(P38,"","","""")),
0 , VLOOKUP(P38, Variables!$A:$B, 2, FALSE),
1 , VLOOKUP(index(split(P38 ,"", "", FALSE),1,1), Variables!$A:$B , 2, FALSE) + VLOOKUP(index(split(P38 ,"", "", FALSE),1,2), Variables!"&amp;"$A:$B , 2, FALSE),
2 , VLOOKUP(index(split(P38 ,"", "", FALSE),1,1), Variables!$A:$B , 2, FALSE) + VLOOKUP(index(split(P38 ,"", "", FALSE),1,2), Variables!$A:$B , 2, FALSE) + VLOOKUP(index(split(P38 ,"", "", FALSE),1,3), Variables!$A:$B , 2, FALSE)
)
)"),34.15)</f>
        <v>34.15</v>
      </c>
      <c r="R38" s="513">
        <v>2.0</v>
      </c>
      <c r="S38" s="514">
        <v>4.0</v>
      </c>
      <c r="T38" s="514">
        <v>3.0</v>
      </c>
      <c r="U38" s="516">
        <v>3.0</v>
      </c>
      <c r="V38" s="343" t="s">
        <v>1567</v>
      </c>
      <c r="W38" s="343" t="s">
        <v>1525</v>
      </c>
      <c r="X38" s="312">
        <f>IFERROR(__xludf.DUMMYFUNCTION("SWITCH(
LEN(W38) - LEN(SUBSTITUTE(W38,"","","""")),
0 , VLOOKUP(W38, Variables!$A:$B, 2, FALSE),
1 , VLOOKUP(index(split(W38 ,"", "", FALSE),1,1), Variables!$A:$B , 2, FALSE) + VLOOKUP(index(split(W38 ,"", "", FALSE),1,2), Variables!$A:$B , 2, FALSE),
2 ,"&amp;" VLOOKUP(index(split(W38 ,"", "", FALSE),1,1), Variables!$A:$B , 2, FALSE) + VLOOKUP(index(split(W38 ,"", "", FALSE),1,2), Variables!$A:$B , 2, FALSE) + VLOOKUP(index(split(W38 ,"", "", FALSE),1,3), Variables!$A:$B , 2, FALSE),
3 , VLOOKUP(index(split(W38"&amp;" ,"", "", FALSE),1,1), Variables!$A:$B , 2, FALSE) + VLOOKUP(index(split(W38 ,"", "", FALSE),1,2), Variables!$A:$B , 2, FALSE) + VLOOKUP(index(split(W38 ,"", "", FALSE),1,3), Variables!$A:$B , 2, FALSE) + VLOOKUP(index(split(W38 ,"", "", FALSE),1,4), Vari"&amp;"ables!$A:$B , 2, FALSE)
)"),3.333333333333333)</f>
        <v>3.333333333</v>
      </c>
      <c r="Y38" s="343" t="s">
        <v>2731</v>
      </c>
      <c r="Z38" s="342">
        <f>IFERROR(__xludf.DUMMYFUNCTION("IF(ISBLANK(Y38), , 
SWITCH(
LEN(Y38)- LEN(SUBSTITUTE(Y38,"","","""")), 
0 , VLOOKUP(Y38, vote4TRAITS!A:C , 3, FALSE),
1 , VLOOKUP(index(split(Y38 ,"", "", FALSE),1,1), vote4TRAITS!A:C , 3, FALSE) + VLOOKUP(index(split(Y38 ,"", "", FALSE),1,2), vote4TRAITS"&amp;"!A:C , 3, FALSE),
2 , VLOOKUP(index(split(Y38 ,"", "", FALSE),1,1), vote4TRAITS!A:C , 3, FALSE) + VLOOKUP(index(split(Y38 ,"", "", FALSE),1,2), vote4TRAITS!A:C , 3, FALSE) + VLOOKUP(index(split(Y38 ,"", "", FALSE),1,3), vote4TRAITS!A:C , 3, FALSE)
)
)"),10.5)</f>
        <v>10.5</v>
      </c>
      <c r="AA38" s="343"/>
      <c r="AB38" s="343" t="str">
        <f>IFERROR(__xludf.DUMMYFUNCTION("IF(ISBLANK(AA38), , 
SWITCH(
LEN(AA38)- LEN(SUBSTITUTE(AA38,"","","""")), 
0 , VLOOKUP(AA38, vote4ACTIONS!A:C , 3, FALSE),
1 , VLOOKUP(index(split(AA38 ,"", "", FALSE),1,1), vote4ACTIONS!A:C , 3, FALSE) + VLOOKUP(index(split(AA38 ,"", "", FALSE),1,2), vot"&amp;"e4ACTIONS!A:C , 3, FALSE),
2 , VLOOKUP(index(split(AA38 ,"", "", FALSE),1,1), vote4ACTIONS!A:C , 3, FALSE) + VLOOKUP(index(split(AA38 ,"", "", FALSE),1,2), vote4ACTIONS!A:C , 3, FALSE) + VLOOKUP(index(split(AA38 ,"", "", FALSE),1,3), vote4ACTIONS!A:C , 3,"&amp;" FALSE)
)
)"),"")</f>
        <v/>
      </c>
      <c r="AC38" s="343" t="s">
        <v>1534</v>
      </c>
      <c r="AD38" s="517">
        <f>IF(ISBLANK(AC38),,IF(IFERROR(SEARCH("SS:",AC38),0) &gt; 0, 
VLOOKUP(SUBSTITUTE(AC38,"SS: ",""),vote4SURGE!$A:$C , 3, FALSE) - 2,
VLOOKUP(SUBSTITUTE(AC38,"S: ",""),vote4SURGE!$A:$C , 3, FALSE)
)
)</f>
        <v>4.25</v>
      </c>
      <c r="AE38" s="343"/>
      <c r="AF38" s="343" t="str">
        <f>IF(ISBLANK(AE38),,IF(IFERROR(SEARCH("SS:",AE38),0) &gt; 0, 
VLOOKUP(SUBSTITUTE(AE38,"SS: ",""),vote4SURGE!$A:$C , 3, FALSE) - 2,
VLOOKUP(SUBSTITUTE(AE38,"S: ",""),vote4SURGE!$A:$C , 3, FALSE)
)
)</f>
        <v/>
      </c>
      <c r="AG38" s="343"/>
      <c r="AH38" s="343" t="str">
        <f>IF(ISBLANK(AG38),,IF(IFERROR(SEARCH("SS:",AG38),0) &gt; 0, 
VLOOKUP(SUBSTITUTE(AG38,"SS: ",""),vote4SURGE!$A:$C , 3, FALSE) - 2,
VLOOKUP(SUBSTITUTE(AG38,"S: ",""),vote4SURGE!$A:$C , 3, FALSE)
)
)</f>
        <v/>
      </c>
      <c r="AI38" s="343">
        <f t="shared" si="1"/>
        <v>4.25</v>
      </c>
      <c r="AJ38" s="343">
        <f>ROUND(IFS(
IFERROR(SEARCH("Blue, Yellow, Yellow, Green",W38),0) &gt; 0 , VLOOKUP("Blue", Variables!A:C , 3 , FALSE) + (VLOOKUP("Yellow", Variables!A:C , 3 , FALSE) * 2) + VLOOKUP("Green", Variables!A:C , 3 , FALSE),
IFERROR(SEARCH("Blue, Yellow, Green, Green",W38),0) &gt; 0 , VLOOKUP("Blue", Variables!A:C , 3 , FALSE) + VLOOKUP("Yellow", Variables!A:C , 3 , FALSE)  + (VLOOKUP("Green", Variables!A:C , 3 , FALSE) * 2),
IFERROR(SEARCH("Blue, Red, Red",W38),0) &gt; 0 , VLOOKUP("Blue", Variables!A:C , 3 , FALSE) + VLOOKUP("Red", Variables!A:C , 3 , FALSE) * 2,
IFERROR(SEARCH("Blue, Yellow, Yellow",W38),0) &gt; 0 , VLOOKUP("Blue", Variables!A:C , 3 , FALSE) + (VLOOKUP("Yellow", Variables!A:C , 3 , FALSE) * 2),
IFERROR(SEARCH("Blue, Yellow, Green",W38),0) &gt; 0 , VLOOKUP("Blue", Variables!A:C , 3 , FALSE) + VLOOKUP("Yellow", Variables!A:C , 3 , FALSE) + VLOOKUP("Green", Variables!A:C , 3 , FALSE),
IFERROR(SEARCH("Blue, Red, Green",W38),0) &gt; 0 , VLOOKUP("Blue", Variables!A:C , 3 , FALSE) + VLOOKUP("Red", Variables!A:C , 3 , FALSE) + VLOOKUP("Green", Variables!A:C , 3 , FALSE),
IFERROR(SEARCH("Blue, Red, Yellow",W38),0) &gt; 0 , VLOOKUP("Blue", Variables!A:C , 3 , FALSE) + VLOOKUP("Red", Variables!A:C , 3 , FALSE) + VLOOKUP("Yellow", Variables!A:C , 3 , FALSE),
IFERROR(SEARCH("Blue, Green, Green",W38),0) &gt; 0 , VLOOKUP("Blue", Variables!A:C , 3 , FALSE) + (VLOOKUP("Green", Variables!A:C , 3 , FALSE) * 2),
IFERROR(SEARCH("Blue, Yellow",W38),0) &gt; 0 , VLOOKUP("Blue", Variables!A:C , 3 , FALSE) + VLOOKUP("Yellow", Variables!A:C , 3 , FALSE),
IFERROR(SEARCH("Blue, Red",W38),0) &gt; 0 , VLOOKUP("Blue", Variables!A:C , 3 , FALSE) + VLOOKUP("Red", Variables!A:C , 3 , FALSE),
IFERROR(SEARCH("Blue, Green",W38),0) &gt; 0 , VLOOKUP("Blue", Variables!A:C , 3 , FALSE) + VLOOKUP("Green", Variables!A:C , 3 , FALSE),
IFERROR(SEARCH("Green",W38),0) &gt; 0 , VLOOKUP("Green", Variables!A:C , 3 , FALSE),
IFERROR(SEARCH("Blue",W38),0) &gt; 0 , VLOOKUP("Blue", Variables!A:C , 3 , FALSE),
IFERROR(SEARCH("Yellow",W38),0) &gt; 0 , VLOOKUP("Yellow", Variables!A:C , 3 , FALSE),
IFERROR(SEARCH("Black, Black",W38),0) &gt; 0 , VLOOKUP("Black", Variables!A:C , 3 , FALSE) * 2,
IFERROR(SEARCH("Grey, Grey",W38),0) &gt; 0 , VLOOKUP("Grey", Variables!A:C , 3 , FALSE) * 2,
IFERROR(SEARCH("Grey, Brown",W38),0) &gt; 0 , VLOOKUP("Grey", Variables!A:C , 3 , FALSE)  + VLOOKUP("Brown", Variables!A:C , 3 , FALSE),
IFERROR(SEARCH("Black, Grey",W38),0) &gt; 0 , VLOOKUP("Black", Variables!A:C , 3 , FALSE) + VLOOKUP("Grey", Variables!A:C , 3 , FALSE),
IFERROR(SEARCH("Black, Brown",W38),0) &gt; 0 , VLOOKUP("Black", Variables!A:C , 3 , FALSE) + VLOOKUP("Brown", Variables!A:C , 3 , FALSE),
IFERROR(SEARCH("Black",W38),0) &gt; 0 , VLOOKUP("Black", Variables!A:C , 3 , FALSE),
IFERROR(SEARCH("Grey",W38),0) &gt; 0 , VLOOKUP("Grey", Variables!A:C , 3 , FALSE),
IFERROR(SEARCH("Brown",W38),0) &gt; 0 , VLOOKUP("Brown", Variables!A:C , 3 , FALSE),
0=0,0)
,
)</f>
        <v>1</v>
      </c>
      <c r="AK38" s="343">
        <f t="shared" si="2"/>
        <v>1</v>
      </c>
      <c r="AL38" s="345">
        <f t="shared" si="3"/>
        <v>30.08333333</v>
      </c>
      <c r="AM38" s="383"/>
    </row>
    <row r="39" ht="15.75" customHeight="1">
      <c r="A39" s="509" t="s">
        <v>2729</v>
      </c>
      <c r="B39" s="380">
        <v>2.0</v>
      </c>
      <c r="C39" s="380">
        <v>1.0</v>
      </c>
      <c r="D39" s="511" t="s">
        <v>2661</v>
      </c>
      <c r="E39" s="512" t="s">
        <v>2730</v>
      </c>
      <c r="F39" s="520">
        <v>5.0</v>
      </c>
      <c r="G39" s="521">
        <v>11.0</v>
      </c>
      <c r="H39" s="522" t="s">
        <v>1671</v>
      </c>
      <c r="I39" s="489">
        <f>IFERROR(__xludf.DUMMYFUNCTION("SUM(F39 * 0.33, G39
*
SWITCH(
LEN(H39) - LEN(SUBSTITUTE(H39,"","","""")),
0 , VLOOKUP(H39, Variables!$A:$B, 2, FALSE),
1 , VLOOKUP(index(split(H39 ,"", "", FALSE),1,1), Variables!$A:$B , 2, FALSE) + VLOOKUP(index(split(H39 ,"", "", FALSE),1,2), Variables!"&amp;"$A:$B , 2, FALSE),
2 , VLOOKUP(index(split(H39 ,"", "", FALSE),1,1), Variables!$A:$B , 2, FALSE) + VLOOKUP(index(split(H39 ,"", "", FALSE),1,2), Variables!$A:$B , 2, FALSE) + VLOOKUP(index(split(H39 ,"", "", FALSE),1,3), Variables!$A:$B , 2, FALSE)
)
)"),25.48333333333333)</f>
        <v>25.48333333</v>
      </c>
      <c r="J39" s="520">
        <v>5.0</v>
      </c>
      <c r="K39" s="521">
        <v>14.0</v>
      </c>
      <c r="L39" s="522" t="s">
        <v>2590</v>
      </c>
      <c r="M39" s="312">
        <f>IFERROR(__xludf.DUMMYFUNCTION("SUM(J39 * 0.33, K39
*
SWITCH(
LEN(L39) - LEN(SUBSTITUTE(L39,"","","""")),
0 , VLOOKUP(L39, Variables!$A:$B, 2, FALSE),
1 , VLOOKUP(index(split(L39 ,"", "", FALSE),1,1), Variables!$A:$B , 2, FALSE) + VLOOKUP(index(split(L39 ,"", "", FALSE),1,2), Variables!"&amp;"$A:$B , 2, FALSE),
2 , VLOOKUP(index(split(L39 ,"", "", FALSE),1,1), Variables!$A:$B , 2, FALSE) + VLOOKUP(index(split(L39 ,"", "", FALSE),1,2), Variables!$A:$B , 2, FALSE) + VLOOKUP(index(split(L39 ,"", "", FALSE),1,3), Variables!$A:$B , 2, FALSE)
)
)"),38.98333333333333)</f>
        <v>38.98333333</v>
      </c>
      <c r="N39" s="521">
        <v>5.0</v>
      </c>
      <c r="O39" s="521">
        <v>17.0</v>
      </c>
      <c r="P39" s="522" t="s">
        <v>2590</v>
      </c>
      <c r="Q39" s="312">
        <f>IFERROR(__xludf.DUMMYFUNCTION("SUM(N39 * 0.33, O39
*
SWITCH(
LEN(P39) - LEN(SUBSTITUTE(P39,"","","""")),
0 , VLOOKUP(P39, Variables!$A:$B, 2, FALSE),
1 , VLOOKUP(index(split(P39 ,"", "", FALSE),1,1), Variables!$A:$B , 2, FALSE) + VLOOKUP(index(split(P39 ,"", "", FALSE),1,2), Variables!"&amp;"$A:$B , 2, FALSE),
2 , VLOOKUP(index(split(P39 ,"", "", FALSE),1,1), Variables!$A:$B , 2, FALSE) + VLOOKUP(index(split(P39 ,"", "", FALSE),1,2), Variables!$A:$B , 2, FALSE) + VLOOKUP(index(split(P39 ,"", "", FALSE),1,3), Variables!$A:$B , 2, FALSE)
)
)"),46.98333333333333)</f>
        <v>46.98333333</v>
      </c>
      <c r="R39" s="520">
        <v>2.0</v>
      </c>
      <c r="S39" s="521">
        <v>4.0</v>
      </c>
      <c r="T39" s="521">
        <v>3.0</v>
      </c>
      <c r="U39" s="523">
        <v>3.0</v>
      </c>
      <c r="V39" s="343" t="s">
        <v>1567</v>
      </c>
      <c r="W39" s="343" t="s">
        <v>1537</v>
      </c>
      <c r="X39" s="312">
        <f>IFERROR(__xludf.DUMMYFUNCTION("SWITCH(
LEN(W39) - LEN(SUBSTITUTE(W39,"","","""")),
0 , VLOOKUP(W39, Variables!$A:$B, 2, FALSE),
1 , VLOOKUP(index(split(W39 ,"", "", FALSE),1,1), Variables!$A:$B , 2, FALSE) + VLOOKUP(index(split(W39 ,"", "", FALSE),1,2), Variables!$A:$B , 2, FALSE),
2 ,"&amp;" VLOOKUP(index(split(W39 ,"", "", FALSE),1,1), Variables!$A:$B , 2, FALSE) + VLOOKUP(index(split(W39 ,"", "", FALSE),1,2), Variables!$A:$B , 2, FALSE) + VLOOKUP(index(split(W39 ,"", "", FALSE),1,3), Variables!$A:$B , 2, FALSE),
3 , VLOOKUP(index(split(W39"&amp;" ,"", "", FALSE),1,1), Variables!$A:$B , 2, FALSE) + VLOOKUP(index(split(W39 ,"", "", FALSE),1,2), Variables!$A:$B , 2, FALSE) + VLOOKUP(index(split(W39 ,"", "", FALSE),1,3), Variables!$A:$B , 2, FALSE) + VLOOKUP(index(split(W39 ,"", "", FALSE),1,4), Vari"&amp;"ables!$A:$B , 2, FALSE)
)"),4.5)</f>
        <v>4.5</v>
      </c>
      <c r="Y39" s="343" t="s">
        <v>2731</v>
      </c>
      <c r="Z39" s="342">
        <f>IFERROR(__xludf.DUMMYFUNCTION("IF(ISBLANK(Y39), , 
SWITCH(
LEN(Y39)- LEN(SUBSTITUTE(Y39,"","","""")), 
0 , VLOOKUP(Y39, vote4TRAITS!A:C , 3, FALSE),
1 , VLOOKUP(index(split(Y39 ,"", "", FALSE),1,1), vote4TRAITS!A:C , 3, FALSE) + VLOOKUP(index(split(Y39 ,"", "", FALSE),1,2), vote4TRAITS"&amp;"!A:C , 3, FALSE),
2 , VLOOKUP(index(split(Y39 ,"", "", FALSE),1,1), vote4TRAITS!A:C , 3, FALSE) + VLOOKUP(index(split(Y39 ,"", "", FALSE),1,2), vote4TRAITS!A:C , 3, FALSE) + VLOOKUP(index(split(Y39 ,"", "", FALSE),1,3), vote4TRAITS!A:C , 3, FALSE)
)
)"),10.5)</f>
        <v>10.5</v>
      </c>
      <c r="AA39" s="343" t="s">
        <v>1325</v>
      </c>
      <c r="AB39" s="343">
        <f>IFERROR(__xludf.DUMMYFUNCTION("IF(ISBLANK(AA39), , 
SWITCH(
LEN(AA39)- LEN(SUBSTITUTE(AA39,"","","""")), 
0 , VLOOKUP(AA39, vote4ACTIONS!A:C , 3, FALSE),
1 , VLOOKUP(index(split(AA39 ,"", "", FALSE),1,1), vote4ACTIONS!A:C , 3, FALSE) + VLOOKUP(index(split(AA39 ,"", "", FALSE),1,2), vot"&amp;"e4ACTIONS!A:C , 3, FALSE),
2 , VLOOKUP(index(split(AA39 ,"", "", FALSE),1,1), vote4ACTIONS!A:C , 3, FALSE) + VLOOKUP(index(split(AA39 ,"", "", FALSE),1,2), vote4ACTIONS!A:C , 3, FALSE) + VLOOKUP(index(split(AA39 ,"", "", FALSE),1,3), vote4ACTIONS!A:C , 3,"&amp;" FALSE)
)
)"),0.5)</f>
        <v>0.5</v>
      </c>
      <c r="AC39" s="343" t="s">
        <v>1534</v>
      </c>
      <c r="AD39" s="517">
        <f>IF(ISBLANK(AC39),,IF(IFERROR(SEARCH("SS:",AC39),0) &gt; 0, 
VLOOKUP(SUBSTITUTE(AC39,"SS: ",""),vote4SURGE!$A:$C , 3, FALSE) - 2,
VLOOKUP(SUBSTITUTE(AC39,"S: ",""),vote4SURGE!$A:$C , 3, FALSE)
)
)</f>
        <v>4.25</v>
      </c>
      <c r="AE39" s="343"/>
      <c r="AF39" s="343" t="str">
        <f>IF(ISBLANK(AE39),,IF(IFERROR(SEARCH("SS:",AE39),0) &gt; 0, 
VLOOKUP(SUBSTITUTE(AE39,"SS: ",""),vote4SURGE!$A:$C , 3, FALSE) - 2,
VLOOKUP(SUBSTITUTE(AE39,"S: ",""),vote4SURGE!$A:$C , 3, FALSE)
)
)</f>
        <v/>
      </c>
      <c r="AG39" s="343"/>
      <c r="AH39" s="343" t="str">
        <f>IF(ISBLANK(AG39),,IF(IFERROR(SEARCH("SS:",AG39),0) &gt; 0, 
VLOOKUP(SUBSTITUTE(AG39,"SS: ",""),vote4SURGE!$A:$C , 3, FALSE) - 2,
VLOOKUP(SUBSTITUTE(AG39,"S: ",""),vote4SURGE!$A:$C , 3, FALSE)
)
)</f>
        <v/>
      </c>
      <c r="AI39" s="343">
        <f t="shared" si="1"/>
        <v>4.25</v>
      </c>
      <c r="AJ39" s="343">
        <f>ROUND(IFS(
IFERROR(SEARCH("Blue, Yellow, Yellow, Green",W39),0) &gt; 0 , VLOOKUP("Blue", Variables!A:C , 3 , FALSE) + (VLOOKUP("Yellow", Variables!A:C , 3 , FALSE) * 2) + VLOOKUP("Green", Variables!A:C , 3 , FALSE),
IFERROR(SEARCH("Blue, Yellow, Green, Green",W39),0) &gt; 0 , VLOOKUP("Blue", Variables!A:C , 3 , FALSE) + VLOOKUP("Yellow", Variables!A:C , 3 , FALSE)  + (VLOOKUP("Green", Variables!A:C , 3 , FALSE) * 2),
IFERROR(SEARCH("Blue, Red, Red",W39),0) &gt; 0 , VLOOKUP("Blue", Variables!A:C , 3 , FALSE) + VLOOKUP("Red", Variables!A:C , 3 , FALSE) * 2,
IFERROR(SEARCH("Blue, Yellow, Yellow",W39),0) &gt; 0 , VLOOKUP("Blue", Variables!A:C , 3 , FALSE) + (VLOOKUP("Yellow", Variables!A:C , 3 , FALSE) * 2),
IFERROR(SEARCH("Blue, Yellow, Green",W39),0) &gt; 0 , VLOOKUP("Blue", Variables!A:C , 3 , FALSE) + VLOOKUP("Yellow", Variables!A:C , 3 , FALSE) + VLOOKUP("Green", Variables!A:C , 3 , FALSE),
IFERROR(SEARCH("Blue, Red, Green",W39),0) &gt; 0 , VLOOKUP("Blue", Variables!A:C , 3 , FALSE) + VLOOKUP("Red", Variables!A:C , 3 , FALSE) + VLOOKUP("Green", Variables!A:C , 3 , FALSE),
IFERROR(SEARCH("Blue, Red, Yellow",W39),0) &gt; 0 , VLOOKUP("Blue", Variables!A:C , 3 , FALSE) + VLOOKUP("Red", Variables!A:C , 3 , FALSE) + VLOOKUP("Yellow", Variables!A:C , 3 , FALSE),
IFERROR(SEARCH("Blue, Green, Green",W39),0) &gt; 0 , VLOOKUP("Blue", Variables!A:C , 3 , FALSE) + (VLOOKUP("Green", Variables!A:C , 3 , FALSE) * 2),
IFERROR(SEARCH("Blue, Yellow",W39),0) &gt; 0 , VLOOKUP("Blue", Variables!A:C , 3 , FALSE) + VLOOKUP("Yellow", Variables!A:C , 3 , FALSE),
IFERROR(SEARCH("Blue, Red",W39),0) &gt; 0 , VLOOKUP("Blue", Variables!A:C , 3 , FALSE) + VLOOKUP("Red", Variables!A:C , 3 , FALSE),
IFERROR(SEARCH("Blue, Green",W39),0) &gt; 0 , VLOOKUP("Blue", Variables!A:C , 3 , FALSE) + VLOOKUP("Green", Variables!A:C , 3 , FALSE),
IFERROR(SEARCH("Green",W39),0) &gt; 0 , VLOOKUP("Green", Variables!A:C , 3 , FALSE),
IFERROR(SEARCH("Blue",W39),0) &gt; 0 , VLOOKUP("Blue", Variables!A:C , 3 , FALSE),
IFERROR(SEARCH("Yellow",W39),0) &gt; 0 , VLOOKUP("Yellow", Variables!A:C , 3 , FALSE),
IFERROR(SEARCH("Black, Black",W39),0) &gt; 0 , VLOOKUP("Black", Variables!A:C , 3 , FALSE) * 2,
IFERROR(SEARCH("Grey, Grey",W39),0) &gt; 0 , VLOOKUP("Grey", Variables!A:C , 3 , FALSE) * 2,
IFERROR(SEARCH("Grey, Brown",W39),0) &gt; 0 , VLOOKUP("Grey", Variables!A:C , 3 , FALSE)  + VLOOKUP("Brown", Variables!A:C , 3 , FALSE),
IFERROR(SEARCH("Black, Grey",W39),0) &gt; 0 , VLOOKUP("Black", Variables!A:C , 3 , FALSE) + VLOOKUP("Grey", Variables!A:C , 3 , FALSE),
IFERROR(SEARCH("Black, Brown",W39),0) &gt; 0 , VLOOKUP("Black", Variables!A:C , 3 , FALSE) + VLOOKUP("Brown", Variables!A:C , 3 , FALSE),
IFERROR(SEARCH("Black",W39),0) &gt; 0 , VLOOKUP("Black", Variables!A:C , 3 , FALSE),
IFERROR(SEARCH("Grey",W39),0) &gt; 0 , VLOOKUP("Grey", Variables!A:C , 3 , FALSE),
IFERROR(SEARCH("Brown",W39),0) &gt; 0 , VLOOKUP("Brown", Variables!A:C , 3 , FALSE),
0=0,0)
,
)</f>
        <v>1</v>
      </c>
      <c r="AK39" s="343">
        <f t="shared" si="2"/>
        <v>1</v>
      </c>
      <c r="AL39" s="345">
        <f t="shared" si="3"/>
        <v>31.75</v>
      </c>
      <c r="AM39" s="383"/>
    </row>
    <row r="40" ht="15.75" customHeight="1">
      <c r="A40" s="391"/>
      <c r="B40" s="376"/>
      <c r="C40" s="376"/>
      <c r="D40" s="524"/>
      <c r="E40" s="524"/>
      <c r="F40" s="525"/>
      <c r="G40" s="525"/>
      <c r="H40" s="322"/>
      <c r="I40" s="322"/>
      <c r="J40" s="525"/>
      <c r="K40" s="525"/>
      <c r="L40" s="376"/>
      <c r="M40" s="376"/>
      <c r="N40" s="525"/>
      <c r="O40" s="525"/>
      <c r="P40" s="322"/>
      <c r="Q40" s="322"/>
      <c r="R40" s="525"/>
      <c r="S40" s="525"/>
      <c r="T40" s="525"/>
      <c r="U40" s="525"/>
      <c r="V40" s="383"/>
      <c r="W40" s="383"/>
      <c r="X40" s="526"/>
      <c r="Y40" s="383"/>
      <c r="Z40" s="526"/>
      <c r="AA40" s="383"/>
      <c r="AB40" s="383"/>
      <c r="AC40" s="383"/>
      <c r="AD40" s="343"/>
      <c r="AE40" s="343"/>
      <c r="AF40" s="343"/>
      <c r="AG40" s="343"/>
      <c r="AH40" s="343"/>
      <c r="AI40" s="345"/>
      <c r="AJ40" s="345"/>
      <c r="AK40" s="345"/>
      <c r="AL40" s="345"/>
      <c r="AM40" s="383"/>
    </row>
    <row r="41" ht="15.75" customHeight="1">
      <c r="A41" s="391"/>
      <c r="B41" s="376"/>
      <c r="C41" s="376"/>
      <c r="D41" s="524"/>
      <c r="E41" s="524"/>
      <c r="F41" s="525"/>
      <c r="G41" s="525"/>
      <c r="H41" s="322"/>
      <c r="I41" s="322"/>
      <c r="J41" s="525"/>
      <c r="K41" s="525"/>
      <c r="L41" s="376"/>
      <c r="M41" s="376"/>
      <c r="N41" s="525"/>
      <c r="O41" s="525"/>
      <c r="P41" s="322"/>
      <c r="Q41" s="322"/>
      <c r="R41" s="525"/>
      <c r="S41" s="525"/>
      <c r="T41" s="525"/>
      <c r="U41" s="525"/>
      <c r="V41" s="383"/>
      <c r="W41" s="383"/>
      <c r="X41" s="526"/>
      <c r="Y41" s="383"/>
      <c r="Z41" s="526"/>
      <c r="AA41" s="383"/>
      <c r="AB41" s="383"/>
      <c r="AC41" s="383"/>
      <c r="AD41" s="343"/>
      <c r="AE41" s="343"/>
      <c r="AF41" s="343"/>
      <c r="AG41" s="343"/>
      <c r="AH41" s="343"/>
      <c r="AI41" s="345"/>
      <c r="AJ41" s="345"/>
      <c r="AK41" s="345"/>
      <c r="AL41" s="345"/>
      <c r="AM41" s="383"/>
    </row>
    <row r="42" ht="15.75" customHeight="1">
      <c r="A42" s="391"/>
      <c r="B42" s="376"/>
      <c r="C42" s="376"/>
      <c r="D42" s="524"/>
      <c r="E42" s="524"/>
      <c r="F42" s="525"/>
      <c r="G42" s="525"/>
      <c r="H42" s="322"/>
      <c r="I42" s="322"/>
      <c r="J42" s="525"/>
      <c r="K42" s="525"/>
      <c r="L42" s="376"/>
      <c r="M42" s="376"/>
      <c r="N42" s="525"/>
      <c r="O42" s="525"/>
      <c r="P42" s="322"/>
      <c r="Q42" s="322"/>
      <c r="R42" s="525"/>
      <c r="S42" s="525"/>
      <c r="T42" s="525"/>
      <c r="U42" s="525"/>
      <c r="V42" s="383"/>
      <c r="W42" s="383"/>
      <c r="X42" s="526"/>
      <c r="Y42" s="383"/>
      <c r="Z42" s="526"/>
      <c r="AA42" s="383"/>
      <c r="AB42" s="383"/>
      <c r="AC42" s="383"/>
      <c r="AD42" s="343"/>
      <c r="AE42" s="343"/>
      <c r="AF42" s="343"/>
      <c r="AG42" s="343"/>
      <c r="AH42" s="343"/>
      <c r="AI42" s="345"/>
      <c r="AJ42" s="345"/>
      <c r="AK42" s="345"/>
      <c r="AL42" s="345"/>
      <c r="AM42" s="383"/>
    </row>
    <row r="43" ht="15.75" customHeight="1">
      <c r="A43" s="391"/>
      <c r="B43" s="376"/>
      <c r="C43" s="376"/>
      <c r="D43" s="524"/>
      <c r="E43" s="524"/>
      <c r="F43" s="525"/>
      <c r="G43" s="525"/>
      <c r="H43" s="322"/>
      <c r="I43" s="322"/>
      <c r="J43" s="525"/>
      <c r="K43" s="525"/>
      <c r="L43" s="376"/>
      <c r="M43" s="376"/>
      <c r="N43" s="525"/>
      <c r="O43" s="525"/>
      <c r="P43" s="322"/>
      <c r="Q43" s="322"/>
      <c r="R43" s="525"/>
      <c r="S43" s="525"/>
      <c r="T43" s="525"/>
      <c r="U43" s="525"/>
      <c r="V43" s="383"/>
      <c r="W43" s="383"/>
      <c r="X43" s="526"/>
      <c r="Y43" s="383"/>
      <c r="Z43" s="526"/>
      <c r="AA43" s="383"/>
      <c r="AB43" s="383"/>
      <c r="AC43" s="383"/>
      <c r="AD43" s="343"/>
      <c r="AE43" s="343"/>
      <c r="AF43" s="343"/>
      <c r="AG43" s="343"/>
      <c r="AH43" s="343"/>
      <c r="AI43" s="345"/>
      <c r="AJ43" s="345"/>
      <c r="AK43" s="345"/>
      <c r="AL43" s="345"/>
      <c r="AM43" s="383"/>
    </row>
    <row r="44" ht="15.75" customHeight="1">
      <c r="A44" s="391"/>
      <c r="B44" s="376"/>
      <c r="C44" s="376"/>
      <c r="D44" s="524"/>
      <c r="E44" s="524"/>
      <c r="F44" s="525"/>
      <c r="G44" s="525"/>
      <c r="H44" s="322"/>
      <c r="I44" s="322"/>
      <c r="J44" s="525"/>
      <c r="K44" s="525"/>
      <c r="L44" s="376"/>
      <c r="M44" s="376"/>
      <c r="N44" s="525"/>
      <c r="O44" s="525"/>
      <c r="P44" s="322"/>
      <c r="Q44" s="322"/>
      <c r="R44" s="525"/>
      <c r="S44" s="525"/>
      <c r="T44" s="525"/>
      <c r="U44" s="525"/>
      <c r="V44" s="383"/>
      <c r="W44" s="383"/>
      <c r="X44" s="526"/>
      <c r="Y44" s="383"/>
      <c r="Z44" s="526"/>
      <c r="AA44" s="383"/>
      <c r="AB44" s="383"/>
      <c r="AC44" s="383"/>
      <c r="AD44" s="343"/>
      <c r="AE44" s="343"/>
      <c r="AF44" s="343"/>
      <c r="AG44" s="343"/>
      <c r="AH44" s="343"/>
      <c r="AI44" s="345"/>
      <c r="AJ44" s="345"/>
      <c r="AK44" s="345"/>
      <c r="AL44" s="345"/>
      <c r="AM44" s="383"/>
    </row>
    <row r="45" ht="15.75" customHeight="1">
      <c r="A45" s="391"/>
      <c r="B45" s="376"/>
      <c r="C45" s="376"/>
      <c r="D45" s="524"/>
      <c r="E45" s="524"/>
      <c r="F45" s="525"/>
      <c r="G45" s="525"/>
      <c r="H45" s="322"/>
      <c r="I45" s="322"/>
      <c r="J45" s="525"/>
      <c r="K45" s="525"/>
      <c r="L45" s="376"/>
      <c r="M45" s="376"/>
      <c r="N45" s="525"/>
      <c r="O45" s="525"/>
      <c r="P45" s="322"/>
      <c r="Q45" s="322"/>
      <c r="R45" s="525"/>
      <c r="S45" s="525"/>
      <c r="T45" s="525"/>
      <c r="U45" s="525"/>
      <c r="V45" s="383"/>
      <c r="W45" s="383"/>
      <c r="X45" s="526"/>
      <c r="Y45" s="383"/>
      <c r="Z45" s="526"/>
      <c r="AA45" s="383"/>
      <c r="AB45" s="383"/>
      <c r="AC45" s="383"/>
      <c r="AD45" s="343"/>
      <c r="AE45" s="343"/>
      <c r="AF45" s="343"/>
      <c r="AG45" s="343"/>
      <c r="AH45" s="343"/>
      <c r="AI45" s="345"/>
      <c r="AJ45" s="345"/>
      <c r="AK45" s="345"/>
      <c r="AL45" s="345"/>
      <c r="AM45" s="383"/>
    </row>
    <row r="46" ht="15.75" customHeight="1">
      <c r="A46" s="376"/>
      <c r="B46" s="376"/>
      <c r="C46" s="376"/>
      <c r="D46" s="524"/>
      <c r="E46" s="524"/>
      <c r="F46" s="525"/>
      <c r="G46" s="525"/>
      <c r="H46" s="322"/>
      <c r="I46" s="322"/>
      <c r="J46" s="525"/>
      <c r="K46" s="525"/>
      <c r="L46" s="376"/>
      <c r="M46" s="376"/>
      <c r="N46" s="525"/>
      <c r="O46" s="525"/>
      <c r="P46" s="322"/>
      <c r="Q46" s="322"/>
      <c r="R46" s="525"/>
      <c r="S46" s="525"/>
      <c r="T46" s="525"/>
      <c r="U46" s="525"/>
      <c r="V46" s="383"/>
      <c r="W46" s="383"/>
      <c r="X46" s="526"/>
      <c r="Y46" s="383"/>
      <c r="Z46" s="526"/>
      <c r="AA46" s="383"/>
      <c r="AB46" s="383"/>
      <c r="AC46" s="383"/>
      <c r="AD46" s="343"/>
      <c r="AE46" s="343"/>
      <c r="AF46" s="343"/>
      <c r="AG46" s="343"/>
      <c r="AH46" s="343"/>
      <c r="AI46" s="345"/>
      <c r="AJ46" s="345"/>
      <c r="AK46" s="345"/>
      <c r="AL46" s="345"/>
      <c r="AM46" s="383"/>
    </row>
    <row r="47" ht="15.75" customHeight="1">
      <c r="A47" s="391"/>
      <c r="B47" s="376"/>
      <c r="C47" s="376"/>
      <c r="D47" s="524"/>
      <c r="E47" s="524"/>
      <c r="F47" s="525"/>
      <c r="G47" s="525"/>
      <c r="H47" s="322"/>
      <c r="I47" s="322"/>
      <c r="J47" s="525"/>
      <c r="K47" s="525"/>
      <c r="L47" s="376"/>
      <c r="M47" s="376"/>
      <c r="N47" s="525"/>
      <c r="O47" s="525"/>
      <c r="P47" s="322"/>
      <c r="Q47" s="322"/>
      <c r="R47" s="525"/>
      <c r="S47" s="525"/>
      <c r="T47" s="525"/>
      <c r="U47" s="525"/>
      <c r="V47" s="383"/>
      <c r="W47" s="383"/>
      <c r="X47" s="526"/>
      <c r="Y47" s="383"/>
      <c r="Z47" s="526"/>
      <c r="AA47" s="383"/>
      <c r="AB47" s="383"/>
      <c r="AC47" s="383"/>
      <c r="AD47" s="343"/>
      <c r="AE47" s="343"/>
      <c r="AF47" s="343"/>
      <c r="AG47" s="343"/>
      <c r="AH47" s="343"/>
      <c r="AI47" s="345"/>
      <c r="AJ47" s="345"/>
      <c r="AK47" s="345"/>
      <c r="AL47" s="345"/>
      <c r="AM47" s="383"/>
    </row>
    <row r="48" ht="15.75" customHeight="1">
      <c r="A48" s="391"/>
      <c r="B48" s="376"/>
      <c r="C48" s="376"/>
      <c r="D48" s="524"/>
      <c r="E48" s="524"/>
      <c r="F48" s="525"/>
      <c r="G48" s="525"/>
      <c r="H48" s="322"/>
      <c r="I48" s="322"/>
      <c r="J48" s="525"/>
      <c r="K48" s="525"/>
      <c r="L48" s="376"/>
      <c r="M48" s="376"/>
      <c r="N48" s="525"/>
      <c r="O48" s="525"/>
      <c r="P48" s="322"/>
      <c r="Q48" s="322"/>
      <c r="R48" s="525"/>
      <c r="S48" s="525"/>
      <c r="T48" s="525"/>
      <c r="U48" s="525"/>
      <c r="V48" s="383"/>
      <c r="W48" s="383"/>
      <c r="X48" s="526"/>
      <c r="Y48" s="383"/>
      <c r="Z48" s="526"/>
      <c r="AA48" s="383"/>
      <c r="AB48" s="383"/>
      <c r="AC48" s="383"/>
      <c r="AD48" s="343"/>
      <c r="AE48" s="343"/>
      <c r="AF48" s="343"/>
      <c r="AG48" s="343"/>
      <c r="AH48" s="343"/>
      <c r="AI48" s="345"/>
      <c r="AJ48" s="345"/>
      <c r="AK48" s="345"/>
      <c r="AL48" s="345"/>
      <c r="AM48" s="383"/>
    </row>
    <row r="49" ht="15.75" customHeight="1">
      <c r="A49" s="391"/>
      <c r="B49" s="376"/>
      <c r="C49" s="376"/>
      <c r="D49" s="524"/>
      <c r="E49" s="524"/>
      <c r="F49" s="525"/>
      <c r="G49" s="525"/>
      <c r="H49" s="322"/>
      <c r="I49" s="322"/>
      <c r="J49" s="525"/>
      <c r="K49" s="525"/>
      <c r="L49" s="376"/>
      <c r="M49" s="376"/>
      <c r="N49" s="525"/>
      <c r="O49" s="525"/>
      <c r="P49" s="322"/>
      <c r="Q49" s="322"/>
      <c r="R49" s="525"/>
      <c r="S49" s="525"/>
      <c r="T49" s="525"/>
      <c r="U49" s="525"/>
      <c r="V49" s="383"/>
      <c r="W49" s="383"/>
      <c r="X49" s="526"/>
      <c r="Y49" s="383"/>
      <c r="Z49" s="526"/>
      <c r="AA49" s="383"/>
      <c r="AB49" s="383"/>
      <c r="AC49" s="383"/>
      <c r="AD49" s="343"/>
      <c r="AE49" s="343"/>
      <c r="AF49" s="343"/>
      <c r="AG49" s="343"/>
      <c r="AH49" s="343"/>
      <c r="AI49" s="345"/>
      <c r="AJ49" s="345"/>
      <c r="AK49" s="345"/>
      <c r="AL49" s="345"/>
      <c r="AM49" s="383"/>
    </row>
    <row r="50" ht="15.75" customHeight="1">
      <c r="A50" s="391"/>
      <c r="B50" s="376"/>
      <c r="C50" s="376"/>
      <c r="D50" s="524"/>
      <c r="E50" s="524"/>
      <c r="F50" s="525"/>
      <c r="G50" s="525"/>
      <c r="H50" s="322"/>
      <c r="I50" s="322"/>
      <c r="J50" s="525"/>
      <c r="K50" s="525"/>
      <c r="L50" s="376"/>
      <c r="M50" s="376"/>
      <c r="N50" s="525"/>
      <c r="O50" s="525"/>
      <c r="P50" s="322"/>
      <c r="Q50" s="322"/>
      <c r="R50" s="525"/>
      <c r="S50" s="525"/>
      <c r="T50" s="525"/>
      <c r="U50" s="525"/>
      <c r="V50" s="383"/>
      <c r="W50" s="383"/>
      <c r="X50" s="526"/>
      <c r="Y50" s="383"/>
      <c r="Z50" s="526"/>
      <c r="AA50" s="383"/>
      <c r="AB50" s="383"/>
      <c r="AC50" s="383"/>
      <c r="AD50" s="343"/>
      <c r="AE50" s="343"/>
      <c r="AF50" s="343"/>
      <c r="AG50" s="343"/>
      <c r="AH50" s="343"/>
      <c r="AI50" s="345"/>
      <c r="AJ50" s="345"/>
      <c r="AK50" s="345"/>
      <c r="AL50" s="345"/>
      <c r="AM50" s="383"/>
    </row>
    <row r="51" ht="15.75" customHeight="1">
      <c r="A51" s="391"/>
      <c r="B51" s="376"/>
      <c r="C51" s="376"/>
      <c r="D51" s="524"/>
      <c r="E51" s="524"/>
      <c r="F51" s="525"/>
      <c r="G51" s="525"/>
      <c r="H51" s="322"/>
      <c r="I51" s="322"/>
      <c r="J51" s="525"/>
      <c r="K51" s="525"/>
      <c r="L51" s="376"/>
      <c r="M51" s="376"/>
      <c r="N51" s="525"/>
      <c r="O51" s="525"/>
      <c r="P51" s="322"/>
      <c r="Q51" s="322"/>
      <c r="R51" s="525"/>
      <c r="S51" s="525"/>
      <c r="T51" s="525"/>
      <c r="U51" s="525"/>
      <c r="V51" s="383"/>
      <c r="W51" s="383"/>
      <c r="X51" s="526"/>
      <c r="Y51" s="383"/>
      <c r="Z51" s="526"/>
      <c r="AA51" s="383"/>
      <c r="AB51" s="383"/>
      <c r="AC51" s="383"/>
      <c r="AD51" s="343"/>
      <c r="AE51" s="343"/>
      <c r="AF51" s="343"/>
      <c r="AG51" s="343"/>
      <c r="AH51" s="343"/>
      <c r="AI51" s="345"/>
      <c r="AJ51" s="345"/>
      <c r="AK51" s="345"/>
      <c r="AL51" s="345"/>
      <c r="AM51" s="383"/>
    </row>
    <row r="52" ht="15.75" customHeight="1">
      <c r="A52" s="391"/>
      <c r="B52" s="376"/>
      <c r="C52" s="376"/>
      <c r="D52" s="524"/>
      <c r="E52" s="524"/>
      <c r="F52" s="525"/>
      <c r="G52" s="525"/>
      <c r="H52" s="322"/>
      <c r="I52" s="322"/>
      <c r="J52" s="525"/>
      <c r="K52" s="525"/>
      <c r="L52" s="376"/>
      <c r="M52" s="376"/>
      <c r="N52" s="525"/>
      <c r="O52" s="525"/>
      <c r="P52" s="322"/>
      <c r="Q52" s="322"/>
      <c r="R52" s="525"/>
      <c r="S52" s="525"/>
      <c r="T52" s="525"/>
      <c r="U52" s="525"/>
      <c r="V52" s="383"/>
      <c r="W52" s="383"/>
      <c r="X52" s="526"/>
      <c r="Y52" s="383"/>
      <c r="Z52" s="526"/>
      <c r="AA52" s="383"/>
      <c r="AB52" s="383"/>
      <c r="AC52" s="383"/>
      <c r="AD52" s="343"/>
      <c r="AE52" s="343"/>
      <c r="AF52" s="343"/>
      <c r="AG52" s="343"/>
      <c r="AH52" s="343"/>
      <c r="AI52" s="345"/>
      <c r="AJ52" s="345"/>
      <c r="AK52" s="345"/>
      <c r="AL52" s="345"/>
      <c r="AM52" s="383"/>
    </row>
    <row r="53" ht="15.75" customHeight="1">
      <c r="A53" s="391"/>
      <c r="B53" s="376"/>
      <c r="C53" s="376"/>
      <c r="D53" s="524"/>
      <c r="E53" s="524"/>
      <c r="F53" s="525"/>
      <c r="G53" s="525"/>
      <c r="H53" s="322"/>
      <c r="I53" s="322"/>
      <c r="J53" s="525"/>
      <c r="K53" s="525"/>
      <c r="L53" s="376"/>
      <c r="M53" s="376"/>
      <c r="N53" s="525"/>
      <c r="O53" s="525"/>
      <c r="P53" s="322"/>
      <c r="Q53" s="322"/>
      <c r="R53" s="525"/>
      <c r="S53" s="525"/>
      <c r="T53" s="525"/>
      <c r="U53" s="525"/>
      <c r="V53" s="383"/>
      <c r="W53" s="383"/>
      <c r="X53" s="526"/>
      <c r="Y53" s="383"/>
      <c r="Z53" s="526"/>
      <c r="AA53" s="383"/>
      <c r="AB53" s="383"/>
      <c r="AC53" s="383"/>
      <c r="AD53" s="343"/>
      <c r="AE53" s="343"/>
      <c r="AF53" s="343"/>
      <c r="AG53" s="343"/>
      <c r="AH53" s="343"/>
      <c r="AI53" s="345"/>
      <c r="AJ53" s="345"/>
      <c r="AK53" s="345"/>
      <c r="AL53" s="345"/>
      <c r="AM53" s="383"/>
    </row>
    <row r="54" ht="15.75" customHeight="1">
      <c r="A54" s="391"/>
      <c r="B54" s="376"/>
      <c r="C54" s="376"/>
      <c r="D54" s="524"/>
      <c r="E54" s="524"/>
      <c r="F54" s="525"/>
      <c r="G54" s="525"/>
      <c r="H54" s="322"/>
      <c r="I54" s="322"/>
      <c r="J54" s="525"/>
      <c r="K54" s="525"/>
      <c r="L54" s="376"/>
      <c r="M54" s="376"/>
      <c r="N54" s="525"/>
      <c r="O54" s="525"/>
      <c r="P54" s="322"/>
      <c r="Q54" s="322"/>
      <c r="R54" s="525"/>
      <c r="S54" s="525"/>
      <c r="T54" s="525"/>
      <c r="U54" s="525"/>
      <c r="V54" s="383"/>
      <c r="W54" s="383"/>
      <c r="X54" s="526"/>
      <c r="Y54" s="383"/>
      <c r="Z54" s="526"/>
      <c r="AA54" s="383"/>
      <c r="AB54" s="383"/>
      <c r="AC54" s="383"/>
      <c r="AD54" s="343"/>
      <c r="AE54" s="343"/>
      <c r="AF54" s="343"/>
      <c r="AG54" s="343"/>
      <c r="AH54" s="343"/>
      <c r="AI54" s="345"/>
      <c r="AJ54" s="345"/>
      <c r="AK54" s="345"/>
      <c r="AL54" s="345"/>
      <c r="AM54" s="383"/>
    </row>
    <row r="55" ht="15.75" customHeight="1">
      <c r="A55" s="391"/>
      <c r="B55" s="376"/>
      <c r="C55" s="376"/>
      <c r="D55" s="524"/>
      <c r="E55" s="524"/>
      <c r="F55" s="525"/>
      <c r="G55" s="525"/>
      <c r="H55" s="322"/>
      <c r="I55" s="322"/>
      <c r="J55" s="525"/>
      <c r="K55" s="525"/>
      <c r="L55" s="376"/>
      <c r="M55" s="376"/>
      <c r="N55" s="525"/>
      <c r="O55" s="525"/>
      <c r="P55" s="322"/>
      <c r="Q55" s="322"/>
      <c r="R55" s="525"/>
      <c r="S55" s="525"/>
      <c r="T55" s="525"/>
      <c r="U55" s="525"/>
      <c r="V55" s="383"/>
      <c r="W55" s="383"/>
      <c r="X55" s="526"/>
      <c r="Y55" s="383"/>
      <c r="Z55" s="526"/>
      <c r="AA55" s="383"/>
      <c r="AB55" s="383"/>
      <c r="AC55" s="383"/>
      <c r="AD55" s="343"/>
      <c r="AE55" s="343"/>
      <c r="AF55" s="343"/>
      <c r="AG55" s="343"/>
      <c r="AH55" s="343"/>
      <c r="AI55" s="345"/>
      <c r="AJ55" s="345"/>
      <c r="AK55" s="345"/>
      <c r="AL55" s="345"/>
      <c r="AM55" s="383"/>
    </row>
    <row r="56" ht="15.75" customHeight="1">
      <c r="A56" s="391"/>
      <c r="B56" s="376"/>
      <c r="C56" s="376"/>
      <c r="D56" s="524"/>
      <c r="E56" s="524"/>
      <c r="F56" s="525"/>
      <c r="G56" s="525"/>
      <c r="H56" s="322"/>
      <c r="I56" s="322"/>
      <c r="J56" s="525"/>
      <c r="K56" s="525"/>
      <c r="L56" s="376"/>
      <c r="M56" s="376"/>
      <c r="N56" s="525"/>
      <c r="O56" s="525"/>
      <c r="P56" s="322"/>
      <c r="Q56" s="322"/>
      <c r="R56" s="525"/>
      <c r="S56" s="525"/>
      <c r="T56" s="525"/>
      <c r="U56" s="525"/>
      <c r="V56" s="383"/>
      <c r="W56" s="383"/>
      <c r="X56" s="526"/>
      <c r="Y56" s="383"/>
      <c r="Z56" s="526"/>
      <c r="AA56" s="383"/>
      <c r="AB56" s="383"/>
      <c r="AC56" s="383"/>
      <c r="AD56" s="343"/>
      <c r="AE56" s="343"/>
      <c r="AF56" s="343"/>
      <c r="AG56" s="343"/>
      <c r="AH56" s="343"/>
      <c r="AI56" s="345"/>
      <c r="AJ56" s="345"/>
      <c r="AK56" s="345"/>
      <c r="AL56" s="345"/>
      <c r="AM56" s="383"/>
    </row>
    <row r="57" ht="15.75" customHeight="1">
      <c r="A57" s="391"/>
      <c r="B57" s="376"/>
      <c r="C57" s="376"/>
      <c r="D57" s="524"/>
      <c r="E57" s="524"/>
      <c r="F57" s="525"/>
      <c r="G57" s="525"/>
      <c r="H57" s="322"/>
      <c r="I57" s="322"/>
      <c r="J57" s="525"/>
      <c r="K57" s="525"/>
      <c r="L57" s="376"/>
      <c r="M57" s="376"/>
      <c r="N57" s="525"/>
      <c r="O57" s="525"/>
      <c r="P57" s="322"/>
      <c r="Q57" s="322"/>
      <c r="R57" s="525"/>
      <c r="S57" s="525"/>
      <c r="T57" s="525"/>
      <c r="U57" s="525"/>
      <c r="V57" s="383"/>
      <c r="W57" s="383"/>
      <c r="X57" s="526"/>
      <c r="Y57" s="383"/>
      <c r="Z57" s="526"/>
      <c r="AA57" s="383"/>
      <c r="AB57" s="383"/>
      <c r="AC57" s="383"/>
      <c r="AD57" s="343"/>
      <c r="AE57" s="343"/>
      <c r="AF57" s="343"/>
      <c r="AG57" s="343"/>
      <c r="AH57" s="343"/>
      <c r="AI57" s="345"/>
      <c r="AJ57" s="345"/>
      <c r="AK57" s="345"/>
      <c r="AL57" s="345"/>
      <c r="AM57" s="383"/>
    </row>
    <row r="58" ht="15.75" customHeight="1">
      <c r="A58" s="391"/>
      <c r="B58" s="376"/>
      <c r="C58" s="376"/>
      <c r="D58" s="524"/>
      <c r="E58" s="524"/>
      <c r="F58" s="525"/>
      <c r="G58" s="525"/>
      <c r="H58" s="322"/>
      <c r="I58" s="322"/>
      <c r="J58" s="525"/>
      <c r="K58" s="525"/>
      <c r="L58" s="376"/>
      <c r="M58" s="376"/>
      <c r="N58" s="525"/>
      <c r="O58" s="525"/>
      <c r="P58" s="322"/>
      <c r="Q58" s="322"/>
      <c r="R58" s="525"/>
      <c r="S58" s="525"/>
      <c r="T58" s="525"/>
      <c r="U58" s="525"/>
      <c r="V58" s="383"/>
      <c r="W58" s="383"/>
      <c r="X58" s="526"/>
      <c r="Y58" s="383"/>
      <c r="Z58" s="526"/>
      <c r="AA58" s="383"/>
      <c r="AB58" s="383"/>
      <c r="AC58" s="383"/>
      <c r="AD58" s="343"/>
      <c r="AE58" s="343"/>
      <c r="AF58" s="343"/>
      <c r="AG58" s="343"/>
      <c r="AH58" s="343"/>
      <c r="AI58" s="345"/>
      <c r="AJ58" s="345"/>
      <c r="AK58" s="345"/>
      <c r="AL58" s="345"/>
      <c r="AM58" s="383"/>
    </row>
    <row r="59" ht="15.75" customHeight="1">
      <c r="A59" s="391"/>
      <c r="B59" s="376"/>
      <c r="C59" s="376"/>
      <c r="D59" s="524"/>
      <c r="E59" s="524"/>
      <c r="F59" s="525"/>
      <c r="G59" s="525"/>
      <c r="H59" s="322"/>
      <c r="I59" s="322"/>
      <c r="J59" s="525"/>
      <c r="K59" s="525"/>
      <c r="L59" s="376"/>
      <c r="M59" s="376"/>
      <c r="N59" s="525"/>
      <c r="O59" s="525"/>
      <c r="P59" s="322"/>
      <c r="Q59" s="322"/>
      <c r="R59" s="525"/>
      <c r="S59" s="525"/>
      <c r="T59" s="525"/>
      <c r="U59" s="525"/>
      <c r="V59" s="383"/>
      <c r="W59" s="383"/>
      <c r="X59" s="526"/>
      <c r="Y59" s="383"/>
      <c r="Z59" s="526"/>
      <c r="AA59" s="383"/>
      <c r="AB59" s="383"/>
      <c r="AC59" s="383"/>
      <c r="AD59" s="343"/>
      <c r="AE59" s="343"/>
      <c r="AF59" s="343"/>
      <c r="AG59" s="343"/>
      <c r="AH59" s="343"/>
      <c r="AI59" s="345"/>
      <c r="AJ59" s="345"/>
      <c r="AK59" s="345"/>
      <c r="AL59" s="345"/>
      <c r="AM59" s="383"/>
    </row>
  </sheetData>
  <mergeCells count="3">
    <mergeCell ref="F1:I1"/>
    <mergeCell ref="J1:M1"/>
    <mergeCell ref="N1:Q1"/>
  </mergeCells>
  <hyperlinks>
    <hyperlink r:id="rId1" ref="A3"/>
    <hyperlink r:id="rId2" ref="D3"/>
    <hyperlink r:id="rId3" ref="A4"/>
    <hyperlink r:id="rId4" ref="D4"/>
    <hyperlink r:id="rId5" ref="A5"/>
    <hyperlink r:id="rId6" ref="D5"/>
    <hyperlink r:id="rId7" ref="A6"/>
    <hyperlink r:id="rId8" ref="D6"/>
    <hyperlink r:id="rId9" ref="A7"/>
    <hyperlink r:id="rId10" ref="D7"/>
    <hyperlink r:id="rId11" ref="A8"/>
    <hyperlink r:id="rId12" ref="D8"/>
    <hyperlink r:id="rId13" ref="A9"/>
    <hyperlink r:id="rId14" ref="D9"/>
    <hyperlink r:id="rId15" ref="A10"/>
    <hyperlink r:id="rId16" ref="D10"/>
    <hyperlink r:id="rId17" ref="A11"/>
    <hyperlink r:id="rId18" ref="D11"/>
    <hyperlink r:id="rId19" ref="A12"/>
    <hyperlink r:id="rId20" ref="D12"/>
    <hyperlink r:id="rId21" ref="A13"/>
    <hyperlink r:id="rId22" ref="D13"/>
    <hyperlink r:id="rId23" ref="A14"/>
    <hyperlink r:id="rId24" ref="D14"/>
    <hyperlink r:id="rId25" ref="A15"/>
    <hyperlink r:id="rId26" ref="D15"/>
    <hyperlink r:id="rId27" ref="A16"/>
    <hyperlink r:id="rId28" ref="D16"/>
    <hyperlink r:id="rId29" ref="A17"/>
    <hyperlink r:id="rId30" ref="D17"/>
    <hyperlink r:id="rId31" ref="A18"/>
    <hyperlink r:id="rId32" ref="D18"/>
    <hyperlink r:id="rId33" ref="A19"/>
    <hyperlink r:id="rId34" ref="D19"/>
    <hyperlink r:id="rId35" ref="A20"/>
    <hyperlink r:id="rId36" ref="D20"/>
    <hyperlink r:id="rId37" ref="A21"/>
    <hyperlink r:id="rId38" ref="D21"/>
    <hyperlink r:id="rId39" ref="A22"/>
    <hyperlink r:id="rId40" ref="D22"/>
    <hyperlink r:id="rId41" ref="A23"/>
    <hyperlink r:id="rId42" ref="D23"/>
    <hyperlink r:id="rId43" ref="A24"/>
    <hyperlink r:id="rId44" ref="D24"/>
    <hyperlink r:id="rId45" ref="A25"/>
    <hyperlink r:id="rId46" ref="D25"/>
    <hyperlink r:id="rId47" ref="A26"/>
    <hyperlink r:id="rId48" ref="D26"/>
    <hyperlink r:id="rId49" ref="A27"/>
    <hyperlink r:id="rId50" ref="D27"/>
    <hyperlink r:id="rId51" ref="A28"/>
    <hyperlink r:id="rId52" ref="D28"/>
    <hyperlink r:id="rId53" ref="A29"/>
    <hyperlink r:id="rId54" ref="D29"/>
    <hyperlink r:id="rId55" ref="A30"/>
    <hyperlink r:id="rId56" ref="D30"/>
    <hyperlink r:id="rId57" ref="A31"/>
    <hyperlink r:id="rId58" ref="D31"/>
    <hyperlink r:id="rId59" ref="A32"/>
    <hyperlink r:id="rId60" ref="D32"/>
    <hyperlink r:id="rId61" ref="A33"/>
    <hyperlink r:id="rId62" ref="D33"/>
    <hyperlink r:id="rId63" ref="A34"/>
    <hyperlink r:id="rId64" ref="D34"/>
    <hyperlink r:id="rId65" ref="A35"/>
    <hyperlink r:id="rId66" ref="D35"/>
    <hyperlink r:id="rId67" ref="A36"/>
    <hyperlink r:id="rId68" ref="D36"/>
    <hyperlink r:id="rId69" ref="A37"/>
    <hyperlink r:id="rId70" ref="D37"/>
    <hyperlink r:id="rId71" ref="A38"/>
    <hyperlink r:id="rId72" ref="D38"/>
    <hyperlink r:id="rId73" ref="A39"/>
    <hyperlink r:id="rId74" ref="D39"/>
  </hyperlinks>
  <drawing r:id="rId75"/>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20.0"/>
    <col customWidth="1" min="2" max="3" width="6.88"/>
    <col customWidth="1" hidden="1" min="4" max="5" width="6.88"/>
    <col customWidth="1" min="6" max="6" width="3.13"/>
    <col customWidth="1" min="7" max="7" width="4.88"/>
    <col customWidth="1" min="8" max="8" width="6.5"/>
    <col customWidth="1" min="9" max="9" width="3.13"/>
    <col customWidth="1" min="10" max="10" width="4.88"/>
    <col customWidth="1" min="11" max="11" width="5.75"/>
    <col customWidth="1" min="12" max="12" width="3.13"/>
    <col customWidth="1" min="13" max="13" width="4.88"/>
    <col customWidth="1" min="14" max="14" width="5.75"/>
    <col customWidth="1" min="15" max="15" width="7.63"/>
    <col customWidth="1" min="16" max="16" width="9.5"/>
    <col customWidth="1" min="17" max="17" width="4.5"/>
    <col customWidth="1" min="18" max="18" width="14.13"/>
    <col customWidth="1" min="19" max="19" width="4.5"/>
    <col customWidth="1" min="20" max="20" width="10.88"/>
    <col customWidth="1" min="21" max="21" width="4.5"/>
    <col customWidth="1" min="22" max="22" width="14.25"/>
    <col customWidth="1" min="23" max="23" width="4.5"/>
    <col customWidth="1" min="24" max="24" width="21.88"/>
    <col customWidth="1" min="25" max="25" width="4.5"/>
    <col customWidth="1" min="26" max="26" width="19.63"/>
    <col customWidth="1" min="27" max="27" width="4.5"/>
    <col customWidth="1" min="28" max="31" width="6.0"/>
    <col customWidth="1" min="32" max="32" width="2.0"/>
  </cols>
  <sheetData>
    <row r="1">
      <c r="D1" s="493"/>
      <c r="E1" s="493"/>
      <c r="F1" s="67" t="s">
        <v>2649</v>
      </c>
      <c r="G1" s="80"/>
      <c r="H1" s="81"/>
      <c r="I1" s="67" t="s">
        <v>2650</v>
      </c>
      <c r="J1" s="80"/>
      <c r="K1" s="81"/>
      <c r="L1" s="67" t="s">
        <v>2651</v>
      </c>
      <c r="M1" s="80"/>
      <c r="N1" s="81"/>
      <c r="P1" s="494"/>
      <c r="Q1" s="495"/>
      <c r="R1" s="494"/>
      <c r="S1" s="495"/>
      <c r="T1" s="494"/>
      <c r="U1" s="494"/>
      <c r="V1" s="494"/>
      <c r="W1" s="343"/>
      <c r="X1" s="343"/>
      <c r="Y1" s="343"/>
      <c r="Z1" s="343"/>
      <c r="AA1" s="343"/>
      <c r="AB1" s="496"/>
      <c r="AC1" s="496"/>
      <c r="AD1" s="496"/>
      <c r="AF1" s="5"/>
    </row>
    <row r="2" ht="63.75" customHeight="1">
      <c r="A2" s="5" t="s">
        <v>2652</v>
      </c>
      <c r="B2" s="5" t="s">
        <v>1413</v>
      </c>
      <c r="C2" s="5" t="s">
        <v>1941</v>
      </c>
      <c r="D2" s="497" t="s">
        <v>2653</v>
      </c>
      <c r="E2" s="497" t="s">
        <v>2654</v>
      </c>
      <c r="F2" s="498" t="s">
        <v>1476</v>
      </c>
      <c r="G2" s="359" t="s">
        <v>1477</v>
      </c>
      <c r="H2" s="499" t="s">
        <v>1481</v>
      </c>
      <c r="I2" s="498" t="s">
        <v>1476</v>
      </c>
      <c r="J2" s="359" t="s">
        <v>1477</v>
      </c>
      <c r="K2" s="501" t="s">
        <v>1481</v>
      </c>
      <c r="L2" s="498" t="s">
        <v>1476</v>
      </c>
      <c r="M2" s="359" t="s">
        <v>1477</v>
      </c>
      <c r="N2" s="499" t="s">
        <v>1481</v>
      </c>
      <c r="O2" s="184" t="s">
        <v>1491</v>
      </c>
      <c r="P2" s="5" t="s">
        <v>1492</v>
      </c>
      <c r="Q2" s="480" t="s">
        <v>2658</v>
      </c>
      <c r="R2" s="479" t="s">
        <v>1505</v>
      </c>
      <c r="S2" s="480" t="s">
        <v>1506</v>
      </c>
      <c r="T2" s="479" t="s">
        <v>2659</v>
      </c>
      <c r="U2" s="481" t="s">
        <v>2554</v>
      </c>
      <c r="V2" s="479" t="s">
        <v>1507</v>
      </c>
      <c r="W2" s="481" t="s">
        <v>1508</v>
      </c>
      <c r="X2" s="479" t="s">
        <v>1509</v>
      </c>
      <c r="Y2" s="481" t="s">
        <v>1510</v>
      </c>
      <c r="Z2" s="479" t="s">
        <v>1511</v>
      </c>
      <c r="AA2" s="481" t="s">
        <v>1512</v>
      </c>
      <c r="AB2" s="482" t="s">
        <v>1515</v>
      </c>
      <c r="AC2" s="507" t="s">
        <v>1514</v>
      </c>
      <c r="AD2" s="508" t="s">
        <v>1513</v>
      </c>
      <c r="AE2" s="5" t="s">
        <v>1400</v>
      </c>
      <c r="AF2" s="5"/>
    </row>
    <row r="3">
      <c r="A3" s="509" t="s">
        <v>2660</v>
      </c>
      <c r="B3" s="510">
        <v>1.0</v>
      </c>
      <c r="C3" s="510">
        <v>1.0</v>
      </c>
      <c r="D3" s="511" t="s">
        <v>2661</v>
      </c>
      <c r="E3" s="512" t="s">
        <v>2662</v>
      </c>
      <c r="F3" s="513">
        <v>4.0</v>
      </c>
      <c r="G3" s="514">
        <v>12.0</v>
      </c>
      <c r="H3" s="515" t="s">
        <v>1671</v>
      </c>
      <c r="I3" s="513">
        <v>4.0</v>
      </c>
      <c r="J3" s="514">
        <v>14.0</v>
      </c>
      <c r="K3" s="515" t="s">
        <v>2594</v>
      </c>
      <c r="L3" s="513">
        <v>4.0</v>
      </c>
      <c r="M3" s="514">
        <v>17.0</v>
      </c>
      <c r="N3" s="515" t="s">
        <v>2594</v>
      </c>
      <c r="O3" s="343" t="s">
        <v>1521</v>
      </c>
      <c r="P3" s="343" t="s">
        <v>1525</v>
      </c>
      <c r="Q3" s="342">
        <f>IFS(
IFERROR(SEARCH("Blue, Yellow, Yellow, Green",P3),0) &gt; 0 , VLOOKUP("Blue", Variables!A:C , 2 , FALSE) + (VLOOKUP("Yellow", Variables!A:C , 2 , FALSE) * 2) + VLOOKUP("Green", Variables!A:C , 2 , FALSE),
IFERROR(SEARCH("Blue, Red, Yellow, Green",P3),0) &gt; 0 , VLOOKUP("Blue", Variables!A:C , 2 , FALSE) + VLOOKUP("Red", Variables!A:C , 2 , FALSE) + (VLOOKUP("Yellow", Variables!A:C , 2 , FALSE) * 2) + VLOOKUP("Green", Variables!A:C , 2 , FALSE),
IFERROR(SEARCH("Blue, Yellow, Green, Green",P3),0) &gt; 0 , VLOOKUP("Blue", Variables!A:C , 2 , FALSE) + VLOOKUP("Yellow", Variables!A:C , 2 , FALSE)  + (VLOOKUP("Green", Variables!A:C , 2 , FALSE) * 2),
IFERROR(SEARCH("Blue, Red, Yellow, Yellow",P3),0) &gt; 0 , VLOOKUP("Blue", Variables!A:C , 2 , FALSE) + VLOOKUP("Yellow", Variables!A:C , 2 , FALSE) * 2  + (VLOOKUP("Red", Variables!A:C , 2 , FALSE) * 2),
IFERROR(SEARCH("Blue, Red, Red",P3),0) &gt; 0 , VLOOKUP("Blue", Variables!A:C , 2 , FALSE) + VLOOKUP("Red", Variables!A:C , 2 , FALSE) * 2,
IFERROR(SEARCH("Blue, Yellow, Yellow",P3),0) &gt; 0 , VLOOKUP("Blue", Variables!A:C , 2 , FALSE) + (VLOOKUP("Yellow", Variables!A:C , 2 , FALSE) * 2),
IFERROR(SEARCH("Blue, Yellow, Green",P3),0) &gt; 0 , VLOOKUP("Blue", Variables!A:C , 2 , FALSE) + VLOOKUP("Yellow", Variables!A:C , 2 , FALSE) + VLOOKUP("Green", Variables!A:C , 2 , FALSE),
IFERROR(SEARCH("Blue, Red, Green",P3),0) &gt; 0 , VLOOKUP("Blue", Variables!A:C , 2 , FALSE) + VLOOKUP("Red", Variables!A:C , 2 , FALSE) + VLOOKUP("Green", Variables!A:C , 2 , FALSE),
IFERROR(SEARCH("Blue, Red, Yellow",P3),0) &gt; 0 , VLOOKUP("Blue", Variables!A:C , 2 , FALSE) + VLOOKUP("Red", Variables!A:C , 2 , FALSE) + VLOOKUP("Yellow", Variables!A:C , 2 , FALSE),
IFERROR(SEARCH("Blue, Green, Green",P3),0) &gt; 0 , VLOOKUP("Blue", Variables!A:C , 2 , FALSE) + (VLOOKUP("Green", Variables!A:C , 2 , FALSE) * 2),
IFERROR(SEARCH("Blue, Yellow",P3),0) &gt; 0 , VLOOKUP("Blue", Variables!A:C , 2 , FALSE) + VLOOKUP("Yellow", Variables!A:C , 2 , FALSE),
IFERROR(SEARCH("Blue, Red",P3),0) &gt; 0 , VLOOKUP("Blue", Variables!A:C , 2 , FALSE) + VLOOKUP("Red", Variables!A:C , 2 , FALSE),
IFERROR(SEARCH("Blue, Green",P3),0) &gt; 0 , VLOOKUP("Blue", Variables!A:C , 2 , FALSE) + VLOOKUP("Green", Variables!A:C , 2 , FALSE),
IFERROR(SEARCH("Green",P3),0) &gt; 0 , VLOOKUP("Green", Variables!A:C , 2 , FALSE),
IFERROR(SEARCH("Blue",P3),0) &gt; 0 , VLOOKUP("Blue", Variables!A:C , 2 , FALSE),
IFERROR(SEARCH("Yellow",P3),0) &gt; 0 , VLOOKUP("Yellow", Variables!A:C , 2 , FALSE),
IFERROR(SEARCH("Black, Black",P3),0) &gt; 0 , VLOOKUP("Black", Variables!A:C , 2, FALSE) * 2,
IFERROR(SEARCH("Grey, Grey",P3),0) &gt; 0 , VLOOKUP("Grey", Variables!A:C , 2, FALSE) * 2,
IFERROR(SEARCH("Grey, Brown",P3),0) &gt; 0 , VLOOKUP("Grey", Variables!A:C , 2, FALSE)  + VLOOKUP("Brown", Variables!A:C , 2, FALSE),
IFERROR(SEARCH("Black, Grey",P3),0) &gt; 0 , VLOOKUP("Black", Variables!A:C , 2, FALSE) + VLOOKUP("Grey", Variables!A:C , 2, FALSE),
IFERROR(SEARCH("Black, Brown",P3),0) &gt; 0 , VLOOKUP("Black", Variables!A:C , 2, FALSE) + VLOOKUP("Brown", Variables!A:C , 2, FALSE),
IFERROR(SEARCH("Black",P3),0) &gt; 0 , VLOOKUP("Black", Variables!A:C , 2, FALSE),
IFERROR(SEARCH("Grey",P3),0) &gt; 0 , VLOOKUP("Grey", Variables!A:C , 2, FALSE),
IFERROR(SEARCH("Brown",P3),0) &gt; 0 , VLOOKUP("Brown", Variables!A:C , 2, FALSE),
0=0,0)
+
IF(O3 ="Ranged", 1 , 0)</f>
        <v>3.333333333</v>
      </c>
      <c r="R3" s="343" t="s">
        <v>2732</v>
      </c>
      <c r="S3" s="342">
        <f>IFERROR(__xludf.DUMMYFUNCTION("IF(ISBLANK(R3), , 
SWITCH(
LEN(R3)- LEN(SUBSTITUTE(R3,"","","""")), 
0 , VLOOKUP(R3, vote4TRAITS!A:C , 3, FALSE),
1 , VLOOKUP(index(split(R3 ,"", "", FALSE),1,1), vote4TRAITS!A:C , 3, FALSE) + VLOOKUP(index(split(R3 ,"", "", FALSE),1,2), vote4TRAITS!A:C ,"&amp;" 3, FALSE),
2 , VLOOKUP(index(split(R3 ,"", "", FALSE),1,1), vote4TRAITS!A:C , 3, FALSE) + VLOOKUP(index(split(R3 ,"", "", FALSE),1,2), vote4TRAITS!A:C , 3, FALSE) + VLOOKUP(index(split(R3 ,"", "", FALSE),1,3), vote4TRAITS!A:C , 3, FALSE)
)
)"),9.5)</f>
        <v>9.5</v>
      </c>
      <c r="T3" s="343"/>
      <c r="U3" s="343" t="str">
        <f>IFERROR(__xludf.DUMMYFUNCTION("IF(ISBLANK(T3), , 
SWITCH(
LEN(T3)- LEN(SUBSTITUTE(T3,"","","""")), 
0 , VLOOKUP(T3, vote4ACTIONS!A:C , 3, FALSE),
1 , VLOOKUP(index(split(T3 ,"", "", FALSE),1,1), vote4ACTIONS!A:C , 3, FALSE) + VLOOKUP(index(split(T3 ,"", "", FALSE),1,2), vote4ACTIONS!A:"&amp;"C , 3, FALSE),
2 , VLOOKUP(index(split(T3 ,"", "", FALSE),1,1), vote4ACTIONS!A:C , 3, FALSE) + VLOOKUP(index(split(T3 ,"", "", FALSE),1,2), vote4ACTIONS!A:C , 3, FALSE) + VLOOKUP(index(split(T3 ,"", "", FALSE),1,3), vote4ACTIONS!A:C , 3, FALSE)
)
)"),"")</f>
        <v/>
      </c>
      <c r="V3" s="343" t="s">
        <v>1564</v>
      </c>
      <c r="W3" s="517">
        <f>IF(ISBLANK(V3),,IF(IFERROR(SEARCH("SS:",V3),0) &gt; 0, 
VLOOKUP(SUBSTITUTE(V3,"SS: ",""),vote4SURGE!$A:$C , 3, FALSE) - 2,
VLOOKUP(SUBSTITUTE(V3,"S: ",""),vote4SURGE!$A:$C , 3, FALSE)
)
)</f>
        <v>3.5</v>
      </c>
      <c r="X3" s="343"/>
      <c r="Y3" s="343" t="str">
        <f>IF(ISBLANK(X3),,IF(IFERROR(SEARCH("SS:",X3),0) &gt; 0, 
VLOOKUP(SUBSTITUTE(X3,"SS: ",""),vote4SURGE!$A:$C , 3, FALSE) - 2,
VLOOKUP(SUBSTITUTE(X3,"S: ",""),vote4SURGE!$A:$C , 3, FALSE)
)
)</f>
        <v/>
      </c>
      <c r="Z3" s="343"/>
      <c r="AA3" s="343" t="str">
        <f>IF(ISBLANK(Z3),,IF(IFERROR(SEARCH("SS:",Z3),0) &gt; 0, 
VLOOKUP(SUBSTITUTE(Z3,"SS: ",""),vote4SURGE!$A:$C , 3, FALSE) - 2,
VLOOKUP(SUBSTITUTE(Z3,"S: ",""),vote4SURGE!$A:$C , 3, FALSE)
)
)</f>
        <v/>
      </c>
      <c r="AB3" s="343">
        <f t="shared" ref="AB3:AB20" si="1">IF(AD3 &gt; 1, 
MAX(W3,Y3,AA3) + 
(IF(OR(AD3 = 0,AC3 = 0), 1 ,(AC3 / AD3)) * (SUM(W3,Y3,AA3) - MAX(W3,Y3,AA3)))
,
IF(OR(AD3 = 0,AC3 = 0), 1 ,(AC3 / AD3)) * SUM(W3,Y3,AA3)
)</f>
        <v>3.5</v>
      </c>
      <c r="AC3" s="343">
        <f>ROUND(IFS(
IFERROR(SEARCH("Blue, Yellow, Yellow, Green",P3),0) &gt; 0 , VLOOKUP("Blue", Variables!A:C , 3 , FALSE) + (VLOOKUP("Yellow", Variables!A:C , 3 , FALSE) * 2) + VLOOKUP("Green", Variables!A:C , 3 , FALSE),
IFERROR(SEARCH("Blue, Yellow, Green, Green",P3),0) &gt; 0 , VLOOKUP("Blue", Variables!A:C , 3 , FALSE) + VLOOKUP("Yellow", Variables!A:C , 3 , FALSE)  + (VLOOKUP("Green", Variables!A:C , 3 , FALSE) * 2),
IFERROR(SEARCH("Blue, Red, Red",P3),0) &gt; 0 , VLOOKUP("Blue", Variables!A:C , 3 , FALSE) + VLOOKUP("Red", Variables!A:C , 3 , FALSE) * 2,
IFERROR(SEARCH("Blue, Yellow, Yellow",P3),0) &gt; 0 , VLOOKUP("Blue", Variables!A:C , 3 , FALSE) + (VLOOKUP("Yellow", Variables!A:C , 3 , FALSE) * 2),
IFERROR(SEARCH("Blue, Yellow, Green",P3),0) &gt; 0 , VLOOKUP("Blue", Variables!A:C , 3 , FALSE) + VLOOKUP("Yellow", Variables!A:C , 3 , FALSE) + VLOOKUP("Green", Variables!A:C , 3 , FALSE),
IFERROR(SEARCH("Blue, Red, Green",P3),0) &gt; 0 , VLOOKUP("Blue", Variables!A:C , 3 , FALSE) + VLOOKUP("Red", Variables!A:C , 3 , FALSE) + VLOOKUP("Green", Variables!A:C , 3 , FALSE),
IFERROR(SEARCH("Blue, Red, Yellow",P3),0) &gt; 0 , VLOOKUP("Blue", Variables!A:C , 3 , FALSE) + VLOOKUP("Red", Variables!A:C , 3 , FALSE) + VLOOKUP("Yellow", Variables!A:C , 3 , FALSE),
IFERROR(SEARCH("Blue, Green, Green",P3),0) &gt; 0 , VLOOKUP("Blue", Variables!A:C , 3 , FALSE) + (VLOOKUP("Green", Variables!A:C , 3 , FALSE) * 2),
IFERROR(SEARCH("Blue, Yellow",P3),0) &gt; 0 , VLOOKUP("Blue", Variables!A:C , 3 , FALSE) + VLOOKUP("Yellow", Variables!A:C , 3 , FALSE),
IFERROR(SEARCH("Blue, Red",P3),0) &gt; 0 , VLOOKUP("Blue", Variables!A:C , 3 , FALSE) + VLOOKUP("Red", Variables!A:C , 3 , FALSE),
IFERROR(SEARCH("Blue, Green",P3),0) &gt; 0 , VLOOKUP("Blue", Variables!A:C , 3 , FALSE) + VLOOKUP("Green", Variables!A:C , 3 , FALSE),
IFERROR(SEARCH("Green",P3),0) &gt; 0 , VLOOKUP("Green", Variables!A:C , 3 , FALSE),
IFERROR(SEARCH("Blue",P3),0) &gt; 0 , VLOOKUP("Blue", Variables!A:C , 3 , FALSE),
IFERROR(SEARCH("Yellow",P3),0) &gt; 0 , VLOOKUP("Yellow", Variables!A:C , 3 , FALSE),
IFERROR(SEARCH("Black, Black",P3),0) &gt; 0 , VLOOKUP("Black", Variables!A:C , 3 , FALSE) * 2,
IFERROR(SEARCH("Grey, Grey",P3),0) &gt; 0 , VLOOKUP("Grey", Variables!A:C , 3 , FALSE) * 2,
IFERROR(SEARCH("Grey, Brown",P3),0) &gt; 0 , VLOOKUP("Grey", Variables!A:C , 3 , FALSE)  + VLOOKUP("Brown", Variables!A:C , 3 , FALSE),
IFERROR(SEARCH("Black, Grey",P3),0) &gt; 0 , VLOOKUP("Black", Variables!A:C , 3 , FALSE) + VLOOKUP("Grey", Variables!A:C , 3 , FALSE),
IFERROR(SEARCH("Black, Brown",P3),0) &gt; 0 , VLOOKUP("Black", Variables!A:C , 3 , FALSE) + VLOOKUP("Brown", Variables!A:C , 3 , FALSE),
IFERROR(SEARCH("Black",P3),0) &gt; 0 , VLOOKUP("Black", Variables!A:C , 3 , FALSE),
IFERROR(SEARCH("Grey",P3),0) &gt; 0 , VLOOKUP("Grey", Variables!A:C , 3 , FALSE),
IFERROR(SEARCH("Brown",P3),0) &gt; 0 , VLOOKUP("Brown", Variables!A:C , 3 , FALSE),
0=0,0)
,
)</f>
        <v>1</v>
      </c>
      <c r="AD3" s="343">
        <f t="shared" ref="AD3:AD20" si="2">SUM(
IF(ISBLANK(V3),,IF(IFERROR(SEARCH("SS:",V3),0) &gt; 0, 2, 1)),
IF(ISBLANK(X3),,IF(IFERROR(SEARCH("SS:",X3),0) &gt; 0, 2, 1)),
IF(ISBLANK(Z3),,IF(IFERROR(SEARCH("SS:",Z3),0) &gt; 0, 2, 1)),
)</f>
        <v>1</v>
      </c>
      <c r="AE3" s="345">
        <f t="shared" ref="AE3:AE20" si="3">SUM(Q3,S3,U3,AB3)</f>
        <v>16.33333333</v>
      </c>
      <c r="AF3" s="5"/>
    </row>
    <row r="4">
      <c r="A4" s="509" t="s">
        <v>2660</v>
      </c>
      <c r="B4" s="380">
        <v>2.0</v>
      </c>
      <c r="C4" s="380">
        <v>1.0</v>
      </c>
      <c r="D4" s="511" t="s">
        <v>2661</v>
      </c>
      <c r="E4" s="512" t="s">
        <v>2662</v>
      </c>
      <c r="F4" s="513">
        <v>4.0</v>
      </c>
      <c r="G4" s="514">
        <v>13.0</v>
      </c>
      <c r="H4" s="515" t="s">
        <v>2594</v>
      </c>
      <c r="I4" s="513">
        <v>4.0</v>
      </c>
      <c r="J4" s="514">
        <v>16.0</v>
      </c>
      <c r="K4" s="515" t="s">
        <v>2599</v>
      </c>
      <c r="L4" s="513">
        <v>4.0</v>
      </c>
      <c r="M4" s="514">
        <v>19.0</v>
      </c>
      <c r="N4" s="515" t="s">
        <v>2599</v>
      </c>
      <c r="O4" s="343" t="s">
        <v>1521</v>
      </c>
      <c r="P4" s="343" t="s">
        <v>1528</v>
      </c>
      <c r="Q4" s="342">
        <f>IFS(
IFERROR(SEARCH("Blue, Yellow, Yellow, Green",P4),0) &gt; 0 , VLOOKUP("Blue", Variables!A:C , 2 , FALSE) + (VLOOKUP("Yellow", Variables!A:C , 2 , FALSE) * 2) + VLOOKUP("Green", Variables!A:C , 2 , FALSE),
IFERROR(SEARCH("Blue, Red, Yellow, Green",P4),0) &gt; 0 , VLOOKUP("Blue", Variables!A:C , 2 , FALSE) + VLOOKUP("Red", Variables!A:C , 2 , FALSE) + (VLOOKUP("Yellow", Variables!A:C , 2 , FALSE) * 2) + VLOOKUP("Green", Variables!A:C , 2 , FALSE),
IFERROR(SEARCH("Blue, Yellow, Green, Green",P4),0) &gt; 0 , VLOOKUP("Blue", Variables!A:C , 2 , FALSE) + VLOOKUP("Yellow", Variables!A:C , 2 , FALSE)  + (VLOOKUP("Green", Variables!A:C , 2 , FALSE) * 2),
IFERROR(SEARCH("Blue, Red, Yellow, Yellow",P4),0) &gt; 0 , VLOOKUP("Blue", Variables!A:C , 2 , FALSE) + VLOOKUP("Yellow", Variables!A:C , 2 , FALSE) * 2  + (VLOOKUP("Red", Variables!A:C , 2 , FALSE) * 2),
IFERROR(SEARCH("Blue, Red, Red",P4),0) &gt; 0 , VLOOKUP("Blue", Variables!A:C , 2 , FALSE) + VLOOKUP("Red", Variables!A:C , 2 , FALSE) * 2,
IFERROR(SEARCH("Blue, Yellow, Yellow",P4),0) &gt; 0 , VLOOKUP("Blue", Variables!A:C , 2 , FALSE) + (VLOOKUP("Yellow", Variables!A:C , 2 , FALSE) * 2),
IFERROR(SEARCH("Blue, Yellow, Green",P4),0) &gt; 0 , VLOOKUP("Blue", Variables!A:C , 2 , FALSE) + VLOOKUP("Yellow", Variables!A:C , 2 , FALSE) + VLOOKUP("Green", Variables!A:C , 2 , FALSE),
IFERROR(SEARCH("Blue, Red, Green",P4),0) &gt; 0 , VLOOKUP("Blue", Variables!A:C , 2 , FALSE) + VLOOKUP("Red", Variables!A:C , 2 , FALSE) + VLOOKUP("Green", Variables!A:C , 2 , FALSE),
IFERROR(SEARCH("Blue, Red, Yellow",P4),0) &gt; 0 , VLOOKUP("Blue", Variables!A:C , 2 , FALSE) + VLOOKUP("Red", Variables!A:C , 2 , FALSE) + VLOOKUP("Yellow", Variables!A:C , 2 , FALSE),
IFERROR(SEARCH("Blue, Green, Green",P4),0) &gt; 0 , VLOOKUP("Blue", Variables!A:C , 2 , FALSE) + (VLOOKUP("Green", Variables!A:C , 2 , FALSE) * 2),
IFERROR(SEARCH("Blue, Yellow",P4),0) &gt; 0 , VLOOKUP("Blue", Variables!A:C , 2 , FALSE) + VLOOKUP("Yellow", Variables!A:C , 2 , FALSE),
IFERROR(SEARCH("Blue, Red",P4),0) &gt; 0 , VLOOKUP("Blue", Variables!A:C , 2 , FALSE) + VLOOKUP("Red", Variables!A:C , 2 , FALSE),
IFERROR(SEARCH("Blue, Green",P4),0) &gt; 0 , VLOOKUP("Blue", Variables!A:C , 2 , FALSE) + VLOOKUP("Green", Variables!A:C , 2 , FALSE),
IFERROR(SEARCH("Green",P4),0) &gt; 0 , VLOOKUP("Green", Variables!A:C , 2 , FALSE),
IFERROR(SEARCH("Blue",P4),0) &gt; 0 , VLOOKUP("Blue", Variables!A:C , 2 , FALSE),
IFERROR(SEARCH("Yellow",P4),0) &gt; 0 , VLOOKUP("Yellow", Variables!A:C , 2 , FALSE),
IFERROR(SEARCH("Black, Black",P4),0) &gt; 0 , VLOOKUP("Black", Variables!A:C , 2, FALSE) * 2,
IFERROR(SEARCH("Grey, Grey",P4),0) &gt; 0 , VLOOKUP("Grey", Variables!A:C , 2, FALSE) * 2,
IFERROR(SEARCH("Grey, Brown",P4),0) &gt; 0 , VLOOKUP("Grey", Variables!A:C , 2, FALSE)  + VLOOKUP("Brown", Variables!A:C , 2, FALSE),
IFERROR(SEARCH("Black, Grey",P4),0) &gt; 0 , VLOOKUP("Black", Variables!A:C , 2, FALSE) + VLOOKUP("Grey", Variables!A:C , 2, FALSE),
IFERROR(SEARCH("Black, Brown",P4),0) &gt; 0 , VLOOKUP("Black", Variables!A:C , 2, FALSE) + VLOOKUP("Brown", Variables!A:C , 2, FALSE),
IFERROR(SEARCH("Black",P4),0) &gt; 0 , VLOOKUP("Black", Variables!A:C , 2, FALSE),
IFERROR(SEARCH("Grey",P4),0) &gt; 0 , VLOOKUP("Grey", Variables!A:C , 2, FALSE),
IFERROR(SEARCH("Brown",P4),0) &gt; 0 , VLOOKUP("Brown", Variables!A:C , 2, FALSE),
0=0,0)
+
IF(O4 ="Ranged", 1 , 0)</f>
        <v>5.5</v>
      </c>
      <c r="R4" s="343" t="s">
        <v>2732</v>
      </c>
      <c r="S4" s="342">
        <f>IFERROR(__xludf.DUMMYFUNCTION("IF(ISBLANK(R4), , 
SWITCH(
LEN(R4)- LEN(SUBSTITUTE(R4,"","","""")), 
0 , VLOOKUP(R4, vote4TRAITS!A:C , 3, FALSE),
1 , VLOOKUP(index(split(R4 ,"", "", FALSE),1,1), vote4TRAITS!A:C , 3, FALSE) + VLOOKUP(index(split(R4 ,"", "", FALSE),1,2), vote4TRAITS!A:C ,"&amp;" 3, FALSE),
2 , VLOOKUP(index(split(R4 ,"", "", FALSE),1,1), vote4TRAITS!A:C , 3, FALSE) + VLOOKUP(index(split(R4 ,"", "", FALSE),1,2), vote4TRAITS!A:C , 3, FALSE) + VLOOKUP(index(split(R4 ,"", "", FALSE),1,3), vote4TRAITS!A:C , 3, FALSE)
)
)"),9.5)</f>
        <v>9.5</v>
      </c>
      <c r="T4" s="343" t="s">
        <v>1367</v>
      </c>
      <c r="U4" s="343">
        <f>IFERROR(__xludf.DUMMYFUNCTION("IF(ISBLANK(T4), , 
SWITCH(
LEN(T4)- LEN(SUBSTITUTE(T4,"","","""")), 
0 , VLOOKUP(T4, vote4ACTIONS!A:C , 3, FALSE),
1 , VLOOKUP(index(split(T4 ,"", "", FALSE),1,1), vote4ACTIONS!A:C , 3, FALSE) + VLOOKUP(index(split(T4 ,"", "", FALSE),1,2), vote4ACTIONS!A:"&amp;"C , 3, FALSE),
2 , VLOOKUP(index(split(T4 ,"", "", FALSE),1,1), vote4ACTIONS!A:C , 3, FALSE) + VLOOKUP(index(split(T4 ,"", "", FALSE),1,2), vote4ACTIONS!A:C , 3, FALSE) + VLOOKUP(index(split(T4 ,"", "", FALSE),1,3), vote4ACTIONS!A:C , 3, FALSE)
)
)"),4.0)</f>
        <v>4</v>
      </c>
      <c r="V4" s="343" t="s">
        <v>1564</v>
      </c>
      <c r="W4" s="517">
        <f>IF(ISBLANK(V4),,IF(IFERROR(SEARCH("SS:",V4),0) &gt; 0, 
VLOOKUP(SUBSTITUTE(V4,"SS: ",""),vote4SURGE!$A:$C , 3, FALSE) - 2,
VLOOKUP(SUBSTITUTE(V4,"S: ",""),vote4SURGE!$A:$C , 3, FALSE)
)
)</f>
        <v>3.5</v>
      </c>
      <c r="X4" s="343"/>
      <c r="Y4" s="343" t="str">
        <f>IF(ISBLANK(X4),,IF(IFERROR(SEARCH("SS:",X4),0) &gt; 0, 
VLOOKUP(SUBSTITUTE(X4,"SS: ",""),vote4SURGE!$A:$C , 3, FALSE) - 2,
VLOOKUP(SUBSTITUTE(X4,"S: ",""),vote4SURGE!$A:$C , 3, FALSE)
)
)</f>
        <v/>
      </c>
      <c r="Z4" s="343"/>
      <c r="AA4" s="343" t="str">
        <f>IF(ISBLANK(Z4),,IF(IFERROR(SEARCH("SS:",Z4),0) &gt; 0, 
VLOOKUP(SUBSTITUTE(Z4,"SS: ",""),vote4SURGE!$A:$C , 3, FALSE) - 2,
VLOOKUP(SUBSTITUTE(Z4,"S: ",""),vote4SURGE!$A:$C , 3, FALSE)
)
)</f>
        <v/>
      </c>
      <c r="AB4" s="343">
        <f t="shared" si="1"/>
        <v>3.5</v>
      </c>
      <c r="AC4" s="343">
        <f>ROUND(IFS(
IFERROR(SEARCH("Blue, Yellow, Yellow, Green",P4),0) &gt; 0 , VLOOKUP("Blue", Variables!A:C , 3 , FALSE) + (VLOOKUP("Yellow", Variables!A:C , 3 , FALSE) * 2) + VLOOKUP("Green", Variables!A:C , 3 , FALSE),
IFERROR(SEARCH("Blue, Yellow, Green, Green",P4),0) &gt; 0 , VLOOKUP("Blue", Variables!A:C , 3 , FALSE) + VLOOKUP("Yellow", Variables!A:C , 3 , FALSE)  + (VLOOKUP("Green", Variables!A:C , 3 , FALSE) * 2),
IFERROR(SEARCH("Blue, Red, Red",P4),0) &gt; 0 , VLOOKUP("Blue", Variables!A:C , 3 , FALSE) + VLOOKUP("Red", Variables!A:C , 3 , FALSE) * 2,
IFERROR(SEARCH("Blue, Yellow, Yellow",P4),0) &gt; 0 , VLOOKUP("Blue", Variables!A:C , 3 , FALSE) + (VLOOKUP("Yellow", Variables!A:C , 3 , FALSE) * 2),
IFERROR(SEARCH("Blue, Yellow, Green",P4),0) &gt; 0 , VLOOKUP("Blue", Variables!A:C , 3 , FALSE) + VLOOKUP("Yellow", Variables!A:C , 3 , FALSE) + VLOOKUP("Green", Variables!A:C , 3 , FALSE),
IFERROR(SEARCH("Blue, Red, Green",P4),0) &gt; 0 , VLOOKUP("Blue", Variables!A:C , 3 , FALSE) + VLOOKUP("Red", Variables!A:C , 3 , FALSE) + VLOOKUP("Green", Variables!A:C , 3 , FALSE),
IFERROR(SEARCH("Blue, Red, Yellow",P4),0) &gt; 0 , VLOOKUP("Blue", Variables!A:C , 3 , FALSE) + VLOOKUP("Red", Variables!A:C , 3 , FALSE) + VLOOKUP("Yellow", Variables!A:C , 3 , FALSE),
IFERROR(SEARCH("Blue, Green, Green",P4),0) &gt; 0 , VLOOKUP("Blue", Variables!A:C , 3 , FALSE) + (VLOOKUP("Green", Variables!A:C , 3 , FALSE) * 2),
IFERROR(SEARCH("Blue, Yellow",P4),0) &gt; 0 , VLOOKUP("Blue", Variables!A:C , 3 , FALSE) + VLOOKUP("Yellow", Variables!A:C , 3 , FALSE),
IFERROR(SEARCH("Blue, Red",P4),0) &gt; 0 , VLOOKUP("Blue", Variables!A:C , 3 , FALSE) + VLOOKUP("Red", Variables!A:C , 3 , FALSE),
IFERROR(SEARCH("Blue, Green",P4),0) &gt; 0 , VLOOKUP("Blue", Variables!A:C , 3 , FALSE) + VLOOKUP("Green", Variables!A:C , 3 , FALSE),
IFERROR(SEARCH("Green",P4),0) &gt; 0 , VLOOKUP("Green", Variables!A:C , 3 , FALSE),
IFERROR(SEARCH("Blue",P4),0) &gt; 0 , VLOOKUP("Blue", Variables!A:C , 3 , FALSE),
IFERROR(SEARCH("Yellow",P4),0) &gt; 0 , VLOOKUP("Yellow", Variables!A:C , 3 , FALSE),
IFERROR(SEARCH("Black, Black",P4),0) &gt; 0 , VLOOKUP("Black", Variables!A:C , 3 , FALSE) * 2,
IFERROR(SEARCH("Grey, Grey",P4),0) &gt; 0 , VLOOKUP("Grey", Variables!A:C , 3 , FALSE) * 2,
IFERROR(SEARCH("Grey, Brown",P4),0) &gt; 0 , VLOOKUP("Grey", Variables!A:C , 3 , FALSE)  + VLOOKUP("Brown", Variables!A:C , 3 , FALSE),
IFERROR(SEARCH("Black, Grey",P4),0) &gt; 0 , VLOOKUP("Black", Variables!A:C , 3 , FALSE) + VLOOKUP("Grey", Variables!A:C , 3 , FALSE),
IFERROR(SEARCH("Black, Brown",P4),0) &gt; 0 , VLOOKUP("Black", Variables!A:C , 3 , FALSE) + VLOOKUP("Brown", Variables!A:C , 3 , FALSE),
IFERROR(SEARCH("Black",P4),0) &gt; 0 , VLOOKUP("Black", Variables!A:C , 3 , FALSE),
IFERROR(SEARCH("Grey",P4),0) &gt; 0 , VLOOKUP("Grey", Variables!A:C , 3 , FALSE),
IFERROR(SEARCH("Brown",P4),0) &gt; 0 , VLOOKUP("Brown", Variables!A:C , 3 , FALSE),
0=0,0)
,
)</f>
        <v>1</v>
      </c>
      <c r="AD4" s="343">
        <f t="shared" si="2"/>
        <v>1</v>
      </c>
      <c r="AE4" s="345">
        <f t="shared" si="3"/>
        <v>22.5</v>
      </c>
      <c r="AF4" s="383"/>
    </row>
    <row r="5">
      <c r="A5" s="509" t="s">
        <v>2664</v>
      </c>
      <c r="B5" s="510">
        <v>1.0</v>
      </c>
      <c r="C5" s="510">
        <v>1.0</v>
      </c>
      <c r="D5" s="511" t="s">
        <v>1827</v>
      </c>
      <c r="E5" s="512" t="s">
        <v>2665</v>
      </c>
      <c r="F5" s="513">
        <v>4.0</v>
      </c>
      <c r="G5" s="514">
        <v>10.0</v>
      </c>
      <c r="H5" s="515" t="s">
        <v>1663</v>
      </c>
      <c r="I5" s="513">
        <v>4.0</v>
      </c>
      <c r="J5" s="514">
        <v>12.0</v>
      </c>
      <c r="K5" s="515" t="s">
        <v>2575</v>
      </c>
      <c r="L5" s="513">
        <v>4.0</v>
      </c>
      <c r="M5" s="514">
        <v>14.0</v>
      </c>
      <c r="N5" s="515" t="s">
        <v>2575</v>
      </c>
      <c r="O5" s="343" t="s">
        <v>1567</v>
      </c>
      <c r="P5" s="343" t="s">
        <v>1548</v>
      </c>
      <c r="Q5" s="342">
        <f>IFS(
IFERROR(SEARCH("Blue, Yellow, Yellow, Green",P5),0) &gt; 0 , VLOOKUP("Blue", Variables!A:C , 2 , FALSE) + (VLOOKUP("Yellow", Variables!A:C , 2 , FALSE) * 2) + VLOOKUP("Green", Variables!A:C , 2 , FALSE),
IFERROR(SEARCH("Blue, Red, Yellow, Green",P5),0) &gt; 0 , VLOOKUP("Blue", Variables!A:C , 2 , FALSE) + VLOOKUP("Red", Variables!A:C , 2 , FALSE) + (VLOOKUP("Yellow", Variables!A:C , 2 , FALSE) * 2) + VLOOKUP("Green", Variables!A:C , 2 , FALSE),
IFERROR(SEARCH("Blue, Yellow, Green, Green",P5),0) &gt; 0 , VLOOKUP("Blue", Variables!A:C , 2 , FALSE) + VLOOKUP("Yellow", Variables!A:C , 2 , FALSE)  + (VLOOKUP("Green", Variables!A:C , 2 , FALSE) * 2),
IFERROR(SEARCH("Blue, Red, Yellow, Yellow",P5),0) &gt; 0 , VLOOKUP("Blue", Variables!A:C , 2 , FALSE) + VLOOKUP("Yellow", Variables!A:C , 2 , FALSE) * 2  + (VLOOKUP("Red", Variables!A:C , 2 , FALSE) * 2),
IFERROR(SEARCH("Blue, Red, Red",P5),0) &gt; 0 , VLOOKUP("Blue", Variables!A:C , 2 , FALSE) + VLOOKUP("Red", Variables!A:C , 2 , FALSE) * 2,
IFERROR(SEARCH("Blue, Yellow, Yellow",P5),0) &gt; 0 , VLOOKUP("Blue", Variables!A:C , 2 , FALSE) + (VLOOKUP("Yellow", Variables!A:C , 2 , FALSE) * 2),
IFERROR(SEARCH("Blue, Yellow, Green",P5),0) &gt; 0 , VLOOKUP("Blue", Variables!A:C , 2 , FALSE) + VLOOKUP("Yellow", Variables!A:C , 2 , FALSE) + VLOOKUP("Green", Variables!A:C , 2 , FALSE),
IFERROR(SEARCH("Blue, Red, Green",P5),0) &gt; 0 , VLOOKUP("Blue", Variables!A:C , 2 , FALSE) + VLOOKUP("Red", Variables!A:C , 2 , FALSE) + VLOOKUP("Green", Variables!A:C , 2 , FALSE),
IFERROR(SEARCH("Blue, Red, Yellow",P5),0) &gt; 0 , VLOOKUP("Blue", Variables!A:C , 2 , FALSE) + VLOOKUP("Red", Variables!A:C , 2 , FALSE) + VLOOKUP("Yellow", Variables!A:C , 2 , FALSE),
IFERROR(SEARCH("Blue, Green, Green",P5),0) &gt; 0 , VLOOKUP("Blue", Variables!A:C , 2 , FALSE) + (VLOOKUP("Green", Variables!A:C , 2 , FALSE) * 2),
IFERROR(SEARCH("Blue, Yellow",P5),0) &gt; 0 , VLOOKUP("Blue", Variables!A:C , 2 , FALSE) + VLOOKUP("Yellow", Variables!A:C , 2 , FALSE),
IFERROR(SEARCH("Blue, Red",P5),0) &gt; 0 , VLOOKUP("Blue", Variables!A:C , 2 , FALSE) + VLOOKUP("Red", Variables!A:C , 2 , FALSE),
IFERROR(SEARCH("Blue, Green",P5),0) &gt; 0 , VLOOKUP("Blue", Variables!A:C , 2 , FALSE) + VLOOKUP("Green", Variables!A:C , 2 , FALSE),
IFERROR(SEARCH("Green",P5),0) &gt; 0 , VLOOKUP("Green", Variables!A:C , 2 , FALSE),
IFERROR(SEARCH("Blue",P5),0) &gt; 0 , VLOOKUP("Blue", Variables!A:C , 2 , FALSE),
IFERROR(SEARCH("Yellow",P5),0) &gt; 0 , VLOOKUP("Yellow", Variables!A:C , 2 , FALSE),
IFERROR(SEARCH("Black, Black",P5),0) &gt; 0 , VLOOKUP("Black", Variables!A:C , 2, FALSE) * 2,
IFERROR(SEARCH("Grey, Grey",P5),0) &gt; 0 , VLOOKUP("Grey", Variables!A:C , 2, FALSE) * 2,
IFERROR(SEARCH("Grey, Brown",P5),0) &gt; 0 , VLOOKUP("Grey", Variables!A:C , 2, FALSE)  + VLOOKUP("Brown", Variables!A:C , 2, FALSE),
IFERROR(SEARCH("Black, Grey",P5),0) &gt; 0 , VLOOKUP("Black", Variables!A:C , 2, FALSE) + VLOOKUP("Grey", Variables!A:C , 2, FALSE),
IFERROR(SEARCH("Black, Brown",P5),0) &gt; 0 , VLOOKUP("Black", Variables!A:C , 2, FALSE) + VLOOKUP("Brown", Variables!A:C , 2, FALSE),
IFERROR(SEARCH("Black",P5),0) &gt; 0 , VLOOKUP("Black", Variables!A:C , 2, FALSE),
IFERROR(SEARCH("Grey",P5),0) &gt; 0 , VLOOKUP("Grey", Variables!A:C , 2, FALSE),
IFERROR(SEARCH("Brown",P5),0) &gt; 0 , VLOOKUP("Brown", Variables!A:C , 2, FALSE),
0=0,0)
+
IF(O5 ="Ranged", 1 , 0)</f>
        <v>3.333333333</v>
      </c>
      <c r="R5" s="343" t="s">
        <v>997</v>
      </c>
      <c r="S5" s="342">
        <f>IFERROR(__xludf.DUMMYFUNCTION("IF(ISBLANK(R5), , 
SWITCH(
LEN(R5)- LEN(SUBSTITUTE(R5,"","","""")), 
0 , VLOOKUP(R5, vote4TRAITS!A:C , 3, FALSE),
1 , VLOOKUP(index(split(R5 ,"", "", FALSE),1,1), vote4TRAITS!A:C , 3, FALSE) + VLOOKUP(index(split(R5 ,"", "", FALSE),1,2), vote4TRAITS!A:C ,"&amp;" 3, FALSE),
2 , VLOOKUP(index(split(R5 ,"", "", FALSE),1,1), vote4TRAITS!A:C , 3, FALSE) + VLOOKUP(index(split(R5 ,"", "", FALSE),1,2), vote4TRAITS!A:C , 3, FALSE) + VLOOKUP(index(split(R5 ,"", "", FALSE),1,3), vote4TRAITS!A:C , 3, FALSE)
)
)"),3.0)</f>
        <v>3</v>
      </c>
      <c r="T5" s="343" t="s">
        <v>1320</v>
      </c>
      <c r="U5" s="343">
        <f>IFERROR(__xludf.DUMMYFUNCTION("IF(ISBLANK(T5), , 
SWITCH(
LEN(T5)- LEN(SUBSTITUTE(T5,"","","""")), 
0 , VLOOKUP(T5, vote4ACTIONS!A:C , 3, FALSE),
1 , VLOOKUP(index(split(T5 ,"", "", FALSE),1,1), vote4ACTIONS!A:C , 3, FALSE) + VLOOKUP(index(split(T5 ,"", "", FALSE),1,2), vote4ACTIONS!A:"&amp;"C , 3, FALSE),
2 , VLOOKUP(index(split(T5 ,"", "", FALSE),1,1), vote4ACTIONS!A:C , 3, FALSE) + VLOOKUP(index(split(T5 ,"", "", FALSE),1,2), vote4ACTIONS!A:C , 3, FALSE) + VLOOKUP(index(split(T5 ,"", "", FALSE),1,3), vote4ACTIONS!A:C , 3, FALSE)
)
)"),2.0)</f>
        <v>2</v>
      </c>
      <c r="V5" s="343" t="s">
        <v>1534</v>
      </c>
      <c r="W5" s="517">
        <f>IF(ISBLANK(V5),,IF(IFERROR(SEARCH("SS:",V5),0) &gt; 0, 
VLOOKUP(SUBSTITUTE(V5,"SS: ",""),vote4SURGE!$A:$C , 3, FALSE) - 2,
VLOOKUP(SUBSTITUTE(V5,"S: ",""),vote4SURGE!$A:$C , 3, FALSE)
)
)</f>
        <v>4.25</v>
      </c>
      <c r="X5" s="343"/>
      <c r="Y5" s="343" t="str">
        <f>IF(ISBLANK(X5),,IF(IFERROR(SEARCH("SS:",X5),0) &gt; 0, 
VLOOKUP(SUBSTITUTE(X5,"SS: ",""),vote4SURGE!$A:$C , 3, FALSE) - 2,
VLOOKUP(SUBSTITUTE(X5,"S: ",""),vote4SURGE!$A:$C , 3, FALSE)
)
)</f>
        <v/>
      </c>
      <c r="Z5" s="343"/>
      <c r="AA5" s="343" t="str">
        <f>IF(ISBLANK(Z5),,IF(IFERROR(SEARCH("SS:",Z5),0) &gt; 0, 
VLOOKUP(SUBSTITUTE(Z5,"SS: ",""),vote4SURGE!$A:$C , 3, FALSE) - 2,
VLOOKUP(SUBSTITUTE(Z5,"S: ",""),vote4SURGE!$A:$C , 3, FALSE)
)
)</f>
        <v/>
      </c>
      <c r="AB5" s="343">
        <f t="shared" si="1"/>
        <v>4.25</v>
      </c>
      <c r="AC5" s="343">
        <f>ROUND(IFS(
IFERROR(SEARCH("Blue, Yellow, Yellow, Green",P5),0) &gt; 0 , VLOOKUP("Blue", Variables!A:C , 3 , FALSE) + (VLOOKUP("Yellow", Variables!A:C , 3 , FALSE) * 2) + VLOOKUP("Green", Variables!A:C , 3 , FALSE),
IFERROR(SEARCH("Blue, Yellow, Green, Green",P5),0) &gt; 0 , VLOOKUP("Blue", Variables!A:C , 3 , FALSE) + VLOOKUP("Yellow", Variables!A:C , 3 , FALSE)  + (VLOOKUP("Green", Variables!A:C , 3 , FALSE) * 2),
IFERROR(SEARCH("Blue, Red, Red",P5),0) &gt; 0 , VLOOKUP("Blue", Variables!A:C , 3 , FALSE) + VLOOKUP("Red", Variables!A:C , 3 , FALSE) * 2,
IFERROR(SEARCH("Blue, Yellow, Yellow",P5),0) &gt; 0 , VLOOKUP("Blue", Variables!A:C , 3 , FALSE) + (VLOOKUP("Yellow", Variables!A:C , 3 , FALSE) * 2),
IFERROR(SEARCH("Blue, Yellow, Green",P5),0) &gt; 0 , VLOOKUP("Blue", Variables!A:C , 3 , FALSE) + VLOOKUP("Yellow", Variables!A:C , 3 , FALSE) + VLOOKUP("Green", Variables!A:C , 3 , FALSE),
IFERROR(SEARCH("Blue, Red, Green",P5),0) &gt; 0 , VLOOKUP("Blue", Variables!A:C , 3 , FALSE) + VLOOKUP("Red", Variables!A:C , 3 , FALSE) + VLOOKUP("Green", Variables!A:C , 3 , FALSE),
IFERROR(SEARCH("Blue, Red, Yellow",P5),0) &gt; 0 , VLOOKUP("Blue", Variables!A:C , 3 , FALSE) + VLOOKUP("Red", Variables!A:C , 3 , FALSE) + VLOOKUP("Yellow", Variables!A:C , 3 , FALSE),
IFERROR(SEARCH("Blue, Green, Green",P5),0) &gt; 0 , VLOOKUP("Blue", Variables!A:C , 3 , FALSE) + (VLOOKUP("Green", Variables!A:C , 3 , FALSE) * 2),
IFERROR(SEARCH("Blue, Yellow",P5),0) &gt; 0 , VLOOKUP("Blue", Variables!A:C , 3 , FALSE) + VLOOKUP("Yellow", Variables!A:C , 3 , FALSE),
IFERROR(SEARCH("Blue, Red",P5),0) &gt; 0 , VLOOKUP("Blue", Variables!A:C , 3 , FALSE) + VLOOKUP("Red", Variables!A:C , 3 , FALSE),
IFERROR(SEARCH("Blue, Green",P5),0) &gt; 0 , VLOOKUP("Blue", Variables!A:C , 3 , FALSE) + VLOOKUP("Green", Variables!A:C , 3 , FALSE),
IFERROR(SEARCH("Green",P5),0) &gt; 0 , VLOOKUP("Green", Variables!A:C , 3 , FALSE),
IFERROR(SEARCH("Blue",P5),0) &gt; 0 , VLOOKUP("Blue", Variables!A:C , 3 , FALSE),
IFERROR(SEARCH("Yellow",P5),0) &gt; 0 , VLOOKUP("Yellow", Variables!A:C , 3 , FALSE),
IFERROR(SEARCH("Black, Black",P5),0) &gt; 0 , VLOOKUP("Black", Variables!A:C , 3 , FALSE) * 2,
IFERROR(SEARCH("Grey, Grey",P5),0) &gt; 0 , VLOOKUP("Grey", Variables!A:C , 3 , FALSE) * 2,
IFERROR(SEARCH("Grey, Brown",P5),0) &gt; 0 , VLOOKUP("Grey", Variables!A:C , 3 , FALSE)  + VLOOKUP("Brown", Variables!A:C , 3 , FALSE),
IFERROR(SEARCH("Black, Grey",P5),0) &gt; 0 , VLOOKUP("Black", Variables!A:C , 3 , FALSE) + VLOOKUP("Grey", Variables!A:C , 3 , FALSE),
IFERROR(SEARCH("Black, Brown",P5),0) &gt; 0 , VLOOKUP("Black", Variables!A:C , 3 , FALSE) + VLOOKUP("Brown", Variables!A:C , 3 , FALSE),
IFERROR(SEARCH("Black",P5),0) &gt; 0 , VLOOKUP("Black", Variables!A:C , 3 , FALSE),
IFERROR(SEARCH("Grey",P5),0) &gt; 0 , VLOOKUP("Grey", Variables!A:C , 3 , FALSE),
IFERROR(SEARCH("Brown",P5),0) &gt; 0 , VLOOKUP("Brown", Variables!A:C , 3 , FALSE),
0=0,0)
,
)</f>
        <v>1</v>
      </c>
      <c r="AD5" s="343">
        <f t="shared" si="2"/>
        <v>1</v>
      </c>
      <c r="AE5" s="345">
        <f t="shared" si="3"/>
        <v>12.58333333</v>
      </c>
    </row>
    <row r="6">
      <c r="A6" s="509" t="s">
        <v>2664</v>
      </c>
      <c r="B6" s="380">
        <v>2.0</v>
      </c>
      <c r="C6" s="380">
        <v>1.0</v>
      </c>
      <c r="D6" s="511" t="s">
        <v>1827</v>
      </c>
      <c r="E6" s="512" t="s">
        <v>2665</v>
      </c>
      <c r="F6" s="513">
        <v>4.0</v>
      </c>
      <c r="G6" s="514">
        <v>14.0</v>
      </c>
      <c r="H6" s="515" t="s">
        <v>1671</v>
      </c>
      <c r="I6" s="513">
        <v>4.0</v>
      </c>
      <c r="J6" s="514">
        <v>16.0</v>
      </c>
      <c r="K6" s="340" t="s">
        <v>2594</v>
      </c>
      <c r="L6" s="513">
        <v>4.0</v>
      </c>
      <c r="M6" s="514">
        <v>18.0</v>
      </c>
      <c r="N6" s="340" t="s">
        <v>2594</v>
      </c>
      <c r="O6" s="343" t="s">
        <v>1567</v>
      </c>
      <c r="P6" s="343" t="s">
        <v>1546</v>
      </c>
      <c r="Q6" s="342">
        <f>IFS(
IFERROR(SEARCH("Blue, Yellow, Yellow, Green",P6),0) &gt; 0 , VLOOKUP("Blue", Variables!A:C , 2 , FALSE) + (VLOOKUP("Yellow", Variables!A:C , 2 , FALSE) * 2) + VLOOKUP("Green", Variables!A:C , 2 , FALSE),
IFERROR(SEARCH("Blue, Red, Yellow, Green",P6),0) &gt; 0 , VLOOKUP("Blue", Variables!A:C , 2 , FALSE) + VLOOKUP("Red", Variables!A:C , 2 , FALSE) + (VLOOKUP("Yellow", Variables!A:C , 2 , FALSE) * 2) + VLOOKUP("Green", Variables!A:C , 2 , FALSE),
IFERROR(SEARCH("Blue, Yellow, Green, Green",P6),0) &gt; 0 , VLOOKUP("Blue", Variables!A:C , 2 , FALSE) + VLOOKUP("Yellow", Variables!A:C , 2 , FALSE)  + (VLOOKUP("Green", Variables!A:C , 2 , FALSE) * 2),
IFERROR(SEARCH("Blue, Red, Yellow, Yellow",P6),0) &gt; 0 , VLOOKUP("Blue", Variables!A:C , 2 , FALSE) + VLOOKUP("Yellow", Variables!A:C , 2 , FALSE) * 2  + (VLOOKUP("Red", Variables!A:C , 2 , FALSE) * 2),
IFERROR(SEARCH("Blue, Red, Red",P6),0) &gt; 0 , VLOOKUP("Blue", Variables!A:C , 2 , FALSE) + VLOOKUP("Red", Variables!A:C , 2 , FALSE) * 2,
IFERROR(SEARCH("Blue, Yellow, Yellow",P6),0) &gt; 0 , VLOOKUP("Blue", Variables!A:C , 2 , FALSE) + (VLOOKUP("Yellow", Variables!A:C , 2 , FALSE) * 2),
IFERROR(SEARCH("Blue, Yellow, Green",P6),0) &gt; 0 , VLOOKUP("Blue", Variables!A:C , 2 , FALSE) + VLOOKUP("Yellow", Variables!A:C , 2 , FALSE) + VLOOKUP("Green", Variables!A:C , 2 , FALSE),
IFERROR(SEARCH("Blue, Red, Green",P6),0) &gt; 0 , VLOOKUP("Blue", Variables!A:C , 2 , FALSE) + VLOOKUP("Red", Variables!A:C , 2 , FALSE) + VLOOKUP("Green", Variables!A:C , 2 , FALSE),
IFERROR(SEARCH("Blue, Red, Yellow",P6),0) &gt; 0 , VLOOKUP("Blue", Variables!A:C , 2 , FALSE) + VLOOKUP("Red", Variables!A:C , 2 , FALSE) + VLOOKUP("Yellow", Variables!A:C , 2 , FALSE),
IFERROR(SEARCH("Blue, Green, Green",P6),0) &gt; 0 , VLOOKUP("Blue", Variables!A:C , 2 , FALSE) + (VLOOKUP("Green", Variables!A:C , 2 , FALSE) * 2),
IFERROR(SEARCH("Blue, Yellow",P6),0) &gt; 0 , VLOOKUP("Blue", Variables!A:C , 2 , FALSE) + VLOOKUP("Yellow", Variables!A:C , 2 , FALSE),
IFERROR(SEARCH("Blue, Red",P6),0) &gt; 0 , VLOOKUP("Blue", Variables!A:C , 2 , FALSE) + VLOOKUP("Red", Variables!A:C , 2 , FALSE),
IFERROR(SEARCH("Blue, Green",P6),0) &gt; 0 , VLOOKUP("Blue", Variables!A:C , 2 , FALSE) + VLOOKUP("Green", Variables!A:C , 2 , FALSE),
IFERROR(SEARCH("Green",P6),0) &gt; 0 , VLOOKUP("Green", Variables!A:C , 2 , FALSE),
IFERROR(SEARCH("Blue",P6),0) &gt; 0 , VLOOKUP("Blue", Variables!A:C , 2 , FALSE),
IFERROR(SEARCH("Yellow",P6),0) &gt; 0 , VLOOKUP("Yellow", Variables!A:C , 2 , FALSE),
IFERROR(SEARCH("Black, Black",P6),0) &gt; 0 , VLOOKUP("Black", Variables!A:C , 2, FALSE) * 2,
IFERROR(SEARCH("Grey, Grey",P6),0) &gt; 0 , VLOOKUP("Grey", Variables!A:C , 2, FALSE) * 2,
IFERROR(SEARCH("Grey, Brown",P6),0) &gt; 0 , VLOOKUP("Grey", Variables!A:C , 2, FALSE)  + VLOOKUP("Brown", Variables!A:C , 2, FALSE),
IFERROR(SEARCH("Black, Grey",P6),0) &gt; 0 , VLOOKUP("Black", Variables!A:C , 2, FALSE) + VLOOKUP("Grey", Variables!A:C , 2, FALSE),
IFERROR(SEARCH("Black, Brown",P6),0) &gt; 0 , VLOOKUP("Black", Variables!A:C , 2, FALSE) + VLOOKUP("Brown", Variables!A:C , 2, FALSE),
IFERROR(SEARCH("Black",P6),0) &gt; 0 , VLOOKUP("Black", Variables!A:C , 2, FALSE),
IFERROR(SEARCH("Grey",P6),0) &gt; 0 , VLOOKUP("Grey", Variables!A:C , 2, FALSE),
IFERROR(SEARCH("Brown",P6),0) &gt; 0 , VLOOKUP("Brown", Variables!A:C , 2, FALSE),
0=0,0)
+
IF(O6 ="Ranged", 1 , 0)</f>
        <v>4.5</v>
      </c>
      <c r="R6" s="343" t="s">
        <v>997</v>
      </c>
      <c r="S6" s="342">
        <f>IFERROR(__xludf.DUMMYFUNCTION("IF(ISBLANK(R6), , 
SWITCH(
LEN(R6)- LEN(SUBSTITUTE(R6,"","","""")), 
0 , VLOOKUP(R6, vote4TRAITS!A:C , 3, FALSE),
1 , VLOOKUP(index(split(R6 ,"", "", FALSE),1,1), vote4TRAITS!A:C , 3, FALSE) + VLOOKUP(index(split(R6 ,"", "", FALSE),1,2), vote4TRAITS!A:C ,"&amp;" 3, FALSE),
2 , VLOOKUP(index(split(R6 ,"", "", FALSE),1,1), vote4TRAITS!A:C , 3, FALSE) + VLOOKUP(index(split(R6 ,"", "", FALSE),1,2), vote4TRAITS!A:C , 3, FALSE) + VLOOKUP(index(split(R6 ,"", "", FALSE),1,3), vote4TRAITS!A:C , 3, FALSE)
)
)"),3.0)</f>
        <v>3</v>
      </c>
      <c r="T6" s="343" t="s">
        <v>2733</v>
      </c>
      <c r="U6" s="343">
        <f>IFERROR(__xludf.DUMMYFUNCTION("IF(ISBLANK(T6), , 
SWITCH(
LEN(T6)- LEN(SUBSTITUTE(T6,"","","""")), 
0 , VLOOKUP(T6, vote4ACTIONS!A:C , 3, FALSE),
1 , VLOOKUP(index(split(T6 ,"", "", FALSE),1,1), vote4ACTIONS!A:C , 3, FALSE) + VLOOKUP(index(split(T6 ,"", "", FALSE),1,2), vote4ACTIONS!A:"&amp;"C , 3, FALSE),
2 , VLOOKUP(index(split(T6 ,"", "", FALSE),1,1), vote4ACTIONS!A:C , 3, FALSE) + VLOOKUP(index(split(T6 ,"", "", FALSE),1,2), vote4ACTIONS!A:C , 3, FALSE) + VLOOKUP(index(split(T6 ,"", "", FALSE),1,3), vote4ACTIONS!A:C , 3, FALSE)
)
)"),6.0)</f>
        <v>6</v>
      </c>
      <c r="V6" s="343" t="s">
        <v>1566</v>
      </c>
      <c r="W6" s="517">
        <f>IF(ISBLANK(V6),,IF(IFERROR(SEARCH("SS:",V6),0) &gt; 0, 
VLOOKUP(SUBSTITUTE(V6,"SS: ",""),vote4SURGE!$A:$C , 3, FALSE) - 2,
VLOOKUP(SUBSTITUTE(V6,"S: ",""),vote4SURGE!$A:$C , 3, FALSE)
)
)</f>
        <v>3</v>
      </c>
      <c r="X6" s="343"/>
      <c r="Y6" s="343" t="str">
        <f>IF(ISBLANK(X6),,IF(IFERROR(SEARCH("SS:",X6),0) &gt; 0, 
VLOOKUP(SUBSTITUTE(X6,"SS: ",""),vote4SURGE!$A:$C , 3, FALSE) - 2,
VLOOKUP(SUBSTITUTE(X6,"S: ",""),vote4SURGE!$A:$C , 3, FALSE)
)
)</f>
        <v/>
      </c>
      <c r="Z6" s="343"/>
      <c r="AA6" s="343" t="str">
        <f>IF(ISBLANK(Z6),,IF(IFERROR(SEARCH("SS:",Z6),0) &gt; 0, 
VLOOKUP(SUBSTITUTE(Z6,"SS: ",""),vote4SURGE!$A:$C , 3, FALSE) - 2,
VLOOKUP(SUBSTITUTE(Z6,"S: ",""),vote4SURGE!$A:$C , 3, FALSE)
)
)</f>
        <v/>
      </c>
      <c r="AB6" s="517">
        <f t="shared" si="1"/>
        <v>3</v>
      </c>
      <c r="AC6" s="343">
        <f>ROUND(IFS(
IFERROR(SEARCH("Blue, Yellow, Yellow, Green",P6),0) &gt; 0 , VLOOKUP("Blue", Variables!A:C , 3 , FALSE) + (VLOOKUP("Yellow", Variables!A:C , 3 , FALSE) * 2) + VLOOKUP("Green", Variables!A:C , 3 , FALSE),
IFERROR(SEARCH("Blue, Yellow, Green, Green",P6),0) &gt; 0 , VLOOKUP("Blue", Variables!A:C , 3 , FALSE) + VLOOKUP("Yellow", Variables!A:C , 3 , FALSE)  + (VLOOKUP("Green", Variables!A:C , 3 , FALSE) * 2),
IFERROR(SEARCH("Blue, Red, Red",P6),0) &gt; 0 , VLOOKUP("Blue", Variables!A:C , 3 , FALSE) + VLOOKUP("Red", Variables!A:C , 3 , FALSE) * 2,
IFERROR(SEARCH("Blue, Yellow, Yellow",P6),0) &gt; 0 , VLOOKUP("Blue", Variables!A:C , 3 , FALSE) + (VLOOKUP("Yellow", Variables!A:C , 3 , FALSE) * 2),
IFERROR(SEARCH("Blue, Yellow, Green",P6),0) &gt; 0 , VLOOKUP("Blue", Variables!A:C , 3 , FALSE) + VLOOKUP("Yellow", Variables!A:C , 3 , FALSE) + VLOOKUP("Green", Variables!A:C , 3 , FALSE),
IFERROR(SEARCH("Blue, Red, Green",P6),0) &gt; 0 , VLOOKUP("Blue", Variables!A:C , 3 , FALSE) + VLOOKUP("Red", Variables!A:C , 3 , FALSE) + VLOOKUP("Green", Variables!A:C , 3 , FALSE),
IFERROR(SEARCH("Blue, Red, Yellow",P6),0) &gt; 0 , VLOOKUP("Blue", Variables!A:C , 3 , FALSE) + VLOOKUP("Red", Variables!A:C , 3 , FALSE) + VLOOKUP("Yellow", Variables!A:C , 3 , FALSE),
IFERROR(SEARCH("Blue, Green, Green",P6),0) &gt; 0 , VLOOKUP("Blue", Variables!A:C , 3 , FALSE) + (VLOOKUP("Green", Variables!A:C , 3 , FALSE) * 2),
IFERROR(SEARCH("Blue, Yellow",P6),0) &gt; 0 , VLOOKUP("Blue", Variables!A:C , 3 , FALSE) + VLOOKUP("Yellow", Variables!A:C , 3 , FALSE),
IFERROR(SEARCH("Blue, Red",P6),0) &gt; 0 , VLOOKUP("Blue", Variables!A:C , 3 , FALSE) + VLOOKUP("Red", Variables!A:C , 3 , FALSE),
IFERROR(SEARCH("Blue, Green",P6),0) &gt; 0 , VLOOKUP("Blue", Variables!A:C , 3 , FALSE) + VLOOKUP("Green", Variables!A:C , 3 , FALSE),
IFERROR(SEARCH("Green",P6),0) &gt; 0 , VLOOKUP("Green", Variables!A:C , 3 , FALSE),
IFERROR(SEARCH("Blue",P6),0) &gt; 0 , VLOOKUP("Blue", Variables!A:C , 3 , FALSE),
IFERROR(SEARCH("Yellow",P6),0) &gt; 0 , VLOOKUP("Yellow", Variables!A:C , 3 , FALSE),
IFERROR(SEARCH("Black, Black",P6),0) &gt; 0 , VLOOKUP("Black", Variables!A:C , 3 , FALSE) * 2,
IFERROR(SEARCH("Grey, Grey",P6),0) &gt; 0 , VLOOKUP("Grey", Variables!A:C , 3 , FALSE) * 2,
IFERROR(SEARCH("Grey, Brown",P6),0) &gt; 0 , VLOOKUP("Grey", Variables!A:C , 3 , FALSE)  + VLOOKUP("Brown", Variables!A:C , 3 , FALSE),
IFERROR(SEARCH("Black, Grey",P6),0) &gt; 0 , VLOOKUP("Black", Variables!A:C , 3 , FALSE) + VLOOKUP("Grey", Variables!A:C , 3 , FALSE),
IFERROR(SEARCH("Black, Brown",P6),0) &gt; 0 , VLOOKUP("Black", Variables!A:C , 3 , FALSE) + VLOOKUP("Brown", Variables!A:C , 3 , FALSE),
IFERROR(SEARCH("Black",P6),0) &gt; 0 , VLOOKUP("Black", Variables!A:C , 3 , FALSE),
IFERROR(SEARCH("Grey",P6),0) &gt; 0 , VLOOKUP("Grey", Variables!A:C , 3 , FALSE),
IFERROR(SEARCH("Brown",P6),0) &gt; 0 , VLOOKUP("Brown", Variables!A:C , 3 , FALSE),
0=0,0)
,
)</f>
        <v>1</v>
      </c>
      <c r="AD6" s="343">
        <f t="shared" si="2"/>
        <v>2</v>
      </c>
      <c r="AE6" s="345">
        <f t="shared" si="3"/>
        <v>16.5</v>
      </c>
    </row>
    <row r="7">
      <c r="A7" s="509" t="s">
        <v>2668</v>
      </c>
      <c r="B7" s="510">
        <v>1.0</v>
      </c>
      <c r="C7" s="510">
        <v>1.0</v>
      </c>
      <c r="D7" s="511" t="s">
        <v>2669</v>
      </c>
      <c r="E7" s="512" t="s">
        <v>2670</v>
      </c>
      <c r="F7" s="513">
        <v>4.0</v>
      </c>
      <c r="G7" s="514">
        <v>10.0</v>
      </c>
      <c r="H7" s="515" t="s">
        <v>1671</v>
      </c>
      <c r="I7" s="513">
        <v>4.0</v>
      </c>
      <c r="J7" s="514">
        <v>13.0</v>
      </c>
      <c r="K7" s="515" t="s">
        <v>1671</v>
      </c>
      <c r="L7" s="513">
        <v>4.0</v>
      </c>
      <c r="M7" s="514">
        <v>16.0</v>
      </c>
      <c r="N7" s="515" t="s">
        <v>1671</v>
      </c>
      <c r="O7" s="343" t="s">
        <v>1521</v>
      </c>
      <c r="P7" s="343" t="s">
        <v>1525</v>
      </c>
      <c r="Q7" s="342">
        <f>IFS(
IFERROR(SEARCH("Blue, Yellow, Yellow, Green",P7),0) &gt; 0 , VLOOKUP("Blue", Variables!A:C , 2 , FALSE) + (VLOOKUP("Yellow", Variables!A:C , 2 , FALSE) * 2) + VLOOKUP("Green", Variables!A:C , 2 , FALSE),
IFERROR(SEARCH("Blue, Red, Yellow, Green",P7),0) &gt; 0 , VLOOKUP("Blue", Variables!A:C , 2 , FALSE) + VLOOKUP("Red", Variables!A:C , 2 , FALSE) + (VLOOKUP("Yellow", Variables!A:C , 2 , FALSE) * 2) + VLOOKUP("Green", Variables!A:C , 2 , FALSE),
IFERROR(SEARCH("Blue, Yellow, Green, Green",P7),0) &gt; 0 , VLOOKUP("Blue", Variables!A:C , 2 , FALSE) + VLOOKUP("Yellow", Variables!A:C , 2 , FALSE)  + (VLOOKUP("Green", Variables!A:C , 2 , FALSE) * 2),
IFERROR(SEARCH("Blue, Red, Yellow, Yellow",P7),0) &gt; 0 , VLOOKUP("Blue", Variables!A:C , 2 , FALSE) + VLOOKUP("Yellow", Variables!A:C , 2 , FALSE) * 2  + (VLOOKUP("Red", Variables!A:C , 2 , FALSE) * 2),
IFERROR(SEARCH("Blue, Red, Red",P7),0) &gt; 0 , VLOOKUP("Blue", Variables!A:C , 2 , FALSE) + VLOOKUP("Red", Variables!A:C , 2 , FALSE) * 2,
IFERROR(SEARCH("Blue, Yellow, Yellow",P7),0) &gt; 0 , VLOOKUP("Blue", Variables!A:C , 2 , FALSE) + (VLOOKUP("Yellow", Variables!A:C , 2 , FALSE) * 2),
IFERROR(SEARCH("Blue, Yellow, Green",P7),0) &gt; 0 , VLOOKUP("Blue", Variables!A:C , 2 , FALSE) + VLOOKUP("Yellow", Variables!A:C , 2 , FALSE) + VLOOKUP("Green", Variables!A:C , 2 , FALSE),
IFERROR(SEARCH("Blue, Red, Green",P7),0) &gt; 0 , VLOOKUP("Blue", Variables!A:C , 2 , FALSE) + VLOOKUP("Red", Variables!A:C , 2 , FALSE) + VLOOKUP("Green", Variables!A:C , 2 , FALSE),
IFERROR(SEARCH("Blue, Red, Yellow",P7),0) &gt; 0 , VLOOKUP("Blue", Variables!A:C , 2 , FALSE) + VLOOKUP("Red", Variables!A:C , 2 , FALSE) + VLOOKUP("Yellow", Variables!A:C , 2 , FALSE),
IFERROR(SEARCH("Blue, Green, Green",P7),0) &gt; 0 , VLOOKUP("Blue", Variables!A:C , 2 , FALSE) + (VLOOKUP("Green", Variables!A:C , 2 , FALSE) * 2),
IFERROR(SEARCH("Blue, Yellow",P7),0) &gt; 0 , VLOOKUP("Blue", Variables!A:C , 2 , FALSE) + VLOOKUP("Yellow", Variables!A:C , 2 , FALSE),
IFERROR(SEARCH("Blue, Red",P7),0) &gt; 0 , VLOOKUP("Blue", Variables!A:C , 2 , FALSE) + VLOOKUP("Red", Variables!A:C , 2 , FALSE),
IFERROR(SEARCH("Blue, Green",P7),0) &gt; 0 , VLOOKUP("Blue", Variables!A:C , 2 , FALSE) + VLOOKUP("Green", Variables!A:C , 2 , FALSE),
IFERROR(SEARCH("Green",P7),0) &gt; 0 , VLOOKUP("Green", Variables!A:C , 2 , FALSE),
IFERROR(SEARCH("Blue",P7),0) &gt; 0 , VLOOKUP("Blue", Variables!A:C , 2 , FALSE),
IFERROR(SEARCH("Yellow",P7),0) &gt; 0 , VLOOKUP("Yellow", Variables!A:C , 2 , FALSE),
IFERROR(SEARCH("Black, Black",P7),0) &gt; 0 , VLOOKUP("Black", Variables!A:C , 2, FALSE) * 2,
IFERROR(SEARCH("Grey, Grey",P7),0) &gt; 0 , VLOOKUP("Grey", Variables!A:C , 2, FALSE) * 2,
IFERROR(SEARCH("Grey, Brown",P7),0) &gt; 0 , VLOOKUP("Grey", Variables!A:C , 2, FALSE)  + VLOOKUP("Brown", Variables!A:C , 2, FALSE),
IFERROR(SEARCH("Black, Grey",P7),0) &gt; 0 , VLOOKUP("Black", Variables!A:C , 2, FALSE) + VLOOKUP("Grey", Variables!A:C , 2, FALSE),
IFERROR(SEARCH("Black, Brown",P7),0) &gt; 0 , VLOOKUP("Black", Variables!A:C , 2, FALSE) + VLOOKUP("Brown", Variables!A:C , 2, FALSE),
IFERROR(SEARCH("Black",P7),0) &gt; 0 , VLOOKUP("Black", Variables!A:C , 2, FALSE),
IFERROR(SEARCH("Grey",P7),0) &gt; 0 , VLOOKUP("Grey", Variables!A:C , 2, FALSE),
IFERROR(SEARCH("Brown",P7),0) &gt; 0 , VLOOKUP("Brown", Variables!A:C , 2, FALSE),
0=0,0)
+
IF(O7 ="Ranged", 1 , 0)</f>
        <v>3.333333333</v>
      </c>
      <c r="R7" s="343"/>
      <c r="S7" s="342" t="str">
        <f>IFERROR(__xludf.DUMMYFUNCTION("IF(ISBLANK(R7), , 
SWITCH(
LEN(R7)- LEN(SUBSTITUTE(R7,"","","""")), 
0 , VLOOKUP(R7, vote4TRAITS!A:C , 3, FALSE),
1 , VLOOKUP(index(split(R7 ,"", "", FALSE),1,1), vote4TRAITS!A:C , 3, FALSE) + VLOOKUP(index(split(R7 ,"", "", FALSE),1,2), vote4TRAITS!A:C ,"&amp;" 3, FALSE),
2 , VLOOKUP(index(split(R7 ,"", "", FALSE),1,1), vote4TRAITS!A:C , 3, FALSE) + VLOOKUP(index(split(R7 ,"", "", FALSE),1,2), vote4TRAITS!A:C , 3, FALSE) + VLOOKUP(index(split(R7 ,"", "", FALSE),1,3), vote4TRAITS!A:C , 3, FALSE)
)
)"),"")</f>
        <v/>
      </c>
      <c r="T7" s="343" t="s">
        <v>1322</v>
      </c>
      <c r="U7" s="343">
        <f>IFERROR(__xludf.DUMMYFUNCTION("IF(ISBLANK(T7), , 
SWITCH(
LEN(T7)- LEN(SUBSTITUTE(T7,"","","""")), 
0 , VLOOKUP(T7, vote4ACTIONS!A:C , 3, FALSE),
1 , VLOOKUP(index(split(T7 ,"", "", FALSE),1,1), vote4ACTIONS!A:C , 3, FALSE) + VLOOKUP(index(split(T7 ,"", "", FALSE),1,2), vote4ACTIONS!A:"&amp;"C , 3, FALSE),
2 , VLOOKUP(index(split(T7 ,"", "", FALSE),1,1), vote4ACTIONS!A:C , 3, FALSE) + VLOOKUP(index(split(T7 ,"", "", FALSE),1,2), vote4ACTIONS!A:C , 3, FALSE) + VLOOKUP(index(split(T7 ,"", "", FALSE),1,3), vote4ACTIONS!A:C , 3, FALSE)
)
)"),1.0)</f>
        <v>1</v>
      </c>
      <c r="V7" s="343" t="s">
        <v>1524</v>
      </c>
      <c r="W7" s="517">
        <f>IF(ISBLANK(V7),,IF(IFERROR(SEARCH("SS:",V7),0) &gt; 0, 
VLOOKUP(SUBSTITUTE(V7,"SS: ",""),vote4SURGE!$A:$C , 3, FALSE) - 2,
VLOOKUP(SUBSTITUTE(V7,"S: ",""),vote4SURGE!$A:$C , 3, FALSE)
)
)</f>
        <v>4.5</v>
      </c>
      <c r="X7" s="343"/>
      <c r="Y7" s="343" t="str">
        <f>IF(ISBLANK(X7),,IF(IFERROR(SEARCH("SS:",X7),0) &gt; 0, 
VLOOKUP(SUBSTITUTE(X7,"SS: ",""),vote4SURGE!$A:$C , 3, FALSE) - 2,
VLOOKUP(SUBSTITUTE(X7,"S: ",""),vote4SURGE!$A:$C , 3, FALSE)
)
)</f>
        <v/>
      </c>
      <c r="Z7" s="343"/>
      <c r="AA7" s="343" t="str">
        <f>IF(ISBLANK(Z7),,IF(IFERROR(SEARCH("SS:",Z7),0) &gt; 0, 
VLOOKUP(SUBSTITUTE(Z7,"SS: ",""),vote4SURGE!$A:$C , 3, FALSE) - 2,
VLOOKUP(SUBSTITUTE(Z7,"S: ",""),vote4SURGE!$A:$C , 3, FALSE)
)
)</f>
        <v/>
      </c>
      <c r="AB7" s="343">
        <f t="shared" si="1"/>
        <v>4.5</v>
      </c>
      <c r="AC7" s="343">
        <f>ROUND(IFS(
IFERROR(SEARCH("Blue, Yellow, Yellow, Green",P7),0) &gt; 0 , VLOOKUP("Blue", Variables!A:C , 3 , FALSE) + (VLOOKUP("Yellow", Variables!A:C , 3 , FALSE) * 2) + VLOOKUP("Green", Variables!A:C , 3 , FALSE),
IFERROR(SEARCH("Blue, Yellow, Green, Green",P7),0) &gt; 0 , VLOOKUP("Blue", Variables!A:C , 3 , FALSE) + VLOOKUP("Yellow", Variables!A:C , 3 , FALSE)  + (VLOOKUP("Green", Variables!A:C , 3 , FALSE) * 2),
IFERROR(SEARCH("Blue, Red, Red",P7),0) &gt; 0 , VLOOKUP("Blue", Variables!A:C , 3 , FALSE) + VLOOKUP("Red", Variables!A:C , 3 , FALSE) * 2,
IFERROR(SEARCH("Blue, Yellow, Yellow",P7),0) &gt; 0 , VLOOKUP("Blue", Variables!A:C , 3 , FALSE) + (VLOOKUP("Yellow", Variables!A:C , 3 , FALSE) * 2),
IFERROR(SEARCH("Blue, Yellow, Green",P7),0) &gt; 0 , VLOOKUP("Blue", Variables!A:C , 3 , FALSE) + VLOOKUP("Yellow", Variables!A:C , 3 , FALSE) + VLOOKUP("Green", Variables!A:C , 3 , FALSE),
IFERROR(SEARCH("Blue, Red, Green",P7),0) &gt; 0 , VLOOKUP("Blue", Variables!A:C , 3 , FALSE) + VLOOKUP("Red", Variables!A:C , 3 , FALSE) + VLOOKUP("Green", Variables!A:C , 3 , FALSE),
IFERROR(SEARCH("Blue, Red, Yellow",P7),0) &gt; 0 , VLOOKUP("Blue", Variables!A:C , 3 , FALSE) + VLOOKUP("Red", Variables!A:C , 3 , FALSE) + VLOOKUP("Yellow", Variables!A:C , 3 , FALSE),
IFERROR(SEARCH("Blue, Green, Green",P7),0) &gt; 0 , VLOOKUP("Blue", Variables!A:C , 3 , FALSE) + (VLOOKUP("Green", Variables!A:C , 3 , FALSE) * 2),
IFERROR(SEARCH("Blue, Yellow",P7),0) &gt; 0 , VLOOKUP("Blue", Variables!A:C , 3 , FALSE) + VLOOKUP("Yellow", Variables!A:C , 3 , FALSE),
IFERROR(SEARCH("Blue, Red",P7),0) &gt; 0 , VLOOKUP("Blue", Variables!A:C , 3 , FALSE) + VLOOKUP("Red", Variables!A:C , 3 , FALSE),
IFERROR(SEARCH("Blue, Green",P7),0) &gt; 0 , VLOOKUP("Blue", Variables!A:C , 3 , FALSE) + VLOOKUP("Green", Variables!A:C , 3 , FALSE),
IFERROR(SEARCH("Green",P7),0) &gt; 0 , VLOOKUP("Green", Variables!A:C , 3 , FALSE),
IFERROR(SEARCH("Blue",P7),0) &gt; 0 , VLOOKUP("Blue", Variables!A:C , 3 , FALSE),
IFERROR(SEARCH("Yellow",P7),0) &gt; 0 , VLOOKUP("Yellow", Variables!A:C , 3 , FALSE),
IFERROR(SEARCH("Black, Black",P7),0) &gt; 0 , VLOOKUP("Black", Variables!A:C , 3 , FALSE) * 2,
IFERROR(SEARCH("Grey, Grey",P7),0) &gt; 0 , VLOOKUP("Grey", Variables!A:C , 3 , FALSE) * 2,
IFERROR(SEARCH("Grey, Brown",P7),0) &gt; 0 , VLOOKUP("Grey", Variables!A:C , 3 , FALSE)  + VLOOKUP("Brown", Variables!A:C , 3 , FALSE),
IFERROR(SEARCH("Black, Grey",P7),0) &gt; 0 , VLOOKUP("Black", Variables!A:C , 3 , FALSE) + VLOOKUP("Grey", Variables!A:C , 3 , FALSE),
IFERROR(SEARCH("Black, Brown",P7),0) &gt; 0 , VLOOKUP("Black", Variables!A:C , 3 , FALSE) + VLOOKUP("Brown", Variables!A:C , 3 , FALSE),
IFERROR(SEARCH("Black",P7),0) &gt; 0 , VLOOKUP("Black", Variables!A:C , 3 , FALSE),
IFERROR(SEARCH("Grey",P7),0) &gt; 0 , VLOOKUP("Grey", Variables!A:C , 3 , FALSE),
IFERROR(SEARCH("Brown",P7),0) &gt; 0 , VLOOKUP("Brown", Variables!A:C , 3 , FALSE),
0=0,0)
,
)</f>
        <v>1</v>
      </c>
      <c r="AD7" s="343">
        <f t="shared" si="2"/>
        <v>1</v>
      </c>
      <c r="AE7" s="345">
        <f t="shared" si="3"/>
        <v>8.833333333</v>
      </c>
    </row>
    <row r="8">
      <c r="A8" s="509" t="s">
        <v>2668</v>
      </c>
      <c r="B8" s="380">
        <v>2.0</v>
      </c>
      <c r="C8" s="380">
        <v>1.0</v>
      </c>
      <c r="D8" s="511" t="s">
        <v>2669</v>
      </c>
      <c r="E8" s="512" t="s">
        <v>2670</v>
      </c>
      <c r="F8" s="513">
        <v>4.0</v>
      </c>
      <c r="G8" s="514">
        <v>16.0</v>
      </c>
      <c r="H8" s="515" t="s">
        <v>2599</v>
      </c>
      <c r="I8" s="513">
        <v>4.0</v>
      </c>
      <c r="J8" s="514">
        <v>18.0</v>
      </c>
      <c r="K8" s="515" t="s">
        <v>2671</v>
      </c>
      <c r="L8" s="513">
        <v>4.0</v>
      </c>
      <c r="M8" s="514">
        <v>20.0</v>
      </c>
      <c r="N8" s="515" t="s">
        <v>2666</v>
      </c>
      <c r="O8" s="343" t="s">
        <v>1521</v>
      </c>
      <c r="P8" s="343" t="s">
        <v>1528</v>
      </c>
      <c r="Q8" s="342">
        <f>IFS(
IFERROR(SEARCH("Blue, Yellow, Yellow, Green",P8),0) &gt; 0 , VLOOKUP("Blue", Variables!A:C , 2 , FALSE) + (VLOOKUP("Yellow", Variables!A:C , 2 , FALSE) * 2) + VLOOKUP("Green", Variables!A:C , 2 , FALSE),
IFERROR(SEARCH("Blue, Red, Yellow, Green",P8),0) &gt; 0 , VLOOKUP("Blue", Variables!A:C , 2 , FALSE) + VLOOKUP("Red", Variables!A:C , 2 , FALSE) + (VLOOKUP("Yellow", Variables!A:C , 2 , FALSE) * 2) + VLOOKUP("Green", Variables!A:C , 2 , FALSE),
IFERROR(SEARCH("Blue, Yellow, Green, Green",P8),0) &gt; 0 , VLOOKUP("Blue", Variables!A:C , 2 , FALSE) + VLOOKUP("Yellow", Variables!A:C , 2 , FALSE)  + (VLOOKUP("Green", Variables!A:C , 2 , FALSE) * 2),
IFERROR(SEARCH("Blue, Red, Yellow, Yellow",P8),0) &gt; 0 , VLOOKUP("Blue", Variables!A:C , 2 , FALSE) + VLOOKUP("Yellow", Variables!A:C , 2 , FALSE) * 2  + (VLOOKUP("Red", Variables!A:C , 2 , FALSE) * 2),
IFERROR(SEARCH("Blue, Red, Red",P8),0) &gt; 0 , VLOOKUP("Blue", Variables!A:C , 2 , FALSE) + VLOOKUP("Red", Variables!A:C , 2 , FALSE) * 2,
IFERROR(SEARCH("Blue, Yellow, Yellow",P8),0) &gt; 0 , VLOOKUP("Blue", Variables!A:C , 2 , FALSE) + (VLOOKUP("Yellow", Variables!A:C , 2 , FALSE) * 2),
IFERROR(SEARCH("Blue, Yellow, Green",P8),0) &gt; 0 , VLOOKUP("Blue", Variables!A:C , 2 , FALSE) + VLOOKUP("Yellow", Variables!A:C , 2 , FALSE) + VLOOKUP("Green", Variables!A:C , 2 , FALSE),
IFERROR(SEARCH("Blue, Red, Green",P8),0) &gt; 0 , VLOOKUP("Blue", Variables!A:C , 2 , FALSE) + VLOOKUP("Red", Variables!A:C , 2 , FALSE) + VLOOKUP("Green", Variables!A:C , 2 , FALSE),
IFERROR(SEARCH("Blue, Red, Yellow",P8),0) &gt; 0 , VLOOKUP("Blue", Variables!A:C , 2 , FALSE) + VLOOKUP("Red", Variables!A:C , 2 , FALSE) + VLOOKUP("Yellow", Variables!A:C , 2 , FALSE),
IFERROR(SEARCH("Blue, Green, Green",P8),0) &gt; 0 , VLOOKUP("Blue", Variables!A:C , 2 , FALSE) + (VLOOKUP("Green", Variables!A:C , 2 , FALSE) * 2),
IFERROR(SEARCH("Blue, Yellow",P8),0) &gt; 0 , VLOOKUP("Blue", Variables!A:C , 2 , FALSE) + VLOOKUP("Yellow", Variables!A:C , 2 , FALSE),
IFERROR(SEARCH("Blue, Red",P8),0) &gt; 0 , VLOOKUP("Blue", Variables!A:C , 2 , FALSE) + VLOOKUP("Red", Variables!A:C , 2 , FALSE),
IFERROR(SEARCH("Blue, Green",P8),0) &gt; 0 , VLOOKUP("Blue", Variables!A:C , 2 , FALSE) + VLOOKUP("Green", Variables!A:C , 2 , FALSE),
IFERROR(SEARCH("Green",P8),0) &gt; 0 , VLOOKUP("Green", Variables!A:C , 2 , FALSE),
IFERROR(SEARCH("Blue",P8),0) &gt; 0 , VLOOKUP("Blue", Variables!A:C , 2 , FALSE),
IFERROR(SEARCH("Yellow",P8),0) &gt; 0 , VLOOKUP("Yellow", Variables!A:C , 2 , FALSE),
IFERROR(SEARCH("Black, Black",P8),0) &gt; 0 , VLOOKUP("Black", Variables!A:C , 2, FALSE) * 2,
IFERROR(SEARCH("Grey, Grey",P8),0) &gt; 0 , VLOOKUP("Grey", Variables!A:C , 2, FALSE) * 2,
IFERROR(SEARCH("Grey, Brown",P8),0) &gt; 0 , VLOOKUP("Grey", Variables!A:C , 2, FALSE)  + VLOOKUP("Brown", Variables!A:C , 2, FALSE),
IFERROR(SEARCH("Black, Grey",P8),0) &gt; 0 , VLOOKUP("Black", Variables!A:C , 2, FALSE) + VLOOKUP("Grey", Variables!A:C , 2, FALSE),
IFERROR(SEARCH("Black, Brown",P8),0) &gt; 0 , VLOOKUP("Black", Variables!A:C , 2, FALSE) + VLOOKUP("Brown", Variables!A:C , 2, FALSE),
IFERROR(SEARCH("Black",P8),0) &gt; 0 , VLOOKUP("Black", Variables!A:C , 2, FALSE),
IFERROR(SEARCH("Grey",P8),0) &gt; 0 , VLOOKUP("Grey", Variables!A:C , 2, FALSE),
IFERROR(SEARCH("Brown",P8),0) &gt; 0 , VLOOKUP("Brown", Variables!A:C , 2, FALSE),
0=0,0)
+
IF(O8 ="Ranged", 1 , 0)</f>
        <v>5.5</v>
      </c>
      <c r="R8" s="343"/>
      <c r="S8" s="342" t="str">
        <f>IFERROR(__xludf.DUMMYFUNCTION("IF(ISBLANK(R8), , 
SWITCH(
LEN(R8)- LEN(SUBSTITUTE(R8,"","","""")), 
0 , VLOOKUP(R8, vote4TRAITS!A:C , 3, FALSE),
1 , VLOOKUP(index(split(R8 ,"", "", FALSE),1,1), vote4TRAITS!A:C , 3, FALSE) + VLOOKUP(index(split(R8 ,"", "", FALSE),1,2), vote4TRAITS!A:C ,"&amp;" 3, FALSE),
2 , VLOOKUP(index(split(R8 ,"", "", FALSE),1,1), vote4TRAITS!A:C , 3, FALSE) + VLOOKUP(index(split(R8 ,"", "", FALSE),1,2), vote4TRAITS!A:C , 3, FALSE) + VLOOKUP(index(split(R8 ,"", "", FALSE),1,3), vote4TRAITS!A:C , 3, FALSE)
)
)"),"")</f>
        <v/>
      </c>
      <c r="T8" s="343" t="s">
        <v>2672</v>
      </c>
      <c r="U8" s="343">
        <f>IFERROR(__xludf.DUMMYFUNCTION("IF(ISBLANK(T8), , 
SWITCH(
LEN(T8)- LEN(SUBSTITUTE(T8,"","","""")), 
0 , VLOOKUP(T8, vote4ACTIONS!A:C , 3, FALSE),
1 , VLOOKUP(index(split(T8 ,"", "", FALSE),1,1), vote4ACTIONS!A:C , 3, FALSE) + VLOOKUP(index(split(T8 ,"", "", FALSE),1,2), vote4ACTIONS!A:"&amp;"C , 3, FALSE),
2 , VLOOKUP(index(split(T8 ,"", "", FALSE),1,1), vote4ACTIONS!A:C , 3, FALSE) + VLOOKUP(index(split(T8 ,"", "", FALSE),1,2), vote4ACTIONS!A:C , 3, FALSE) + VLOOKUP(index(split(T8 ,"", "", FALSE),1,3), vote4ACTIONS!A:C , 3, FALSE)
)
)"),5.0)</f>
        <v>5</v>
      </c>
      <c r="V8" s="343" t="s">
        <v>1524</v>
      </c>
      <c r="W8" s="517">
        <f>IF(ISBLANK(V8),,IF(IFERROR(SEARCH("SS:",V8),0) &gt; 0, 
VLOOKUP(SUBSTITUTE(V8,"SS: ",""),vote4SURGE!$A:$C , 3, FALSE) - 2,
VLOOKUP(SUBSTITUTE(V8,"S: ",""),vote4SURGE!$A:$C , 3, FALSE)
)
)</f>
        <v>4.5</v>
      </c>
      <c r="X8" s="343" t="s">
        <v>2673</v>
      </c>
      <c r="Y8" s="517">
        <f>IF(ISBLANK(X8),,IF(IFERROR(SEARCH("SS:",X8),0) &gt; 0, 
VLOOKUP(SUBSTITUTE(X8,"SS: ",""),vote4SURGE!$A:$C , 3, FALSE) - 2,
VLOOKUP(SUBSTITUTE(X8,"S: ",""),vote4SURGE!$A:$C , 3, FALSE)
)
)</f>
        <v>4</v>
      </c>
      <c r="Z8" s="343"/>
      <c r="AA8" s="343" t="str">
        <f>IF(ISBLANK(Z8),,IF(IFERROR(SEARCH("SS:",Z8),0) &gt; 0, 
VLOOKUP(SUBSTITUTE(Z8,"SS: ",""),vote4SURGE!$A:$C , 3, FALSE) - 2,
VLOOKUP(SUBSTITUTE(Z8,"S: ",""),vote4SURGE!$A:$C , 3, FALSE)
)
)</f>
        <v/>
      </c>
      <c r="AB8" s="517">
        <f t="shared" si="1"/>
        <v>6.5</v>
      </c>
      <c r="AC8" s="343">
        <f>ROUND(IFS(
IFERROR(SEARCH("Blue, Yellow, Yellow, Green",P8),0) &gt; 0 , VLOOKUP("Blue", Variables!A:C , 3 , FALSE) + (VLOOKUP("Yellow", Variables!A:C , 3 , FALSE) * 2) + VLOOKUP("Green", Variables!A:C , 3 , FALSE),
IFERROR(SEARCH("Blue, Yellow, Green, Green",P8),0) &gt; 0 , VLOOKUP("Blue", Variables!A:C , 3 , FALSE) + VLOOKUP("Yellow", Variables!A:C , 3 , FALSE)  + (VLOOKUP("Green", Variables!A:C , 3 , FALSE) * 2),
IFERROR(SEARCH("Blue, Red, Red",P8),0) &gt; 0 , VLOOKUP("Blue", Variables!A:C , 3 , FALSE) + VLOOKUP("Red", Variables!A:C , 3 , FALSE) * 2,
IFERROR(SEARCH("Blue, Yellow, Yellow",P8),0) &gt; 0 , VLOOKUP("Blue", Variables!A:C , 3 , FALSE) + (VLOOKUP("Yellow", Variables!A:C , 3 , FALSE) * 2),
IFERROR(SEARCH("Blue, Yellow, Green",P8),0) &gt; 0 , VLOOKUP("Blue", Variables!A:C , 3 , FALSE) + VLOOKUP("Yellow", Variables!A:C , 3 , FALSE) + VLOOKUP("Green", Variables!A:C , 3 , FALSE),
IFERROR(SEARCH("Blue, Red, Green",P8),0) &gt; 0 , VLOOKUP("Blue", Variables!A:C , 3 , FALSE) + VLOOKUP("Red", Variables!A:C , 3 , FALSE) + VLOOKUP("Green", Variables!A:C , 3 , FALSE),
IFERROR(SEARCH("Blue, Red, Yellow",P8),0) &gt; 0 , VLOOKUP("Blue", Variables!A:C , 3 , FALSE) + VLOOKUP("Red", Variables!A:C , 3 , FALSE) + VLOOKUP("Yellow", Variables!A:C , 3 , FALSE),
IFERROR(SEARCH("Blue, Green, Green",P8),0) &gt; 0 , VLOOKUP("Blue", Variables!A:C , 3 , FALSE) + (VLOOKUP("Green", Variables!A:C , 3 , FALSE) * 2),
IFERROR(SEARCH("Blue, Yellow",P8),0) &gt; 0 , VLOOKUP("Blue", Variables!A:C , 3 , FALSE) + VLOOKUP("Yellow", Variables!A:C , 3 , FALSE),
IFERROR(SEARCH("Blue, Red",P8),0) &gt; 0 , VLOOKUP("Blue", Variables!A:C , 3 , FALSE) + VLOOKUP("Red", Variables!A:C , 3 , FALSE),
IFERROR(SEARCH("Blue, Green",P8),0) &gt; 0 , VLOOKUP("Blue", Variables!A:C , 3 , FALSE) + VLOOKUP("Green", Variables!A:C , 3 , FALSE),
IFERROR(SEARCH("Green",P8),0) &gt; 0 , VLOOKUP("Green", Variables!A:C , 3 , FALSE),
IFERROR(SEARCH("Blue",P8),0) &gt; 0 , VLOOKUP("Blue", Variables!A:C , 3 , FALSE),
IFERROR(SEARCH("Yellow",P8),0) &gt; 0 , VLOOKUP("Yellow", Variables!A:C , 3 , FALSE),
IFERROR(SEARCH("Black, Black",P8),0) &gt; 0 , VLOOKUP("Black", Variables!A:C , 3 , FALSE) * 2,
IFERROR(SEARCH("Grey, Grey",P8),0) &gt; 0 , VLOOKUP("Grey", Variables!A:C , 3 , FALSE) * 2,
IFERROR(SEARCH("Grey, Brown",P8),0) &gt; 0 , VLOOKUP("Grey", Variables!A:C , 3 , FALSE)  + VLOOKUP("Brown", Variables!A:C , 3 , FALSE),
IFERROR(SEARCH("Black, Grey",P8),0) &gt; 0 , VLOOKUP("Black", Variables!A:C , 3 , FALSE) + VLOOKUP("Grey", Variables!A:C , 3 , FALSE),
IFERROR(SEARCH("Black, Brown",P8),0) &gt; 0 , VLOOKUP("Black", Variables!A:C , 3 , FALSE) + VLOOKUP("Brown", Variables!A:C , 3 , FALSE),
IFERROR(SEARCH("Black",P8),0) &gt; 0 , VLOOKUP("Black", Variables!A:C , 3 , FALSE),
IFERROR(SEARCH("Grey",P8),0) &gt; 0 , VLOOKUP("Grey", Variables!A:C , 3 , FALSE),
IFERROR(SEARCH("Brown",P8),0) &gt; 0 , VLOOKUP("Brown", Variables!A:C , 3 , FALSE),
0=0,0)
,
)</f>
        <v>1</v>
      </c>
      <c r="AD8" s="343">
        <f t="shared" si="2"/>
        <v>2</v>
      </c>
      <c r="AE8" s="345">
        <f t="shared" si="3"/>
        <v>17</v>
      </c>
      <c r="AF8" s="383"/>
    </row>
    <row r="9">
      <c r="A9" s="509" t="s">
        <v>2674</v>
      </c>
      <c r="B9" s="510">
        <v>1.0</v>
      </c>
      <c r="C9" s="510">
        <v>1.0</v>
      </c>
      <c r="D9" s="511" t="s">
        <v>2669</v>
      </c>
      <c r="E9" s="512" t="s">
        <v>2675</v>
      </c>
      <c r="F9" s="513">
        <v>4.0</v>
      </c>
      <c r="G9" s="514">
        <v>9.0</v>
      </c>
      <c r="H9" s="515" t="s">
        <v>1663</v>
      </c>
      <c r="I9" s="513">
        <v>4.0</v>
      </c>
      <c r="J9" s="514">
        <v>11.0</v>
      </c>
      <c r="K9" s="515" t="s">
        <v>2575</v>
      </c>
      <c r="L9" s="513">
        <v>4.0</v>
      </c>
      <c r="M9" s="514">
        <v>15.0</v>
      </c>
      <c r="N9" s="515" t="s">
        <v>2575</v>
      </c>
      <c r="O9" s="343" t="s">
        <v>1521</v>
      </c>
      <c r="P9" s="343" t="s">
        <v>1525</v>
      </c>
      <c r="Q9" s="342">
        <f>IFS(
IFERROR(SEARCH("Blue, Yellow, Yellow, Green",P9),0) &gt; 0 , VLOOKUP("Blue", Variables!A:C , 2 , FALSE) + (VLOOKUP("Yellow", Variables!A:C , 2 , FALSE) * 2) + VLOOKUP("Green", Variables!A:C , 2 , FALSE),
IFERROR(SEARCH("Blue, Red, Yellow, Green",P9),0) &gt; 0 , VLOOKUP("Blue", Variables!A:C , 2 , FALSE) + VLOOKUP("Red", Variables!A:C , 2 , FALSE) + (VLOOKUP("Yellow", Variables!A:C , 2 , FALSE) * 2) + VLOOKUP("Green", Variables!A:C , 2 , FALSE),
IFERROR(SEARCH("Blue, Yellow, Green, Green",P9),0) &gt; 0 , VLOOKUP("Blue", Variables!A:C , 2 , FALSE) + VLOOKUP("Yellow", Variables!A:C , 2 , FALSE)  + (VLOOKUP("Green", Variables!A:C , 2 , FALSE) * 2),
IFERROR(SEARCH("Blue, Red, Yellow, Yellow",P9),0) &gt; 0 , VLOOKUP("Blue", Variables!A:C , 2 , FALSE) + VLOOKUP("Yellow", Variables!A:C , 2 , FALSE) * 2  + (VLOOKUP("Red", Variables!A:C , 2 , FALSE) * 2),
IFERROR(SEARCH("Blue, Red, Red",P9),0) &gt; 0 , VLOOKUP("Blue", Variables!A:C , 2 , FALSE) + VLOOKUP("Red", Variables!A:C , 2 , FALSE) * 2,
IFERROR(SEARCH("Blue, Yellow, Yellow",P9),0) &gt; 0 , VLOOKUP("Blue", Variables!A:C , 2 , FALSE) + (VLOOKUP("Yellow", Variables!A:C , 2 , FALSE) * 2),
IFERROR(SEARCH("Blue, Yellow, Green",P9),0) &gt; 0 , VLOOKUP("Blue", Variables!A:C , 2 , FALSE) + VLOOKUP("Yellow", Variables!A:C , 2 , FALSE) + VLOOKUP("Green", Variables!A:C , 2 , FALSE),
IFERROR(SEARCH("Blue, Red, Green",P9),0) &gt; 0 , VLOOKUP("Blue", Variables!A:C , 2 , FALSE) + VLOOKUP("Red", Variables!A:C , 2 , FALSE) + VLOOKUP("Green", Variables!A:C , 2 , FALSE),
IFERROR(SEARCH("Blue, Red, Yellow",P9),0) &gt; 0 , VLOOKUP("Blue", Variables!A:C , 2 , FALSE) + VLOOKUP("Red", Variables!A:C , 2 , FALSE) + VLOOKUP("Yellow", Variables!A:C , 2 , FALSE),
IFERROR(SEARCH("Blue, Green, Green",P9),0) &gt; 0 , VLOOKUP("Blue", Variables!A:C , 2 , FALSE) + (VLOOKUP("Green", Variables!A:C , 2 , FALSE) * 2),
IFERROR(SEARCH("Blue, Yellow",P9),0) &gt; 0 , VLOOKUP("Blue", Variables!A:C , 2 , FALSE) + VLOOKUP("Yellow", Variables!A:C , 2 , FALSE),
IFERROR(SEARCH("Blue, Red",P9),0) &gt; 0 , VLOOKUP("Blue", Variables!A:C , 2 , FALSE) + VLOOKUP("Red", Variables!A:C , 2 , FALSE),
IFERROR(SEARCH("Blue, Green",P9),0) &gt; 0 , VLOOKUP("Blue", Variables!A:C , 2 , FALSE) + VLOOKUP("Green", Variables!A:C , 2 , FALSE),
IFERROR(SEARCH("Green",P9),0) &gt; 0 , VLOOKUP("Green", Variables!A:C , 2 , FALSE),
IFERROR(SEARCH("Blue",P9),0) &gt; 0 , VLOOKUP("Blue", Variables!A:C , 2 , FALSE),
IFERROR(SEARCH("Yellow",P9),0) &gt; 0 , VLOOKUP("Yellow", Variables!A:C , 2 , FALSE),
IFERROR(SEARCH("Black, Black",P9),0) &gt; 0 , VLOOKUP("Black", Variables!A:C , 2, FALSE) * 2,
IFERROR(SEARCH("Grey, Grey",P9),0) &gt; 0 , VLOOKUP("Grey", Variables!A:C , 2, FALSE) * 2,
IFERROR(SEARCH("Grey, Brown",P9),0) &gt; 0 , VLOOKUP("Grey", Variables!A:C , 2, FALSE)  + VLOOKUP("Brown", Variables!A:C , 2, FALSE),
IFERROR(SEARCH("Black, Grey",P9),0) &gt; 0 , VLOOKUP("Black", Variables!A:C , 2, FALSE) + VLOOKUP("Grey", Variables!A:C , 2, FALSE),
IFERROR(SEARCH("Black, Brown",P9),0) &gt; 0 , VLOOKUP("Black", Variables!A:C , 2, FALSE) + VLOOKUP("Brown", Variables!A:C , 2, FALSE),
IFERROR(SEARCH("Black",P9),0) &gt; 0 , VLOOKUP("Black", Variables!A:C , 2, FALSE),
IFERROR(SEARCH("Grey",P9),0) &gt; 0 , VLOOKUP("Grey", Variables!A:C , 2, FALSE),
IFERROR(SEARCH("Brown",P9),0) &gt; 0 , VLOOKUP("Brown", Variables!A:C , 2, FALSE),
0=0,0)
+
IF(O9 ="Ranged", 1 , 0)</f>
        <v>3.333333333</v>
      </c>
      <c r="R9" s="343" t="s">
        <v>2676</v>
      </c>
      <c r="S9" s="342">
        <f>IFERROR(__xludf.DUMMYFUNCTION("IF(ISBLANK(R9), , 
SWITCH(
LEN(R9)- LEN(SUBSTITUTE(R9,"","","""")), 
0 , VLOOKUP(R9, vote4TRAITS!A:C , 3, FALSE),
1 , VLOOKUP(index(split(R9 ,"", "", FALSE),1,1), vote4TRAITS!A:C , 3, FALSE) + VLOOKUP(index(split(R9 ,"", "", FALSE),1,2), vote4TRAITS!A:C ,"&amp;" 3, FALSE),
2 , VLOOKUP(index(split(R9 ,"", "", FALSE),1,1), vote4TRAITS!A:C , 3, FALSE) + VLOOKUP(index(split(R9 ,"", "", FALSE),1,2), vote4TRAITS!A:C , 3, FALSE) + VLOOKUP(index(split(R9 ,"", "", FALSE),1,3), vote4TRAITS!A:C , 3, FALSE)
)
)"),11.5)</f>
        <v>11.5</v>
      </c>
      <c r="T9" s="343"/>
      <c r="U9" s="343" t="str">
        <f>IFERROR(__xludf.DUMMYFUNCTION("IF(ISBLANK(T9), , 
SWITCH(
LEN(T9)- LEN(SUBSTITUTE(T9,"","","""")), 
0 , VLOOKUP(T9, vote4ACTIONS!A:C , 3, FALSE),
1 , VLOOKUP(index(split(T9 ,"", "", FALSE),1,1), vote4ACTIONS!A:C , 3, FALSE) + VLOOKUP(index(split(T9 ,"", "", FALSE),1,2), vote4ACTIONS!A:"&amp;"C , 3, FALSE),
2 , VLOOKUP(index(split(T9 ,"", "", FALSE),1,1), vote4ACTIONS!A:C , 3, FALSE) + VLOOKUP(index(split(T9 ,"", "", FALSE),1,2), vote4ACTIONS!A:C , 3, FALSE) + VLOOKUP(index(split(T9 ,"", "", FALSE),1,3), vote4ACTIONS!A:C , 3, FALSE)
)
)"),"")</f>
        <v/>
      </c>
      <c r="V9" s="343" t="s">
        <v>1252</v>
      </c>
      <c r="W9" s="517">
        <f>IF(ISBLANK(V9),,IF(IFERROR(SEARCH("SS:",V9),0) &gt; 0, 
VLOOKUP(SUBSTITUTE(V9,"SS: ",""),vote4SURGE!$A:$C , 3, FALSE) - 2,
VLOOKUP(SUBSTITUTE(V9,"S: ",""),vote4SURGE!$A:$C , 3, FALSE)
)
)</f>
        <v>4</v>
      </c>
      <c r="X9" s="343"/>
      <c r="Y9" s="343" t="str">
        <f>IF(ISBLANK(X9),,IF(IFERROR(SEARCH("SS:",X9),0) &gt; 0, 
VLOOKUP(SUBSTITUTE(X9,"SS: ",""),vote4SURGE!$A:$C , 3, FALSE) - 2,
VLOOKUP(SUBSTITUTE(X9,"S: ",""),vote4SURGE!$A:$C , 3, FALSE)
)
)</f>
        <v/>
      </c>
      <c r="Z9" s="343"/>
      <c r="AA9" s="343" t="str">
        <f>IF(ISBLANK(Z9),,IF(IFERROR(SEARCH("SS:",Z9),0) &gt; 0, 
VLOOKUP(SUBSTITUTE(Z9,"SS: ",""),vote4SURGE!$A:$C , 3, FALSE) - 2,
VLOOKUP(SUBSTITUTE(Z9,"S: ",""),vote4SURGE!$A:$C , 3, FALSE)
)
)</f>
        <v/>
      </c>
      <c r="AB9" s="343">
        <f t="shared" si="1"/>
        <v>4</v>
      </c>
      <c r="AC9" s="343">
        <f>ROUND(IFS(
IFERROR(SEARCH("Blue, Yellow, Yellow, Green",P9),0) &gt; 0 , VLOOKUP("Blue", Variables!A:C , 3 , FALSE) + (VLOOKUP("Yellow", Variables!A:C , 3 , FALSE) * 2) + VLOOKUP("Green", Variables!A:C , 3 , FALSE),
IFERROR(SEARCH("Blue, Yellow, Green, Green",P9),0) &gt; 0 , VLOOKUP("Blue", Variables!A:C , 3 , FALSE) + VLOOKUP("Yellow", Variables!A:C , 3 , FALSE)  + (VLOOKUP("Green", Variables!A:C , 3 , FALSE) * 2),
IFERROR(SEARCH("Blue, Red, Red",P9),0) &gt; 0 , VLOOKUP("Blue", Variables!A:C , 3 , FALSE) + VLOOKUP("Red", Variables!A:C , 3 , FALSE) * 2,
IFERROR(SEARCH("Blue, Yellow, Yellow",P9),0) &gt; 0 , VLOOKUP("Blue", Variables!A:C , 3 , FALSE) + (VLOOKUP("Yellow", Variables!A:C , 3 , FALSE) * 2),
IFERROR(SEARCH("Blue, Yellow, Green",P9),0) &gt; 0 , VLOOKUP("Blue", Variables!A:C , 3 , FALSE) + VLOOKUP("Yellow", Variables!A:C , 3 , FALSE) + VLOOKUP("Green", Variables!A:C , 3 , FALSE),
IFERROR(SEARCH("Blue, Red, Green",P9),0) &gt; 0 , VLOOKUP("Blue", Variables!A:C , 3 , FALSE) + VLOOKUP("Red", Variables!A:C , 3 , FALSE) + VLOOKUP("Green", Variables!A:C , 3 , FALSE),
IFERROR(SEARCH("Blue, Red, Yellow",P9),0) &gt; 0 , VLOOKUP("Blue", Variables!A:C , 3 , FALSE) + VLOOKUP("Red", Variables!A:C , 3 , FALSE) + VLOOKUP("Yellow", Variables!A:C , 3 , FALSE),
IFERROR(SEARCH("Blue, Green, Green",P9),0) &gt; 0 , VLOOKUP("Blue", Variables!A:C , 3 , FALSE) + (VLOOKUP("Green", Variables!A:C , 3 , FALSE) * 2),
IFERROR(SEARCH("Blue, Yellow",P9),0) &gt; 0 , VLOOKUP("Blue", Variables!A:C , 3 , FALSE) + VLOOKUP("Yellow", Variables!A:C , 3 , FALSE),
IFERROR(SEARCH("Blue, Red",P9),0) &gt; 0 , VLOOKUP("Blue", Variables!A:C , 3 , FALSE) + VLOOKUP("Red", Variables!A:C , 3 , FALSE),
IFERROR(SEARCH("Blue, Green",P9),0) &gt; 0 , VLOOKUP("Blue", Variables!A:C , 3 , FALSE) + VLOOKUP("Green", Variables!A:C , 3 , FALSE),
IFERROR(SEARCH("Green",P9),0) &gt; 0 , VLOOKUP("Green", Variables!A:C , 3 , FALSE),
IFERROR(SEARCH("Blue",P9),0) &gt; 0 , VLOOKUP("Blue", Variables!A:C , 3 , FALSE),
IFERROR(SEARCH("Yellow",P9),0) &gt; 0 , VLOOKUP("Yellow", Variables!A:C , 3 , FALSE),
IFERROR(SEARCH("Black, Black",P9),0) &gt; 0 , VLOOKUP("Black", Variables!A:C , 3 , FALSE) * 2,
IFERROR(SEARCH("Grey, Grey",P9),0) &gt; 0 , VLOOKUP("Grey", Variables!A:C , 3 , FALSE) * 2,
IFERROR(SEARCH("Grey, Brown",P9),0) &gt; 0 , VLOOKUP("Grey", Variables!A:C , 3 , FALSE)  + VLOOKUP("Brown", Variables!A:C , 3 , FALSE),
IFERROR(SEARCH("Black, Grey",P9),0) &gt; 0 , VLOOKUP("Black", Variables!A:C , 3 , FALSE) + VLOOKUP("Grey", Variables!A:C , 3 , FALSE),
IFERROR(SEARCH("Black, Brown",P9),0) &gt; 0 , VLOOKUP("Black", Variables!A:C , 3 , FALSE) + VLOOKUP("Brown", Variables!A:C , 3 , FALSE),
IFERROR(SEARCH("Black",P9),0) &gt; 0 , VLOOKUP("Black", Variables!A:C , 3 , FALSE),
IFERROR(SEARCH("Grey",P9),0) &gt; 0 , VLOOKUP("Grey", Variables!A:C , 3 , FALSE),
IFERROR(SEARCH("Brown",P9),0) &gt; 0 , VLOOKUP("Brown", Variables!A:C , 3 , FALSE),
0=0,0)
,
)</f>
        <v>1</v>
      </c>
      <c r="AD9" s="343">
        <f t="shared" si="2"/>
        <v>1</v>
      </c>
      <c r="AE9" s="345">
        <f t="shared" si="3"/>
        <v>18.83333333</v>
      </c>
      <c r="AF9" s="383"/>
    </row>
    <row r="10">
      <c r="A10" s="509" t="s">
        <v>2674</v>
      </c>
      <c r="B10" s="380">
        <v>2.0</v>
      </c>
      <c r="C10" s="380">
        <v>1.0</v>
      </c>
      <c r="D10" s="511" t="s">
        <v>2669</v>
      </c>
      <c r="E10" s="512" t="s">
        <v>2675</v>
      </c>
      <c r="F10" s="513">
        <v>4.0</v>
      </c>
      <c r="G10" s="514">
        <v>13.0</v>
      </c>
      <c r="H10" s="515" t="s">
        <v>2575</v>
      </c>
      <c r="I10" s="513">
        <v>4.0</v>
      </c>
      <c r="J10" s="514">
        <v>15.0</v>
      </c>
      <c r="K10" s="515" t="s">
        <v>2590</v>
      </c>
      <c r="L10" s="513">
        <v>4.0</v>
      </c>
      <c r="M10" s="514">
        <v>18.0</v>
      </c>
      <c r="N10" s="515" t="s">
        <v>2677</v>
      </c>
      <c r="O10" s="343" t="s">
        <v>1521</v>
      </c>
      <c r="P10" s="343" t="s">
        <v>1528</v>
      </c>
      <c r="Q10" s="342">
        <f>IFS(
IFERROR(SEARCH("Blue, Yellow, Yellow, Green",P10),0) &gt; 0 , VLOOKUP("Blue", Variables!A:C , 2 , FALSE) + (VLOOKUP("Yellow", Variables!A:C , 2 , FALSE) * 2) + VLOOKUP("Green", Variables!A:C , 2 , FALSE),
IFERROR(SEARCH("Blue, Red, Yellow, Green",P10),0) &gt; 0 , VLOOKUP("Blue", Variables!A:C , 2 , FALSE) + VLOOKUP("Red", Variables!A:C , 2 , FALSE) + (VLOOKUP("Yellow", Variables!A:C , 2 , FALSE) * 2) + VLOOKUP("Green", Variables!A:C , 2 , FALSE),
IFERROR(SEARCH("Blue, Yellow, Green, Green",P10),0) &gt; 0 , VLOOKUP("Blue", Variables!A:C , 2 , FALSE) + VLOOKUP("Yellow", Variables!A:C , 2 , FALSE)  + (VLOOKUP("Green", Variables!A:C , 2 , FALSE) * 2),
IFERROR(SEARCH("Blue, Red, Yellow, Yellow",P10),0) &gt; 0 , VLOOKUP("Blue", Variables!A:C , 2 , FALSE) + VLOOKUP("Yellow", Variables!A:C , 2 , FALSE) * 2  + (VLOOKUP("Red", Variables!A:C , 2 , FALSE) * 2),
IFERROR(SEARCH("Blue, Red, Red",P10),0) &gt; 0 , VLOOKUP("Blue", Variables!A:C , 2 , FALSE) + VLOOKUP("Red", Variables!A:C , 2 , FALSE) * 2,
IFERROR(SEARCH("Blue, Yellow, Yellow",P10),0) &gt; 0 , VLOOKUP("Blue", Variables!A:C , 2 , FALSE) + (VLOOKUP("Yellow", Variables!A:C , 2 , FALSE) * 2),
IFERROR(SEARCH("Blue, Yellow, Green",P10),0) &gt; 0 , VLOOKUP("Blue", Variables!A:C , 2 , FALSE) + VLOOKUP("Yellow", Variables!A:C , 2 , FALSE) + VLOOKUP("Green", Variables!A:C , 2 , FALSE),
IFERROR(SEARCH("Blue, Red, Green",P10),0) &gt; 0 , VLOOKUP("Blue", Variables!A:C , 2 , FALSE) + VLOOKUP("Red", Variables!A:C , 2 , FALSE) + VLOOKUP("Green", Variables!A:C , 2 , FALSE),
IFERROR(SEARCH("Blue, Red, Yellow",P10),0) &gt; 0 , VLOOKUP("Blue", Variables!A:C , 2 , FALSE) + VLOOKUP("Red", Variables!A:C , 2 , FALSE) + VLOOKUP("Yellow", Variables!A:C , 2 , FALSE),
IFERROR(SEARCH("Blue, Green, Green",P10),0) &gt; 0 , VLOOKUP("Blue", Variables!A:C , 2 , FALSE) + (VLOOKUP("Green", Variables!A:C , 2 , FALSE) * 2),
IFERROR(SEARCH("Blue, Yellow",P10),0) &gt; 0 , VLOOKUP("Blue", Variables!A:C , 2 , FALSE) + VLOOKUP("Yellow", Variables!A:C , 2 , FALSE),
IFERROR(SEARCH("Blue, Red",P10),0) &gt; 0 , VLOOKUP("Blue", Variables!A:C , 2 , FALSE) + VLOOKUP("Red", Variables!A:C , 2 , FALSE),
IFERROR(SEARCH("Blue, Green",P10),0) &gt; 0 , VLOOKUP("Blue", Variables!A:C , 2 , FALSE) + VLOOKUP("Green", Variables!A:C , 2 , FALSE),
IFERROR(SEARCH("Green",P10),0) &gt; 0 , VLOOKUP("Green", Variables!A:C , 2 , FALSE),
IFERROR(SEARCH("Blue",P10),0) &gt; 0 , VLOOKUP("Blue", Variables!A:C , 2 , FALSE),
IFERROR(SEARCH("Yellow",P10),0) &gt; 0 , VLOOKUP("Yellow", Variables!A:C , 2 , FALSE),
IFERROR(SEARCH("Black, Black",P10),0) &gt; 0 , VLOOKUP("Black", Variables!A:C , 2, FALSE) * 2,
IFERROR(SEARCH("Grey, Grey",P10),0) &gt; 0 , VLOOKUP("Grey", Variables!A:C , 2, FALSE) * 2,
IFERROR(SEARCH("Grey, Brown",P10),0) &gt; 0 , VLOOKUP("Grey", Variables!A:C , 2, FALSE)  + VLOOKUP("Brown", Variables!A:C , 2, FALSE),
IFERROR(SEARCH("Black, Grey",P10),0) &gt; 0 , VLOOKUP("Black", Variables!A:C , 2, FALSE) + VLOOKUP("Grey", Variables!A:C , 2, FALSE),
IFERROR(SEARCH("Black, Brown",P10),0) &gt; 0 , VLOOKUP("Black", Variables!A:C , 2, FALSE) + VLOOKUP("Brown", Variables!A:C , 2, FALSE),
IFERROR(SEARCH("Black",P10),0) &gt; 0 , VLOOKUP("Black", Variables!A:C , 2, FALSE),
IFERROR(SEARCH("Grey",P10),0) &gt; 0 , VLOOKUP("Grey", Variables!A:C , 2, FALSE),
IFERROR(SEARCH("Brown",P10),0) &gt; 0 , VLOOKUP("Brown", Variables!A:C , 2, FALSE),
0=0,0)
+
IF(O10 ="Ranged", 1 , 0)</f>
        <v>5.5</v>
      </c>
      <c r="R10" s="343" t="s">
        <v>2676</v>
      </c>
      <c r="S10" s="342">
        <f>IFERROR(__xludf.DUMMYFUNCTION("IF(ISBLANK(R10), , 
SWITCH(
LEN(R10)- LEN(SUBSTITUTE(R10,"","","""")), 
0 , VLOOKUP(R10, vote4TRAITS!A:C , 3, FALSE),
1 , VLOOKUP(index(split(R10 ,"", "", FALSE),1,1), vote4TRAITS!A:C , 3, FALSE) + VLOOKUP(index(split(R10 ,"", "", FALSE),1,2), vote4TRAITS"&amp;"!A:C , 3, FALSE),
2 , VLOOKUP(index(split(R10 ,"", "", FALSE),1,1), vote4TRAITS!A:C , 3, FALSE) + VLOOKUP(index(split(R10 ,"", "", FALSE),1,2), vote4TRAITS!A:C , 3, FALSE) + VLOOKUP(index(split(R10 ,"", "", FALSE),1,3), vote4TRAITS!A:C , 3, FALSE)
)
)"),11.5)</f>
        <v>11.5</v>
      </c>
      <c r="T10" s="343" t="s">
        <v>1308</v>
      </c>
      <c r="U10" s="343">
        <f>IFERROR(__xludf.DUMMYFUNCTION("IF(ISBLANK(T10), , 
SWITCH(
LEN(T10)- LEN(SUBSTITUTE(T10,"","","""")), 
0 , VLOOKUP(T10, vote4ACTIONS!A:C , 3, FALSE),
1 , VLOOKUP(index(split(T10 ,"", "", FALSE),1,1), vote4ACTIONS!A:C , 3, FALSE) + VLOOKUP(index(split(T10 ,"", "", FALSE),1,2), vote4ACTI"&amp;"ONS!A:C , 3, FALSE),
2 , VLOOKUP(index(split(T10 ,"", "", FALSE),1,1), vote4ACTIONS!A:C , 3, FALSE) + VLOOKUP(index(split(T10 ,"", "", FALSE),1,2), vote4ACTIONS!A:C , 3, FALSE) + VLOOKUP(index(split(T10 ,"", "", FALSE),1,3), vote4ACTIONS!A:C , 3, FALSE)
)"&amp;"
)"),5.0)</f>
        <v>5</v>
      </c>
      <c r="V10" s="343" t="s">
        <v>1252</v>
      </c>
      <c r="W10" s="517">
        <f>IF(ISBLANK(V10),,IF(IFERROR(SEARCH("SS:",V10),0) &gt; 0, 
VLOOKUP(SUBSTITUTE(V10,"SS: ",""),vote4SURGE!$A:$C , 3, FALSE) - 2,
VLOOKUP(SUBSTITUTE(V10,"S: ",""),vote4SURGE!$A:$C , 3, FALSE)
)
)</f>
        <v>4</v>
      </c>
      <c r="X10" s="343"/>
      <c r="Y10" s="343" t="str">
        <f>IF(ISBLANK(X10),,IF(IFERROR(SEARCH("SS:",X10),0) &gt; 0, 
VLOOKUP(SUBSTITUTE(X10,"SS: ",""),vote4SURGE!$A:$C , 3, FALSE) - 2,
VLOOKUP(SUBSTITUTE(X10,"S: ",""),vote4SURGE!$A:$C , 3, FALSE)
)
)</f>
        <v/>
      </c>
      <c r="Z10" s="343"/>
      <c r="AA10" s="343" t="str">
        <f>IF(ISBLANK(Z10),,IF(IFERROR(SEARCH("SS:",Z10),0) &gt; 0, 
VLOOKUP(SUBSTITUTE(Z10,"SS: ",""),vote4SURGE!$A:$C , 3, FALSE) - 2,
VLOOKUP(SUBSTITUTE(Z10,"S: ",""),vote4SURGE!$A:$C , 3, FALSE)
)
)</f>
        <v/>
      </c>
      <c r="AB10" s="343">
        <f t="shared" si="1"/>
        <v>4</v>
      </c>
      <c r="AC10" s="343">
        <f>ROUND(IFS(
IFERROR(SEARCH("Blue, Yellow, Yellow, Green",P10),0) &gt; 0 , VLOOKUP("Blue", Variables!A:C , 3 , FALSE) + (VLOOKUP("Yellow", Variables!A:C , 3 , FALSE) * 2) + VLOOKUP("Green", Variables!A:C , 3 , FALSE),
IFERROR(SEARCH("Blue, Yellow, Green, Green",P10),0) &gt; 0 , VLOOKUP("Blue", Variables!A:C , 3 , FALSE) + VLOOKUP("Yellow", Variables!A:C , 3 , FALSE)  + (VLOOKUP("Green", Variables!A:C , 3 , FALSE) * 2),
IFERROR(SEARCH("Blue, Red, Red",P10),0) &gt; 0 , VLOOKUP("Blue", Variables!A:C , 3 , FALSE) + VLOOKUP("Red", Variables!A:C , 3 , FALSE) * 2,
IFERROR(SEARCH("Blue, Yellow, Yellow",P10),0) &gt; 0 , VLOOKUP("Blue", Variables!A:C , 3 , FALSE) + (VLOOKUP("Yellow", Variables!A:C , 3 , FALSE) * 2),
IFERROR(SEARCH("Blue, Yellow, Green",P10),0) &gt; 0 , VLOOKUP("Blue", Variables!A:C , 3 , FALSE) + VLOOKUP("Yellow", Variables!A:C , 3 , FALSE) + VLOOKUP("Green", Variables!A:C , 3 , FALSE),
IFERROR(SEARCH("Blue, Red, Green",P10),0) &gt; 0 , VLOOKUP("Blue", Variables!A:C , 3 , FALSE) + VLOOKUP("Red", Variables!A:C , 3 , FALSE) + VLOOKUP("Green", Variables!A:C , 3 , FALSE),
IFERROR(SEARCH("Blue, Red, Yellow",P10),0) &gt; 0 , VLOOKUP("Blue", Variables!A:C , 3 , FALSE) + VLOOKUP("Red", Variables!A:C , 3 , FALSE) + VLOOKUP("Yellow", Variables!A:C , 3 , FALSE),
IFERROR(SEARCH("Blue, Green, Green",P10),0) &gt; 0 , VLOOKUP("Blue", Variables!A:C , 3 , FALSE) + (VLOOKUP("Green", Variables!A:C , 3 , FALSE) * 2),
IFERROR(SEARCH("Blue, Yellow",P10),0) &gt; 0 , VLOOKUP("Blue", Variables!A:C , 3 , FALSE) + VLOOKUP("Yellow", Variables!A:C , 3 , FALSE),
IFERROR(SEARCH("Blue, Red",P10),0) &gt; 0 , VLOOKUP("Blue", Variables!A:C , 3 , FALSE) + VLOOKUP("Red", Variables!A:C , 3 , FALSE),
IFERROR(SEARCH("Blue, Green",P10),0) &gt; 0 , VLOOKUP("Blue", Variables!A:C , 3 , FALSE) + VLOOKUP("Green", Variables!A:C , 3 , FALSE),
IFERROR(SEARCH("Green",P10),0) &gt; 0 , VLOOKUP("Green", Variables!A:C , 3 , FALSE),
IFERROR(SEARCH("Blue",P10),0) &gt; 0 , VLOOKUP("Blue", Variables!A:C , 3 , FALSE),
IFERROR(SEARCH("Yellow",P10),0) &gt; 0 , VLOOKUP("Yellow", Variables!A:C , 3 , FALSE),
IFERROR(SEARCH("Black, Black",P10),0) &gt; 0 , VLOOKUP("Black", Variables!A:C , 3 , FALSE) * 2,
IFERROR(SEARCH("Grey, Grey",P10),0) &gt; 0 , VLOOKUP("Grey", Variables!A:C , 3 , FALSE) * 2,
IFERROR(SEARCH("Grey, Brown",P10),0) &gt; 0 , VLOOKUP("Grey", Variables!A:C , 3 , FALSE)  + VLOOKUP("Brown", Variables!A:C , 3 , FALSE),
IFERROR(SEARCH("Black, Grey",P10),0) &gt; 0 , VLOOKUP("Black", Variables!A:C , 3 , FALSE) + VLOOKUP("Grey", Variables!A:C , 3 , FALSE),
IFERROR(SEARCH("Black, Brown",P10),0) &gt; 0 , VLOOKUP("Black", Variables!A:C , 3 , FALSE) + VLOOKUP("Brown", Variables!A:C , 3 , FALSE),
IFERROR(SEARCH("Black",P10),0) &gt; 0 , VLOOKUP("Black", Variables!A:C , 3 , FALSE),
IFERROR(SEARCH("Grey",P10),0) &gt; 0 , VLOOKUP("Grey", Variables!A:C , 3 , FALSE),
IFERROR(SEARCH("Brown",P10),0) &gt; 0 , VLOOKUP("Brown", Variables!A:C , 3 , FALSE),
0=0,0)
,
)</f>
        <v>1</v>
      </c>
      <c r="AD10" s="343">
        <f t="shared" si="2"/>
        <v>1</v>
      </c>
      <c r="AE10" s="345">
        <f t="shared" si="3"/>
        <v>26</v>
      </c>
      <c r="AF10" s="383"/>
    </row>
    <row r="11">
      <c r="A11" s="509" t="s">
        <v>2678</v>
      </c>
      <c r="B11" s="510">
        <v>1.0</v>
      </c>
      <c r="C11" s="510">
        <v>4.0</v>
      </c>
      <c r="D11" s="511" t="s">
        <v>1766</v>
      </c>
      <c r="E11" s="512" t="s">
        <v>2679</v>
      </c>
      <c r="F11" s="513">
        <v>3.0</v>
      </c>
      <c r="G11" s="514">
        <v>12.0</v>
      </c>
      <c r="H11" s="515" t="s">
        <v>1663</v>
      </c>
      <c r="I11" s="513">
        <v>3.0</v>
      </c>
      <c r="J11" s="514">
        <v>14.0</v>
      </c>
      <c r="K11" s="515" t="s">
        <v>2575</v>
      </c>
      <c r="L11" s="513">
        <v>3.0</v>
      </c>
      <c r="M11" s="514">
        <v>18.0</v>
      </c>
      <c r="N11" s="515" t="s">
        <v>2575</v>
      </c>
      <c r="O11" s="343" t="s">
        <v>1521</v>
      </c>
      <c r="P11" s="343" t="s">
        <v>1525</v>
      </c>
      <c r="Q11" s="342">
        <f>IFS(
IFERROR(SEARCH("Blue, Yellow, Yellow, Green",P11),0) &gt; 0 , VLOOKUP("Blue", Variables!A:C , 2 , FALSE) + (VLOOKUP("Yellow", Variables!A:C , 2 , FALSE) * 2) + VLOOKUP("Green", Variables!A:C , 2 , FALSE),
IFERROR(SEARCH("Blue, Red, Yellow, Green",P11),0) &gt; 0 , VLOOKUP("Blue", Variables!A:C , 2 , FALSE) + VLOOKUP("Red", Variables!A:C , 2 , FALSE) + (VLOOKUP("Yellow", Variables!A:C , 2 , FALSE) * 2) + VLOOKUP("Green", Variables!A:C , 2 , FALSE),
IFERROR(SEARCH("Blue, Yellow, Green, Green",P11),0) &gt; 0 , VLOOKUP("Blue", Variables!A:C , 2 , FALSE) + VLOOKUP("Yellow", Variables!A:C , 2 , FALSE)  + (VLOOKUP("Green", Variables!A:C , 2 , FALSE) * 2),
IFERROR(SEARCH("Blue, Red, Yellow, Yellow",P11),0) &gt; 0 , VLOOKUP("Blue", Variables!A:C , 2 , FALSE) + VLOOKUP("Yellow", Variables!A:C , 2 , FALSE) * 2  + (VLOOKUP("Red", Variables!A:C , 2 , FALSE) * 2),
IFERROR(SEARCH("Blue, Red, Red",P11),0) &gt; 0 , VLOOKUP("Blue", Variables!A:C , 2 , FALSE) + VLOOKUP("Red", Variables!A:C , 2 , FALSE) * 2,
IFERROR(SEARCH("Blue, Yellow, Yellow",P11),0) &gt; 0 , VLOOKUP("Blue", Variables!A:C , 2 , FALSE) + (VLOOKUP("Yellow", Variables!A:C , 2 , FALSE) * 2),
IFERROR(SEARCH("Blue, Yellow, Green",P11),0) &gt; 0 , VLOOKUP("Blue", Variables!A:C , 2 , FALSE) + VLOOKUP("Yellow", Variables!A:C , 2 , FALSE) + VLOOKUP("Green", Variables!A:C , 2 , FALSE),
IFERROR(SEARCH("Blue, Red, Green",P11),0) &gt; 0 , VLOOKUP("Blue", Variables!A:C , 2 , FALSE) + VLOOKUP("Red", Variables!A:C , 2 , FALSE) + VLOOKUP("Green", Variables!A:C , 2 , FALSE),
IFERROR(SEARCH("Blue, Red, Yellow",P11),0) &gt; 0 , VLOOKUP("Blue", Variables!A:C , 2 , FALSE) + VLOOKUP("Red", Variables!A:C , 2 , FALSE) + VLOOKUP("Yellow", Variables!A:C , 2 , FALSE),
IFERROR(SEARCH("Blue, Green, Green",P11),0) &gt; 0 , VLOOKUP("Blue", Variables!A:C , 2 , FALSE) + (VLOOKUP("Green", Variables!A:C , 2 , FALSE) * 2),
IFERROR(SEARCH("Blue, Yellow",P11),0) &gt; 0 , VLOOKUP("Blue", Variables!A:C , 2 , FALSE) + VLOOKUP("Yellow", Variables!A:C , 2 , FALSE),
IFERROR(SEARCH("Blue, Red",P11),0) &gt; 0 , VLOOKUP("Blue", Variables!A:C , 2 , FALSE) + VLOOKUP("Red", Variables!A:C , 2 , FALSE),
IFERROR(SEARCH("Blue, Green",P11),0) &gt; 0 , VLOOKUP("Blue", Variables!A:C , 2 , FALSE) + VLOOKUP("Green", Variables!A:C , 2 , FALSE),
IFERROR(SEARCH("Green",P11),0) &gt; 0 , VLOOKUP("Green", Variables!A:C , 2 , FALSE),
IFERROR(SEARCH("Blue",P11),0) &gt; 0 , VLOOKUP("Blue", Variables!A:C , 2 , FALSE),
IFERROR(SEARCH("Yellow",P11),0) &gt; 0 , VLOOKUP("Yellow", Variables!A:C , 2 , FALSE),
IFERROR(SEARCH("Black, Black",P11),0) &gt; 0 , VLOOKUP("Black", Variables!A:C , 2, FALSE) * 2,
IFERROR(SEARCH("Grey, Grey",P11),0) &gt; 0 , VLOOKUP("Grey", Variables!A:C , 2, FALSE) * 2,
IFERROR(SEARCH("Grey, Brown",P11),0) &gt; 0 , VLOOKUP("Grey", Variables!A:C , 2, FALSE)  + VLOOKUP("Brown", Variables!A:C , 2, FALSE),
IFERROR(SEARCH("Black, Grey",P11),0) &gt; 0 , VLOOKUP("Black", Variables!A:C , 2, FALSE) + VLOOKUP("Grey", Variables!A:C , 2, FALSE),
IFERROR(SEARCH("Black, Brown",P11),0) &gt; 0 , VLOOKUP("Black", Variables!A:C , 2, FALSE) + VLOOKUP("Brown", Variables!A:C , 2, FALSE),
IFERROR(SEARCH("Black",P11),0) &gt; 0 , VLOOKUP("Black", Variables!A:C , 2, FALSE),
IFERROR(SEARCH("Grey",P11),0) &gt; 0 , VLOOKUP("Grey", Variables!A:C , 2, FALSE),
IFERROR(SEARCH("Brown",P11),0) &gt; 0 , VLOOKUP("Brown", Variables!A:C , 2, FALSE),
0=0,0)
+
IF(O11 ="Ranged", 1 , 0)</f>
        <v>3.333333333</v>
      </c>
      <c r="R11" s="343" t="s">
        <v>1099</v>
      </c>
      <c r="S11" s="342">
        <f>IFERROR(__xludf.DUMMYFUNCTION("IF(ISBLANK(R11), , 
SWITCH(
LEN(R11)- LEN(SUBSTITUTE(R11,"","","""")), 
0 , VLOOKUP(R11, vote4TRAITS!A:C , 3, FALSE),
1 , VLOOKUP(index(split(R11 ,"", "", FALSE),1,1), vote4TRAITS!A:C , 3, FALSE) + VLOOKUP(index(split(R11 ,"", "", FALSE),1,2), vote4TRAITS"&amp;"!A:C , 3, FALSE),
2 , VLOOKUP(index(split(R11 ,"", "", FALSE),1,1), vote4TRAITS!A:C , 3, FALSE) + VLOOKUP(index(split(R11 ,"", "", FALSE),1,2), vote4TRAITS!A:C , 3, FALSE) + VLOOKUP(index(split(R11 ,"", "", FALSE),1,3), vote4TRAITS!A:C , 3, FALSE)
)
)"),6.5)</f>
        <v>6.5</v>
      </c>
      <c r="T11" s="343"/>
      <c r="U11" s="343" t="str">
        <f>IFERROR(__xludf.DUMMYFUNCTION("IF(ISBLANK(T11), , 
SWITCH(
LEN(T11)- LEN(SUBSTITUTE(T11,"","","""")), 
0 , VLOOKUP(T11, vote4ACTIONS!A:C , 3, FALSE),
1 , VLOOKUP(index(split(T11 ,"", "", FALSE),1,1), vote4ACTIONS!A:C , 3, FALSE) + VLOOKUP(index(split(T11 ,"", "", FALSE),1,2), vote4ACTI"&amp;"ONS!A:C , 3, FALSE),
2 , VLOOKUP(index(split(T11 ,"", "", FALSE),1,1), vote4ACTIONS!A:C , 3, FALSE) + VLOOKUP(index(split(T11 ,"", "", FALSE),1,2), vote4ACTIONS!A:C , 3, FALSE) + VLOOKUP(index(split(T11 ,"", "", FALSE),1,3), vote4ACTIONS!A:C , 3, FALSE)
)"&amp;"
)"),"")</f>
        <v/>
      </c>
      <c r="V11" s="343" t="s">
        <v>1562</v>
      </c>
      <c r="W11" s="517">
        <f>IF(ISBLANK(V11),,IF(IFERROR(SEARCH("SS:",V11),0) &gt; 0, 
VLOOKUP(SUBSTITUTE(V11,"SS: ",""),vote4SURGE!$A:$C , 3, FALSE) - 2,
VLOOKUP(SUBSTITUTE(V11,"S: ",""),vote4SURGE!$A:$C , 3, FALSE)
)
)</f>
        <v>3.5</v>
      </c>
      <c r="X11" s="343" t="s">
        <v>1216</v>
      </c>
      <c r="Y11" s="517">
        <f>IF(ISBLANK(X11),,IF(IFERROR(SEARCH("SS:",X11),0) &gt; 0, 
VLOOKUP(SUBSTITUTE(X11,"SS: ",""),vote4SURGE!$A:$C , 3, FALSE) - 2,
VLOOKUP(SUBSTITUTE(X11,"S: ",""),vote4SURGE!$A:$C , 3, FALSE)
)
)</f>
        <v>5</v>
      </c>
      <c r="Z11" s="343"/>
      <c r="AA11" s="343" t="str">
        <f>IF(ISBLANK(Z11),,IF(IFERROR(SEARCH("SS:",Z11),0) &gt; 0, 
VLOOKUP(SUBSTITUTE(Z11,"SS: ",""),vote4SURGE!$A:$C , 3, FALSE) - 2,
VLOOKUP(SUBSTITUTE(Z11,"S: ",""),vote4SURGE!$A:$C , 3, FALSE)
)
)</f>
        <v/>
      </c>
      <c r="AB11" s="517">
        <f t="shared" si="1"/>
        <v>6.75</v>
      </c>
      <c r="AC11" s="343">
        <f>ROUND(IFS(
IFERROR(SEARCH("Blue, Yellow, Yellow, Green",P11),0) &gt; 0 , VLOOKUP("Blue", Variables!A:C , 3 , FALSE) + (VLOOKUP("Yellow", Variables!A:C , 3 , FALSE) * 2) + VLOOKUP("Green", Variables!A:C , 3 , FALSE),
IFERROR(SEARCH("Blue, Yellow, Green, Green",P11),0) &gt; 0 , VLOOKUP("Blue", Variables!A:C , 3 , FALSE) + VLOOKUP("Yellow", Variables!A:C , 3 , FALSE)  + (VLOOKUP("Green", Variables!A:C , 3 , FALSE) * 2),
IFERROR(SEARCH("Blue, Red, Red",P11),0) &gt; 0 , VLOOKUP("Blue", Variables!A:C , 3 , FALSE) + VLOOKUP("Red", Variables!A:C , 3 , FALSE) * 2,
IFERROR(SEARCH("Blue, Yellow, Yellow",P11),0) &gt; 0 , VLOOKUP("Blue", Variables!A:C , 3 , FALSE) + (VLOOKUP("Yellow", Variables!A:C , 3 , FALSE) * 2),
IFERROR(SEARCH("Blue, Yellow, Green",P11),0) &gt; 0 , VLOOKUP("Blue", Variables!A:C , 3 , FALSE) + VLOOKUP("Yellow", Variables!A:C , 3 , FALSE) + VLOOKUP("Green", Variables!A:C , 3 , FALSE),
IFERROR(SEARCH("Blue, Red, Green",P11),0) &gt; 0 , VLOOKUP("Blue", Variables!A:C , 3 , FALSE) + VLOOKUP("Red", Variables!A:C , 3 , FALSE) + VLOOKUP("Green", Variables!A:C , 3 , FALSE),
IFERROR(SEARCH("Blue, Red, Yellow",P11),0) &gt; 0 , VLOOKUP("Blue", Variables!A:C , 3 , FALSE) + VLOOKUP("Red", Variables!A:C , 3 , FALSE) + VLOOKUP("Yellow", Variables!A:C , 3 , FALSE),
IFERROR(SEARCH("Blue, Green, Green",P11),0) &gt; 0 , VLOOKUP("Blue", Variables!A:C , 3 , FALSE) + (VLOOKUP("Green", Variables!A:C , 3 , FALSE) * 2),
IFERROR(SEARCH("Blue, Yellow",P11),0) &gt; 0 , VLOOKUP("Blue", Variables!A:C , 3 , FALSE) + VLOOKUP("Yellow", Variables!A:C , 3 , FALSE),
IFERROR(SEARCH("Blue, Red",P11),0) &gt; 0 , VLOOKUP("Blue", Variables!A:C , 3 , FALSE) + VLOOKUP("Red", Variables!A:C , 3 , FALSE),
IFERROR(SEARCH("Blue, Green",P11),0) &gt; 0 , VLOOKUP("Blue", Variables!A:C , 3 , FALSE) + VLOOKUP("Green", Variables!A:C , 3 , FALSE),
IFERROR(SEARCH("Green",P11),0) &gt; 0 , VLOOKUP("Green", Variables!A:C , 3 , FALSE),
IFERROR(SEARCH("Blue",P11),0) &gt; 0 , VLOOKUP("Blue", Variables!A:C , 3 , FALSE),
IFERROR(SEARCH("Yellow",P11),0) &gt; 0 , VLOOKUP("Yellow", Variables!A:C , 3 , FALSE),
IFERROR(SEARCH("Black, Black",P11),0) &gt; 0 , VLOOKUP("Black", Variables!A:C , 3 , FALSE) * 2,
IFERROR(SEARCH("Grey, Grey",P11),0) &gt; 0 , VLOOKUP("Grey", Variables!A:C , 3 , FALSE) * 2,
IFERROR(SEARCH("Grey, Brown",P11),0) &gt; 0 , VLOOKUP("Grey", Variables!A:C , 3 , FALSE)  + VLOOKUP("Brown", Variables!A:C , 3 , FALSE),
IFERROR(SEARCH("Black, Grey",P11),0) &gt; 0 , VLOOKUP("Black", Variables!A:C , 3 , FALSE) + VLOOKUP("Grey", Variables!A:C , 3 , FALSE),
IFERROR(SEARCH("Black, Brown",P11),0) &gt; 0 , VLOOKUP("Black", Variables!A:C , 3 , FALSE) + VLOOKUP("Brown", Variables!A:C , 3 , FALSE),
IFERROR(SEARCH("Black",P11),0) &gt; 0 , VLOOKUP("Black", Variables!A:C , 3 , FALSE),
IFERROR(SEARCH("Grey",P11),0) &gt; 0 , VLOOKUP("Grey", Variables!A:C , 3 , FALSE),
IFERROR(SEARCH("Brown",P11),0) &gt; 0 , VLOOKUP("Brown", Variables!A:C , 3 , FALSE),
0=0,0)
,
)</f>
        <v>1</v>
      </c>
      <c r="AD11" s="343">
        <f t="shared" si="2"/>
        <v>2</v>
      </c>
      <c r="AE11" s="345">
        <f t="shared" si="3"/>
        <v>16.58333333</v>
      </c>
      <c r="AF11" s="383"/>
    </row>
    <row r="12">
      <c r="A12" s="509" t="s">
        <v>2678</v>
      </c>
      <c r="B12" s="380">
        <v>2.0</v>
      </c>
      <c r="C12" s="380">
        <v>4.0</v>
      </c>
      <c r="D12" s="511" t="s">
        <v>1766</v>
      </c>
      <c r="E12" s="512" t="s">
        <v>2679</v>
      </c>
      <c r="F12" s="513">
        <v>3.0</v>
      </c>
      <c r="G12" s="514">
        <v>16.0</v>
      </c>
      <c r="H12" s="515" t="s">
        <v>2575</v>
      </c>
      <c r="I12" s="513">
        <v>3.0</v>
      </c>
      <c r="J12" s="514">
        <v>19.0</v>
      </c>
      <c r="K12" s="515" t="s">
        <v>2590</v>
      </c>
      <c r="L12" s="513">
        <v>3.0</v>
      </c>
      <c r="M12" s="514">
        <v>22.0</v>
      </c>
      <c r="N12" s="515" t="s">
        <v>2590</v>
      </c>
      <c r="O12" s="343" t="s">
        <v>1521</v>
      </c>
      <c r="P12" s="343" t="s">
        <v>1528</v>
      </c>
      <c r="Q12" s="342">
        <f>IFS(
IFERROR(SEARCH("Blue, Yellow, Yellow, Green",P12),0) &gt; 0 , VLOOKUP("Blue", Variables!A:C , 2 , FALSE) + (VLOOKUP("Yellow", Variables!A:C , 2 , FALSE) * 2) + VLOOKUP("Green", Variables!A:C , 2 , FALSE),
IFERROR(SEARCH("Blue, Red, Yellow, Green",P12),0) &gt; 0 , VLOOKUP("Blue", Variables!A:C , 2 , FALSE) + VLOOKUP("Red", Variables!A:C , 2 , FALSE) + (VLOOKUP("Yellow", Variables!A:C , 2 , FALSE) * 2) + VLOOKUP("Green", Variables!A:C , 2 , FALSE),
IFERROR(SEARCH("Blue, Yellow, Green, Green",P12),0) &gt; 0 , VLOOKUP("Blue", Variables!A:C , 2 , FALSE) + VLOOKUP("Yellow", Variables!A:C , 2 , FALSE)  + (VLOOKUP("Green", Variables!A:C , 2 , FALSE) * 2),
IFERROR(SEARCH("Blue, Red, Yellow, Yellow",P12),0) &gt; 0 , VLOOKUP("Blue", Variables!A:C , 2 , FALSE) + VLOOKUP("Yellow", Variables!A:C , 2 , FALSE) * 2  + (VLOOKUP("Red", Variables!A:C , 2 , FALSE) * 2),
IFERROR(SEARCH("Blue, Red, Red",P12),0) &gt; 0 , VLOOKUP("Blue", Variables!A:C , 2 , FALSE) + VLOOKUP("Red", Variables!A:C , 2 , FALSE) * 2,
IFERROR(SEARCH("Blue, Yellow, Yellow",P12),0) &gt; 0 , VLOOKUP("Blue", Variables!A:C , 2 , FALSE) + (VLOOKUP("Yellow", Variables!A:C , 2 , FALSE) * 2),
IFERROR(SEARCH("Blue, Yellow, Green",P12),0) &gt; 0 , VLOOKUP("Blue", Variables!A:C , 2 , FALSE) + VLOOKUP("Yellow", Variables!A:C , 2 , FALSE) + VLOOKUP("Green", Variables!A:C , 2 , FALSE),
IFERROR(SEARCH("Blue, Red, Green",P12),0) &gt; 0 , VLOOKUP("Blue", Variables!A:C , 2 , FALSE) + VLOOKUP("Red", Variables!A:C , 2 , FALSE) + VLOOKUP("Green", Variables!A:C , 2 , FALSE),
IFERROR(SEARCH("Blue, Red, Yellow",P12),0) &gt; 0 , VLOOKUP("Blue", Variables!A:C , 2 , FALSE) + VLOOKUP("Red", Variables!A:C , 2 , FALSE) + VLOOKUP("Yellow", Variables!A:C , 2 , FALSE),
IFERROR(SEARCH("Blue, Green, Green",P12),0) &gt; 0 , VLOOKUP("Blue", Variables!A:C , 2 , FALSE) + (VLOOKUP("Green", Variables!A:C , 2 , FALSE) * 2),
IFERROR(SEARCH("Blue, Yellow",P12),0) &gt; 0 , VLOOKUP("Blue", Variables!A:C , 2 , FALSE) + VLOOKUP("Yellow", Variables!A:C , 2 , FALSE),
IFERROR(SEARCH("Blue, Red",P12),0) &gt; 0 , VLOOKUP("Blue", Variables!A:C , 2 , FALSE) + VLOOKUP("Red", Variables!A:C , 2 , FALSE),
IFERROR(SEARCH("Blue, Green",P12),0) &gt; 0 , VLOOKUP("Blue", Variables!A:C , 2 , FALSE) + VLOOKUP("Green", Variables!A:C , 2 , FALSE),
IFERROR(SEARCH("Green",P12),0) &gt; 0 , VLOOKUP("Green", Variables!A:C , 2 , FALSE),
IFERROR(SEARCH("Blue",P12),0) &gt; 0 , VLOOKUP("Blue", Variables!A:C , 2 , FALSE),
IFERROR(SEARCH("Yellow",P12),0) &gt; 0 , VLOOKUP("Yellow", Variables!A:C , 2 , FALSE),
IFERROR(SEARCH("Black, Black",P12),0) &gt; 0 , VLOOKUP("Black", Variables!A:C , 2, FALSE) * 2,
IFERROR(SEARCH("Grey, Grey",P12),0) &gt; 0 , VLOOKUP("Grey", Variables!A:C , 2, FALSE) * 2,
IFERROR(SEARCH("Grey, Brown",P12),0) &gt; 0 , VLOOKUP("Grey", Variables!A:C , 2, FALSE)  + VLOOKUP("Brown", Variables!A:C , 2, FALSE),
IFERROR(SEARCH("Black, Grey",P12),0) &gt; 0 , VLOOKUP("Black", Variables!A:C , 2, FALSE) + VLOOKUP("Grey", Variables!A:C , 2, FALSE),
IFERROR(SEARCH("Black, Brown",P12),0) &gt; 0 , VLOOKUP("Black", Variables!A:C , 2, FALSE) + VLOOKUP("Brown", Variables!A:C , 2, FALSE),
IFERROR(SEARCH("Black",P12),0) &gt; 0 , VLOOKUP("Black", Variables!A:C , 2, FALSE),
IFERROR(SEARCH("Grey",P12),0) &gt; 0 , VLOOKUP("Grey", Variables!A:C , 2, FALSE),
IFERROR(SEARCH("Brown",P12),0) &gt; 0 , VLOOKUP("Brown", Variables!A:C , 2, FALSE),
0=0,0)
+
IF(O12 ="Ranged", 1 , 0)</f>
        <v>5.5</v>
      </c>
      <c r="R12" s="343" t="s">
        <v>2680</v>
      </c>
      <c r="S12" s="342">
        <f>IFERROR(__xludf.DUMMYFUNCTION("IF(ISBLANK(R12), , 
SWITCH(
LEN(R12)- LEN(SUBSTITUTE(R12,"","","""")), 
0 , VLOOKUP(R12, vote4TRAITS!A:C , 3, FALSE),
1 , VLOOKUP(index(split(R12 ,"", "", FALSE),1,1), vote4TRAITS!A:C , 3, FALSE) + VLOOKUP(index(split(R12 ,"", "", FALSE),1,2), vote4TRAITS"&amp;"!A:C , 3, FALSE),
2 , VLOOKUP(index(split(R12 ,"", "", FALSE),1,1), vote4TRAITS!A:C , 3, FALSE) + VLOOKUP(index(split(R12 ,"", "", FALSE),1,2), vote4TRAITS!A:C , 3, FALSE) + VLOOKUP(index(split(R12 ,"", "", FALSE),1,3), vote4TRAITS!A:C , 3, FALSE)
)
)"),9.5)</f>
        <v>9.5</v>
      </c>
      <c r="T12" s="343"/>
      <c r="U12" s="343" t="str">
        <f>IFERROR(__xludf.DUMMYFUNCTION("IF(ISBLANK(T12), , 
SWITCH(
LEN(T12)- LEN(SUBSTITUTE(T12,"","","""")), 
0 , VLOOKUP(T12, vote4ACTIONS!A:C , 3, FALSE),
1 , VLOOKUP(index(split(T12 ,"", "", FALSE),1,1), vote4ACTIONS!A:C , 3, FALSE) + VLOOKUP(index(split(T12 ,"", "", FALSE),1,2), vote4ACTI"&amp;"ONS!A:C , 3, FALSE),
2 , VLOOKUP(index(split(T12 ,"", "", FALSE),1,1), vote4ACTIONS!A:C , 3, FALSE) + VLOOKUP(index(split(T12 ,"", "", FALSE),1,2), vote4ACTIONS!A:C , 3, FALSE) + VLOOKUP(index(split(T12 ,"", "", FALSE),1,3), vote4ACTIONS!A:C , 3, FALSE)
)"&amp;"
)"),"")</f>
        <v/>
      </c>
      <c r="V12" s="343" t="s">
        <v>1562</v>
      </c>
      <c r="W12" s="517">
        <f>IF(ISBLANK(V12),,IF(IFERROR(SEARCH("SS:",V12),0) &gt; 0, 
VLOOKUP(SUBSTITUTE(V12,"SS: ",""),vote4SURGE!$A:$C , 3, FALSE) - 2,
VLOOKUP(SUBSTITUTE(V12,"S: ",""),vote4SURGE!$A:$C , 3, FALSE)
)
)</f>
        <v>3.5</v>
      </c>
      <c r="X12" s="343" t="s">
        <v>1216</v>
      </c>
      <c r="Y12" s="517">
        <f>IF(ISBLANK(X12),,IF(IFERROR(SEARCH("SS:",X12),0) &gt; 0, 
VLOOKUP(SUBSTITUTE(X12,"SS: ",""),vote4SURGE!$A:$C , 3, FALSE) - 2,
VLOOKUP(SUBSTITUTE(X12,"S: ",""),vote4SURGE!$A:$C , 3, FALSE)
)
)</f>
        <v>5</v>
      </c>
      <c r="Z12" s="343"/>
      <c r="AA12" s="343" t="str">
        <f>IF(ISBLANK(Z12),,IF(IFERROR(SEARCH("SS:",Z12),0) &gt; 0, 
VLOOKUP(SUBSTITUTE(Z12,"SS: ",""),vote4SURGE!$A:$C , 3, FALSE) - 2,
VLOOKUP(SUBSTITUTE(Z12,"S: ",""),vote4SURGE!$A:$C , 3, FALSE)
)
)</f>
        <v/>
      </c>
      <c r="AB12" s="517">
        <f t="shared" si="1"/>
        <v>6.75</v>
      </c>
      <c r="AC12" s="343">
        <f>ROUND(IFS(
IFERROR(SEARCH("Blue, Yellow, Yellow, Green",P12),0) &gt; 0 , VLOOKUP("Blue", Variables!A:C , 3 , FALSE) + (VLOOKUP("Yellow", Variables!A:C , 3 , FALSE) * 2) + VLOOKUP("Green", Variables!A:C , 3 , FALSE),
IFERROR(SEARCH("Blue, Yellow, Green, Green",P12),0) &gt; 0 , VLOOKUP("Blue", Variables!A:C , 3 , FALSE) + VLOOKUP("Yellow", Variables!A:C , 3 , FALSE)  + (VLOOKUP("Green", Variables!A:C , 3 , FALSE) * 2),
IFERROR(SEARCH("Blue, Red, Red",P12),0) &gt; 0 , VLOOKUP("Blue", Variables!A:C , 3 , FALSE) + VLOOKUP("Red", Variables!A:C , 3 , FALSE) * 2,
IFERROR(SEARCH("Blue, Yellow, Yellow",P12),0) &gt; 0 , VLOOKUP("Blue", Variables!A:C , 3 , FALSE) + (VLOOKUP("Yellow", Variables!A:C , 3 , FALSE) * 2),
IFERROR(SEARCH("Blue, Yellow, Green",P12),0) &gt; 0 , VLOOKUP("Blue", Variables!A:C , 3 , FALSE) + VLOOKUP("Yellow", Variables!A:C , 3 , FALSE) + VLOOKUP("Green", Variables!A:C , 3 , FALSE),
IFERROR(SEARCH("Blue, Red, Green",P12),0) &gt; 0 , VLOOKUP("Blue", Variables!A:C , 3 , FALSE) + VLOOKUP("Red", Variables!A:C , 3 , FALSE) + VLOOKUP("Green", Variables!A:C , 3 , FALSE),
IFERROR(SEARCH("Blue, Red, Yellow",P12),0) &gt; 0 , VLOOKUP("Blue", Variables!A:C , 3 , FALSE) + VLOOKUP("Red", Variables!A:C , 3 , FALSE) + VLOOKUP("Yellow", Variables!A:C , 3 , FALSE),
IFERROR(SEARCH("Blue, Green, Green",P12),0) &gt; 0 , VLOOKUP("Blue", Variables!A:C , 3 , FALSE) + (VLOOKUP("Green", Variables!A:C , 3 , FALSE) * 2),
IFERROR(SEARCH("Blue, Yellow",P12),0) &gt; 0 , VLOOKUP("Blue", Variables!A:C , 3 , FALSE) + VLOOKUP("Yellow", Variables!A:C , 3 , FALSE),
IFERROR(SEARCH("Blue, Red",P12),0) &gt; 0 , VLOOKUP("Blue", Variables!A:C , 3 , FALSE) + VLOOKUP("Red", Variables!A:C , 3 , FALSE),
IFERROR(SEARCH("Blue, Green",P12),0) &gt; 0 , VLOOKUP("Blue", Variables!A:C , 3 , FALSE) + VLOOKUP("Green", Variables!A:C , 3 , FALSE),
IFERROR(SEARCH("Green",P12),0) &gt; 0 , VLOOKUP("Green", Variables!A:C , 3 , FALSE),
IFERROR(SEARCH("Blue",P12),0) &gt; 0 , VLOOKUP("Blue", Variables!A:C , 3 , FALSE),
IFERROR(SEARCH("Yellow",P12),0) &gt; 0 , VLOOKUP("Yellow", Variables!A:C , 3 , FALSE),
IFERROR(SEARCH("Black, Black",P12),0) &gt; 0 , VLOOKUP("Black", Variables!A:C , 3 , FALSE) * 2,
IFERROR(SEARCH("Grey, Grey",P12),0) &gt; 0 , VLOOKUP("Grey", Variables!A:C , 3 , FALSE) * 2,
IFERROR(SEARCH("Grey, Brown",P12),0) &gt; 0 , VLOOKUP("Grey", Variables!A:C , 3 , FALSE)  + VLOOKUP("Brown", Variables!A:C , 3 , FALSE),
IFERROR(SEARCH("Black, Grey",P12),0) &gt; 0 , VLOOKUP("Black", Variables!A:C , 3 , FALSE) + VLOOKUP("Grey", Variables!A:C , 3 , FALSE),
IFERROR(SEARCH("Black, Brown",P12),0) &gt; 0 , VLOOKUP("Black", Variables!A:C , 3 , FALSE) + VLOOKUP("Brown", Variables!A:C , 3 , FALSE),
IFERROR(SEARCH("Black",P12),0) &gt; 0 , VLOOKUP("Black", Variables!A:C , 3 , FALSE),
IFERROR(SEARCH("Grey",P12),0) &gt; 0 , VLOOKUP("Grey", Variables!A:C , 3 , FALSE),
IFERROR(SEARCH("Brown",P12),0) &gt; 0 , VLOOKUP("Brown", Variables!A:C , 3 , FALSE),
0=0,0)
,
)</f>
        <v>1</v>
      </c>
      <c r="AD12" s="343">
        <f t="shared" si="2"/>
        <v>2</v>
      </c>
      <c r="AE12" s="345">
        <f t="shared" si="3"/>
        <v>21.75</v>
      </c>
      <c r="AF12" s="383"/>
    </row>
    <row r="13">
      <c r="A13" s="509" t="s">
        <v>2681</v>
      </c>
      <c r="B13" s="510">
        <v>1.0</v>
      </c>
      <c r="C13" s="510">
        <v>4.0</v>
      </c>
      <c r="D13" s="511" t="s">
        <v>1861</v>
      </c>
      <c r="E13" s="512" t="s">
        <v>2682</v>
      </c>
      <c r="F13" s="513">
        <v>3.0</v>
      </c>
      <c r="G13" s="514">
        <v>13.0</v>
      </c>
      <c r="H13" s="515" t="s">
        <v>1671</v>
      </c>
      <c r="I13" s="513">
        <v>3.0</v>
      </c>
      <c r="J13" s="514">
        <v>16.0</v>
      </c>
      <c r="K13" s="515" t="s">
        <v>1671</v>
      </c>
      <c r="L13" s="513">
        <v>3.0</v>
      </c>
      <c r="M13" s="514">
        <v>19.0</v>
      </c>
      <c r="N13" s="515" t="s">
        <v>2594</v>
      </c>
      <c r="O13" s="343" t="s">
        <v>1567</v>
      </c>
      <c r="P13" s="343" t="s">
        <v>1537</v>
      </c>
      <c r="Q13" s="342">
        <f>IFS(
IFERROR(SEARCH("Blue, Yellow, Yellow, Green",P13),0) &gt; 0 , VLOOKUP("Blue", Variables!A:C , 2 , FALSE) + (VLOOKUP("Yellow", Variables!A:C , 2 , FALSE) * 2) + VLOOKUP("Green", Variables!A:C , 2 , FALSE),
IFERROR(SEARCH("Blue, Red, Yellow, Green",P13),0) &gt; 0 , VLOOKUP("Blue", Variables!A:C , 2 , FALSE) + VLOOKUP("Red", Variables!A:C , 2 , FALSE) + (VLOOKUP("Yellow", Variables!A:C , 2 , FALSE) * 2) + VLOOKUP("Green", Variables!A:C , 2 , FALSE),
IFERROR(SEARCH("Blue, Yellow, Green, Green",P13),0) &gt; 0 , VLOOKUP("Blue", Variables!A:C , 2 , FALSE) + VLOOKUP("Yellow", Variables!A:C , 2 , FALSE)  + (VLOOKUP("Green", Variables!A:C , 2 , FALSE) * 2),
IFERROR(SEARCH("Blue, Red, Yellow, Yellow",P13),0) &gt; 0 , VLOOKUP("Blue", Variables!A:C , 2 , FALSE) + VLOOKUP("Yellow", Variables!A:C , 2 , FALSE) * 2  + (VLOOKUP("Red", Variables!A:C , 2 , FALSE) * 2),
IFERROR(SEARCH("Blue, Red, Red",P13),0) &gt; 0 , VLOOKUP("Blue", Variables!A:C , 2 , FALSE) + VLOOKUP("Red", Variables!A:C , 2 , FALSE) * 2,
IFERROR(SEARCH("Blue, Yellow, Yellow",P13),0) &gt; 0 , VLOOKUP("Blue", Variables!A:C , 2 , FALSE) + (VLOOKUP("Yellow", Variables!A:C , 2 , FALSE) * 2),
IFERROR(SEARCH("Blue, Yellow, Green",P13),0) &gt; 0 , VLOOKUP("Blue", Variables!A:C , 2 , FALSE) + VLOOKUP("Yellow", Variables!A:C , 2 , FALSE) + VLOOKUP("Green", Variables!A:C , 2 , FALSE),
IFERROR(SEARCH("Blue, Red, Green",P13),0) &gt; 0 , VLOOKUP("Blue", Variables!A:C , 2 , FALSE) + VLOOKUP("Red", Variables!A:C , 2 , FALSE) + VLOOKUP("Green", Variables!A:C , 2 , FALSE),
IFERROR(SEARCH("Blue, Red, Yellow",P13),0) &gt; 0 , VLOOKUP("Blue", Variables!A:C , 2 , FALSE) + VLOOKUP("Red", Variables!A:C , 2 , FALSE) + VLOOKUP("Yellow", Variables!A:C , 2 , FALSE),
IFERROR(SEARCH("Blue, Green, Green",P13),0) &gt; 0 , VLOOKUP("Blue", Variables!A:C , 2 , FALSE) + (VLOOKUP("Green", Variables!A:C , 2 , FALSE) * 2),
IFERROR(SEARCH("Blue, Yellow",P13),0) &gt; 0 , VLOOKUP("Blue", Variables!A:C , 2 , FALSE) + VLOOKUP("Yellow", Variables!A:C , 2 , FALSE),
IFERROR(SEARCH("Blue, Red",P13),0) &gt; 0 , VLOOKUP("Blue", Variables!A:C , 2 , FALSE) + VLOOKUP("Red", Variables!A:C , 2 , FALSE),
IFERROR(SEARCH("Blue, Green",P13),0) &gt; 0 , VLOOKUP("Blue", Variables!A:C , 2 , FALSE) + VLOOKUP("Green", Variables!A:C , 2 , FALSE),
IFERROR(SEARCH("Green",P13),0) &gt; 0 , VLOOKUP("Green", Variables!A:C , 2 , FALSE),
IFERROR(SEARCH("Blue",P13),0) &gt; 0 , VLOOKUP("Blue", Variables!A:C , 2 , FALSE),
IFERROR(SEARCH("Yellow",P13),0) &gt; 0 , VLOOKUP("Yellow", Variables!A:C , 2 , FALSE),
IFERROR(SEARCH("Black, Black",P13),0) &gt; 0 , VLOOKUP("Black", Variables!A:C , 2, FALSE) * 2,
IFERROR(SEARCH("Grey, Grey",P13),0) &gt; 0 , VLOOKUP("Grey", Variables!A:C , 2, FALSE) * 2,
IFERROR(SEARCH("Grey, Brown",P13),0) &gt; 0 , VLOOKUP("Grey", Variables!A:C , 2, FALSE)  + VLOOKUP("Brown", Variables!A:C , 2, FALSE),
IFERROR(SEARCH("Black, Grey",P13),0) &gt; 0 , VLOOKUP("Black", Variables!A:C , 2, FALSE) + VLOOKUP("Grey", Variables!A:C , 2, FALSE),
IFERROR(SEARCH("Black, Brown",P13),0) &gt; 0 , VLOOKUP("Black", Variables!A:C , 2, FALSE) + VLOOKUP("Brown", Variables!A:C , 2, FALSE),
IFERROR(SEARCH("Black",P13),0) &gt; 0 , VLOOKUP("Black", Variables!A:C , 2, FALSE),
IFERROR(SEARCH("Grey",P13),0) &gt; 0 , VLOOKUP("Grey", Variables!A:C , 2, FALSE),
IFERROR(SEARCH("Brown",P13),0) &gt; 0 , VLOOKUP("Brown", Variables!A:C , 2, FALSE),
0=0,0)
+
IF(O13 ="Ranged", 1 , 0)</f>
        <v>5.5</v>
      </c>
      <c r="R13" s="343" t="s">
        <v>971</v>
      </c>
      <c r="S13" s="342">
        <f>IFERROR(__xludf.DUMMYFUNCTION("IF(ISBLANK(R13), , 
SWITCH(
LEN(R13)- LEN(SUBSTITUTE(R13,"","","""")), 
0 , VLOOKUP(R13, vote4TRAITS!A:C , 3, FALSE),
1 , VLOOKUP(index(split(R13 ,"", "", FALSE),1,1), vote4TRAITS!A:C , 3, FALSE) + VLOOKUP(index(split(R13 ,"", "", FALSE),1,2), vote4TRAITS"&amp;"!A:C , 3, FALSE),
2 , VLOOKUP(index(split(R13 ,"", "", FALSE),1,1), vote4TRAITS!A:C , 3, FALSE) + VLOOKUP(index(split(R13 ,"", "", FALSE),1,2), vote4TRAITS!A:C , 3, FALSE) + VLOOKUP(index(split(R13 ,"", "", FALSE),1,3), vote4TRAITS!A:C , 3, FALSE)
)
)"),1.75)</f>
        <v>1.75</v>
      </c>
      <c r="T13" s="343" t="s">
        <v>1381</v>
      </c>
      <c r="U13" s="343">
        <f>IFERROR(__xludf.DUMMYFUNCTION("IF(ISBLANK(T13), , 
SWITCH(
LEN(T13)- LEN(SUBSTITUTE(T13,"","","""")), 
0 , VLOOKUP(T13, vote4ACTIONS!A:C , 3, FALSE),
1 , VLOOKUP(index(split(T13 ,"", "", FALSE),1,1), vote4ACTIONS!A:C , 3, FALSE) + VLOOKUP(index(split(T13 ,"", "", FALSE),1,2), vote4ACTI"&amp;"ONS!A:C , 3, FALSE),
2 , VLOOKUP(index(split(T13 ,"", "", FALSE),1,1), vote4ACTIONS!A:C , 3, FALSE) + VLOOKUP(index(split(T13 ,"", "", FALSE),1,2), vote4ACTIONS!A:C , 3, FALSE) + VLOOKUP(index(split(T13 ,"", "", FALSE),1,3), vote4ACTIONS!A:C , 3, FALSE)
)"&amp;"
)"),4.5)</f>
        <v>4.5</v>
      </c>
      <c r="V13" s="343" t="s">
        <v>2683</v>
      </c>
      <c r="W13" s="517">
        <f>IF(ISBLANK(V13),,IF(IFERROR(SEARCH("SS:",V13),0) &gt; 0, 
VLOOKUP(SUBSTITUTE(V13,"SS: ",""),vote4SURGE!$A:$C , 3, FALSE) - 2,
VLOOKUP(SUBSTITUTE(V13,"S: ",""),vote4SURGE!$A:$C , 3, FALSE)
)
)</f>
        <v>4.5</v>
      </c>
      <c r="X13" s="343"/>
      <c r="Y13" s="343" t="str">
        <f>IF(ISBLANK(X13),,IF(IFERROR(SEARCH("SS:",X13),0) &gt; 0, 
VLOOKUP(SUBSTITUTE(X13,"SS: ",""),vote4SURGE!$A:$C , 3, FALSE) - 2,
VLOOKUP(SUBSTITUTE(X13,"S: ",""),vote4SURGE!$A:$C , 3, FALSE)
)
)</f>
        <v/>
      </c>
      <c r="Z13" s="343"/>
      <c r="AA13" s="343" t="str">
        <f>IF(ISBLANK(Z13),,IF(IFERROR(SEARCH("SS:",Z13),0) &gt; 0, 
VLOOKUP(SUBSTITUTE(Z13,"SS: ",""),vote4SURGE!$A:$C , 3, FALSE) - 2,
VLOOKUP(SUBSTITUTE(Z13,"S: ",""),vote4SURGE!$A:$C , 3, FALSE)
)
)</f>
        <v/>
      </c>
      <c r="AB13" s="517">
        <f t="shared" si="1"/>
        <v>4.5</v>
      </c>
      <c r="AC13" s="343">
        <f>ROUND(IFS(
IFERROR(SEARCH("Blue, Yellow, Yellow, Green",P13),0) &gt; 0 , VLOOKUP("Blue", Variables!A:C , 3 , FALSE) + (VLOOKUP("Yellow", Variables!A:C , 3 , FALSE) * 2) + VLOOKUP("Green", Variables!A:C , 3 , FALSE),
IFERROR(SEARCH("Blue, Yellow, Green, Green",P13),0) &gt; 0 , VLOOKUP("Blue", Variables!A:C , 3 , FALSE) + VLOOKUP("Yellow", Variables!A:C , 3 , FALSE)  + (VLOOKUP("Green", Variables!A:C , 3 , FALSE) * 2),
IFERROR(SEARCH("Blue, Red, Red",P13),0) &gt; 0 , VLOOKUP("Blue", Variables!A:C , 3 , FALSE) + VLOOKUP("Red", Variables!A:C , 3 , FALSE) * 2,
IFERROR(SEARCH("Blue, Yellow, Yellow",P13),0) &gt; 0 , VLOOKUP("Blue", Variables!A:C , 3 , FALSE) + (VLOOKUP("Yellow", Variables!A:C , 3 , FALSE) * 2),
IFERROR(SEARCH("Blue, Yellow, Green",P13),0) &gt; 0 , VLOOKUP("Blue", Variables!A:C , 3 , FALSE) + VLOOKUP("Yellow", Variables!A:C , 3 , FALSE) + VLOOKUP("Green", Variables!A:C , 3 , FALSE),
IFERROR(SEARCH("Blue, Red, Green",P13),0) &gt; 0 , VLOOKUP("Blue", Variables!A:C , 3 , FALSE) + VLOOKUP("Red", Variables!A:C , 3 , FALSE) + VLOOKUP("Green", Variables!A:C , 3 , FALSE),
IFERROR(SEARCH("Blue, Red, Yellow",P13),0) &gt; 0 , VLOOKUP("Blue", Variables!A:C , 3 , FALSE) + VLOOKUP("Red", Variables!A:C , 3 , FALSE) + VLOOKUP("Yellow", Variables!A:C , 3 , FALSE),
IFERROR(SEARCH("Blue, Green, Green",P13),0) &gt; 0 , VLOOKUP("Blue", Variables!A:C , 3 , FALSE) + (VLOOKUP("Green", Variables!A:C , 3 , FALSE) * 2),
IFERROR(SEARCH("Blue, Yellow",P13),0) &gt; 0 , VLOOKUP("Blue", Variables!A:C , 3 , FALSE) + VLOOKUP("Yellow", Variables!A:C , 3 , FALSE),
IFERROR(SEARCH("Blue, Red",P13),0) &gt; 0 , VLOOKUP("Blue", Variables!A:C , 3 , FALSE) + VLOOKUP("Red", Variables!A:C , 3 , FALSE),
IFERROR(SEARCH("Blue, Green",P13),0) &gt; 0 , VLOOKUP("Blue", Variables!A:C , 3 , FALSE) + VLOOKUP("Green", Variables!A:C , 3 , FALSE),
IFERROR(SEARCH("Green",P13),0) &gt; 0 , VLOOKUP("Green", Variables!A:C , 3 , FALSE),
IFERROR(SEARCH("Blue",P13),0) &gt; 0 , VLOOKUP("Blue", Variables!A:C , 3 , FALSE),
IFERROR(SEARCH("Yellow",P13),0) &gt; 0 , VLOOKUP("Yellow", Variables!A:C , 3 , FALSE),
IFERROR(SEARCH("Black, Black",P13),0) &gt; 0 , VLOOKUP("Black", Variables!A:C , 3 , FALSE) * 2,
IFERROR(SEARCH("Grey, Grey",P13),0) &gt; 0 , VLOOKUP("Grey", Variables!A:C , 3 , FALSE) * 2,
IFERROR(SEARCH("Grey, Brown",P13),0) &gt; 0 , VLOOKUP("Grey", Variables!A:C , 3 , FALSE)  + VLOOKUP("Brown", Variables!A:C , 3 , FALSE),
IFERROR(SEARCH("Black, Grey",P13),0) &gt; 0 , VLOOKUP("Black", Variables!A:C , 3 , FALSE) + VLOOKUP("Grey", Variables!A:C , 3 , FALSE),
IFERROR(SEARCH("Black, Brown",P13),0) &gt; 0 , VLOOKUP("Black", Variables!A:C , 3 , FALSE) + VLOOKUP("Brown", Variables!A:C , 3 , FALSE),
IFERROR(SEARCH("Black",P13),0) &gt; 0 , VLOOKUP("Black", Variables!A:C , 3 , FALSE),
IFERROR(SEARCH("Grey",P13),0) &gt; 0 , VLOOKUP("Grey", Variables!A:C , 3 , FALSE),
IFERROR(SEARCH("Brown",P13),0) &gt; 0 , VLOOKUP("Brown", Variables!A:C , 3 , FALSE),
0=0,0)
,
)</f>
        <v>1</v>
      </c>
      <c r="AD13" s="343">
        <f t="shared" si="2"/>
        <v>2</v>
      </c>
      <c r="AE13" s="345">
        <f t="shared" si="3"/>
        <v>16.25</v>
      </c>
      <c r="AF13" s="383"/>
    </row>
    <row r="14">
      <c r="A14" s="509" t="s">
        <v>2681</v>
      </c>
      <c r="B14" s="380">
        <v>2.0</v>
      </c>
      <c r="C14" s="380">
        <v>4.0</v>
      </c>
      <c r="D14" s="511" t="s">
        <v>1861</v>
      </c>
      <c r="E14" s="512" t="s">
        <v>2682</v>
      </c>
      <c r="F14" s="513">
        <v>3.0</v>
      </c>
      <c r="G14" s="514">
        <v>18.0</v>
      </c>
      <c r="H14" s="340" t="s">
        <v>2594</v>
      </c>
      <c r="I14" s="513">
        <v>3.0</v>
      </c>
      <c r="J14" s="514">
        <v>21.0</v>
      </c>
      <c r="K14" s="340" t="s">
        <v>2594</v>
      </c>
      <c r="L14" s="513">
        <v>3.0</v>
      </c>
      <c r="M14" s="514">
        <v>24.0</v>
      </c>
      <c r="N14" s="515" t="s">
        <v>2599</v>
      </c>
      <c r="O14" s="343" t="s">
        <v>1567</v>
      </c>
      <c r="P14" s="343" t="s">
        <v>2734</v>
      </c>
      <c r="Q14" s="342">
        <f>IFS(
IFERROR(SEARCH("Blue, Yellow, Yellow, Green",P14),0) &gt; 0 , VLOOKUP("Blue", Variables!A:C , 2 , FALSE) + (VLOOKUP("Yellow", Variables!A:C , 2 , FALSE) * 2) + VLOOKUP("Green", Variables!A:C , 2 , FALSE),
IFERROR(SEARCH("Blue, Red, Yellow, Green",P14),0) &gt; 0 , VLOOKUP("Blue", Variables!A:C , 2 , FALSE) + VLOOKUP("Red", Variables!A:C , 2 , FALSE) + (VLOOKUP("Yellow", Variables!A:C , 2 , FALSE) * 2) + VLOOKUP("Green", Variables!A:C , 2 , FALSE),
IFERROR(SEARCH("Blue, Yellow, Green, Green",P14),0) &gt; 0 , VLOOKUP("Blue", Variables!A:C , 2 , FALSE) + VLOOKUP("Yellow", Variables!A:C , 2 , FALSE)  + (VLOOKUP("Green", Variables!A:C , 2 , FALSE) * 2),
IFERROR(SEARCH("Blue, Red, Yellow, Yellow",P14),0) &gt; 0 , VLOOKUP("Blue", Variables!A:C , 2 , FALSE) + VLOOKUP("Yellow", Variables!A:C , 2 , FALSE) * 2  + (VLOOKUP("Red", Variables!A:C , 2 , FALSE) * 2),
IFERROR(SEARCH("Blue, Red, Red",P14),0) &gt; 0 , VLOOKUP("Blue", Variables!A:C , 2 , FALSE) + VLOOKUP("Red", Variables!A:C , 2 , FALSE) * 2,
IFERROR(SEARCH("Blue, Yellow, Yellow",P14),0) &gt; 0 , VLOOKUP("Blue", Variables!A:C , 2 , FALSE) + (VLOOKUP("Yellow", Variables!A:C , 2 , FALSE) * 2),
IFERROR(SEARCH("Blue, Yellow, Green",P14),0) &gt; 0 , VLOOKUP("Blue", Variables!A:C , 2 , FALSE) + VLOOKUP("Yellow", Variables!A:C , 2 , FALSE) + VLOOKUP("Green", Variables!A:C , 2 , FALSE),
IFERROR(SEARCH("Blue, Red, Green",P14),0) &gt; 0 , VLOOKUP("Blue", Variables!A:C , 2 , FALSE) + VLOOKUP("Red", Variables!A:C , 2 , FALSE) + VLOOKUP("Green", Variables!A:C , 2 , FALSE),
IFERROR(SEARCH("Blue, Red, Yellow",P14),0) &gt; 0 , VLOOKUP("Blue", Variables!A:C , 2 , FALSE) + VLOOKUP("Red", Variables!A:C , 2 , FALSE) + VLOOKUP("Yellow", Variables!A:C , 2 , FALSE),
IFERROR(SEARCH("Blue, Green, Green",P14),0) &gt; 0 , VLOOKUP("Blue", Variables!A:C , 2 , FALSE) + (VLOOKUP("Green", Variables!A:C , 2 , FALSE) * 2),
IFERROR(SEARCH("Blue, Yellow",P14),0) &gt; 0 , VLOOKUP("Blue", Variables!A:C , 2 , FALSE) + VLOOKUP("Yellow", Variables!A:C , 2 , FALSE),
IFERROR(SEARCH("Blue, Red",P14),0) &gt; 0 , VLOOKUP("Blue", Variables!A:C , 2 , FALSE) + VLOOKUP("Red", Variables!A:C , 2 , FALSE),
IFERROR(SEARCH("Blue, Green",P14),0) &gt; 0 , VLOOKUP("Blue", Variables!A:C , 2 , FALSE) + VLOOKUP("Green", Variables!A:C , 2 , FALSE),
IFERROR(SEARCH("Green",P14),0) &gt; 0 , VLOOKUP("Green", Variables!A:C , 2 , FALSE),
IFERROR(SEARCH("Blue",P14),0) &gt; 0 , VLOOKUP("Blue", Variables!A:C , 2 , FALSE),
IFERROR(SEARCH("Yellow",P14),0) &gt; 0 , VLOOKUP("Yellow", Variables!A:C , 2 , FALSE),
IFERROR(SEARCH("Black, Black",P14),0) &gt; 0 , VLOOKUP("Black", Variables!A:C , 2, FALSE) * 2,
IFERROR(SEARCH("Grey, Grey",P14),0) &gt; 0 , VLOOKUP("Grey", Variables!A:C , 2, FALSE) * 2,
IFERROR(SEARCH("Grey, Brown",P14),0) &gt; 0 , VLOOKUP("Grey", Variables!A:C , 2, FALSE)  + VLOOKUP("Brown", Variables!A:C , 2, FALSE),
IFERROR(SEARCH("Black, Grey",P14),0) &gt; 0 , VLOOKUP("Black", Variables!A:C , 2, FALSE) + VLOOKUP("Grey", Variables!A:C , 2, FALSE),
IFERROR(SEARCH("Black, Brown",P14),0) &gt; 0 , VLOOKUP("Black", Variables!A:C , 2, FALSE) + VLOOKUP("Brown", Variables!A:C , 2, FALSE),
IFERROR(SEARCH("Black",P14),0) &gt; 0 , VLOOKUP("Black", Variables!A:C , 2, FALSE),
IFERROR(SEARCH("Grey",P14),0) &gt; 0 , VLOOKUP("Grey", Variables!A:C , 2, FALSE),
IFERROR(SEARCH("Brown",P14),0) &gt; 0 , VLOOKUP("Brown", Variables!A:C , 2, FALSE),
0=0,0)
+
IF(O14 ="Ranged", 1 , 0)</f>
        <v>8.833333333</v>
      </c>
      <c r="R14" s="343" t="s">
        <v>2685</v>
      </c>
      <c r="S14" s="342">
        <f>IFERROR(__xludf.DUMMYFUNCTION("IF(ISBLANK(R14), , 
SWITCH(
LEN(R14)- LEN(SUBSTITUTE(R14,"","","""")), 
0 , VLOOKUP(R14, vote4TRAITS!A:C , 3, FALSE),
1 , VLOOKUP(index(split(R14 ,"", "", FALSE),1,1), vote4TRAITS!A:C , 3, FALSE) + VLOOKUP(index(split(R14 ,"", "", FALSE),1,2), vote4TRAITS"&amp;"!A:C , 3, FALSE),
2 , VLOOKUP(index(split(R14 ,"", "", FALSE),1,1), vote4TRAITS!A:C , 3, FALSE) + VLOOKUP(index(split(R14 ,"", "", FALSE),1,2), vote4TRAITS!A:C , 3, FALSE) + VLOOKUP(index(split(R14 ,"", "", FALSE),1,3), vote4TRAITS!A:C , 3, FALSE)
)
)"),8.0)</f>
        <v>8</v>
      </c>
      <c r="T14" s="343" t="s">
        <v>1381</v>
      </c>
      <c r="U14" s="343">
        <f>IFERROR(__xludf.DUMMYFUNCTION("IF(ISBLANK(T14), , 
SWITCH(
LEN(T14)- LEN(SUBSTITUTE(T14,"","","""")), 
0 , VLOOKUP(T14, vote4ACTIONS!A:C , 3, FALSE),
1 , VLOOKUP(index(split(T14 ,"", "", FALSE),1,1), vote4ACTIONS!A:C , 3, FALSE) + VLOOKUP(index(split(T14 ,"", "", FALSE),1,2), vote4ACTI"&amp;"ONS!A:C , 3, FALSE),
2 , VLOOKUP(index(split(T14 ,"", "", FALSE),1,1), vote4ACTIONS!A:C , 3, FALSE) + VLOOKUP(index(split(T14 ,"", "", FALSE),1,2), vote4ACTIONS!A:C , 3, FALSE) + VLOOKUP(index(split(T14 ,"", "", FALSE),1,3), vote4ACTIONS!A:C , 3, FALSE)
)"&amp;"
)"),4.5)</f>
        <v>4.5</v>
      </c>
      <c r="V14" s="343" t="s">
        <v>2683</v>
      </c>
      <c r="W14" s="517">
        <f>IF(ISBLANK(V14),,IF(IFERROR(SEARCH("SS:",V14),0) &gt; 0, 
VLOOKUP(SUBSTITUTE(V14,"SS: ",""),vote4SURGE!$A:$C , 3, FALSE) - 2,
VLOOKUP(SUBSTITUTE(V14,"S: ",""),vote4SURGE!$A:$C , 3, FALSE)
)
)</f>
        <v>4.5</v>
      </c>
      <c r="X14" s="343"/>
      <c r="Y14" s="343" t="str">
        <f>IF(ISBLANK(X14),,IF(IFERROR(SEARCH("SS:",X14),0) &gt; 0, 
VLOOKUP(SUBSTITUTE(X14,"SS: ",""),vote4SURGE!$A:$C , 3, FALSE) - 2,
VLOOKUP(SUBSTITUTE(X14,"S: ",""),vote4SURGE!$A:$C , 3, FALSE)
)
)</f>
        <v/>
      </c>
      <c r="Z14" s="343"/>
      <c r="AA14" s="343" t="str">
        <f>IF(ISBLANK(Z14),,IF(IFERROR(SEARCH("SS:",Z14),0) &gt; 0, 
VLOOKUP(SUBSTITUTE(Z14,"SS: ",""),vote4SURGE!$A:$C , 3, FALSE) - 2,
VLOOKUP(SUBSTITUTE(Z14,"S: ",""),vote4SURGE!$A:$C , 3, FALSE)
)
)</f>
        <v/>
      </c>
      <c r="AB14" s="517">
        <f t="shared" si="1"/>
        <v>4.5</v>
      </c>
      <c r="AC14" s="343">
        <f>ROUND(IFS(
IFERROR(SEARCH("Blue, Yellow, Yellow, Green",P14),0) &gt; 0 , VLOOKUP("Blue", Variables!A:C , 3 , FALSE) + (VLOOKUP("Yellow", Variables!A:C , 3 , FALSE) * 2) + VLOOKUP("Green", Variables!A:C , 3 , FALSE),
IFERROR(SEARCH("Blue, Yellow, Green, Green",P14),0) &gt; 0 , VLOOKUP("Blue", Variables!A:C , 3 , FALSE) + VLOOKUP("Yellow", Variables!A:C , 3 , FALSE)  + (VLOOKUP("Green", Variables!A:C , 3 , FALSE) * 2),
IFERROR(SEARCH("Blue, Red, Red",P14),0) &gt; 0 , VLOOKUP("Blue", Variables!A:C , 3 , FALSE) + VLOOKUP("Red", Variables!A:C , 3 , FALSE) * 2,
IFERROR(SEARCH("Blue, Yellow, Yellow",P14),0) &gt; 0 , VLOOKUP("Blue", Variables!A:C , 3 , FALSE) + (VLOOKUP("Yellow", Variables!A:C , 3 , FALSE) * 2),
IFERROR(SEARCH("Blue, Yellow, Green",P14),0) &gt; 0 , VLOOKUP("Blue", Variables!A:C , 3 , FALSE) + VLOOKUP("Yellow", Variables!A:C , 3 , FALSE) + VLOOKUP("Green", Variables!A:C , 3 , FALSE),
IFERROR(SEARCH("Blue, Red, Green",P14),0) &gt; 0 , VLOOKUP("Blue", Variables!A:C , 3 , FALSE) + VLOOKUP("Red", Variables!A:C , 3 , FALSE) + VLOOKUP("Green", Variables!A:C , 3 , FALSE),
IFERROR(SEARCH("Blue, Red, Yellow",P14),0) &gt; 0 , VLOOKUP("Blue", Variables!A:C , 3 , FALSE) + VLOOKUP("Red", Variables!A:C , 3 , FALSE) + VLOOKUP("Yellow", Variables!A:C , 3 , FALSE),
IFERROR(SEARCH("Blue, Green, Green",P14),0) &gt; 0 , VLOOKUP("Blue", Variables!A:C , 3 , FALSE) + (VLOOKUP("Green", Variables!A:C , 3 , FALSE) * 2),
IFERROR(SEARCH("Blue, Yellow",P14),0) &gt; 0 , VLOOKUP("Blue", Variables!A:C , 3 , FALSE) + VLOOKUP("Yellow", Variables!A:C , 3 , FALSE),
IFERROR(SEARCH("Blue, Red",P14),0) &gt; 0 , VLOOKUP("Blue", Variables!A:C , 3 , FALSE) + VLOOKUP("Red", Variables!A:C , 3 , FALSE),
IFERROR(SEARCH("Blue, Green",P14),0) &gt; 0 , VLOOKUP("Blue", Variables!A:C , 3 , FALSE) + VLOOKUP("Green", Variables!A:C , 3 , FALSE),
IFERROR(SEARCH("Green",P14),0) &gt; 0 , VLOOKUP("Green", Variables!A:C , 3 , FALSE),
IFERROR(SEARCH("Blue",P14),0) &gt; 0 , VLOOKUP("Blue", Variables!A:C , 3 , FALSE),
IFERROR(SEARCH("Yellow",P14),0) &gt; 0 , VLOOKUP("Yellow", Variables!A:C , 3 , FALSE),
IFERROR(SEARCH("Black, Black",P14),0) &gt; 0 , VLOOKUP("Black", Variables!A:C , 3 , FALSE) * 2,
IFERROR(SEARCH("Grey, Grey",P14),0) &gt; 0 , VLOOKUP("Grey", Variables!A:C , 3 , FALSE) * 2,
IFERROR(SEARCH("Grey, Brown",P14),0) &gt; 0 , VLOOKUP("Grey", Variables!A:C , 3 , FALSE)  + VLOOKUP("Brown", Variables!A:C , 3 , FALSE),
IFERROR(SEARCH("Black, Grey",P14),0) &gt; 0 , VLOOKUP("Black", Variables!A:C , 3 , FALSE) + VLOOKUP("Grey", Variables!A:C , 3 , FALSE),
IFERROR(SEARCH("Black, Brown",P14),0) &gt; 0 , VLOOKUP("Black", Variables!A:C , 3 , FALSE) + VLOOKUP("Brown", Variables!A:C , 3 , FALSE),
IFERROR(SEARCH("Black",P14),0) &gt; 0 , VLOOKUP("Black", Variables!A:C , 3 , FALSE),
IFERROR(SEARCH("Grey",P14),0) &gt; 0 , VLOOKUP("Grey", Variables!A:C , 3 , FALSE),
IFERROR(SEARCH("Brown",P14),0) &gt; 0 , VLOOKUP("Brown", Variables!A:C , 3 , FALSE),
0=0,0)
,
)</f>
        <v>1</v>
      </c>
      <c r="AD14" s="343">
        <f t="shared" si="2"/>
        <v>2</v>
      </c>
      <c r="AE14" s="345">
        <f t="shared" si="3"/>
        <v>25.83333333</v>
      </c>
      <c r="AF14" s="383"/>
    </row>
    <row r="15">
      <c r="A15" s="509" t="s">
        <v>2686</v>
      </c>
      <c r="B15" s="510">
        <v>1.0</v>
      </c>
      <c r="C15" s="510">
        <v>1.0</v>
      </c>
      <c r="D15" s="511" t="s">
        <v>2661</v>
      </c>
      <c r="E15" s="512" t="s">
        <v>2687</v>
      </c>
      <c r="F15" s="513">
        <v>4.0</v>
      </c>
      <c r="G15" s="514">
        <v>11.0</v>
      </c>
      <c r="H15" s="515" t="s">
        <v>1663</v>
      </c>
      <c r="I15" s="513">
        <v>4.0</v>
      </c>
      <c r="J15" s="514">
        <v>13.0</v>
      </c>
      <c r="K15" s="515" t="s">
        <v>1671</v>
      </c>
      <c r="L15" s="513">
        <v>4.0</v>
      </c>
      <c r="M15" s="514">
        <v>16.0</v>
      </c>
      <c r="N15" s="515" t="s">
        <v>1671</v>
      </c>
      <c r="O15" s="343" t="s">
        <v>1567</v>
      </c>
      <c r="P15" s="343" t="s">
        <v>1548</v>
      </c>
      <c r="Q15" s="342">
        <f>IFS(
IFERROR(SEARCH("Blue, Yellow, Yellow, Green",P15),0) &gt; 0 , VLOOKUP("Blue", Variables!A:C , 2 , FALSE) + (VLOOKUP("Yellow", Variables!A:C , 2 , FALSE) * 2) + VLOOKUP("Green", Variables!A:C , 2 , FALSE),
IFERROR(SEARCH("Blue, Red, Yellow, Green",P15),0) &gt; 0 , VLOOKUP("Blue", Variables!A:C , 2 , FALSE) + VLOOKUP("Red", Variables!A:C , 2 , FALSE) + (VLOOKUP("Yellow", Variables!A:C , 2 , FALSE) * 2) + VLOOKUP("Green", Variables!A:C , 2 , FALSE),
IFERROR(SEARCH("Blue, Yellow, Green, Green",P15),0) &gt; 0 , VLOOKUP("Blue", Variables!A:C , 2 , FALSE) + VLOOKUP("Yellow", Variables!A:C , 2 , FALSE)  + (VLOOKUP("Green", Variables!A:C , 2 , FALSE) * 2),
IFERROR(SEARCH("Blue, Red, Yellow, Yellow",P15),0) &gt; 0 , VLOOKUP("Blue", Variables!A:C , 2 , FALSE) + VLOOKUP("Yellow", Variables!A:C , 2 , FALSE) * 2  + (VLOOKUP("Red", Variables!A:C , 2 , FALSE) * 2),
IFERROR(SEARCH("Blue, Red, Red",P15),0) &gt; 0 , VLOOKUP("Blue", Variables!A:C , 2 , FALSE) + VLOOKUP("Red", Variables!A:C , 2 , FALSE) * 2,
IFERROR(SEARCH("Blue, Yellow, Yellow",P15),0) &gt; 0 , VLOOKUP("Blue", Variables!A:C , 2 , FALSE) + (VLOOKUP("Yellow", Variables!A:C , 2 , FALSE) * 2),
IFERROR(SEARCH("Blue, Yellow, Green",P15),0) &gt; 0 , VLOOKUP("Blue", Variables!A:C , 2 , FALSE) + VLOOKUP("Yellow", Variables!A:C , 2 , FALSE) + VLOOKUP("Green", Variables!A:C , 2 , FALSE),
IFERROR(SEARCH("Blue, Red, Green",P15),0) &gt; 0 , VLOOKUP("Blue", Variables!A:C , 2 , FALSE) + VLOOKUP("Red", Variables!A:C , 2 , FALSE) + VLOOKUP("Green", Variables!A:C , 2 , FALSE),
IFERROR(SEARCH("Blue, Red, Yellow",P15),0) &gt; 0 , VLOOKUP("Blue", Variables!A:C , 2 , FALSE) + VLOOKUP("Red", Variables!A:C , 2 , FALSE) + VLOOKUP("Yellow", Variables!A:C , 2 , FALSE),
IFERROR(SEARCH("Blue, Green, Green",P15),0) &gt; 0 , VLOOKUP("Blue", Variables!A:C , 2 , FALSE) + (VLOOKUP("Green", Variables!A:C , 2 , FALSE) * 2),
IFERROR(SEARCH("Blue, Yellow",P15),0) &gt; 0 , VLOOKUP("Blue", Variables!A:C , 2 , FALSE) + VLOOKUP("Yellow", Variables!A:C , 2 , FALSE),
IFERROR(SEARCH("Blue, Red",P15),0) &gt; 0 , VLOOKUP("Blue", Variables!A:C , 2 , FALSE) + VLOOKUP("Red", Variables!A:C , 2 , FALSE),
IFERROR(SEARCH("Blue, Green",P15),0) &gt; 0 , VLOOKUP("Blue", Variables!A:C , 2 , FALSE) + VLOOKUP("Green", Variables!A:C , 2 , FALSE),
IFERROR(SEARCH("Green",P15),0) &gt; 0 , VLOOKUP("Green", Variables!A:C , 2 , FALSE),
IFERROR(SEARCH("Blue",P15),0) &gt; 0 , VLOOKUP("Blue", Variables!A:C , 2 , FALSE),
IFERROR(SEARCH("Yellow",P15),0) &gt; 0 , VLOOKUP("Yellow", Variables!A:C , 2 , FALSE),
IFERROR(SEARCH("Black, Black",P15),0) &gt; 0 , VLOOKUP("Black", Variables!A:C , 2, FALSE) * 2,
IFERROR(SEARCH("Grey, Grey",P15),0) &gt; 0 , VLOOKUP("Grey", Variables!A:C , 2, FALSE) * 2,
IFERROR(SEARCH("Grey, Brown",P15),0) &gt; 0 , VLOOKUP("Grey", Variables!A:C , 2, FALSE)  + VLOOKUP("Brown", Variables!A:C , 2, FALSE),
IFERROR(SEARCH("Black, Grey",P15),0) &gt; 0 , VLOOKUP("Black", Variables!A:C , 2, FALSE) + VLOOKUP("Grey", Variables!A:C , 2, FALSE),
IFERROR(SEARCH("Black, Brown",P15),0) &gt; 0 , VLOOKUP("Black", Variables!A:C , 2, FALSE) + VLOOKUP("Brown", Variables!A:C , 2, FALSE),
IFERROR(SEARCH("Black",P15),0) &gt; 0 , VLOOKUP("Black", Variables!A:C , 2, FALSE),
IFERROR(SEARCH("Grey",P15),0) &gt; 0 , VLOOKUP("Grey", Variables!A:C , 2, FALSE),
IFERROR(SEARCH("Brown",P15),0) &gt; 0 , VLOOKUP("Brown", Variables!A:C , 2, FALSE),
0=0,0)
+
IF(O15 ="Ranged", 1 , 0)</f>
        <v>3.333333333</v>
      </c>
      <c r="R15" s="343" t="s">
        <v>2735</v>
      </c>
      <c r="S15" s="342">
        <f>IFERROR(__xludf.DUMMYFUNCTION("IF(ISBLANK(R15), , 
SWITCH(
LEN(R15)- LEN(SUBSTITUTE(R15,"","","""")), 
0 , VLOOKUP(R15, vote4TRAITS!A:C , 3, FALSE),
1 , VLOOKUP(index(split(R15 ,"", "", FALSE),1,1), vote4TRAITS!A:C , 3, FALSE) + VLOOKUP(index(split(R15 ,"", "", FALSE),1,2), vote4TRAITS"&amp;"!A:C , 3, FALSE),
2 , VLOOKUP(index(split(R15 ,"", "", FALSE),1,1), vote4TRAITS!A:C , 3, FALSE) + VLOOKUP(index(split(R15 ,"", "", FALSE),1,2), vote4TRAITS!A:C , 3, FALSE) + VLOOKUP(index(split(R15 ,"", "", FALSE),1,3), vote4TRAITS!A:C , 3, FALSE)
)
)"),11.0)</f>
        <v>11</v>
      </c>
      <c r="T15" s="343"/>
      <c r="U15" s="343" t="str">
        <f>IFERROR(__xludf.DUMMYFUNCTION("IF(ISBLANK(T15), , 
SWITCH(
LEN(T15)- LEN(SUBSTITUTE(T15,"","","""")), 
0 , VLOOKUP(T15, vote4ACTIONS!A:C , 3, FALSE),
1 , VLOOKUP(index(split(T15 ,"", "", FALSE),1,1), vote4ACTIONS!A:C , 3, FALSE) + VLOOKUP(index(split(T15 ,"", "", FALSE),1,2), vote4ACTI"&amp;"ONS!A:C , 3, FALSE),
2 , VLOOKUP(index(split(T15 ,"", "", FALSE),1,1), vote4ACTIONS!A:C , 3, FALSE) + VLOOKUP(index(split(T15 ,"", "", FALSE),1,2), vote4ACTIONS!A:C , 3, FALSE) + VLOOKUP(index(split(T15 ,"", "", FALSE),1,3), vote4ACTIONS!A:C , 3, FALSE)
)"&amp;"
)"),"")</f>
        <v/>
      </c>
      <c r="V15" s="343" t="s">
        <v>2689</v>
      </c>
      <c r="W15" s="517">
        <f>IF(ISBLANK(V15),,IF(IFERROR(SEARCH("SS:",V15),0) &gt; 0, 
VLOOKUP(SUBSTITUTE(V15,"SS: ",""),vote4SURGE!$A:$C , 3, FALSE) - 2,
VLOOKUP(SUBSTITUTE(V15,"S: ",""),vote4SURGE!$A:$C , 3, FALSE)
)
)</f>
        <v>6</v>
      </c>
      <c r="X15" s="343"/>
      <c r="Y15" s="343" t="str">
        <f>IF(ISBLANK(X15),,IF(IFERROR(SEARCH("SS:",X15),0) &gt; 0, 
VLOOKUP(SUBSTITUTE(X15,"SS: ",""),vote4SURGE!$A:$C , 3, FALSE) - 2,
VLOOKUP(SUBSTITUTE(X15,"S: ",""),vote4SURGE!$A:$C , 3, FALSE)
)
)</f>
        <v/>
      </c>
      <c r="Z15" s="343"/>
      <c r="AA15" s="343" t="str">
        <f>IF(ISBLANK(Z15),,IF(IFERROR(SEARCH("SS:",Z15),0) &gt; 0, 
VLOOKUP(SUBSTITUTE(Z15,"SS: ",""),vote4SURGE!$A:$C , 3, FALSE) - 2,
VLOOKUP(SUBSTITUTE(Z15,"S: ",""),vote4SURGE!$A:$C , 3, FALSE)
)
)</f>
        <v/>
      </c>
      <c r="AB15" s="343">
        <f t="shared" si="1"/>
        <v>6</v>
      </c>
      <c r="AC15" s="343">
        <f>ROUND(IFS(
IFERROR(SEARCH("Blue, Yellow, Yellow, Green",P15),0) &gt; 0 , VLOOKUP("Blue", Variables!A:C , 3 , FALSE) + (VLOOKUP("Yellow", Variables!A:C , 3 , FALSE) * 2) + VLOOKUP("Green", Variables!A:C , 3 , FALSE),
IFERROR(SEARCH("Blue, Yellow, Green, Green",P15),0) &gt; 0 , VLOOKUP("Blue", Variables!A:C , 3 , FALSE) + VLOOKUP("Yellow", Variables!A:C , 3 , FALSE)  + (VLOOKUP("Green", Variables!A:C , 3 , FALSE) * 2),
IFERROR(SEARCH("Blue, Red, Red",P15),0) &gt; 0 , VLOOKUP("Blue", Variables!A:C , 3 , FALSE) + VLOOKUP("Red", Variables!A:C , 3 , FALSE) * 2,
IFERROR(SEARCH("Blue, Yellow, Yellow",P15),0) &gt; 0 , VLOOKUP("Blue", Variables!A:C , 3 , FALSE) + (VLOOKUP("Yellow", Variables!A:C , 3 , FALSE) * 2),
IFERROR(SEARCH("Blue, Yellow, Green",P15),0) &gt; 0 , VLOOKUP("Blue", Variables!A:C , 3 , FALSE) + VLOOKUP("Yellow", Variables!A:C , 3 , FALSE) + VLOOKUP("Green", Variables!A:C , 3 , FALSE),
IFERROR(SEARCH("Blue, Red, Green",P15),0) &gt; 0 , VLOOKUP("Blue", Variables!A:C , 3 , FALSE) + VLOOKUP("Red", Variables!A:C , 3 , FALSE) + VLOOKUP("Green", Variables!A:C , 3 , FALSE),
IFERROR(SEARCH("Blue, Red, Yellow",P15),0) &gt; 0 , VLOOKUP("Blue", Variables!A:C , 3 , FALSE) + VLOOKUP("Red", Variables!A:C , 3 , FALSE) + VLOOKUP("Yellow", Variables!A:C , 3 , FALSE),
IFERROR(SEARCH("Blue, Green, Green",P15),0) &gt; 0 , VLOOKUP("Blue", Variables!A:C , 3 , FALSE) + (VLOOKUP("Green", Variables!A:C , 3 , FALSE) * 2),
IFERROR(SEARCH("Blue, Yellow",P15),0) &gt; 0 , VLOOKUP("Blue", Variables!A:C , 3 , FALSE) + VLOOKUP("Yellow", Variables!A:C , 3 , FALSE),
IFERROR(SEARCH("Blue, Red",P15),0) &gt; 0 , VLOOKUP("Blue", Variables!A:C , 3 , FALSE) + VLOOKUP("Red", Variables!A:C , 3 , FALSE),
IFERROR(SEARCH("Blue, Green",P15),0) &gt; 0 , VLOOKUP("Blue", Variables!A:C , 3 , FALSE) + VLOOKUP("Green", Variables!A:C , 3 , FALSE),
IFERROR(SEARCH("Green",P15),0) &gt; 0 , VLOOKUP("Green", Variables!A:C , 3 , FALSE),
IFERROR(SEARCH("Blue",P15),0) &gt; 0 , VLOOKUP("Blue", Variables!A:C , 3 , FALSE),
IFERROR(SEARCH("Yellow",P15),0) &gt; 0 , VLOOKUP("Yellow", Variables!A:C , 3 , FALSE),
IFERROR(SEARCH("Black, Black",P15),0) &gt; 0 , VLOOKUP("Black", Variables!A:C , 3 , FALSE) * 2,
IFERROR(SEARCH("Grey, Grey",P15),0) &gt; 0 , VLOOKUP("Grey", Variables!A:C , 3 , FALSE) * 2,
IFERROR(SEARCH("Grey, Brown",P15),0) &gt; 0 , VLOOKUP("Grey", Variables!A:C , 3 , FALSE)  + VLOOKUP("Brown", Variables!A:C , 3 , FALSE),
IFERROR(SEARCH("Black, Grey",P15),0) &gt; 0 , VLOOKUP("Black", Variables!A:C , 3 , FALSE) + VLOOKUP("Grey", Variables!A:C , 3 , FALSE),
IFERROR(SEARCH("Black, Brown",P15),0) &gt; 0 , VLOOKUP("Black", Variables!A:C , 3 , FALSE) + VLOOKUP("Brown", Variables!A:C , 3 , FALSE),
IFERROR(SEARCH("Black",P15),0) &gt; 0 , VLOOKUP("Black", Variables!A:C , 3 , FALSE),
IFERROR(SEARCH("Grey",P15),0) &gt; 0 , VLOOKUP("Grey", Variables!A:C , 3 , FALSE),
IFERROR(SEARCH("Brown",P15),0) &gt; 0 , VLOOKUP("Brown", Variables!A:C , 3 , FALSE),
0=0,0)
,
)</f>
        <v>1</v>
      </c>
      <c r="AD15" s="343">
        <f t="shared" si="2"/>
        <v>1</v>
      </c>
      <c r="AE15" s="345">
        <f t="shared" si="3"/>
        <v>20.33333333</v>
      </c>
      <c r="AF15" s="383"/>
    </row>
    <row r="16">
      <c r="A16" s="509" t="s">
        <v>2686</v>
      </c>
      <c r="B16" s="380">
        <v>2.0</v>
      </c>
      <c r="C16" s="380">
        <v>1.0</v>
      </c>
      <c r="D16" s="511" t="s">
        <v>2661</v>
      </c>
      <c r="E16" s="512" t="s">
        <v>2687</v>
      </c>
      <c r="F16" s="513">
        <v>4.0</v>
      </c>
      <c r="G16" s="514">
        <v>13.0</v>
      </c>
      <c r="H16" s="515" t="s">
        <v>1671</v>
      </c>
      <c r="I16" s="513">
        <v>4.0</v>
      </c>
      <c r="J16" s="514">
        <v>15.0</v>
      </c>
      <c r="K16" s="340" t="s">
        <v>2594</v>
      </c>
      <c r="L16" s="513">
        <v>4.0</v>
      </c>
      <c r="M16" s="514">
        <v>19.0</v>
      </c>
      <c r="N16" s="515" t="s">
        <v>2594</v>
      </c>
      <c r="O16" s="343" t="s">
        <v>1567</v>
      </c>
      <c r="P16" s="343" t="s">
        <v>1546</v>
      </c>
      <c r="Q16" s="342">
        <f>IFS(
IFERROR(SEARCH("Blue, Yellow, Yellow, Green",P16),0) &gt; 0 , VLOOKUP("Blue", Variables!A:C , 2 , FALSE) + (VLOOKUP("Yellow", Variables!A:C , 2 , FALSE) * 2) + VLOOKUP("Green", Variables!A:C , 2 , FALSE),
IFERROR(SEARCH("Blue, Red, Yellow, Green",P16),0) &gt; 0 , VLOOKUP("Blue", Variables!A:C , 2 , FALSE) + VLOOKUP("Red", Variables!A:C , 2 , FALSE) + (VLOOKUP("Yellow", Variables!A:C , 2 , FALSE) * 2) + VLOOKUP("Green", Variables!A:C , 2 , FALSE),
IFERROR(SEARCH("Blue, Yellow, Green, Green",P16),0) &gt; 0 , VLOOKUP("Blue", Variables!A:C , 2 , FALSE) + VLOOKUP("Yellow", Variables!A:C , 2 , FALSE)  + (VLOOKUP("Green", Variables!A:C , 2 , FALSE) * 2),
IFERROR(SEARCH("Blue, Red, Yellow, Yellow",P16),0) &gt; 0 , VLOOKUP("Blue", Variables!A:C , 2 , FALSE) + VLOOKUP("Yellow", Variables!A:C , 2 , FALSE) * 2  + (VLOOKUP("Red", Variables!A:C , 2 , FALSE) * 2),
IFERROR(SEARCH("Blue, Red, Red",P16),0) &gt; 0 , VLOOKUP("Blue", Variables!A:C , 2 , FALSE) + VLOOKUP("Red", Variables!A:C , 2 , FALSE) * 2,
IFERROR(SEARCH("Blue, Yellow, Yellow",P16),0) &gt; 0 , VLOOKUP("Blue", Variables!A:C , 2 , FALSE) + (VLOOKUP("Yellow", Variables!A:C , 2 , FALSE) * 2),
IFERROR(SEARCH("Blue, Yellow, Green",P16),0) &gt; 0 , VLOOKUP("Blue", Variables!A:C , 2 , FALSE) + VLOOKUP("Yellow", Variables!A:C , 2 , FALSE) + VLOOKUP("Green", Variables!A:C , 2 , FALSE),
IFERROR(SEARCH("Blue, Red, Green",P16),0) &gt; 0 , VLOOKUP("Blue", Variables!A:C , 2 , FALSE) + VLOOKUP("Red", Variables!A:C , 2 , FALSE) + VLOOKUP("Green", Variables!A:C , 2 , FALSE),
IFERROR(SEARCH("Blue, Red, Yellow",P16),0) &gt; 0 , VLOOKUP("Blue", Variables!A:C , 2 , FALSE) + VLOOKUP("Red", Variables!A:C , 2 , FALSE) + VLOOKUP("Yellow", Variables!A:C , 2 , FALSE),
IFERROR(SEARCH("Blue, Green, Green",P16),0) &gt; 0 , VLOOKUP("Blue", Variables!A:C , 2 , FALSE) + (VLOOKUP("Green", Variables!A:C , 2 , FALSE) * 2),
IFERROR(SEARCH("Blue, Yellow",P16),0) &gt; 0 , VLOOKUP("Blue", Variables!A:C , 2 , FALSE) + VLOOKUP("Yellow", Variables!A:C , 2 , FALSE),
IFERROR(SEARCH("Blue, Red",P16),0) &gt; 0 , VLOOKUP("Blue", Variables!A:C , 2 , FALSE) + VLOOKUP("Red", Variables!A:C , 2 , FALSE),
IFERROR(SEARCH("Blue, Green",P16),0) &gt; 0 , VLOOKUP("Blue", Variables!A:C , 2 , FALSE) + VLOOKUP("Green", Variables!A:C , 2 , FALSE),
IFERROR(SEARCH("Green",P16),0) &gt; 0 , VLOOKUP("Green", Variables!A:C , 2 , FALSE),
IFERROR(SEARCH("Blue",P16),0) &gt; 0 , VLOOKUP("Blue", Variables!A:C , 2 , FALSE),
IFERROR(SEARCH("Yellow",P16),0) &gt; 0 , VLOOKUP("Yellow", Variables!A:C , 2 , FALSE),
IFERROR(SEARCH("Black, Black",P16),0) &gt; 0 , VLOOKUP("Black", Variables!A:C , 2, FALSE) * 2,
IFERROR(SEARCH("Grey, Grey",P16),0) &gt; 0 , VLOOKUP("Grey", Variables!A:C , 2, FALSE) * 2,
IFERROR(SEARCH("Grey, Brown",P16),0) &gt; 0 , VLOOKUP("Grey", Variables!A:C , 2, FALSE)  + VLOOKUP("Brown", Variables!A:C , 2, FALSE),
IFERROR(SEARCH("Black, Grey",P16),0) &gt; 0 , VLOOKUP("Black", Variables!A:C , 2, FALSE) + VLOOKUP("Grey", Variables!A:C , 2, FALSE),
IFERROR(SEARCH("Black, Brown",P16),0) &gt; 0 , VLOOKUP("Black", Variables!A:C , 2, FALSE) + VLOOKUP("Brown", Variables!A:C , 2, FALSE),
IFERROR(SEARCH("Black",P16),0) &gt; 0 , VLOOKUP("Black", Variables!A:C , 2, FALSE),
IFERROR(SEARCH("Grey",P16),0) &gt; 0 , VLOOKUP("Grey", Variables!A:C , 2, FALSE),
IFERROR(SEARCH("Brown",P16),0) &gt; 0 , VLOOKUP("Brown", Variables!A:C , 2, FALSE),
0=0,0)
+
IF(O16 ="Ranged", 1 , 0)</f>
        <v>4.5</v>
      </c>
      <c r="R16" s="343" t="s">
        <v>2736</v>
      </c>
      <c r="S16" s="342">
        <f>IFERROR(__xludf.DUMMYFUNCTION("IF(ISBLANK(R16), , 
SWITCH(
LEN(R16)- LEN(SUBSTITUTE(R16,"","","""")), 
0 , VLOOKUP(R16, vote4TRAITS!A:C , 3, FALSE),
1 , VLOOKUP(index(split(R16 ,"", "", FALSE),1,1), vote4TRAITS!A:C , 3, FALSE) + VLOOKUP(index(split(R16 ,"", "", FALSE),1,2), vote4TRAITS"&amp;"!A:C , 3, FALSE),
2 , VLOOKUP(index(split(R16 ,"", "", FALSE),1,1), vote4TRAITS!A:C , 3, FALSE) + VLOOKUP(index(split(R16 ,"", "", FALSE),1,2), vote4TRAITS!A:C , 3, FALSE) + VLOOKUP(index(split(R16 ,"", "", FALSE),1,3), vote4TRAITS!A:C , 3, FALSE)
)
)"),19.0)</f>
        <v>19</v>
      </c>
      <c r="T16" s="343"/>
      <c r="U16" s="343" t="str">
        <f>IFERROR(__xludf.DUMMYFUNCTION("IF(ISBLANK(T16), , 
SWITCH(
LEN(T16)- LEN(SUBSTITUTE(T16,"","","""")), 
0 , VLOOKUP(T16, vote4ACTIONS!A:C , 3, FALSE),
1 , VLOOKUP(index(split(T16 ,"", "", FALSE),1,1), vote4ACTIONS!A:C , 3, FALSE) + VLOOKUP(index(split(T16 ,"", "", FALSE),1,2), vote4ACTI"&amp;"ONS!A:C , 3, FALSE),
2 , VLOOKUP(index(split(T16 ,"", "", FALSE),1,1), vote4ACTIONS!A:C , 3, FALSE) + VLOOKUP(index(split(T16 ,"", "", FALSE),1,2), vote4ACTIONS!A:C , 3, FALSE) + VLOOKUP(index(split(T16 ,"", "", FALSE),1,3), vote4ACTIONS!A:C , 3, FALSE)
)"&amp;"
)"),"")</f>
        <v/>
      </c>
      <c r="V16" s="343" t="s">
        <v>2689</v>
      </c>
      <c r="W16" s="517">
        <f>IF(ISBLANK(V16),,IF(IFERROR(SEARCH("SS:",V16),0) &gt; 0, 
VLOOKUP(SUBSTITUTE(V16,"SS: ",""),vote4SURGE!$A:$C , 3, FALSE) - 2,
VLOOKUP(SUBSTITUTE(V16,"S: ",""),vote4SURGE!$A:$C , 3, FALSE)
)
)</f>
        <v>6</v>
      </c>
      <c r="X16" s="343"/>
      <c r="Y16" s="343" t="str">
        <f>IF(ISBLANK(X16),,IF(IFERROR(SEARCH("SS:",X16),0) &gt; 0, 
VLOOKUP(SUBSTITUTE(X16,"SS: ",""),vote4SURGE!$A:$C , 3, FALSE) - 2,
VLOOKUP(SUBSTITUTE(X16,"S: ",""),vote4SURGE!$A:$C , 3, FALSE)
)
)</f>
        <v/>
      </c>
      <c r="Z16" s="343"/>
      <c r="AA16" s="343" t="str">
        <f>IF(ISBLANK(Z16),,IF(IFERROR(SEARCH("SS:",Z16),0) &gt; 0, 
VLOOKUP(SUBSTITUTE(Z16,"SS: ",""),vote4SURGE!$A:$C , 3, FALSE) - 2,
VLOOKUP(SUBSTITUTE(Z16,"S: ",""),vote4SURGE!$A:$C , 3, FALSE)
)
)</f>
        <v/>
      </c>
      <c r="AB16" s="343">
        <f t="shared" si="1"/>
        <v>6</v>
      </c>
      <c r="AC16" s="343">
        <f>ROUND(IFS(
IFERROR(SEARCH("Blue, Yellow, Yellow, Green",P16),0) &gt; 0 , VLOOKUP("Blue", Variables!A:C , 3 , FALSE) + (VLOOKUP("Yellow", Variables!A:C , 3 , FALSE) * 2) + VLOOKUP("Green", Variables!A:C , 3 , FALSE),
IFERROR(SEARCH("Blue, Yellow, Green, Green",P16),0) &gt; 0 , VLOOKUP("Blue", Variables!A:C , 3 , FALSE) + VLOOKUP("Yellow", Variables!A:C , 3 , FALSE)  + (VLOOKUP("Green", Variables!A:C , 3 , FALSE) * 2),
IFERROR(SEARCH("Blue, Red, Red",P16),0) &gt; 0 , VLOOKUP("Blue", Variables!A:C , 3 , FALSE) + VLOOKUP("Red", Variables!A:C , 3 , FALSE) * 2,
IFERROR(SEARCH("Blue, Yellow, Yellow",P16),0) &gt; 0 , VLOOKUP("Blue", Variables!A:C , 3 , FALSE) + (VLOOKUP("Yellow", Variables!A:C , 3 , FALSE) * 2),
IFERROR(SEARCH("Blue, Yellow, Green",P16),0) &gt; 0 , VLOOKUP("Blue", Variables!A:C , 3 , FALSE) + VLOOKUP("Yellow", Variables!A:C , 3 , FALSE) + VLOOKUP("Green", Variables!A:C , 3 , FALSE),
IFERROR(SEARCH("Blue, Red, Green",P16),0) &gt; 0 , VLOOKUP("Blue", Variables!A:C , 3 , FALSE) + VLOOKUP("Red", Variables!A:C , 3 , FALSE) + VLOOKUP("Green", Variables!A:C , 3 , FALSE),
IFERROR(SEARCH("Blue, Red, Yellow",P16),0) &gt; 0 , VLOOKUP("Blue", Variables!A:C , 3 , FALSE) + VLOOKUP("Red", Variables!A:C , 3 , FALSE) + VLOOKUP("Yellow", Variables!A:C , 3 , FALSE),
IFERROR(SEARCH("Blue, Green, Green",P16),0) &gt; 0 , VLOOKUP("Blue", Variables!A:C , 3 , FALSE) + (VLOOKUP("Green", Variables!A:C , 3 , FALSE) * 2),
IFERROR(SEARCH("Blue, Yellow",P16),0) &gt; 0 , VLOOKUP("Blue", Variables!A:C , 3 , FALSE) + VLOOKUP("Yellow", Variables!A:C , 3 , FALSE),
IFERROR(SEARCH("Blue, Red",P16),0) &gt; 0 , VLOOKUP("Blue", Variables!A:C , 3 , FALSE) + VLOOKUP("Red", Variables!A:C , 3 , FALSE),
IFERROR(SEARCH("Blue, Green",P16),0) &gt; 0 , VLOOKUP("Blue", Variables!A:C , 3 , FALSE) + VLOOKUP("Green", Variables!A:C , 3 , FALSE),
IFERROR(SEARCH("Green",P16),0) &gt; 0 , VLOOKUP("Green", Variables!A:C , 3 , FALSE),
IFERROR(SEARCH("Blue",P16),0) &gt; 0 , VLOOKUP("Blue", Variables!A:C , 3 , FALSE),
IFERROR(SEARCH("Yellow",P16),0) &gt; 0 , VLOOKUP("Yellow", Variables!A:C , 3 , FALSE),
IFERROR(SEARCH("Black, Black",P16),0) &gt; 0 , VLOOKUP("Black", Variables!A:C , 3 , FALSE) * 2,
IFERROR(SEARCH("Grey, Grey",P16),0) &gt; 0 , VLOOKUP("Grey", Variables!A:C , 3 , FALSE) * 2,
IFERROR(SEARCH("Grey, Brown",P16),0) &gt; 0 , VLOOKUP("Grey", Variables!A:C , 3 , FALSE)  + VLOOKUP("Brown", Variables!A:C , 3 , FALSE),
IFERROR(SEARCH("Black, Grey",P16),0) &gt; 0 , VLOOKUP("Black", Variables!A:C , 3 , FALSE) + VLOOKUP("Grey", Variables!A:C , 3 , FALSE),
IFERROR(SEARCH("Black, Brown",P16),0) &gt; 0 , VLOOKUP("Black", Variables!A:C , 3 , FALSE) + VLOOKUP("Brown", Variables!A:C , 3 , FALSE),
IFERROR(SEARCH("Black",P16),0) &gt; 0 , VLOOKUP("Black", Variables!A:C , 3 , FALSE),
IFERROR(SEARCH("Grey",P16),0) &gt; 0 , VLOOKUP("Grey", Variables!A:C , 3 , FALSE),
IFERROR(SEARCH("Brown",P16),0) &gt; 0 , VLOOKUP("Brown", Variables!A:C , 3 , FALSE),
0=0,0)
,
)</f>
        <v>1</v>
      </c>
      <c r="AD16" s="343">
        <f t="shared" si="2"/>
        <v>1</v>
      </c>
      <c r="AE16" s="345">
        <f t="shared" si="3"/>
        <v>29.5</v>
      </c>
      <c r="AF16" s="383"/>
    </row>
    <row r="17">
      <c r="A17" s="509" t="s">
        <v>2691</v>
      </c>
      <c r="B17" s="510">
        <v>1.0</v>
      </c>
      <c r="C17" s="510">
        <v>1.0</v>
      </c>
      <c r="D17" s="511" t="s">
        <v>2669</v>
      </c>
      <c r="E17" s="512" t="s">
        <v>2692</v>
      </c>
      <c r="F17" s="513">
        <v>5.0</v>
      </c>
      <c r="G17" s="514">
        <v>7.0</v>
      </c>
      <c r="H17" s="515" t="s">
        <v>1621</v>
      </c>
      <c r="I17" s="513">
        <v>5.0</v>
      </c>
      <c r="J17" s="514">
        <v>9.0</v>
      </c>
      <c r="K17" s="515" t="s">
        <v>1663</v>
      </c>
      <c r="L17" s="513">
        <v>5.0</v>
      </c>
      <c r="M17" s="514">
        <v>12.0</v>
      </c>
      <c r="N17" s="515" t="s">
        <v>1663</v>
      </c>
      <c r="O17" s="343" t="s">
        <v>1567</v>
      </c>
      <c r="P17" s="343" t="s">
        <v>1548</v>
      </c>
      <c r="Q17" s="342">
        <f>IFS(
IFERROR(SEARCH("Blue, Yellow, Yellow, Green",P17),0) &gt; 0 , VLOOKUP("Blue", Variables!A:C , 2 , FALSE) + (VLOOKUP("Yellow", Variables!A:C , 2 , FALSE) * 2) + VLOOKUP("Green", Variables!A:C , 2 , FALSE),
IFERROR(SEARCH("Blue, Red, Yellow, Green",P17),0) &gt; 0 , VLOOKUP("Blue", Variables!A:C , 2 , FALSE) + VLOOKUP("Red", Variables!A:C , 2 , FALSE) + (VLOOKUP("Yellow", Variables!A:C , 2 , FALSE) * 2) + VLOOKUP("Green", Variables!A:C , 2 , FALSE),
IFERROR(SEARCH("Blue, Yellow, Green, Green",P17),0) &gt; 0 , VLOOKUP("Blue", Variables!A:C , 2 , FALSE) + VLOOKUP("Yellow", Variables!A:C , 2 , FALSE)  + (VLOOKUP("Green", Variables!A:C , 2 , FALSE) * 2),
IFERROR(SEARCH("Blue, Red, Yellow, Yellow",P17),0) &gt; 0 , VLOOKUP("Blue", Variables!A:C , 2 , FALSE) + VLOOKUP("Yellow", Variables!A:C , 2 , FALSE) * 2  + (VLOOKUP("Red", Variables!A:C , 2 , FALSE) * 2),
IFERROR(SEARCH("Blue, Red, Red",P17),0) &gt; 0 , VLOOKUP("Blue", Variables!A:C , 2 , FALSE) + VLOOKUP("Red", Variables!A:C , 2 , FALSE) * 2,
IFERROR(SEARCH("Blue, Yellow, Yellow",P17),0) &gt; 0 , VLOOKUP("Blue", Variables!A:C , 2 , FALSE) + (VLOOKUP("Yellow", Variables!A:C , 2 , FALSE) * 2),
IFERROR(SEARCH("Blue, Yellow, Green",P17),0) &gt; 0 , VLOOKUP("Blue", Variables!A:C , 2 , FALSE) + VLOOKUP("Yellow", Variables!A:C , 2 , FALSE) + VLOOKUP("Green", Variables!A:C , 2 , FALSE),
IFERROR(SEARCH("Blue, Red, Green",P17),0) &gt; 0 , VLOOKUP("Blue", Variables!A:C , 2 , FALSE) + VLOOKUP("Red", Variables!A:C , 2 , FALSE) + VLOOKUP("Green", Variables!A:C , 2 , FALSE),
IFERROR(SEARCH("Blue, Red, Yellow",P17),0) &gt; 0 , VLOOKUP("Blue", Variables!A:C , 2 , FALSE) + VLOOKUP("Red", Variables!A:C , 2 , FALSE) + VLOOKUP("Yellow", Variables!A:C , 2 , FALSE),
IFERROR(SEARCH("Blue, Green, Green",P17),0) &gt; 0 , VLOOKUP("Blue", Variables!A:C , 2 , FALSE) + (VLOOKUP("Green", Variables!A:C , 2 , FALSE) * 2),
IFERROR(SEARCH("Blue, Yellow",P17),0) &gt; 0 , VLOOKUP("Blue", Variables!A:C , 2 , FALSE) + VLOOKUP("Yellow", Variables!A:C , 2 , FALSE),
IFERROR(SEARCH("Blue, Red",P17),0) &gt; 0 , VLOOKUP("Blue", Variables!A:C , 2 , FALSE) + VLOOKUP("Red", Variables!A:C , 2 , FALSE),
IFERROR(SEARCH("Blue, Green",P17),0) &gt; 0 , VLOOKUP("Blue", Variables!A:C , 2 , FALSE) + VLOOKUP("Green", Variables!A:C , 2 , FALSE),
IFERROR(SEARCH("Green",P17),0) &gt; 0 , VLOOKUP("Green", Variables!A:C , 2 , FALSE),
IFERROR(SEARCH("Blue",P17),0) &gt; 0 , VLOOKUP("Blue", Variables!A:C , 2 , FALSE),
IFERROR(SEARCH("Yellow",P17),0) &gt; 0 , VLOOKUP("Yellow", Variables!A:C , 2 , FALSE),
IFERROR(SEARCH("Black, Black",P17),0) &gt; 0 , VLOOKUP("Black", Variables!A:C , 2, FALSE) * 2,
IFERROR(SEARCH("Grey, Grey",P17),0) &gt; 0 , VLOOKUP("Grey", Variables!A:C , 2, FALSE) * 2,
IFERROR(SEARCH("Grey, Brown",P17),0) &gt; 0 , VLOOKUP("Grey", Variables!A:C , 2, FALSE)  + VLOOKUP("Brown", Variables!A:C , 2, FALSE),
IFERROR(SEARCH("Black, Grey",P17),0) &gt; 0 , VLOOKUP("Black", Variables!A:C , 2, FALSE) + VLOOKUP("Grey", Variables!A:C , 2, FALSE),
IFERROR(SEARCH("Black, Brown",P17),0) &gt; 0 , VLOOKUP("Black", Variables!A:C , 2, FALSE) + VLOOKUP("Brown", Variables!A:C , 2, FALSE),
IFERROR(SEARCH("Black",P17),0) &gt; 0 , VLOOKUP("Black", Variables!A:C , 2, FALSE),
IFERROR(SEARCH("Grey",P17),0) &gt; 0 , VLOOKUP("Grey", Variables!A:C , 2, FALSE),
IFERROR(SEARCH("Brown",P17),0) &gt; 0 , VLOOKUP("Brown", Variables!A:C , 2, FALSE),
0=0,0)
+
IF(O17 ="Ranged", 1 , 0)</f>
        <v>3.333333333</v>
      </c>
      <c r="R17" s="343"/>
      <c r="S17" s="342" t="str">
        <f>IFERROR(__xludf.DUMMYFUNCTION("IF(ISBLANK(R17), , 
SWITCH(
LEN(R17)- LEN(SUBSTITUTE(R17,"","","""")), 
0 , VLOOKUP(R17, vote4TRAITS!A:C , 3, FALSE),
1 , VLOOKUP(index(split(R17 ,"", "", FALSE),1,1), vote4TRAITS!A:C , 3, FALSE) + VLOOKUP(index(split(R17 ,"", "", FALSE),1,2), vote4TRAITS"&amp;"!A:C , 3, FALSE),
2 , VLOOKUP(index(split(R17 ,"", "", FALSE),1,1), vote4TRAITS!A:C , 3, FALSE) + VLOOKUP(index(split(R17 ,"", "", FALSE),1,2), vote4TRAITS!A:C , 3, FALSE) + VLOOKUP(index(split(R17 ,"", "", FALSE),1,3), vote4TRAITS!A:C , 3, FALSE)
)
)"),"")</f>
        <v/>
      </c>
      <c r="T17" s="343" t="s">
        <v>2737</v>
      </c>
      <c r="U17" s="343">
        <f>IFERROR(__xludf.DUMMYFUNCTION("IF(ISBLANK(T17), , 
SWITCH(
LEN(T17)- LEN(SUBSTITUTE(T17,"","","""")), 
0 , VLOOKUP(T17, vote4ACTIONS!A:C , 3, FALSE),
1 , VLOOKUP(index(split(T17 ,"", "", FALSE),1,1), vote4ACTIONS!A:C , 3, FALSE) + VLOOKUP(index(split(T17 ,"", "", FALSE),1,2), vote4ACTI"&amp;"ONS!A:C , 3, FALSE),
2 , VLOOKUP(index(split(T17 ,"", "", FALSE),1,1), vote4ACTIONS!A:C , 3, FALSE) + VLOOKUP(index(split(T17 ,"", "", FALSE),1,2), vote4ACTIONS!A:C , 3, FALSE) + VLOOKUP(index(split(T17 ,"", "", FALSE),1,3), vote4ACTIONS!A:C , 3, FALSE)
)"&amp;"
)"),2.5)</f>
        <v>2.5</v>
      </c>
      <c r="V17" s="343" t="s">
        <v>2694</v>
      </c>
      <c r="W17" s="517">
        <f>IF(ISBLANK(V17),,IF(IFERROR(SEARCH("SS:",V17),0) &gt; 0, 
VLOOKUP(SUBSTITUTE(V17,"SS: ",""),vote4SURGE!$A:$C , 3, FALSE) - 2,
VLOOKUP(SUBSTITUTE(V17,"S: ",""),vote4SURGE!$A:$C , 3, FALSE)
)
)</f>
        <v>4</v>
      </c>
      <c r="X17" s="343"/>
      <c r="Y17" s="343" t="str">
        <f>IF(ISBLANK(X17),,IF(IFERROR(SEARCH("SS:",X17),0) &gt; 0, 
VLOOKUP(SUBSTITUTE(X17,"SS: ",""),vote4SURGE!$A:$C , 3, FALSE) - 2,
VLOOKUP(SUBSTITUTE(X17,"S: ",""),vote4SURGE!$A:$C , 3, FALSE)
)
)</f>
        <v/>
      </c>
      <c r="Z17" s="343"/>
      <c r="AA17" s="343" t="str">
        <f>IF(ISBLANK(Z17),,IF(IFERROR(SEARCH("SS:",Z17),0) &gt; 0, 
VLOOKUP(SUBSTITUTE(Z17,"SS: ",""),vote4SURGE!$A:$C , 3, FALSE) - 2,
VLOOKUP(SUBSTITUTE(Z17,"S: ",""),vote4SURGE!$A:$C , 3, FALSE)
)
)</f>
        <v/>
      </c>
      <c r="AB17" s="343">
        <f t="shared" si="1"/>
        <v>4</v>
      </c>
      <c r="AC17" s="343">
        <f>ROUND(IFS(
IFERROR(SEARCH("Blue, Yellow, Yellow, Green",P17),0) &gt; 0 , VLOOKUP("Blue", Variables!A:C , 3 , FALSE) + (VLOOKUP("Yellow", Variables!A:C , 3 , FALSE) * 2) + VLOOKUP("Green", Variables!A:C , 3 , FALSE),
IFERROR(SEARCH("Blue, Yellow, Green, Green",P17),0) &gt; 0 , VLOOKUP("Blue", Variables!A:C , 3 , FALSE) + VLOOKUP("Yellow", Variables!A:C , 3 , FALSE)  + (VLOOKUP("Green", Variables!A:C , 3 , FALSE) * 2),
IFERROR(SEARCH("Blue, Red, Red",P17),0) &gt; 0 , VLOOKUP("Blue", Variables!A:C , 3 , FALSE) + VLOOKUP("Red", Variables!A:C , 3 , FALSE) * 2,
IFERROR(SEARCH("Blue, Yellow, Yellow",P17),0) &gt; 0 , VLOOKUP("Blue", Variables!A:C , 3 , FALSE) + (VLOOKUP("Yellow", Variables!A:C , 3 , FALSE) * 2),
IFERROR(SEARCH("Blue, Yellow, Green",P17),0) &gt; 0 , VLOOKUP("Blue", Variables!A:C , 3 , FALSE) + VLOOKUP("Yellow", Variables!A:C , 3 , FALSE) + VLOOKUP("Green", Variables!A:C , 3 , FALSE),
IFERROR(SEARCH("Blue, Red, Green",P17),0) &gt; 0 , VLOOKUP("Blue", Variables!A:C , 3 , FALSE) + VLOOKUP("Red", Variables!A:C , 3 , FALSE) + VLOOKUP("Green", Variables!A:C , 3 , FALSE),
IFERROR(SEARCH("Blue, Red, Yellow",P17),0) &gt; 0 , VLOOKUP("Blue", Variables!A:C , 3 , FALSE) + VLOOKUP("Red", Variables!A:C , 3 , FALSE) + VLOOKUP("Yellow", Variables!A:C , 3 , FALSE),
IFERROR(SEARCH("Blue, Green, Green",P17),0) &gt; 0 , VLOOKUP("Blue", Variables!A:C , 3 , FALSE) + (VLOOKUP("Green", Variables!A:C , 3 , FALSE) * 2),
IFERROR(SEARCH("Blue, Yellow",P17),0) &gt; 0 , VLOOKUP("Blue", Variables!A:C , 3 , FALSE) + VLOOKUP("Yellow", Variables!A:C , 3 , FALSE),
IFERROR(SEARCH("Blue, Red",P17),0) &gt; 0 , VLOOKUP("Blue", Variables!A:C , 3 , FALSE) + VLOOKUP("Red", Variables!A:C , 3 , FALSE),
IFERROR(SEARCH("Blue, Green",P17),0) &gt; 0 , VLOOKUP("Blue", Variables!A:C , 3 , FALSE) + VLOOKUP("Green", Variables!A:C , 3 , FALSE),
IFERROR(SEARCH("Green",P17),0) &gt; 0 , VLOOKUP("Green", Variables!A:C , 3 , FALSE),
IFERROR(SEARCH("Blue",P17),0) &gt; 0 , VLOOKUP("Blue", Variables!A:C , 3 , FALSE),
IFERROR(SEARCH("Yellow",P17),0) &gt; 0 , VLOOKUP("Yellow", Variables!A:C , 3 , FALSE),
IFERROR(SEARCH("Black, Black",P17),0) &gt; 0 , VLOOKUP("Black", Variables!A:C , 3 , FALSE) * 2,
IFERROR(SEARCH("Grey, Grey",P17),0) &gt; 0 , VLOOKUP("Grey", Variables!A:C , 3 , FALSE) * 2,
IFERROR(SEARCH("Grey, Brown",P17),0) &gt; 0 , VLOOKUP("Grey", Variables!A:C , 3 , FALSE)  + VLOOKUP("Brown", Variables!A:C , 3 , FALSE),
IFERROR(SEARCH("Black, Grey",P17),0) &gt; 0 , VLOOKUP("Black", Variables!A:C , 3 , FALSE) + VLOOKUP("Grey", Variables!A:C , 3 , FALSE),
IFERROR(SEARCH("Black, Brown",P17),0) &gt; 0 , VLOOKUP("Black", Variables!A:C , 3 , FALSE) + VLOOKUP("Brown", Variables!A:C , 3 , FALSE),
IFERROR(SEARCH("Black",P17),0) &gt; 0 , VLOOKUP("Black", Variables!A:C , 3 , FALSE),
IFERROR(SEARCH("Grey",P17),0) &gt; 0 , VLOOKUP("Grey", Variables!A:C , 3 , FALSE),
IFERROR(SEARCH("Brown",P17),0) &gt; 0 , VLOOKUP("Brown", Variables!A:C , 3 , FALSE),
0=0,0)
,
)</f>
        <v>1</v>
      </c>
      <c r="AD17" s="343">
        <f t="shared" si="2"/>
        <v>1</v>
      </c>
      <c r="AE17" s="345">
        <f t="shared" si="3"/>
        <v>9.833333333</v>
      </c>
      <c r="AF17" s="383"/>
    </row>
    <row r="18">
      <c r="A18" s="509" t="s">
        <v>2691</v>
      </c>
      <c r="B18" s="380">
        <v>2.0</v>
      </c>
      <c r="C18" s="380">
        <v>1.0</v>
      </c>
      <c r="D18" s="511" t="s">
        <v>2669</v>
      </c>
      <c r="E18" s="512" t="s">
        <v>2692</v>
      </c>
      <c r="F18" s="513">
        <v>5.0</v>
      </c>
      <c r="G18" s="514">
        <v>9.0</v>
      </c>
      <c r="H18" s="515" t="s">
        <v>1663</v>
      </c>
      <c r="I18" s="513">
        <v>5.0</v>
      </c>
      <c r="J18" s="514">
        <v>11.0</v>
      </c>
      <c r="K18" s="515" t="s">
        <v>2575</v>
      </c>
      <c r="L18" s="513">
        <v>5.0</v>
      </c>
      <c r="M18" s="514">
        <v>15.0</v>
      </c>
      <c r="N18" s="515" t="s">
        <v>2575</v>
      </c>
      <c r="O18" s="343" t="s">
        <v>1567</v>
      </c>
      <c r="P18" s="343" t="s">
        <v>1537</v>
      </c>
      <c r="Q18" s="342">
        <f>IFS(
IFERROR(SEARCH("Blue, Yellow, Yellow, Green",P18),0) &gt; 0 , VLOOKUP("Blue", Variables!A:C , 2 , FALSE) + (VLOOKUP("Yellow", Variables!A:C , 2 , FALSE) * 2) + VLOOKUP("Green", Variables!A:C , 2 , FALSE),
IFERROR(SEARCH("Blue, Red, Yellow, Green",P18),0) &gt; 0 , VLOOKUP("Blue", Variables!A:C , 2 , FALSE) + VLOOKUP("Red", Variables!A:C , 2 , FALSE) + (VLOOKUP("Yellow", Variables!A:C , 2 , FALSE) * 2) + VLOOKUP("Green", Variables!A:C , 2 , FALSE),
IFERROR(SEARCH("Blue, Yellow, Green, Green",P18),0) &gt; 0 , VLOOKUP("Blue", Variables!A:C , 2 , FALSE) + VLOOKUP("Yellow", Variables!A:C , 2 , FALSE)  + (VLOOKUP("Green", Variables!A:C , 2 , FALSE) * 2),
IFERROR(SEARCH("Blue, Red, Yellow, Yellow",P18),0) &gt; 0 , VLOOKUP("Blue", Variables!A:C , 2 , FALSE) + VLOOKUP("Yellow", Variables!A:C , 2 , FALSE) * 2  + (VLOOKUP("Red", Variables!A:C , 2 , FALSE) * 2),
IFERROR(SEARCH("Blue, Red, Red",P18),0) &gt; 0 , VLOOKUP("Blue", Variables!A:C , 2 , FALSE) + VLOOKUP("Red", Variables!A:C , 2 , FALSE) * 2,
IFERROR(SEARCH("Blue, Yellow, Yellow",P18),0) &gt; 0 , VLOOKUP("Blue", Variables!A:C , 2 , FALSE) + (VLOOKUP("Yellow", Variables!A:C , 2 , FALSE) * 2),
IFERROR(SEARCH("Blue, Yellow, Green",P18),0) &gt; 0 , VLOOKUP("Blue", Variables!A:C , 2 , FALSE) + VLOOKUP("Yellow", Variables!A:C , 2 , FALSE) + VLOOKUP("Green", Variables!A:C , 2 , FALSE),
IFERROR(SEARCH("Blue, Red, Green",P18),0) &gt; 0 , VLOOKUP("Blue", Variables!A:C , 2 , FALSE) + VLOOKUP("Red", Variables!A:C , 2 , FALSE) + VLOOKUP("Green", Variables!A:C , 2 , FALSE),
IFERROR(SEARCH("Blue, Red, Yellow",P18),0) &gt; 0 , VLOOKUP("Blue", Variables!A:C , 2 , FALSE) + VLOOKUP("Red", Variables!A:C , 2 , FALSE) + VLOOKUP("Yellow", Variables!A:C , 2 , FALSE),
IFERROR(SEARCH("Blue, Green, Green",P18),0) &gt; 0 , VLOOKUP("Blue", Variables!A:C , 2 , FALSE) + (VLOOKUP("Green", Variables!A:C , 2 , FALSE) * 2),
IFERROR(SEARCH("Blue, Yellow",P18),0) &gt; 0 , VLOOKUP("Blue", Variables!A:C , 2 , FALSE) + VLOOKUP("Yellow", Variables!A:C , 2 , FALSE),
IFERROR(SEARCH("Blue, Red",P18),0) &gt; 0 , VLOOKUP("Blue", Variables!A:C , 2 , FALSE) + VLOOKUP("Red", Variables!A:C , 2 , FALSE),
IFERROR(SEARCH("Blue, Green",P18),0) &gt; 0 , VLOOKUP("Blue", Variables!A:C , 2 , FALSE) + VLOOKUP("Green", Variables!A:C , 2 , FALSE),
IFERROR(SEARCH("Green",P18),0) &gt; 0 , VLOOKUP("Green", Variables!A:C , 2 , FALSE),
IFERROR(SEARCH("Blue",P18),0) &gt; 0 , VLOOKUP("Blue", Variables!A:C , 2 , FALSE),
IFERROR(SEARCH("Yellow",P18),0) &gt; 0 , VLOOKUP("Yellow", Variables!A:C , 2 , FALSE),
IFERROR(SEARCH("Black, Black",P18),0) &gt; 0 , VLOOKUP("Black", Variables!A:C , 2, FALSE) * 2,
IFERROR(SEARCH("Grey, Grey",P18),0) &gt; 0 , VLOOKUP("Grey", Variables!A:C , 2, FALSE) * 2,
IFERROR(SEARCH("Grey, Brown",P18),0) &gt; 0 , VLOOKUP("Grey", Variables!A:C , 2, FALSE)  + VLOOKUP("Brown", Variables!A:C , 2, FALSE),
IFERROR(SEARCH("Black, Grey",P18),0) &gt; 0 , VLOOKUP("Black", Variables!A:C , 2, FALSE) + VLOOKUP("Grey", Variables!A:C , 2, FALSE),
IFERROR(SEARCH("Black, Brown",P18),0) &gt; 0 , VLOOKUP("Black", Variables!A:C , 2, FALSE) + VLOOKUP("Brown", Variables!A:C , 2, FALSE),
IFERROR(SEARCH("Black",P18),0) &gt; 0 , VLOOKUP("Black", Variables!A:C , 2, FALSE),
IFERROR(SEARCH("Grey",P18),0) &gt; 0 , VLOOKUP("Grey", Variables!A:C , 2, FALSE),
IFERROR(SEARCH("Brown",P18),0) &gt; 0 , VLOOKUP("Brown", Variables!A:C , 2, FALSE),
0=0,0)
+
IF(O18 ="Ranged", 1 , 0)</f>
        <v>5.5</v>
      </c>
      <c r="R18" s="343"/>
      <c r="S18" s="342" t="str">
        <f>IFERROR(__xludf.DUMMYFUNCTION("IF(ISBLANK(R18), , 
SWITCH(
LEN(R18)- LEN(SUBSTITUTE(R18,"","","""")), 
0 , VLOOKUP(R18, vote4TRAITS!A:C , 3, FALSE),
1 , VLOOKUP(index(split(R18 ,"", "", FALSE),1,1), vote4TRAITS!A:C , 3, FALSE) + VLOOKUP(index(split(R18 ,"", "", FALSE),1,2), vote4TRAITS"&amp;"!A:C , 3, FALSE),
2 , VLOOKUP(index(split(R18 ,"", "", FALSE),1,1), vote4TRAITS!A:C , 3, FALSE) + VLOOKUP(index(split(R18 ,"", "", FALSE),1,2), vote4TRAITS!A:C , 3, FALSE) + VLOOKUP(index(split(R18 ,"", "", FALSE),1,3), vote4TRAITS!A:C , 3, FALSE)
)
)"),"")</f>
        <v/>
      </c>
      <c r="T18" s="343" t="s">
        <v>2738</v>
      </c>
      <c r="U18" s="343">
        <f>IFERROR(__xludf.DUMMYFUNCTION("IF(ISBLANK(T18), , 
SWITCH(
LEN(T18)- LEN(SUBSTITUTE(T18,"","","""")), 
0 , VLOOKUP(T18, vote4ACTIONS!A:C , 3, FALSE),
1 , VLOOKUP(index(split(T18 ,"", "", FALSE),1,1), vote4ACTIONS!A:C , 3, FALSE) + VLOOKUP(index(split(T18 ,"", "", FALSE),1,2), vote4ACTI"&amp;"ONS!A:C , 3, FALSE),
2 , VLOOKUP(index(split(T18 ,"", "", FALSE),1,1), vote4ACTIONS!A:C , 3, FALSE) + VLOOKUP(index(split(T18 ,"", "", FALSE),1,2), vote4ACTIONS!A:C , 3, FALSE) + VLOOKUP(index(split(T18 ,"", "", FALSE),1,3), vote4ACTIONS!A:C , 3, FALSE)
)"&amp;"
)"),5.5)</f>
        <v>5.5</v>
      </c>
      <c r="V18" s="343" t="s">
        <v>2694</v>
      </c>
      <c r="W18" s="517">
        <f>IF(ISBLANK(V18),,IF(IFERROR(SEARCH("SS:",V18),0) &gt; 0, 
VLOOKUP(SUBSTITUTE(V18,"SS: ",""),vote4SURGE!$A:$C , 3, FALSE) - 2,
VLOOKUP(SUBSTITUTE(V18,"S: ",""),vote4SURGE!$A:$C , 3, FALSE)
)
)</f>
        <v>4</v>
      </c>
      <c r="X18" s="343"/>
      <c r="Y18" s="343" t="str">
        <f>IF(ISBLANK(X18),,IF(IFERROR(SEARCH("SS:",X18),0) &gt; 0, 
VLOOKUP(SUBSTITUTE(X18,"SS: ",""),vote4SURGE!$A:$C , 3, FALSE) - 2,
VLOOKUP(SUBSTITUTE(X18,"S: ",""),vote4SURGE!$A:$C , 3, FALSE)
)
)</f>
        <v/>
      </c>
      <c r="Z18" s="343"/>
      <c r="AA18" s="343" t="str">
        <f>IF(ISBLANK(Z18),,IF(IFERROR(SEARCH("SS:",Z18),0) &gt; 0, 
VLOOKUP(SUBSTITUTE(Z18,"SS: ",""),vote4SURGE!$A:$C , 3, FALSE) - 2,
VLOOKUP(SUBSTITUTE(Z18,"S: ",""),vote4SURGE!$A:$C , 3, FALSE)
)
)</f>
        <v/>
      </c>
      <c r="AB18" s="343">
        <f t="shared" si="1"/>
        <v>4</v>
      </c>
      <c r="AC18" s="343">
        <f>ROUND(IFS(
IFERROR(SEARCH("Blue, Yellow, Yellow, Green",P18),0) &gt; 0 , VLOOKUP("Blue", Variables!A:C , 3 , FALSE) + (VLOOKUP("Yellow", Variables!A:C , 3 , FALSE) * 2) + VLOOKUP("Green", Variables!A:C , 3 , FALSE),
IFERROR(SEARCH("Blue, Yellow, Green, Green",P18),0) &gt; 0 , VLOOKUP("Blue", Variables!A:C , 3 , FALSE) + VLOOKUP("Yellow", Variables!A:C , 3 , FALSE)  + (VLOOKUP("Green", Variables!A:C , 3 , FALSE) * 2),
IFERROR(SEARCH("Blue, Red, Red",P18),0) &gt; 0 , VLOOKUP("Blue", Variables!A:C , 3 , FALSE) + VLOOKUP("Red", Variables!A:C , 3 , FALSE) * 2,
IFERROR(SEARCH("Blue, Yellow, Yellow",P18),0) &gt; 0 , VLOOKUP("Blue", Variables!A:C , 3 , FALSE) + (VLOOKUP("Yellow", Variables!A:C , 3 , FALSE) * 2),
IFERROR(SEARCH("Blue, Yellow, Green",P18),0) &gt; 0 , VLOOKUP("Blue", Variables!A:C , 3 , FALSE) + VLOOKUP("Yellow", Variables!A:C , 3 , FALSE) + VLOOKUP("Green", Variables!A:C , 3 , FALSE),
IFERROR(SEARCH("Blue, Red, Green",P18),0) &gt; 0 , VLOOKUP("Blue", Variables!A:C , 3 , FALSE) + VLOOKUP("Red", Variables!A:C , 3 , FALSE) + VLOOKUP("Green", Variables!A:C , 3 , FALSE),
IFERROR(SEARCH("Blue, Red, Yellow",P18),0) &gt; 0 , VLOOKUP("Blue", Variables!A:C , 3 , FALSE) + VLOOKUP("Red", Variables!A:C , 3 , FALSE) + VLOOKUP("Yellow", Variables!A:C , 3 , FALSE),
IFERROR(SEARCH("Blue, Green, Green",P18),0) &gt; 0 , VLOOKUP("Blue", Variables!A:C , 3 , FALSE) + (VLOOKUP("Green", Variables!A:C , 3 , FALSE) * 2),
IFERROR(SEARCH("Blue, Yellow",P18),0) &gt; 0 , VLOOKUP("Blue", Variables!A:C , 3 , FALSE) + VLOOKUP("Yellow", Variables!A:C , 3 , FALSE),
IFERROR(SEARCH("Blue, Red",P18),0) &gt; 0 , VLOOKUP("Blue", Variables!A:C , 3 , FALSE) + VLOOKUP("Red", Variables!A:C , 3 , FALSE),
IFERROR(SEARCH("Blue, Green",P18),0) &gt; 0 , VLOOKUP("Blue", Variables!A:C , 3 , FALSE) + VLOOKUP("Green", Variables!A:C , 3 , FALSE),
IFERROR(SEARCH("Green",P18),0) &gt; 0 , VLOOKUP("Green", Variables!A:C , 3 , FALSE),
IFERROR(SEARCH("Blue",P18),0) &gt; 0 , VLOOKUP("Blue", Variables!A:C , 3 , FALSE),
IFERROR(SEARCH("Yellow",P18),0) &gt; 0 , VLOOKUP("Yellow", Variables!A:C , 3 , FALSE),
IFERROR(SEARCH("Black, Black",P18),0) &gt; 0 , VLOOKUP("Black", Variables!A:C , 3 , FALSE) * 2,
IFERROR(SEARCH("Grey, Grey",P18),0) &gt; 0 , VLOOKUP("Grey", Variables!A:C , 3 , FALSE) * 2,
IFERROR(SEARCH("Grey, Brown",P18),0) &gt; 0 , VLOOKUP("Grey", Variables!A:C , 3 , FALSE)  + VLOOKUP("Brown", Variables!A:C , 3 , FALSE),
IFERROR(SEARCH("Black, Grey",P18),0) &gt; 0 , VLOOKUP("Black", Variables!A:C , 3 , FALSE) + VLOOKUP("Grey", Variables!A:C , 3 , FALSE),
IFERROR(SEARCH("Black, Brown",P18),0) &gt; 0 , VLOOKUP("Black", Variables!A:C , 3 , FALSE) + VLOOKUP("Brown", Variables!A:C , 3 , FALSE),
IFERROR(SEARCH("Black",P18),0) &gt; 0 , VLOOKUP("Black", Variables!A:C , 3 , FALSE),
IFERROR(SEARCH("Grey",P18),0) &gt; 0 , VLOOKUP("Grey", Variables!A:C , 3 , FALSE),
IFERROR(SEARCH("Brown",P18),0) &gt; 0 , VLOOKUP("Brown", Variables!A:C , 3 , FALSE),
0=0,0)
,
)</f>
        <v>1</v>
      </c>
      <c r="AD18" s="343">
        <f t="shared" si="2"/>
        <v>1</v>
      </c>
      <c r="AE18" s="345">
        <f t="shared" si="3"/>
        <v>15</v>
      </c>
      <c r="AF18" s="383"/>
    </row>
    <row r="19">
      <c r="A19" s="509" t="s">
        <v>2696</v>
      </c>
      <c r="B19" s="510">
        <v>1.0</v>
      </c>
      <c r="C19" s="510">
        <v>1.0</v>
      </c>
      <c r="D19" s="511" t="s">
        <v>2669</v>
      </c>
      <c r="E19" s="512" t="s">
        <v>2697</v>
      </c>
      <c r="F19" s="513">
        <v>4.0</v>
      </c>
      <c r="G19" s="514">
        <v>8.0</v>
      </c>
      <c r="H19" s="515" t="s">
        <v>1663</v>
      </c>
      <c r="I19" s="513">
        <v>4.0</v>
      </c>
      <c r="J19" s="514">
        <v>11.0</v>
      </c>
      <c r="K19" s="515" t="s">
        <v>1663</v>
      </c>
      <c r="L19" s="513">
        <v>4.0</v>
      </c>
      <c r="M19" s="514">
        <v>13.0</v>
      </c>
      <c r="N19" s="515" t="s">
        <v>2575</v>
      </c>
      <c r="O19" s="343" t="s">
        <v>1567</v>
      </c>
      <c r="P19" s="343" t="s">
        <v>1525</v>
      </c>
      <c r="Q19" s="342">
        <f>IFS(
IFERROR(SEARCH("Blue, Yellow, Yellow, Green",P19),0) &gt; 0 , VLOOKUP("Blue", Variables!A:C , 2 , FALSE) + (VLOOKUP("Yellow", Variables!A:C , 2 , FALSE) * 2) + VLOOKUP("Green", Variables!A:C , 2 , FALSE),
IFERROR(SEARCH("Blue, Red, Yellow, Green",P19),0) &gt; 0 , VLOOKUP("Blue", Variables!A:C , 2 , FALSE) + VLOOKUP("Red", Variables!A:C , 2 , FALSE) + (VLOOKUP("Yellow", Variables!A:C , 2 , FALSE) * 2) + VLOOKUP("Green", Variables!A:C , 2 , FALSE),
IFERROR(SEARCH("Blue, Yellow, Green, Green",P19),0) &gt; 0 , VLOOKUP("Blue", Variables!A:C , 2 , FALSE) + VLOOKUP("Yellow", Variables!A:C , 2 , FALSE)  + (VLOOKUP("Green", Variables!A:C , 2 , FALSE) * 2),
IFERROR(SEARCH("Blue, Red, Yellow, Yellow",P19),0) &gt; 0 , VLOOKUP("Blue", Variables!A:C , 2 , FALSE) + VLOOKUP("Yellow", Variables!A:C , 2 , FALSE) * 2  + (VLOOKUP("Red", Variables!A:C , 2 , FALSE) * 2),
IFERROR(SEARCH("Blue, Red, Red",P19),0) &gt; 0 , VLOOKUP("Blue", Variables!A:C , 2 , FALSE) + VLOOKUP("Red", Variables!A:C , 2 , FALSE) * 2,
IFERROR(SEARCH("Blue, Yellow, Yellow",P19),0) &gt; 0 , VLOOKUP("Blue", Variables!A:C , 2 , FALSE) + (VLOOKUP("Yellow", Variables!A:C , 2 , FALSE) * 2),
IFERROR(SEARCH("Blue, Yellow, Green",P19),0) &gt; 0 , VLOOKUP("Blue", Variables!A:C , 2 , FALSE) + VLOOKUP("Yellow", Variables!A:C , 2 , FALSE) + VLOOKUP("Green", Variables!A:C , 2 , FALSE),
IFERROR(SEARCH("Blue, Red, Green",P19),0) &gt; 0 , VLOOKUP("Blue", Variables!A:C , 2 , FALSE) + VLOOKUP("Red", Variables!A:C , 2 , FALSE) + VLOOKUP("Green", Variables!A:C , 2 , FALSE),
IFERROR(SEARCH("Blue, Red, Yellow",P19),0) &gt; 0 , VLOOKUP("Blue", Variables!A:C , 2 , FALSE) + VLOOKUP("Red", Variables!A:C , 2 , FALSE) + VLOOKUP("Yellow", Variables!A:C , 2 , FALSE),
IFERROR(SEARCH("Blue, Green, Green",P19),0) &gt; 0 , VLOOKUP("Blue", Variables!A:C , 2 , FALSE) + (VLOOKUP("Green", Variables!A:C , 2 , FALSE) * 2),
IFERROR(SEARCH("Blue, Yellow",P19),0) &gt; 0 , VLOOKUP("Blue", Variables!A:C , 2 , FALSE) + VLOOKUP("Yellow", Variables!A:C , 2 , FALSE),
IFERROR(SEARCH("Blue, Red",P19),0) &gt; 0 , VLOOKUP("Blue", Variables!A:C , 2 , FALSE) + VLOOKUP("Red", Variables!A:C , 2 , FALSE),
IFERROR(SEARCH("Blue, Green",P19),0) &gt; 0 , VLOOKUP("Blue", Variables!A:C , 2 , FALSE) + VLOOKUP("Green", Variables!A:C , 2 , FALSE),
IFERROR(SEARCH("Green",P19),0) &gt; 0 , VLOOKUP("Green", Variables!A:C , 2 , FALSE),
IFERROR(SEARCH("Blue",P19),0) &gt; 0 , VLOOKUP("Blue", Variables!A:C , 2 , FALSE),
IFERROR(SEARCH("Yellow",P19),0) &gt; 0 , VLOOKUP("Yellow", Variables!A:C , 2 , FALSE),
IFERROR(SEARCH("Black, Black",P19),0) &gt; 0 , VLOOKUP("Black", Variables!A:C , 2, FALSE) * 2,
IFERROR(SEARCH("Grey, Grey",P19),0) &gt; 0 , VLOOKUP("Grey", Variables!A:C , 2, FALSE) * 2,
IFERROR(SEARCH("Grey, Brown",P19),0) &gt; 0 , VLOOKUP("Grey", Variables!A:C , 2, FALSE)  + VLOOKUP("Brown", Variables!A:C , 2, FALSE),
IFERROR(SEARCH("Black, Grey",P19),0) &gt; 0 , VLOOKUP("Black", Variables!A:C , 2, FALSE) + VLOOKUP("Grey", Variables!A:C , 2, FALSE),
IFERROR(SEARCH("Black, Brown",P19),0) &gt; 0 , VLOOKUP("Black", Variables!A:C , 2, FALSE) + VLOOKUP("Brown", Variables!A:C , 2, FALSE),
IFERROR(SEARCH("Black",P19),0) &gt; 0 , VLOOKUP("Black", Variables!A:C , 2, FALSE),
IFERROR(SEARCH("Grey",P19),0) &gt; 0 , VLOOKUP("Grey", Variables!A:C , 2, FALSE),
IFERROR(SEARCH("Brown",P19),0) &gt; 0 , VLOOKUP("Brown", Variables!A:C , 2, FALSE),
0=0,0)
+
IF(O19 ="Ranged", 1 , 0)</f>
        <v>4.333333333</v>
      </c>
      <c r="R19" s="343" t="s">
        <v>967</v>
      </c>
      <c r="S19" s="342">
        <f>IFERROR(__xludf.DUMMYFUNCTION("IF(ISBLANK(R19), , 
SWITCH(
LEN(R19)- LEN(SUBSTITUTE(R19,"","","""")), 
0 , VLOOKUP(R19, vote4TRAITS!A:C , 3, FALSE),
1 , VLOOKUP(index(split(R19 ,"", "", FALSE),1,1), vote4TRAITS!A:C , 3, FALSE) + VLOOKUP(index(split(R19 ,"", "", FALSE),1,2), vote4TRAITS"&amp;"!A:C , 3, FALSE),
2 , VLOOKUP(index(split(R19 ,"", "", FALSE),1,1), vote4TRAITS!A:C , 3, FALSE) + VLOOKUP(index(split(R19 ,"", "", FALSE),1,2), vote4TRAITS!A:C , 3, FALSE) + VLOOKUP(index(split(R19 ,"", "", FALSE),1,3), vote4TRAITS!A:C , 3, FALSE)
)
)"),1.6666666666666667)</f>
        <v>1.666666667</v>
      </c>
      <c r="T19" s="343" t="s">
        <v>1343</v>
      </c>
      <c r="U19" s="343">
        <f>IFERROR(__xludf.DUMMYFUNCTION("IF(ISBLANK(T19), , 
SWITCH(
LEN(T19)- LEN(SUBSTITUTE(T19,"","","""")), 
0 , VLOOKUP(T19, vote4ACTIONS!A:C , 3, FALSE),
1 , VLOOKUP(index(split(T19 ,"", "", FALSE),1,1), vote4ACTIONS!A:C , 3, FALSE) + VLOOKUP(index(split(T19 ,"", "", FALSE),1,2), vote4ACTI"&amp;"ONS!A:C , 3, FALSE),
2 , VLOOKUP(index(split(T19 ,"", "", FALSE),1,1), vote4ACTIONS!A:C , 3, FALSE) + VLOOKUP(index(split(T19 ,"", "", FALSE),1,2), vote4ACTIONS!A:C , 3, FALSE) + VLOOKUP(index(split(T19 ,"", "", FALSE),1,3), vote4ACTIONS!A:C , 3, FALSE)
)"&amp;"
)"),4.0)</f>
        <v>4</v>
      </c>
      <c r="V19" s="343"/>
      <c r="W19" s="343" t="str">
        <f>IF(ISBLANK(V19),,IF(IFERROR(SEARCH("SS:",V19),0) &gt; 0, 
VLOOKUP(SUBSTITUTE(V19,"SS: ",""),vote4SURGE!$A:$C , 3, FALSE) - 2,
VLOOKUP(SUBSTITUTE(V19,"S: ",""),vote4SURGE!$A:$C , 3, FALSE)
)
)</f>
        <v/>
      </c>
      <c r="X19" s="343"/>
      <c r="Y19" s="343" t="str">
        <f>IF(ISBLANK(X19),,IF(IFERROR(SEARCH("SS:",X19),0) &gt; 0, 
VLOOKUP(SUBSTITUTE(X19,"SS: ",""),vote4SURGE!$A:$C , 3, FALSE) - 2,
VLOOKUP(SUBSTITUTE(X19,"S: ",""),vote4SURGE!$A:$C , 3, FALSE)
)
)</f>
        <v/>
      </c>
      <c r="Z19" s="343"/>
      <c r="AA19" s="343" t="str">
        <f>IF(ISBLANK(Z19),,IF(IFERROR(SEARCH("SS:",Z19),0) &gt; 0, 
VLOOKUP(SUBSTITUTE(Z19,"SS: ",""),vote4SURGE!$A:$C , 3, FALSE) - 2,
VLOOKUP(SUBSTITUTE(Z19,"S: ",""),vote4SURGE!$A:$C , 3, FALSE)
)
)</f>
        <v/>
      </c>
      <c r="AB19" s="343">
        <f t="shared" si="1"/>
        <v>0</v>
      </c>
      <c r="AC19" s="343">
        <f>ROUND(IFS(
IFERROR(SEARCH("Blue, Yellow, Yellow, Green",P19),0) &gt; 0 , VLOOKUP("Blue", Variables!A:C , 3 , FALSE) + (VLOOKUP("Yellow", Variables!A:C , 3 , FALSE) * 2) + VLOOKUP("Green", Variables!A:C , 3 , FALSE),
IFERROR(SEARCH("Blue, Yellow, Green, Green",P19),0) &gt; 0 , VLOOKUP("Blue", Variables!A:C , 3 , FALSE) + VLOOKUP("Yellow", Variables!A:C , 3 , FALSE)  + (VLOOKUP("Green", Variables!A:C , 3 , FALSE) * 2),
IFERROR(SEARCH("Blue, Red, Red",P19),0) &gt; 0 , VLOOKUP("Blue", Variables!A:C , 3 , FALSE) + VLOOKUP("Red", Variables!A:C , 3 , FALSE) * 2,
IFERROR(SEARCH("Blue, Yellow, Yellow",P19),0) &gt; 0 , VLOOKUP("Blue", Variables!A:C , 3 , FALSE) + (VLOOKUP("Yellow", Variables!A:C , 3 , FALSE) * 2),
IFERROR(SEARCH("Blue, Yellow, Green",P19),0) &gt; 0 , VLOOKUP("Blue", Variables!A:C , 3 , FALSE) + VLOOKUP("Yellow", Variables!A:C , 3 , FALSE) + VLOOKUP("Green", Variables!A:C , 3 , FALSE),
IFERROR(SEARCH("Blue, Red, Green",P19),0) &gt; 0 , VLOOKUP("Blue", Variables!A:C , 3 , FALSE) + VLOOKUP("Red", Variables!A:C , 3 , FALSE) + VLOOKUP("Green", Variables!A:C , 3 , FALSE),
IFERROR(SEARCH("Blue, Red, Yellow",P19),0) &gt; 0 , VLOOKUP("Blue", Variables!A:C , 3 , FALSE) + VLOOKUP("Red", Variables!A:C , 3 , FALSE) + VLOOKUP("Yellow", Variables!A:C , 3 , FALSE),
IFERROR(SEARCH("Blue, Green, Green",P19),0) &gt; 0 , VLOOKUP("Blue", Variables!A:C , 3 , FALSE) + (VLOOKUP("Green", Variables!A:C , 3 , FALSE) * 2),
IFERROR(SEARCH("Blue, Yellow",P19),0) &gt; 0 , VLOOKUP("Blue", Variables!A:C , 3 , FALSE) + VLOOKUP("Yellow", Variables!A:C , 3 , FALSE),
IFERROR(SEARCH("Blue, Red",P19),0) &gt; 0 , VLOOKUP("Blue", Variables!A:C , 3 , FALSE) + VLOOKUP("Red", Variables!A:C , 3 , FALSE),
IFERROR(SEARCH("Blue, Green",P19),0) &gt; 0 , VLOOKUP("Blue", Variables!A:C , 3 , FALSE) + VLOOKUP("Green", Variables!A:C , 3 , FALSE),
IFERROR(SEARCH("Green",P19),0) &gt; 0 , VLOOKUP("Green", Variables!A:C , 3 , FALSE),
IFERROR(SEARCH("Blue",P19),0) &gt; 0 , VLOOKUP("Blue", Variables!A:C , 3 , FALSE),
IFERROR(SEARCH("Yellow",P19),0) &gt; 0 , VLOOKUP("Yellow", Variables!A:C , 3 , FALSE),
IFERROR(SEARCH("Black, Black",P19),0) &gt; 0 , VLOOKUP("Black", Variables!A:C , 3 , FALSE) * 2,
IFERROR(SEARCH("Grey, Grey",P19),0) &gt; 0 , VLOOKUP("Grey", Variables!A:C , 3 , FALSE) * 2,
IFERROR(SEARCH("Grey, Brown",P19),0) &gt; 0 , VLOOKUP("Grey", Variables!A:C , 3 , FALSE)  + VLOOKUP("Brown", Variables!A:C , 3 , FALSE),
IFERROR(SEARCH("Black, Grey",P19),0) &gt; 0 , VLOOKUP("Black", Variables!A:C , 3 , FALSE) + VLOOKUP("Grey", Variables!A:C , 3 , FALSE),
IFERROR(SEARCH("Black, Brown",P19),0) &gt; 0 , VLOOKUP("Black", Variables!A:C , 3 , FALSE) + VLOOKUP("Brown", Variables!A:C , 3 , FALSE),
IFERROR(SEARCH("Black",P19),0) &gt; 0 , VLOOKUP("Black", Variables!A:C , 3 , FALSE),
IFERROR(SEARCH("Grey",P19),0) &gt; 0 , VLOOKUP("Grey", Variables!A:C , 3 , FALSE),
IFERROR(SEARCH("Brown",P19),0) &gt; 0 , VLOOKUP("Brown", Variables!A:C , 3 , FALSE),
0=0,0)
,
)</f>
        <v>1</v>
      </c>
      <c r="AD19" s="343">
        <f t="shared" si="2"/>
        <v>0</v>
      </c>
      <c r="AE19" s="345">
        <f t="shared" si="3"/>
        <v>10</v>
      </c>
      <c r="AF19" s="383"/>
    </row>
    <row r="20" ht="15.75" customHeight="1">
      <c r="A20" s="509" t="s">
        <v>2696</v>
      </c>
      <c r="B20" s="380">
        <v>2.0</v>
      </c>
      <c r="C20" s="380">
        <v>1.0</v>
      </c>
      <c r="D20" s="511" t="s">
        <v>2669</v>
      </c>
      <c r="E20" s="512" t="s">
        <v>2697</v>
      </c>
      <c r="F20" s="513">
        <v>4.0</v>
      </c>
      <c r="G20" s="514">
        <v>10.0</v>
      </c>
      <c r="H20" s="515" t="s">
        <v>2575</v>
      </c>
      <c r="I20" s="513">
        <v>4.0</v>
      </c>
      <c r="J20" s="514">
        <v>12.0</v>
      </c>
      <c r="K20" s="515" t="s">
        <v>2590</v>
      </c>
      <c r="L20" s="513">
        <v>4.0</v>
      </c>
      <c r="M20" s="514">
        <v>15.0</v>
      </c>
      <c r="N20" s="515" t="s">
        <v>2599</v>
      </c>
      <c r="O20" s="343" t="s">
        <v>1567</v>
      </c>
      <c r="P20" s="343" t="s">
        <v>1537</v>
      </c>
      <c r="Q20" s="342">
        <f>IFS(
IFERROR(SEARCH("Blue, Yellow, Yellow, Green",P20),0) &gt; 0 , VLOOKUP("Blue", Variables!A:C , 2 , FALSE) + (VLOOKUP("Yellow", Variables!A:C , 2 , FALSE) * 2) + VLOOKUP("Green", Variables!A:C , 2 , FALSE),
IFERROR(SEARCH("Blue, Red, Yellow, Green",P20),0) &gt; 0 , VLOOKUP("Blue", Variables!A:C , 2 , FALSE) + VLOOKUP("Red", Variables!A:C , 2 , FALSE) + (VLOOKUP("Yellow", Variables!A:C , 2 , FALSE) * 2) + VLOOKUP("Green", Variables!A:C , 2 , FALSE),
IFERROR(SEARCH("Blue, Yellow, Green, Green",P20),0) &gt; 0 , VLOOKUP("Blue", Variables!A:C , 2 , FALSE) + VLOOKUP("Yellow", Variables!A:C , 2 , FALSE)  + (VLOOKUP("Green", Variables!A:C , 2 , FALSE) * 2),
IFERROR(SEARCH("Blue, Red, Yellow, Yellow",P20),0) &gt; 0 , VLOOKUP("Blue", Variables!A:C , 2 , FALSE) + VLOOKUP("Yellow", Variables!A:C , 2 , FALSE) * 2  + (VLOOKUP("Red", Variables!A:C , 2 , FALSE) * 2),
IFERROR(SEARCH("Blue, Red, Red",P20),0) &gt; 0 , VLOOKUP("Blue", Variables!A:C , 2 , FALSE) + VLOOKUP("Red", Variables!A:C , 2 , FALSE) * 2,
IFERROR(SEARCH("Blue, Yellow, Yellow",P20),0) &gt; 0 , VLOOKUP("Blue", Variables!A:C , 2 , FALSE) + (VLOOKUP("Yellow", Variables!A:C , 2 , FALSE) * 2),
IFERROR(SEARCH("Blue, Yellow, Green",P20),0) &gt; 0 , VLOOKUP("Blue", Variables!A:C , 2 , FALSE) + VLOOKUP("Yellow", Variables!A:C , 2 , FALSE) + VLOOKUP("Green", Variables!A:C , 2 , FALSE),
IFERROR(SEARCH("Blue, Red, Green",P20),0) &gt; 0 , VLOOKUP("Blue", Variables!A:C , 2 , FALSE) + VLOOKUP("Red", Variables!A:C , 2 , FALSE) + VLOOKUP("Green", Variables!A:C , 2 , FALSE),
IFERROR(SEARCH("Blue, Red, Yellow",P20),0) &gt; 0 , VLOOKUP("Blue", Variables!A:C , 2 , FALSE) + VLOOKUP("Red", Variables!A:C , 2 , FALSE) + VLOOKUP("Yellow", Variables!A:C , 2 , FALSE),
IFERROR(SEARCH("Blue, Green, Green",P20),0) &gt; 0 , VLOOKUP("Blue", Variables!A:C , 2 , FALSE) + (VLOOKUP("Green", Variables!A:C , 2 , FALSE) * 2),
IFERROR(SEARCH("Blue, Yellow",P20),0) &gt; 0 , VLOOKUP("Blue", Variables!A:C , 2 , FALSE) + VLOOKUP("Yellow", Variables!A:C , 2 , FALSE),
IFERROR(SEARCH("Blue, Red",P20),0) &gt; 0 , VLOOKUP("Blue", Variables!A:C , 2 , FALSE) + VLOOKUP("Red", Variables!A:C , 2 , FALSE),
IFERROR(SEARCH("Blue, Green",P20),0) &gt; 0 , VLOOKUP("Blue", Variables!A:C , 2 , FALSE) + VLOOKUP("Green", Variables!A:C , 2 , FALSE),
IFERROR(SEARCH("Green",P20),0) &gt; 0 , VLOOKUP("Green", Variables!A:C , 2 , FALSE),
IFERROR(SEARCH("Blue",P20),0) &gt; 0 , VLOOKUP("Blue", Variables!A:C , 2 , FALSE),
IFERROR(SEARCH("Yellow",P20),0) &gt; 0 , VLOOKUP("Yellow", Variables!A:C , 2 , FALSE),
IFERROR(SEARCH("Black, Black",P20),0) &gt; 0 , VLOOKUP("Black", Variables!A:C , 2, FALSE) * 2,
IFERROR(SEARCH("Grey, Grey",P20),0) &gt; 0 , VLOOKUP("Grey", Variables!A:C , 2, FALSE) * 2,
IFERROR(SEARCH("Grey, Brown",P20),0) &gt; 0 , VLOOKUP("Grey", Variables!A:C , 2, FALSE)  + VLOOKUP("Brown", Variables!A:C , 2, FALSE),
IFERROR(SEARCH("Black, Grey",P20),0) &gt; 0 , VLOOKUP("Black", Variables!A:C , 2, FALSE) + VLOOKUP("Grey", Variables!A:C , 2, FALSE),
IFERROR(SEARCH("Black, Brown",P20),0) &gt; 0 , VLOOKUP("Black", Variables!A:C , 2, FALSE) + VLOOKUP("Brown", Variables!A:C , 2, FALSE),
IFERROR(SEARCH("Black",P20),0) &gt; 0 , VLOOKUP("Black", Variables!A:C , 2, FALSE),
IFERROR(SEARCH("Grey",P20),0) &gt; 0 , VLOOKUP("Grey", Variables!A:C , 2, FALSE),
IFERROR(SEARCH("Brown",P20),0) &gt; 0 , VLOOKUP("Brown", Variables!A:C , 2, FALSE),
0=0,0)
+
IF(O20 ="Ranged", 1 , 0)</f>
        <v>5.5</v>
      </c>
      <c r="R20" s="343" t="s">
        <v>967</v>
      </c>
      <c r="S20" s="342">
        <f>IFERROR(__xludf.DUMMYFUNCTION("IF(ISBLANK(R20), , 
SWITCH(
LEN(R20)- LEN(SUBSTITUTE(R20,"","","""")), 
0 , VLOOKUP(R20, vote4TRAITS!A:C , 3, FALSE),
1 , VLOOKUP(index(split(R20 ,"", "", FALSE),1,1), vote4TRAITS!A:C , 3, FALSE) + VLOOKUP(index(split(R20 ,"", "", FALSE),1,2), vote4TRAITS"&amp;"!A:C , 3, FALSE),
2 , VLOOKUP(index(split(R20 ,"", "", FALSE),1,1), vote4TRAITS!A:C , 3, FALSE) + VLOOKUP(index(split(R20 ,"", "", FALSE),1,2), vote4TRAITS!A:C , 3, FALSE) + VLOOKUP(index(split(R20 ,"", "", FALSE),1,3), vote4TRAITS!A:C , 3, FALSE)
)
)"),1.6666666666666667)</f>
        <v>1.666666667</v>
      </c>
      <c r="T20" s="343" t="s">
        <v>1343</v>
      </c>
      <c r="U20" s="343">
        <f>IFERROR(__xludf.DUMMYFUNCTION("IF(ISBLANK(T20), , 
SWITCH(
LEN(T20)- LEN(SUBSTITUTE(T20,"","","""")), 
0 , VLOOKUP(T20, vote4ACTIONS!A:C , 3, FALSE),
1 , VLOOKUP(index(split(T20 ,"", "", FALSE),1,1), vote4ACTIONS!A:C , 3, FALSE) + VLOOKUP(index(split(T20 ,"", "", FALSE),1,2), vote4ACTI"&amp;"ONS!A:C , 3, FALSE),
2 , VLOOKUP(index(split(T20 ,"", "", FALSE),1,1), vote4ACTIONS!A:C , 3, FALSE) + VLOOKUP(index(split(T20 ,"", "", FALSE),1,2), vote4ACTIONS!A:C , 3, FALSE) + VLOOKUP(index(split(T20 ,"", "", FALSE),1,3), vote4ACTIONS!A:C , 3, FALSE)
)"&amp;"
)"),4.0)</f>
        <v>4</v>
      </c>
      <c r="V20" s="343" t="s">
        <v>2595</v>
      </c>
      <c r="W20" s="517">
        <f>IF(ISBLANK(V20),,IF(IFERROR(SEARCH("SS:",V20),0) &gt; 0, 
VLOOKUP(SUBSTITUTE(V20,"SS: ",""),vote4SURGE!$A:$C , 3, FALSE) - 2,
VLOOKUP(SUBSTITUTE(V20,"S: ",""),vote4SURGE!$A:$C , 3, FALSE)
)
)</f>
        <v>3.5</v>
      </c>
      <c r="X20" s="343" t="s">
        <v>1562</v>
      </c>
      <c r="Y20" s="517">
        <f>IF(ISBLANK(X20),,IF(IFERROR(SEARCH("SS:",X20),0) &gt; 0, 
VLOOKUP(SUBSTITUTE(X20,"SS: ",""),vote4SURGE!$A:$C , 3, FALSE) - 2,
VLOOKUP(SUBSTITUTE(X20,"S: ",""),vote4SURGE!$A:$C , 3, FALSE)
)
)</f>
        <v>3.5</v>
      </c>
      <c r="Z20" s="343"/>
      <c r="AA20" s="343" t="str">
        <f>IF(ISBLANK(Z20),,IF(IFERROR(SEARCH("SS:",Z20),0) &gt; 0, 
VLOOKUP(SUBSTITUTE(Z20,"SS: ",""),vote4SURGE!$A:$C , 3, FALSE) - 2,
VLOOKUP(SUBSTITUTE(Z20,"S: ",""),vote4SURGE!$A:$C , 3, FALSE)
)
)</f>
        <v/>
      </c>
      <c r="AB20" s="517">
        <f t="shared" si="1"/>
        <v>5.25</v>
      </c>
      <c r="AC20" s="343">
        <f>ROUND(IFS(
IFERROR(SEARCH("Blue, Yellow, Yellow, Green",P20),0) &gt; 0 , VLOOKUP("Blue", Variables!A:C , 3 , FALSE) + (VLOOKUP("Yellow", Variables!A:C , 3 , FALSE) * 2) + VLOOKUP("Green", Variables!A:C , 3 , FALSE),
IFERROR(SEARCH("Blue, Yellow, Green, Green",P20),0) &gt; 0 , VLOOKUP("Blue", Variables!A:C , 3 , FALSE) + VLOOKUP("Yellow", Variables!A:C , 3 , FALSE)  + (VLOOKUP("Green", Variables!A:C , 3 , FALSE) * 2),
IFERROR(SEARCH("Blue, Red, Red",P20),0) &gt; 0 , VLOOKUP("Blue", Variables!A:C , 3 , FALSE) + VLOOKUP("Red", Variables!A:C , 3 , FALSE) * 2,
IFERROR(SEARCH("Blue, Yellow, Yellow",P20),0) &gt; 0 , VLOOKUP("Blue", Variables!A:C , 3 , FALSE) + (VLOOKUP("Yellow", Variables!A:C , 3 , FALSE) * 2),
IFERROR(SEARCH("Blue, Yellow, Green",P20),0) &gt; 0 , VLOOKUP("Blue", Variables!A:C , 3 , FALSE) + VLOOKUP("Yellow", Variables!A:C , 3 , FALSE) + VLOOKUP("Green", Variables!A:C , 3 , FALSE),
IFERROR(SEARCH("Blue, Red, Green",P20),0) &gt; 0 , VLOOKUP("Blue", Variables!A:C , 3 , FALSE) + VLOOKUP("Red", Variables!A:C , 3 , FALSE) + VLOOKUP("Green", Variables!A:C , 3 , FALSE),
IFERROR(SEARCH("Blue, Red, Yellow",P20),0) &gt; 0 , VLOOKUP("Blue", Variables!A:C , 3 , FALSE) + VLOOKUP("Red", Variables!A:C , 3 , FALSE) + VLOOKUP("Yellow", Variables!A:C , 3 , FALSE),
IFERROR(SEARCH("Blue, Green, Green",P20),0) &gt; 0 , VLOOKUP("Blue", Variables!A:C , 3 , FALSE) + (VLOOKUP("Green", Variables!A:C , 3 , FALSE) * 2),
IFERROR(SEARCH("Blue, Yellow",P20),0) &gt; 0 , VLOOKUP("Blue", Variables!A:C , 3 , FALSE) + VLOOKUP("Yellow", Variables!A:C , 3 , FALSE),
IFERROR(SEARCH("Blue, Red",P20),0) &gt; 0 , VLOOKUP("Blue", Variables!A:C , 3 , FALSE) + VLOOKUP("Red", Variables!A:C , 3 , FALSE),
IFERROR(SEARCH("Blue, Green",P20),0) &gt; 0 , VLOOKUP("Blue", Variables!A:C , 3 , FALSE) + VLOOKUP("Green", Variables!A:C , 3 , FALSE),
IFERROR(SEARCH("Green",P20),0) &gt; 0 , VLOOKUP("Green", Variables!A:C , 3 , FALSE),
IFERROR(SEARCH("Blue",P20),0) &gt; 0 , VLOOKUP("Blue", Variables!A:C , 3 , FALSE),
IFERROR(SEARCH("Yellow",P20),0) &gt; 0 , VLOOKUP("Yellow", Variables!A:C , 3 , FALSE),
IFERROR(SEARCH("Black, Black",P20),0) &gt; 0 , VLOOKUP("Black", Variables!A:C , 3 , FALSE) * 2,
IFERROR(SEARCH("Grey, Grey",P20),0) &gt; 0 , VLOOKUP("Grey", Variables!A:C , 3 , FALSE) * 2,
IFERROR(SEARCH("Grey, Brown",P20),0) &gt; 0 , VLOOKUP("Grey", Variables!A:C , 3 , FALSE)  + VLOOKUP("Brown", Variables!A:C , 3 , FALSE),
IFERROR(SEARCH("Black, Grey",P20),0) &gt; 0 , VLOOKUP("Black", Variables!A:C , 3 , FALSE) + VLOOKUP("Grey", Variables!A:C , 3 , FALSE),
IFERROR(SEARCH("Black, Brown",P20),0) &gt; 0 , VLOOKUP("Black", Variables!A:C , 3 , FALSE) + VLOOKUP("Brown", Variables!A:C , 3 , FALSE),
IFERROR(SEARCH("Black",P20),0) &gt; 0 , VLOOKUP("Black", Variables!A:C , 3 , FALSE),
IFERROR(SEARCH("Grey",P20),0) &gt; 0 , VLOOKUP("Grey", Variables!A:C , 3 , FALSE),
IFERROR(SEARCH("Brown",P20),0) &gt; 0 , VLOOKUP("Brown", Variables!A:C , 3 , FALSE),
0=0,0)
,
)</f>
        <v>1</v>
      </c>
      <c r="AD20" s="343">
        <f t="shared" si="2"/>
        <v>2</v>
      </c>
      <c r="AE20" s="345">
        <f t="shared" si="3"/>
        <v>16.41666667</v>
      </c>
      <c r="AF20" s="383"/>
    </row>
    <row r="21" ht="15.75" customHeight="1">
      <c r="A21" s="509" t="s">
        <v>2698</v>
      </c>
      <c r="B21" s="380">
        <v>1.0</v>
      </c>
      <c r="C21" s="380">
        <v>4.0</v>
      </c>
      <c r="D21" s="512"/>
      <c r="E21" s="512"/>
      <c r="F21" s="513">
        <v>3.0</v>
      </c>
      <c r="G21" s="514">
        <v>14.0</v>
      </c>
      <c r="H21" s="340" t="s">
        <v>1671</v>
      </c>
      <c r="I21" s="513">
        <v>3.0</v>
      </c>
      <c r="J21" s="514">
        <v>18.0</v>
      </c>
      <c r="K21" s="515" t="s">
        <v>2594</v>
      </c>
      <c r="L21" s="513">
        <v>3.0</v>
      </c>
      <c r="M21" s="514">
        <v>22.0</v>
      </c>
      <c r="N21" s="515" t="s">
        <v>2599</v>
      </c>
      <c r="O21" s="343" t="s">
        <v>1521</v>
      </c>
      <c r="P21" s="343" t="s">
        <v>1548</v>
      </c>
      <c r="Q21" s="342">
        <f>IFS(
IFERROR(SEARCH("Blue, Yellow, Yellow, Green",P21),0) &gt; 0 , VLOOKUP("Blue", Variables!A:C , 2 , FALSE) + (VLOOKUP("Yellow", Variables!A:C , 2 , FALSE) * 2) + VLOOKUP("Green", Variables!A:C , 2 , FALSE),
IFERROR(SEARCH("Blue, Red, Yellow, Green",P21),0) &gt; 0 , VLOOKUP("Blue", Variables!A:C , 2 , FALSE) + VLOOKUP("Red", Variables!A:C , 2 , FALSE) + (VLOOKUP("Yellow", Variables!A:C , 2 , FALSE) * 2) + VLOOKUP("Green", Variables!A:C , 2 , FALSE),
IFERROR(SEARCH("Blue, Yellow, Green, Green",P21),0) &gt; 0 , VLOOKUP("Blue", Variables!A:C , 2 , FALSE) + VLOOKUP("Yellow", Variables!A:C , 2 , FALSE)  + (VLOOKUP("Green", Variables!A:C , 2 , FALSE) * 2),
IFERROR(SEARCH("Blue, Red, Yellow, Yellow",P21),0) &gt; 0 , VLOOKUP("Blue", Variables!A:C , 2 , FALSE) + VLOOKUP("Yellow", Variables!A:C , 2 , FALSE) * 2  + (VLOOKUP("Red", Variables!A:C , 2 , FALSE) * 2),
IFERROR(SEARCH("Blue, Red, Red",P21),0) &gt; 0 , VLOOKUP("Blue", Variables!A:C , 2 , FALSE) + VLOOKUP("Red", Variables!A:C , 2 , FALSE) * 2,
IFERROR(SEARCH("Blue, Yellow, Yellow",P21),0) &gt; 0 , VLOOKUP("Blue", Variables!A:C , 2 , FALSE) + (VLOOKUP("Yellow", Variables!A:C , 2 , FALSE) * 2),
IFERROR(SEARCH("Blue, Yellow, Green",P21),0) &gt; 0 , VLOOKUP("Blue", Variables!A:C , 2 , FALSE) + VLOOKUP("Yellow", Variables!A:C , 2 , FALSE) + VLOOKUP("Green", Variables!A:C , 2 , FALSE),
IFERROR(SEARCH("Blue, Red, Green",P21),0) &gt; 0 , VLOOKUP("Blue", Variables!A:C , 2 , FALSE) + VLOOKUP("Red", Variables!A:C , 2 , FALSE) + VLOOKUP("Green", Variables!A:C , 2 , FALSE),
IFERROR(SEARCH("Blue, Red, Yellow",P21),0) &gt; 0 , VLOOKUP("Blue", Variables!A:C , 2 , FALSE) + VLOOKUP("Red", Variables!A:C , 2 , FALSE) + VLOOKUP("Yellow", Variables!A:C , 2 , FALSE),
IFERROR(SEARCH("Blue, Green, Green",P21),0) &gt; 0 , VLOOKUP("Blue", Variables!A:C , 2 , FALSE) + (VLOOKUP("Green", Variables!A:C , 2 , FALSE) * 2),
IFERROR(SEARCH("Blue, Yellow",P21),0) &gt; 0 , VLOOKUP("Blue", Variables!A:C , 2 , FALSE) + VLOOKUP("Yellow", Variables!A:C , 2 , FALSE),
IFERROR(SEARCH("Blue, Red",P21),0) &gt; 0 , VLOOKUP("Blue", Variables!A:C , 2 , FALSE) + VLOOKUP("Red", Variables!A:C , 2 , FALSE),
IFERROR(SEARCH("Blue, Green",P21),0) &gt; 0 , VLOOKUP("Blue", Variables!A:C , 2 , FALSE) + VLOOKUP("Green", Variables!A:C , 2 , FALSE),
IFERROR(SEARCH("Green",P21),0) &gt; 0 , VLOOKUP("Green", Variables!A:C , 2 , FALSE),
IFERROR(SEARCH("Blue",P21),0) &gt; 0 , VLOOKUP("Blue", Variables!A:C , 2 , FALSE),
IFERROR(SEARCH("Yellow",P21),0) &gt; 0 , VLOOKUP("Yellow", Variables!A:C , 2 , FALSE),
IFERROR(SEARCH("Black, Black",P21),0) &gt; 0 , VLOOKUP("Black", Variables!A:C , 2, FALSE) * 2,
IFERROR(SEARCH("Grey, Grey",P21),0) &gt; 0 , VLOOKUP("Grey", Variables!A:C , 2, FALSE) * 2,
IFERROR(SEARCH("Grey, Brown",P21),0) &gt; 0 , VLOOKUP("Grey", Variables!A:C , 2, FALSE)  + VLOOKUP("Brown", Variables!A:C , 2, FALSE),
IFERROR(SEARCH("Black, Grey",P21),0) &gt; 0 , VLOOKUP("Black", Variables!A:C , 2, FALSE) + VLOOKUP("Grey", Variables!A:C , 2, FALSE),
IFERROR(SEARCH("Black, Brown",P21),0) &gt; 0 , VLOOKUP("Black", Variables!A:C , 2, FALSE) + VLOOKUP("Brown", Variables!A:C , 2, FALSE),
IFERROR(SEARCH("Black",P21),0) &gt; 0 , VLOOKUP("Black", Variables!A:C , 2, FALSE),
IFERROR(SEARCH("Grey",P21),0) &gt; 0 , VLOOKUP("Grey", Variables!A:C , 2, FALSE),
IFERROR(SEARCH("Brown",P21),0) &gt; 0 , VLOOKUP("Brown", Variables!A:C , 2, FALSE),
0=0,0)
+
IF(O21 ="Ranged", 1 , 0)</f>
        <v>2.333333333</v>
      </c>
      <c r="R21" s="343"/>
      <c r="S21" s="342" t="str">
        <f>IFERROR(__xludf.DUMMYFUNCTION("IF(ISBLANK(R21), , 
SWITCH(
LEN(R21)- LEN(SUBSTITUTE(R21,"","","""")), 
0 , VLOOKUP(R21, vote4TRAITS!A:C , 3, FALSE),
1 , VLOOKUP(index(split(R21 ,"", "", FALSE),1,1), vote4TRAITS!A:C , 3, FALSE) + VLOOKUP(index(split(R21 ,"", "", FALSE),1,2), vote4TRAITS"&amp;"!A:C , 3, FALSE),
2 , VLOOKUP(index(split(R21 ,"", "", FALSE),1,1), vote4TRAITS!A:C , 3, FALSE) + VLOOKUP(index(split(R21 ,"", "", FALSE),1,2), vote4TRAITS!A:C , 3, FALSE) + VLOOKUP(index(split(R21 ,"", "", FALSE),1,3), vote4TRAITS!A:C , 3, FALSE)
)
)"),"")</f>
        <v/>
      </c>
      <c r="T21" s="343" t="s">
        <v>1363</v>
      </c>
      <c r="U21" s="343">
        <f>IFERROR(__xludf.DUMMYFUNCTION("IF(ISBLANK(T21), , 
SWITCH(
LEN(T21)- LEN(SUBSTITUTE(T21,"","","""")), 
0 , VLOOKUP(T21, vote4ACTIONS!A:C , 3, FALSE),
1 , VLOOKUP(index(split(T21 ,"", "", FALSE),1,1), vote4ACTIONS!A:C , 3, FALSE) + VLOOKUP(index(split(T21 ,"", "", FALSE),1,2), vote4ACTI"&amp;"ONS!A:C , 3, FALSE),
2 , VLOOKUP(index(split(T21 ,"", "", FALSE),1,1), vote4ACTIONS!A:C , 3, FALSE) + VLOOKUP(index(split(T21 ,"", "", FALSE),1,2), vote4ACTIONS!A:C , 3, FALSE) + VLOOKUP(index(split(T21 ,"", "", FALSE),1,3), vote4ACTIONS!A:C , 3, FALSE)
)"&amp;"
)"),4.25)</f>
        <v>4.25</v>
      </c>
      <c r="V21" s="343" t="s">
        <v>1540</v>
      </c>
      <c r="W21" s="517">
        <f>IF(ISBLANK(V21),,IF(IFERROR(SEARCH("SS:",V21),0) &gt; 0, 
VLOOKUP(SUBSTITUTE(V21,"SS: ",""),vote4SURGE!$A:$C , 3, FALSE) - 2,
VLOOKUP(SUBSTITUTE(V21,"S: ",""),vote4SURGE!$A:$C , 3, FALSE)
)
)</f>
        <v>5.25</v>
      </c>
      <c r="X21" s="343"/>
      <c r="Y21" s="343"/>
      <c r="Z21" s="343"/>
      <c r="AA21" s="343"/>
      <c r="AB21" s="343"/>
      <c r="AC21" s="343"/>
      <c r="AD21" s="343"/>
      <c r="AE21" s="345"/>
      <c r="AF21" s="383"/>
    </row>
    <row r="22" ht="15.75" customHeight="1">
      <c r="A22" s="509" t="s">
        <v>2698</v>
      </c>
      <c r="B22" s="380">
        <v>2.0</v>
      </c>
      <c r="C22" s="380">
        <v>4.0</v>
      </c>
      <c r="D22" s="511" t="s">
        <v>1827</v>
      </c>
      <c r="E22" s="512" t="s">
        <v>2699</v>
      </c>
      <c r="F22" s="513">
        <v>3.0</v>
      </c>
      <c r="G22" s="514">
        <v>20.0</v>
      </c>
      <c r="H22" s="340" t="s">
        <v>2599</v>
      </c>
      <c r="I22" s="513">
        <v>3.0</v>
      </c>
      <c r="J22" s="514">
        <v>24.0</v>
      </c>
      <c r="K22" s="515" t="s">
        <v>1676</v>
      </c>
      <c r="L22" s="513">
        <v>3.0</v>
      </c>
      <c r="M22" s="514">
        <v>28.0</v>
      </c>
      <c r="N22" s="515" t="s">
        <v>2666</v>
      </c>
      <c r="O22" s="343" t="s">
        <v>1521</v>
      </c>
      <c r="P22" s="343" t="s">
        <v>1537</v>
      </c>
      <c r="Q22" s="342">
        <f>IFS(
IFERROR(SEARCH("Blue, Yellow, Yellow, Green",P22),0) &gt; 0 , VLOOKUP("Blue", Variables!A:C , 2 , FALSE) + (VLOOKUP("Yellow", Variables!A:C , 2 , FALSE) * 2) + VLOOKUP("Green", Variables!A:C , 2 , FALSE),
IFERROR(SEARCH("Blue, Red, Yellow, Green",P22),0) &gt; 0 , VLOOKUP("Blue", Variables!A:C , 2 , FALSE) + VLOOKUP("Red", Variables!A:C , 2 , FALSE) + (VLOOKUP("Yellow", Variables!A:C , 2 , FALSE) * 2) + VLOOKUP("Green", Variables!A:C , 2 , FALSE),
IFERROR(SEARCH("Blue, Yellow, Green, Green",P22),0) &gt; 0 , VLOOKUP("Blue", Variables!A:C , 2 , FALSE) + VLOOKUP("Yellow", Variables!A:C , 2 , FALSE)  + (VLOOKUP("Green", Variables!A:C , 2 , FALSE) * 2),
IFERROR(SEARCH("Blue, Red, Yellow, Yellow",P22),0) &gt; 0 , VLOOKUP("Blue", Variables!A:C , 2 , FALSE) + VLOOKUP("Yellow", Variables!A:C , 2 , FALSE) * 2  + (VLOOKUP("Red", Variables!A:C , 2 , FALSE) * 2),
IFERROR(SEARCH("Blue, Red, Red",P22),0) &gt; 0 , VLOOKUP("Blue", Variables!A:C , 2 , FALSE) + VLOOKUP("Red", Variables!A:C , 2 , FALSE) * 2,
IFERROR(SEARCH("Blue, Yellow, Yellow",P22),0) &gt; 0 , VLOOKUP("Blue", Variables!A:C , 2 , FALSE) + (VLOOKUP("Yellow", Variables!A:C , 2 , FALSE) * 2),
IFERROR(SEARCH("Blue, Yellow, Green",P22),0) &gt; 0 , VLOOKUP("Blue", Variables!A:C , 2 , FALSE) + VLOOKUP("Yellow", Variables!A:C , 2 , FALSE) + VLOOKUP("Green", Variables!A:C , 2 , FALSE),
IFERROR(SEARCH("Blue, Red, Green",P22),0) &gt; 0 , VLOOKUP("Blue", Variables!A:C , 2 , FALSE) + VLOOKUP("Red", Variables!A:C , 2 , FALSE) + VLOOKUP("Green", Variables!A:C , 2 , FALSE),
IFERROR(SEARCH("Blue, Red, Yellow",P22),0) &gt; 0 , VLOOKUP("Blue", Variables!A:C , 2 , FALSE) + VLOOKUP("Red", Variables!A:C , 2 , FALSE) + VLOOKUP("Yellow", Variables!A:C , 2 , FALSE),
IFERROR(SEARCH("Blue, Green, Green",P22),0) &gt; 0 , VLOOKUP("Blue", Variables!A:C , 2 , FALSE) + (VLOOKUP("Green", Variables!A:C , 2 , FALSE) * 2),
IFERROR(SEARCH("Blue, Yellow",P22),0) &gt; 0 , VLOOKUP("Blue", Variables!A:C , 2 , FALSE) + VLOOKUP("Yellow", Variables!A:C , 2 , FALSE),
IFERROR(SEARCH("Blue, Red",P22),0) &gt; 0 , VLOOKUP("Blue", Variables!A:C , 2 , FALSE) + VLOOKUP("Red", Variables!A:C , 2 , FALSE),
IFERROR(SEARCH("Blue, Green",P22),0) &gt; 0 , VLOOKUP("Blue", Variables!A:C , 2 , FALSE) + VLOOKUP("Green", Variables!A:C , 2 , FALSE),
IFERROR(SEARCH("Green",P22),0) &gt; 0 , VLOOKUP("Green", Variables!A:C , 2 , FALSE),
IFERROR(SEARCH("Blue",P22),0) &gt; 0 , VLOOKUP("Blue", Variables!A:C , 2 , FALSE),
IFERROR(SEARCH("Yellow",P22),0) &gt; 0 , VLOOKUP("Yellow", Variables!A:C , 2 , FALSE),
IFERROR(SEARCH("Black, Black",P22),0) &gt; 0 , VLOOKUP("Black", Variables!A:C , 2, FALSE) * 2,
IFERROR(SEARCH("Grey, Grey",P22),0) &gt; 0 , VLOOKUP("Grey", Variables!A:C , 2, FALSE) * 2,
IFERROR(SEARCH("Grey, Brown",P22),0) &gt; 0 , VLOOKUP("Grey", Variables!A:C , 2, FALSE)  + VLOOKUP("Brown", Variables!A:C , 2, FALSE),
IFERROR(SEARCH("Black, Grey",P22),0) &gt; 0 , VLOOKUP("Black", Variables!A:C , 2, FALSE) + VLOOKUP("Grey", Variables!A:C , 2, FALSE),
IFERROR(SEARCH("Black, Brown",P22),0) &gt; 0 , VLOOKUP("Black", Variables!A:C , 2, FALSE) + VLOOKUP("Brown", Variables!A:C , 2, FALSE),
IFERROR(SEARCH("Black",P22),0) &gt; 0 , VLOOKUP("Black", Variables!A:C , 2, FALSE),
IFERROR(SEARCH("Grey",P22),0) &gt; 0 , VLOOKUP("Grey", Variables!A:C , 2, FALSE),
IFERROR(SEARCH("Brown",P22),0) &gt; 0 , VLOOKUP("Brown", Variables!A:C , 2, FALSE),
0=0,0)
+
IF(O22 ="Ranged", 1 , 0)</f>
        <v>4.5</v>
      </c>
      <c r="R22" s="343" t="s">
        <v>1158</v>
      </c>
      <c r="S22" s="342">
        <f>IFERROR(__xludf.DUMMYFUNCTION("IF(ISBLANK(R22), , 
SWITCH(
LEN(R22)- LEN(SUBSTITUTE(R22,"","","""")), 
0 , VLOOKUP(R22, vote4TRAITS!A:C , 3, FALSE),
1 , VLOOKUP(index(split(R22 ,"", "", FALSE),1,1), vote4TRAITS!A:C , 3, FALSE) + VLOOKUP(index(split(R22 ,"", "", FALSE),1,2), vote4TRAITS"&amp;"!A:C , 3, FALSE),
2 , VLOOKUP(index(split(R22 ,"", "", FALSE),1,1), vote4TRAITS!A:C , 3, FALSE) + VLOOKUP(index(split(R22 ,"", "", FALSE),1,2), vote4TRAITS!A:C , 3, FALSE) + VLOOKUP(index(split(R22 ,"", "", FALSE),1,3), vote4TRAITS!A:C , 3, FALSE)
)
)"),1.0)</f>
        <v>1</v>
      </c>
      <c r="T22" s="343" t="s">
        <v>1363</v>
      </c>
      <c r="U22" s="343">
        <f>IFERROR(__xludf.DUMMYFUNCTION("IF(ISBLANK(T22), , 
SWITCH(
LEN(T22)- LEN(SUBSTITUTE(T22,"","","""")), 
0 , VLOOKUP(T22, vote4ACTIONS!A:C , 3, FALSE),
1 , VLOOKUP(index(split(T22 ,"", "", FALSE),1,1), vote4ACTIONS!A:C , 3, FALSE) + VLOOKUP(index(split(T22 ,"", "", FALSE),1,2), vote4ACTI"&amp;"ONS!A:C , 3, FALSE),
2 , VLOOKUP(index(split(T22 ,"", "", FALSE),1,1), vote4ACTIONS!A:C , 3, FALSE) + VLOOKUP(index(split(T22 ,"", "", FALSE),1,2), vote4ACTIONS!A:C , 3, FALSE) + VLOOKUP(index(split(T22 ,"", "", FALSE),1,3), vote4ACTIONS!A:C , 3, FALSE)
)"&amp;"
)"),4.25)</f>
        <v>4.25</v>
      </c>
      <c r="V22" s="343" t="s">
        <v>1540</v>
      </c>
      <c r="W22" s="517">
        <f>IF(ISBLANK(V22),,IF(IFERROR(SEARCH("SS:",V22),0) &gt; 0, 
VLOOKUP(SUBSTITUTE(V22,"SS: ",""),vote4SURGE!$A:$C , 3, FALSE) - 2,
VLOOKUP(SUBSTITUTE(V22,"S: ",""),vote4SURGE!$A:$C , 3, FALSE)
)
)</f>
        <v>5.25</v>
      </c>
      <c r="X22" s="343" t="s">
        <v>1534</v>
      </c>
      <c r="Y22" s="517">
        <f>IF(ISBLANK(X22),,IF(IFERROR(SEARCH("SS:",X22),0) &gt; 0, 
VLOOKUP(SUBSTITUTE(X22,"SS: ",""),vote4SURGE!$A:$C , 3, FALSE) - 2,
VLOOKUP(SUBSTITUTE(X22,"S: ",""),vote4SURGE!$A:$C , 3, FALSE)
)
)</f>
        <v>4.25</v>
      </c>
      <c r="Z22" s="343"/>
      <c r="AA22" s="343" t="str">
        <f>IF(ISBLANK(Z22),,IF(IFERROR(SEARCH("SS:",Z22),0) &gt; 0, 
VLOOKUP(SUBSTITUTE(Z22,"SS: ",""),vote4SURGE!$A:$C , 3, FALSE) - 2,
VLOOKUP(SUBSTITUTE(Z22,"S: ",""),vote4SURGE!$A:$C , 3, FALSE)
)
)</f>
        <v/>
      </c>
      <c r="AB22" s="517">
        <f t="shared" ref="AB22:AB24" si="4">IF(AD22 &gt; 1, 
MAX(W22,Y22,AA22) + 
(IF(OR(AD22 = 0,AC22 = 0), 1 ,(AC22 / AD22)) * (SUM(W22,Y22,AA22) - MAX(W22,Y22,AA22)))
,
IF(OR(AD22 = 0,AC22 = 0), 1 ,(AC22 / AD22)) * SUM(W22,Y22,AA22)
)</f>
        <v>7.375</v>
      </c>
      <c r="AC22" s="343">
        <f>ROUND(IFS(
IFERROR(SEARCH("Blue, Yellow, Yellow, Green",P22),0) &gt; 0 , VLOOKUP("Blue", Variables!A:C , 3 , FALSE) + (VLOOKUP("Yellow", Variables!A:C , 3 , FALSE) * 2) + VLOOKUP("Green", Variables!A:C , 3 , FALSE),
IFERROR(SEARCH("Blue, Yellow, Green, Green",P22),0) &gt; 0 , VLOOKUP("Blue", Variables!A:C , 3 , FALSE) + VLOOKUP("Yellow", Variables!A:C , 3 , FALSE)  + (VLOOKUP("Green", Variables!A:C , 3 , FALSE) * 2),
IFERROR(SEARCH("Blue, Red, Red",P22),0) &gt; 0 , VLOOKUP("Blue", Variables!A:C , 3 , FALSE) + VLOOKUP("Red", Variables!A:C , 3 , FALSE) * 2,
IFERROR(SEARCH("Blue, Yellow, Yellow",P22),0) &gt; 0 , VLOOKUP("Blue", Variables!A:C , 3 , FALSE) + (VLOOKUP("Yellow", Variables!A:C , 3 , FALSE) * 2),
IFERROR(SEARCH("Blue, Yellow, Green",P22),0) &gt; 0 , VLOOKUP("Blue", Variables!A:C , 3 , FALSE) + VLOOKUP("Yellow", Variables!A:C , 3 , FALSE) + VLOOKUP("Green", Variables!A:C , 3 , FALSE),
IFERROR(SEARCH("Blue, Red, Green",P22),0) &gt; 0 , VLOOKUP("Blue", Variables!A:C , 3 , FALSE) + VLOOKUP("Red", Variables!A:C , 3 , FALSE) + VLOOKUP("Green", Variables!A:C , 3 , FALSE),
IFERROR(SEARCH("Blue, Red, Yellow",P22),0) &gt; 0 , VLOOKUP("Blue", Variables!A:C , 3 , FALSE) + VLOOKUP("Red", Variables!A:C , 3 , FALSE) + VLOOKUP("Yellow", Variables!A:C , 3 , FALSE),
IFERROR(SEARCH("Blue, Green, Green",P22),0) &gt; 0 , VLOOKUP("Blue", Variables!A:C , 3 , FALSE) + (VLOOKUP("Green", Variables!A:C , 3 , FALSE) * 2),
IFERROR(SEARCH("Blue, Yellow",P22),0) &gt; 0 , VLOOKUP("Blue", Variables!A:C , 3 , FALSE) + VLOOKUP("Yellow", Variables!A:C , 3 , FALSE),
IFERROR(SEARCH("Blue, Red",P22),0) &gt; 0 , VLOOKUP("Blue", Variables!A:C , 3 , FALSE) + VLOOKUP("Red", Variables!A:C , 3 , FALSE),
IFERROR(SEARCH("Blue, Green",P22),0) &gt; 0 , VLOOKUP("Blue", Variables!A:C , 3 , FALSE) + VLOOKUP("Green", Variables!A:C , 3 , FALSE),
IFERROR(SEARCH("Green",P22),0) &gt; 0 , VLOOKUP("Green", Variables!A:C , 3 , FALSE),
IFERROR(SEARCH("Blue",P22),0) &gt; 0 , VLOOKUP("Blue", Variables!A:C , 3 , FALSE),
IFERROR(SEARCH("Yellow",P22),0) &gt; 0 , VLOOKUP("Yellow", Variables!A:C , 3 , FALSE),
IFERROR(SEARCH("Black, Black",P22),0) &gt; 0 , VLOOKUP("Black", Variables!A:C , 3 , FALSE) * 2,
IFERROR(SEARCH("Grey, Grey",P22),0) &gt; 0 , VLOOKUP("Grey", Variables!A:C , 3 , FALSE) * 2,
IFERROR(SEARCH("Grey, Brown",P22),0) &gt; 0 , VLOOKUP("Grey", Variables!A:C , 3 , FALSE)  + VLOOKUP("Brown", Variables!A:C , 3 , FALSE),
IFERROR(SEARCH("Black, Grey",P22),0) &gt; 0 , VLOOKUP("Black", Variables!A:C , 3 , FALSE) + VLOOKUP("Grey", Variables!A:C , 3 , FALSE),
IFERROR(SEARCH("Black, Brown",P22),0) &gt; 0 , VLOOKUP("Black", Variables!A:C , 3 , FALSE) + VLOOKUP("Brown", Variables!A:C , 3 , FALSE),
IFERROR(SEARCH("Black",P22),0) &gt; 0 , VLOOKUP("Black", Variables!A:C , 3 , FALSE),
IFERROR(SEARCH("Grey",P22),0) &gt; 0 , VLOOKUP("Grey", Variables!A:C , 3 , FALSE),
IFERROR(SEARCH("Brown",P22),0) &gt; 0 , VLOOKUP("Brown", Variables!A:C , 3 , FALSE),
0=0,0)
,
)</f>
        <v>1</v>
      </c>
      <c r="AD22" s="343">
        <f t="shared" ref="AD22:AD24" si="5">SUM(
IF(ISBLANK(V22),,IF(IFERROR(SEARCH("SS:",V22),0) &gt; 0, 2, 1)),
IF(ISBLANK(X22),,IF(IFERROR(SEARCH("SS:",X22),0) &gt; 0, 2, 1)),
IF(ISBLANK(Z22),,IF(IFERROR(SEARCH("SS:",Z22),0) &gt; 0, 2, 1)),
)</f>
        <v>2</v>
      </c>
      <c r="AE22" s="345">
        <f t="shared" ref="AE22:AE24" si="6">SUM(Q22,S22,U22,AB22)</f>
        <v>17.125</v>
      </c>
      <c r="AF22" s="383"/>
    </row>
    <row r="23" ht="15.75" customHeight="1">
      <c r="A23" s="509" t="s">
        <v>2702</v>
      </c>
      <c r="B23" s="510">
        <v>1.0</v>
      </c>
      <c r="C23" s="510">
        <v>1.0</v>
      </c>
      <c r="D23" s="511" t="s">
        <v>1861</v>
      </c>
      <c r="E23" s="512" t="s">
        <v>2703</v>
      </c>
      <c r="F23" s="513">
        <v>3.0</v>
      </c>
      <c r="G23" s="514">
        <v>8.0</v>
      </c>
      <c r="H23" s="515" t="s">
        <v>1663</v>
      </c>
      <c r="I23" s="513">
        <v>3.0</v>
      </c>
      <c r="J23" s="514">
        <v>10.0</v>
      </c>
      <c r="K23" s="515" t="s">
        <v>1663</v>
      </c>
      <c r="L23" s="513">
        <v>3.0</v>
      </c>
      <c r="M23" s="514">
        <v>12.0</v>
      </c>
      <c r="N23" s="515" t="s">
        <v>1671</v>
      </c>
      <c r="O23" s="343" t="s">
        <v>1567</v>
      </c>
      <c r="P23" s="343" t="s">
        <v>1548</v>
      </c>
      <c r="Q23" s="342">
        <f>IFS(
IFERROR(SEARCH("Blue, Yellow, Yellow, Green",P23),0) &gt; 0 , VLOOKUP("Blue", Variables!A:C , 2 , FALSE) + (VLOOKUP("Yellow", Variables!A:C , 2 , FALSE) * 2) + VLOOKUP("Green", Variables!A:C , 2 , FALSE),
IFERROR(SEARCH("Blue, Red, Yellow, Green",P23),0) &gt; 0 , VLOOKUP("Blue", Variables!A:C , 2 , FALSE) + VLOOKUP("Red", Variables!A:C , 2 , FALSE) + (VLOOKUP("Yellow", Variables!A:C , 2 , FALSE) * 2) + VLOOKUP("Green", Variables!A:C , 2 , FALSE),
IFERROR(SEARCH("Blue, Yellow, Green, Green",P23),0) &gt; 0 , VLOOKUP("Blue", Variables!A:C , 2 , FALSE) + VLOOKUP("Yellow", Variables!A:C , 2 , FALSE)  + (VLOOKUP("Green", Variables!A:C , 2 , FALSE) * 2),
IFERROR(SEARCH("Blue, Red, Yellow, Yellow",P23),0) &gt; 0 , VLOOKUP("Blue", Variables!A:C , 2 , FALSE) + VLOOKUP("Yellow", Variables!A:C , 2 , FALSE) * 2  + (VLOOKUP("Red", Variables!A:C , 2 , FALSE) * 2),
IFERROR(SEARCH("Blue, Red, Red",P23),0) &gt; 0 , VLOOKUP("Blue", Variables!A:C , 2 , FALSE) + VLOOKUP("Red", Variables!A:C , 2 , FALSE) * 2,
IFERROR(SEARCH("Blue, Yellow, Yellow",P23),0) &gt; 0 , VLOOKUP("Blue", Variables!A:C , 2 , FALSE) + (VLOOKUP("Yellow", Variables!A:C , 2 , FALSE) * 2),
IFERROR(SEARCH("Blue, Yellow, Green",P23),0) &gt; 0 , VLOOKUP("Blue", Variables!A:C , 2 , FALSE) + VLOOKUP("Yellow", Variables!A:C , 2 , FALSE) + VLOOKUP("Green", Variables!A:C , 2 , FALSE),
IFERROR(SEARCH("Blue, Red, Green",P23),0) &gt; 0 , VLOOKUP("Blue", Variables!A:C , 2 , FALSE) + VLOOKUP("Red", Variables!A:C , 2 , FALSE) + VLOOKUP("Green", Variables!A:C , 2 , FALSE),
IFERROR(SEARCH("Blue, Red, Yellow",P23),0) &gt; 0 , VLOOKUP("Blue", Variables!A:C , 2 , FALSE) + VLOOKUP("Red", Variables!A:C , 2 , FALSE) + VLOOKUP("Yellow", Variables!A:C , 2 , FALSE),
IFERROR(SEARCH("Blue, Green, Green",P23),0) &gt; 0 , VLOOKUP("Blue", Variables!A:C , 2 , FALSE) + (VLOOKUP("Green", Variables!A:C , 2 , FALSE) * 2),
IFERROR(SEARCH("Blue, Yellow",P23),0) &gt; 0 , VLOOKUP("Blue", Variables!A:C , 2 , FALSE) + VLOOKUP("Yellow", Variables!A:C , 2 , FALSE),
IFERROR(SEARCH("Blue, Red",P23),0) &gt; 0 , VLOOKUP("Blue", Variables!A:C , 2 , FALSE) + VLOOKUP("Red", Variables!A:C , 2 , FALSE),
IFERROR(SEARCH("Blue, Green",P23),0) &gt; 0 , VLOOKUP("Blue", Variables!A:C , 2 , FALSE) + VLOOKUP("Green", Variables!A:C , 2 , FALSE),
IFERROR(SEARCH("Green",P23),0) &gt; 0 , VLOOKUP("Green", Variables!A:C , 2 , FALSE),
IFERROR(SEARCH("Blue",P23),0) &gt; 0 , VLOOKUP("Blue", Variables!A:C , 2 , FALSE),
IFERROR(SEARCH("Yellow",P23),0) &gt; 0 , VLOOKUP("Yellow", Variables!A:C , 2 , FALSE),
IFERROR(SEARCH("Black, Black",P23),0) &gt; 0 , VLOOKUP("Black", Variables!A:C , 2, FALSE) * 2,
IFERROR(SEARCH("Grey, Grey",P23),0) &gt; 0 , VLOOKUP("Grey", Variables!A:C , 2, FALSE) * 2,
IFERROR(SEARCH("Grey, Brown",P23),0) &gt; 0 , VLOOKUP("Grey", Variables!A:C , 2, FALSE)  + VLOOKUP("Brown", Variables!A:C , 2, FALSE),
IFERROR(SEARCH("Black, Grey",P23),0) &gt; 0 , VLOOKUP("Black", Variables!A:C , 2, FALSE) + VLOOKUP("Grey", Variables!A:C , 2, FALSE),
IFERROR(SEARCH("Black, Brown",P23),0) &gt; 0 , VLOOKUP("Black", Variables!A:C , 2, FALSE) + VLOOKUP("Brown", Variables!A:C , 2, FALSE),
IFERROR(SEARCH("Black",P23),0) &gt; 0 , VLOOKUP("Black", Variables!A:C , 2, FALSE),
IFERROR(SEARCH("Grey",P23),0) &gt; 0 , VLOOKUP("Grey", Variables!A:C , 2, FALSE),
IFERROR(SEARCH("Brown",P23),0) &gt; 0 , VLOOKUP("Brown", Variables!A:C , 2, FALSE),
0=0,0)
+
IF(O23 ="Ranged", 1 , 0)</f>
        <v>3.333333333</v>
      </c>
      <c r="R23" s="343"/>
      <c r="S23" s="342" t="str">
        <f>IFERROR(__xludf.DUMMYFUNCTION("IF(ISBLANK(R23), , 
SWITCH(
LEN(R23)- LEN(SUBSTITUTE(R23,"","","""")), 
0 , VLOOKUP(R23, vote4TRAITS!A:C , 3, FALSE),
1 , VLOOKUP(index(split(R23 ,"", "", FALSE),1,1), vote4TRAITS!A:C , 3, FALSE) + VLOOKUP(index(split(R23 ,"", "", FALSE),1,2), vote4TRAITS"&amp;"!A:C , 3, FALSE),
2 , VLOOKUP(index(split(R23 ,"", "", FALSE),1,1), vote4TRAITS!A:C , 3, FALSE) + VLOOKUP(index(split(R23 ,"", "", FALSE),1,2), vote4TRAITS!A:C , 3, FALSE) + VLOOKUP(index(split(R23 ,"", "", FALSE),1,3), vote4TRAITS!A:C , 3, FALSE)
)
)"),"")</f>
        <v/>
      </c>
      <c r="T23" s="343" t="s">
        <v>1345</v>
      </c>
      <c r="U23" s="343">
        <f>IFERROR(__xludf.DUMMYFUNCTION("IF(ISBLANK(T23), , 
SWITCH(
LEN(T23)- LEN(SUBSTITUTE(T23,"","","""")), 
0 , VLOOKUP(T23, vote4ACTIONS!A:C , 3, FALSE),
1 , VLOOKUP(index(split(T23 ,"", "", FALSE),1,1), vote4ACTIONS!A:C , 3, FALSE) + VLOOKUP(index(split(T23 ,"", "", FALSE),1,2), vote4ACTI"&amp;"ONS!A:C , 3, FALSE),
2 , VLOOKUP(index(split(T23 ,"", "", FALSE),1,1), vote4ACTIONS!A:C , 3, FALSE) + VLOOKUP(index(split(T23 ,"", "", FALSE),1,2), vote4ACTIONS!A:C , 3, FALSE) + VLOOKUP(index(split(T23 ,"", "", FALSE),1,3), vote4ACTIONS!A:C , 3, FALSE)
)"&amp;"
)"),2.0)</f>
        <v>2</v>
      </c>
      <c r="V23" s="343" t="s">
        <v>1534</v>
      </c>
      <c r="W23" s="517">
        <f>IF(ISBLANK(V23),,IF(IFERROR(SEARCH("SS:",V23),0) &gt; 0, 
VLOOKUP(SUBSTITUTE(V23,"SS: ",""),vote4SURGE!$A:$C , 3, FALSE) - 2,
VLOOKUP(SUBSTITUTE(V23,"S: ",""),vote4SURGE!$A:$C , 3, FALSE)
)
)</f>
        <v>4.25</v>
      </c>
      <c r="X23" s="343" t="s">
        <v>2704</v>
      </c>
      <c r="Y23" s="517">
        <f>IF(ISBLANK(X23),,IF(IFERROR(SEARCH("SS:",X23),0) &gt; 0, 
VLOOKUP(SUBSTITUTE(X23,"SS: ",""),vote4SURGE!$A:$C , 3, FALSE) - 2,
VLOOKUP(SUBSTITUTE(X23,"S: ",""),vote4SURGE!$A:$C , 3, FALSE)
)
)</f>
        <v>2</v>
      </c>
      <c r="Z23" s="343"/>
      <c r="AA23" s="343" t="str">
        <f>IF(ISBLANK(Z23),,IF(IFERROR(SEARCH("SS:",Z23),0) &gt; 0, 
VLOOKUP(SUBSTITUTE(Z23,"SS: ",""),vote4SURGE!$A:$C , 3, FALSE) - 2,
VLOOKUP(SUBSTITUTE(Z23,"S: ",""),vote4SURGE!$A:$C , 3, FALSE)
)
)</f>
        <v/>
      </c>
      <c r="AB23" s="517">
        <f t="shared" si="4"/>
        <v>4.916666667</v>
      </c>
      <c r="AC23" s="343">
        <f>ROUND(IFS(
IFERROR(SEARCH("Blue, Yellow, Yellow, Green",P23),0) &gt; 0 , VLOOKUP("Blue", Variables!A:C , 3 , FALSE) + (VLOOKUP("Yellow", Variables!A:C , 3 , FALSE) * 2) + VLOOKUP("Green", Variables!A:C , 3 , FALSE),
IFERROR(SEARCH("Blue, Yellow, Green, Green",P23),0) &gt; 0 , VLOOKUP("Blue", Variables!A:C , 3 , FALSE) + VLOOKUP("Yellow", Variables!A:C , 3 , FALSE)  + (VLOOKUP("Green", Variables!A:C , 3 , FALSE) * 2),
IFERROR(SEARCH("Blue, Red, Red",P23),0) &gt; 0 , VLOOKUP("Blue", Variables!A:C , 3 , FALSE) + VLOOKUP("Red", Variables!A:C , 3 , FALSE) * 2,
IFERROR(SEARCH("Blue, Yellow, Yellow",P23),0) &gt; 0 , VLOOKUP("Blue", Variables!A:C , 3 , FALSE) + (VLOOKUP("Yellow", Variables!A:C , 3 , FALSE) * 2),
IFERROR(SEARCH("Blue, Yellow, Green",P23),0) &gt; 0 , VLOOKUP("Blue", Variables!A:C , 3 , FALSE) + VLOOKUP("Yellow", Variables!A:C , 3 , FALSE) + VLOOKUP("Green", Variables!A:C , 3 , FALSE),
IFERROR(SEARCH("Blue, Red, Green",P23),0) &gt; 0 , VLOOKUP("Blue", Variables!A:C , 3 , FALSE) + VLOOKUP("Red", Variables!A:C , 3 , FALSE) + VLOOKUP("Green", Variables!A:C , 3 , FALSE),
IFERROR(SEARCH("Blue, Red, Yellow",P23),0) &gt; 0 , VLOOKUP("Blue", Variables!A:C , 3 , FALSE) + VLOOKUP("Red", Variables!A:C , 3 , FALSE) + VLOOKUP("Yellow", Variables!A:C , 3 , FALSE),
IFERROR(SEARCH("Blue, Green, Green",P23),0) &gt; 0 , VLOOKUP("Blue", Variables!A:C , 3 , FALSE) + (VLOOKUP("Green", Variables!A:C , 3 , FALSE) * 2),
IFERROR(SEARCH("Blue, Yellow",P23),0) &gt; 0 , VLOOKUP("Blue", Variables!A:C , 3 , FALSE) + VLOOKUP("Yellow", Variables!A:C , 3 , FALSE),
IFERROR(SEARCH("Blue, Red",P23),0) &gt; 0 , VLOOKUP("Blue", Variables!A:C , 3 , FALSE) + VLOOKUP("Red", Variables!A:C , 3 , FALSE),
IFERROR(SEARCH("Blue, Green",P23),0) &gt; 0 , VLOOKUP("Blue", Variables!A:C , 3 , FALSE) + VLOOKUP("Green", Variables!A:C , 3 , FALSE),
IFERROR(SEARCH("Green",P23),0) &gt; 0 , VLOOKUP("Green", Variables!A:C , 3 , FALSE),
IFERROR(SEARCH("Blue",P23),0) &gt; 0 , VLOOKUP("Blue", Variables!A:C , 3 , FALSE),
IFERROR(SEARCH("Yellow",P23),0) &gt; 0 , VLOOKUP("Yellow", Variables!A:C , 3 , FALSE),
IFERROR(SEARCH("Black, Black",P23),0) &gt; 0 , VLOOKUP("Black", Variables!A:C , 3 , FALSE) * 2,
IFERROR(SEARCH("Grey, Grey",P23),0) &gt; 0 , VLOOKUP("Grey", Variables!A:C , 3 , FALSE) * 2,
IFERROR(SEARCH("Grey, Brown",P23),0) &gt; 0 , VLOOKUP("Grey", Variables!A:C , 3 , FALSE)  + VLOOKUP("Brown", Variables!A:C , 3 , FALSE),
IFERROR(SEARCH("Black, Grey",P23),0) &gt; 0 , VLOOKUP("Black", Variables!A:C , 3 , FALSE) + VLOOKUP("Grey", Variables!A:C , 3 , FALSE),
IFERROR(SEARCH("Black, Brown",P23),0) &gt; 0 , VLOOKUP("Black", Variables!A:C , 3 , FALSE) + VLOOKUP("Brown", Variables!A:C , 3 , FALSE),
IFERROR(SEARCH("Black",P23),0) &gt; 0 , VLOOKUP("Black", Variables!A:C , 3 , FALSE),
IFERROR(SEARCH("Grey",P23),0) &gt; 0 , VLOOKUP("Grey", Variables!A:C , 3 , FALSE),
IFERROR(SEARCH("Brown",P23),0) &gt; 0 , VLOOKUP("Brown", Variables!A:C , 3 , FALSE),
0=0,0)
,
)</f>
        <v>1</v>
      </c>
      <c r="AD23" s="343">
        <f t="shared" si="5"/>
        <v>3</v>
      </c>
      <c r="AE23" s="345">
        <f t="shared" si="6"/>
        <v>10.25</v>
      </c>
      <c r="AF23" s="383"/>
    </row>
    <row r="24" ht="15.75" customHeight="1">
      <c r="A24" s="509" t="s">
        <v>2702</v>
      </c>
      <c r="B24" s="380">
        <v>2.0</v>
      </c>
      <c r="C24" s="380">
        <v>1.0</v>
      </c>
      <c r="D24" s="511" t="s">
        <v>1861</v>
      </c>
      <c r="E24" s="512" t="s">
        <v>2703</v>
      </c>
      <c r="F24" s="513">
        <v>3.0</v>
      </c>
      <c r="G24" s="514">
        <v>12.0</v>
      </c>
      <c r="H24" s="340" t="s">
        <v>1671</v>
      </c>
      <c r="I24" s="513">
        <v>3.0</v>
      </c>
      <c r="J24" s="514">
        <v>14.0</v>
      </c>
      <c r="K24" s="515" t="s">
        <v>2590</v>
      </c>
      <c r="L24" s="513">
        <v>3.0</v>
      </c>
      <c r="M24" s="514">
        <v>17.0</v>
      </c>
      <c r="N24" s="515" t="s">
        <v>2590</v>
      </c>
      <c r="O24" s="343" t="s">
        <v>1567</v>
      </c>
      <c r="P24" s="343" t="s">
        <v>1546</v>
      </c>
      <c r="Q24" s="342">
        <f>IFS(
IFERROR(SEARCH("Blue, Yellow, Yellow, Green",P24),0) &gt; 0 , VLOOKUP("Blue", Variables!A:C , 2 , FALSE) + (VLOOKUP("Yellow", Variables!A:C , 2 , FALSE) * 2) + VLOOKUP("Green", Variables!A:C , 2 , FALSE),
IFERROR(SEARCH("Blue, Red, Yellow, Green",P24),0) &gt; 0 , VLOOKUP("Blue", Variables!A:C , 2 , FALSE) + VLOOKUP("Red", Variables!A:C , 2 , FALSE) + (VLOOKUP("Yellow", Variables!A:C , 2 , FALSE) * 2) + VLOOKUP("Green", Variables!A:C , 2 , FALSE),
IFERROR(SEARCH("Blue, Yellow, Green, Green",P24),0) &gt; 0 , VLOOKUP("Blue", Variables!A:C , 2 , FALSE) + VLOOKUP("Yellow", Variables!A:C , 2 , FALSE)  + (VLOOKUP("Green", Variables!A:C , 2 , FALSE) * 2),
IFERROR(SEARCH("Blue, Red, Yellow, Yellow",P24),0) &gt; 0 , VLOOKUP("Blue", Variables!A:C , 2 , FALSE) + VLOOKUP("Yellow", Variables!A:C , 2 , FALSE) * 2  + (VLOOKUP("Red", Variables!A:C , 2 , FALSE) * 2),
IFERROR(SEARCH("Blue, Red, Red",P24),0) &gt; 0 , VLOOKUP("Blue", Variables!A:C , 2 , FALSE) + VLOOKUP("Red", Variables!A:C , 2 , FALSE) * 2,
IFERROR(SEARCH("Blue, Yellow, Yellow",P24),0) &gt; 0 , VLOOKUP("Blue", Variables!A:C , 2 , FALSE) + (VLOOKUP("Yellow", Variables!A:C , 2 , FALSE) * 2),
IFERROR(SEARCH("Blue, Yellow, Green",P24),0) &gt; 0 , VLOOKUP("Blue", Variables!A:C , 2 , FALSE) + VLOOKUP("Yellow", Variables!A:C , 2 , FALSE) + VLOOKUP("Green", Variables!A:C , 2 , FALSE),
IFERROR(SEARCH("Blue, Red, Green",P24),0) &gt; 0 , VLOOKUP("Blue", Variables!A:C , 2 , FALSE) + VLOOKUP("Red", Variables!A:C , 2 , FALSE) + VLOOKUP("Green", Variables!A:C , 2 , FALSE),
IFERROR(SEARCH("Blue, Red, Yellow",P24),0) &gt; 0 , VLOOKUP("Blue", Variables!A:C , 2 , FALSE) + VLOOKUP("Red", Variables!A:C , 2 , FALSE) + VLOOKUP("Yellow", Variables!A:C , 2 , FALSE),
IFERROR(SEARCH("Blue, Green, Green",P24),0) &gt; 0 , VLOOKUP("Blue", Variables!A:C , 2 , FALSE) + (VLOOKUP("Green", Variables!A:C , 2 , FALSE) * 2),
IFERROR(SEARCH("Blue, Yellow",P24),0) &gt; 0 , VLOOKUP("Blue", Variables!A:C , 2 , FALSE) + VLOOKUP("Yellow", Variables!A:C , 2 , FALSE),
IFERROR(SEARCH("Blue, Red",P24),0) &gt; 0 , VLOOKUP("Blue", Variables!A:C , 2 , FALSE) + VLOOKUP("Red", Variables!A:C , 2 , FALSE),
IFERROR(SEARCH("Blue, Green",P24),0) &gt; 0 , VLOOKUP("Blue", Variables!A:C , 2 , FALSE) + VLOOKUP("Green", Variables!A:C , 2 , FALSE),
IFERROR(SEARCH("Green",P24),0) &gt; 0 , VLOOKUP("Green", Variables!A:C , 2 , FALSE),
IFERROR(SEARCH("Blue",P24),0) &gt; 0 , VLOOKUP("Blue", Variables!A:C , 2 , FALSE),
IFERROR(SEARCH("Yellow",P24),0) &gt; 0 , VLOOKUP("Yellow", Variables!A:C , 2 , FALSE),
IFERROR(SEARCH("Black, Black",P24),0) &gt; 0 , VLOOKUP("Black", Variables!A:C , 2, FALSE) * 2,
IFERROR(SEARCH("Grey, Grey",P24),0) &gt; 0 , VLOOKUP("Grey", Variables!A:C , 2, FALSE) * 2,
IFERROR(SEARCH("Grey, Brown",P24),0) &gt; 0 , VLOOKUP("Grey", Variables!A:C , 2, FALSE)  + VLOOKUP("Brown", Variables!A:C , 2, FALSE),
IFERROR(SEARCH("Black, Grey",P24),0) &gt; 0 , VLOOKUP("Black", Variables!A:C , 2, FALSE) + VLOOKUP("Grey", Variables!A:C , 2, FALSE),
IFERROR(SEARCH("Black, Brown",P24),0) &gt; 0 , VLOOKUP("Black", Variables!A:C , 2, FALSE) + VLOOKUP("Brown", Variables!A:C , 2, FALSE),
IFERROR(SEARCH("Black",P24),0) &gt; 0 , VLOOKUP("Black", Variables!A:C , 2, FALSE),
IFERROR(SEARCH("Grey",P24),0) &gt; 0 , VLOOKUP("Grey", Variables!A:C , 2, FALSE),
IFERROR(SEARCH("Brown",P24),0) &gt; 0 , VLOOKUP("Brown", Variables!A:C , 2, FALSE),
0=0,0)
+
IF(O24 ="Ranged", 1 , 0)</f>
        <v>4.5</v>
      </c>
      <c r="R24" s="343" t="s">
        <v>1083</v>
      </c>
      <c r="S24" s="342">
        <f>IFERROR(__xludf.DUMMYFUNCTION("IF(ISBLANK(R24), , 
SWITCH(
LEN(R24)- LEN(SUBSTITUTE(R24,"","","""")), 
0 , VLOOKUP(R24, vote4TRAITS!A:C , 3, FALSE),
1 , VLOOKUP(index(split(R24 ,"", "", FALSE),1,1), vote4TRAITS!A:C , 3, FALSE) + VLOOKUP(index(split(R24 ,"", "", FALSE),1,2), vote4TRAITS"&amp;"!A:C , 3, FALSE),
2 , VLOOKUP(index(split(R24 ,"", "", FALSE),1,1), vote4TRAITS!A:C , 3, FALSE) + VLOOKUP(index(split(R24 ,"", "", FALSE),1,2), vote4TRAITS!A:C , 3, FALSE) + VLOOKUP(index(split(R24 ,"", "", FALSE),1,3), vote4TRAITS!A:C , 3, FALSE)
)
)"),5.0)</f>
        <v>5</v>
      </c>
      <c r="T24" s="343" t="s">
        <v>1345</v>
      </c>
      <c r="U24" s="343">
        <f>IFERROR(__xludf.DUMMYFUNCTION("IF(ISBLANK(T24), , 
SWITCH(
LEN(T24)- LEN(SUBSTITUTE(T24,"","","""")), 
0 , VLOOKUP(T24, vote4ACTIONS!A:C , 3, FALSE),
1 , VLOOKUP(index(split(T24 ,"", "", FALSE),1,1), vote4ACTIONS!A:C , 3, FALSE) + VLOOKUP(index(split(T24 ,"", "", FALSE),1,2), vote4ACTI"&amp;"ONS!A:C , 3, FALSE),
2 , VLOOKUP(index(split(T24 ,"", "", FALSE),1,1), vote4ACTIONS!A:C , 3, FALSE) + VLOOKUP(index(split(T24 ,"", "", FALSE),1,2), vote4ACTIONS!A:C , 3, FALSE) + VLOOKUP(index(split(T24 ,"", "", FALSE),1,3), vote4ACTIONS!A:C , 3, FALSE)
)"&amp;"
)"),2.0)</f>
        <v>2</v>
      </c>
      <c r="V24" s="343" t="s">
        <v>1534</v>
      </c>
      <c r="W24" s="517">
        <f>IF(ISBLANK(V24),,IF(IFERROR(SEARCH("SS:",V24),0) &gt; 0, 
VLOOKUP(SUBSTITUTE(V24,"SS: ",""),vote4SURGE!$A:$C , 3, FALSE) - 2,
VLOOKUP(SUBSTITUTE(V24,"S: ",""),vote4SURGE!$A:$C , 3, FALSE)
)
)</f>
        <v>4.25</v>
      </c>
      <c r="X24" s="343" t="s">
        <v>2704</v>
      </c>
      <c r="Y24" s="517">
        <f>IF(ISBLANK(X24),,IF(IFERROR(SEARCH("SS:",X24),0) &gt; 0, 
VLOOKUP(SUBSTITUTE(X24,"SS: ",""),vote4SURGE!$A:$C , 3, FALSE) - 2,
VLOOKUP(SUBSTITUTE(X24,"S: ",""),vote4SURGE!$A:$C , 3, FALSE)
)
)</f>
        <v>2</v>
      </c>
      <c r="Z24" s="343"/>
      <c r="AA24" s="343" t="str">
        <f>IF(ISBLANK(Z24),,IF(IFERROR(SEARCH("SS:",Z24),0) &gt; 0, 
VLOOKUP(SUBSTITUTE(Z24,"SS: ",""),vote4SURGE!$A:$C , 3, FALSE) - 2,
VLOOKUP(SUBSTITUTE(Z24,"S: ",""),vote4SURGE!$A:$C , 3, FALSE)
)
)</f>
        <v/>
      </c>
      <c r="AB24" s="517">
        <f t="shared" si="4"/>
        <v>4.916666667</v>
      </c>
      <c r="AC24" s="343">
        <f>ROUND(IFS(
IFERROR(SEARCH("Blue, Yellow, Yellow, Green",P24),0) &gt; 0 , VLOOKUP("Blue", Variables!A:C , 3 , FALSE) + (VLOOKUP("Yellow", Variables!A:C , 3 , FALSE) * 2) + VLOOKUP("Green", Variables!A:C , 3 , FALSE),
IFERROR(SEARCH("Blue, Yellow, Green, Green",P24),0) &gt; 0 , VLOOKUP("Blue", Variables!A:C , 3 , FALSE) + VLOOKUP("Yellow", Variables!A:C , 3 , FALSE)  + (VLOOKUP("Green", Variables!A:C , 3 , FALSE) * 2),
IFERROR(SEARCH("Blue, Red, Red",P24),0) &gt; 0 , VLOOKUP("Blue", Variables!A:C , 3 , FALSE) + VLOOKUP("Red", Variables!A:C , 3 , FALSE) * 2,
IFERROR(SEARCH("Blue, Yellow, Yellow",P24),0) &gt; 0 , VLOOKUP("Blue", Variables!A:C , 3 , FALSE) + (VLOOKUP("Yellow", Variables!A:C , 3 , FALSE) * 2),
IFERROR(SEARCH("Blue, Yellow, Green",P24),0) &gt; 0 , VLOOKUP("Blue", Variables!A:C , 3 , FALSE) + VLOOKUP("Yellow", Variables!A:C , 3 , FALSE) + VLOOKUP("Green", Variables!A:C , 3 , FALSE),
IFERROR(SEARCH("Blue, Red, Green",P24),0) &gt; 0 , VLOOKUP("Blue", Variables!A:C , 3 , FALSE) + VLOOKUP("Red", Variables!A:C , 3 , FALSE) + VLOOKUP("Green", Variables!A:C , 3 , FALSE),
IFERROR(SEARCH("Blue, Red, Yellow",P24),0) &gt; 0 , VLOOKUP("Blue", Variables!A:C , 3 , FALSE) + VLOOKUP("Red", Variables!A:C , 3 , FALSE) + VLOOKUP("Yellow", Variables!A:C , 3 , FALSE),
IFERROR(SEARCH("Blue, Green, Green",P24),0) &gt; 0 , VLOOKUP("Blue", Variables!A:C , 3 , FALSE) + (VLOOKUP("Green", Variables!A:C , 3 , FALSE) * 2),
IFERROR(SEARCH("Blue, Yellow",P24),0) &gt; 0 , VLOOKUP("Blue", Variables!A:C , 3 , FALSE) + VLOOKUP("Yellow", Variables!A:C , 3 , FALSE),
IFERROR(SEARCH("Blue, Red",P24),0) &gt; 0 , VLOOKUP("Blue", Variables!A:C , 3 , FALSE) + VLOOKUP("Red", Variables!A:C , 3 , FALSE),
IFERROR(SEARCH("Blue, Green",P24),0) &gt; 0 , VLOOKUP("Blue", Variables!A:C , 3 , FALSE) + VLOOKUP("Green", Variables!A:C , 3 , FALSE),
IFERROR(SEARCH("Green",P24),0) &gt; 0 , VLOOKUP("Green", Variables!A:C , 3 , FALSE),
IFERROR(SEARCH("Blue",P24),0) &gt; 0 , VLOOKUP("Blue", Variables!A:C , 3 , FALSE),
IFERROR(SEARCH("Yellow",P24),0) &gt; 0 , VLOOKUP("Yellow", Variables!A:C , 3 , FALSE),
IFERROR(SEARCH("Black, Black",P24),0) &gt; 0 , VLOOKUP("Black", Variables!A:C , 3 , FALSE) * 2,
IFERROR(SEARCH("Grey, Grey",P24),0) &gt; 0 , VLOOKUP("Grey", Variables!A:C , 3 , FALSE) * 2,
IFERROR(SEARCH("Grey, Brown",P24),0) &gt; 0 , VLOOKUP("Grey", Variables!A:C , 3 , FALSE)  + VLOOKUP("Brown", Variables!A:C , 3 , FALSE),
IFERROR(SEARCH("Black, Grey",P24),0) &gt; 0 , VLOOKUP("Black", Variables!A:C , 3 , FALSE) + VLOOKUP("Grey", Variables!A:C , 3 , FALSE),
IFERROR(SEARCH("Black, Brown",P24),0) &gt; 0 , VLOOKUP("Black", Variables!A:C , 3 , FALSE) + VLOOKUP("Brown", Variables!A:C , 3 , FALSE),
IFERROR(SEARCH("Black",P24),0) &gt; 0 , VLOOKUP("Black", Variables!A:C , 3 , FALSE),
IFERROR(SEARCH("Grey",P24),0) &gt; 0 , VLOOKUP("Grey", Variables!A:C , 3 , FALSE),
IFERROR(SEARCH("Brown",P24),0) &gt; 0 , VLOOKUP("Brown", Variables!A:C , 3 , FALSE),
0=0,0)
,
)</f>
        <v>1</v>
      </c>
      <c r="AD24" s="343">
        <f t="shared" si="5"/>
        <v>3</v>
      </c>
      <c r="AE24" s="345">
        <f t="shared" si="6"/>
        <v>16.41666667</v>
      </c>
      <c r="AF24" s="383"/>
    </row>
    <row r="25" ht="15.75" customHeight="1">
      <c r="A25" s="509" t="s">
        <v>1893</v>
      </c>
      <c r="B25" s="380">
        <v>1.0</v>
      </c>
      <c r="C25" s="380">
        <v>1.0</v>
      </c>
      <c r="D25" s="512"/>
      <c r="E25" s="512"/>
      <c r="F25" s="513">
        <v>3.0</v>
      </c>
      <c r="G25" s="514">
        <v>8.0</v>
      </c>
      <c r="H25" s="340" t="s">
        <v>1621</v>
      </c>
      <c r="I25" s="513">
        <v>3.0</v>
      </c>
      <c r="J25" s="514">
        <v>8.0</v>
      </c>
      <c r="K25" s="519" t="s">
        <v>1663</v>
      </c>
      <c r="L25" s="513">
        <v>3.0</v>
      </c>
      <c r="M25" s="514">
        <v>10.0</v>
      </c>
      <c r="N25" s="515" t="s">
        <v>1663</v>
      </c>
      <c r="O25" s="343" t="s">
        <v>1567</v>
      </c>
      <c r="P25" s="343" t="s">
        <v>1548</v>
      </c>
      <c r="Q25" s="342">
        <f>IFS(
IFERROR(SEARCH("Blue, Yellow, Yellow, Green",P25),0) &gt; 0 , VLOOKUP("Blue", Variables!A:C , 2 , FALSE) + (VLOOKUP("Yellow", Variables!A:C , 2 , FALSE) * 2) + VLOOKUP("Green", Variables!A:C , 2 , FALSE),
IFERROR(SEARCH("Blue, Red, Yellow, Green",P25),0) &gt; 0 , VLOOKUP("Blue", Variables!A:C , 2 , FALSE) + VLOOKUP("Red", Variables!A:C , 2 , FALSE) + (VLOOKUP("Yellow", Variables!A:C , 2 , FALSE) * 2) + VLOOKUP("Green", Variables!A:C , 2 , FALSE),
IFERROR(SEARCH("Blue, Yellow, Green, Green",P25),0) &gt; 0 , VLOOKUP("Blue", Variables!A:C , 2 , FALSE) + VLOOKUP("Yellow", Variables!A:C , 2 , FALSE)  + (VLOOKUP("Green", Variables!A:C , 2 , FALSE) * 2),
IFERROR(SEARCH("Blue, Red, Yellow, Yellow",P25),0) &gt; 0 , VLOOKUP("Blue", Variables!A:C , 2 , FALSE) + VLOOKUP("Yellow", Variables!A:C , 2 , FALSE) * 2  + (VLOOKUP("Red", Variables!A:C , 2 , FALSE) * 2),
IFERROR(SEARCH("Blue, Red, Red",P25),0) &gt; 0 , VLOOKUP("Blue", Variables!A:C , 2 , FALSE) + VLOOKUP("Red", Variables!A:C , 2 , FALSE) * 2,
IFERROR(SEARCH("Blue, Yellow, Yellow",P25),0) &gt; 0 , VLOOKUP("Blue", Variables!A:C , 2 , FALSE) + (VLOOKUP("Yellow", Variables!A:C , 2 , FALSE) * 2),
IFERROR(SEARCH("Blue, Yellow, Green",P25),0) &gt; 0 , VLOOKUP("Blue", Variables!A:C , 2 , FALSE) + VLOOKUP("Yellow", Variables!A:C , 2 , FALSE) + VLOOKUP("Green", Variables!A:C , 2 , FALSE),
IFERROR(SEARCH("Blue, Red, Green",P25),0) &gt; 0 , VLOOKUP("Blue", Variables!A:C , 2 , FALSE) + VLOOKUP("Red", Variables!A:C , 2 , FALSE) + VLOOKUP("Green", Variables!A:C , 2 , FALSE),
IFERROR(SEARCH("Blue, Red, Yellow",P25),0) &gt; 0 , VLOOKUP("Blue", Variables!A:C , 2 , FALSE) + VLOOKUP("Red", Variables!A:C , 2 , FALSE) + VLOOKUP("Yellow", Variables!A:C , 2 , FALSE),
IFERROR(SEARCH("Blue, Green, Green",P25),0) &gt; 0 , VLOOKUP("Blue", Variables!A:C , 2 , FALSE) + (VLOOKUP("Green", Variables!A:C , 2 , FALSE) * 2),
IFERROR(SEARCH("Blue, Yellow",P25),0) &gt; 0 , VLOOKUP("Blue", Variables!A:C , 2 , FALSE) + VLOOKUP("Yellow", Variables!A:C , 2 , FALSE),
IFERROR(SEARCH("Blue, Red",P25),0) &gt; 0 , VLOOKUP("Blue", Variables!A:C , 2 , FALSE) + VLOOKUP("Red", Variables!A:C , 2 , FALSE),
IFERROR(SEARCH("Blue, Green",P25),0) &gt; 0 , VLOOKUP("Blue", Variables!A:C , 2 , FALSE) + VLOOKUP("Green", Variables!A:C , 2 , FALSE),
IFERROR(SEARCH("Green",P25),0) &gt; 0 , VLOOKUP("Green", Variables!A:C , 2 , FALSE),
IFERROR(SEARCH("Blue",P25),0) &gt; 0 , VLOOKUP("Blue", Variables!A:C , 2 , FALSE),
IFERROR(SEARCH("Yellow",P25),0) &gt; 0 , VLOOKUP("Yellow", Variables!A:C , 2 , FALSE),
IFERROR(SEARCH("Black, Black",P25),0) &gt; 0 , VLOOKUP("Black", Variables!A:C , 2, FALSE) * 2,
IFERROR(SEARCH("Grey, Grey",P25),0) &gt; 0 , VLOOKUP("Grey", Variables!A:C , 2, FALSE) * 2,
IFERROR(SEARCH("Grey, Brown",P25),0) &gt; 0 , VLOOKUP("Grey", Variables!A:C , 2, FALSE)  + VLOOKUP("Brown", Variables!A:C , 2, FALSE),
IFERROR(SEARCH("Black, Grey",P25),0) &gt; 0 , VLOOKUP("Black", Variables!A:C , 2, FALSE) + VLOOKUP("Grey", Variables!A:C , 2, FALSE),
IFERROR(SEARCH("Black, Brown",P25),0) &gt; 0 , VLOOKUP("Black", Variables!A:C , 2, FALSE) + VLOOKUP("Brown", Variables!A:C , 2, FALSE),
IFERROR(SEARCH("Black",P25),0) &gt; 0 , VLOOKUP("Black", Variables!A:C , 2, FALSE),
IFERROR(SEARCH("Grey",P25),0) &gt; 0 , VLOOKUP("Grey", Variables!A:C , 2, FALSE),
IFERROR(SEARCH("Brown",P25),0) &gt; 0 , VLOOKUP("Brown", Variables!A:C , 2, FALSE),
0=0,0)
+
IF(O25 ="Ranged", 1 , 0)</f>
        <v>3.333333333</v>
      </c>
      <c r="R25" s="343"/>
      <c r="S25" s="342" t="str">
        <f>IFERROR(__xludf.DUMMYFUNCTION("IF(ISBLANK(R25), , 
SWITCH(
LEN(R25)- LEN(SUBSTITUTE(R25,"","","""")), 
0 , VLOOKUP(R25, vote4TRAITS!A:C , 3, FALSE),
1 , VLOOKUP(index(split(R25 ,"", "", FALSE),1,1), vote4TRAITS!A:C , 3, FALSE) + VLOOKUP(index(split(R25 ,"", "", FALSE),1,2), vote4TRAITS"&amp;"!A:C , 3, FALSE),
2 , VLOOKUP(index(split(R25 ,"", "", FALSE),1,1), vote4TRAITS!A:C , 3, FALSE) + VLOOKUP(index(split(R25 ,"", "", FALSE),1,2), vote4TRAITS!A:C , 3, FALSE) + VLOOKUP(index(split(R25 ,"", "", FALSE),1,3), vote4TRAITS!A:C , 3, FALSE)
)
)"),"")</f>
        <v/>
      </c>
      <c r="T25" s="343" t="s">
        <v>1353</v>
      </c>
      <c r="U25" s="343">
        <f>IFERROR(__xludf.DUMMYFUNCTION("IF(ISBLANK(T25), , 
SWITCH(
LEN(T25)- LEN(SUBSTITUTE(T25,"","","""")), 
0 , VLOOKUP(T25, vote4ACTIONS!A:C , 3, FALSE),
1 , VLOOKUP(index(split(T25 ,"", "", FALSE),1,1), vote4ACTIONS!A:C , 3, FALSE) + VLOOKUP(index(split(T25 ,"", "", FALSE),1,2), vote4ACTI"&amp;"ONS!A:C , 3, FALSE),
2 , VLOOKUP(index(split(T25 ,"", "", FALSE),1,1), vote4ACTIONS!A:C , 3, FALSE) + VLOOKUP(index(split(T25 ,"", "", FALSE),1,2), vote4ACTIONS!A:C , 3, FALSE) + VLOOKUP(index(split(T25 ,"", "", FALSE),1,3), vote4ACTIONS!A:C , 3, FALSE)
)"&amp;"
)"),1.5)</f>
        <v>1.5</v>
      </c>
      <c r="V25" s="343" t="s">
        <v>1534</v>
      </c>
      <c r="W25" s="517">
        <f>IF(ISBLANK(V25),,IF(IFERROR(SEARCH("SS:",V25),0) &gt; 0, 
VLOOKUP(SUBSTITUTE(V25,"SS: ",""),vote4SURGE!$A:$C , 3, FALSE) - 2,
VLOOKUP(SUBSTITUTE(V25,"S: ",""),vote4SURGE!$A:$C , 3, FALSE)
)
)</f>
        <v>4.25</v>
      </c>
      <c r="X25" s="343" t="s">
        <v>2739</v>
      </c>
      <c r="Y25" s="343"/>
      <c r="Z25" s="343"/>
      <c r="AA25" s="343"/>
      <c r="AB25" s="343"/>
      <c r="AC25" s="343"/>
      <c r="AD25" s="343"/>
      <c r="AE25" s="345"/>
      <c r="AF25" s="383"/>
    </row>
    <row r="26" ht="15.75" customHeight="1">
      <c r="A26" s="509" t="s">
        <v>1893</v>
      </c>
      <c r="B26" s="380">
        <v>2.0</v>
      </c>
      <c r="C26" s="380">
        <v>1.0</v>
      </c>
      <c r="D26" s="511" t="s">
        <v>1827</v>
      </c>
      <c r="E26" s="512" t="s">
        <v>2706</v>
      </c>
      <c r="F26" s="513">
        <v>3.0</v>
      </c>
      <c r="G26" s="514">
        <v>8.0</v>
      </c>
      <c r="H26" s="515" t="s">
        <v>1621</v>
      </c>
      <c r="I26" s="513">
        <v>3.0</v>
      </c>
      <c r="J26" s="514">
        <v>8.0</v>
      </c>
      <c r="K26" s="519" t="s">
        <v>1663</v>
      </c>
      <c r="L26" s="513">
        <v>3.0</v>
      </c>
      <c r="M26" s="514">
        <v>10.0</v>
      </c>
      <c r="N26" s="515" t="s">
        <v>1663</v>
      </c>
      <c r="O26" s="343" t="s">
        <v>1567</v>
      </c>
      <c r="P26" s="343" t="s">
        <v>1537</v>
      </c>
      <c r="Q26" s="342">
        <f>IFS(
IFERROR(SEARCH("Blue, Yellow, Yellow, Green",P26),0) &gt; 0 , VLOOKUP("Blue", Variables!A:C , 2 , FALSE) + (VLOOKUP("Yellow", Variables!A:C , 2 , FALSE) * 2) + VLOOKUP("Green", Variables!A:C , 2 , FALSE),
IFERROR(SEARCH("Blue, Red, Yellow, Green",P26),0) &gt; 0 , VLOOKUP("Blue", Variables!A:C , 2 , FALSE) + VLOOKUP("Red", Variables!A:C , 2 , FALSE) + (VLOOKUP("Yellow", Variables!A:C , 2 , FALSE) * 2) + VLOOKUP("Green", Variables!A:C , 2 , FALSE),
IFERROR(SEARCH("Blue, Yellow, Green, Green",P26),0) &gt; 0 , VLOOKUP("Blue", Variables!A:C , 2 , FALSE) + VLOOKUP("Yellow", Variables!A:C , 2 , FALSE)  + (VLOOKUP("Green", Variables!A:C , 2 , FALSE) * 2),
IFERROR(SEARCH("Blue, Red, Yellow, Yellow",P26),0) &gt; 0 , VLOOKUP("Blue", Variables!A:C , 2 , FALSE) + VLOOKUP("Yellow", Variables!A:C , 2 , FALSE) * 2  + (VLOOKUP("Red", Variables!A:C , 2 , FALSE) * 2),
IFERROR(SEARCH("Blue, Red, Red",P26),0) &gt; 0 , VLOOKUP("Blue", Variables!A:C , 2 , FALSE) + VLOOKUP("Red", Variables!A:C , 2 , FALSE) * 2,
IFERROR(SEARCH("Blue, Yellow, Yellow",P26),0) &gt; 0 , VLOOKUP("Blue", Variables!A:C , 2 , FALSE) + (VLOOKUP("Yellow", Variables!A:C , 2 , FALSE) * 2),
IFERROR(SEARCH("Blue, Yellow, Green",P26),0) &gt; 0 , VLOOKUP("Blue", Variables!A:C , 2 , FALSE) + VLOOKUP("Yellow", Variables!A:C , 2 , FALSE) + VLOOKUP("Green", Variables!A:C , 2 , FALSE),
IFERROR(SEARCH("Blue, Red, Green",P26),0) &gt; 0 , VLOOKUP("Blue", Variables!A:C , 2 , FALSE) + VLOOKUP("Red", Variables!A:C , 2 , FALSE) + VLOOKUP("Green", Variables!A:C , 2 , FALSE),
IFERROR(SEARCH("Blue, Red, Yellow",P26),0) &gt; 0 , VLOOKUP("Blue", Variables!A:C , 2 , FALSE) + VLOOKUP("Red", Variables!A:C , 2 , FALSE) + VLOOKUP("Yellow", Variables!A:C , 2 , FALSE),
IFERROR(SEARCH("Blue, Green, Green",P26),0) &gt; 0 , VLOOKUP("Blue", Variables!A:C , 2 , FALSE) + (VLOOKUP("Green", Variables!A:C , 2 , FALSE) * 2),
IFERROR(SEARCH("Blue, Yellow",P26),0) &gt; 0 , VLOOKUP("Blue", Variables!A:C , 2 , FALSE) + VLOOKUP("Yellow", Variables!A:C , 2 , FALSE),
IFERROR(SEARCH("Blue, Red",P26),0) &gt; 0 , VLOOKUP("Blue", Variables!A:C , 2 , FALSE) + VLOOKUP("Red", Variables!A:C , 2 , FALSE),
IFERROR(SEARCH("Blue, Green",P26),0) &gt; 0 , VLOOKUP("Blue", Variables!A:C , 2 , FALSE) + VLOOKUP("Green", Variables!A:C , 2 , FALSE),
IFERROR(SEARCH("Green",P26),0) &gt; 0 , VLOOKUP("Green", Variables!A:C , 2 , FALSE),
IFERROR(SEARCH("Blue",P26),0) &gt; 0 , VLOOKUP("Blue", Variables!A:C , 2 , FALSE),
IFERROR(SEARCH("Yellow",P26),0) &gt; 0 , VLOOKUP("Yellow", Variables!A:C , 2 , FALSE),
IFERROR(SEARCH("Black, Black",P26),0) &gt; 0 , VLOOKUP("Black", Variables!A:C , 2, FALSE) * 2,
IFERROR(SEARCH("Grey, Grey",P26),0) &gt; 0 , VLOOKUP("Grey", Variables!A:C , 2, FALSE) * 2,
IFERROR(SEARCH("Grey, Brown",P26),0) &gt; 0 , VLOOKUP("Grey", Variables!A:C , 2, FALSE)  + VLOOKUP("Brown", Variables!A:C , 2, FALSE),
IFERROR(SEARCH("Black, Grey",P26),0) &gt; 0 , VLOOKUP("Black", Variables!A:C , 2, FALSE) + VLOOKUP("Grey", Variables!A:C , 2, FALSE),
IFERROR(SEARCH("Black, Brown",P26),0) &gt; 0 , VLOOKUP("Black", Variables!A:C , 2, FALSE) + VLOOKUP("Brown", Variables!A:C , 2, FALSE),
IFERROR(SEARCH("Black",P26),0) &gt; 0 , VLOOKUP("Black", Variables!A:C , 2, FALSE),
IFERROR(SEARCH("Grey",P26),0) &gt; 0 , VLOOKUP("Grey", Variables!A:C , 2, FALSE),
IFERROR(SEARCH("Brown",P26),0) &gt; 0 , VLOOKUP("Brown", Variables!A:C , 2, FALSE),
0=0,0)
+
IF(O26 ="Ranged", 1 , 0)</f>
        <v>5.5</v>
      </c>
      <c r="R26" s="343" t="s">
        <v>1091</v>
      </c>
      <c r="S26" s="342">
        <f>IFERROR(__xludf.DUMMYFUNCTION("IF(ISBLANK(R26), , 
SWITCH(
LEN(R26)- LEN(SUBSTITUTE(R26,"","","""")), 
0 , VLOOKUP(R26, vote4TRAITS!A:C , 3, FALSE),
1 , VLOOKUP(index(split(R26 ,"", "", FALSE),1,1), vote4TRAITS!A:C , 3, FALSE) + VLOOKUP(index(split(R26 ,"", "", FALSE),1,2), vote4TRAITS"&amp;"!A:C , 3, FALSE),
2 , VLOOKUP(index(split(R26 ,"", "", FALSE),1,1), vote4TRAITS!A:C , 3, FALSE) + VLOOKUP(index(split(R26 ,"", "", FALSE),1,2), vote4TRAITS!A:C , 3, FALSE) + VLOOKUP(index(split(R26 ,"", "", FALSE),1,3), vote4TRAITS!A:C , 3, FALSE)
)
)"),4.0)</f>
        <v>4</v>
      </c>
      <c r="T26" s="343" t="s">
        <v>1353</v>
      </c>
      <c r="U26" s="343">
        <f>IFERROR(__xludf.DUMMYFUNCTION("IF(ISBLANK(T26), , 
SWITCH(
LEN(T26)- LEN(SUBSTITUTE(T26,"","","""")), 
0 , VLOOKUP(T26, vote4ACTIONS!A:C , 3, FALSE),
1 , VLOOKUP(index(split(T26 ,"", "", FALSE),1,1), vote4ACTIONS!A:C , 3, FALSE) + VLOOKUP(index(split(T26 ,"", "", FALSE),1,2), vote4ACTI"&amp;"ONS!A:C , 3, FALSE),
2 , VLOOKUP(index(split(T26 ,"", "", FALSE),1,1), vote4ACTIONS!A:C , 3, FALSE) + VLOOKUP(index(split(T26 ,"", "", FALSE),1,2), vote4ACTIONS!A:C , 3, FALSE) + VLOOKUP(index(split(T26 ,"", "", FALSE),1,3), vote4ACTIONS!A:C , 3, FALSE)
)"&amp;"
)"),1.5)</f>
        <v>1.5</v>
      </c>
      <c r="V26" s="343" t="s">
        <v>1534</v>
      </c>
      <c r="W26" s="517">
        <f>IF(ISBLANK(V26),,IF(IFERROR(SEARCH("SS:",V26),0) &gt; 0, 
VLOOKUP(SUBSTITUTE(V26,"SS: ",""),vote4SURGE!$A:$C , 3, FALSE) - 2,
VLOOKUP(SUBSTITUTE(V26,"S: ",""),vote4SURGE!$A:$C , 3, FALSE)
)
)</f>
        <v>4.25</v>
      </c>
      <c r="X26" s="343" t="s">
        <v>2739</v>
      </c>
      <c r="Y26" s="517">
        <f>IF(ISBLANK(X26),,IF(IFERROR(SEARCH("SS:",X26),0) &gt; 0, 
VLOOKUP(SUBSTITUTE(X26,"SS: ",""),vote4SURGE!$A:$C , 3, FALSE) - 2,
VLOOKUP(SUBSTITUTE(X26,"S: ",""),vote4SURGE!$A:$C , 3, FALSE)
)
)</f>
        <v>5</v>
      </c>
      <c r="Z26" s="343"/>
      <c r="AA26" s="343" t="str">
        <f>IF(ISBLANK(Z26),,IF(IFERROR(SEARCH("SS:",Z26),0) &gt; 0, 
VLOOKUP(SUBSTITUTE(Z26,"SS: ",""),vote4SURGE!$A:$C , 3, FALSE) - 2,
VLOOKUP(SUBSTITUTE(Z26,"S: ",""),vote4SURGE!$A:$C , 3, FALSE)
)
)</f>
        <v/>
      </c>
      <c r="AB26" s="517">
        <f t="shared" ref="AB26:AB40" si="7">IF(AD26 &gt; 1, 
MAX(W26,Y26,AA26) + 
(IF(OR(AD26 = 0,AC26 = 0), 1 ,(AC26 / AD26)) * (SUM(W26,Y26,AA26) - MAX(W26,Y26,AA26)))
,
IF(OR(AD26 = 0,AC26 = 0), 1 ,(AC26 / AD26)) * SUM(W26,Y26,AA26)
)</f>
        <v>7.125</v>
      </c>
      <c r="AC26" s="343">
        <f>ROUND(IFS(
IFERROR(SEARCH("Blue, Yellow, Yellow, Green",P26),0) &gt; 0 , VLOOKUP("Blue", Variables!A:C , 3 , FALSE) + (VLOOKUP("Yellow", Variables!A:C , 3 , FALSE) * 2) + VLOOKUP("Green", Variables!A:C , 3 , FALSE),
IFERROR(SEARCH("Blue, Yellow, Green, Green",P26),0) &gt; 0 , VLOOKUP("Blue", Variables!A:C , 3 , FALSE) + VLOOKUP("Yellow", Variables!A:C , 3 , FALSE)  + (VLOOKUP("Green", Variables!A:C , 3 , FALSE) * 2),
IFERROR(SEARCH("Blue, Red, Red",P26),0) &gt; 0 , VLOOKUP("Blue", Variables!A:C , 3 , FALSE) + VLOOKUP("Red", Variables!A:C , 3 , FALSE) * 2,
IFERROR(SEARCH("Blue, Yellow, Yellow",P26),0) &gt; 0 , VLOOKUP("Blue", Variables!A:C , 3 , FALSE) + (VLOOKUP("Yellow", Variables!A:C , 3 , FALSE) * 2),
IFERROR(SEARCH("Blue, Yellow, Green",P26),0) &gt; 0 , VLOOKUP("Blue", Variables!A:C , 3 , FALSE) + VLOOKUP("Yellow", Variables!A:C , 3 , FALSE) + VLOOKUP("Green", Variables!A:C , 3 , FALSE),
IFERROR(SEARCH("Blue, Red, Green",P26),0) &gt; 0 , VLOOKUP("Blue", Variables!A:C , 3 , FALSE) + VLOOKUP("Red", Variables!A:C , 3 , FALSE) + VLOOKUP("Green", Variables!A:C , 3 , FALSE),
IFERROR(SEARCH("Blue, Red, Yellow",P26),0) &gt; 0 , VLOOKUP("Blue", Variables!A:C , 3 , FALSE) + VLOOKUP("Red", Variables!A:C , 3 , FALSE) + VLOOKUP("Yellow", Variables!A:C , 3 , FALSE),
IFERROR(SEARCH("Blue, Green, Green",P26),0) &gt; 0 , VLOOKUP("Blue", Variables!A:C , 3 , FALSE) + (VLOOKUP("Green", Variables!A:C , 3 , FALSE) * 2),
IFERROR(SEARCH("Blue, Yellow",P26),0) &gt; 0 , VLOOKUP("Blue", Variables!A:C , 3 , FALSE) + VLOOKUP("Yellow", Variables!A:C , 3 , FALSE),
IFERROR(SEARCH("Blue, Red",P26),0) &gt; 0 , VLOOKUP("Blue", Variables!A:C , 3 , FALSE) + VLOOKUP("Red", Variables!A:C , 3 , FALSE),
IFERROR(SEARCH("Blue, Green",P26),0) &gt; 0 , VLOOKUP("Blue", Variables!A:C , 3 , FALSE) + VLOOKUP("Green", Variables!A:C , 3 , FALSE),
IFERROR(SEARCH("Green",P26),0) &gt; 0 , VLOOKUP("Green", Variables!A:C , 3 , FALSE),
IFERROR(SEARCH("Blue",P26),0) &gt; 0 , VLOOKUP("Blue", Variables!A:C , 3 , FALSE),
IFERROR(SEARCH("Yellow",P26),0) &gt; 0 , VLOOKUP("Yellow", Variables!A:C , 3 , FALSE),
IFERROR(SEARCH("Black, Black",P26),0) &gt; 0 , VLOOKUP("Black", Variables!A:C , 3 , FALSE) * 2,
IFERROR(SEARCH("Grey, Grey",P26),0) &gt; 0 , VLOOKUP("Grey", Variables!A:C , 3 , FALSE) * 2,
IFERROR(SEARCH("Grey, Brown",P26),0) &gt; 0 , VLOOKUP("Grey", Variables!A:C , 3 , FALSE)  + VLOOKUP("Brown", Variables!A:C , 3 , FALSE),
IFERROR(SEARCH("Black, Grey",P26),0) &gt; 0 , VLOOKUP("Black", Variables!A:C , 3 , FALSE) + VLOOKUP("Grey", Variables!A:C , 3 , FALSE),
IFERROR(SEARCH("Black, Brown",P26),0) &gt; 0 , VLOOKUP("Black", Variables!A:C , 3 , FALSE) + VLOOKUP("Brown", Variables!A:C , 3 , FALSE),
IFERROR(SEARCH("Black",P26),0) &gt; 0 , VLOOKUP("Black", Variables!A:C , 3 , FALSE),
IFERROR(SEARCH("Grey",P26),0) &gt; 0 , VLOOKUP("Grey", Variables!A:C , 3 , FALSE),
IFERROR(SEARCH("Brown",P26),0) &gt; 0 , VLOOKUP("Brown", Variables!A:C , 3 , FALSE),
0=0,0)
,
)</f>
        <v>1</v>
      </c>
      <c r="AD26" s="343">
        <f t="shared" ref="AD26:AD40" si="8">SUM(
IF(ISBLANK(V26),,IF(IFERROR(SEARCH("SS:",V26),0) &gt; 0, 2, 1)),
IF(ISBLANK(X26),,IF(IFERROR(SEARCH("SS:",X26),0) &gt; 0, 2, 1)),
IF(ISBLANK(Z26),,IF(IFERROR(SEARCH("SS:",Z26),0) &gt; 0, 2, 1)),
)</f>
        <v>2</v>
      </c>
      <c r="AE26" s="345">
        <f t="shared" ref="AE26:AE40" si="9">SUM(Q26,S26,U26,AB26)</f>
        <v>18.125</v>
      </c>
      <c r="AF26" s="383"/>
    </row>
    <row r="27" ht="15.75" customHeight="1">
      <c r="A27" s="509" t="s">
        <v>2709</v>
      </c>
      <c r="B27" s="510">
        <v>1.0</v>
      </c>
      <c r="C27" s="510">
        <v>1.0</v>
      </c>
      <c r="D27" s="511" t="s">
        <v>2669</v>
      </c>
      <c r="E27" s="512" t="s">
        <v>2710</v>
      </c>
      <c r="F27" s="513">
        <v>3.0</v>
      </c>
      <c r="G27" s="514">
        <v>10.0</v>
      </c>
      <c r="H27" s="515" t="s">
        <v>2575</v>
      </c>
      <c r="I27" s="513">
        <v>3.0</v>
      </c>
      <c r="J27" s="514">
        <v>14.0</v>
      </c>
      <c r="K27" s="515" t="s">
        <v>2575</v>
      </c>
      <c r="L27" s="513">
        <v>3.0</v>
      </c>
      <c r="M27" s="514">
        <v>16.0</v>
      </c>
      <c r="N27" s="515" t="s">
        <v>2740</v>
      </c>
      <c r="O27" s="343" t="s">
        <v>1521</v>
      </c>
      <c r="P27" s="343" t="s">
        <v>1525</v>
      </c>
      <c r="Q27" s="342">
        <f>IFS(
IFERROR(SEARCH("Blue, Yellow, Yellow, Green",P27),0) &gt; 0 , VLOOKUP("Blue", Variables!A:C , 2 , FALSE) + (VLOOKUP("Yellow", Variables!A:C , 2 , FALSE) * 2) + VLOOKUP("Green", Variables!A:C , 2 , FALSE),
IFERROR(SEARCH("Blue, Red, Yellow, Green",P27),0) &gt; 0 , VLOOKUP("Blue", Variables!A:C , 2 , FALSE) + VLOOKUP("Red", Variables!A:C , 2 , FALSE) + (VLOOKUP("Yellow", Variables!A:C , 2 , FALSE) * 2) + VLOOKUP("Green", Variables!A:C , 2 , FALSE),
IFERROR(SEARCH("Blue, Yellow, Green, Green",P27),0) &gt; 0 , VLOOKUP("Blue", Variables!A:C , 2 , FALSE) + VLOOKUP("Yellow", Variables!A:C , 2 , FALSE)  + (VLOOKUP("Green", Variables!A:C , 2 , FALSE) * 2),
IFERROR(SEARCH("Blue, Red, Yellow, Yellow",P27),0) &gt; 0 , VLOOKUP("Blue", Variables!A:C , 2 , FALSE) + VLOOKUP("Yellow", Variables!A:C , 2 , FALSE) * 2  + (VLOOKUP("Red", Variables!A:C , 2 , FALSE) * 2),
IFERROR(SEARCH("Blue, Red, Red",P27),0) &gt; 0 , VLOOKUP("Blue", Variables!A:C , 2 , FALSE) + VLOOKUP("Red", Variables!A:C , 2 , FALSE) * 2,
IFERROR(SEARCH("Blue, Yellow, Yellow",P27),0) &gt; 0 , VLOOKUP("Blue", Variables!A:C , 2 , FALSE) + (VLOOKUP("Yellow", Variables!A:C , 2 , FALSE) * 2),
IFERROR(SEARCH("Blue, Yellow, Green",P27),0) &gt; 0 , VLOOKUP("Blue", Variables!A:C , 2 , FALSE) + VLOOKUP("Yellow", Variables!A:C , 2 , FALSE) + VLOOKUP("Green", Variables!A:C , 2 , FALSE),
IFERROR(SEARCH("Blue, Red, Green",P27),0) &gt; 0 , VLOOKUP("Blue", Variables!A:C , 2 , FALSE) + VLOOKUP("Red", Variables!A:C , 2 , FALSE) + VLOOKUP("Green", Variables!A:C , 2 , FALSE),
IFERROR(SEARCH("Blue, Red, Yellow",P27),0) &gt; 0 , VLOOKUP("Blue", Variables!A:C , 2 , FALSE) + VLOOKUP("Red", Variables!A:C , 2 , FALSE) + VLOOKUP("Yellow", Variables!A:C , 2 , FALSE),
IFERROR(SEARCH("Blue, Green, Green",P27),0) &gt; 0 , VLOOKUP("Blue", Variables!A:C , 2 , FALSE) + (VLOOKUP("Green", Variables!A:C , 2 , FALSE) * 2),
IFERROR(SEARCH("Blue, Yellow",P27),0) &gt; 0 , VLOOKUP("Blue", Variables!A:C , 2 , FALSE) + VLOOKUP("Yellow", Variables!A:C , 2 , FALSE),
IFERROR(SEARCH("Blue, Red",P27),0) &gt; 0 , VLOOKUP("Blue", Variables!A:C , 2 , FALSE) + VLOOKUP("Red", Variables!A:C , 2 , FALSE),
IFERROR(SEARCH("Blue, Green",P27),0) &gt; 0 , VLOOKUP("Blue", Variables!A:C , 2 , FALSE) + VLOOKUP("Green", Variables!A:C , 2 , FALSE),
IFERROR(SEARCH("Green",P27),0) &gt; 0 , VLOOKUP("Green", Variables!A:C , 2 , FALSE),
IFERROR(SEARCH("Blue",P27),0) &gt; 0 , VLOOKUP("Blue", Variables!A:C , 2 , FALSE),
IFERROR(SEARCH("Yellow",P27),0) &gt; 0 , VLOOKUP("Yellow", Variables!A:C , 2 , FALSE),
IFERROR(SEARCH("Black, Black",P27),0) &gt; 0 , VLOOKUP("Black", Variables!A:C , 2, FALSE) * 2,
IFERROR(SEARCH("Grey, Grey",P27),0) &gt; 0 , VLOOKUP("Grey", Variables!A:C , 2, FALSE) * 2,
IFERROR(SEARCH("Grey, Brown",P27),0) &gt; 0 , VLOOKUP("Grey", Variables!A:C , 2, FALSE)  + VLOOKUP("Brown", Variables!A:C , 2, FALSE),
IFERROR(SEARCH("Black, Grey",P27),0) &gt; 0 , VLOOKUP("Black", Variables!A:C , 2, FALSE) + VLOOKUP("Grey", Variables!A:C , 2, FALSE),
IFERROR(SEARCH("Black, Brown",P27),0) &gt; 0 , VLOOKUP("Black", Variables!A:C , 2, FALSE) + VLOOKUP("Brown", Variables!A:C , 2, FALSE),
IFERROR(SEARCH("Black",P27),0) &gt; 0 , VLOOKUP("Black", Variables!A:C , 2, FALSE),
IFERROR(SEARCH("Grey",P27),0) &gt; 0 , VLOOKUP("Grey", Variables!A:C , 2, FALSE),
IFERROR(SEARCH("Brown",P27),0) &gt; 0 , VLOOKUP("Brown", Variables!A:C , 2, FALSE),
0=0,0)
+
IF(O27 ="Ranged", 1 , 0)</f>
        <v>3.333333333</v>
      </c>
      <c r="R27" s="343" t="s">
        <v>1160</v>
      </c>
      <c r="S27" s="342">
        <f>IFERROR(__xludf.DUMMYFUNCTION("IF(ISBLANK(R27), , 
SWITCH(
LEN(R27)- LEN(SUBSTITUTE(R27,"","","""")), 
0 , VLOOKUP(R27, vote4TRAITS!A:C , 3, FALSE),
1 , VLOOKUP(index(split(R27 ,"", "", FALSE),1,1), vote4TRAITS!A:C , 3, FALSE) + VLOOKUP(index(split(R27 ,"", "", FALSE),1,2), vote4TRAITS"&amp;"!A:C , 3, FALSE),
2 , VLOOKUP(index(split(R27 ,"", "", FALSE),1,1), vote4TRAITS!A:C , 3, FALSE) + VLOOKUP(index(split(R27 ,"", "", FALSE),1,2), vote4TRAITS!A:C , 3, FALSE) + VLOOKUP(index(split(R27 ,"", "", FALSE),1,3), vote4TRAITS!A:C , 3, FALSE)
)
)"),3.3333333333333335)</f>
        <v>3.333333333</v>
      </c>
      <c r="T27" s="343" t="s">
        <v>1357</v>
      </c>
      <c r="U27" s="343">
        <f>IFERROR(__xludf.DUMMYFUNCTION("IF(ISBLANK(T27), , 
SWITCH(
LEN(T27)- LEN(SUBSTITUTE(T27,"","","""")), 
0 , VLOOKUP(T27, vote4ACTIONS!A:C , 3, FALSE),
1 , VLOOKUP(index(split(T27 ,"", "", FALSE),1,1), vote4ACTIONS!A:C , 3, FALSE) + VLOOKUP(index(split(T27 ,"", "", FALSE),1,2), vote4ACTI"&amp;"ONS!A:C , 3, FALSE),
2 , VLOOKUP(index(split(T27 ,"", "", FALSE),1,1), vote4ACTIONS!A:C , 3, FALSE) + VLOOKUP(index(split(T27 ,"", "", FALSE),1,2), vote4ACTIONS!A:C , 3, FALSE) + VLOOKUP(index(split(T27 ,"", "", FALSE),1,3), vote4ACTIONS!A:C , 3, FALSE)
)"&amp;"
)"),2.5)</f>
        <v>2.5</v>
      </c>
      <c r="V27" s="343" t="s">
        <v>1562</v>
      </c>
      <c r="W27" s="517">
        <f>IF(ISBLANK(V27),,IF(IFERROR(SEARCH("SS:",V27),0) &gt; 0, 
VLOOKUP(SUBSTITUTE(V27,"SS: ",""),vote4SURGE!$A:$C , 3, FALSE) - 2,
VLOOKUP(SUBSTITUTE(V27,"S: ",""),vote4SURGE!$A:$C , 3, FALSE)
)
)</f>
        <v>3.5</v>
      </c>
      <c r="X27" s="343"/>
      <c r="Y27" s="343" t="str">
        <f>IF(ISBLANK(X27),,IF(IFERROR(SEARCH("SS:",X27),0) &gt; 0, 
VLOOKUP(SUBSTITUTE(X27,"SS: ",""),vote4SURGE!$A:$C , 3, FALSE) - 2,
VLOOKUP(SUBSTITUTE(X27,"S: ",""),vote4SURGE!$A:$C , 3, FALSE)
)
)</f>
        <v/>
      </c>
      <c r="Z27" s="343"/>
      <c r="AA27" s="343" t="str">
        <f>IF(ISBLANK(Z27),,IF(IFERROR(SEARCH("SS:",Z27),0) &gt; 0, 
VLOOKUP(SUBSTITUTE(Z27,"SS: ",""),vote4SURGE!$A:$C , 3, FALSE) - 2,
VLOOKUP(SUBSTITUTE(Z27,"S: ",""),vote4SURGE!$A:$C , 3, FALSE)
)
)</f>
        <v/>
      </c>
      <c r="AB27" s="343">
        <f t="shared" si="7"/>
        <v>3.5</v>
      </c>
      <c r="AC27" s="343">
        <f>ROUND(IFS(
IFERROR(SEARCH("Blue, Yellow, Yellow, Green",P27),0) &gt; 0 , VLOOKUP("Blue", Variables!A:C , 3 , FALSE) + (VLOOKUP("Yellow", Variables!A:C , 3 , FALSE) * 2) + VLOOKUP("Green", Variables!A:C , 3 , FALSE),
IFERROR(SEARCH("Blue, Yellow, Green, Green",P27),0) &gt; 0 , VLOOKUP("Blue", Variables!A:C , 3 , FALSE) + VLOOKUP("Yellow", Variables!A:C , 3 , FALSE)  + (VLOOKUP("Green", Variables!A:C , 3 , FALSE) * 2),
IFERROR(SEARCH("Blue, Red, Red",P27),0) &gt; 0 , VLOOKUP("Blue", Variables!A:C , 3 , FALSE) + VLOOKUP("Red", Variables!A:C , 3 , FALSE) * 2,
IFERROR(SEARCH("Blue, Yellow, Yellow",P27),0) &gt; 0 , VLOOKUP("Blue", Variables!A:C , 3 , FALSE) + (VLOOKUP("Yellow", Variables!A:C , 3 , FALSE) * 2),
IFERROR(SEARCH("Blue, Yellow, Green",P27),0) &gt; 0 , VLOOKUP("Blue", Variables!A:C , 3 , FALSE) + VLOOKUP("Yellow", Variables!A:C , 3 , FALSE) + VLOOKUP("Green", Variables!A:C , 3 , FALSE),
IFERROR(SEARCH("Blue, Red, Green",P27),0) &gt; 0 , VLOOKUP("Blue", Variables!A:C , 3 , FALSE) + VLOOKUP("Red", Variables!A:C , 3 , FALSE) + VLOOKUP("Green", Variables!A:C , 3 , FALSE),
IFERROR(SEARCH("Blue, Red, Yellow",P27),0) &gt; 0 , VLOOKUP("Blue", Variables!A:C , 3 , FALSE) + VLOOKUP("Red", Variables!A:C , 3 , FALSE) + VLOOKUP("Yellow", Variables!A:C , 3 , FALSE),
IFERROR(SEARCH("Blue, Green, Green",P27),0) &gt; 0 , VLOOKUP("Blue", Variables!A:C , 3 , FALSE) + (VLOOKUP("Green", Variables!A:C , 3 , FALSE) * 2),
IFERROR(SEARCH("Blue, Yellow",P27),0) &gt; 0 , VLOOKUP("Blue", Variables!A:C , 3 , FALSE) + VLOOKUP("Yellow", Variables!A:C , 3 , FALSE),
IFERROR(SEARCH("Blue, Red",P27),0) &gt; 0 , VLOOKUP("Blue", Variables!A:C , 3 , FALSE) + VLOOKUP("Red", Variables!A:C , 3 , FALSE),
IFERROR(SEARCH("Blue, Green",P27),0) &gt; 0 , VLOOKUP("Blue", Variables!A:C , 3 , FALSE) + VLOOKUP("Green", Variables!A:C , 3 , FALSE),
IFERROR(SEARCH("Green",P27),0) &gt; 0 , VLOOKUP("Green", Variables!A:C , 3 , FALSE),
IFERROR(SEARCH("Blue",P27),0) &gt; 0 , VLOOKUP("Blue", Variables!A:C , 3 , FALSE),
IFERROR(SEARCH("Yellow",P27),0) &gt; 0 , VLOOKUP("Yellow", Variables!A:C , 3 , FALSE),
IFERROR(SEARCH("Black, Black",P27),0) &gt; 0 , VLOOKUP("Black", Variables!A:C , 3 , FALSE) * 2,
IFERROR(SEARCH("Grey, Grey",P27),0) &gt; 0 , VLOOKUP("Grey", Variables!A:C , 3 , FALSE) * 2,
IFERROR(SEARCH("Grey, Brown",P27),0) &gt; 0 , VLOOKUP("Grey", Variables!A:C , 3 , FALSE)  + VLOOKUP("Brown", Variables!A:C , 3 , FALSE),
IFERROR(SEARCH("Black, Grey",P27),0) &gt; 0 , VLOOKUP("Black", Variables!A:C , 3 , FALSE) + VLOOKUP("Grey", Variables!A:C , 3 , FALSE),
IFERROR(SEARCH("Black, Brown",P27),0) &gt; 0 , VLOOKUP("Black", Variables!A:C , 3 , FALSE) + VLOOKUP("Brown", Variables!A:C , 3 , FALSE),
IFERROR(SEARCH("Black",P27),0) &gt; 0 , VLOOKUP("Black", Variables!A:C , 3 , FALSE),
IFERROR(SEARCH("Grey",P27),0) &gt; 0 , VLOOKUP("Grey", Variables!A:C , 3 , FALSE),
IFERROR(SEARCH("Brown",P27),0) &gt; 0 , VLOOKUP("Brown", Variables!A:C , 3 , FALSE),
0=0,0)
,
)</f>
        <v>1</v>
      </c>
      <c r="AD27" s="343">
        <f t="shared" si="8"/>
        <v>1</v>
      </c>
      <c r="AE27" s="345">
        <f t="shared" si="9"/>
        <v>12.66666667</v>
      </c>
      <c r="AF27" s="383"/>
    </row>
    <row r="28" ht="15.75" customHeight="1">
      <c r="A28" s="509" t="s">
        <v>2709</v>
      </c>
      <c r="B28" s="380">
        <v>2.0</v>
      </c>
      <c r="C28" s="380">
        <v>1.0</v>
      </c>
      <c r="D28" s="511" t="s">
        <v>2669</v>
      </c>
      <c r="E28" s="512" t="s">
        <v>2710</v>
      </c>
      <c r="F28" s="513">
        <v>3.0</v>
      </c>
      <c r="G28" s="514">
        <v>12.0</v>
      </c>
      <c r="H28" s="515" t="s">
        <v>2740</v>
      </c>
      <c r="I28" s="513">
        <v>3.0</v>
      </c>
      <c r="J28" s="514">
        <v>15.0</v>
      </c>
      <c r="K28" s="515" t="s">
        <v>2599</v>
      </c>
      <c r="L28" s="513">
        <v>3.0</v>
      </c>
      <c r="M28" s="514">
        <v>18.0</v>
      </c>
      <c r="N28" s="515" t="s">
        <v>2671</v>
      </c>
      <c r="O28" s="343" t="s">
        <v>1521</v>
      </c>
      <c r="P28" s="343" t="s">
        <v>1528</v>
      </c>
      <c r="Q28" s="342">
        <f>IFS(
IFERROR(SEARCH("Blue, Yellow, Yellow, Green",P28),0) &gt; 0 , VLOOKUP("Blue", Variables!A:C , 2 , FALSE) + (VLOOKUP("Yellow", Variables!A:C , 2 , FALSE) * 2) + VLOOKUP("Green", Variables!A:C , 2 , FALSE),
IFERROR(SEARCH("Blue, Red, Yellow, Green",P28),0) &gt; 0 , VLOOKUP("Blue", Variables!A:C , 2 , FALSE) + VLOOKUP("Red", Variables!A:C , 2 , FALSE) + (VLOOKUP("Yellow", Variables!A:C , 2 , FALSE) * 2) + VLOOKUP("Green", Variables!A:C , 2 , FALSE),
IFERROR(SEARCH("Blue, Yellow, Green, Green",P28),0) &gt; 0 , VLOOKUP("Blue", Variables!A:C , 2 , FALSE) + VLOOKUP("Yellow", Variables!A:C , 2 , FALSE)  + (VLOOKUP("Green", Variables!A:C , 2 , FALSE) * 2),
IFERROR(SEARCH("Blue, Red, Yellow, Yellow",P28),0) &gt; 0 , VLOOKUP("Blue", Variables!A:C , 2 , FALSE) + VLOOKUP("Yellow", Variables!A:C , 2 , FALSE) * 2  + (VLOOKUP("Red", Variables!A:C , 2 , FALSE) * 2),
IFERROR(SEARCH("Blue, Red, Red",P28),0) &gt; 0 , VLOOKUP("Blue", Variables!A:C , 2 , FALSE) + VLOOKUP("Red", Variables!A:C , 2 , FALSE) * 2,
IFERROR(SEARCH("Blue, Yellow, Yellow",P28),0) &gt; 0 , VLOOKUP("Blue", Variables!A:C , 2 , FALSE) + (VLOOKUP("Yellow", Variables!A:C , 2 , FALSE) * 2),
IFERROR(SEARCH("Blue, Yellow, Green",P28),0) &gt; 0 , VLOOKUP("Blue", Variables!A:C , 2 , FALSE) + VLOOKUP("Yellow", Variables!A:C , 2 , FALSE) + VLOOKUP("Green", Variables!A:C , 2 , FALSE),
IFERROR(SEARCH("Blue, Red, Green",P28),0) &gt; 0 , VLOOKUP("Blue", Variables!A:C , 2 , FALSE) + VLOOKUP("Red", Variables!A:C , 2 , FALSE) + VLOOKUP("Green", Variables!A:C , 2 , FALSE),
IFERROR(SEARCH("Blue, Red, Yellow",P28),0) &gt; 0 , VLOOKUP("Blue", Variables!A:C , 2 , FALSE) + VLOOKUP("Red", Variables!A:C , 2 , FALSE) + VLOOKUP("Yellow", Variables!A:C , 2 , FALSE),
IFERROR(SEARCH("Blue, Green, Green",P28),0) &gt; 0 , VLOOKUP("Blue", Variables!A:C , 2 , FALSE) + (VLOOKUP("Green", Variables!A:C , 2 , FALSE) * 2),
IFERROR(SEARCH("Blue, Yellow",P28),0) &gt; 0 , VLOOKUP("Blue", Variables!A:C , 2 , FALSE) + VLOOKUP("Yellow", Variables!A:C , 2 , FALSE),
IFERROR(SEARCH("Blue, Red",P28),0) &gt; 0 , VLOOKUP("Blue", Variables!A:C , 2 , FALSE) + VLOOKUP("Red", Variables!A:C , 2 , FALSE),
IFERROR(SEARCH("Blue, Green",P28),0) &gt; 0 , VLOOKUP("Blue", Variables!A:C , 2 , FALSE) + VLOOKUP("Green", Variables!A:C , 2 , FALSE),
IFERROR(SEARCH("Green",P28),0) &gt; 0 , VLOOKUP("Green", Variables!A:C , 2 , FALSE),
IFERROR(SEARCH("Blue",P28),0) &gt; 0 , VLOOKUP("Blue", Variables!A:C , 2 , FALSE),
IFERROR(SEARCH("Yellow",P28),0) &gt; 0 , VLOOKUP("Yellow", Variables!A:C , 2 , FALSE),
IFERROR(SEARCH("Black, Black",P28),0) &gt; 0 , VLOOKUP("Black", Variables!A:C , 2, FALSE) * 2,
IFERROR(SEARCH("Grey, Grey",P28),0) &gt; 0 , VLOOKUP("Grey", Variables!A:C , 2, FALSE) * 2,
IFERROR(SEARCH("Grey, Brown",P28),0) &gt; 0 , VLOOKUP("Grey", Variables!A:C , 2, FALSE)  + VLOOKUP("Brown", Variables!A:C , 2, FALSE),
IFERROR(SEARCH("Black, Grey",P28),0) &gt; 0 , VLOOKUP("Black", Variables!A:C , 2, FALSE) + VLOOKUP("Grey", Variables!A:C , 2, FALSE),
IFERROR(SEARCH("Black, Brown",P28),0) &gt; 0 , VLOOKUP("Black", Variables!A:C , 2, FALSE) + VLOOKUP("Brown", Variables!A:C , 2, FALSE),
IFERROR(SEARCH("Black",P28),0) &gt; 0 , VLOOKUP("Black", Variables!A:C , 2, FALSE),
IFERROR(SEARCH("Grey",P28),0) &gt; 0 , VLOOKUP("Grey", Variables!A:C , 2, FALSE),
IFERROR(SEARCH("Brown",P28),0) &gt; 0 , VLOOKUP("Brown", Variables!A:C , 2, FALSE),
0=0,0)
+
IF(O28 ="Ranged", 1 , 0)</f>
        <v>5.5</v>
      </c>
      <c r="R28" s="343" t="s">
        <v>2711</v>
      </c>
      <c r="S28" s="342">
        <f>IFERROR(__xludf.DUMMYFUNCTION("IF(ISBLANK(R28), , 
SWITCH(
LEN(R28)- LEN(SUBSTITUTE(R28,"","","""")), 
0 , VLOOKUP(R28, vote4TRAITS!A:C , 3, FALSE),
1 , VLOOKUP(index(split(R28 ,"", "", FALSE),1,1), vote4TRAITS!A:C , 3, FALSE) + VLOOKUP(index(split(R28 ,"", "", FALSE),1,2), vote4TRAITS"&amp;"!A:C , 3, FALSE),
2 , VLOOKUP(index(split(R28 ,"", "", FALSE),1,1), vote4TRAITS!A:C , 3, FALSE) + VLOOKUP(index(split(R28 ,"", "", FALSE),1,2), vote4TRAITS!A:C , 3, FALSE) + VLOOKUP(index(split(R28 ,"", "", FALSE),1,3), vote4TRAITS!A:C , 3, FALSE)
)
)"),6.833333333333334)</f>
        <v>6.833333333</v>
      </c>
      <c r="T28" s="343" t="s">
        <v>1357</v>
      </c>
      <c r="U28" s="343">
        <f>IFERROR(__xludf.DUMMYFUNCTION("IF(ISBLANK(T28), , 
SWITCH(
LEN(T28)- LEN(SUBSTITUTE(T28,"","","""")), 
0 , VLOOKUP(T28, vote4ACTIONS!A:C , 3, FALSE),
1 , VLOOKUP(index(split(T28 ,"", "", FALSE),1,1), vote4ACTIONS!A:C , 3, FALSE) + VLOOKUP(index(split(T28 ,"", "", FALSE),1,2), vote4ACTI"&amp;"ONS!A:C , 3, FALSE),
2 , VLOOKUP(index(split(T28 ,"", "", FALSE),1,1), vote4ACTIONS!A:C , 3, FALSE) + VLOOKUP(index(split(T28 ,"", "", FALSE),1,2), vote4ACTIONS!A:C , 3, FALSE) + VLOOKUP(index(split(T28 ,"", "", FALSE),1,3), vote4ACTIONS!A:C , 3, FALSE)
)"&amp;"
)"),2.5)</f>
        <v>2.5</v>
      </c>
      <c r="V28" s="343" t="s">
        <v>1534</v>
      </c>
      <c r="W28" s="517">
        <f>IF(ISBLANK(V28),,IF(IFERROR(SEARCH("SS:",V28),0) &gt; 0, 
VLOOKUP(SUBSTITUTE(V28,"SS: ",""),vote4SURGE!$A:$C , 3, FALSE) - 2,
VLOOKUP(SUBSTITUTE(V28,"S: ",""),vote4SURGE!$A:$C , 3, FALSE)
)
)</f>
        <v>4.25</v>
      </c>
      <c r="X28" s="343"/>
      <c r="Y28" s="343" t="str">
        <f>IF(ISBLANK(X28),,IF(IFERROR(SEARCH("SS:",X28),0) &gt; 0, 
VLOOKUP(SUBSTITUTE(X28,"SS: ",""),vote4SURGE!$A:$C , 3, FALSE) - 2,
VLOOKUP(SUBSTITUTE(X28,"S: ",""),vote4SURGE!$A:$C , 3, FALSE)
)
)</f>
        <v/>
      </c>
      <c r="Z28" s="343"/>
      <c r="AA28" s="343" t="str">
        <f>IF(ISBLANK(Z28),,IF(IFERROR(SEARCH("SS:",Z28),0) &gt; 0, 
VLOOKUP(SUBSTITUTE(Z28,"SS: ",""),vote4SURGE!$A:$C , 3, FALSE) - 2,
VLOOKUP(SUBSTITUTE(Z28,"S: ",""),vote4SURGE!$A:$C , 3, FALSE)
)
)</f>
        <v/>
      </c>
      <c r="AB28" s="343">
        <f t="shared" si="7"/>
        <v>4.25</v>
      </c>
      <c r="AC28" s="343">
        <f>ROUND(IFS(
IFERROR(SEARCH("Blue, Yellow, Yellow, Green",P28),0) &gt; 0 , VLOOKUP("Blue", Variables!A:C , 3 , FALSE) + (VLOOKUP("Yellow", Variables!A:C , 3 , FALSE) * 2) + VLOOKUP("Green", Variables!A:C , 3 , FALSE),
IFERROR(SEARCH("Blue, Yellow, Green, Green",P28),0) &gt; 0 , VLOOKUP("Blue", Variables!A:C , 3 , FALSE) + VLOOKUP("Yellow", Variables!A:C , 3 , FALSE)  + (VLOOKUP("Green", Variables!A:C , 3 , FALSE) * 2),
IFERROR(SEARCH("Blue, Red, Red",P28),0) &gt; 0 , VLOOKUP("Blue", Variables!A:C , 3 , FALSE) + VLOOKUP("Red", Variables!A:C , 3 , FALSE) * 2,
IFERROR(SEARCH("Blue, Yellow, Yellow",P28),0) &gt; 0 , VLOOKUP("Blue", Variables!A:C , 3 , FALSE) + (VLOOKUP("Yellow", Variables!A:C , 3 , FALSE) * 2),
IFERROR(SEARCH("Blue, Yellow, Green",P28),0) &gt; 0 , VLOOKUP("Blue", Variables!A:C , 3 , FALSE) + VLOOKUP("Yellow", Variables!A:C , 3 , FALSE) + VLOOKUP("Green", Variables!A:C , 3 , FALSE),
IFERROR(SEARCH("Blue, Red, Green",P28),0) &gt; 0 , VLOOKUP("Blue", Variables!A:C , 3 , FALSE) + VLOOKUP("Red", Variables!A:C , 3 , FALSE) + VLOOKUP("Green", Variables!A:C , 3 , FALSE),
IFERROR(SEARCH("Blue, Red, Yellow",P28),0) &gt; 0 , VLOOKUP("Blue", Variables!A:C , 3 , FALSE) + VLOOKUP("Red", Variables!A:C , 3 , FALSE) + VLOOKUP("Yellow", Variables!A:C , 3 , FALSE),
IFERROR(SEARCH("Blue, Green, Green",P28),0) &gt; 0 , VLOOKUP("Blue", Variables!A:C , 3 , FALSE) + (VLOOKUP("Green", Variables!A:C , 3 , FALSE) * 2),
IFERROR(SEARCH("Blue, Yellow",P28),0) &gt; 0 , VLOOKUP("Blue", Variables!A:C , 3 , FALSE) + VLOOKUP("Yellow", Variables!A:C , 3 , FALSE),
IFERROR(SEARCH("Blue, Red",P28),0) &gt; 0 , VLOOKUP("Blue", Variables!A:C , 3 , FALSE) + VLOOKUP("Red", Variables!A:C , 3 , FALSE),
IFERROR(SEARCH("Blue, Green",P28),0) &gt; 0 , VLOOKUP("Blue", Variables!A:C , 3 , FALSE) + VLOOKUP("Green", Variables!A:C , 3 , FALSE),
IFERROR(SEARCH("Green",P28),0) &gt; 0 , VLOOKUP("Green", Variables!A:C , 3 , FALSE),
IFERROR(SEARCH("Blue",P28),0) &gt; 0 , VLOOKUP("Blue", Variables!A:C , 3 , FALSE),
IFERROR(SEARCH("Yellow",P28),0) &gt; 0 , VLOOKUP("Yellow", Variables!A:C , 3 , FALSE),
IFERROR(SEARCH("Black, Black",P28),0) &gt; 0 , VLOOKUP("Black", Variables!A:C , 3 , FALSE) * 2,
IFERROR(SEARCH("Grey, Grey",P28),0) &gt; 0 , VLOOKUP("Grey", Variables!A:C , 3 , FALSE) * 2,
IFERROR(SEARCH("Grey, Brown",P28),0) &gt; 0 , VLOOKUP("Grey", Variables!A:C , 3 , FALSE)  + VLOOKUP("Brown", Variables!A:C , 3 , FALSE),
IFERROR(SEARCH("Black, Grey",P28),0) &gt; 0 , VLOOKUP("Black", Variables!A:C , 3 , FALSE) + VLOOKUP("Grey", Variables!A:C , 3 , FALSE),
IFERROR(SEARCH("Black, Brown",P28),0) &gt; 0 , VLOOKUP("Black", Variables!A:C , 3 , FALSE) + VLOOKUP("Brown", Variables!A:C , 3 , FALSE),
IFERROR(SEARCH("Black",P28),0) &gt; 0 , VLOOKUP("Black", Variables!A:C , 3 , FALSE),
IFERROR(SEARCH("Grey",P28),0) &gt; 0 , VLOOKUP("Grey", Variables!A:C , 3 , FALSE),
IFERROR(SEARCH("Brown",P28),0) &gt; 0 , VLOOKUP("Brown", Variables!A:C , 3 , FALSE),
0=0,0)
,
)</f>
        <v>1</v>
      </c>
      <c r="AD28" s="343">
        <f t="shared" si="8"/>
        <v>1</v>
      </c>
      <c r="AE28" s="345">
        <f t="shared" si="9"/>
        <v>19.08333333</v>
      </c>
      <c r="AF28" s="383"/>
    </row>
    <row r="29" ht="15.75" customHeight="1">
      <c r="A29" s="509" t="s">
        <v>2712</v>
      </c>
      <c r="B29" s="510">
        <v>1.0</v>
      </c>
      <c r="C29" s="510">
        <v>4.0</v>
      </c>
      <c r="D29" s="511" t="s">
        <v>1804</v>
      </c>
      <c r="E29" s="512" t="s">
        <v>2713</v>
      </c>
      <c r="F29" s="513">
        <v>3.0</v>
      </c>
      <c r="G29" s="514">
        <v>10.0</v>
      </c>
      <c r="H29" s="515" t="s">
        <v>1671</v>
      </c>
      <c r="I29" s="513">
        <v>3.0</v>
      </c>
      <c r="J29" s="514">
        <v>13.0</v>
      </c>
      <c r="K29" s="515" t="s">
        <v>2590</v>
      </c>
      <c r="L29" s="513">
        <v>3.0</v>
      </c>
      <c r="M29" s="514">
        <v>18.0</v>
      </c>
      <c r="N29" s="515" t="s">
        <v>2590</v>
      </c>
      <c r="O29" s="343" t="s">
        <v>1521</v>
      </c>
      <c r="P29" s="343" t="s">
        <v>1548</v>
      </c>
      <c r="Q29" s="342">
        <f>IFS(
IFERROR(SEARCH("Blue, Yellow, Yellow, Green",P29),0) &gt; 0 , VLOOKUP("Blue", Variables!A:C , 2 , FALSE) + (VLOOKUP("Yellow", Variables!A:C , 2 , FALSE) * 2) + VLOOKUP("Green", Variables!A:C , 2 , FALSE),
IFERROR(SEARCH("Blue, Red, Yellow, Green",P29),0) &gt; 0 , VLOOKUP("Blue", Variables!A:C , 2 , FALSE) + VLOOKUP("Red", Variables!A:C , 2 , FALSE) + (VLOOKUP("Yellow", Variables!A:C , 2 , FALSE) * 2) + VLOOKUP("Green", Variables!A:C , 2 , FALSE),
IFERROR(SEARCH("Blue, Yellow, Green, Green",P29),0) &gt; 0 , VLOOKUP("Blue", Variables!A:C , 2 , FALSE) + VLOOKUP("Yellow", Variables!A:C , 2 , FALSE)  + (VLOOKUP("Green", Variables!A:C , 2 , FALSE) * 2),
IFERROR(SEARCH("Blue, Red, Yellow, Yellow",P29),0) &gt; 0 , VLOOKUP("Blue", Variables!A:C , 2 , FALSE) + VLOOKUP("Yellow", Variables!A:C , 2 , FALSE) * 2  + (VLOOKUP("Red", Variables!A:C , 2 , FALSE) * 2),
IFERROR(SEARCH("Blue, Red, Red",P29),0) &gt; 0 , VLOOKUP("Blue", Variables!A:C , 2 , FALSE) + VLOOKUP("Red", Variables!A:C , 2 , FALSE) * 2,
IFERROR(SEARCH("Blue, Yellow, Yellow",P29),0) &gt; 0 , VLOOKUP("Blue", Variables!A:C , 2 , FALSE) + (VLOOKUP("Yellow", Variables!A:C , 2 , FALSE) * 2),
IFERROR(SEARCH("Blue, Yellow, Green",P29),0) &gt; 0 , VLOOKUP("Blue", Variables!A:C , 2 , FALSE) + VLOOKUP("Yellow", Variables!A:C , 2 , FALSE) + VLOOKUP("Green", Variables!A:C , 2 , FALSE),
IFERROR(SEARCH("Blue, Red, Green",P29),0) &gt; 0 , VLOOKUP("Blue", Variables!A:C , 2 , FALSE) + VLOOKUP("Red", Variables!A:C , 2 , FALSE) + VLOOKUP("Green", Variables!A:C , 2 , FALSE),
IFERROR(SEARCH("Blue, Red, Yellow",P29),0) &gt; 0 , VLOOKUP("Blue", Variables!A:C , 2 , FALSE) + VLOOKUP("Red", Variables!A:C , 2 , FALSE) + VLOOKUP("Yellow", Variables!A:C , 2 , FALSE),
IFERROR(SEARCH("Blue, Green, Green",P29),0) &gt; 0 , VLOOKUP("Blue", Variables!A:C , 2 , FALSE) + (VLOOKUP("Green", Variables!A:C , 2 , FALSE) * 2),
IFERROR(SEARCH("Blue, Yellow",P29),0) &gt; 0 , VLOOKUP("Blue", Variables!A:C , 2 , FALSE) + VLOOKUP("Yellow", Variables!A:C , 2 , FALSE),
IFERROR(SEARCH("Blue, Red",P29),0) &gt; 0 , VLOOKUP("Blue", Variables!A:C , 2 , FALSE) + VLOOKUP("Red", Variables!A:C , 2 , FALSE),
IFERROR(SEARCH("Blue, Green",P29),0) &gt; 0 , VLOOKUP("Blue", Variables!A:C , 2 , FALSE) + VLOOKUP("Green", Variables!A:C , 2 , FALSE),
IFERROR(SEARCH("Green",P29),0) &gt; 0 , VLOOKUP("Green", Variables!A:C , 2 , FALSE),
IFERROR(SEARCH("Blue",P29),0) &gt; 0 , VLOOKUP("Blue", Variables!A:C , 2 , FALSE),
IFERROR(SEARCH("Yellow",P29),0) &gt; 0 , VLOOKUP("Yellow", Variables!A:C , 2 , FALSE),
IFERROR(SEARCH("Black, Black",P29),0) &gt; 0 , VLOOKUP("Black", Variables!A:C , 2, FALSE) * 2,
IFERROR(SEARCH("Grey, Grey",P29),0) &gt; 0 , VLOOKUP("Grey", Variables!A:C , 2, FALSE) * 2,
IFERROR(SEARCH("Grey, Brown",P29),0) &gt; 0 , VLOOKUP("Grey", Variables!A:C , 2, FALSE)  + VLOOKUP("Brown", Variables!A:C , 2, FALSE),
IFERROR(SEARCH("Black, Grey",P29),0) &gt; 0 , VLOOKUP("Black", Variables!A:C , 2, FALSE) + VLOOKUP("Grey", Variables!A:C , 2, FALSE),
IFERROR(SEARCH("Black, Brown",P29),0) &gt; 0 , VLOOKUP("Black", Variables!A:C , 2, FALSE) + VLOOKUP("Brown", Variables!A:C , 2, FALSE),
IFERROR(SEARCH("Black",P29),0) &gt; 0 , VLOOKUP("Black", Variables!A:C , 2, FALSE),
IFERROR(SEARCH("Grey",P29),0) &gt; 0 , VLOOKUP("Grey", Variables!A:C , 2, FALSE),
IFERROR(SEARCH("Brown",P29),0) &gt; 0 , VLOOKUP("Brown", Variables!A:C , 2, FALSE),
0=0,0)
+
IF(O29 ="Ranged", 1 , 0)</f>
        <v>2.333333333</v>
      </c>
      <c r="R29" s="343" t="s">
        <v>2714</v>
      </c>
      <c r="S29" s="342">
        <f>IFERROR(__xludf.DUMMYFUNCTION("IF(ISBLANK(R29), , 
SWITCH(
LEN(R29)- LEN(SUBSTITUTE(R29,"","","""")), 
0 , VLOOKUP(R29, vote4TRAITS!A:C , 3, FALSE),
1 , VLOOKUP(index(split(R29 ,"", "", FALSE),1,1), vote4TRAITS!A:C , 3, FALSE) + VLOOKUP(index(split(R29 ,"", "", FALSE),1,2), vote4TRAITS"&amp;"!A:C , 3, FALSE),
2 , VLOOKUP(index(split(R29 ,"", "", FALSE),1,1), vote4TRAITS!A:C , 3, FALSE) + VLOOKUP(index(split(R29 ,"", "", FALSE),1,2), vote4TRAITS!A:C , 3, FALSE) + VLOOKUP(index(split(R29 ,"", "", FALSE),1,3), vote4TRAITS!A:C , 3, FALSE)
)
)"),14.5)</f>
        <v>14.5</v>
      </c>
      <c r="T29" s="343"/>
      <c r="U29" s="343" t="str">
        <f>IFERROR(__xludf.DUMMYFUNCTION("IF(ISBLANK(T29), , 
SWITCH(
LEN(T29)- LEN(SUBSTITUTE(T29,"","","""")), 
0 , VLOOKUP(T29, vote4ACTIONS!A:C , 3, FALSE),
1 , VLOOKUP(index(split(T29 ,"", "", FALSE),1,1), vote4ACTIONS!A:C , 3, FALSE) + VLOOKUP(index(split(T29 ,"", "", FALSE),1,2), vote4ACTI"&amp;"ONS!A:C , 3, FALSE),
2 , VLOOKUP(index(split(T29 ,"", "", FALSE),1,1), vote4ACTIONS!A:C , 3, FALSE) + VLOOKUP(index(split(T29 ,"", "", FALSE),1,2), vote4ACTIONS!A:C , 3, FALSE) + VLOOKUP(index(split(T29 ,"", "", FALSE),1,3), vote4ACTIONS!A:C , 3, FALSE)
)"&amp;"
)"),"")</f>
        <v/>
      </c>
      <c r="V29" s="343" t="s">
        <v>2715</v>
      </c>
      <c r="W29" s="517">
        <f>IF(ISBLANK(V29),,IF(IFERROR(SEARCH("SS:",V29),0) &gt; 0, 
VLOOKUP(SUBSTITUTE(V29,"SS: ",""),vote4SURGE!$A:$C , 3, FALSE) - 2,
VLOOKUP(SUBSTITUTE(V29,"S: ",""),vote4SURGE!$A:$C , 3, FALSE)
)
)</f>
        <v>4.666666667</v>
      </c>
      <c r="X29" s="343"/>
      <c r="Y29" s="343" t="str">
        <f>IF(ISBLANK(X29),,IF(IFERROR(SEARCH("SS:",X29),0) &gt; 0, 
VLOOKUP(SUBSTITUTE(X29,"SS: ",""),vote4SURGE!$A:$C , 3, FALSE) - 2,
VLOOKUP(SUBSTITUTE(X29,"S: ",""),vote4SURGE!$A:$C , 3, FALSE)
)
)</f>
        <v/>
      </c>
      <c r="Z29" s="343"/>
      <c r="AA29" s="343" t="str">
        <f>IF(ISBLANK(Z29),,IF(IFERROR(SEARCH("SS:",Z29),0) &gt; 0, 
VLOOKUP(SUBSTITUTE(Z29,"SS: ",""),vote4SURGE!$A:$C , 3, FALSE) - 2,
VLOOKUP(SUBSTITUTE(Z29,"S: ",""),vote4SURGE!$A:$C , 3, FALSE)
)
)</f>
        <v/>
      </c>
      <c r="AB29" s="343">
        <f t="shared" si="7"/>
        <v>4.666666667</v>
      </c>
      <c r="AC29" s="343">
        <f>ROUND(IFS(
IFERROR(SEARCH("Blue, Yellow, Yellow, Green",P29),0) &gt; 0 , VLOOKUP("Blue", Variables!A:C , 3 , FALSE) + (VLOOKUP("Yellow", Variables!A:C , 3 , FALSE) * 2) + VLOOKUP("Green", Variables!A:C , 3 , FALSE),
IFERROR(SEARCH("Blue, Yellow, Green, Green",P29),0) &gt; 0 , VLOOKUP("Blue", Variables!A:C , 3 , FALSE) + VLOOKUP("Yellow", Variables!A:C , 3 , FALSE)  + (VLOOKUP("Green", Variables!A:C , 3 , FALSE) * 2),
IFERROR(SEARCH("Blue, Red, Red",P29),0) &gt; 0 , VLOOKUP("Blue", Variables!A:C , 3 , FALSE) + VLOOKUP("Red", Variables!A:C , 3 , FALSE) * 2,
IFERROR(SEARCH("Blue, Yellow, Yellow",P29),0) &gt; 0 , VLOOKUP("Blue", Variables!A:C , 3 , FALSE) + (VLOOKUP("Yellow", Variables!A:C , 3 , FALSE) * 2),
IFERROR(SEARCH("Blue, Yellow, Green",P29),0) &gt; 0 , VLOOKUP("Blue", Variables!A:C , 3 , FALSE) + VLOOKUP("Yellow", Variables!A:C , 3 , FALSE) + VLOOKUP("Green", Variables!A:C , 3 , FALSE),
IFERROR(SEARCH("Blue, Red, Green",P29),0) &gt; 0 , VLOOKUP("Blue", Variables!A:C , 3 , FALSE) + VLOOKUP("Red", Variables!A:C , 3 , FALSE) + VLOOKUP("Green", Variables!A:C , 3 , FALSE),
IFERROR(SEARCH("Blue, Red, Yellow",P29),0) &gt; 0 , VLOOKUP("Blue", Variables!A:C , 3 , FALSE) + VLOOKUP("Red", Variables!A:C , 3 , FALSE) + VLOOKUP("Yellow", Variables!A:C , 3 , FALSE),
IFERROR(SEARCH("Blue, Green, Green",P29),0) &gt; 0 , VLOOKUP("Blue", Variables!A:C , 3 , FALSE) + (VLOOKUP("Green", Variables!A:C , 3 , FALSE) * 2),
IFERROR(SEARCH("Blue, Yellow",P29),0) &gt; 0 , VLOOKUP("Blue", Variables!A:C , 3 , FALSE) + VLOOKUP("Yellow", Variables!A:C , 3 , FALSE),
IFERROR(SEARCH("Blue, Red",P29),0) &gt; 0 , VLOOKUP("Blue", Variables!A:C , 3 , FALSE) + VLOOKUP("Red", Variables!A:C , 3 , FALSE),
IFERROR(SEARCH("Blue, Green",P29),0) &gt; 0 , VLOOKUP("Blue", Variables!A:C , 3 , FALSE) + VLOOKUP("Green", Variables!A:C , 3 , FALSE),
IFERROR(SEARCH("Green",P29),0) &gt; 0 , VLOOKUP("Green", Variables!A:C , 3 , FALSE),
IFERROR(SEARCH("Blue",P29),0) &gt; 0 , VLOOKUP("Blue", Variables!A:C , 3 , FALSE),
IFERROR(SEARCH("Yellow",P29),0) &gt; 0 , VLOOKUP("Yellow", Variables!A:C , 3 , FALSE),
IFERROR(SEARCH("Black, Black",P29),0) &gt; 0 , VLOOKUP("Black", Variables!A:C , 3 , FALSE) * 2,
IFERROR(SEARCH("Grey, Grey",P29),0) &gt; 0 , VLOOKUP("Grey", Variables!A:C , 3 , FALSE) * 2,
IFERROR(SEARCH("Grey, Brown",P29),0) &gt; 0 , VLOOKUP("Grey", Variables!A:C , 3 , FALSE)  + VLOOKUP("Brown", Variables!A:C , 3 , FALSE),
IFERROR(SEARCH("Black, Grey",P29),0) &gt; 0 , VLOOKUP("Black", Variables!A:C , 3 , FALSE) + VLOOKUP("Grey", Variables!A:C , 3 , FALSE),
IFERROR(SEARCH("Black, Brown",P29),0) &gt; 0 , VLOOKUP("Black", Variables!A:C , 3 , FALSE) + VLOOKUP("Brown", Variables!A:C , 3 , FALSE),
IFERROR(SEARCH("Black",P29),0) &gt; 0 , VLOOKUP("Black", Variables!A:C , 3 , FALSE),
IFERROR(SEARCH("Grey",P29),0) &gt; 0 , VLOOKUP("Grey", Variables!A:C , 3 , FALSE),
IFERROR(SEARCH("Brown",P29),0) &gt; 0 , VLOOKUP("Brown", Variables!A:C , 3 , FALSE),
0=0,0)
,
)</f>
        <v>1</v>
      </c>
      <c r="AD29" s="343">
        <f t="shared" si="8"/>
        <v>1</v>
      </c>
      <c r="AE29" s="345">
        <f t="shared" si="9"/>
        <v>21.5</v>
      </c>
      <c r="AF29" s="383"/>
    </row>
    <row r="30" ht="15.75" customHeight="1">
      <c r="A30" s="509" t="s">
        <v>2712</v>
      </c>
      <c r="B30" s="380">
        <v>2.0</v>
      </c>
      <c r="C30" s="380">
        <v>4.0</v>
      </c>
      <c r="D30" s="511" t="s">
        <v>1804</v>
      </c>
      <c r="E30" s="512" t="s">
        <v>2713</v>
      </c>
      <c r="F30" s="513">
        <v>3.0</v>
      </c>
      <c r="G30" s="514">
        <v>16.0</v>
      </c>
      <c r="H30" s="515" t="s">
        <v>2590</v>
      </c>
      <c r="I30" s="513">
        <v>3.0</v>
      </c>
      <c r="J30" s="514">
        <v>19.0</v>
      </c>
      <c r="K30" s="515" t="s">
        <v>2599</v>
      </c>
      <c r="L30" s="513">
        <v>3.0</v>
      </c>
      <c r="M30" s="514">
        <v>24.0</v>
      </c>
      <c r="N30" s="515" t="s">
        <v>2599</v>
      </c>
      <c r="O30" s="343" t="s">
        <v>1521</v>
      </c>
      <c r="P30" s="343" t="s">
        <v>1537</v>
      </c>
      <c r="Q30" s="342">
        <f>IFS(
IFERROR(SEARCH("Blue, Yellow, Yellow, Green",P30),0) &gt; 0 , VLOOKUP("Blue", Variables!A:C , 2 , FALSE) + (VLOOKUP("Yellow", Variables!A:C , 2 , FALSE) * 2) + VLOOKUP("Green", Variables!A:C , 2 , FALSE),
IFERROR(SEARCH("Blue, Red, Yellow, Green",P30),0) &gt; 0 , VLOOKUP("Blue", Variables!A:C , 2 , FALSE) + VLOOKUP("Red", Variables!A:C , 2 , FALSE) + (VLOOKUP("Yellow", Variables!A:C , 2 , FALSE) * 2) + VLOOKUP("Green", Variables!A:C , 2 , FALSE),
IFERROR(SEARCH("Blue, Yellow, Green, Green",P30),0) &gt; 0 , VLOOKUP("Blue", Variables!A:C , 2 , FALSE) + VLOOKUP("Yellow", Variables!A:C , 2 , FALSE)  + (VLOOKUP("Green", Variables!A:C , 2 , FALSE) * 2),
IFERROR(SEARCH("Blue, Red, Yellow, Yellow",P30),0) &gt; 0 , VLOOKUP("Blue", Variables!A:C , 2 , FALSE) + VLOOKUP("Yellow", Variables!A:C , 2 , FALSE) * 2  + (VLOOKUP("Red", Variables!A:C , 2 , FALSE) * 2),
IFERROR(SEARCH("Blue, Red, Red",P30),0) &gt; 0 , VLOOKUP("Blue", Variables!A:C , 2 , FALSE) + VLOOKUP("Red", Variables!A:C , 2 , FALSE) * 2,
IFERROR(SEARCH("Blue, Yellow, Yellow",P30),0) &gt; 0 , VLOOKUP("Blue", Variables!A:C , 2 , FALSE) + (VLOOKUP("Yellow", Variables!A:C , 2 , FALSE) * 2),
IFERROR(SEARCH("Blue, Yellow, Green",P30),0) &gt; 0 , VLOOKUP("Blue", Variables!A:C , 2 , FALSE) + VLOOKUP("Yellow", Variables!A:C , 2 , FALSE) + VLOOKUP("Green", Variables!A:C , 2 , FALSE),
IFERROR(SEARCH("Blue, Red, Green",P30),0) &gt; 0 , VLOOKUP("Blue", Variables!A:C , 2 , FALSE) + VLOOKUP("Red", Variables!A:C , 2 , FALSE) + VLOOKUP("Green", Variables!A:C , 2 , FALSE),
IFERROR(SEARCH("Blue, Red, Yellow",P30),0) &gt; 0 , VLOOKUP("Blue", Variables!A:C , 2 , FALSE) + VLOOKUP("Red", Variables!A:C , 2 , FALSE) + VLOOKUP("Yellow", Variables!A:C , 2 , FALSE),
IFERROR(SEARCH("Blue, Green, Green",P30),0) &gt; 0 , VLOOKUP("Blue", Variables!A:C , 2 , FALSE) + (VLOOKUP("Green", Variables!A:C , 2 , FALSE) * 2),
IFERROR(SEARCH("Blue, Yellow",P30),0) &gt; 0 , VLOOKUP("Blue", Variables!A:C , 2 , FALSE) + VLOOKUP("Yellow", Variables!A:C , 2 , FALSE),
IFERROR(SEARCH("Blue, Red",P30),0) &gt; 0 , VLOOKUP("Blue", Variables!A:C , 2 , FALSE) + VLOOKUP("Red", Variables!A:C , 2 , FALSE),
IFERROR(SEARCH("Blue, Green",P30),0) &gt; 0 , VLOOKUP("Blue", Variables!A:C , 2 , FALSE) + VLOOKUP("Green", Variables!A:C , 2 , FALSE),
IFERROR(SEARCH("Green",P30),0) &gt; 0 , VLOOKUP("Green", Variables!A:C , 2 , FALSE),
IFERROR(SEARCH("Blue",P30),0) &gt; 0 , VLOOKUP("Blue", Variables!A:C , 2 , FALSE),
IFERROR(SEARCH("Yellow",P30),0) &gt; 0 , VLOOKUP("Yellow", Variables!A:C , 2 , FALSE),
IFERROR(SEARCH("Black, Black",P30),0) &gt; 0 , VLOOKUP("Black", Variables!A:C , 2, FALSE) * 2,
IFERROR(SEARCH("Grey, Grey",P30),0) &gt; 0 , VLOOKUP("Grey", Variables!A:C , 2, FALSE) * 2,
IFERROR(SEARCH("Grey, Brown",P30),0) &gt; 0 , VLOOKUP("Grey", Variables!A:C , 2, FALSE)  + VLOOKUP("Brown", Variables!A:C , 2, FALSE),
IFERROR(SEARCH("Black, Grey",P30),0) &gt; 0 , VLOOKUP("Black", Variables!A:C , 2, FALSE) + VLOOKUP("Grey", Variables!A:C , 2, FALSE),
IFERROR(SEARCH("Black, Brown",P30),0) &gt; 0 , VLOOKUP("Black", Variables!A:C , 2, FALSE) + VLOOKUP("Brown", Variables!A:C , 2, FALSE),
IFERROR(SEARCH("Black",P30),0) &gt; 0 , VLOOKUP("Black", Variables!A:C , 2, FALSE),
IFERROR(SEARCH("Grey",P30),0) &gt; 0 , VLOOKUP("Grey", Variables!A:C , 2, FALSE),
IFERROR(SEARCH("Brown",P30),0) &gt; 0 , VLOOKUP("Brown", Variables!A:C , 2, FALSE),
0=0,0)
+
IF(O30 ="Ranged", 1 , 0)</f>
        <v>4.5</v>
      </c>
      <c r="R30" s="343" t="s">
        <v>1009</v>
      </c>
      <c r="S30" s="342">
        <f>IFERROR(__xludf.DUMMYFUNCTION("IF(ISBLANK(R30), , 
SWITCH(
LEN(R30)- LEN(SUBSTITUTE(R30,"","","""")), 
0 , VLOOKUP(R30, vote4TRAITS!A:C , 3, FALSE),
1 , VLOOKUP(index(split(R30 ,"", "", FALSE),1,1), vote4TRAITS!A:C , 3, FALSE) + VLOOKUP(index(split(R30 ,"", "", FALSE),1,2), vote4TRAITS"&amp;"!A:C , 3, FALSE),
2 , VLOOKUP(index(split(R30 ,"", "", FALSE),1,1), vote4TRAITS!A:C , 3, FALSE) + VLOOKUP(index(split(R30 ,"", "", FALSE),1,2), vote4TRAITS!A:C , 3, FALSE) + VLOOKUP(index(split(R30 ,"", "", FALSE),1,3), vote4TRAITS!A:C , 3, FALSE)
)
)"),6.5)</f>
        <v>6.5</v>
      </c>
      <c r="T30" s="343" t="s">
        <v>1387</v>
      </c>
      <c r="U30" s="343">
        <f>IFERROR(__xludf.DUMMYFUNCTION("IF(ISBLANK(T30), , 
SWITCH(
LEN(T30)- LEN(SUBSTITUTE(T30,"","","""")), 
0 , VLOOKUP(T30, vote4ACTIONS!A:C , 3, FALSE),
1 , VLOOKUP(index(split(T30 ,"", "", FALSE),1,1), vote4ACTIONS!A:C , 3, FALSE) + VLOOKUP(index(split(T30 ,"", "", FALSE),1,2), vote4ACTI"&amp;"ONS!A:C , 3, FALSE),
2 , VLOOKUP(index(split(T30 ,"", "", FALSE),1,1), vote4ACTIONS!A:C , 3, FALSE) + VLOOKUP(index(split(T30 ,"", "", FALSE),1,2), vote4ACTIONS!A:C , 3, FALSE) + VLOOKUP(index(split(T30 ,"", "", FALSE),1,3), vote4ACTIONS!A:C , 3, FALSE)
)"&amp;"
)"),5.0)</f>
        <v>5</v>
      </c>
      <c r="V30" s="343" t="s">
        <v>2716</v>
      </c>
      <c r="W30" s="517">
        <f>IF(ISBLANK(V30),,IF(IFERROR(SEARCH("SS:",V30),0) &gt; 0, 
VLOOKUP(SUBSTITUTE(V30,"SS: ",""),vote4SURGE!$A:$C , 3, FALSE) - 2,
VLOOKUP(SUBSTITUTE(V30,"S: ",""),vote4SURGE!$A:$C , 3, FALSE)
)
)</f>
        <v>5.666666667</v>
      </c>
      <c r="X30" s="343" t="s">
        <v>1562</v>
      </c>
      <c r="Y30" s="517">
        <f>IF(ISBLANK(X30),,IF(IFERROR(SEARCH("SS:",X30),0) &gt; 0, 
VLOOKUP(SUBSTITUTE(X30,"SS: ",""),vote4SURGE!$A:$C , 3, FALSE) - 2,
VLOOKUP(SUBSTITUTE(X30,"S: ",""),vote4SURGE!$A:$C , 3, FALSE)
)
)</f>
        <v>3.5</v>
      </c>
      <c r="Z30" s="343"/>
      <c r="AA30" s="343" t="str">
        <f>IF(ISBLANK(Z30),,IF(IFERROR(SEARCH("SS:",Z30),0) &gt; 0, 
VLOOKUP(SUBSTITUTE(Z30,"SS: ",""),vote4SURGE!$A:$C , 3, FALSE) - 2,
VLOOKUP(SUBSTITUTE(Z30,"S: ",""),vote4SURGE!$A:$C , 3, FALSE)
)
)</f>
        <v/>
      </c>
      <c r="AB30" s="517">
        <f t="shared" si="7"/>
        <v>7.416666667</v>
      </c>
      <c r="AC30" s="343">
        <f>ROUND(IFS(
IFERROR(SEARCH("Blue, Yellow, Yellow, Green",P30),0) &gt; 0 , VLOOKUP("Blue", Variables!A:C , 3 , FALSE) + (VLOOKUP("Yellow", Variables!A:C , 3 , FALSE) * 2) + VLOOKUP("Green", Variables!A:C , 3 , FALSE),
IFERROR(SEARCH("Blue, Yellow, Green, Green",P30),0) &gt; 0 , VLOOKUP("Blue", Variables!A:C , 3 , FALSE) + VLOOKUP("Yellow", Variables!A:C , 3 , FALSE)  + (VLOOKUP("Green", Variables!A:C , 3 , FALSE) * 2),
IFERROR(SEARCH("Blue, Red, Red",P30),0) &gt; 0 , VLOOKUP("Blue", Variables!A:C , 3 , FALSE) + VLOOKUP("Red", Variables!A:C , 3 , FALSE) * 2,
IFERROR(SEARCH("Blue, Yellow, Yellow",P30),0) &gt; 0 , VLOOKUP("Blue", Variables!A:C , 3 , FALSE) + (VLOOKUP("Yellow", Variables!A:C , 3 , FALSE) * 2),
IFERROR(SEARCH("Blue, Yellow, Green",P30),0) &gt; 0 , VLOOKUP("Blue", Variables!A:C , 3 , FALSE) + VLOOKUP("Yellow", Variables!A:C , 3 , FALSE) + VLOOKUP("Green", Variables!A:C , 3 , FALSE),
IFERROR(SEARCH("Blue, Red, Green",P30),0) &gt; 0 , VLOOKUP("Blue", Variables!A:C , 3 , FALSE) + VLOOKUP("Red", Variables!A:C , 3 , FALSE) + VLOOKUP("Green", Variables!A:C , 3 , FALSE),
IFERROR(SEARCH("Blue, Red, Yellow",P30),0) &gt; 0 , VLOOKUP("Blue", Variables!A:C , 3 , FALSE) + VLOOKUP("Red", Variables!A:C , 3 , FALSE) + VLOOKUP("Yellow", Variables!A:C , 3 , FALSE),
IFERROR(SEARCH("Blue, Green, Green",P30),0) &gt; 0 , VLOOKUP("Blue", Variables!A:C , 3 , FALSE) + (VLOOKUP("Green", Variables!A:C , 3 , FALSE) * 2),
IFERROR(SEARCH("Blue, Yellow",P30),0) &gt; 0 , VLOOKUP("Blue", Variables!A:C , 3 , FALSE) + VLOOKUP("Yellow", Variables!A:C , 3 , FALSE),
IFERROR(SEARCH("Blue, Red",P30),0) &gt; 0 , VLOOKUP("Blue", Variables!A:C , 3 , FALSE) + VLOOKUP("Red", Variables!A:C , 3 , FALSE),
IFERROR(SEARCH("Blue, Green",P30),0) &gt; 0 , VLOOKUP("Blue", Variables!A:C , 3 , FALSE) + VLOOKUP("Green", Variables!A:C , 3 , FALSE),
IFERROR(SEARCH("Green",P30),0) &gt; 0 , VLOOKUP("Green", Variables!A:C , 3 , FALSE),
IFERROR(SEARCH("Blue",P30),0) &gt; 0 , VLOOKUP("Blue", Variables!A:C , 3 , FALSE),
IFERROR(SEARCH("Yellow",P30),0) &gt; 0 , VLOOKUP("Yellow", Variables!A:C , 3 , FALSE),
IFERROR(SEARCH("Black, Black",P30),0) &gt; 0 , VLOOKUP("Black", Variables!A:C , 3 , FALSE) * 2,
IFERROR(SEARCH("Grey, Grey",P30),0) &gt; 0 , VLOOKUP("Grey", Variables!A:C , 3 , FALSE) * 2,
IFERROR(SEARCH("Grey, Brown",P30),0) &gt; 0 , VLOOKUP("Grey", Variables!A:C , 3 , FALSE)  + VLOOKUP("Brown", Variables!A:C , 3 , FALSE),
IFERROR(SEARCH("Black, Grey",P30),0) &gt; 0 , VLOOKUP("Black", Variables!A:C , 3 , FALSE) + VLOOKUP("Grey", Variables!A:C , 3 , FALSE),
IFERROR(SEARCH("Black, Brown",P30),0) &gt; 0 , VLOOKUP("Black", Variables!A:C , 3 , FALSE) + VLOOKUP("Brown", Variables!A:C , 3 , FALSE),
IFERROR(SEARCH("Black",P30),0) &gt; 0 , VLOOKUP("Black", Variables!A:C , 3 , FALSE),
IFERROR(SEARCH("Grey",P30),0) &gt; 0 , VLOOKUP("Grey", Variables!A:C , 3 , FALSE),
IFERROR(SEARCH("Brown",P30),0) &gt; 0 , VLOOKUP("Brown", Variables!A:C , 3 , FALSE),
0=0,0)
,
)</f>
        <v>1</v>
      </c>
      <c r="AD30" s="343">
        <f t="shared" si="8"/>
        <v>2</v>
      </c>
      <c r="AE30" s="345">
        <f t="shared" si="9"/>
        <v>23.41666667</v>
      </c>
      <c r="AF30" s="383"/>
    </row>
    <row r="31" ht="15.75" customHeight="1">
      <c r="A31" s="509" t="s">
        <v>2717</v>
      </c>
      <c r="B31" s="510">
        <v>1.0</v>
      </c>
      <c r="C31" s="510">
        <v>1.0</v>
      </c>
      <c r="D31" s="511" t="s">
        <v>2669</v>
      </c>
      <c r="E31" s="512" t="s">
        <v>2718</v>
      </c>
      <c r="F31" s="513">
        <v>3.0</v>
      </c>
      <c r="G31" s="514">
        <v>7.0</v>
      </c>
      <c r="H31" s="515" t="s">
        <v>1621</v>
      </c>
      <c r="I31" s="513">
        <v>3.0</v>
      </c>
      <c r="J31" s="514">
        <v>9.0</v>
      </c>
      <c r="K31" s="515" t="s">
        <v>1663</v>
      </c>
      <c r="L31" s="513">
        <v>3.0</v>
      </c>
      <c r="M31" s="514">
        <v>13.0</v>
      </c>
      <c r="N31" s="515" t="s">
        <v>1663</v>
      </c>
      <c r="O31" s="343" t="s">
        <v>1521</v>
      </c>
      <c r="P31" s="343" t="s">
        <v>1525</v>
      </c>
      <c r="Q31" s="342">
        <f>IFS(
IFERROR(SEARCH("Blue, Yellow, Yellow, Green",P31),0) &gt; 0 , VLOOKUP("Blue", Variables!A:C , 2 , FALSE) + (VLOOKUP("Yellow", Variables!A:C , 2 , FALSE) * 2) + VLOOKUP("Green", Variables!A:C , 2 , FALSE),
IFERROR(SEARCH("Blue, Red, Yellow, Green",P31),0) &gt; 0 , VLOOKUP("Blue", Variables!A:C , 2 , FALSE) + VLOOKUP("Red", Variables!A:C , 2 , FALSE) + (VLOOKUP("Yellow", Variables!A:C , 2 , FALSE) * 2) + VLOOKUP("Green", Variables!A:C , 2 , FALSE),
IFERROR(SEARCH("Blue, Yellow, Green, Green",P31),0) &gt; 0 , VLOOKUP("Blue", Variables!A:C , 2 , FALSE) + VLOOKUP("Yellow", Variables!A:C , 2 , FALSE)  + (VLOOKUP("Green", Variables!A:C , 2 , FALSE) * 2),
IFERROR(SEARCH("Blue, Red, Yellow, Yellow",P31),0) &gt; 0 , VLOOKUP("Blue", Variables!A:C , 2 , FALSE) + VLOOKUP("Yellow", Variables!A:C , 2 , FALSE) * 2  + (VLOOKUP("Red", Variables!A:C , 2 , FALSE) * 2),
IFERROR(SEARCH("Blue, Red, Red",P31),0) &gt; 0 , VLOOKUP("Blue", Variables!A:C , 2 , FALSE) + VLOOKUP("Red", Variables!A:C , 2 , FALSE) * 2,
IFERROR(SEARCH("Blue, Yellow, Yellow",P31),0) &gt; 0 , VLOOKUP("Blue", Variables!A:C , 2 , FALSE) + (VLOOKUP("Yellow", Variables!A:C , 2 , FALSE) * 2),
IFERROR(SEARCH("Blue, Yellow, Green",P31),0) &gt; 0 , VLOOKUP("Blue", Variables!A:C , 2 , FALSE) + VLOOKUP("Yellow", Variables!A:C , 2 , FALSE) + VLOOKUP("Green", Variables!A:C , 2 , FALSE),
IFERROR(SEARCH("Blue, Red, Green",P31),0) &gt; 0 , VLOOKUP("Blue", Variables!A:C , 2 , FALSE) + VLOOKUP("Red", Variables!A:C , 2 , FALSE) + VLOOKUP("Green", Variables!A:C , 2 , FALSE),
IFERROR(SEARCH("Blue, Red, Yellow",P31),0) &gt; 0 , VLOOKUP("Blue", Variables!A:C , 2 , FALSE) + VLOOKUP("Red", Variables!A:C , 2 , FALSE) + VLOOKUP("Yellow", Variables!A:C , 2 , FALSE),
IFERROR(SEARCH("Blue, Green, Green",P31),0) &gt; 0 , VLOOKUP("Blue", Variables!A:C , 2 , FALSE) + (VLOOKUP("Green", Variables!A:C , 2 , FALSE) * 2),
IFERROR(SEARCH("Blue, Yellow",P31),0) &gt; 0 , VLOOKUP("Blue", Variables!A:C , 2 , FALSE) + VLOOKUP("Yellow", Variables!A:C , 2 , FALSE),
IFERROR(SEARCH("Blue, Red",P31),0) &gt; 0 , VLOOKUP("Blue", Variables!A:C , 2 , FALSE) + VLOOKUP("Red", Variables!A:C , 2 , FALSE),
IFERROR(SEARCH("Blue, Green",P31),0) &gt; 0 , VLOOKUP("Blue", Variables!A:C , 2 , FALSE) + VLOOKUP("Green", Variables!A:C , 2 , FALSE),
IFERROR(SEARCH("Green",P31),0) &gt; 0 , VLOOKUP("Green", Variables!A:C , 2 , FALSE),
IFERROR(SEARCH("Blue",P31),0) &gt; 0 , VLOOKUP("Blue", Variables!A:C , 2 , FALSE),
IFERROR(SEARCH("Yellow",P31),0) &gt; 0 , VLOOKUP("Yellow", Variables!A:C , 2 , FALSE),
IFERROR(SEARCH("Black, Black",P31),0) &gt; 0 , VLOOKUP("Black", Variables!A:C , 2, FALSE) * 2,
IFERROR(SEARCH("Grey, Grey",P31),0) &gt; 0 , VLOOKUP("Grey", Variables!A:C , 2, FALSE) * 2,
IFERROR(SEARCH("Grey, Brown",P31),0) &gt; 0 , VLOOKUP("Grey", Variables!A:C , 2, FALSE)  + VLOOKUP("Brown", Variables!A:C , 2, FALSE),
IFERROR(SEARCH("Black, Grey",P31),0) &gt; 0 , VLOOKUP("Black", Variables!A:C , 2, FALSE) + VLOOKUP("Grey", Variables!A:C , 2, FALSE),
IFERROR(SEARCH("Black, Brown",P31),0) &gt; 0 , VLOOKUP("Black", Variables!A:C , 2, FALSE) + VLOOKUP("Brown", Variables!A:C , 2, FALSE),
IFERROR(SEARCH("Black",P31),0) &gt; 0 , VLOOKUP("Black", Variables!A:C , 2, FALSE),
IFERROR(SEARCH("Grey",P31),0) &gt; 0 , VLOOKUP("Grey", Variables!A:C , 2, FALSE),
IFERROR(SEARCH("Brown",P31),0) &gt; 0 , VLOOKUP("Brown", Variables!A:C , 2, FALSE),
0=0,0)
+
IF(O31 ="Ranged", 1 , 0)</f>
        <v>3.333333333</v>
      </c>
      <c r="R31" s="343" t="s">
        <v>1064</v>
      </c>
      <c r="S31" s="342">
        <f>IFERROR(__xludf.DUMMYFUNCTION("IF(ISBLANK(R31), , 
SWITCH(
LEN(R31)- LEN(SUBSTITUTE(R31,"","","""")), 
0 , VLOOKUP(R31, vote4TRAITS!A:C , 3, FALSE),
1 , VLOOKUP(index(split(R31 ,"", "", FALSE),1,1), vote4TRAITS!A:C , 3, FALSE) + VLOOKUP(index(split(R31 ,"", "", FALSE),1,2), vote4TRAITS"&amp;"!A:C , 3, FALSE),
2 , VLOOKUP(index(split(R31 ,"", "", FALSE),1,1), vote4TRAITS!A:C , 3, FALSE) + VLOOKUP(index(split(R31 ,"", "", FALSE),1,2), vote4TRAITS!A:C , 3, FALSE) + VLOOKUP(index(split(R31 ,"", "", FALSE),1,3), vote4TRAITS!A:C , 3, FALSE)
)
)"),2.0)</f>
        <v>2</v>
      </c>
      <c r="T31" s="343"/>
      <c r="U31" s="343" t="str">
        <f>IFERROR(__xludf.DUMMYFUNCTION("IF(ISBLANK(T31), , 
SWITCH(
LEN(T31)- LEN(SUBSTITUTE(T31,"","","""")), 
0 , VLOOKUP(T31, vote4ACTIONS!A:C , 3, FALSE),
1 , VLOOKUP(index(split(T31 ,"", "", FALSE),1,1), vote4ACTIONS!A:C , 3, FALSE) + VLOOKUP(index(split(T31 ,"", "", FALSE),1,2), vote4ACTI"&amp;"ONS!A:C , 3, FALSE),
2 , VLOOKUP(index(split(T31 ,"", "", FALSE),1,1), vote4ACTIONS!A:C , 3, FALSE) + VLOOKUP(index(split(T31 ,"", "", FALSE),1,2), vote4ACTIONS!A:C , 3, FALSE) + VLOOKUP(index(split(T31 ,"", "", FALSE),1,3), vote4ACTIONS!A:C , 3, FALSE)
)"&amp;"
)"),"")</f>
        <v/>
      </c>
      <c r="V31" s="343" t="s">
        <v>2632</v>
      </c>
      <c r="W31" s="517">
        <f>IF(ISBLANK(V31),,IF(IFERROR(SEARCH("SS:",V31),0) &gt; 0, 
VLOOKUP(SUBSTITUTE(V31,"SS: ",""),vote4SURGE!$A:$C , 3, FALSE) - 2,
VLOOKUP(SUBSTITUTE(V31,"S: ",""),vote4SURGE!$A:$C , 3, FALSE)
)
)</f>
        <v>4.25</v>
      </c>
      <c r="X31" s="343" t="s">
        <v>1562</v>
      </c>
      <c r="Y31" s="517">
        <f>IF(ISBLANK(X31),,IF(IFERROR(SEARCH("SS:",X31),0) &gt; 0, 
VLOOKUP(SUBSTITUTE(X31,"SS: ",""),vote4SURGE!$A:$C , 3, FALSE) - 2,
VLOOKUP(SUBSTITUTE(X31,"S: ",""),vote4SURGE!$A:$C , 3, FALSE)
)
)</f>
        <v>3.5</v>
      </c>
      <c r="Z31" s="343"/>
      <c r="AA31" s="343" t="str">
        <f>IF(ISBLANK(Z31),,IF(IFERROR(SEARCH("SS:",Z31),0) &gt; 0, 
VLOOKUP(SUBSTITUTE(Z31,"SS: ",""),vote4SURGE!$A:$C , 3, FALSE) - 2,
VLOOKUP(SUBSTITUTE(Z31,"S: ",""),vote4SURGE!$A:$C , 3, FALSE)
)
)</f>
        <v/>
      </c>
      <c r="AB31" s="517">
        <f t="shared" si="7"/>
        <v>6</v>
      </c>
      <c r="AC31" s="343">
        <f>ROUND(IFS(
IFERROR(SEARCH("Blue, Yellow, Yellow, Green",P31),0) &gt; 0 , VLOOKUP("Blue", Variables!A:C , 3 , FALSE) + (VLOOKUP("Yellow", Variables!A:C , 3 , FALSE) * 2) + VLOOKUP("Green", Variables!A:C , 3 , FALSE),
IFERROR(SEARCH("Blue, Yellow, Green, Green",P31),0) &gt; 0 , VLOOKUP("Blue", Variables!A:C , 3 , FALSE) + VLOOKUP("Yellow", Variables!A:C , 3 , FALSE)  + (VLOOKUP("Green", Variables!A:C , 3 , FALSE) * 2),
IFERROR(SEARCH("Blue, Red, Red",P31),0) &gt; 0 , VLOOKUP("Blue", Variables!A:C , 3 , FALSE) + VLOOKUP("Red", Variables!A:C , 3 , FALSE) * 2,
IFERROR(SEARCH("Blue, Yellow, Yellow",P31),0) &gt; 0 , VLOOKUP("Blue", Variables!A:C , 3 , FALSE) + (VLOOKUP("Yellow", Variables!A:C , 3 , FALSE) * 2),
IFERROR(SEARCH("Blue, Yellow, Green",P31),0) &gt; 0 , VLOOKUP("Blue", Variables!A:C , 3 , FALSE) + VLOOKUP("Yellow", Variables!A:C , 3 , FALSE) + VLOOKUP("Green", Variables!A:C , 3 , FALSE),
IFERROR(SEARCH("Blue, Red, Green",P31),0) &gt; 0 , VLOOKUP("Blue", Variables!A:C , 3 , FALSE) + VLOOKUP("Red", Variables!A:C , 3 , FALSE) + VLOOKUP("Green", Variables!A:C , 3 , FALSE),
IFERROR(SEARCH("Blue, Red, Yellow",P31),0) &gt; 0 , VLOOKUP("Blue", Variables!A:C , 3 , FALSE) + VLOOKUP("Red", Variables!A:C , 3 , FALSE) + VLOOKUP("Yellow", Variables!A:C , 3 , FALSE),
IFERROR(SEARCH("Blue, Green, Green",P31),0) &gt; 0 , VLOOKUP("Blue", Variables!A:C , 3 , FALSE) + (VLOOKUP("Green", Variables!A:C , 3 , FALSE) * 2),
IFERROR(SEARCH("Blue, Yellow",P31),0) &gt; 0 , VLOOKUP("Blue", Variables!A:C , 3 , FALSE) + VLOOKUP("Yellow", Variables!A:C , 3 , FALSE),
IFERROR(SEARCH("Blue, Red",P31),0) &gt; 0 , VLOOKUP("Blue", Variables!A:C , 3 , FALSE) + VLOOKUP("Red", Variables!A:C , 3 , FALSE),
IFERROR(SEARCH("Blue, Green",P31),0) &gt; 0 , VLOOKUP("Blue", Variables!A:C , 3 , FALSE) + VLOOKUP("Green", Variables!A:C , 3 , FALSE),
IFERROR(SEARCH("Green",P31),0) &gt; 0 , VLOOKUP("Green", Variables!A:C , 3 , FALSE),
IFERROR(SEARCH("Blue",P31),0) &gt; 0 , VLOOKUP("Blue", Variables!A:C , 3 , FALSE),
IFERROR(SEARCH("Yellow",P31),0) &gt; 0 , VLOOKUP("Yellow", Variables!A:C , 3 , FALSE),
IFERROR(SEARCH("Black, Black",P31),0) &gt; 0 , VLOOKUP("Black", Variables!A:C , 3 , FALSE) * 2,
IFERROR(SEARCH("Grey, Grey",P31),0) &gt; 0 , VLOOKUP("Grey", Variables!A:C , 3 , FALSE) * 2,
IFERROR(SEARCH("Grey, Brown",P31),0) &gt; 0 , VLOOKUP("Grey", Variables!A:C , 3 , FALSE)  + VLOOKUP("Brown", Variables!A:C , 3 , FALSE),
IFERROR(SEARCH("Black, Grey",P31),0) &gt; 0 , VLOOKUP("Black", Variables!A:C , 3 , FALSE) + VLOOKUP("Grey", Variables!A:C , 3 , FALSE),
IFERROR(SEARCH("Black, Brown",P31),0) &gt; 0 , VLOOKUP("Black", Variables!A:C , 3 , FALSE) + VLOOKUP("Brown", Variables!A:C , 3 , FALSE),
IFERROR(SEARCH("Black",P31),0) &gt; 0 , VLOOKUP("Black", Variables!A:C , 3 , FALSE),
IFERROR(SEARCH("Grey",P31),0) &gt; 0 , VLOOKUP("Grey", Variables!A:C , 3 , FALSE),
IFERROR(SEARCH("Brown",P31),0) &gt; 0 , VLOOKUP("Brown", Variables!A:C , 3 , FALSE),
0=0,0)
,
)</f>
        <v>1</v>
      </c>
      <c r="AD31" s="343">
        <f t="shared" si="8"/>
        <v>2</v>
      </c>
      <c r="AE31" s="345">
        <f t="shared" si="9"/>
        <v>11.33333333</v>
      </c>
      <c r="AF31" s="383"/>
    </row>
    <row r="32" ht="15.75" customHeight="1">
      <c r="A32" s="509" t="s">
        <v>2717</v>
      </c>
      <c r="B32" s="380">
        <v>2.0</v>
      </c>
      <c r="C32" s="380">
        <v>1.0</v>
      </c>
      <c r="D32" s="511" t="s">
        <v>2669</v>
      </c>
      <c r="E32" s="512" t="s">
        <v>2718</v>
      </c>
      <c r="F32" s="513">
        <v>3.0</v>
      </c>
      <c r="G32" s="514">
        <v>10.0</v>
      </c>
      <c r="H32" s="515" t="s">
        <v>1663</v>
      </c>
      <c r="I32" s="513">
        <v>3.0</v>
      </c>
      <c r="J32" s="514">
        <v>12.0</v>
      </c>
      <c r="K32" s="515" t="s">
        <v>2575</v>
      </c>
      <c r="L32" s="513">
        <v>3.0</v>
      </c>
      <c r="M32" s="514">
        <v>16.0</v>
      </c>
      <c r="N32" s="515" t="s">
        <v>2575</v>
      </c>
      <c r="O32" s="343" t="s">
        <v>1521</v>
      </c>
      <c r="P32" s="343" t="s">
        <v>1537</v>
      </c>
      <c r="Q32" s="342">
        <f>IFS(
IFERROR(SEARCH("Blue, Yellow, Yellow, Green",P32),0) &gt; 0 , VLOOKUP("Blue", Variables!A:C , 2 , FALSE) + (VLOOKUP("Yellow", Variables!A:C , 2 , FALSE) * 2) + VLOOKUP("Green", Variables!A:C , 2 , FALSE),
IFERROR(SEARCH("Blue, Red, Yellow, Green",P32),0) &gt; 0 , VLOOKUP("Blue", Variables!A:C , 2 , FALSE) + VLOOKUP("Red", Variables!A:C , 2 , FALSE) + (VLOOKUP("Yellow", Variables!A:C , 2 , FALSE) * 2) + VLOOKUP("Green", Variables!A:C , 2 , FALSE),
IFERROR(SEARCH("Blue, Yellow, Green, Green",P32),0) &gt; 0 , VLOOKUP("Blue", Variables!A:C , 2 , FALSE) + VLOOKUP("Yellow", Variables!A:C , 2 , FALSE)  + (VLOOKUP("Green", Variables!A:C , 2 , FALSE) * 2),
IFERROR(SEARCH("Blue, Red, Yellow, Yellow",P32),0) &gt; 0 , VLOOKUP("Blue", Variables!A:C , 2 , FALSE) + VLOOKUP("Yellow", Variables!A:C , 2 , FALSE) * 2  + (VLOOKUP("Red", Variables!A:C , 2 , FALSE) * 2),
IFERROR(SEARCH("Blue, Red, Red",P32),0) &gt; 0 , VLOOKUP("Blue", Variables!A:C , 2 , FALSE) + VLOOKUP("Red", Variables!A:C , 2 , FALSE) * 2,
IFERROR(SEARCH("Blue, Yellow, Yellow",P32),0) &gt; 0 , VLOOKUP("Blue", Variables!A:C , 2 , FALSE) + (VLOOKUP("Yellow", Variables!A:C , 2 , FALSE) * 2),
IFERROR(SEARCH("Blue, Yellow, Green",P32),0) &gt; 0 , VLOOKUP("Blue", Variables!A:C , 2 , FALSE) + VLOOKUP("Yellow", Variables!A:C , 2 , FALSE) + VLOOKUP("Green", Variables!A:C , 2 , FALSE),
IFERROR(SEARCH("Blue, Red, Green",P32),0) &gt; 0 , VLOOKUP("Blue", Variables!A:C , 2 , FALSE) + VLOOKUP("Red", Variables!A:C , 2 , FALSE) + VLOOKUP("Green", Variables!A:C , 2 , FALSE),
IFERROR(SEARCH("Blue, Red, Yellow",P32),0) &gt; 0 , VLOOKUP("Blue", Variables!A:C , 2 , FALSE) + VLOOKUP("Red", Variables!A:C , 2 , FALSE) + VLOOKUP("Yellow", Variables!A:C , 2 , FALSE),
IFERROR(SEARCH("Blue, Green, Green",P32),0) &gt; 0 , VLOOKUP("Blue", Variables!A:C , 2 , FALSE) + (VLOOKUP("Green", Variables!A:C , 2 , FALSE) * 2),
IFERROR(SEARCH("Blue, Yellow",P32),0) &gt; 0 , VLOOKUP("Blue", Variables!A:C , 2 , FALSE) + VLOOKUP("Yellow", Variables!A:C , 2 , FALSE),
IFERROR(SEARCH("Blue, Red",P32),0) &gt; 0 , VLOOKUP("Blue", Variables!A:C , 2 , FALSE) + VLOOKUP("Red", Variables!A:C , 2 , FALSE),
IFERROR(SEARCH("Blue, Green",P32),0) &gt; 0 , VLOOKUP("Blue", Variables!A:C , 2 , FALSE) + VLOOKUP("Green", Variables!A:C , 2 , FALSE),
IFERROR(SEARCH("Green",P32),0) &gt; 0 , VLOOKUP("Green", Variables!A:C , 2 , FALSE),
IFERROR(SEARCH("Blue",P32),0) &gt; 0 , VLOOKUP("Blue", Variables!A:C , 2 , FALSE),
IFERROR(SEARCH("Yellow",P32),0) &gt; 0 , VLOOKUP("Yellow", Variables!A:C , 2 , FALSE),
IFERROR(SEARCH("Black, Black",P32),0) &gt; 0 , VLOOKUP("Black", Variables!A:C , 2, FALSE) * 2,
IFERROR(SEARCH("Grey, Grey",P32),0) &gt; 0 , VLOOKUP("Grey", Variables!A:C , 2, FALSE) * 2,
IFERROR(SEARCH("Grey, Brown",P32),0) &gt; 0 , VLOOKUP("Grey", Variables!A:C , 2, FALSE)  + VLOOKUP("Brown", Variables!A:C , 2, FALSE),
IFERROR(SEARCH("Black, Grey",P32),0) &gt; 0 , VLOOKUP("Black", Variables!A:C , 2, FALSE) + VLOOKUP("Grey", Variables!A:C , 2, FALSE),
IFERROR(SEARCH("Black, Brown",P32),0) &gt; 0 , VLOOKUP("Black", Variables!A:C , 2, FALSE) + VLOOKUP("Brown", Variables!A:C , 2, FALSE),
IFERROR(SEARCH("Black",P32),0) &gt; 0 , VLOOKUP("Black", Variables!A:C , 2, FALSE),
IFERROR(SEARCH("Grey",P32),0) &gt; 0 , VLOOKUP("Grey", Variables!A:C , 2, FALSE),
IFERROR(SEARCH("Brown",P32),0) &gt; 0 , VLOOKUP("Brown", Variables!A:C , 2, FALSE),
0=0,0)
+
IF(O32 ="Ranged", 1 , 0)</f>
        <v>4.5</v>
      </c>
      <c r="R32" s="343" t="s">
        <v>1064</v>
      </c>
      <c r="S32" s="342">
        <f>IFERROR(__xludf.DUMMYFUNCTION("IF(ISBLANK(R32), , 
SWITCH(
LEN(R32)- LEN(SUBSTITUTE(R32,"","","""")), 
0 , VLOOKUP(R32, vote4TRAITS!A:C , 3, FALSE),
1 , VLOOKUP(index(split(R32 ,"", "", FALSE),1,1), vote4TRAITS!A:C , 3, FALSE) + VLOOKUP(index(split(R32 ,"", "", FALSE),1,2), vote4TRAITS"&amp;"!A:C , 3, FALSE),
2 , VLOOKUP(index(split(R32 ,"", "", FALSE),1,1), vote4TRAITS!A:C , 3, FALSE) + VLOOKUP(index(split(R32 ,"", "", FALSE),1,2), vote4TRAITS!A:C , 3, FALSE) + VLOOKUP(index(split(R32 ,"", "", FALSE),1,3), vote4TRAITS!A:C , 3, FALSE)
)
)"),2.0)</f>
        <v>2</v>
      </c>
      <c r="T32" s="343" t="s">
        <v>1365</v>
      </c>
      <c r="U32" s="343">
        <f>IFERROR(__xludf.DUMMYFUNCTION("IF(ISBLANK(T32), , 
SWITCH(
LEN(T32)- LEN(SUBSTITUTE(T32,"","","""")), 
0 , VLOOKUP(T32, vote4ACTIONS!A:C , 3, FALSE),
1 , VLOOKUP(index(split(T32 ,"", "", FALSE),1,1), vote4ACTIONS!A:C , 3, FALSE) + VLOOKUP(index(split(T32 ,"", "", FALSE),1,2), vote4ACTI"&amp;"ONS!A:C , 3, FALSE),
2 , VLOOKUP(index(split(T32 ,"", "", FALSE),1,1), vote4ACTIONS!A:C , 3, FALSE) + VLOOKUP(index(split(T32 ,"", "", FALSE),1,2), vote4ACTIONS!A:C , 3, FALSE) + VLOOKUP(index(split(T32 ,"", "", FALSE),1,3), vote4ACTIONS!A:C , 3, FALSE)
)"&amp;"
)"),0.0)</f>
        <v>0</v>
      </c>
      <c r="V32" s="343" t="s">
        <v>2632</v>
      </c>
      <c r="W32" s="517">
        <f>IF(ISBLANK(V32),,IF(IFERROR(SEARCH("SS:",V32),0) &gt; 0, 
VLOOKUP(SUBSTITUTE(V32,"SS: ",""),vote4SURGE!$A:$C , 3, FALSE) - 2,
VLOOKUP(SUBSTITUTE(V32,"S: ",""),vote4SURGE!$A:$C , 3, FALSE)
)
)</f>
        <v>4.25</v>
      </c>
      <c r="X32" s="343" t="s">
        <v>1534</v>
      </c>
      <c r="Y32" s="517">
        <f>IF(ISBLANK(X32),,IF(IFERROR(SEARCH("SS:",X32),0) &gt; 0, 
VLOOKUP(SUBSTITUTE(X32,"SS: ",""),vote4SURGE!$A:$C , 3, FALSE) - 2,
VLOOKUP(SUBSTITUTE(X32,"S: ",""),vote4SURGE!$A:$C , 3, FALSE)
)
)</f>
        <v>4.25</v>
      </c>
      <c r="Z32" s="343"/>
      <c r="AA32" s="343" t="str">
        <f>IF(ISBLANK(Z32),,IF(IFERROR(SEARCH("SS:",Z32),0) &gt; 0, 
VLOOKUP(SUBSTITUTE(Z32,"SS: ",""),vote4SURGE!$A:$C , 3, FALSE) - 2,
VLOOKUP(SUBSTITUTE(Z32,"S: ",""),vote4SURGE!$A:$C , 3, FALSE)
)
)</f>
        <v/>
      </c>
      <c r="AB32" s="517">
        <f t="shared" si="7"/>
        <v>6.375</v>
      </c>
      <c r="AC32" s="343">
        <f>ROUND(IFS(
IFERROR(SEARCH("Blue, Yellow, Yellow, Green",P32),0) &gt; 0 , VLOOKUP("Blue", Variables!A:C , 3 , FALSE) + (VLOOKUP("Yellow", Variables!A:C , 3 , FALSE) * 2) + VLOOKUP("Green", Variables!A:C , 3 , FALSE),
IFERROR(SEARCH("Blue, Yellow, Green, Green",P32),0) &gt; 0 , VLOOKUP("Blue", Variables!A:C , 3 , FALSE) + VLOOKUP("Yellow", Variables!A:C , 3 , FALSE)  + (VLOOKUP("Green", Variables!A:C , 3 , FALSE) * 2),
IFERROR(SEARCH("Blue, Red, Red",P32),0) &gt; 0 , VLOOKUP("Blue", Variables!A:C , 3 , FALSE) + VLOOKUP("Red", Variables!A:C , 3 , FALSE) * 2,
IFERROR(SEARCH("Blue, Yellow, Yellow",P32),0) &gt; 0 , VLOOKUP("Blue", Variables!A:C , 3 , FALSE) + (VLOOKUP("Yellow", Variables!A:C , 3 , FALSE) * 2),
IFERROR(SEARCH("Blue, Yellow, Green",P32),0) &gt; 0 , VLOOKUP("Blue", Variables!A:C , 3 , FALSE) + VLOOKUP("Yellow", Variables!A:C , 3 , FALSE) + VLOOKUP("Green", Variables!A:C , 3 , FALSE),
IFERROR(SEARCH("Blue, Red, Green",P32),0) &gt; 0 , VLOOKUP("Blue", Variables!A:C , 3 , FALSE) + VLOOKUP("Red", Variables!A:C , 3 , FALSE) + VLOOKUP("Green", Variables!A:C , 3 , FALSE),
IFERROR(SEARCH("Blue, Red, Yellow",P32),0) &gt; 0 , VLOOKUP("Blue", Variables!A:C , 3 , FALSE) + VLOOKUP("Red", Variables!A:C , 3 , FALSE) + VLOOKUP("Yellow", Variables!A:C , 3 , FALSE),
IFERROR(SEARCH("Blue, Green, Green",P32),0) &gt; 0 , VLOOKUP("Blue", Variables!A:C , 3 , FALSE) + (VLOOKUP("Green", Variables!A:C , 3 , FALSE) * 2),
IFERROR(SEARCH("Blue, Yellow",P32),0) &gt; 0 , VLOOKUP("Blue", Variables!A:C , 3 , FALSE) + VLOOKUP("Yellow", Variables!A:C , 3 , FALSE),
IFERROR(SEARCH("Blue, Red",P32),0) &gt; 0 , VLOOKUP("Blue", Variables!A:C , 3 , FALSE) + VLOOKUP("Red", Variables!A:C , 3 , FALSE),
IFERROR(SEARCH("Blue, Green",P32),0) &gt; 0 , VLOOKUP("Blue", Variables!A:C , 3 , FALSE) + VLOOKUP("Green", Variables!A:C , 3 , FALSE),
IFERROR(SEARCH("Green",P32),0) &gt; 0 , VLOOKUP("Green", Variables!A:C , 3 , FALSE),
IFERROR(SEARCH("Blue",P32),0) &gt; 0 , VLOOKUP("Blue", Variables!A:C , 3 , FALSE),
IFERROR(SEARCH("Yellow",P32),0) &gt; 0 , VLOOKUP("Yellow", Variables!A:C , 3 , FALSE),
IFERROR(SEARCH("Black, Black",P32),0) &gt; 0 , VLOOKUP("Black", Variables!A:C , 3 , FALSE) * 2,
IFERROR(SEARCH("Grey, Grey",P32),0) &gt; 0 , VLOOKUP("Grey", Variables!A:C , 3 , FALSE) * 2,
IFERROR(SEARCH("Grey, Brown",P32),0) &gt; 0 , VLOOKUP("Grey", Variables!A:C , 3 , FALSE)  + VLOOKUP("Brown", Variables!A:C , 3 , FALSE),
IFERROR(SEARCH("Black, Grey",P32),0) &gt; 0 , VLOOKUP("Black", Variables!A:C , 3 , FALSE) + VLOOKUP("Grey", Variables!A:C , 3 , FALSE),
IFERROR(SEARCH("Black, Brown",P32),0) &gt; 0 , VLOOKUP("Black", Variables!A:C , 3 , FALSE) + VLOOKUP("Brown", Variables!A:C , 3 , FALSE),
IFERROR(SEARCH("Black",P32),0) &gt; 0 , VLOOKUP("Black", Variables!A:C , 3 , FALSE),
IFERROR(SEARCH("Grey",P32),0) &gt; 0 , VLOOKUP("Grey", Variables!A:C , 3 , FALSE),
IFERROR(SEARCH("Brown",P32),0) &gt; 0 , VLOOKUP("Brown", Variables!A:C , 3 , FALSE),
0=0,0)
,
)</f>
        <v>1</v>
      </c>
      <c r="AD32" s="343">
        <f t="shared" si="8"/>
        <v>2</v>
      </c>
      <c r="AE32" s="345">
        <f t="shared" si="9"/>
        <v>12.875</v>
      </c>
      <c r="AF32" s="383"/>
    </row>
    <row r="33" ht="15.75" customHeight="1">
      <c r="A33" s="509" t="s">
        <v>2719</v>
      </c>
      <c r="B33" s="510">
        <v>1.0</v>
      </c>
      <c r="C33" s="510">
        <v>1.0</v>
      </c>
      <c r="D33" s="511" t="s">
        <v>1861</v>
      </c>
      <c r="E33" s="512" t="s">
        <v>2720</v>
      </c>
      <c r="F33" s="513">
        <v>4.0</v>
      </c>
      <c r="G33" s="514">
        <v>10.0</v>
      </c>
      <c r="H33" s="515" t="s">
        <v>1663</v>
      </c>
      <c r="I33" s="513">
        <v>4.0</v>
      </c>
      <c r="J33" s="514">
        <v>12.0</v>
      </c>
      <c r="K33" s="515" t="s">
        <v>1663</v>
      </c>
      <c r="L33" s="513">
        <v>4.0</v>
      </c>
      <c r="M33" s="514">
        <v>14.0</v>
      </c>
      <c r="N33" s="515" t="s">
        <v>1671</v>
      </c>
      <c r="O33" s="343" t="s">
        <v>1567</v>
      </c>
      <c r="P33" s="343" t="s">
        <v>1525</v>
      </c>
      <c r="Q33" s="342">
        <f>IFS(
IFERROR(SEARCH("Blue, Yellow, Yellow, Green",P33),0) &gt; 0 , VLOOKUP("Blue", Variables!A:C , 2 , FALSE) + (VLOOKUP("Yellow", Variables!A:C , 2 , FALSE) * 2) + VLOOKUP("Green", Variables!A:C , 2 , FALSE),
IFERROR(SEARCH("Blue, Red, Yellow, Green",P33),0) &gt; 0 , VLOOKUP("Blue", Variables!A:C , 2 , FALSE) + VLOOKUP("Red", Variables!A:C , 2 , FALSE) + (VLOOKUP("Yellow", Variables!A:C , 2 , FALSE) * 2) + VLOOKUP("Green", Variables!A:C , 2 , FALSE),
IFERROR(SEARCH("Blue, Yellow, Green, Green",P33),0) &gt; 0 , VLOOKUP("Blue", Variables!A:C , 2 , FALSE) + VLOOKUP("Yellow", Variables!A:C , 2 , FALSE)  + (VLOOKUP("Green", Variables!A:C , 2 , FALSE) * 2),
IFERROR(SEARCH("Blue, Red, Yellow, Yellow",P33),0) &gt; 0 , VLOOKUP("Blue", Variables!A:C , 2 , FALSE) + VLOOKUP("Yellow", Variables!A:C , 2 , FALSE) * 2  + (VLOOKUP("Red", Variables!A:C , 2 , FALSE) * 2),
IFERROR(SEARCH("Blue, Red, Red",P33),0) &gt; 0 , VLOOKUP("Blue", Variables!A:C , 2 , FALSE) + VLOOKUP("Red", Variables!A:C , 2 , FALSE) * 2,
IFERROR(SEARCH("Blue, Yellow, Yellow",P33),0) &gt; 0 , VLOOKUP("Blue", Variables!A:C , 2 , FALSE) + (VLOOKUP("Yellow", Variables!A:C , 2 , FALSE) * 2),
IFERROR(SEARCH("Blue, Yellow, Green",P33),0) &gt; 0 , VLOOKUP("Blue", Variables!A:C , 2 , FALSE) + VLOOKUP("Yellow", Variables!A:C , 2 , FALSE) + VLOOKUP("Green", Variables!A:C , 2 , FALSE),
IFERROR(SEARCH("Blue, Red, Green",P33),0) &gt; 0 , VLOOKUP("Blue", Variables!A:C , 2 , FALSE) + VLOOKUP("Red", Variables!A:C , 2 , FALSE) + VLOOKUP("Green", Variables!A:C , 2 , FALSE),
IFERROR(SEARCH("Blue, Red, Yellow",P33),0) &gt; 0 , VLOOKUP("Blue", Variables!A:C , 2 , FALSE) + VLOOKUP("Red", Variables!A:C , 2 , FALSE) + VLOOKUP("Yellow", Variables!A:C , 2 , FALSE),
IFERROR(SEARCH("Blue, Green, Green",P33),0) &gt; 0 , VLOOKUP("Blue", Variables!A:C , 2 , FALSE) + (VLOOKUP("Green", Variables!A:C , 2 , FALSE) * 2),
IFERROR(SEARCH("Blue, Yellow",P33),0) &gt; 0 , VLOOKUP("Blue", Variables!A:C , 2 , FALSE) + VLOOKUP("Yellow", Variables!A:C , 2 , FALSE),
IFERROR(SEARCH("Blue, Red",P33),0) &gt; 0 , VLOOKUP("Blue", Variables!A:C , 2 , FALSE) + VLOOKUP("Red", Variables!A:C , 2 , FALSE),
IFERROR(SEARCH("Blue, Green",P33),0) &gt; 0 , VLOOKUP("Blue", Variables!A:C , 2 , FALSE) + VLOOKUP("Green", Variables!A:C , 2 , FALSE),
IFERROR(SEARCH("Green",P33),0) &gt; 0 , VLOOKUP("Green", Variables!A:C , 2 , FALSE),
IFERROR(SEARCH("Blue",P33),0) &gt; 0 , VLOOKUP("Blue", Variables!A:C , 2 , FALSE),
IFERROR(SEARCH("Yellow",P33),0) &gt; 0 , VLOOKUP("Yellow", Variables!A:C , 2 , FALSE),
IFERROR(SEARCH("Black, Black",P33),0) &gt; 0 , VLOOKUP("Black", Variables!A:C , 2, FALSE) * 2,
IFERROR(SEARCH("Grey, Grey",P33),0) &gt; 0 , VLOOKUP("Grey", Variables!A:C , 2, FALSE) * 2,
IFERROR(SEARCH("Grey, Brown",P33),0) &gt; 0 , VLOOKUP("Grey", Variables!A:C , 2, FALSE)  + VLOOKUP("Brown", Variables!A:C , 2, FALSE),
IFERROR(SEARCH("Black, Grey",P33),0) &gt; 0 , VLOOKUP("Black", Variables!A:C , 2, FALSE) + VLOOKUP("Grey", Variables!A:C , 2, FALSE),
IFERROR(SEARCH("Black, Brown",P33),0) &gt; 0 , VLOOKUP("Black", Variables!A:C , 2, FALSE) + VLOOKUP("Brown", Variables!A:C , 2, FALSE),
IFERROR(SEARCH("Black",P33),0) &gt; 0 , VLOOKUP("Black", Variables!A:C , 2, FALSE),
IFERROR(SEARCH("Grey",P33),0) &gt; 0 , VLOOKUP("Grey", Variables!A:C , 2, FALSE),
IFERROR(SEARCH("Brown",P33),0) &gt; 0 , VLOOKUP("Brown", Variables!A:C , 2, FALSE),
0=0,0)
+
IF(O33 ="Ranged", 1 , 0)</f>
        <v>4.333333333</v>
      </c>
      <c r="R33" s="343" t="s">
        <v>2721</v>
      </c>
      <c r="S33" s="342">
        <f>IFERROR(__xludf.DUMMYFUNCTION("IF(ISBLANK(R33), , 
SWITCH(
LEN(R33)- LEN(SUBSTITUTE(R33,"","","""")), 
0 , VLOOKUP(R33, vote4TRAITS!A:C , 3, FALSE),
1 , VLOOKUP(index(split(R33 ,"", "", FALSE),1,1), vote4TRAITS!A:C , 3, FALSE) + VLOOKUP(index(split(R33 ,"", "", FALSE),1,2), vote4TRAITS"&amp;"!A:C , 3, FALSE),
2 , VLOOKUP(index(split(R33 ,"", "", FALSE),1,1), vote4TRAITS!A:C , 3, FALSE) + VLOOKUP(index(split(R33 ,"", "", FALSE),1,2), vote4TRAITS!A:C , 3, FALSE) + VLOOKUP(index(split(R33 ,"", "", FALSE),1,3), vote4TRAITS!A:C , 3, FALSE)
)
)"),10.833333333333332)</f>
        <v>10.83333333</v>
      </c>
      <c r="T33" s="343"/>
      <c r="U33" s="343" t="str">
        <f>IFERROR(__xludf.DUMMYFUNCTION("IF(ISBLANK(T33), , 
SWITCH(
LEN(T33)- LEN(SUBSTITUTE(T33,"","","""")), 
0 , VLOOKUP(T33, vote4ACTIONS!A:C , 3, FALSE),
1 , VLOOKUP(index(split(T33 ,"", "", FALSE),1,1), vote4ACTIONS!A:C , 3, FALSE) + VLOOKUP(index(split(T33 ,"", "", FALSE),1,2), vote4ACTI"&amp;"ONS!A:C , 3, FALSE),
2 , VLOOKUP(index(split(T33 ,"", "", FALSE),1,1), vote4ACTIONS!A:C , 3, FALSE) + VLOOKUP(index(split(T33 ,"", "", FALSE),1,2), vote4ACTIONS!A:C , 3, FALSE) + VLOOKUP(index(split(T33 ,"", "", FALSE),1,3), vote4ACTIONS!A:C , 3, FALSE)
)"&amp;"
)"),"")</f>
        <v/>
      </c>
      <c r="V33" s="343" t="s">
        <v>1534</v>
      </c>
      <c r="W33" s="517">
        <f>IF(ISBLANK(V33),,IF(IFERROR(SEARCH("SS:",V33),0) &gt; 0, 
VLOOKUP(SUBSTITUTE(V33,"SS: ",""),vote4SURGE!$A:$C , 3, FALSE) - 2,
VLOOKUP(SUBSTITUTE(V33,"S: ",""),vote4SURGE!$A:$C , 3, FALSE)
)
)</f>
        <v>4.25</v>
      </c>
      <c r="X33" s="343"/>
      <c r="Y33" s="343" t="str">
        <f>IF(ISBLANK(X33),,IF(IFERROR(SEARCH("SS:",X33),0) &gt; 0, 
VLOOKUP(SUBSTITUTE(X33,"SS: ",""),vote4SURGE!$A:$C , 3, FALSE) - 2,
VLOOKUP(SUBSTITUTE(X33,"S: ",""),vote4SURGE!$A:$C , 3, FALSE)
)
)</f>
        <v/>
      </c>
      <c r="Z33" s="343"/>
      <c r="AA33" s="343" t="str">
        <f>IF(ISBLANK(Z33),,IF(IFERROR(SEARCH("SS:",Z33),0) &gt; 0, 
VLOOKUP(SUBSTITUTE(Z33,"SS: ",""),vote4SURGE!$A:$C , 3, FALSE) - 2,
VLOOKUP(SUBSTITUTE(Z33,"S: ",""),vote4SURGE!$A:$C , 3, FALSE)
)
)</f>
        <v/>
      </c>
      <c r="AB33" s="343">
        <f t="shared" si="7"/>
        <v>4.25</v>
      </c>
      <c r="AC33" s="343">
        <f>ROUND(IFS(
IFERROR(SEARCH("Blue, Yellow, Yellow, Green",P33),0) &gt; 0 , VLOOKUP("Blue", Variables!A:C , 3 , FALSE) + (VLOOKUP("Yellow", Variables!A:C , 3 , FALSE) * 2) + VLOOKUP("Green", Variables!A:C , 3 , FALSE),
IFERROR(SEARCH("Blue, Yellow, Green, Green",P33),0) &gt; 0 , VLOOKUP("Blue", Variables!A:C , 3 , FALSE) + VLOOKUP("Yellow", Variables!A:C , 3 , FALSE)  + (VLOOKUP("Green", Variables!A:C , 3 , FALSE) * 2),
IFERROR(SEARCH("Blue, Red, Red",P33),0) &gt; 0 , VLOOKUP("Blue", Variables!A:C , 3 , FALSE) + VLOOKUP("Red", Variables!A:C , 3 , FALSE) * 2,
IFERROR(SEARCH("Blue, Yellow, Yellow",P33),0) &gt; 0 , VLOOKUP("Blue", Variables!A:C , 3 , FALSE) + (VLOOKUP("Yellow", Variables!A:C , 3 , FALSE) * 2),
IFERROR(SEARCH("Blue, Yellow, Green",P33),0) &gt; 0 , VLOOKUP("Blue", Variables!A:C , 3 , FALSE) + VLOOKUP("Yellow", Variables!A:C , 3 , FALSE) + VLOOKUP("Green", Variables!A:C , 3 , FALSE),
IFERROR(SEARCH("Blue, Red, Green",P33),0) &gt; 0 , VLOOKUP("Blue", Variables!A:C , 3 , FALSE) + VLOOKUP("Red", Variables!A:C , 3 , FALSE) + VLOOKUP("Green", Variables!A:C , 3 , FALSE),
IFERROR(SEARCH("Blue, Red, Yellow",P33),0) &gt; 0 , VLOOKUP("Blue", Variables!A:C , 3 , FALSE) + VLOOKUP("Red", Variables!A:C , 3 , FALSE) + VLOOKUP("Yellow", Variables!A:C , 3 , FALSE),
IFERROR(SEARCH("Blue, Green, Green",P33),0) &gt; 0 , VLOOKUP("Blue", Variables!A:C , 3 , FALSE) + (VLOOKUP("Green", Variables!A:C , 3 , FALSE) * 2),
IFERROR(SEARCH("Blue, Yellow",P33),0) &gt; 0 , VLOOKUP("Blue", Variables!A:C , 3 , FALSE) + VLOOKUP("Yellow", Variables!A:C , 3 , FALSE),
IFERROR(SEARCH("Blue, Red",P33),0) &gt; 0 , VLOOKUP("Blue", Variables!A:C , 3 , FALSE) + VLOOKUP("Red", Variables!A:C , 3 , FALSE),
IFERROR(SEARCH("Blue, Green",P33),0) &gt; 0 , VLOOKUP("Blue", Variables!A:C , 3 , FALSE) + VLOOKUP("Green", Variables!A:C , 3 , FALSE),
IFERROR(SEARCH("Green",P33),0) &gt; 0 , VLOOKUP("Green", Variables!A:C , 3 , FALSE),
IFERROR(SEARCH("Blue",P33),0) &gt; 0 , VLOOKUP("Blue", Variables!A:C , 3 , FALSE),
IFERROR(SEARCH("Yellow",P33),0) &gt; 0 , VLOOKUP("Yellow", Variables!A:C , 3 , FALSE),
IFERROR(SEARCH("Black, Black",P33),0) &gt; 0 , VLOOKUP("Black", Variables!A:C , 3 , FALSE) * 2,
IFERROR(SEARCH("Grey, Grey",P33),0) &gt; 0 , VLOOKUP("Grey", Variables!A:C , 3 , FALSE) * 2,
IFERROR(SEARCH("Grey, Brown",P33),0) &gt; 0 , VLOOKUP("Grey", Variables!A:C , 3 , FALSE)  + VLOOKUP("Brown", Variables!A:C , 3 , FALSE),
IFERROR(SEARCH("Black, Grey",P33),0) &gt; 0 , VLOOKUP("Black", Variables!A:C , 3 , FALSE) + VLOOKUP("Grey", Variables!A:C , 3 , FALSE),
IFERROR(SEARCH("Black, Brown",P33),0) &gt; 0 , VLOOKUP("Black", Variables!A:C , 3 , FALSE) + VLOOKUP("Brown", Variables!A:C , 3 , FALSE),
IFERROR(SEARCH("Black",P33),0) &gt; 0 , VLOOKUP("Black", Variables!A:C , 3 , FALSE),
IFERROR(SEARCH("Grey",P33),0) &gt; 0 , VLOOKUP("Grey", Variables!A:C , 3 , FALSE),
IFERROR(SEARCH("Brown",P33),0) &gt; 0 , VLOOKUP("Brown", Variables!A:C , 3 , FALSE),
0=0,0)
,
)</f>
        <v>1</v>
      </c>
      <c r="AD33" s="343">
        <f t="shared" si="8"/>
        <v>1</v>
      </c>
      <c r="AE33" s="345">
        <f t="shared" si="9"/>
        <v>19.41666667</v>
      </c>
      <c r="AF33" s="383"/>
    </row>
    <row r="34" ht="15.75" customHeight="1">
      <c r="A34" s="509" t="s">
        <v>2719</v>
      </c>
      <c r="B34" s="380">
        <v>2.0</v>
      </c>
      <c r="C34" s="380">
        <v>1.0</v>
      </c>
      <c r="D34" s="511" t="s">
        <v>1861</v>
      </c>
      <c r="E34" s="512" t="s">
        <v>2720</v>
      </c>
      <c r="F34" s="513">
        <v>4.0</v>
      </c>
      <c r="G34" s="514">
        <v>12.0</v>
      </c>
      <c r="H34" s="515" t="s">
        <v>1671</v>
      </c>
      <c r="I34" s="513">
        <v>4.0</v>
      </c>
      <c r="J34" s="514">
        <v>15.0</v>
      </c>
      <c r="K34" s="515" t="s">
        <v>2590</v>
      </c>
      <c r="L34" s="513">
        <v>4.0</v>
      </c>
      <c r="M34" s="514">
        <v>18.0</v>
      </c>
      <c r="N34" s="515" t="s">
        <v>2599</v>
      </c>
      <c r="O34" s="343" t="s">
        <v>1567</v>
      </c>
      <c r="P34" s="343" t="s">
        <v>1537</v>
      </c>
      <c r="Q34" s="342">
        <f>IFS(
IFERROR(SEARCH("Blue, Yellow, Yellow, Green",P34),0) &gt; 0 , VLOOKUP("Blue", Variables!A:C , 2 , FALSE) + (VLOOKUP("Yellow", Variables!A:C , 2 , FALSE) * 2) + VLOOKUP("Green", Variables!A:C , 2 , FALSE),
IFERROR(SEARCH("Blue, Red, Yellow, Green",P34),0) &gt; 0 , VLOOKUP("Blue", Variables!A:C , 2 , FALSE) + VLOOKUP("Red", Variables!A:C , 2 , FALSE) + (VLOOKUP("Yellow", Variables!A:C , 2 , FALSE) * 2) + VLOOKUP("Green", Variables!A:C , 2 , FALSE),
IFERROR(SEARCH("Blue, Yellow, Green, Green",P34),0) &gt; 0 , VLOOKUP("Blue", Variables!A:C , 2 , FALSE) + VLOOKUP("Yellow", Variables!A:C , 2 , FALSE)  + (VLOOKUP("Green", Variables!A:C , 2 , FALSE) * 2),
IFERROR(SEARCH("Blue, Red, Yellow, Yellow",P34),0) &gt; 0 , VLOOKUP("Blue", Variables!A:C , 2 , FALSE) + VLOOKUP("Yellow", Variables!A:C , 2 , FALSE) * 2  + (VLOOKUP("Red", Variables!A:C , 2 , FALSE) * 2),
IFERROR(SEARCH("Blue, Red, Red",P34),0) &gt; 0 , VLOOKUP("Blue", Variables!A:C , 2 , FALSE) + VLOOKUP("Red", Variables!A:C , 2 , FALSE) * 2,
IFERROR(SEARCH("Blue, Yellow, Yellow",P34),0) &gt; 0 , VLOOKUP("Blue", Variables!A:C , 2 , FALSE) + (VLOOKUP("Yellow", Variables!A:C , 2 , FALSE) * 2),
IFERROR(SEARCH("Blue, Yellow, Green",P34),0) &gt; 0 , VLOOKUP("Blue", Variables!A:C , 2 , FALSE) + VLOOKUP("Yellow", Variables!A:C , 2 , FALSE) + VLOOKUP("Green", Variables!A:C , 2 , FALSE),
IFERROR(SEARCH("Blue, Red, Green",P34),0) &gt; 0 , VLOOKUP("Blue", Variables!A:C , 2 , FALSE) + VLOOKUP("Red", Variables!A:C , 2 , FALSE) + VLOOKUP("Green", Variables!A:C , 2 , FALSE),
IFERROR(SEARCH("Blue, Red, Yellow",P34),0) &gt; 0 , VLOOKUP("Blue", Variables!A:C , 2 , FALSE) + VLOOKUP("Red", Variables!A:C , 2 , FALSE) + VLOOKUP("Yellow", Variables!A:C , 2 , FALSE),
IFERROR(SEARCH("Blue, Green, Green",P34),0) &gt; 0 , VLOOKUP("Blue", Variables!A:C , 2 , FALSE) + (VLOOKUP("Green", Variables!A:C , 2 , FALSE) * 2),
IFERROR(SEARCH("Blue, Yellow",P34),0) &gt; 0 , VLOOKUP("Blue", Variables!A:C , 2 , FALSE) + VLOOKUP("Yellow", Variables!A:C , 2 , FALSE),
IFERROR(SEARCH("Blue, Red",P34),0) &gt; 0 , VLOOKUP("Blue", Variables!A:C , 2 , FALSE) + VLOOKUP("Red", Variables!A:C , 2 , FALSE),
IFERROR(SEARCH("Blue, Green",P34),0) &gt; 0 , VLOOKUP("Blue", Variables!A:C , 2 , FALSE) + VLOOKUP("Green", Variables!A:C , 2 , FALSE),
IFERROR(SEARCH("Green",P34),0) &gt; 0 , VLOOKUP("Green", Variables!A:C , 2 , FALSE),
IFERROR(SEARCH("Blue",P34),0) &gt; 0 , VLOOKUP("Blue", Variables!A:C , 2 , FALSE),
IFERROR(SEARCH("Yellow",P34),0) &gt; 0 , VLOOKUP("Yellow", Variables!A:C , 2 , FALSE),
IFERROR(SEARCH("Black, Black",P34),0) &gt; 0 , VLOOKUP("Black", Variables!A:C , 2, FALSE) * 2,
IFERROR(SEARCH("Grey, Grey",P34),0) &gt; 0 , VLOOKUP("Grey", Variables!A:C , 2, FALSE) * 2,
IFERROR(SEARCH("Grey, Brown",P34),0) &gt; 0 , VLOOKUP("Grey", Variables!A:C , 2, FALSE)  + VLOOKUP("Brown", Variables!A:C , 2, FALSE),
IFERROR(SEARCH("Black, Grey",P34),0) &gt; 0 , VLOOKUP("Black", Variables!A:C , 2, FALSE) + VLOOKUP("Grey", Variables!A:C , 2, FALSE),
IFERROR(SEARCH("Black, Brown",P34),0) &gt; 0 , VLOOKUP("Black", Variables!A:C , 2, FALSE) + VLOOKUP("Brown", Variables!A:C , 2, FALSE),
IFERROR(SEARCH("Black",P34),0) &gt; 0 , VLOOKUP("Black", Variables!A:C , 2, FALSE),
IFERROR(SEARCH("Grey",P34),0) &gt; 0 , VLOOKUP("Grey", Variables!A:C , 2, FALSE),
IFERROR(SEARCH("Brown",P34),0) &gt; 0 , VLOOKUP("Brown", Variables!A:C , 2, FALSE),
0=0,0)
+
IF(O34 ="Ranged", 1 , 0)</f>
        <v>5.5</v>
      </c>
      <c r="R34" s="343" t="s">
        <v>2722</v>
      </c>
      <c r="S34" s="342">
        <f>IFERROR(__xludf.DUMMYFUNCTION("IF(ISBLANK(R34), , 
SWITCH(
LEN(R34)- LEN(SUBSTITUTE(R34,"","","""")), 
0 , VLOOKUP(R34, vote4TRAITS!A:C , 3, FALSE),
1 , VLOOKUP(index(split(R34 ,"", "", FALSE),1,1), vote4TRAITS!A:C , 3, FALSE) + VLOOKUP(index(split(R34 ,"", "", FALSE),1,2), vote4TRAITS"&amp;"!A:C , 3, FALSE),
2 , VLOOKUP(index(split(R34 ,"", "", FALSE),1,1), vote4TRAITS!A:C , 3, FALSE) + VLOOKUP(index(split(R34 ,"", "", FALSE),1,2), vote4TRAITS!A:C , 3, FALSE) + VLOOKUP(index(split(R34 ,"", "", FALSE),1,3), vote4TRAITS!A:C , 3, FALSE)
)
)"),11.833333333333332)</f>
        <v>11.83333333</v>
      </c>
      <c r="T34" s="343"/>
      <c r="U34" s="343" t="str">
        <f>IFERROR(__xludf.DUMMYFUNCTION("IF(ISBLANK(T34), , 
SWITCH(
LEN(T34)- LEN(SUBSTITUTE(T34,"","","""")), 
0 , VLOOKUP(T34, vote4ACTIONS!A:C , 3, FALSE),
1 , VLOOKUP(index(split(T34 ,"", "", FALSE),1,1), vote4ACTIONS!A:C , 3, FALSE) + VLOOKUP(index(split(T34 ,"", "", FALSE),1,2), vote4ACTI"&amp;"ONS!A:C , 3, FALSE),
2 , VLOOKUP(index(split(T34 ,"", "", FALSE),1,1), vote4ACTIONS!A:C , 3, FALSE) + VLOOKUP(index(split(T34 ,"", "", FALSE),1,2), vote4ACTIONS!A:C , 3, FALSE) + VLOOKUP(index(split(T34 ,"", "", FALSE),1,3), vote4ACTIONS!A:C , 3, FALSE)
)"&amp;"
)"),"")</f>
        <v/>
      </c>
      <c r="V34" s="343" t="s">
        <v>1539</v>
      </c>
      <c r="W34" s="517">
        <f>IF(ISBLANK(V34),,IF(IFERROR(SEARCH("SS:",V34),0) &gt; 0, 
VLOOKUP(SUBSTITUTE(V34,"SS: ",""),vote4SURGE!$A:$C , 3, FALSE) - 2,
VLOOKUP(SUBSTITUTE(V34,"S: ",""),vote4SURGE!$A:$C , 3, FALSE)
)
)</f>
        <v>5</v>
      </c>
      <c r="X34" s="343"/>
      <c r="Y34" s="343" t="str">
        <f>IF(ISBLANK(X34),,IF(IFERROR(SEARCH("SS:",X34),0) &gt; 0, 
VLOOKUP(SUBSTITUTE(X34,"SS: ",""),vote4SURGE!$A:$C , 3, FALSE) - 2,
VLOOKUP(SUBSTITUTE(X34,"S: ",""),vote4SURGE!$A:$C , 3, FALSE)
)
)</f>
        <v/>
      </c>
      <c r="Z34" s="343"/>
      <c r="AA34" s="343" t="str">
        <f>IF(ISBLANK(Z34),,IF(IFERROR(SEARCH("SS:",Z34),0) &gt; 0, 
VLOOKUP(SUBSTITUTE(Z34,"SS: ",""),vote4SURGE!$A:$C , 3, FALSE) - 2,
VLOOKUP(SUBSTITUTE(Z34,"S: ",""),vote4SURGE!$A:$C , 3, FALSE)
)
)</f>
        <v/>
      </c>
      <c r="AB34" s="343">
        <f t="shared" si="7"/>
        <v>5</v>
      </c>
      <c r="AC34" s="343">
        <f>ROUND(IFS(
IFERROR(SEARCH("Blue, Yellow, Yellow, Green",P34),0) &gt; 0 , VLOOKUP("Blue", Variables!A:C , 3 , FALSE) + (VLOOKUP("Yellow", Variables!A:C , 3 , FALSE) * 2) + VLOOKUP("Green", Variables!A:C , 3 , FALSE),
IFERROR(SEARCH("Blue, Yellow, Green, Green",P34),0) &gt; 0 , VLOOKUP("Blue", Variables!A:C , 3 , FALSE) + VLOOKUP("Yellow", Variables!A:C , 3 , FALSE)  + (VLOOKUP("Green", Variables!A:C , 3 , FALSE) * 2),
IFERROR(SEARCH("Blue, Red, Red",P34),0) &gt; 0 , VLOOKUP("Blue", Variables!A:C , 3 , FALSE) + VLOOKUP("Red", Variables!A:C , 3 , FALSE) * 2,
IFERROR(SEARCH("Blue, Yellow, Yellow",P34),0) &gt; 0 , VLOOKUP("Blue", Variables!A:C , 3 , FALSE) + (VLOOKUP("Yellow", Variables!A:C , 3 , FALSE) * 2),
IFERROR(SEARCH("Blue, Yellow, Green",P34),0) &gt; 0 , VLOOKUP("Blue", Variables!A:C , 3 , FALSE) + VLOOKUP("Yellow", Variables!A:C , 3 , FALSE) + VLOOKUP("Green", Variables!A:C , 3 , FALSE),
IFERROR(SEARCH("Blue, Red, Green",P34),0) &gt; 0 , VLOOKUP("Blue", Variables!A:C , 3 , FALSE) + VLOOKUP("Red", Variables!A:C , 3 , FALSE) + VLOOKUP("Green", Variables!A:C , 3 , FALSE),
IFERROR(SEARCH("Blue, Red, Yellow",P34),0) &gt; 0 , VLOOKUP("Blue", Variables!A:C , 3 , FALSE) + VLOOKUP("Red", Variables!A:C , 3 , FALSE) + VLOOKUP("Yellow", Variables!A:C , 3 , FALSE),
IFERROR(SEARCH("Blue, Green, Green",P34),0) &gt; 0 , VLOOKUP("Blue", Variables!A:C , 3 , FALSE) + (VLOOKUP("Green", Variables!A:C , 3 , FALSE) * 2),
IFERROR(SEARCH("Blue, Yellow",P34),0) &gt; 0 , VLOOKUP("Blue", Variables!A:C , 3 , FALSE) + VLOOKUP("Yellow", Variables!A:C , 3 , FALSE),
IFERROR(SEARCH("Blue, Red",P34),0) &gt; 0 , VLOOKUP("Blue", Variables!A:C , 3 , FALSE) + VLOOKUP("Red", Variables!A:C , 3 , FALSE),
IFERROR(SEARCH("Blue, Green",P34),0) &gt; 0 , VLOOKUP("Blue", Variables!A:C , 3 , FALSE) + VLOOKUP("Green", Variables!A:C , 3 , FALSE),
IFERROR(SEARCH("Green",P34),0) &gt; 0 , VLOOKUP("Green", Variables!A:C , 3 , FALSE),
IFERROR(SEARCH("Blue",P34),0) &gt; 0 , VLOOKUP("Blue", Variables!A:C , 3 , FALSE),
IFERROR(SEARCH("Yellow",P34),0) &gt; 0 , VLOOKUP("Yellow", Variables!A:C , 3 , FALSE),
IFERROR(SEARCH("Black, Black",P34),0) &gt; 0 , VLOOKUP("Black", Variables!A:C , 3 , FALSE) * 2,
IFERROR(SEARCH("Grey, Grey",P34),0) &gt; 0 , VLOOKUP("Grey", Variables!A:C , 3 , FALSE) * 2,
IFERROR(SEARCH("Grey, Brown",P34),0) &gt; 0 , VLOOKUP("Grey", Variables!A:C , 3 , FALSE)  + VLOOKUP("Brown", Variables!A:C , 3 , FALSE),
IFERROR(SEARCH("Black, Grey",P34),0) &gt; 0 , VLOOKUP("Black", Variables!A:C , 3 , FALSE) + VLOOKUP("Grey", Variables!A:C , 3 , FALSE),
IFERROR(SEARCH("Black, Brown",P34),0) &gt; 0 , VLOOKUP("Black", Variables!A:C , 3 , FALSE) + VLOOKUP("Brown", Variables!A:C , 3 , FALSE),
IFERROR(SEARCH("Black",P34),0) &gt; 0 , VLOOKUP("Black", Variables!A:C , 3 , FALSE),
IFERROR(SEARCH("Grey",P34),0) &gt; 0 , VLOOKUP("Grey", Variables!A:C , 3 , FALSE),
IFERROR(SEARCH("Brown",P34),0) &gt; 0 , VLOOKUP("Brown", Variables!A:C , 3 , FALSE),
0=0,0)
,
)</f>
        <v>1</v>
      </c>
      <c r="AD34" s="343">
        <f t="shared" si="8"/>
        <v>1</v>
      </c>
      <c r="AE34" s="345">
        <f t="shared" si="9"/>
        <v>22.33333333</v>
      </c>
      <c r="AF34" s="383"/>
    </row>
    <row r="35" ht="15.75" customHeight="1">
      <c r="A35" s="509" t="s">
        <v>2723</v>
      </c>
      <c r="B35" s="510">
        <v>1.0</v>
      </c>
      <c r="C35" s="510">
        <v>6.0</v>
      </c>
      <c r="D35" s="511" t="s">
        <v>1808</v>
      </c>
      <c r="E35" s="512" t="s">
        <v>2724</v>
      </c>
      <c r="F35" s="513">
        <v>3.0</v>
      </c>
      <c r="G35" s="514">
        <v>12.0</v>
      </c>
      <c r="H35" s="515" t="s">
        <v>2575</v>
      </c>
      <c r="I35" s="513">
        <v>3.0</v>
      </c>
      <c r="J35" s="514">
        <v>14.0</v>
      </c>
      <c r="K35" s="515" t="s">
        <v>2575</v>
      </c>
      <c r="L35" s="513">
        <v>3.0</v>
      </c>
      <c r="M35" s="514">
        <v>17.0</v>
      </c>
      <c r="N35" s="515" t="s">
        <v>2594</v>
      </c>
      <c r="O35" s="343" t="s">
        <v>1521</v>
      </c>
      <c r="P35" s="343" t="s">
        <v>1525</v>
      </c>
      <c r="Q35" s="342">
        <f>IFS(
IFERROR(SEARCH("Blue, Yellow, Yellow, Green",P35),0) &gt; 0 , VLOOKUP("Blue", Variables!A:C , 2 , FALSE) + (VLOOKUP("Yellow", Variables!A:C , 2 , FALSE) * 2) + VLOOKUP("Green", Variables!A:C , 2 , FALSE),
IFERROR(SEARCH("Blue, Red, Yellow, Green",P35),0) &gt; 0 , VLOOKUP("Blue", Variables!A:C , 2 , FALSE) + VLOOKUP("Red", Variables!A:C , 2 , FALSE) + (VLOOKUP("Yellow", Variables!A:C , 2 , FALSE) * 2) + VLOOKUP("Green", Variables!A:C , 2 , FALSE),
IFERROR(SEARCH("Blue, Yellow, Green, Green",P35),0) &gt; 0 , VLOOKUP("Blue", Variables!A:C , 2 , FALSE) + VLOOKUP("Yellow", Variables!A:C , 2 , FALSE)  + (VLOOKUP("Green", Variables!A:C , 2 , FALSE) * 2),
IFERROR(SEARCH("Blue, Red, Yellow, Yellow",P35),0) &gt; 0 , VLOOKUP("Blue", Variables!A:C , 2 , FALSE) + VLOOKUP("Yellow", Variables!A:C , 2 , FALSE) * 2  + (VLOOKUP("Red", Variables!A:C , 2 , FALSE) * 2),
IFERROR(SEARCH("Blue, Red, Red",P35),0) &gt; 0 , VLOOKUP("Blue", Variables!A:C , 2 , FALSE) + VLOOKUP("Red", Variables!A:C , 2 , FALSE) * 2,
IFERROR(SEARCH("Blue, Yellow, Yellow",P35),0) &gt; 0 , VLOOKUP("Blue", Variables!A:C , 2 , FALSE) + (VLOOKUP("Yellow", Variables!A:C , 2 , FALSE) * 2),
IFERROR(SEARCH("Blue, Yellow, Green",P35),0) &gt; 0 , VLOOKUP("Blue", Variables!A:C , 2 , FALSE) + VLOOKUP("Yellow", Variables!A:C , 2 , FALSE) + VLOOKUP("Green", Variables!A:C , 2 , FALSE),
IFERROR(SEARCH("Blue, Red, Green",P35),0) &gt; 0 , VLOOKUP("Blue", Variables!A:C , 2 , FALSE) + VLOOKUP("Red", Variables!A:C , 2 , FALSE) + VLOOKUP("Green", Variables!A:C , 2 , FALSE),
IFERROR(SEARCH("Blue, Red, Yellow",P35),0) &gt; 0 , VLOOKUP("Blue", Variables!A:C , 2 , FALSE) + VLOOKUP("Red", Variables!A:C , 2 , FALSE) + VLOOKUP("Yellow", Variables!A:C , 2 , FALSE),
IFERROR(SEARCH("Blue, Green, Green",P35),0) &gt; 0 , VLOOKUP("Blue", Variables!A:C , 2 , FALSE) + (VLOOKUP("Green", Variables!A:C , 2 , FALSE) * 2),
IFERROR(SEARCH("Blue, Yellow",P35),0) &gt; 0 , VLOOKUP("Blue", Variables!A:C , 2 , FALSE) + VLOOKUP("Yellow", Variables!A:C , 2 , FALSE),
IFERROR(SEARCH("Blue, Red",P35),0) &gt; 0 , VLOOKUP("Blue", Variables!A:C , 2 , FALSE) + VLOOKUP("Red", Variables!A:C , 2 , FALSE),
IFERROR(SEARCH("Blue, Green",P35),0) &gt; 0 , VLOOKUP("Blue", Variables!A:C , 2 , FALSE) + VLOOKUP("Green", Variables!A:C , 2 , FALSE),
IFERROR(SEARCH("Green",P35),0) &gt; 0 , VLOOKUP("Green", Variables!A:C , 2 , FALSE),
IFERROR(SEARCH("Blue",P35),0) &gt; 0 , VLOOKUP("Blue", Variables!A:C , 2 , FALSE),
IFERROR(SEARCH("Yellow",P35),0) &gt; 0 , VLOOKUP("Yellow", Variables!A:C , 2 , FALSE),
IFERROR(SEARCH("Black, Black",P35),0) &gt; 0 , VLOOKUP("Black", Variables!A:C , 2, FALSE) * 2,
IFERROR(SEARCH("Grey, Grey",P35),0) &gt; 0 , VLOOKUP("Grey", Variables!A:C , 2, FALSE) * 2,
IFERROR(SEARCH("Grey, Brown",P35),0) &gt; 0 , VLOOKUP("Grey", Variables!A:C , 2, FALSE)  + VLOOKUP("Brown", Variables!A:C , 2, FALSE),
IFERROR(SEARCH("Black, Grey",P35),0) &gt; 0 , VLOOKUP("Black", Variables!A:C , 2, FALSE) + VLOOKUP("Grey", Variables!A:C , 2, FALSE),
IFERROR(SEARCH("Black, Brown",P35),0) &gt; 0 , VLOOKUP("Black", Variables!A:C , 2, FALSE) + VLOOKUP("Brown", Variables!A:C , 2, FALSE),
IFERROR(SEARCH("Black",P35),0) &gt; 0 , VLOOKUP("Black", Variables!A:C , 2, FALSE),
IFERROR(SEARCH("Grey",P35),0) &gt; 0 , VLOOKUP("Grey", Variables!A:C , 2, FALSE),
IFERROR(SEARCH("Brown",P35),0) &gt; 0 , VLOOKUP("Brown", Variables!A:C , 2, FALSE),
0=0,0)
+
IF(O35 ="Ranged", 1 , 0)</f>
        <v>3.333333333</v>
      </c>
      <c r="R35" s="343" t="s">
        <v>2741</v>
      </c>
      <c r="S35" s="342">
        <f>IFERROR(__xludf.DUMMYFUNCTION("IF(ISBLANK(R35), , 
SWITCH(
LEN(R35)- LEN(SUBSTITUTE(R35,"","","""")), 
0 , VLOOKUP(R35, vote4TRAITS!A:C , 3, FALSE),
1 , VLOOKUP(index(split(R35 ,"", "", FALSE),1,1), vote4TRAITS!A:C , 3, FALSE) + VLOOKUP(index(split(R35 ,"", "", FALSE),1,2), vote4TRAITS"&amp;"!A:C , 3, FALSE),
2 , VLOOKUP(index(split(R35 ,"", "", FALSE),1,1), vote4TRAITS!A:C , 3, FALSE) + VLOOKUP(index(split(R35 ,"", "", FALSE),1,2), vote4TRAITS!A:C , 3, FALSE) + VLOOKUP(index(split(R35 ,"", "", FALSE),1,3), vote4TRAITS!A:C , 3, FALSE)
)
)"),4.25)</f>
        <v>4.25</v>
      </c>
      <c r="T35" s="343"/>
      <c r="U35" s="343" t="str">
        <f>IFERROR(__xludf.DUMMYFUNCTION("IF(ISBLANK(T35), , 
SWITCH(
LEN(T35)- LEN(SUBSTITUTE(T35,"","","""")), 
0 , VLOOKUP(T35, vote4ACTIONS!A:C , 3, FALSE),
1 , VLOOKUP(index(split(T35 ,"", "", FALSE),1,1), vote4ACTIONS!A:C , 3, FALSE) + VLOOKUP(index(split(T35 ,"", "", FALSE),1,2), vote4ACTI"&amp;"ONS!A:C , 3, FALSE),
2 , VLOOKUP(index(split(T35 ,"", "", FALSE),1,1), vote4ACTIONS!A:C , 3, FALSE) + VLOOKUP(index(split(T35 ,"", "", FALSE),1,2), vote4ACTIONS!A:C , 3, FALSE) + VLOOKUP(index(split(T35 ,"", "", FALSE),1,3), vote4ACTIONS!A:C , 3, FALSE)
)"&amp;"
)"),"")</f>
        <v/>
      </c>
      <c r="V35" s="343" t="s">
        <v>2618</v>
      </c>
      <c r="W35" s="517">
        <f>IF(ISBLANK(V35),,IF(IFERROR(SEARCH("SS:",V35),0) &gt; 0, 
VLOOKUP(SUBSTITUTE(V35,"SS: ",""),vote4SURGE!$A:$C , 3, FALSE) - 2,
VLOOKUP(SUBSTITUTE(V35,"S: ",""),vote4SURGE!$A:$C , 3, FALSE)
)
)</f>
        <v>7</v>
      </c>
      <c r="X35" s="343"/>
      <c r="Y35" s="343" t="str">
        <f>IF(ISBLANK(X35),,IF(IFERROR(SEARCH("SS:",X35),0) &gt; 0, 
VLOOKUP(SUBSTITUTE(X35,"SS: ",""),vote4SURGE!$A:$C , 3, FALSE) - 2,
VLOOKUP(SUBSTITUTE(X35,"S: ",""),vote4SURGE!$A:$C , 3, FALSE)
)
)</f>
        <v/>
      </c>
      <c r="Z35" s="343"/>
      <c r="AA35" s="343" t="str">
        <f>IF(ISBLANK(Z35),,IF(IFERROR(SEARCH("SS:",Z35),0) &gt; 0, 
VLOOKUP(SUBSTITUTE(Z35,"SS: ",""),vote4SURGE!$A:$C , 3, FALSE) - 2,
VLOOKUP(SUBSTITUTE(Z35,"S: ",""),vote4SURGE!$A:$C , 3, FALSE)
)
)</f>
        <v/>
      </c>
      <c r="AB35" s="343">
        <f t="shared" si="7"/>
        <v>7</v>
      </c>
      <c r="AC35" s="343">
        <f>ROUND(IFS(
IFERROR(SEARCH("Blue, Yellow, Yellow, Green",P35),0) &gt; 0 , VLOOKUP("Blue", Variables!A:C , 3 , FALSE) + (VLOOKUP("Yellow", Variables!A:C , 3 , FALSE) * 2) + VLOOKUP("Green", Variables!A:C , 3 , FALSE),
IFERROR(SEARCH("Blue, Yellow, Green, Green",P35),0) &gt; 0 , VLOOKUP("Blue", Variables!A:C , 3 , FALSE) + VLOOKUP("Yellow", Variables!A:C , 3 , FALSE)  + (VLOOKUP("Green", Variables!A:C , 3 , FALSE) * 2),
IFERROR(SEARCH("Blue, Red, Red",P35),0) &gt; 0 , VLOOKUP("Blue", Variables!A:C , 3 , FALSE) + VLOOKUP("Red", Variables!A:C , 3 , FALSE) * 2,
IFERROR(SEARCH("Blue, Yellow, Yellow",P35),0) &gt; 0 , VLOOKUP("Blue", Variables!A:C , 3 , FALSE) + (VLOOKUP("Yellow", Variables!A:C , 3 , FALSE) * 2),
IFERROR(SEARCH("Blue, Yellow, Green",P35),0) &gt; 0 , VLOOKUP("Blue", Variables!A:C , 3 , FALSE) + VLOOKUP("Yellow", Variables!A:C , 3 , FALSE) + VLOOKUP("Green", Variables!A:C , 3 , FALSE),
IFERROR(SEARCH("Blue, Red, Green",P35),0) &gt; 0 , VLOOKUP("Blue", Variables!A:C , 3 , FALSE) + VLOOKUP("Red", Variables!A:C , 3 , FALSE) + VLOOKUP("Green", Variables!A:C , 3 , FALSE),
IFERROR(SEARCH("Blue, Red, Yellow",P35),0) &gt; 0 , VLOOKUP("Blue", Variables!A:C , 3 , FALSE) + VLOOKUP("Red", Variables!A:C , 3 , FALSE) + VLOOKUP("Yellow", Variables!A:C , 3 , FALSE),
IFERROR(SEARCH("Blue, Green, Green",P35),0) &gt; 0 , VLOOKUP("Blue", Variables!A:C , 3 , FALSE) + (VLOOKUP("Green", Variables!A:C , 3 , FALSE) * 2),
IFERROR(SEARCH("Blue, Yellow",P35),0) &gt; 0 , VLOOKUP("Blue", Variables!A:C , 3 , FALSE) + VLOOKUP("Yellow", Variables!A:C , 3 , FALSE),
IFERROR(SEARCH("Blue, Red",P35),0) &gt; 0 , VLOOKUP("Blue", Variables!A:C , 3 , FALSE) + VLOOKUP("Red", Variables!A:C , 3 , FALSE),
IFERROR(SEARCH("Blue, Green",P35),0) &gt; 0 , VLOOKUP("Blue", Variables!A:C , 3 , FALSE) + VLOOKUP("Green", Variables!A:C , 3 , FALSE),
IFERROR(SEARCH("Green",P35),0) &gt; 0 , VLOOKUP("Green", Variables!A:C , 3 , FALSE),
IFERROR(SEARCH("Blue",P35),0) &gt; 0 , VLOOKUP("Blue", Variables!A:C , 3 , FALSE),
IFERROR(SEARCH("Yellow",P35),0) &gt; 0 , VLOOKUP("Yellow", Variables!A:C , 3 , FALSE),
IFERROR(SEARCH("Black, Black",P35),0) &gt; 0 , VLOOKUP("Black", Variables!A:C , 3 , FALSE) * 2,
IFERROR(SEARCH("Grey, Grey",P35),0) &gt; 0 , VLOOKUP("Grey", Variables!A:C , 3 , FALSE) * 2,
IFERROR(SEARCH("Grey, Brown",P35),0) &gt; 0 , VLOOKUP("Grey", Variables!A:C , 3 , FALSE)  + VLOOKUP("Brown", Variables!A:C , 3 , FALSE),
IFERROR(SEARCH("Black, Grey",P35),0) &gt; 0 , VLOOKUP("Black", Variables!A:C , 3 , FALSE) + VLOOKUP("Grey", Variables!A:C , 3 , FALSE),
IFERROR(SEARCH("Black, Brown",P35),0) &gt; 0 , VLOOKUP("Black", Variables!A:C , 3 , FALSE) + VLOOKUP("Brown", Variables!A:C , 3 , FALSE),
IFERROR(SEARCH("Black",P35),0) &gt; 0 , VLOOKUP("Black", Variables!A:C , 3 , FALSE),
IFERROR(SEARCH("Grey",P35),0) &gt; 0 , VLOOKUP("Grey", Variables!A:C , 3 , FALSE),
IFERROR(SEARCH("Brown",P35),0) &gt; 0 , VLOOKUP("Brown", Variables!A:C , 3 , FALSE),
0=0,0)
,
)</f>
        <v>1</v>
      </c>
      <c r="AD35" s="343">
        <f t="shared" si="8"/>
        <v>1</v>
      </c>
      <c r="AE35" s="345">
        <f t="shared" si="9"/>
        <v>14.58333333</v>
      </c>
      <c r="AF35" s="383"/>
    </row>
    <row r="36" ht="15.75" customHeight="1">
      <c r="A36" s="509" t="s">
        <v>2723</v>
      </c>
      <c r="B36" s="380">
        <v>2.0</v>
      </c>
      <c r="C36" s="380">
        <v>6.0</v>
      </c>
      <c r="D36" s="511" t="s">
        <v>1808</v>
      </c>
      <c r="E36" s="512" t="s">
        <v>2724</v>
      </c>
      <c r="F36" s="513">
        <v>3.0</v>
      </c>
      <c r="G36" s="514">
        <v>15.0</v>
      </c>
      <c r="H36" s="515" t="s">
        <v>2590</v>
      </c>
      <c r="I36" s="513">
        <v>3.0</v>
      </c>
      <c r="J36" s="514">
        <v>17.0</v>
      </c>
      <c r="K36" s="515" t="s">
        <v>2677</v>
      </c>
      <c r="L36" s="513">
        <v>3.0</v>
      </c>
      <c r="M36" s="514">
        <v>22.0</v>
      </c>
      <c r="N36" s="515" t="s">
        <v>2671</v>
      </c>
      <c r="O36" s="343" t="s">
        <v>1521</v>
      </c>
      <c r="P36" s="343" t="s">
        <v>1537</v>
      </c>
      <c r="Q36" s="342">
        <f>IFS(
IFERROR(SEARCH("Blue, Yellow, Yellow, Green",P36),0) &gt; 0 , VLOOKUP("Blue", Variables!A:C , 2 , FALSE) + (VLOOKUP("Yellow", Variables!A:C , 2 , FALSE) * 2) + VLOOKUP("Green", Variables!A:C , 2 , FALSE),
IFERROR(SEARCH("Blue, Red, Yellow, Green",P36),0) &gt; 0 , VLOOKUP("Blue", Variables!A:C , 2 , FALSE) + VLOOKUP("Red", Variables!A:C , 2 , FALSE) + (VLOOKUP("Yellow", Variables!A:C , 2 , FALSE) * 2) + VLOOKUP("Green", Variables!A:C , 2 , FALSE),
IFERROR(SEARCH("Blue, Yellow, Green, Green",P36),0) &gt; 0 , VLOOKUP("Blue", Variables!A:C , 2 , FALSE) + VLOOKUP("Yellow", Variables!A:C , 2 , FALSE)  + (VLOOKUP("Green", Variables!A:C , 2 , FALSE) * 2),
IFERROR(SEARCH("Blue, Red, Yellow, Yellow",P36),0) &gt; 0 , VLOOKUP("Blue", Variables!A:C , 2 , FALSE) + VLOOKUP("Yellow", Variables!A:C , 2 , FALSE) * 2  + (VLOOKUP("Red", Variables!A:C , 2 , FALSE) * 2),
IFERROR(SEARCH("Blue, Red, Red",P36),0) &gt; 0 , VLOOKUP("Blue", Variables!A:C , 2 , FALSE) + VLOOKUP("Red", Variables!A:C , 2 , FALSE) * 2,
IFERROR(SEARCH("Blue, Yellow, Yellow",P36),0) &gt; 0 , VLOOKUP("Blue", Variables!A:C , 2 , FALSE) + (VLOOKUP("Yellow", Variables!A:C , 2 , FALSE) * 2),
IFERROR(SEARCH("Blue, Yellow, Green",P36),0) &gt; 0 , VLOOKUP("Blue", Variables!A:C , 2 , FALSE) + VLOOKUP("Yellow", Variables!A:C , 2 , FALSE) + VLOOKUP("Green", Variables!A:C , 2 , FALSE),
IFERROR(SEARCH("Blue, Red, Green",P36),0) &gt; 0 , VLOOKUP("Blue", Variables!A:C , 2 , FALSE) + VLOOKUP("Red", Variables!A:C , 2 , FALSE) + VLOOKUP("Green", Variables!A:C , 2 , FALSE),
IFERROR(SEARCH("Blue, Red, Yellow",P36),0) &gt; 0 , VLOOKUP("Blue", Variables!A:C , 2 , FALSE) + VLOOKUP("Red", Variables!A:C , 2 , FALSE) + VLOOKUP("Yellow", Variables!A:C , 2 , FALSE),
IFERROR(SEARCH("Blue, Green, Green",P36),0) &gt; 0 , VLOOKUP("Blue", Variables!A:C , 2 , FALSE) + (VLOOKUP("Green", Variables!A:C , 2 , FALSE) * 2),
IFERROR(SEARCH("Blue, Yellow",P36),0) &gt; 0 , VLOOKUP("Blue", Variables!A:C , 2 , FALSE) + VLOOKUP("Yellow", Variables!A:C , 2 , FALSE),
IFERROR(SEARCH("Blue, Red",P36),0) &gt; 0 , VLOOKUP("Blue", Variables!A:C , 2 , FALSE) + VLOOKUP("Red", Variables!A:C , 2 , FALSE),
IFERROR(SEARCH("Blue, Green",P36),0) &gt; 0 , VLOOKUP("Blue", Variables!A:C , 2 , FALSE) + VLOOKUP("Green", Variables!A:C , 2 , FALSE),
IFERROR(SEARCH("Green",P36),0) &gt; 0 , VLOOKUP("Green", Variables!A:C , 2 , FALSE),
IFERROR(SEARCH("Blue",P36),0) &gt; 0 , VLOOKUP("Blue", Variables!A:C , 2 , FALSE),
IFERROR(SEARCH("Yellow",P36),0) &gt; 0 , VLOOKUP("Yellow", Variables!A:C , 2 , FALSE),
IFERROR(SEARCH("Black, Black",P36),0) &gt; 0 , VLOOKUP("Black", Variables!A:C , 2, FALSE) * 2,
IFERROR(SEARCH("Grey, Grey",P36),0) &gt; 0 , VLOOKUP("Grey", Variables!A:C , 2, FALSE) * 2,
IFERROR(SEARCH("Grey, Brown",P36),0) &gt; 0 , VLOOKUP("Grey", Variables!A:C , 2, FALSE)  + VLOOKUP("Brown", Variables!A:C , 2, FALSE),
IFERROR(SEARCH("Black, Grey",P36),0) &gt; 0 , VLOOKUP("Black", Variables!A:C , 2, FALSE) + VLOOKUP("Grey", Variables!A:C , 2, FALSE),
IFERROR(SEARCH("Black, Brown",P36),0) &gt; 0 , VLOOKUP("Black", Variables!A:C , 2, FALSE) + VLOOKUP("Brown", Variables!A:C , 2, FALSE),
IFERROR(SEARCH("Black",P36),0) &gt; 0 , VLOOKUP("Black", Variables!A:C , 2, FALSE),
IFERROR(SEARCH("Grey",P36),0) &gt; 0 , VLOOKUP("Grey", Variables!A:C , 2, FALSE),
IFERROR(SEARCH("Brown",P36),0) &gt; 0 , VLOOKUP("Brown", Variables!A:C , 2, FALSE),
0=0,0)
+
IF(O36 ="Ranged", 1 , 0)</f>
        <v>4.5</v>
      </c>
      <c r="R36" s="343" t="s">
        <v>2741</v>
      </c>
      <c r="S36" s="342">
        <f>IFERROR(__xludf.DUMMYFUNCTION("IF(ISBLANK(R36), , 
SWITCH(
LEN(R36)- LEN(SUBSTITUTE(R36,"","","""")), 
0 , VLOOKUP(R36, vote4TRAITS!A:C , 3, FALSE),
1 , VLOOKUP(index(split(R36 ,"", "", FALSE),1,1), vote4TRAITS!A:C , 3, FALSE) + VLOOKUP(index(split(R36 ,"", "", FALSE),1,2), vote4TRAITS"&amp;"!A:C , 3, FALSE),
2 , VLOOKUP(index(split(R36 ,"", "", FALSE),1,1), vote4TRAITS!A:C , 3, FALSE) + VLOOKUP(index(split(R36 ,"", "", FALSE),1,2), vote4TRAITS!A:C , 3, FALSE) + VLOOKUP(index(split(R36 ,"", "", FALSE),1,3), vote4TRAITS!A:C , 3, FALSE)
)
)"),4.25)</f>
        <v>4.25</v>
      </c>
      <c r="T36" s="343"/>
      <c r="U36" s="343" t="str">
        <f>IFERROR(__xludf.DUMMYFUNCTION("IF(ISBLANK(T36), , 
SWITCH(
LEN(T36)- LEN(SUBSTITUTE(T36,"","","""")), 
0 , VLOOKUP(T36, vote4ACTIONS!A:C , 3, FALSE),
1 , VLOOKUP(index(split(T36 ,"", "", FALSE),1,1), vote4ACTIONS!A:C , 3, FALSE) + VLOOKUP(index(split(T36 ,"", "", FALSE),1,2), vote4ACTI"&amp;"ONS!A:C , 3, FALSE),
2 , VLOOKUP(index(split(T36 ,"", "", FALSE),1,1), vote4ACTIONS!A:C , 3, FALSE) + VLOOKUP(index(split(T36 ,"", "", FALSE),1,2), vote4ACTIONS!A:C , 3, FALSE) + VLOOKUP(index(split(T36 ,"", "", FALSE),1,3), vote4ACTIONS!A:C , 3, FALSE)
)"&amp;"
)"),"")</f>
        <v/>
      </c>
      <c r="V36" s="343" t="s">
        <v>2618</v>
      </c>
      <c r="W36" s="517">
        <f>IF(ISBLANK(V36),,IF(IFERROR(SEARCH("SS:",V36),0) &gt; 0, 
VLOOKUP(SUBSTITUTE(V36,"SS: ",""),vote4SURGE!$A:$C , 3, FALSE) - 2,
VLOOKUP(SUBSTITUTE(V36,"S: ",""),vote4SURGE!$A:$C , 3, FALSE)
)
)</f>
        <v>7</v>
      </c>
      <c r="X36" s="343" t="s">
        <v>1534</v>
      </c>
      <c r="Y36" s="517">
        <f>IF(ISBLANK(X36),,IF(IFERROR(SEARCH("SS:",X36),0) &gt; 0, 
VLOOKUP(SUBSTITUTE(X36,"SS: ",""),vote4SURGE!$A:$C , 3, FALSE) - 2,
VLOOKUP(SUBSTITUTE(X36,"S: ",""),vote4SURGE!$A:$C , 3, FALSE)
)
)</f>
        <v>4.25</v>
      </c>
      <c r="Z36" s="343"/>
      <c r="AA36" s="343" t="str">
        <f>IF(ISBLANK(Z36),,IF(IFERROR(SEARCH("SS:",Z36),0) &gt; 0, 
VLOOKUP(SUBSTITUTE(Z36,"SS: ",""),vote4SURGE!$A:$C , 3, FALSE) - 2,
VLOOKUP(SUBSTITUTE(Z36,"S: ",""),vote4SURGE!$A:$C , 3, FALSE)
)
)</f>
        <v/>
      </c>
      <c r="AB36" s="517">
        <f t="shared" si="7"/>
        <v>9.125</v>
      </c>
      <c r="AC36" s="343">
        <f>ROUND(IFS(
IFERROR(SEARCH("Blue, Yellow, Yellow, Green",P36),0) &gt; 0 , VLOOKUP("Blue", Variables!A:C , 3 , FALSE) + (VLOOKUP("Yellow", Variables!A:C , 3 , FALSE) * 2) + VLOOKUP("Green", Variables!A:C , 3 , FALSE),
IFERROR(SEARCH("Blue, Yellow, Green, Green",P36),0) &gt; 0 , VLOOKUP("Blue", Variables!A:C , 3 , FALSE) + VLOOKUP("Yellow", Variables!A:C , 3 , FALSE)  + (VLOOKUP("Green", Variables!A:C , 3 , FALSE) * 2),
IFERROR(SEARCH("Blue, Red, Red",P36),0) &gt; 0 , VLOOKUP("Blue", Variables!A:C , 3 , FALSE) + VLOOKUP("Red", Variables!A:C , 3 , FALSE) * 2,
IFERROR(SEARCH("Blue, Yellow, Yellow",P36),0) &gt; 0 , VLOOKUP("Blue", Variables!A:C , 3 , FALSE) + (VLOOKUP("Yellow", Variables!A:C , 3 , FALSE) * 2),
IFERROR(SEARCH("Blue, Yellow, Green",P36),0) &gt; 0 , VLOOKUP("Blue", Variables!A:C , 3 , FALSE) + VLOOKUP("Yellow", Variables!A:C , 3 , FALSE) + VLOOKUP("Green", Variables!A:C , 3 , FALSE),
IFERROR(SEARCH("Blue, Red, Green",P36),0) &gt; 0 , VLOOKUP("Blue", Variables!A:C , 3 , FALSE) + VLOOKUP("Red", Variables!A:C , 3 , FALSE) + VLOOKUP("Green", Variables!A:C , 3 , FALSE),
IFERROR(SEARCH("Blue, Red, Yellow",P36),0) &gt; 0 , VLOOKUP("Blue", Variables!A:C , 3 , FALSE) + VLOOKUP("Red", Variables!A:C , 3 , FALSE) + VLOOKUP("Yellow", Variables!A:C , 3 , FALSE),
IFERROR(SEARCH("Blue, Green, Green",P36),0) &gt; 0 , VLOOKUP("Blue", Variables!A:C , 3 , FALSE) + (VLOOKUP("Green", Variables!A:C , 3 , FALSE) * 2),
IFERROR(SEARCH("Blue, Yellow",P36),0) &gt; 0 , VLOOKUP("Blue", Variables!A:C , 3 , FALSE) + VLOOKUP("Yellow", Variables!A:C , 3 , FALSE),
IFERROR(SEARCH("Blue, Red",P36),0) &gt; 0 , VLOOKUP("Blue", Variables!A:C , 3 , FALSE) + VLOOKUP("Red", Variables!A:C , 3 , FALSE),
IFERROR(SEARCH("Blue, Green",P36),0) &gt; 0 , VLOOKUP("Blue", Variables!A:C , 3 , FALSE) + VLOOKUP("Green", Variables!A:C , 3 , FALSE),
IFERROR(SEARCH("Green",P36),0) &gt; 0 , VLOOKUP("Green", Variables!A:C , 3 , FALSE),
IFERROR(SEARCH("Blue",P36),0) &gt; 0 , VLOOKUP("Blue", Variables!A:C , 3 , FALSE),
IFERROR(SEARCH("Yellow",P36),0) &gt; 0 , VLOOKUP("Yellow", Variables!A:C , 3 , FALSE),
IFERROR(SEARCH("Black, Black",P36),0) &gt; 0 , VLOOKUP("Black", Variables!A:C , 3 , FALSE) * 2,
IFERROR(SEARCH("Grey, Grey",P36),0) &gt; 0 , VLOOKUP("Grey", Variables!A:C , 3 , FALSE) * 2,
IFERROR(SEARCH("Grey, Brown",P36),0) &gt; 0 , VLOOKUP("Grey", Variables!A:C , 3 , FALSE)  + VLOOKUP("Brown", Variables!A:C , 3 , FALSE),
IFERROR(SEARCH("Black, Grey",P36),0) &gt; 0 , VLOOKUP("Black", Variables!A:C , 3 , FALSE) + VLOOKUP("Grey", Variables!A:C , 3 , FALSE),
IFERROR(SEARCH("Black, Brown",P36),0) &gt; 0 , VLOOKUP("Black", Variables!A:C , 3 , FALSE) + VLOOKUP("Brown", Variables!A:C , 3 , FALSE),
IFERROR(SEARCH("Black",P36),0) &gt; 0 , VLOOKUP("Black", Variables!A:C , 3 , FALSE),
IFERROR(SEARCH("Grey",P36),0) &gt; 0 , VLOOKUP("Grey", Variables!A:C , 3 , FALSE),
IFERROR(SEARCH("Brown",P36),0) &gt; 0 , VLOOKUP("Brown", Variables!A:C , 3 , FALSE),
0=0,0)
,
)</f>
        <v>1</v>
      </c>
      <c r="AD36" s="343">
        <f t="shared" si="8"/>
        <v>2</v>
      </c>
      <c r="AE36" s="345">
        <f t="shared" si="9"/>
        <v>17.875</v>
      </c>
      <c r="AF36" s="383"/>
    </row>
    <row r="37" ht="15.75" customHeight="1">
      <c r="A37" s="509" t="s">
        <v>2725</v>
      </c>
      <c r="B37" s="510">
        <v>1.0</v>
      </c>
      <c r="C37" s="510">
        <v>2.0</v>
      </c>
      <c r="D37" s="511" t="s">
        <v>1861</v>
      </c>
      <c r="E37" s="512" t="s">
        <v>2726</v>
      </c>
      <c r="F37" s="513">
        <v>3.0</v>
      </c>
      <c r="G37" s="514">
        <v>8.0</v>
      </c>
      <c r="H37" s="515" t="s">
        <v>1663</v>
      </c>
      <c r="I37" s="513">
        <v>3.0</v>
      </c>
      <c r="J37" s="514">
        <v>10.0</v>
      </c>
      <c r="K37" s="515" t="s">
        <v>2575</v>
      </c>
      <c r="L37" s="513">
        <v>3.0</v>
      </c>
      <c r="M37" s="514">
        <v>13.0</v>
      </c>
      <c r="N37" s="515" t="s">
        <v>2575</v>
      </c>
      <c r="O37" s="343" t="s">
        <v>1521</v>
      </c>
      <c r="P37" s="343" t="s">
        <v>1548</v>
      </c>
      <c r="Q37" s="342">
        <f>IFS(
IFERROR(SEARCH("Blue, Yellow, Yellow, Green",P37),0) &gt; 0 , VLOOKUP("Blue", Variables!A:C , 2 , FALSE) + (VLOOKUP("Yellow", Variables!A:C , 2 , FALSE) * 2) + VLOOKUP("Green", Variables!A:C , 2 , FALSE),
IFERROR(SEARCH("Blue, Red, Yellow, Green",P37),0) &gt; 0 , VLOOKUP("Blue", Variables!A:C , 2 , FALSE) + VLOOKUP("Red", Variables!A:C , 2 , FALSE) + (VLOOKUP("Yellow", Variables!A:C , 2 , FALSE) * 2) + VLOOKUP("Green", Variables!A:C , 2 , FALSE),
IFERROR(SEARCH("Blue, Yellow, Green, Green",P37),0) &gt; 0 , VLOOKUP("Blue", Variables!A:C , 2 , FALSE) + VLOOKUP("Yellow", Variables!A:C , 2 , FALSE)  + (VLOOKUP("Green", Variables!A:C , 2 , FALSE) * 2),
IFERROR(SEARCH("Blue, Red, Yellow, Yellow",P37),0) &gt; 0 , VLOOKUP("Blue", Variables!A:C , 2 , FALSE) + VLOOKUP("Yellow", Variables!A:C , 2 , FALSE) * 2  + (VLOOKUP("Red", Variables!A:C , 2 , FALSE) * 2),
IFERROR(SEARCH("Blue, Red, Red",P37),0) &gt; 0 , VLOOKUP("Blue", Variables!A:C , 2 , FALSE) + VLOOKUP("Red", Variables!A:C , 2 , FALSE) * 2,
IFERROR(SEARCH("Blue, Yellow, Yellow",P37),0) &gt; 0 , VLOOKUP("Blue", Variables!A:C , 2 , FALSE) + (VLOOKUP("Yellow", Variables!A:C , 2 , FALSE) * 2),
IFERROR(SEARCH("Blue, Yellow, Green",P37),0) &gt; 0 , VLOOKUP("Blue", Variables!A:C , 2 , FALSE) + VLOOKUP("Yellow", Variables!A:C , 2 , FALSE) + VLOOKUP("Green", Variables!A:C , 2 , FALSE),
IFERROR(SEARCH("Blue, Red, Green",P37),0) &gt; 0 , VLOOKUP("Blue", Variables!A:C , 2 , FALSE) + VLOOKUP("Red", Variables!A:C , 2 , FALSE) + VLOOKUP("Green", Variables!A:C , 2 , FALSE),
IFERROR(SEARCH("Blue, Red, Yellow",P37),0) &gt; 0 , VLOOKUP("Blue", Variables!A:C , 2 , FALSE) + VLOOKUP("Red", Variables!A:C , 2 , FALSE) + VLOOKUP("Yellow", Variables!A:C , 2 , FALSE),
IFERROR(SEARCH("Blue, Green, Green",P37),0) &gt; 0 , VLOOKUP("Blue", Variables!A:C , 2 , FALSE) + (VLOOKUP("Green", Variables!A:C , 2 , FALSE) * 2),
IFERROR(SEARCH("Blue, Yellow",P37),0) &gt; 0 , VLOOKUP("Blue", Variables!A:C , 2 , FALSE) + VLOOKUP("Yellow", Variables!A:C , 2 , FALSE),
IFERROR(SEARCH("Blue, Red",P37),0) &gt; 0 , VLOOKUP("Blue", Variables!A:C , 2 , FALSE) + VLOOKUP("Red", Variables!A:C , 2 , FALSE),
IFERROR(SEARCH("Blue, Green",P37),0) &gt; 0 , VLOOKUP("Blue", Variables!A:C , 2 , FALSE) + VLOOKUP("Green", Variables!A:C , 2 , FALSE),
IFERROR(SEARCH("Green",P37),0) &gt; 0 , VLOOKUP("Green", Variables!A:C , 2 , FALSE),
IFERROR(SEARCH("Blue",P37),0) &gt; 0 , VLOOKUP("Blue", Variables!A:C , 2 , FALSE),
IFERROR(SEARCH("Yellow",P37),0) &gt; 0 , VLOOKUP("Yellow", Variables!A:C , 2 , FALSE),
IFERROR(SEARCH("Black, Black",P37),0) &gt; 0 , VLOOKUP("Black", Variables!A:C , 2, FALSE) * 2,
IFERROR(SEARCH("Grey, Grey",P37),0) &gt; 0 , VLOOKUP("Grey", Variables!A:C , 2, FALSE) * 2,
IFERROR(SEARCH("Grey, Brown",P37),0) &gt; 0 , VLOOKUP("Grey", Variables!A:C , 2, FALSE)  + VLOOKUP("Brown", Variables!A:C , 2, FALSE),
IFERROR(SEARCH("Black, Grey",P37),0) &gt; 0 , VLOOKUP("Black", Variables!A:C , 2, FALSE) + VLOOKUP("Grey", Variables!A:C , 2, FALSE),
IFERROR(SEARCH("Black, Brown",P37),0) &gt; 0 , VLOOKUP("Black", Variables!A:C , 2, FALSE) + VLOOKUP("Brown", Variables!A:C , 2, FALSE),
IFERROR(SEARCH("Black",P37),0) &gt; 0 , VLOOKUP("Black", Variables!A:C , 2, FALSE),
IFERROR(SEARCH("Grey",P37),0) &gt; 0 , VLOOKUP("Grey", Variables!A:C , 2, FALSE),
IFERROR(SEARCH("Brown",P37),0) &gt; 0 , VLOOKUP("Brown", Variables!A:C , 2, FALSE),
0=0,0)
+
IF(O37 ="Ranged", 1 , 0)</f>
        <v>2.333333333</v>
      </c>
      <c r="R37" s="343" t="s">
        <v>1149</v>
      </c>
      <c r="S37" s="342">
        <f>IFERROR(__xludf.DUMMYFUNCTION("IF(ISBLANK(R37), , 
SWITCH(
LEN(R37)- LEN(SUBSTITUTE(R37,"","","""")), 
0 , VLOOKUP(R37, vote4TRAITS!A:C , 3, FALSE),
1 , VLOOKUP(index(split(R37 ,"", "", FALSE),1,1), vote4TRAITS!A:C , 3, FALSE) + VLOOKUP(index(split(R37 ,"", "", FALSE),1,2), vote4TRAITS"&amp;"!A:C , 3, FALSE),
2 , VLOOKUP(index(split(R37 ,"", "", FALSE),1,1), vote4TRAITS!A:C , 3, FALSE) + VLOOKUP(index(split(R37 ,"", "", FALSE),1,2), vote4TRAITS!A:C , 3, FALSE) + VLOOKUP(index(split(R37 ,"", "", FALSE),1,3), vote4TRAITS!A:C , 3, FALSE)
)
)"),4.333333333333333)</f>
        <v>4.333333333</v>
      </c>
      <c r="T37" s="343"/>
      <c r="U37" s="343" t="str">
        <f>IFERROR(__xludf.DUMMYFUNCTION("IF(ISBLANK(T37), , 
SWITCH(
LEN(T37)- LEN(SUBSTITUTE(T37,"","","""")), 
0 , VLOOKUP(T37, vote4ACTIONS!A:C , 3, FALSE),
1 , VLOOKUP(index(split(T37 ,"", "", FALSE),1,1), vote4ACTIONS!A:C , 3, FALSE) + VLOOKUP(index(split(T37 ,"", "", FALSE),1,2), vote4ACTI"&amp;"ONS!A:C , 3, FALSE),
2 , VLOOKUP(index(split(T37 ,"", "", FALSE),1,1), vote4ACTIONS!A:C , 3, FALSE) + VLOOKUP(index(split(T37 ,"", "", FALSE),1,2), vote4ACTIONS!A:C , 3, FALSE) + VLOOKUP(index(split(T37 ,"", "", FALSE),1,3), vote4ACTIONS!A:C , 3, FALSE)
)"&amp;"
)"),"")</f>
        <v/>
      </c>
      <c r="V37" s="343" t="s">
        <v>2727</v>
      </c>
      <c r="W37" s="517">
        <f>IF(ISBLANK(V37),,IF(IFERROR(SEARCH("SS:",V37),0) &gt; 0, 
VLOOKUP(SUBSTITUTE(V37,"SS: ",""),vote4SURGE!$A:$C , 3, FALSE) - 2,
VLOOKUP(SUBSTITUTE(V37,"S: ",""),vote4SURGE!$A:$C , 3, FALSE)
)
)</f>
        <v>2</v>
      </c>
      <c r="X37" s="343" t="s">
        <v>1586</v>
      </c>
      <c r="Y37" s="517">
        <f>IF(ISBLANK(X37),,IF(IFERROR(SEARCH("SS:",X37),0) &gt; 0, 
VLOOKUP(SUBSTITUTE(X37,"SS: ",""),vote4SURGE!$A:$C , 3, FALSE) - 2,
VLOOKUP(SUBSTITUTE(X37,"S: ",""),vote4SURGE!$A:$C , 3, FALSE)
)
)</f>
        <v>2.25</v>
      </c>
      <c r="Z37" s="343"/>
      <c r="AA37" s="343" t="str">
        <f>IF(ISBLANK(Z37),,IF(IFERROR(SEARCH("SS:",Z37),0) &gt; 0, 
VLOOKUP(SUBSTITUTE(Z37,"SS: ",""),vote4SURGE!$A:$C , 3, FALSE) - 2,
VLOOKUP(SUBSTITUTE(Z37,"S: ",""),vote4SURGE!$A:$C , 3, FALSE)
)
)</f>
        <v/>
      </c>
      <c r="AB37" s="517">
        <f t="shared" si="7"/>
        <v>2.916666667</v>
      </c>
      <c r="AC37" s="343">
        <f>ROUND(IFS(
IFERROR(SEARCH("Blue, Yellow, Yellow, Green",P37),0) &gt; 0 , VLOOKUP("Blue", Variables!A:C , 3 , FALSE) + (VLOOKUP("Yellow", Variables!A:C , 3 , FALSE) * 2) + VLOOKUP("Green", Variables!A:C , 3 , FALSE),
IFERROR(SEARCH("Blue, Yellow, Green, Green",P37),0) &gt; 0 , VLOOKUP("Blue", Variables!A:C , 3 , FALSE) + VLOOKUP("Yellow", Variables!A:C , 3 , FALSE)  + (VLOOKUP("Green", Variables!A:C , 3 , FALSE) * 2),
IFERROR(SEARCH("Blue, Red, Red",P37),0) &gt; 0 , VLOOKUP("Blue", Variables!A:C , 3 , FALSE) + VLOOKUP("Red", Variables!A:C , 3 , FALSE) * 2,
IFERROR(SEARCH("Blue, Yellow, Yellow",P37),0) &gt; 0 , VLOOKUP("Blue", Variables!A:C , 3 , FALSE) + (VLOOKUP("Yellow", Variables!A:C , 3 , FALSE) * 2),
IFERROR(SEARCH("Blue, Yellow, Green",P37),0) &gt; 0 , VLOOKUP("Blue", Variables!A:C , 3 , FALSE) + VLOOKUP("Yellow", Variables!A:C , 3 , FALSE) + VLOOKUP("Green", Variables!A:C , 3 , FALSE),
IFERROR(SEARCH("Blue, Red, Green",P37),0) &gt; 0 , VLOOKUP("Blue", Variables!A:C , 3 , FALSE) + VLOOKUP("Red", Variables!A:C , 3 , FALSE) + VLOOKUP("Green", Variables!A:C , 3 , FALSE),
IFERROR(SEARCH("Blue, Red, Yellow",P37),0) &gt; 0 , VLOOKUP("Blue", Variables!A:C , 3 , FALSE) + VLOOKUP("Red", Variables!A:C , 3 , FALSE) + VLOOKUP("Yellow", Variables!A:C , 3 , FALSE),
IFERROR(SEARCH("Blue, Green, Green",P37),0) &gt; 0 , VLOOKUP("Blue", Variables!A:C , 3 , FALSE) + (VLOOKUP("Green", Variables!A:C , 3 , FALSE) * 2),
IFERROR(SEARCH("Blue, Yellow",P37),0) &gt; 0 , VLOOKUP("Blue", Variables!A:C , 3 , FALSE) + VLOOKUP("Yellow", Variables!A:C , 3 , FALSE),
IFERROR(SEARCH("Blue, Red",P37),0) &gt; 0 , VLOOKUP("Blue", Variables!A:C , 3 , FALSE) + VLOOKUP("Red", Variables!A:C , 3 , FALSE),
IFERROR(SEARCH("Blue, Green",P37),0) &gt; 0 , VLOOKUP("Blue", Variables!A:C , 3 , FALSE) + VLOOKUP("Green", Variables!A:C , 3 , FALSE),
IFERROR(SEARCH("Green",P37),0) &gt; 0 , VLOOKUP("Green", Variables!A:C , 3 , FALSE),
IFERROR(SEARCH("Blue",P37),0) &gt; 0 , VLOOKUP("Blue", Variables!A:C , 3 , FALSE),
IFERROR(SEARCH("Yellow",P37),0) &gt; 0 , VLOOKUP("Yellow", Variables!A:C , 3 , FALSE),
IFERROR(SEARCH("Black, Black",P37),0) &gt; 0 , VLOOKUP("Black", Variables!A:C , 3 , FALSE) * 2,
IFERROR(SEARCH("Grey, Grey",P37),0) &gt; 0 , VLOOKUP("Grey", Variables!A:C , 3 , FALSE) * 2,
IFERROR(SEARCH("Grey, Brown",P37),0) &gt; 0 , VLOOKUP("Grey", Variables!A:C , 3 , FALSE)  + VLOOKUP("Brown", Variables!A:C , 3 , FALSE),
IFERROR(SEARCH("Black, Grey",P37),0) &gt; 0 , VLOOKUP("Black", Variables!A:C , 3 , FALSE) + VLOOKUP("Grey", Variables!A:C , 3 , FALSE),
IFERROR(SEARCH("Black, Brown",P37),0) &gt; 0 , VLOOKUP("Black", Variables!A:C , 3 , FALSE) + VLOOKUP("Brown", Variables!A:C , 3 , FALSE),
IFERROR(SEARCH("Black",P37),0) &gt; 0 , VLOOKUP("Black", Variables!A:C , 3 , FALSE),
IFERROR(SEARCH("Grey",P37),0) &gt; 0 , VLOOKUP("Grey", Variables!A:C , 3 , FALSE),
IFERROR(SEARCH("Brown",P37),0) &gt; 0 , VLOOKUP("Brown", Variables!A:C , 3 , FALSE),
0=0,0)
,
)</f>
        <v>1</v>
      </c>
      <c r="AD37" s="343">
        <f t="shared" si="8"/>
        <v>3</v>
      </c>
      <c r="AE37" s="345">
        <f t="shared" si="9"/>
        <v>9.583333333</v>
      </c>
      <c r="AF37" s="383"/>
    </row>
    <row r="38" ht="15.75" customHeight="1">
      <c r="A38" s="509" t="s">
        <v>2725</v>
      </c>
      <c r="B38" s="380">
        <v>2.0</v>
      </c>
      <c r="C38" s="380">
        <v>2.0</v>
      </c>
      <c r="D38" s="511" t="s">
        <v>1861</v>
      </c>
      <c r="E38" s="512" t="s">
        <v>2726</v>
      </c>
      <c r="F38" s="513">
        <v>3.0</v>
      </c>
      <c r="G38" s="514">
        <v>11.0</v>
      </c>
      <c r="H38" s="515" t="s">
        <v>2575</v>
      </c>
      <c r="I38" s="513">
        <v>3.0</v>
      </c>
      <c r="J38" s="514">
        <v>13.0</v>
      </c>
      <c r="K38" s="340" t="s">
        <v>2594</v>
      </c>
      <c r="L38" s="513">
        <v>3.0</v>
      </c>
      <c r="M38" s="514">
        <v>17.0</v>
      </c>
      <c r="N38" s="515" t="s">
        <v>2599</v>
      </c>
      <c r="O38" s="343" t="s">
        <v>1521</v>
      </c>
      <c r="P38" s="343" t="s">
        <v>1546</v>
      </c>
      <c r="Q38" s="342">
        <f>IFS(
IFERROR(SEARCH("Blue, Yellow, Yellow, Green",P38),0) &gt; 0 , VLOOKUP("Blue", Variables!A:C , 2 , FALSE) + (VLOOKUP("Yellow", Variables!A:C , 2 , FALSE) * 2) + VLOOKUP("Green", Variables!A:C , 2 , FALSE),
IFERROR(SEARCH("Blue, Red, Yellow, Green",P38),0) &gt; 0 , VLOOKUP("Blue", Variables!A:C , 2 , FALSE) + VLOOKUP("Red", Variables!A:C , 2 , FALSE) + (VLOOKUP("Yellow", Variables!A:C , 2 , FALSE) * 2) + VLOOKUP("Green", Variables!A:C , 2 , FALSE),
IFERROR(SEARCH("Blue, Yellow, Green, Green",P38),0) &gt; 0 , VLOOKUP("Blue", Variables!A:C , 2 , FALSE) + VLOOKUP("Yellow", Variables!A:C , 2 , FALSE)  + (VLOOKUP("Green", Variables!A:C , 2 , FALSE) * 2),
IFERROR(SEARCH("Blue, Red, Yellow, Yellow",P38),0) &gt; 0 , VLOOKUP("Blue", Variables!A:C , 2 , FALSE) + VLOOKUP("Yellow", Variables!A:C , 2 , FALSE) * 2  + (VLOOKUP("Red", Variables!A:C , 2 , FALSE) * 2),
IFERROR(SEARCH("Blue, Red, Red",P38),0) &gt; 0 , VLOOKUP("Blue", Variables!A:C , 2 , FALSE) + VLOOKUP("Red", Variables!A:C , 2 , FALSE) * 2,
IFERROR(SEARCH("Blue, Yellow, Yellow",P38),0) &gt; 0 , VLOOKUP("Blue", Variables!A:C , 2 , FALSE) + (VLOOKUP("Yellow", Variables!A:C , 2 , FALSE) * 2),
IFERROR(SEARCH("Blue, Yellow, Green",P38),0) &gt; 0 , VLOOKUP("Blue", Variables!A:C , 2 , FALSE) + VLOOKUP("Yellow", Variables!A:C , 2 , FALSE) + VLOOKUP("Green", Variables!A:C , 2 , FALSE),
IFERROR(SEARCH("Blue, Red, Green",P38),0) &gt; 0 , VLOOKUP("Blue", Variables!A:C , 2 , FALSE) + VLOOKUP("Red", Variables!A:C , 2 , FALSE) + VLOOKUP("Green", Variables!A:C , 2 , FALSE),
IFERROR(SEARCH("Blue, Red, Yellow",P38),0) &gt; 0 , VLOOKUP("Blue", Variables!A:C , 2 , FALSE) + VLOOKUP("Red", Variables!A:C , 2 , FALSE) + VLOOKUP("Yellow", Variables!A:C , 2 , FALSE),
IFERROR(SEARCH("Blue, Green, Green",P38),0) &gt; 0 , VLOOKUP("Blue", Variables!A:C , 2 , FALSE) + (VLOOKUP("Green", Variables!A:C , 2 , FALSE) * 2),
IFERROR(SEARCH("Blue, Yellow",P38),0) &gt; 0 , VLOOKUP("Blue", Variables!A:C , 2 , FALSE) + VLOOKUP("Yellow", Variables!A:C , 2 , FALSE),
IFERROR(SEARCH("Blue, Red",P38),0) &gt; 0 , VLOOKUP("Blue", Variables!A:C , 2 , FALSE) + VLOOKUP("Red", Variables!A:C , 2 , FALSE),
IFERROR(SEARCH("Blue, Green",P38),0) &gt; 0 , VLOOKUP("Blue", Variables!A:C , 2 , FALSE) + VLOOKUP("Green", Variables!A:C , 2 , FALSE),
IFERROR(SEARCH("Green",P38),0) &gt; 0 , VLOOKUP("Green", Variables!A:C , 2 , FALSE),
IFERROR(SEARCH("Blue",P38),0) &gt; 0 , VLOOKUP("Blue", Variables!A:C , 2 , FALSE),
IFERROR(SEARCH("Yellow",P38),0) &gt; 0 , VLOOKUP("Yellow", Variables!A:C , 2 , FALSE),
IFERROR(SEARCH("Black, Black",P38),0) &gt; 0 , VLOOKUP("Black", Variables!A:C , 2, FALSE) * 2,
IFERROR(SEARCH("Grey, Grey",P38),0) &gt; 0 , VLOOKUP("Grey", Variables!A:C , 2, FALSE) * 2,
IFERROR(SEARCH("Grey, Brown",P38),0) &gt; 0 , VLOOKUP("Grey", Variables!A:C , 2, FALSE)  + VLOOKUP("Brown", Variables!A:C , 2, FALSE),
IFERROR(SEARCH("Black, Grey",P38),0) &gt; 0 , VLOOKUP("Black", Variables!A:C , 2, FALSE) + VLOOKUP("Grey", Variables!A:C , 2, FALSE),
IFERROR(SEARCH("Black, Brown",P38),0) &gt; 0 , VLOOKUP("Black", Variables!A:C , 2, FALSE) + VLOOKUP("Brown", Variables!A:C , 2, FALSE),
IFERROR(SEARCH("Black",P38),0) &gt; 0 , VLOOKUP("Black", Variables!A:C , 2, FALSE),
IFERROR(SEARCH("Grey",P38),0) &gt; 0 , VLOOKUP("Grey", Variables!A:C , 2, FALSE),
IFERROR(SEARCH("Brown",P38),0) &gt; 0 , VLOOKUP("Brown", Variables!A:C , 2, FALSE),
0=0,0)
+
IF(O38 ="Ranged", 1 , 0)</f>
        <v>3.5</v>
      </c>
      <c r="R38" s="343" t="s">
        <v>2728</v>
      </c>
      <c r="S38" s="342">
        <f>IFERROR(__xludf.DUMMYFUNCTION("IF(ISBLANK(R38), , 
SWITCH(
LEN(R38)- LEN(SUBSTITUTE(R38,"","","""")), 
0 , VLOOKUP(R38, vote4TRAITS!A:C , 3, FALSE),
1 , VLOOKUP(index(split(R38 ,"", "", FALSE),1,1), vote4TRAITS!A:C , 3, FALSE) + VLOOKUP(index(split(R38 ,"", "", FALSE),1,2), vote4TRAITS"&amp;"!A:C , 3, FALSE),
2 , VLOOKUP(index(split(R38 ,"", "", FALSE),1,1), vote4TRAITS!A:C , 3, FALSE) + VLOOKUP(index(split(R38 ,"", "", FALSE),1,2), vote4TRAITS!A:C , 3, FALSE) + VLOOKUP(index(split(R38 ,"", "", FALSE),1,3), vote4TRAITS!A:C , 3, FALSE)
)
)"),7.833333333333333)</f>
        <v>7.833333333</v>
      </c>
      <c r="T38" s="343"/>
      <c r="U38" s="343" t="str">
        <f>IFERROR(__xludf.DUMMYFUNCTION("IF(ISBLANK(T38), , 
SWITCH(
LEN(T38)- LEN(SUBSTITUTE(T38,"","","""")), 
0 , VLOOKUP(T38, vote4ACTIONS!A:C , 3, FALSE),
1 , VLOOKUP(index(split(T38 ,"", "", FALSE),1,1), vote4ACTIONS!A:C , 3, FALSE) + VLOOKUP(index(split(T38 ,"", "", FALSE),1,2), vote4ACTI"&amp;"ONS!A:C , 3, FALSE),
2 , VLOOKUP(index(split(T38 ,"", "", FALSE),1,1), vote4ACTIONS!A:C , 3, FALSE) + VLOOKUP(index(split(T38 ,"", "", FALSE),1,2), vote4ACTIONS!A:C , 3, FALSE) + VLOOKUP(index(split(T38 ,"", "", FALSE),1,3), vote4ACTIONS!A:C , 3, FALSE)
)"&amp;"
)"),"")</f>
        <v/>
      </c>
      <c r="V38" s="343" t="s">
        <v>2727</v>
      </c>
      <c r="W38" s="517">
        <f>IF(ISBLANK(V38),,IF(IFERROR(SEARCH("SS:",V38),0) &gt; 0, 
VLOOKUP(SUBSTITUTE(V38,"SS: ",""),vote4SURGE!$A:$C , 3, FALSE) - 2,
VLOOKUP(SUBSTITUTE(V38,"S: ",""),vote4SURGE!$A:$C , 3, FALSE)
)
)</f>
        <v>2</v>
      </c>
      <c r="X38" s="343" t="s">
        <v>1566</v>
      </c>
      <c r="Y38" s="517">
        <f>IF(ISBLANK(X38),,IF(IFERROR(SEARCH("SS:",X38),0) &gt; 0, 
VLOOKUP(SUBSTITUTE(X38,"SS: ",""),vote4SURGE!$A:$C , 3, FALSE) - 2,
VLOOKUP(SUBSTITUTE(X38,"S: ",""),vote4SURGE!$A:$C , 3, FALSE)
)
)</f>
        <v>3</v>
      </c>
      <c r="Z38" s="343"/>
      <c r="AA38" s="343" t="str">
        <f>IF(ISBLANK(Z38),,IF(IFERROR(SEARCH("SS:",Z38),0) &gt; 0, 
VLOOKUP(SUBSTITUTE(Z38,"SS: ",""),vote4SURGE!$A:$C , 3, FALSE) - 2,
VLOOKUP(SUBSTITUTE(Z38,"S: ",""),vote4SURGE!$A:$C , 3, FALSE)
)
)</f>
        <v/>
      </c>
      <c r="AB38" s="517">
        <f t="shared" si="7"/>
        <v>3.666666667</v>
      </c>
      <c r="AC38" s="343">
        <f>ROUND(IFS(
IFERROR(SEARCH("Blue, Yellow, Yellow, Green",P38),0) &gt; 0 , VLOOKUP("Blue", Variables!A:C , 3 , FALSE) + (VLOOKUP("Yellow", Variables!A:C , 3 , FALSE) * 2) + VLOOKUP("Green", Variables!A:C , 3 , FALSE),
IFERROR(SEARCH("Blue, Yellow, Green, Green",P38),0) &gt; 0 , VLOOKUP("Blue", Variables!A:C , 3 , FALSE) + VLOOKUP("Yellow", Variables!A:C , 3 , FALSE)  + (VLOOKUP("Green", Variables!A:C , 3 , FALSE) * 2),
IFERROR(SEARCH("Blue, Red, Red",P38),0) &gt; 0 , VLOOKUP("Blue", Variables!A:C , 3 , FALSE) + VLOOKUP("Red", Variables!A:C , 3 , FALSE) * 2,
IFERROR(SEARCH("Blue, Yellow, Yellow",P38),0) &gt; 0 , VLOOKUP("Blue", Variables!A:C , 3 , FALSE) + (VLOOKUP("Yellow", Variables!A:C , 3 , FALSE) * 2),
IFERROR(SEARCH("Blue, Yellow, Green",P38),0) &gt; 0 , VLOOKUP("Blue", Variables!A:C , 3 , FALSE) + VLOOKUP("Yellow", Variables!A:C , 3 , FALSE) + VLOOKUP("Green", Variables!A:C , 3 , FALSE),
IFERROR(SEARCH("Blue, Red, Green",P38),0) &gt; 0 , VLOOKUP("Blue", Variables!A:C , 3 , FALSE) + VLOOKUP("Red", Variables!A:C , 3 , FALSE) + VLOOKUP("Green", Variables!A:C , 3 , FALSE),
IFERROR(SEARCH("Blue, Red, Yellow",P38),0) &gt; 0 , VLOOKUP("Blue", Variables!A:C , 3 , FALSE) + VLOOKUP("Red", Variables!A:C , 3 , FALSE) + VLOOKUP("Yellow", Variables!A:C , 3 , FALSE),
IFERROR(SEARCH("Blue, Green, Green",P38),0) &gt; 0 , VLOOKUP("Blue", Variables!A:C , 3 , FALSE) + (VLOOKUP("Green", Variables!A:C , 3 , FALSE) * 2),
IFERROR(SEARCH("Blue, Yellow",P38),0) &gt; 0 , VLOOKUP("Blue", Variables!A:C , 3 , FALSE) + VLOOKUP("Yellow", Variables!A:C , 3 , FALSE),
IFERROR(SEARCH("Blue, Red",P38),0) &gt; 0 , VLOOKUP("Blue", Variables!A:C , 3 , FALSE) + VLOOKUP("Red", Variables!A:C , 3 , FALSE),
IFERROR(SEARCH("Blue, Green",P38),0) &gt; 0 , VLOOKUP("Blue", Variables!A:C , 3 , FALSE) + VLOOKUP("Green", Variables!A:C , 3 , FALSE),
IFERROR(SEARCH("Green",P38),0) &gt; 0 , VLOOKUP("Green", Variables!A:C , 3 , FALSE),
IFERROR(SEARCH("Blue",P38),0) &gt; 0 , VLOOKUP("Blue", Variables!A:C , 3 , FALSE),
IFERROR(SEARCH("Yellow",P38),0) &gt; 0 , VLOOKUP("Yellow", Variables!A:C , 3 , FALSE),
IFERROR(SEARCH("Black, Black",P38),0) &gt; 0 , VLOOKUP("Black", Variables!A:C , 3 , FALSE) * 2,
IFERROR(SEARCH("Grey, Grey",P38),0) &gt; 0 , VLOOKUP("Grey", Variables!A:C , 3 , FALSE) * 2,
IFERROR(SEARCH("Grey, Brown",P38),0) &gt; 0 , VLOOKUP("Grey", Variables!A:C , 3 , FALSE)  + VLOOKUP("Brown", Variables!A:C , 3 , FALSE),
IFERROR(SEARCH("Black, Grey",P38),0) &gt; 0 , VLOOKUP("Black", Variables!A:C , 3 , FALSE) + VLOOKUP("Grey", Variables!A:C , 3 , FALSE),
IFERROR(SEARCH("Black, Brown",P38),0) &gt; 0 , VLOOKUP("Black", Variables!A:C , 3 , FALSE) + VLOOKUP("Brown", Variables!A:C , 3 , FALSE),
IFERROR(SEARCH("Black",P38),0) &gt; 0 , VLOOKUP("Black", Variables!A:C , 3 , FALSE),
IFERROR(SEARCH("Grey",P38),0) &gt; 0 , VLOOKUP("Grey", Variables!A:C , 3 , FALSE),
IFERROR(SEARCH("Brown",P38),0) &gt; 0 , VLOOKUP("Brown", Variables!A:C , 3 , FALSE),
0=0,0)
,
)</f>
        <v>1</v>
      </c>
      <c r="AD38" s="343">
        <f t="shared" si="8"/>
        <v>3</v>
      </c>
      <c r="AE38" s="345">
        <f t="shared" si="9"/>
        <v>15</v>
      </c>
      <c r="AF38" s="383"/>
    </row>
    <row r="39" ht="15.75" customHeight="1">
      <c r="A39" s="509" t="s">
        <v>2729</v>
      </c>
      <c r="B39" s="510">
        <v>1.0</v>
      </c>
      <c r="C39" s="510">
        <v>1.0</v>
      </c>
      <c r="D39" s="511" t="s">
        <v>2661</v>
      </c>
      <c r="E39" s="512" t="s">
        <v>2730</v>
      </c>
      <c r="F39" s="513">
        <v>5.0</v>
      </c>
      <c r="G39" s="514">
        <v>9.0</v>
      </c>
      <c r="H39" s="515" t="s">
        <v>1663</v>
      </c>
      <c r="I39" s="513">
        <v>5.0</v>
      </c>
      <c r="J39" s="514">
        <v>12.0</v>
      </c>
      <c r="K39" s="515" t="s">
        <v>1671</v>
      </c>
      <c r="L39" s="513">
        <v>5.0</v>
      </c>
      <c r="M39" s="514">
        <v>15.0</v>
      </c>
      <c r="N39" s="515" t="s">
        <v>1671</v>
      </c>
      <c r="O39" s="343" t="s">
        <v>1567</v>
      </c>
      <c r="P39" s="343" t="s">
        <v>1525</v>
      </c>
      <c r="Q39" s="342">
        <f>IFS(
IFERROR(SEARCH("Blue, Yellow, Yellow, Green",P39),0) &gt; 0 , VLOOKUP("Blue", Variables!A:C , 2 , FALSE) + (VLOOKUP("Yellow", Variables!A:C , 2 , FALSE) * 2) + VLOOKUP("Green", Variables!A:C , 2 , FALSE),
IFERROR(SEARCH("Blue, Red, Yellow, Green",P39),0) &gt; 0 , VLOOKUP("Blue", Variables!A:C , 2 , FALSE) + VLOOKUP("Red", Variables!A:C , 2 , FALSE) + (VLOOKUP("Yellow", Variables!A:C , 2 , FALSE) * 2) + VLOOKUP("Green", Variables!A:C , 2 , FALSE),
IFERROR(SEARCH("Blue, Yellow, Green, Green",P39),0) &gt; 0 , VLOOKUP("Blue", Variables!A:C , 2 , FALSE) + VLOOKUP("Yellow", Variables!A:C , 2 , FALSE)  + (VLOOKUP("Green", Variables!A:C , 2 , FALSE) * 2),
IFERROR(SEARCH("Blue, Red, Yellow, Yellow",P39),0) &gt; 0 , VLOOKUP("Blue", Variables!A:C , 2 , FALSE) + VLOOKUP("Yellow", Variables!A:C , 2 , FALSE) * 2  + (VLOOKUP("Red", Variables!A:C , 2 , FALSE) * 2),
IFERROR(SEARCH("Blue, Red, Red",P39),0) &gt; 0 , VLOOKUP("Blue", Variables!A:C , 2 , FALSE) + VLOOKUP("Red", Variables!A:C , 2 , FALSE) * 2,
IFERROR(SEARCH("Blue, Yellow, Yellow",P39),0) &gt; 0 , VLOOKUP("Blue", Variables!A:C , 2 , FALSE) + (VLOOKUP("Yellow", Variables!A:C , 2 , FALSE) * 2),
IFERROR(SEARCH("Blue, Yellow, Green",P39),0) &gt; 0 , VLOOKUP("Blue", Variables!A:C , 2 , FALSE) + VLOOKUP("Yellow", Variables!A:C , 2 , FALSE) + VLOOKUP("Green", Variables!A:C , 2 , FALSE),
IFERROR(SEARCH("Blue, Red, Green",P39),0) &gt; 0 , VLOOKUP("Blue", Variables!A:C , 2 , FALSE) + VLOOKUP("Red", Variables!A:C , 2 , FALSE) + VLOOKUP("Green", Variables!A:C , 2 , FALSE),
IFERROR(SEARCH("Blue, Red, Yellow",P39),0) &gt; 0 , VLOOKUP("Blue", Variables!A:C , 2 , FALSE) + VLOOKUP("Red", Variables!A:C , 2 , FALSE) + VLOOKUP("Yellow", Variables!A:C , 2 , FALSE),
IFERROR(SEARCH("Blue, Green, Green",P39),0) &gt; 0 , VLOOKUP("Blue", Variables!A:C , 2 , FALSE) + (VLOOKUP("Green", Variables!A:C , 2 , FALSE) * 2),
IFERROR(SEARCH("Blue, Yellow",P39),0) &gt; 0 , VLOOKUP("Blue", Variables!A:C , 2 , FALSE) + VLOOKUP("Yellow", Variables!A:C , 2 , FALSE),
IFERROR(SEARCH("Blue, Red",P39),0) &gt; 0 , VLOOKUP("Blue", Variables!A:C , 2 , FALSE) + VLOOKUP("Red", Variables!A:C , 2 , FALSE),
IFERROR(SEARCH("Blue, Green",P39),0) &gt; 0 , VLOOKUP("Blue", Variables!A:C , 2 , FALSE) + VLOOKUP("Green", Variables!A:C , 2 , FALSE),
IFERROR(SEARCH("Green",P39),0) &gt; 0 , VLOOKUP("Green", Variables!A:C , 2 , FALSE),
IFERROR(SEARCH("Blue",P39),0) &gt; 0 , VLOOKUP("Blue", Variables!A:C , 2 , FALSE),
IFERROR(SEARCH("Yellow",P39),0) &gt; 0 , VLOOKUP("Yellow", Variables!A:C , 2 , FALSE),
IFERROR(SEARCH("Black, Black",P39),0) &gt; 0 , VLOOKUP("Black", Variables!A:C , 2, FALSE) * 2,
IFERROR(SEARCH("Grey, Grey",P39),0) &gt; 0 , VLOOKUP("Grey", Variables!A:C , 2, FALSE) * 2,
IFERROR(SEARCH("Grey, Brown",P39),0) &gt; 0 , VLOOKUP("Grey", Variables!A:C , 2, FALSE)  + VLOOKUP("Brown", Variables!A:C , 2, FALSE),
IFERROR(SEARCH("Black, Grey",P39),0) &gt; 0 , VLOOKUP("Black", Variables!A:C , 2, FALSE) + VLOOKUP("Grey", Variables!A:C , 2, FALSE),
IFERROR(SEARCH("Black, Brown",P39),0) &gt; 0 , VLOOKUP("Black", Variables!A:C , 2, FALSE) + VLOOKUP("Brown", Variables!A:C , 2, FALSE),
IFERROR(SEARCH("Black",P39),0) &gt; 0 , VLOOKUP("Black", Variables!A:C , 2, FALSE),
IFERROR(SEARCH("Grey",P39),0) &gt; 0 , VLOOKUP("Grey", Variables!A:C , 2, FALSE),
IFERROR(SEARCH("Brown",P39),0) &gt; 0 , VLOOKUP("Brown", Variables!A:C , 2, FALSE),
0=0,0)
+
IF(O39 ="Ranged", 1 , 0)</f>
        <v>4.333333333</v>
      </c>
      <c r="R39" s="343" t="s">
        <v>2742</v>
      </c>
      <c r="S39" s="342">
        <f>IFERROR(__xludf.DUMMYFUNCTION("IF(ISBLANK(R39), , 
SWITCH(
LEN(R39)- LEN(SUBSTITUTE(R39,"","","""")), 
0 , VLOOKUP(R39, vote4TRAITS!A:C , 3, FALSE),
1 , VLOOKUP(index(split(R39 ,"", "", FALSE),1,1), vote4TRAITS!A:C , 3, FALSE) + VLOOKUP(index(split(R39 ,"", "", FALSE),1,2), vote4TRAITS"&amp;"!A:C , 3, FALSE),
2 , VLOOKUP(index(split(R39 ,"", "", FALSE),1,1), vote4TRAITS!A:C , 3, FALSE) + VLOOKUP(index(split(R39 ,"", "", FALSE),1,2), vote4TRAITS!A:C , 3, FALSE) + VLOOKUP(index(split(R39 ,"", "", FALSE),1,3), vote4TRAITS!A:C , 3, FALSE)
)
)"),9.833333333333332)</f>
        <v>9.833333333</v>
      </c>
      <c r="T39" s="343"/>
      <c r="U39" s="343" t="str">
        <f>IFERROR(__xludf.DUMMYFUNCTION("IF(ISBLANK(T39), , 
SWITCH(
LEN(T39)- LEN(SUBSTITUTE(T39,"","","""")), 
0 , VLOOKUP(T39, vote4ACTIONS!A:C , 3, FALSE),
1 , VLOOKUP(index(split(T39 ,"", "", FALSE),1,1), vote4ACTIONS!A:C , 3, FALSE) + VLOOKUP(index(split(T39 ,"", "", FALSE),1,2), vote4ACTI"&amp;"ONS!A:C , 3, FALSE),
2 , VLOOKUP(index(split(T39 ,"", "", FALSE),1,1), vote4ACTIONS!A:C , 3, FALSE) + VLOOKUP(index(split(T39 ,"", "", FALSE),1,2), vote4ACTIONS!A:C , 3, FALSE) + VLOOKUP(index(split(T39 ,"", "", FALSE),1,3), vote4ACTIONS!A:C , 3, FALSE)
)"&amp;"
)"),"")</f>
        <v/>
      </c>
      <c r="V39" s="343" t="s">
        <v>1534</v>
      </c>
      <c r="W39" s="517">
        <f>IF(ISBLANK(V39),,IF(IFERROR(SEARCH("SS:",V39),0) &gt; 0, 
VLOOKUP(SUBSTITUTE(V39,"SS: ",""),vote4SURGE!$A:$C , 3, FALSE) - 2,
VLOOKUP(SUBSTITUTE(V39,"S: ",""),vote4SURGE!$A:$C , 3, FALSE)
)
)</f>
        <v>4.25</v>
      </c>
      <c r="X39" s="343"/>
      <c r="Y39" s="343" t="str">
        <f>IF(ISBLANK(X39),,IF(IFERROR(SEARCH("SS:",X39),0) &gt; 0, 
VLOOKUP(SUBSTITUTE(X39,"SS: ",""),vote4SURGE!$A:$C , 3, FALSE) - 2,
VLOOKUP(SUBSTITUTE(X39,"S: ",""),vote4SURGE!$A:$C , 3, FALSE)
)
)</f>
        <v/>
      </c>
      <c r="Z39" s="343"/>
      <c r="AA39" s="343" t="str">
        <f>IF(ISBLANK(Z39),,IF(IFERROR(SEARCH("SS:",Z39),0) &gt; 0, 
VLOOKUP(SUBSTITUTE(Z39,"SS: ",""),vote4SURGE!$A:$C , 3, FALSE) - 2,
VLOOKUP(SUBSTITUTE(Z39,"S: ",""),vote4SURGE!$A:$C , 3, FALSE)
)
)</f>
        <v/>
      </c>
      <c r="AB39" s="343">
        <f t="shared" si="7"/>
        <v>4.25</v>
      </c>
      <c r="AC39" s="343">
        <f>ROUND(IFS(
IFERROR(SEARCH("Blue, Yellow, Yellow, Green",P39),0) &gt; 0 , VLOOKUP("Blue", Variables!A:C , 3 , FALSE) + (VLOOKUP("Yellow", Variables!A:C , 3 , FALSE) * 2) + VLOOKUP("Green", Variables!A:C , 3 , FALSE),
IFERROR(SEARCH("Blue, Yellow, Green, Green",P39),0) &gt; 0 , VLOOKUP("Blue", Variables!A:C , 3 , FALSE) + VLOOKUP("Yellow", Variables!A:C , 3 , FALSE)  + (VLOOKUP("Green", Variables!A:C , 3 , FALSE) * 2),
IFERROR(SEARCH("Blue, Red, Red",P39),0) &gt; 0 , VLOOKUP("Blue", Variables!A:C , 3 , FALSE) + VLOOKUP("Red", Variables!A:C , 3 , FALSE) * 2,
IFERROR(SEARCH("Blue, Yellow, Yellow",P39),0) &gt; 0 , VLOOKUP("Blue", Variables!A:C , 3 , FALSE) + (VLOOKUP("Yellow", Variables!A:C , 3 , FALSE) * 2),
IFERROR(SEARCH("Blue, Yellow, Green",P39),0) &gt; 0 , VLOOKUP("Blue", Variables!A:C , 3 , FALSE) + VLOOKUP("Yellow", Variables!A:C , 3 , FALSE) + VLOOKUP("Green", Variables!A:C , 3 , FALSE),
IFERROR(SEARCH("Blue, Red, Green",P39),0) &gt; 0 , VLOOKUP("Blue", Variables!A:C , 3 , FALSE) + VLOOKUP("Red", Variables!A:C , 3 , FALSE) + VLOOKUP("Green", Variables!A:C , 3 , FALSE),
IFERROR(SEARCH("Blue, Red, Yellow",P39),0) &gt; 0 , VLOOKUP("Blue", Variables!A:C , 3 , FALSE) + VLOOKUP("Red", Variables!A:C , 3 , FALSE) + VLOOKUP("Yellow", Variables!A:C , 3 , FALSE),
IFERROR(SEARCH("Blue, Green, Green",P39),0) &gt; 0 , VLOOKUP("Blue", Variables!A:C , 3 , FALSE) + (VLOOKUP("Green", Variables!A:C , 3 , FALSE) * 2),
IFERROR(SEARCH("Blue, Yellow",P39),0) &gt; 0 , VLOOKUP("Blue", Variables!A:C , 3 , FALSE) + VLOOKUP("Yellow", Variables!A:C , 3 , FALSE),
IFERROR(SEARCH("Blue, Red",P39),0) &gt; 0 , VLOOKUP("Blue", Variables!A:C , 3 , FALSE) + VLOOKUP("Red", Variables!A:C , 3 , FALSE),
IFERROR(SEARCH("Blue, Green",P39),0) &gt; 0 , VLOOKUP("Blue", Variables!A:C , 3 , FALSE) + VLOOKUP("Green", Variables!A:C , 3 , FALSE),
IFERROR(SEARCH("Green",P39),0) &gt; 0 , VLOOKUP("Green", Variables!A:C , 3 , FALSE),
IFERROR(SEARCH("Blue",P39),0) &gt; 0 , VLOOKUP("Blue", Variables!A:C , 3 , FALSE),
IFERROR(SEARCH("Yellow",P39),0) &gt; 0 , VLOOKUP("Yellow", Variables!A:C , 3 , FALSE),
IFERROR(SEARCH("Black, Black",P39),0) &gt; 0 , VLOOKUP("Black", Variables!A:C , 3 , FALSE) * 2,
IFERROR(SEARCH("Grey, Grey",P39),0) &gt; 0 , VLOOKUP("Grey", Variables!A:C , 3 , FALSE) * 2,
IFERROR(SEARCH("Grey, Brown",P39),0) &gt; 0 , VLOOKUP("Grey", Variables!A:C , 3 , FALSE)  + VLOOKUP("Brown", Variables!A:C , 3 , FALSE),
IFERROR(SEARCH("Black, Grey",P39),0) &gt; 0 , VLOOKUP("Black", Variables!A:C , 3 , FALSE) + VLOOKUP("Grey", Variables!A:C , 3 , FALSE),
IFERROR(SEARCH("Black, Brown",P39),0) &gt; 0 , VLOOKUP("Black", Variables!A:C , 3 , FALSE) + VLOOKUP("Brown", Variables!A:C , 3 , FALSE),
IFERROR(SEARCH("Black",P39),0) &gt; 0 , VLOOKUP("Black", Variables!A:C , 3 , FALSE),
IFERROR(SEARCH("Grey",P39),0) &gt; 0 , VLOOKUP("Grey", Variables!A:C , 3 , FALSE),
IFERROR(SEARCH("Brown",P39),0) &gt; 0 , VLOOKUP("Brown", Variables!A:C , 3 , FALSE),
0=0,0)
,
)</f>
        <v>1</v>
      </c>
      <c r="AD39" s="343">
        <f t="shared" si="8"/>
        <v>1</v>
      </c>
      <c r="AE39" s="345">
        <f t="shared" si="9"/>
        <v>18.41666667</v>
      </c>
      <c r="AF39" s="383"/>
    </row>
    <row r="40" ht="15.75" customHeight="1">
      <c r="A40" s="509" t="s">
        <v>2729</v>
      </c>
      <c r="B40" s="380">
        <v>2.0</v>
      </c>
      <c r="C40" s="380">
        <v>1.0</v>
      </c>
      <c r="D40" s="511" t="s">
        <v>2661</v>
      </c>
      <c r="E40" s="512" t="s">
        <v>2730</v>
      </c>
      <c r="F40" s="520">
        <v>5.0</v>
      </c>
      <c r="G40" s="521">
        <v>11.0</v>
      </c>
      <c r="H40" s="522" t="s">
        <v>1671</v>
      </c>
      <c r="I40" s="520">
        <v>5.0</v>
      </c>
      <c r="J40" s="521">
        <v>14.0</v>
      </c>
      <c r="K40" s="515" t="s">
        <v>2590</v>
      </c>
      <c r="L40" s="520">
        <v>5.0</v>
      </c>
      <c r="M40" s="521">
        <v>17.0</v>
      </c>
      <c r="N40" s="522" t="s">
        <v>2590</v>
      </c>
      <c r="O40" s="343" t="s">
        <v>1567</v>
      </c>
      <c r="P40" s="343" t="s">
        <v>1537</v>
      </c>
      <c r="Q40" s="342">
        <f>IFS(
IFERROR(SEARCH("Blue, Yellow, Yellow, Green",P40),0) &gt; 0 , VLOOKUP("Blue", Variables!A:C , 2 , FALSE) + (VLOOKUP("Yellow", Variables!A:C , 2 , FALSE) * 2) + VLOOKUP("Green", Variables!A:C , 2 , FALSE),
IFERROR(SEARCH("Blue, Red, Yellow, Green",P40),0) &gt; 0 , VLOOKUP("Blue", Variables!A:C , 2 , FALSE) + VLOOKUP("Red", Variables!A:C , 2 , FALSE) + (VLOOKUP("Yellow", Variables!A:C , 2 , FALSE) * 2) + VLOOKUP("Green", Variables!A:C , 2 , FALSE),
IFERROR(SEARCH("Blue, Yellow, Green, Green",P40),0) &gt; 0 , VLOOKUP("Blue", Variables!A:C , 2 , FALSE) + VLOOKUP("Yellow", Variables!A:C , 2 , FALSE)  + (VLOOKUP("Green", Variables!A:C , 2 , FALSE) * 2),
IFERROR(SEARCH("Blue, Red, Yellow, Yellow",P40),0) &gt; 0 , VLOOKUP("Blue", Variables!A:C , 2 , FALSE) + VLOOKUP("Yellow", Variables!A:C , 2 , FALSE) * 2  + (VLOOKUP("Red", Variables!A:C , 2 , FALSE) * 2),
IFERROR(SEARCH("Blue, Red, Red",P40),0) &gt; 0 , VLOOKUP("Blue", Variables!A:C , 2 , FALSE) + VLOOKUP("Red", Variables!A:C , 2 , FALSE) * 2,
IFERROR(SEARCH("Blue, Yellow, Yellow",P40),0) &gt; 0 , VLOOKUP("Blue", Variables!A:C , 2 , FALSE) + (VLOOKUP("Yellow", Variables!A:C , 2 , FALSE) * 2),
IFERROR(SEARCH("Blue, Yellow, Green",P40),0) &gt; 0 , VLOOKUP("Blue", Variables!A:C , 2 , FALSE) + VLOOKUP("Yellow", Variables!A:C , 2 , FALSE) + VLOOKUP("Green", Variables!A:C , 2 , FALSE),
IFERROR(SEARCH("Blue, Red, Green",P40),0) &gt; 0 , VLOOKUP("Blue", Variables!A:C , 2 , FALSE) + VLOOKUP("Red", Variables!A:C , 2 , FALSE) + VLOOKUP("Green", Variables!A:C , 2 , FALSE),
IFERROR(SEARCH("Blue, Red, Yellow",P40),0) &gt; 0 , VLOOKUP("Blue", Variables!A:C , 2 , FALSE) + VLOOKUP("Red", Variables!A:C , 2 , FALSE) + VLOOKUP("Yellow", Variables!A:C , 2 , FALSE),
IFERROR(SEARCH("Blue, Green, Green",P40),0) &gt; 0 , VLOOKUP("Blue", Variables!A:C , 2 , FALSE) + (VLOOKUP("Green", Variables!A:C , 2 , FALSE) * 2),
IFERROR(SEARCH("Blue, Yellow",P40),0) &gt; 0 , VLOOKUP("Blue", Variables!A:C , 2 , FALSE) + VLOOKUP("Yellow", Variables!A:C , 2 , FALSE),
IFERROR(SEARCH("Blue, Red",P40),0) &gt; 0 , VLOOKUP("Blue", Variables!A:C , 2 , FALSE) + VLOOKUP("Red", Variables!A:C , 2 , FALSE),
IFERROR(SEARCH("Blue, Green",P40),0) &gt; 0 , VLOOKUP("Blue", Variables!A:C , 2 , FALSE) + VLOOKUP("Green", Variables!A:C , 2 , FALSE),
IFERROR(SEARCH("Green",P40),0) &gt; 0 , VLOOKUP("Green", Variables!A:C , 2 , FALSE),
IFERROR(SEARCH("Blue",P40),0) &gt; 0 , VLOOKUP("Blue", Variables!A:C , 2 , FALSE),
IFERROR(SEARCH("Yellow",P40),0) &gt; 0 , VLOOKUP("Yellow", Variables!A:C , 2 , FALSE),
IFERROR(SEARCH("Black, Black",P40),0) &gt; 0 , VLOOKUP("Black", Variables!A:C , 2, FALSE) * 2,
IFERROR(SEARCH("Grey, Grey",P40),0) &gt; 0 , VLOOKUP("Grey", Variables!A:C , 2, FALSE) * 2,
IFERROR(SEARCH("Grey, Brown",P40),0) &gt; 0 , VLOOKUP("Grey", Variables!A:C , 2, FALSE)  + VLOOKUP("Brown", Variables!A:C , 2, FALSE),
IFERROR(SEARCH("Black, Grey",P40),0) &gt; 0 , VLOOKUP("Black", Variables!A:C , 2, FALSE) + VLOOKUP("Grey", Variables!A:C , 2, FALSE),
IFERROR(SEARCH("Black, Brown",P40),0) &gt; 0 , VLOOKUP("Black", Variables!A:C , 2, FALSE) + VLOOKUP("Brown", Variables!A:C , 2, FALSE),
IFERROR(SEARCH("Black",P40),0) &gt; 0 , VLOOKUP("Black", Variables!A:C , 2, FALSE),
IFERROR(SEARCH("Grey",P40),0) &gt; 0 , VLOOKUP("Grey", Variables!A:C , 2, FALSE),
IFERROR(SEARCH("Brown",P40),0) &gt; 0 , VLOOKUP("Brown", Variables!A:C , 2, FALSE),
0=0,0)
+
IF(O40 ="Ranged", 1 , 0)</f>
        <v>5.5</v>
      </c>
      <c r="R40" s="343" t="s">
        <v>2743</v>
      </c>
      <c r="S40" s="342">
        <f>IFERROR(__xludf.DUMMYFUNCTION("IF(ISBLANK(R40), , 
SWITCH(
LEN(R40)- LEN(SUBSTITUTE(R40,"","","""")), 
0 , VLOOKUP(R40, vote4TRAITS!A:C , 3, FALSE),
1 , VLOOKUP(index(split(R40 ,"", "", FALSE),1,1), vote4TRAITS!A:C , 3, FALSE) + VLOOKUP(index(split(R40 ,"", "", FALSE),1,2), vote4TRAITS"&amp;"!A:C , 3, FALSE),
2 , VLOOKUP(index(split(R40 ,"", "", FALSE),1,1), vote4TRAITS!A:C , 3, FALSE) + VLOOKUP(index(split(R40 ,"", "", FALSE),1,2), vote4TRAITS!A:C , 3, FALSE) + VLOOKUP(index(split(R40 ,"", "", FALSE),1,3), vote4TRAITS!A:C , 3, FALSE)
)
)"),15.333333333333332)</f>
        <v>15.33333333</v>
      </c>
      <c r="T40" s="343"/>
      <c r="U40" s="343" t="str">
        <f>IFERROR(__xludf.DUMMYFUNCTION("IF(ISBLANK(T40), , 
SWITCH(
LEN(T40)- LEN(SUBSTITUTE(T40,"","","""")), 
0 , VLOOKUP(T40, vote4ACTIONS!A:C , 3, FALSE),
1 , VLOOKUP(index(split(T40 ,"", "", FALSE),1,1), vote4ACTIONS!A:C , 3, FALSE) + VLOOKUP(index(split(T40 ,"", "", FALSE),1,2), vote4ACTI"&amp;"ONS!A:C , 3, FALSE),
2 , VLOOKUP(index(split(T40 ,"", "", FALSE),1,1), vote4ACTIONS!A:C , 3, FALSE) + VLOOKUP(index(split(T40 ,"", "", FALSE),1,2), vote4ACTIONS!A:C , 3, FALSE) + VLOOKUP(index(split(T40 ,"", "", FALSE),1,3), vote4ACTIONS!A:C , 3, FALSE)
)"&amp;"
)"),"")</f>
        <v/>
      </c>
      <c r="V40" s="343" t="s">
        <v>1539</v>
      </c>
      <c r="W40" s="517">
        <f>IF(ISBLANK(V40),,IF(IFERROR(SEARCH("SS:",V40),0) &gt; 0, 
VLOOKUP(SUBSTITUTE(V40,"SS: ",""),vote4SURGE!$A:$C , 3, FALSE) - 2,
VLOOKUP(SUBSTITUTE(V40,"S: ",""),vote4SURGE!$A:$C , 3, FALSE)
)
)</f>
        <v>5</v>
      </c>
      <c r="X40" s="343"/>
      <c r="Y40" s="343" t="str">
        <f>IF(ISBLANK(X40),,IF(IFERROR(SEARCH("SS:",X40),0) &gt; 0, 
VLOOKUP(SUBSTITUTE(X40,"SS: ",""),vote4SURGE!$A:$C , 3, FALSE) - 2,
VLOOKUP(SUBSTITUTE(X40,"S: ",""),vote4SURGE!$A:$C , 3, FALSE)
)
)</f>
        <v/>
      </c>
      <c r="Z40" s="343"/>
      <c r="AA40" s="343" t="str">
        <f>IF(ISBLANK(Z40),,IF(IFERROR(SEARCH("SS:",Z40),0) &gt; 0, 
VLOOKUP(SUBSTITUTE(Z40,"SS: ",""),vote4SURGE!$A:$C , 3, FALSE) - 2,
VLOOKUP(SUBSTITUTE(Z40,"S: ",""),vote4SURGE!$A:$C , 3, FALSE)
)
)</f>
        <v/>
      </c>
      <c r="AB40" s="343">
        <f t="shared" si="7"/>
        <v>5</v>
      </c>
      <c r="AC40" s="343">
        <f>ROUND(IFS(
IFERROR(SEARCH("Blue, Yellow, Yellow, Green",P40),0) &gt; 0 , VLOOKUP("Blue", Variables!A:C , 3 , FALSE) + (VLOOKUP("Yellow", Variables!A:C , 3 , FALSE) * 2) + VLOOKUP("Green", Variables!A:C , 3 , FALSE),
IFERROR(SEARCH("Blue, Yellow, Green, Green",P40),0) &gt; 0 , VLOOKUP("Blue", Variables!A:C , 3 , FALSE) + VLOOKUP("Yellow", Variables!A:C , 3 , FALSE)  + (VLOOKUP("Green", Variables!A:C , 3 , FALSE) * 2),
IFERROR(SEARCH("Blue, Red, Red",P40),0) &gt; 0 , VLOOKUP("Blue", Variables!A:C , 3 , FALSE) + VLOOKUP("Red", Variables!A:C , 3 , FALSE) * 2,
IFERROR(SEARCH("Blue, Yellow, Yellow",P40),0) &gt; 0 , VLOOKUP("Blue", Variables!A:C , 3 , FALSE) + (VLOOKUP("Yellow", Variables!A:C , 3 , FALSE) * 2),
IFERROR(SEARCH("Blue, Yellow, Green",P40),0) &gt; 0 , VLOOKUP("Blue", Variables!A:C , 3 , FALSE) + VLOOKUP("Yellow", Variables!A:C , 3 , FALSE) + VLOOKUP("Green", Variables!A:C , 3 , FALSE),
IFERROR(SEARCH("Blue, Red, Green",P40),0) &gt; 0 , VLOOKUP("Blue", Variables!A:C , 3 , FALSE) + VLOOKUP("Red", Variables!A:C , 3 , FALSE) + VLOOKUP("Green", Variables!A:C , 3 , FALSE),
IFERROR(SEARCH("Blue, Red, Yellow",P40),0) &gt; 0 , VLOOKUP("Blue", Variables!A:C , 3 , FALSE) + VLOOKUP("Red", Variables!A:C , 3 , FALSE) + VLOOKUP("Yellow", Variables!A:C , 3 , FALSE),
IFERROR(SEARCH("Blue, Green, Green",P40),0) &gt; 0 , VLOOKUP("Blue", Variables!A:C , 3 , FALSE) + (VLOOKUP("Green", Variables!A:C , 3 , FALSE) * 2),
IFERROR(SEARCH("Blue, Yellow",P40),0) &gt; 0 , VLOOKUP("Blue", Variables!A:C , 3 , FALSE) + VLOOKUP("Yellow", Variables!A:C , 3 , FALSE),
IFERROR(SEARCH("Blue, Red",P40),0) &gt; 0 , VLOOKUP("Blue", Variables!A:C , 3 , FALSE) + VLOOKUP("Red", Variables!A:C , 3 , FALSE),
IFERROR(SEARCH("Blue, Green",P40),0) &gt; 0 , VLOOKUP("Blue", Variables!A:C , 3 , FALSE) + VLOOKUP("Green", Variables!A:C , 3 , FALSE),
IFERROR(SEARCH("Green",P40),0) &gt; 0 , VLOOKUP("Green", Variables!A:C , 3 , FALSE),
IFERROR(SEARCH("Blue",P40),0) &gt; 0 , VLOOKUP("Blue", Variables!A:C , 3 , FALSE),
IFERROR(SEARCH("Yellow",P40),0) &gt; 0 , VLOOKUP("Yellow", Variables!A:C , 3 , FALSE),
IFERROR(SEARCH("Black, Black",P40),0) &gt; 0 , VLOOKUP("Black", Variables!A:C , 3 , FALSE) * 2,
IFERROR(SEARCH("Grey, Grey",P40),0) &gt; 0 , VLOOKUP("Grey", Variables!A:C , 3 , FALSE) * 2,
IFERROR(SEARCH("Grey, Brown",P40),0) &gt; 0 , VLOOKUP("Grey", Variables!A:C , 3 , FALSE)  + VLOOKUP("Brown", Variables!A:C , 3 , FALSE),
IFERROR(SEARCH("Black, Grey",P40),0) &gt; 0 , VLOOKUP("Black", Variables!A:C , 3 , FALSE) + VLOOKUP("Grey", Variables!A:C , 3 , FALSE),
IFERROR(SEARCH("Black, Brown",P40),0) &gt; 0 , VLOOKUP("Black", Variables!A:C , 3 , FALSE) + VLOOKUP("Brown", Variables!A:C , 3 , FALSE),
IFERROR(SEARCH("Black",P40),0) &gt; 0 , VLOOKUP("Black", Variables!A:C , 3 , FALSE),
IFERROR(SEARCH("Grey",P40),0) &gt; 0 , VLOOKUP("Grey", Variables!A:C , 3 , FALSE),
IFERROR(SEARCH("Brown",P40),0) &gt; 0 , VLOOKUP("Brown", Variables!A:C , 3 , FALSE),
0=0,0)
,
)</f>
        <v>1</v>
      </c>
      <c r="AD40" s="343">
        <f t="shared" si="8"/>
        <v>1</v>
      </c>
      <c r="AE40" s="345">
        <f t="shared" si="9"/>
        <v>25.83333333</v>
      </c>
      <c r="AF40" s="383"/>
    </row>
    <row r="41" ht="15.75" customHeight="1">
      <c r="A41" s="391"/>
      <c r="B41" s="376"/>
      <c r="C41" s="376"/>
      <c r="D41" s="524"/>
      <c r="E41" s="524"/>
      <c r="F41" s="525"/>
      <c r="G41" s="525"/>
      <c r="H41" s="322"/>
      <c r="I41" s="525"/>
      <c r="J41" s="525"/>
      <c r="K41" s="376"/>
      <c r="L41" s="525"/>
      <c r="M41" s="525"/>
      <c r="N41" s="322"/>
      <c r="O41" s="383"/>
      <c r="P41" s="383"/>
      <c r="Q41" s="526"/>
      <c r="R41" s="383"/>
      <c r="S41" s="526"/>
      <c r="T41" s="383"/>
      <c r="U41" s="383"/>
      <c r="V41" s="383"/>
      <c r="W41" s="343"/>
      <c r="X41" s="343"/>
      <c r="Y41" s="343"/>
      <c r="Z41" s="343"/>
      <c r="AA41" s="343"/>
      <c r="AB41" s="345"/>
      <c r="AC41" s="345"/>
      <c r="AD41" s="345"/>
      <c r="AE41" s="345"/>
      <c r="AF41" s="383"/>
    </row>
    <row r="42" ht="15.75" customHeight="1">
      <c r="A42" s="391"/>
      <c r="B42" s="376"/>
      <c r="C42" s="376"/>
      <c r="D42" s="524"/>
      <c r="E42" s="524"/>
      <c r="F42" s="525"/>
      <c r="G42" s="525"/>
      <c r="H42" s="322"/>
      <c r="I42" s="525"/>
      <c r="J42" s="525"/>
      <c r="K42" s="376"/>
      <c r="L42" s="525"/>
      <c r="M42" s="525"/>
      <c r="N42" s="322"/>
      <c r="O42" s="383"/>
      <c r="P42" s="383"/>
      <c r="Q42" s="526"/>
      <c r="R42" s="383"/>
      <c r="S42" s="526"/>
      <c r="T42" s="383"/>
      <c r="U42" s="383"/>
      <c r="V42" s="383"/>
      <c r="W42" s="343"/>
      <c r="X42" s="343"/>
      <c r="Y42" s="343"/>
      <c r="Z42" s="343"/>
      <c r="AA42" s="343"/>
      <c r="AB42" s="345"/>
      <c r="AC42" s="345"/>
      <c r="AD42" s="345"/>
      <c r="AE42" s="345"/>
      <c r="AF42" s="383"/>
    </row>
    <row r="43" ht="15.75" customHeight="1">
      <c r="A43" s="391"/>
      <c r="B43" s="376"/>
      <c r="C43" s="376"/>
      <c r="D43" s="524"/>
      <c r="E43" s="524"/>
      <c r="F43" s="525"/>
      <c r="G43" s="525"/>
      <c r="H43" s="322"/>
      <c r="I43" s="525"/>
      <c r="J43" s="525"/>
      <c r="K43" s="376"/>
      <c r="L43" s="525"/>
      <c r="M43" s="525"/>
      <c r="N43" s="322"/>
      <c r="O43" s="383"/>
      <c r="P43" s="383"/>
      <c r="Q43" s="526"/>
      <c r="R43" s="383"/>
      <c r="S43" s="526"/>
      <c r="T43" s="383"/>
      <c r="U43" s="383"/>
      <c r="V43" s="383"/>
      <c r="W43" s="343"/>
      <c r="X43" s="343"/>
      <c r="Y43" s="343"/>
      <c r="Z43" s="343"/>
      <c r="AA43" s="343"/>
      <c r="AB43" s="345"/>
      <c r="AC43" s="345"/>
      <c r="AD43" s="345"/>
      <c r="AE43" s="345"/>
      <c r="AF43" s="383"/>
    </row>
    <row r="44" ht="15.75" customHeight="1">
      <c r="A44" s="391"/>
      <c r="B44" s="376"/>
      <c r="C44" s="376"/>
      <c r="D44" s="524"/>
      <c r="E44" s="524"/>
      <c r="F44" s="525"/>
      <c r="G44" s="525"/>
      <c r="H44" s="322"/>
      <c r="I44" s="525"/>
      <c r="J44" s="525"/>
      <c r="K44" s="376"/>
      <c r="L44" s="525"/>
      <c r="M44" s="525"/>
      <c r="N44" s="322"/>
      <c r="O44" s="383"/>
      <c r="P44" s="383"/>
      <c r="Q44" s="526"/>
      <c r="R44" s="383"/>
      <c r="S44" s="526"/>
      <c r="T44" s="383"/>
      <c r="U44" s="383"/>
      <c r="V44" s="383"/>
      <c r="W44" s="343"/>
      <c r="X44" s="343"/>
      <c r="Y44" s="343"/>
      <c r="Z44" s="343"/>
      <c r="AA44" s="343"/>
      <c r="AB44" s="345"/>
      <c r="AC44" s="345"/>
      <c r="AD44" s="345"/>
      <c r="AE44" s="345"/>
      <c r="AF44" s="383"/>
    </row>
    <row r="45" ht="15.75" customHeight="1">
      <c r="A45" s="391"/>
      <c r="B45" s="376"/>
      <c r="C45" s="376"/>
      <c r="D45" s="524"/>
      <c r="E45" s="524"/>
      <c r="F45" s="525"/>
      <c r="G45" s="525"/>
      <c r="H45" s="322"/>
      <c r="I45" s="525"/>
      <c r="J45" s="525"/>
      <c r="K45" s="376"/>
      <c r="L45" s="525"/>
      <c r="M45" s="525"/>
      <c r="N45" s="322"/>
      <c r="O45" s="383"/>
      <c r="P45" s="383"/>
      <c r="Q45" s="526"/>
      <c r="R45" s="383"/>
      <c r="S45" s="526"/>
      <c r="T45" s="383"/>
      <c r="U45" s="383"/>
      <c r="V45" s="383"/>
      <c r="W45" s="343"/>
      <c r="X45" s="343"/>
      <c r="Y45" s="343"/>
      <c r="Z45" s="343"/>
      <c r="AA45" s="343"/>
      <c r="AB45" s="345"/>
      <c r="AC45" s="345"/>
      <c r="AD45" s="345"/>
      <c r="AE45" s="345"/>
      <c r="AF45" s="383"/>
    </row>
    <row r="46" ht="15.75" customHeight="1">
      <c r="A46" s="391"/>
      <c r="B46" s="376"/>
      <c r="C46" s="376"/>
      <c r="D46" s="524"/>
      <c r="E46" s="524"/>
      <c r="F46" s="525"/>
      <c r="G46" s="525"/>
      <c r="H46" s="322"/>
      <c r="I46" s="525"/>
      <c r="J46" s="525"/>
      <c r="K46" s="376"/>
      <c r="L46" s="525"/>
      <c r="M46" s="525"/>
      <c r="N46" s="322"/>
      <c r="O46" s="383"/>
      <c r="P46" s="383"/>
      <c r="Q46" s="526"/>
      <c r="R46" s="383"/>
      <c r="S46" s="526"/>
      <c r="T46" s="383"/>
      <c r="U46" s="383"/>
      <c r="V46" s="383"/>
      <c r="W46" s="343"/>
      <c r="X46" s="343"/>
      <c r="Y46" s="343"/>
      <c r="Z46" s="343"/>
      <c r="AA46" s="343"/>
      <c r="AB46" s="345"/>
      <c r="AC46" s="345"/>
      <c r="AD46" s="345"/>
      <c r="AE46" s="345"/>
      <c r="AF46" s="383"/>
    </row>
    <row r="47" ht="15.75" customHeight="1">
      <c r="A47" s="376"/>
      <c r="B47" s="376"/>
      <c r="C47" s="376"/>
      <c r="D47" s="524"/>
      <c r="E47" s="524"/>
      <c r="F47" s="525"/>
      <c r="G47" s="525"/>
      <c r="H47" s="322"/>
      <c r="I47" s="525"/>
      <c r="J47" s="525"/>
      <c r="K47" s="376"/>
      <c r="L47" s="525"/>
      <c r="M47" s="525"/>
      <c r="N47" s="322"/>
      <c r="O47" s="383"/>
      <c r="P47" s="383"/>
      <c r="Q47" s="526"/>
      <c r="R47" s="383"/>
      <c r="S47" s="526"/>
      <c r="T47" s="383"/>
      <c r="U47" s="383"/>
      <c r="V47" s="383"/>
      <c r="W47" s="343"/>
      <c r="X47" s="343"/>
      <c r="Y47" s="343"/>
      <c r="Z47" s="343"/>
      <c r="AA47" s="343"/>
      <c r="AB47" s="345"/>
      <c r="AC47" s="345"/>
      <c r="AD47" s="345"/>
      <c r="AE47" s="345"/>
      <c r="AF47" s="383"/>
    </row>
    <row r="48" ht="15.75" customHeight="1">
      <c r="A48" s="391"/>
      <c r="B48" s="376"/>
      <c r="C48" s="376"/>
      <c r="D48" s="524"/>
      <c r="E48" s="524"/>
      <c r="F48" s="525"/>
      <c r="G48" s="525"/>
      <c r="H48" s="322"/>
      <c r="I48" s="525"/>
      <c r="J48" s="525"/>
      <c r="K48" s="376"/>
      <c r="L48" s="525"/>
      <c r="M48" s="525"/>
      <c r="N48" s="322"/>
      <c r="O48" s="383"/>
      <c r="P48" s="383"/>
      <c r="Q48" s="526"/>
      <c r="R48" s="383"/>
      <c r="S48" s="526"/>
      <c r="T48" s="383"/>
      <c r="U48" s="383"/>
      <c r="V48" s="383"/>
      <c r="W48" s="343"/>
      <c r="X48" s="343"/>
      <c r="Y48" s="343"/>
      <c r="Z48" s="343"/>
      <c r="AA48" s="343"/>
      <c r="AB48" s="345"/>
      <c r="AC48" s="345"/>
      <c r="AD48" s="345"/>
      <c r="AE48" s="345"/>
      <c r="AF48" s="383"/>
    </row>
    <row r="49" ht="15.75" customHeight="1">
      <c r="A49" s="391"/>
      <c r="B49" s="376"/>
      <c r="C49" s="376"/>
      <c r="D49" s="524"/>
      <c r="E49" s="524"/>
      <c r="F49" s="525"/>
      <c r="G49" s="525"/>
      <c r="H49" s="322"/>
      <c r="I49" s="525"/>
      <c r="J49" s="525"/>
      <c r="K49" s="376"/>
      <c r="L49" s="525"/>
      <c r="M49" s="525"/>
      <c r="N49" s="322"/>
      <c r="O49" s="383"/>
      <c r="P49" s="383"/>
      <c r="Q49" s="526"/>
      <c r="R49" s="383"/>
      <c r="S49" s="526"/>
      <c r="T49" s="383"/>
      <c r="U49" s="383"/>
      <c r="V49" s="383"/>
      <c r="W49" s="343"/>
      <c r="X49" s="343"/>
      <c r="Y49" s="343"/>
      <c r="Z49" s="343"/>
      <c r="AA49" s="343"/>
      <c r="AB49" s="345"/>
      <c r="AC49" s="345"/>
      <c r="AD49" s="345"/>
      <c r="AE49" s="345"/>
      <c r="AF49" s="383"/>
    </row>
    <row r="50" ht="15.75" customHeight="1">
      <c r="A50" s="391"/>
      <c r="B50" s="376"/>
      <c r="C50" s="376"/>
      <c r="D50" s="524"/>
      <c r="E50" s="524"/>
      <c r="F50" s="525"/>
      <c r="G50" s="525"/>
      <c r="H50" s="322"/>
      <c r="I50" s="525"/>
      <c r="J50" s="525"/>
      <c r="K50" s="376"/>
      <c r="L50" s="525"/>
      <c r="M50" s="525"/>
      <c r="N50" s="322"/>
      <c r="O50" s="383"/>
      <c r="P50" s="383"/>
      <c r="Q50" s="526"/>
      <c r="R50" s="383"/>
      <c r="S50" s="526"/>
      <c r="T50" s="383"/>
      <c r="U50" s="383"/>
      <c r="V50" s="383"/>
      <c r="W50" s="343"/>
      <c r="X50" s="343"/>
      <c r="Y50" s="343"/>
      <c r="Z50" s="343"/>
      <c r="AA50" s="343"/>
      <c r="AB50" s="345"/>
      <c r="AC50" s="345"/>
      <c r="AD50" s="345"/>
      <c r="AE50" s="345"/>
      <c r="AF50" s="383"/>
    </row>
    <row r="51" ht="15.75" customHeight="1">
      <c r="A51" s="391"/>
      <c r="B51" s="376"/>
      <c r="C51" s="376"/>
      <c r="D51" s="524"/>
      <c r="E51" s="524"/>
      <c r="F51" s="525"/>
      <c r="G51" s="525"/>
      <c r="H51" s="322"/>
      <c r="I51" s="525"/>
      <c r="J51" s="525"/>
      <c r="K51" s="376"/>
      <c r="L51" s="525"/>
      <c r="M51" s="525"/>
      <c r="N51" s="322"/>
      <c r="O51" s="383"/>
      <c r="P51" s="383"/>
      <c r="Q51" s="526"/>
      <c r="R51" s="383"/>
      <c r="S51" s="526"/>
      <c r="T51" s="383"/>
      <c r="U51" s="383"/>
      <c r="V51" s="383"/>
      <c r="W51" s="343"/>
      <c r="X51" s="343"/>
      <c r="Y51" s="343"/>
      <c r="Z51" s="343"/>
      <c r="AA51" s="343"/>
      <c r="AB51" s="345"/>
      <c r="AC51" s="345"/>
      <c r="AD51" s="345"/>
      <c r="AE51" s="345"/>
      <c r="AF51" s="383"/>
    </row>
    <row r="52" ht="15.75" customHeight="1">
      <c r="A52" s="391"/>
      <c r="B52" s="376"/>
      <c r="C52" s="376"/>
      <c r="D52" s="524"/>
      <c r="E52" s="524"/>
      <c r="F52" s="525"/>
      <c r="G52" s="525"/>
      <c r="H52" s="322"/>
      <c r="I52" s="525"/>
      <c r="J52" s="525"/>
      <c r="K52" s="376"/>
      <c r="L52" s="525"/>
      <c r="M52" s="525"/>
      <c r="N52" s="322"/>
      <c r="O52" s="383"/>
      <c r="P52" s="383"/>
      <c r="Q52" s="526"/>
      <c r="R52" s="383"/>
      <c r="S52" s="526"/>
      <c r="T52" s="383"/>
      <c r="U52" s="383"/>
      <c r="V52" s="383"/>
      <c r="W52" s="343"/>
      <c r="X52" s="343"/>
      <c r="Y52" s="343"/>
      <c r="Z52" s="343"/>
      <c r="AA52" s="343"/>
      <c r="AB52" s="345"/>
      <c r="AC52" s="345"/>
      <c r="AD52" s="345"/>
      <c r="AE52" s="345"/>
      <c r="AF52" s="383"/>
    </row>
    <row r="53" ht="15.75" customHeight="1">
      <c r="A53" s="391"/>
      <c r="B53" s="376"/>
      <c r="C53" s="376"/>
      <c r="D53" s="524"/>
      <c r="E53" s="524"/>
      <c r="F53" s="525"/>
      <c r="G53" s="525"/>
      <c r="H53" s="322"/>
      <c r="I53" s="525"/>
      <c r="J53" s="525"/>
      <c r="K53" s="376"/>
      <c r="L53" s="525"/>
      <c r="M53" s="525"/>
      <c r="N53" s="322"/>
      <c r="O53" s="383"/>
      <c r="P53" s="383"/>
      <c r="Q53" s="526"/>
      <c r="R53" s="383"/>
      <c r="S53" s="526"/>
      <c r="T53" s="383"/>
      <c r="U53" s="383"/>
      <c r="V53" s="383"/>
      <c r="W53" s="343"/>
      <c r="X53" s="343"/>
      <c r="Y53" s="343"/>
      <c r="Z53" s="343"/>
      <c r="AA53" s="343"/>
      <c r="AB53" s="345"/>
      <c r="AC53" s="345"/>
      <c r="AD53" s="345"/>
      <c r="AE53" s="345"/>
      <c r="AF53" s="383"/>
    </row>
    <row r="54" ht="15.75" customHeight="1">
      <c r="A54" s="391"/>
      <c r="B54" s="376"/>
      <c r="C54" s="376"/>
      <c r="D54" s="524"/>
      <c r="E54" s="524"/>
      <c r="F54" s="525"/>
      <c r="G54" s="525"/>
      <c r="H54" s="322"/>
      <c r="I54" s="525"/>
      <c r="J54" s="525"/>
      <c r="K54" s="376"/>
      <c r="L54" s="525"/>
      <c r="M54" s="525"/>
      <c r="N54" s="322"/>
      <c r="O54" s="383"/>
      <c r="P54" s="383"/>
      <c r="Q54" s="526"/>
      <c r="R54" s="383"/>
      <c r="S54" s="526"/>
      <c r="T54" s="383"/>
      <c r="U54" s="383"/>
      <c r="V54" s="383"/>
      <c r="W54" s="343"/>
      <c r="X54" s="343"/>
      <c r="Y54" s="343"/>
      <c r="Z54" s="343"/>
      <c r="AA54" s="343"/>
      <c r="AB54" s="345"/>
      <c r="AC54" s="345"/>
      <c r="AD54" s="345"/>
      <c r="AE54" s="345"/>
      <c r="AF54" s="383"/>
    </row>
    <row r="55" ht="15.75" customHeight="1">
      <c r="A55" s="391"/>
      <c r="B55" s="376"/>
      <c r="C55" s="376"/>
      <c r="D55" s="524"/>
      <c r="E55" s="524"/>
      <c r="F55" s="525"/>
      <c r="G55" s="525"/>
      <c r="H55" s="322"/>
      <c r="I55" s="525"/>
      <c r="J55" s="525"/>
      <c r="K55" s="376"/>
      <c r="L55" s="525"/>
      <c r="M55" s="525"/>
      <c r="N55" s="322"/>
      <c r="O55" s="383"/>
      <c r="P55" s="383"/>
      <c r="Q55" s="526"/>
      <c r="R55" s="383"/>
      <c r="S55" s="526"/>
      <c r="T55" s="383"/>
      <c r="U55" s="383"/>
      <c r="V55" s="383"/>
      <c r="W55" s="343"/>
      <c r="X55" s="343"/>
      <c r="Y55" s="343"/>
      <c r="Z55" s="343"/>
      <c r="AA55" s="343"/>
      <c r="AB55" s="345"/>
      <c r="AC55" s="345"/>
      <c r="AD55" s="345"/>
      <c r="AE55" s="345"/>
      <c r="AF55" s="383"/>
    </row>
    <row r="56" ht="15.75" customHeight="1">
      <c r="A56" s="391"/>
      <c r="B56" s="376"/>
      <c r="C56" s="376"/>
      <c r="D56" s="524"/>
      <c r="E56" s="524"/>
      <c r="F56" s="525"/>
      <c r="G56" s="525"/>
      <c r="H56" s="322"/>
      <c r="I56" s="525"/>
      <c r="J56" s="525"/>
      <c r="K56" s="376"/>
      <c r="L56" s="525"/>
      <c r="M56" s="525"/>
      <c r="N56" s="322"/>
      <c r="O56" s="383"/>
      <c r="P56" s="383"/>
      <c r="Q56" s="526"/>
      <c r="R56" s="383"/>
      <c r="S56" s="526"/>
      <c r="T56" s="383"/>
      <c r="U56" s="383"/>
      <c r="V56" s="383"/>
      <c r="W56" s="343"/>
      <c r="X56" s="343"/>
      <c r="Y56" s="343"/>
      <c r="Z56" s="343"/>
      <c r="AA56" s="343"/>
      <c r="AB56" s="345"/>
      <c r="AC56" s="345"/>
      <c r="AD56" s="345"/>
      <c r="AE56" s="345"/>
      <c r="AF56" s="383"/>
    </row>
    <row r="57" ht="15.75" customHeight="1">
      <c r="A57" s="391"/>
      <c r="B57" s="376"/>
      <c r="C57" s="376"/>
      <c r="D57" s="524"/>
      <c r="E57" s="524"/>
      <c r="F57" s="525"/>
      <c r="G57" s="525"/>
      <c r="H57" s="322"/>
      <c r="I57" s="525"/>
      <c r="J57" s="525"/>
      <c r="K57" s="376"/>
      <c r="L57" s="525"/>
      <c r="M57" s="525"/>
      <c r="N57" s="322"/>
      <c r="O57" s="383"/>
      <c r="P57" s="383"/>
      <c r="Q57" s="526"/>
      <c r="R57" s="383"/>
      <c r="S57" s="526"/>
      <c r="T57" s="383"/>
      <c r="U57" s="383"/>
      <c r="V57" s="383"/>
      <c r="W57" s="343"/>
      <c r="X57" s="343"/>
      <c r="Y57" s="343"/>
      <c r="Z57" s="343"/>
      <c r="AA57" s="343"/>
      <c r="AB57" s="345"/>
      <c r="AC57" s="345"/>
      <c r="AD57" s="345"/>
      <c r="AE57" s="345"/>
      <c r="AF57" s="383"/>
    </row>
    <row r="58" ht="15.75" customHeight="1">
      <c r="A58" s="391"/>
      <c r="B58" s="376"/>
      <c r="C58" s="376"/>
      <c r="D58" s="524"/>
      <c r="E58" s="524"/>
      <c r="F58" s="525"/>
      <c r="G58" s="525"/>
      <c r="H58" s="322"/>
      <c r="I58" s="525"/>
      <c r="J58" s="525"/>
      <c r="K58" s="376"/>
      <c r="L58" s="525"/>
      <c r="M58" s="525"/>
      <c r="N58" s="322"/>
      <c r="O58" s="383"/>
      <c r="P58" s="383"/>
      <c r="Q58" s="526"/>
      <c r="R58" s="383"/>
      <c r="S58" s="526"/>
      <c r="T58" s="383"/>
      <c r="U58" s="383"/>
      <c r="V58" s="383"/>
      <c r="W58" s="343"/>
      <c r="X58" s="343"/>
      <c r="Y58" s="343"/>
      <c r="Z58" s="343"/>
      <c r="AA58" s="343"/>
      <c r="AB58" s="345"/>
      <c r="AC58" s="345"/>
      <c r="AD58" s="345"/>
      <c r="AE58" s="345"/>
      <c r="AF58" s="383"/>
    </row>
    <row r="59" ht="15.75" customHeight="1">
      <c r="A59" s="391"/>
      <c r="B59" s="376"/>
      <c r="C59" s="376"/>
      <c r="D59" s="524"/>
      <c r="E59" s="524"/>
      <c r="F59" s="525"/>
      <c r="G59" s="525"/>
      <c r="H59" s="322"/>
      <c r="I59" s="525"/>
      <c r="J59" s="525"/>
      <c r="K59" s="376"/>
      <c r="L59" s="525"/>
      <c r="M59" s="525"/>
      <c r="N59" s="322"/>
      <c r="O59" s="383"/>
      <c r="P59" s="383"/>
      <c r="Q59" s="526"/>
      <c r="R59" s="383"/>
      <c r="S59" s="526"/>
      <c r="T59" s="383"/>
      <c r="U59" s="383"/>
      <c r="V59" s="383"/>
      <c r="W59" s="343"/>
      <c r="X59" s="343"/>
      <c r="Y59" s="343"/>
      <c r="Z59" s="343"/>
      <c r="AA59" s="343"/>
      <c r="AB59" s="345"/>
      <c r="AC59" s="345"/>
      <c r="AD59" s="345"/>
      <c r="AE59" s="345"/>
      <c r="AF59" s="383"/>
    </row>
    <row r="60" ht="15.75" customHeight="1">
      <c r="A60" s="391"/>
      <c r="B60" s="376"/>
      <c r="C60" s="376"/>
      <c r="D60" s="524"/>
      <c r="E60" s="524"/>
      <c r="F60" s="525"/>
      <c r="G60" s="525"/>
      <c r="H60" s="322"/>
      <c r="I60" s="525"/>
      <c r="J60" s="525"/>
      <c r="K60" s="376"/>
      <c r="L60" s="525"/>
      <c r="M60" s="525"/>
      <c r="N60" s="322"/>
      <c r="O60" s="383"/>
      <c r="P60" s="383"/>
      <c r="Q60" s="526"/>
      <c r="R60" s="383"/>
      <c r="S60" s="526"/>
      <c r="T60" s="383"/>
      <c r="U60" s="383"/>
      <c r="V60" s="383"/>
      <c r="W60" s="343"/>
      <c r="X60" s="343"/>
      <c r="Y60" s="343"/>
      <c r="Z60" s="343"/>
      <c r="AA60" s="343"/>
      <c r="AB60" s="345"/>
      <c r="AC60" s="345"/>
      <c r="AD60" s="345"/>
      <c r="AE60" s="345"/>
      <c r="AF60" s="383"/>
    </row>
  </sheetData>
  <mergeCells count="3">
    <mergeCell ref="F1:H1"/>
    <mergeCell ref="I1:K1"/>
    <mergeCell ref="L1:N1"/>
  </mergeCells>
  <hyperlinks>
    <hyperlink r:id="rId1" ref="A3"/>
    <hyperlink r:id="rId2" ref="D3"/>
    <hyperlink r:id="rId3" ref="A4"/>
    <hyperlink r:id="rId4" ref="D4"/>
    <hyperlink r:id="rId5" ref="A5"/>
    <hyperlink r:id="rId6" ref="D5"/>
    <hyperlink r:id="rId7" ref="A6"/>
    <hyperlink r:id="rId8" ref="D6"/>
    <hyperlink r:id="rId9" ref="A7"/>
    <hyperlink r:id="rId10" ref="D7"/>
    <hyperlink r:id="rId11" ref="A8"/>
    <hyperlink r:id="rId12" ref="D8"/>
    <hyperlink r:id="rId13" ref="A9"/>
    <hyperlink r:id="rId14" ref="D9"/>
    <hyperlink r:id="rId15" ref="A10"/>
    <hyperlink r:id="rId16" ref="D10"/>
    <hyperlink r:id="rId17" ref="A11"/>
    <hyperlink r:id="rId18" ref="D11"/>
    <hyperlink r:id="rId19" ref="A12"/>
    <hyperlink r:id="rId20" ref="D12"/>
    <hyperlink r:id="rId21" ref="A13"/>
    <hyperlink r:id="rId22" ref="D13"/>
    <hyperlink r:id="rId23" ref="A14"/>
    <hyperlink r:id="rId24" ref="D14"/>
    <hyperlink r:id="rId25" ref="A15"/>
    <hyperlink r:id="rId26" ref="D15"/>
    <hyperlink r:id="rId27" ref="A16"/>
    <hyperlink r:id="rId28" ref="D16"/>
    <hyperlink r:id="rId29" ref="A17"/>
    <hyperlink r:id="rId30" ref="D17"/>
    <hyperlink r:id="rId31" ref="A18"/>
    <hyperlink r:id="rId32" ref="D18"/>
    <hyperlink r:id="rId33" ref="A19"/>
    <hyperlink r:id="rId34" ref="D19"/>
    <hyperlink r:id="rId35" ref="A20"/>
    <hyperlink r:id="rId36" ref="D20"/>
    <hyperlink r:id="rId37" ref="A21"/>
    <hyperlink r:id="rId38" ref="A22"/>
    <hyperlink r:id="rId39" ref="D22"/>
    <hyperlink r:id="rId40" ref="A23"/>
    <hyperlink r:id="rId41" ref="D23"/>
    <hyperlink r:id="rId42" ref="A24"/>
    <hyperlink r:id="rId43" ref="D24"/>
    <hyperlink r:id="rId44" ref="A25"/>
    <hyperlink r:id="rId45" ref="A26"/>
    <hyperlink r:id="rId46" ref="D26"/>
    <hyperlink r:id="rId47" ref="A27"/>
    <hyperlink r:id="rId48" ref="D27"/>
    <hyperlink r:id="rId49" ref="A28"/>
    <hyperlink r:id="rId50" ref="D28"/>
    <hyperlink r:id="rId51" ref="A29"/>
    <hyperlink r:id="rId52" ref="D29"/>
    <hyperlink r:id="rId53" ref="A30"/>
    <hyperlink r:id="rId54" ref="D30"/>
    <hyperlink r:id="rId55" ref="A31"/>
    <hyperlink r:id="rId56" ref="D31"/>
    <hyperlink r:id="rId57" ref="A32"/>
    <hyperlink r:id="rId58" ref="D32"/>
    <hyperlink r:id="rId59" ref="A33"/>
    <hyperlink r:id="rId60" ref="D33"/>
    <hyperlink r:id="rId61" ref="A34"/>
    <hyperlink r:id="rId62" ref="D34"/>
    <hyperlink r:id="rId63" ref="A35"/>
    <hyperlink r:id="rId64" ref="D35"/>
    <hyperlink r:id="rId65" ref="A36"/>
    <hyperlink r:id="rId66" ref="D36"/>
    <hyperlink r:id="rId67" ref="A37"/>
    <hyperlink r:id="rId68" ref="D37"/>
    <hyperlink r:id="rId69" ref="A38"/>
    <hyperlink r:id="rId70" ref="D38"/>
    <hyperlink r:id="rId71" ref="A39"/>
    <hyperlink r:id="rId72" ref="D39"/>
    <hyperlink r:id="rId73" ref="A40"/>
    <hyperlink r:id="rId74" ref="D40"/>
  </hyperlinks>
  <drawing r:id="rId75"/>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
    <col customWidth="1" min="2" max="2" width="14.13"/>
    <col customWidth="1" min="3" max="3" width="84.38"/>
    <col customWidth="1" min="4" max="4" width="41.75"/>
    <col customWidth="1" min="5" max="5" width="27.0"/>
    <col customWidth="1" min="6" max="6" width="12.63"/>
  </cols>
  <sheetData>
    <row r="1">
      <c r="A1" s="9"/>
      <c r="B1" s="9"/>
      <c r="C1" s="422"/>
      <c r="D1" s="9"/>
      <c r="E1" s="9"/>
      <c r="F1" s="9"/>
      <c r="G1" s="9"/>
      <c r="H1" s="9"/>
      <c r="I1" s="9"/>
      <c r="J1" s="9"/>
      <c r="K1" s="9"/>
      <c r="L1" s="9"/>
      <c r="M1" s="9"/>
      <c r="N1" s="9"/>
      <c r="O1" s="9"/>
      <c r="P1" s="9"/>
      <c r="Q1" s="9"/>
      <c r="R1" s="9"/>
      <c r="S1" s="9"/>
      <c r="T1" s="9"/>
      <c r="U1" s="9"/>
      <c r="V1" s="9"/>
      <c r="W1" s="9"/>
    </row>
    <row r="2">
      <c r="A2" s="9"/>
      <c r="B2" s="527"/>
      <c r="C2" s="527" t="s">
        <v>2744</v>
      </c>
      <c r="D2" s="528"/>
      <c r="E2" s="134"/>
      <c r="F2" s="9"/>
      <c r="G2" s="9"/>
      <c r="H2" s="9"/>
      <c r="I2" s="9"/>
      <c r="J2" s="9"/>
      <c r="K2" s="9"/>
      <c r="L2" s="9"/>
      <c r="M2" s="9"/>
      <c r="N2" s="9"/>
      <c r="O2" s="9"/>
      <c r="P2" s="9"/>
      <c r="Q2" s="9"/>
      <c r="R2" s="9"/>
      <c r="S2" s="9"/>
      <c r="T2" s="9"/>
      <c r="U2" s="9"/>
      <c r="V2" s="9"/>
      <c r="W2" s="9"/>
    </row>
    <row r="3">
      <c r="A3" s="9"/>
      <c r="B3" s="529" t="s">
        <v>2745</v>
      </c>
      <c r="C3" s="530" t="s">
        <v>2746</v>
      </c>
      <c r="D3" s="528"/>
      <c r="E3" s="9"/>
      <c r="F3" s="9"/>
      <c r="G3" s="9"/>
      <c r="H3" s="9"/>
      <c r="I3" s="9"/>
      <c r="J3" s="9"/>
      <c r="K3" s="9"/>
      <c r="L3" s="9"/>
      <c r="M3" s="9"/>
      <c r="N3" s="9"/>
      <c r="O3" s="9"/>
      <c r="P3" s="9"/>
      <c r="Q3" s="9"/>
      <c r="R3" s="9"/>
      <c r="S3" s="9"/>
      <c r="T3" s="9"/>
      <c r="U3" s="9"/>
      <c r="V3" s="9"/>
      <c r="W3" s="9"/>
    </row>
    <row r="4">
      <c r="A4" s="9"/>
      <c r="B4" s="529" t="s">
        <v>2747</v>
      </c>
      <c r="C4" s="530" t="s">
        <v>2748</v>
      </c>
      <c r="D4" s="528"/>
      <c r="E4" s="134"/>
      <c r="F4" s="9"/>
      <c r="G4" s="9"/>
      <c r="H4" s="9"/>
      <c r="I4" s="9"/>
      <c r="J4" s="9"/>
      <c r="K4" s="9"/>
      <c r="L4" s="9"/>
      <c r="M4" s="9"/>
      <c r="N4" s="9"/>
      <c r="O4" s="9"/>
      <c r="P4" s="9"/>
      <c r="Q4" s="9"/>
      <c r="R4" s="9"/>
      <c r="S4" s="9"/>
      <c r="T4" s="9"/>
      <c r="U4" s="9"/>
      <c r="V4" s="9"/>
      <c r="W4" s="9"/>
    </row>
    <row r="5">
      <c r="A5" s="9"/>
      <c r="B5" s="529" t="s">
        <v>2749</v>
      </c>
      <c r="C5" s="531" t="s">
        <v>2750</v>
      </c>
      <c r="D5" s="528"/>
      <c r="E5" s="134"/>
      <c r="F5" s="9"/>
      <c r="G5" s="9"/>
      <c r="H5" s="9"/>
      <c r="I5" s="9"/>
      <c r="J5" s="9"/>
      <c r="K5" s="9"/>
      <c r="L5" s="9"/>
      <c r="M5" s="9"/>
      <c r="N5" s="9"/>
      <c r="O5" s="9"/>
      <c r="P5" s="9"/>
      <c r="Q5" s="9"/>
      <c r="R5" s="9"/>
      <c r="S5" s="9"/>
      <c r="T5" s="9"/>
      <c r="U5" s="9"/>
      <c r="V5" s="9"/>
      <c r="W5" s="9"/>
    </row>
    <row r="6">
      <c r="A6" s="9"/>
      <c r="B6" s="529" t="s">
        <v>2751</v>
      </c>
      <c r="C6" s="530" t="s">
        <v>2752</v>
      </c>
      <c r="D6" s="532" t="s">
        <v>2753</v>
      </c>
      <c r="E6" s="134"/>
      <c r="F6" s="9"/>
      <c r="G6" s="9"/>
      <c r="H6" s="9"/>
      <c r="I6" s="9"/>
      <c r="J6" s="9"/>
      <c r="K6" s="9"/>
      <c r="L6" s="9"/>
      <c r="M6" s="9"/>
      <c r="N6" s="9"/>
      <c r="O6" s="9"/>
      <c r="P6" s="9"/>
      <c r="Q6" s="9"/>
      <c r="R6" s="9"/>
      <c r="S6" s="9"/>
      <c r="T6" s="9"/>
      <c r="U6" s="9"/>
      <c r="V6" s="9"/>
      <c r="W6" s="9"/>
    </row>
    <row r="7">
      <c r="A7" s="9"/>
      <c r="B7" s="529" t="s">
        <v>2754</v>
      </c>
      <c r="C7" s="530" t="s">
        <v>2755</v>
      </c>
      <c r="D7" s="528"/>
      <c r="E7" s="134"/>
      <c r="F7" s="9"/>
      <c r="G7" s="9"/>
      <c r="H7" s="9"/>
      <c r="I7" s="9"/>
      <c r="J7" s="9"/>
      <c r="K7" s="9"/>
      <c r="L7" s="9"/>
      <c r="M7" s="9"/>
      <c r="N7" s="9"/>
      <c r="O7" s="9"/>
      <c r="P7" s="9"/>
      <c r="Q7" s="9"/>
      <c r="R7" s="9"/>
      <c r="S7" s="9"/>
      <c r="T7" s="9"/>
      <c r="U7" s="9"/>
      <c r="V7" s="9"/>
      <c r="W7" s="9"/>
    </row>
    <row r="8">
      <c r="A8" s="9"/>
      <c r="B8" s="529" t="s">
        <v>2756</v>
      </c>
      <c r="C8" s="533" t="s">
        <v>2757</v>
      </c>
      <c r="D8" s="9"/>
      <c r="E8" s="9"/>
      <c r="F8" s="9"/>
      <c r="G8" s="9"/>
      <c r="H8" s="9"/>
      <c r="I8" s="9"/>
      <c r="J8" s="9"/>
      <c r="K8" s="9"/>
      <c r="L8" s="9"/>
      <c r="M8" s="9"/>
      <c r="N8" s="9"/>
      <c r="O8" s="9"/>
      <c r="P8" s="9"/>
      <c r="Q8" s="9"/>
      <c r="R8" s="9"/>
      <c r="S8" s="9"/>
      <c r="T8" s="9"/>
      <c r="U8" s="9"/>
      <c r="V8" s="9"/>
      <c r="W8" s="9"/>
    </row>
    <row r="9">
      <c r="A9" s="9"/>
      <c r="B9" s="534" t="s">
        <v>2758</v>
      </c>
      <c r="C9" s="535" t="s">
        <v>2759</v>
      </c>
      <c r="D9" s="9"/>
      <c r="E9" s="9"/>
      <c r="F9" s="9"/>
      <c r="G9" s="9"/>
      <c r="H9" s="9"/>
      <c r="I9" s="9"/>
      <c r="J9" s="9"/>
      <c r="K9" s="9"/>
      <c r="L9" s="9"/>
      <c r="M9" s="9"/>
      <c r="N9" s="9"/>
      <c r="O9" s="9"/>
      <c r="P9" s="9"/>
      <c r="Q9" s="9"/>
      <c r="R9" s="9"/>
      <c r="S9" s="9"/>
      <c r="T9" s="9"/>
      <c r="U9" s="9"/>
      <c r="V9" s="9"/>
      <c r="W9" s="9"/>
    </row>
    <row r="10">
      <c r="A10" s="9"/>
      <c r="B10" s="52"/>
      <c r="C10" s="535" t="s">
        <v>2760</v>
      </c>
      <c r="D10" s="9"/>
      <c r="E10" s="9"/>
      <c r="F10" s="9"/>
      <c r="G10" s="9"/>
      <c r="H10" s="9"/>
      <c r="I10" s="9"/>
      <c r="J10" s="9"/>
      <c r="K10" s="9"/>
      <c r="L10" s="9"/>
      <c r="M10" s="9"/>
      <c r="N10" s="9"/>
      <c r="O10" s="9"/>
      <c r="P10" s="9"/>
      <c r="Q10" s="9"/>
      <c r="R10" s="9"/>
      <c r="S10" s="9"/>
      <c r="T10" s="9"/>
      <c r="U10" s="9"/>
      <c r="V10" s="9"/>
      <c r="W10" s="9"/>
    </row>
    <row r="11">
      <c r="A11" s="9"/>
      <c r="B11" s="536"/>
      <c r="C11" s="530" t="s">
        <v>2761</v>
      </c>
      <c r="D11" s="9"/>
      <c r="E11" s="9"/>
      <c r="F11" s="9"/>
      <c r="G11" s="9"/>
      <c r="H11" s="9"/>
      <c r="I11" s="9"/>
      <c r="J11" s="9"/>
      <c r="K11" s="9"/>
      <c r="L11" s="9"/>
      <c r="M11" s="9"/>
      <c r="N11" s="9"/>
      <c r="O11" s="9"/>
      <c r="P11" s="9"/>
      <c r="Q11" s="9"/>
      <c r="R11" s="9"/>
      <c r="S11" s="9"/>
      <c r="T11" s="9"/>
      <c r="U11" s="9"/>
      <c r="V11" s="9"/>
      <c r="W11" s="9"/>
    </row>
    <row r="12">
      <c r="A12" s="9"/>
      <c r="B12" s="536"/>
      <c r="C12" s="535" t="s">
        <v>2762</v>
      </c>
      <c r="D12" s="9"/>
      <c r="E12" s="9"/>
      <c r="F12" s="9"/>
      <c r="G12" s="9"/>
      <c r="H12" s="9"/>
      <c r="I12" s="9"/>
      <c r="J12" s="9"/>
      <c r="K12" s="9"/>
      <c r="L12" s="9"/>
      <c r="M12" s="9"/>
      <c r="N12" s="9"/>
      <c r="O12" s="9"/>
      <c r="P12" s="9"/>
      <c r="Q12" s="9"/>
      <c r="R12" s="9"/>
      <c r="S12" s="9"/>
      <c r="T12" s="9"/>
      <c r="U12" s="9"/>
      <c r="V12" s="9"/>
      <c r="W12" s="9"/>
    </row>
    <row r="13">
      <c r="A13" s="9"/>
      <c r="B13" s="536"/>
      <c r="C13" s="535" t="s">
        <v>2763</v>
      </c>
      <c r="D13" s="134" t="s">
        <v>2764</v>
      </c>
      <c r="E13" s="9"/>
      <c r="F13" s="9"/>
      <c r="G13" s="9"/>
      <c r="H13" s="9"/>
      <c r="I13" s="9"/>
      <c r="J13" s="9"/>
      <c r="K13" s="9"/>
      <c r="L13" s="9"/>
      <c r="M13" s="9"/>
      <c r="N13" s="9"/>
      <c r="O13" s="9"/>
      <c r="P13" s="9"/>
      <c r="Q13" s="9"/>
      <c r="R13" s="9"/>
      <c r="S13" s="9"/>
      <c r="T13" s="9"/>
      <c r="U13" s="9"/>
      <c r="V13" s="9"/>
      <c r="W13" s="9"/>
    </row>
    <row r="14" ht="15.75" customHeight="1">
      <c r="A14" s="9"/>
      <c r="B14" s="9"/>
      <c r="C14" s="422"/>
      <c r="D14" s="9"/>
      <c r="E14" s="9"/>
      <c r="F14" s="9"/>
      <c r="G14" s="9"/>
      <c r="H14" s="9"/>
      <c r="I14" s="9"/>
      <c r="J14" s="9"/>
      <c r="K14" s="9"/>
      <c r="L14" s="9"/>
      <c r="M14" s="9"/>
      <c r="N14" s="9"/>
      <c r="O14" s="9"/>
      <c r="P14" s="9"/>
      <c r="Q14" s="9"/>
      <c r="R14" s="9"/>
      <c r="S14" s="9"/>
      <c r="T14" s="9"/>
      <c r="U14" s="9"/>
      <c r="V14" s="9"/>
      <c r="W14" s="9"/>
    </row>
    <row r="15" ht="15.75" customHeight="1">
      <c r="A15" s="9"/>
      <c r="B15" s="9"/>
      <c r="C15" s="422"/>
      <c r="D15" s="9"/>
      <c r="E15" s="9"/>
      <c r="F15" s="9"/>
      <c r="G15" s="9"/>
      <c r="H15" s="9"/>
      <c r="I15" s="9"/>
      <c r="J15" s="9"/>
      <c r="K15" s="9"/>
      <c r="L15" s="9"/>
      <c r="M15" s="9"/>
      <c r="N15" s="9"/>
      <c r="O15" s="9"/>
      <c r="P15" s="9"/>
      <c r="Q15" s="9"/>
      <c r="R15" s="9"/>
      <c r="S15" s="9"/>
      <c r="T15" s="9"/>
      <c r="U15" s="9"/>
      <c r="V15" s="9"/>
      <c r="W15" s="9"/>
    </row>
    <row r="16" ht="15.75" customHeight="1">
      <c r="A16" s="9"/>
      <c r="B16" s="9"/>
      <c r="C16" s="65"/>
      <c r="D16" s="9"/>
      <c r="E16" s="9"/>
      <c r="F16" s="9"/>
      <c r="G16" s="9"/>
      <c r="H16" s="9"/>
      <c r="I16" s="9"/>
      <c r="J16" s="9"/>
      <c r="K16" s="9"/>
      <c r="L16" s="9"/>
      <c r="M16" s="9"/>
      <c r="N16" s="9"/>
      <c r="O16" s="9"/>
      <c r="P16" s="9"/>
      <c r="Q16" s="9"/>
      <c r="R16" s="9"/>
      <c r="S16" s="9"/>
      <c r="T16" s="9"/>
      <c r="U16" s="9"/>
      <c r="V16" s="9"/>
      <c r="W16" s="9"/>
    </row>
    <row r="17" ht="15.75" customHeight="1">
      <c r="A17" s="9"/>
      <c r="B17" s="9"/>
      <c r="C17" s="422"/>
      <c r="D17" s="67" t="s">
        <v>2765</v>
      </c>
      <c r="E17" s="80"/>
      <c r="F17" s="81"/>
      <c r="G17" s="67" t="s">
        <v>2766</v>
      </c>
      <c r="H17" s="81"/>
      <c r="I17" s="9"/>
      <c r="J17" s="9"/>
      <c r="K17" s="9"/>
      <c r="L17" s="9"/>
      <c r="M17" s="9"/>
      <c r="N17" s="9"/>
      <c r="O17" s="9"/>
      <c r="P17" s="9"/>
      <c r="Q17" s="9"/>
      <c r="R17" s="9"/>
      <c r="S17" s="9"/>
      <c r="T17" s="9"/>
      <c r="U17" s="9"/>
      <c r="V17" s="9"/>
      <c r="W17" s="9"/>
    </row>
    <row r="18" ht="15.75" customHeight="1">
      <c r="A18" s="9"/>
      <c r="B18" s="9"/>
      <c r="C18" s="190" t="s">
        <v>2767</v>
      </c>
      <c r="D18" s="210" t="s">
        <v>2768</v>
      </c>
      <c r="E18" s="190" t="s">
        <v>2769</v>
      </c>
      <c r="F18" s="220" t="s">
        <v>2770</v>
      </c>
      <c r="G18" s="210" t="s">
        <v>2768</v>
      </c>
      <c r="H18" s="220" t="s">
        <v>2770</v>
      </c>
      <c r="I18" s="9"/>
      <c r="J18" s="9"/>
      <c r="K18" s="9"/>
      <c r="L18" s="9"/>
      <c r="M18" s="9"/>
      <c r="N18" s="9"/>
      <c r="O18" s="9"/>
      <c r="P18" s="9"/>
      <c r="Q18" s="9"/>
      <c r="R18" s="9"/>
      <c r="S18" s="9"/>
      <c r="T18" s="9"/>
      <c r="U18" s="9"/>
      <c r="V18" s="9"/>
      <c r="W18" s="9"/>
    </row>
    <row r="19" ht="15.75" customHeight="1">
      <c r="A19" s="9"/>
      <c r="B19" s="9"/>
      <c r="C19" s="65" t="s">
        <v>2771</v>
      </c>
      <c r="D19" s="68">
        <v>1.0</v>
      </c>
      <c r="E19" s="65">
        <v>75.0</v>
      </c>
      <c r="F19" s="537"/>
      <c r="G19" s="68">
        <v>3.0</v>
      </c>
      <c r="H19" s="199"/>
      <c r="I19" s="9"/>
      <c r="J19" s="9"/>
      <c r="K19" s="9"/>
      <c r="L19" s="9"/>
      <c r="M19" s="9"/>
      <c r="N19" s="9"/>
      <c r="O19" s="9"/>
      <c r="P19" s="9"/>
      <c r="Q19" s="9"/>
      <c r="R19" s="9"/>
      <c r="S19" s="9"/>
      <c r="T19" s="9"/>
      <c r="U19" s="9"/>
      <c r="V19" s="9"/>
      <c r="W19" s="9"/>
    </row>
    <row r="20" ht="15.75" customHeight="1">
      <c r="A20" s="9"/>
      <c r="B20" s="9"/>
      <c r="C20" s="65" t="s">
        <v>2772</v>
      </c>
      <c r="D20" s="68">
        <v>1.0</v>
      </c>
      <c r="E20" s="65" t="s">
        <v>2773</v>
      </c>
      <c r="F20" s="537"/>
      <c r="G20" s="198">
        <v>3.0</v>
      </c>
      <c r="H20" s="234" t="s">
        <v>1128</v>
      </c>
      <c r="I20" s="9"/>
      <c r="J20" s="9"/>
      <c r="K20" s="9"/>
      <c r="L20" s="9"/>
      <c r="M20" s="9"/>
      <c r="N20" s="9"/>
      <c r="O20" s="9"/>
      <c r="P20" s="9"/>
      <c r="Q20" s="9"/>
      <c r="R20" s="9"/>
      <c r="S20" s="9"/>
      <c r="T20" s="9"/>
      <c r="U20" s="9"/>
      <c r="V20" s="9"/>
      <c r="W20" s="9"/>
    </row>
    <row r="21" ht="15.75" customHeight="1">
      <c r="A21" s="9"/>
      <c r="B21" s="9"/>
      <c r="C21" s="65" t="s">
        <v>2774</v>
      </c>
      <c r="D21" s="68">
        <v>1.0</v>
      </c>
      <c r="E21" s="65" t="s">
        <v>2775</v>
      </c>
      <c r="F21" s="199"/>
      <c r="G21" s="68">
        <v>3.0</v>
      </c>
      <c r="H21" s="220" t="s">
        <v>888</v>
      </c>
      <c r="I21" s="9"/>
      <c r="J21" s="9"/>
      <c r="K21" s="9"/>
      <c r="L21" s="9"/>
      <c r="M21" s="9"/>
      <c r="N21" s="9"/>
      <c r="O21" s="9"/>
      <c r="P21" s="9"/>
      <c r="Q21" s="9"/>
      <c r="R21" s="9"/>
      <c r="S21" s="9"/>
      <c r="T21" s="9"/>
      <c r="U21" s="9"/>
      <c r="V21" s="9"/>
      <c r="W21" s="9"/>
    </row>
    <row r="22" ht="15.75" customHeight="1">
      <c r="A22" s="9"/>
      <c r="B22" s="9"/>
      <c r="C22" s="65" t="s">
        <v>2776</v>
      </c>
      <c r="D22" s="69">
        <v>1.0</v>
      </c>
      <c r="E22" s="66" t="s">
        <v>2773</v>
      </c>
      <c r="F22" s="285"/>
      <c r="G22" s="69">
        <v>4.0</v>
      </c>
      <c r="H22" s="285"/>
      <c r="I22" s="9"/>
      <c r="J22" s="9"/>
      <c r="K22" s="9"/>
      <c r="L22" s="9"/>
      <c r="M22" s="9"/>
      <c r="N22" s="9"/>
      <c r="O22" s="9"/>
      <c r="P22" s="9"/>
      <c r="Q22" s="9"/>
      <c r="R22" s="9"/>
      <c r="S22" s="9"/>
      <c r="T22" s="9"/>
      <c r="U22" s="9"/>
      <c r="V22" s="9"/>
      <c r="W22" s="9"/>
    </row>
    <row r="23" ht="15.75" customHeight="1">
      <c r="A23" s="9"/>
      <c r="B23" s="9"/>
      <c r="C23" s="422"/>
      <c r="D23" s="9"/>
      <c r="E23" s="9"/>
      <c r="F23" s="9"/>
      <c r="G23" s="9"/>
      <c r="H23" s="9"/>
      <c r="I23" s="9"/>
      <c r="J23" s="9"/>
      <c r="K23" s="9"/>
      <c r="L23" s="9"/>
      <c r="M23" s="9"/>
      <c r="N23" s="9"/>
      <c r="O23" s="9"/>
      <c r="P23" s="9"/>
      <c r="Q23" s="9"/>
      <c r="R23" s="9"/>
      <c r="S23" s="9"/>
      <c r="T23" s="9"/>
      <c r="U23" s="9"/>
      <c r="V23" s="9"/>
      <c r="W23" s="9"/>
    </row>
    <row r="24" ht="15.75" customHeight="1">
      <c r="A24" s="9"/>
      <c r="B24" s="9"/>
      <c r="C24" s="422"/>
      <c r="D24" s="9"/>
      <c r="E24" s="9"/>
      <c r="F24" s="9"/>
      <c r="G24" s="9"/>
      <c r="H24" s="9"/>
      <c r="I24" s="9"/>
      <c r="J24" s="9"/>
      <c r="K24" s="9"/>
      <c r="L24" s="9"/>
      <c r="M24" s="9"/>
      <c r="N24" s="9"/>
      <c r="O24" s="9"/>
      <c r="P24" s="9"/>
      <c r="Q24" s="9"/>
      <c r="R24" s="9"/>
      <c r="S24" s="9"/>
      <c r="T24" s="9"/>
      <c r="U24" s="9"/>
      <c r="V24" s="9"/>
      <c r="W24" s="9"/>
    </row>
    <row r="25" ht="15.75" customHeight="1">
      <c r="A25" s="9"/>
      <c r="B25" s="9"/>
      <c r="C25" s="422"/>
      <c r="D25" s="9"/>
      <c r="E25" s="9"/>
      <c r="F25" s="9"/>
      <c r="G25" s="9"/>
      <c r="H25" s="9"/>
      <c r="I25" s="9"/>
      <c r="J25" s="9"/>
      <c r="K25" s="9"/>
      <c r="L25" s="9"/>
      <c r="M25" s="9"/>
      <c r="N25" s="9"/>
      <c r="O25" s="9"/>
      <c r="P25" s="9"/>
      <c r="Q25" s="9"/>
      <c r="R25" s="9"/>
      <c r="S25" s="9"/>
      <c r="T25" s="9"/>
      <c r="U25" s="9"/>
      <c r="V25" s="9"/>
      <c r="W25" s="9"/>
    </row>
    <row r="26" ht="15.75" customHeight="1">
      <c r="A26" s="9"/>
      <c r="B26" s="9"/>
      <c r="C26" s="422"/>
      <c r="D26" s="9"/>
      <c r="E26" s="9"/>
      <c r="F26" s="9"/>
      <c r="G26" s="9"/>
      <c r="H26" s="9"/>
      <c r="I26" s="9"/>
      <c r="J26" s="9"/>
      <c r="K26" s="9"/>
      <c r="L26" s="9"/>
      <c r="M26" s="9"/>
      <c r="N26" s="9"/>
      <c r="O26" s="9"/>
      <c r="P26" s="9"/>
      <c r="Q26" s="9"/>
      <c r="R26" s="9"/>
      <c r="S26" s="9"/>
      <c r="T26" s="9"/>
      <c r="U26" s="9"/>
      <c r="V26" s="9"/>
      <c r="W26" s="9"/>
    </row>
    <row r="27" ht="15.75" customHeight="1">
      <c r="A27" s="9"/>
      <c r="B27" s="9"/>
      <c r="C27" s="422"/>
      <c r="D27" s="9"/>
      <c r="E27" s="9"/>
      <c r="F27" s="9"/>
      <c r="G27" s="9"/>
      <c r="H27" s="9"/>
      <c r="I27" s="9"/>
      <c r="J27" s="9"/>
      <c r="K27" s="9"/>
      <c r="L27" s="9"/>
      <c r="M27" s="9"/>
      <c r="N27" s="9"/>
      <c r="O27" s="9"/>
      <c r="P27" s="9"/>
      <c r="Q27" s="9"/>
      <c r="R27" s="9"/>
      <c r="S27" s="9"/>
      <c r="T27" s="9"/>
      <c r="U27" s="9"/>
      <c r="V27" s="9"/>
      <c r="W27" s="9"/>
    </row>
    <row r="28" ht="15.75" customHeight="1">
      <c r="A28" s="9"/>
      <c r="B28" s="9"/>
      <c r="C28" s="422"/>
      <c r="D28" s="9"/>
      <c r="E28" s="9"/>
      <c r="F28" s="9"/>
      <c r="G28" s="9"/>
      <c r="H28" s="9"/>
      <c r="I28" s="9"/>
      <c r="J28" s="9"/>
      <c r="K28" s="9"/>
      <c r="L28" s="9"/>
      <c r="M28" s="9"/>
      <c r="N28" s="9"/>
      <c r="O28" s="9"/>
      <c r="P28" s="9"/>
      <c r="Q28" s="9"/>
      <c r="R28" s="9"/>
      <c r="S28" s="9"/>
      <c r="T28" s="9"/>
      <c r="U28" s="9"/>
      <c r="V28" s="9"/>
      <c r="W28" s="9"/>
    </row>
    <row r="29" ht="15.75" customHeight="1">
      <c r="A29" s="9"/>
      <c r="B29" s="9"/>
      <c r="C29" s="422"/>
      <c r="D29" s="9"/>
      <c r="E29" s="9"/>
      <c r="F29" s="9"/>
      <c r="G29" s="9"/>
      <c r="H29" s="9"/>
      <c r="I29" s="9"/>
      <c r="J29" s="9"/>
      <c r="K29" s="9"/>
      <c r="L29" s="9"/>
      <c r="M29" s="9"/>
      <c r="N29" s="9"/>
      <c r="O29" s="9"/>
      <c r="P29" s="9"/>
      <c r="Q29" s="9"/>
      <c r="R29" s="9"/>
      <c r="S29" s="9"/>
      <c r="T29" s="9"/>
      <c r="U29" s="9"/>
      <c r="V29" s="9"/>
      <c r="W29" s="9"/>
    </row>
    <row r="30" ht="15.75" customHeight="1">
      <c r="A30" s="9"/>
      <c r="B30" s="9"/>
      <c r="C30" s="422"/>
      <c r="D30" s="9"/>
      <c r="E30" s="9"/>
      <c r="F30" s="9"/>
      <c r="G30" s="9"/>
      <c r="H30" s="9"/>
      <c r="I30" s="9"/>
      <c r="J30" s="9"/>
      <c r="K30" s="9"/>
      <c r="L30" s="9"/>
      <c r="M30" s="9"/>
      <c r="N30" s="9"/>
      <c r="O30" s="9"/>
      <c r="P30" s="9"/>
      <c r="Q30" s="9"/>
      <c r="R30" s="9"/>
      <c r="S30" s="9"/>
      <c r="T30" s="9"/>
      <c r="U30" s="9"/>
      <c r="V30" s="9"/>
      <c r="W30" s="9"/>
    </row>
    <row r="31" ht="15.75" customHeight="1">
      <c r="A31" s="9"/>
      <c r="B31" s="9"/>
      <c r="C31" s="422"/>
      <c r="D31" s="9"/>
      <c r="E31" s="9"/>
      <c r="F31" s="9"/>
      <c r="G31" s="9"/>
      <c r="H31" s="9"/>
      <c r="I31" s="9"/>
      <c r="J31" s="9"/>
      <c r="K31" s="9"/>
      <c r="L31" s="9"/>
      <c r="M31" s="9"/>
      <c r="N31" s="9"/>
      <c r="O31" s="9"/>
      <c r="P31" s="9"/>
      <c r="Q31" s="9"/>
      <c r="R31" s="9"/>
      <c r="S31" s="9"/>
      <c r="T31" s="9"/>
      <c r="U31" s="9"/>
      <c r="V31" s="9"/>
      <c r="W31" s="9"/>
    </row>
    <row r="32" ht="15.75" customHeight="1">
      <c r="A32" s="9"/>
      <c r="B32" s="9"/>
      <c r="C32" s="422"/>
      <c r="D32" s="9"/>
      <c r="E32" s="9"/>
      <c r="F32" s="9"/>
      <c r="G32" s="9"/>
      <c r="H32" s="9"/>
      <c r="I32" s="9"/>
      <c r="J32" s="9"/>
      <c r="K32" s="9"/>
      <c r="L32" s="9"/>
      <c r="M32" s="9"/>
      <c r="N32" s="9"/>
      <c r="O32" s="9"/>
      <c r="P32" s="9"/>
      <c r="Q32" s="9"/>
      <c r="R32" s="9"/>
      <c r="S32" s="9"/>
      <c r="T32" s="9"/>
      <c r="U32" s="9"/>
      <c r="V32" s="9"/>
      <c r="W32" s="9"/>
    </row>
    <row r="33" ht="15.75" customHeight="1">
      <c r="A33" s="9"/>
      <c r="B33" s="9"/>
      <c r="C33" s="422"/>
      <c r="D33" s="9"/>
      <c r="E33" s="9"/>
      <c r="F33" s="9"/>
      <c r="G33" s="9"/>
      <c r="H33" s="9"/>
      <c r="I33" s="9"/>
      <c r="J33" s="9"/>
      <c r="K33" s="9"/>
      <c r="L33" s="9"/>
      <c r="M33" s="9"/>
      <c r="N33" s="9"/>
      <c r="O33" s="9"/>
      <c r="P33" s="9"/>
      <c r="Q33" s="9"/>
      <c r="R33" s="9"/>
      <c r="S33" s="9"/>
      <c r="T33" s="9"/>
      <c r="U33" s="9"/>
      <c r="V33" s="9"/>
      <c r="W33" s="9"/>
    </row>
    <row r="34" ht="15.75" customHeight="1">
      <c r="A34" s="9"/>
      <c r="B34" s="9"/>
      <c r="C34" s="422"/>
      <c r="D34" s="9"/>
      <c r="E34" s="9"/>
      <c r="F34" s="9"/>
      <c r="G34" s="9"/>
      <c r="H34" s="9"/>
      <c r="I34" s="9"/>
      <c r="J34" s="9"/>
      <c r="K34" s="9"/>
      <c r="L34" s="9"/>
      <c r="M34" s="9"/>
      <c r="N34" s="9"/>
      <c r="O34" s="9"/>
      <c r="P34" s="9"/>
      <c r="Q34" s="9"/>
      <c r="R34" s="9"/>
      <c r="S34" s="9"/>
      <c r="T34" s="9"/>
      <c r="U34" s="9"/>
      <c r="V34" s="9"/>
      <c r="W34" s="9"/>
    </row>
    <row r="35" ht="15.75" customHeight="1">
      <c r="A35" s="9"/>
      <c r="B35" s="9"/>
      <c r="C35" s="422"/>
      <c r="D35" s="9"/>
      <c r="E35" s="9"/>
      <c r="F35" s="9"/>
      <c r="G35" s="9"/>
      <c r="H35" s="9"/>
      <c r="I35" s="9"/>
      <c r="J35" s="9"/>
      <c r="K35" s="9"/>
      <c r="L35" s="9"/>
      <c r="M35" s="9"/>
      <c r="N35" s="9"/>
      <c r="O35" s="9"/>
      <c r="P35" s="9"/>
      <c r="Q35" s="9"/>
      <c r="R35" s="9"/>
      <c r="S35" s="9"/>
      <c r="T35" s="9"/>
      <c r="U35" s="9"/>
      <c r="V35" s="9"/>
      <c r="W35" s="9"/>
    </row>
    <row r="36" ht="15.75" customHeight="1">
      <c r="A36" s="9"/>
      <c r="B36" s="9"/>
      <c r="C36" s="422"/>
      <c r="D36" s="9"/>
      <c r="E36" s="9"/>
      <c r="F36" s="9"/>
      <c r="G36" s="9"/>
      <c r="H36" s="9"/>
      <c r="I36" s="9"/>
      <c r="J36" s="9"/>
      <c r="K36" s="9"/>
      <c r="L36" s="9"/>
      <c r="M36" s="9"/>
      <c r="N36" s="9"/>
      <c r="O36" s="9"/>
      <c r="P36" s="9"/>
      <c r="Q36" s="9"/>
      <c r="R36" s="9"/>
      <c r="S36" s="9"/>
      <c r="T36" s="9"/>
      <c r="U36" s="9"/>
      <c r="V36" s="9"/>
      <c r="W36" s="9"/>
    </row>
    <row r="37" ht="15.75" customHeight="1">
      <c r="A37" s="9"/>
      <c r="B37" s="9"/>
      <c r="C37" s="422"/>
      <c r="D37" s="9"/>
      <c r="E37" s="9"/>
      <c r="F37" s="9"/>
      <c r="G37" s="9"/>
      <c r="H37" s="9"/>
      <c r="I37" s="9"/>
      <c r="J37" s="9"/>
      <c r="K37" s="9"/>
      <c r="L37" s="9"/>
      <c r="M37" s="9"/>
      <c r="N37" s="9"/>
      <c r="O37" s="9"/>
      <c r="P37" s="9"/>
      <c r="Q37" s="9"/>
      <c r="R37" s="9"/>
      <c r="S37" s="9"/>
      <c r="T37" s="9"/>
      <c r="U37" s="9"/>
      <c r="V37" s="9"/>
      <c r="W37" s="9"/>
    </row>
    <row r="38" ht="15.75" customHeight="1">
      <c r="A38" s="9"/>
      <c r="B38" s="9"/>
      <c r="C38" s="422"/>
      <c r="D38" s="9"/>
      <c r="E38" s="9"/>
      <c r="F38" s="9"/>
      <c r="G38" s="9"/>
      <c r="H38" s="9"/>
      <c r="I38" s="9"/>
      <c r="J38" s="9"/>
      <c r="K38" s="9"/>
      <c r="L38" s="9"/>
      <c r="M38" s="9"/>
      <c r="N38" s="9"/>
      <c r="O38" s="9"/>
      <c r="P38" s="9"/>
      <c r="Q38" s="9"/>
      <c r="R38" s="9"/>
      <c r="S38" s="9"/>
      <c r="T38" s="9"/>
      <c r="U38" s="9"/>
      <c r="V38" s="9"/>
      <c r="W38" s="9"/>
    </row>
    <row r="39" ht="15.75" customHeight="1">
      <c r="A39" s="9"/>
      <c r="B39" s="9"/>
      <c r="C39" s="422"/>
      <c r="D39" s="9"/>
      <c r="E39" s="9"/>
      <c r="F39" s="9"/>
      <c r="G39" s="9"/>
      <c r="H39" s="9"/>
      <c r="I39" s="9"/>
      <c r="J39" s="9"/>
      <c r="K39" s="9"/>
      <c r="L39" s="9"/>
      <c r="M39" s="9"/>
      <c r="N39" s="9"/>
      <c r="O39" s="9"/>
      <c r="P39" s="9"/>
      <c r="Q39" s="9"/>
      <c r="R39" s="9"/>
      <c r="S39" s="9"/>
      <c r="T39" s="9"/>
      <c r="U39" s="9"/>
      <c r="V39" s="9"/>
      <c r="W39" s="9"/>
    </row>
    <row r="40" ht="15.75" customHeight="1">
      <c r="A40" s="9"/>
      <c r="B40" s="9"/>
      <c r="C40" s="422"/>
      <c r="D40" s="9"/>
      <c r="E40" s="9"/>
      <c r="F40" s="9"/>
      <c r="G40" s="9"/>
      <c r="H40" s="9"/>
      <c r="I40" s="9"/>
      <c r="J40" s="9"/>
      <c r="K40" s="9"/>
      <c r="L40" s="9"/>
      <c r="M40" s="9"/>
      <c r="N40" s="9"/>
      <c r="O40" s="9"/>
      <c r="P40" s="9"/>
      <c r="Q40" s="9"/>
      <c r="R40" s="9"/>
      <c r="S40" s="9"/>
      <c r="T40" s="9"/>
      <c r="U40" s="9"/>
      <c r="V40" s="9"/>
      <c r="W40" s="9"/>
    </row>
    <row r="41" ht="15.75" customHeight="1">
      <c r="A41" s="9"/>
      <c r="B41" s="9"/>
      <c r="C41" s="422"/>
      <c r="D41" s="9"/>
      <c r="E41" s="9"/>
      <c r="F41" s="9"/>
      <c r="G41" s="9"/>
      <c r="H41" s="9"/>
      <c r="I41" s="9"/>
      <c r="J41" s="9"/>
      <c r="K41" s="9"/>
      <c r="L41" s="9"/>
      <c r="M41" s="9"/>
      <c r="N41" s="9"/>
      <c r="O41" s="9"/>
      <c r="P41" s="9"/>
      <c r="Q41" s="9"/>
      <c r="R41" s="9"/>
      <c r="S41" s="9"/>
      <c r="T41" s="9"/>
      <c r="U41" s="9"/>
      <c r="V41" s="9"/>
      <c r="W41" s="9"/>
    </row>
    <row r="42" ht="15.75" customHeight="1">
      <c r="A42" s="9"/>
      <c r="B42" s="9"/>
      <c r="C42" s="422"/>
      <c r="D42" s="9"/>
      <c r="E42" s="9"/>
      <c r="F42" s="9"/>
      <c r="G42" s="9"/>
      <c r="H42" s="9"/>
      <c r="I42" s="9"/>
      <c r="J42" s="9"/>
      <c r="K42" s="9"/>
      <c r="L42" s="9"/>
      <c r="M42" s="9"/>
      <c r="N42" s="9"/>
      <c r="O42" s="9"/>
      <c r="P42" s="9"/>
      <c r="Q42" s="9"/>
      <c r="R42" s="9"/>
      <c r="S42" s="9"/>
      <c r="T42" s="9"/>
      <c r="U42" s="9"/>
      <c r="V42" s="9"/>
      <c r="W42" s="9"/>
    </row>
    <row r="43" ht="15.75" customHeight="1">
      <c r="A43" s="9"/>
      <c r="B43" s="9"/>
      <c r="C43" s="422"/>
      <c r="D43" s="9"/>
      <c r="E43" s="9"/>
      <c r="F43" s="9"/>
      <c r="G43" s="9"/>
      <c r="H43" s="9"/>
      <c r="I43" s="9"/>
      <c r="J43" s="9"/>
      <c r="K43" s="9"/>
      <c r="L43" s="9"/>
      <c r="M43" s="9"/>
      <c r="N43" s="9"/>
      <c r="O43" s="9"/>
      <c r="P43" s="9"/>
      <c r="Q43" s="9"/>
      <c r="R43" s="9"/>
      <c r="S43" s="9"/>
      <c r="T43" s="9"/>
      <c r="U43" s="9"/>
      <c r="V43" s="9"/>
      <c r="W43" s="9"/>
    </row>
    <row r="44" ht="15.75" customHeight="1">
      <c r="A44" s="9"/>
      <c r="B44" s="9"/>
      <c r="C44" s="422"/>
      <c r="D44" s="9"/>
      <c r="E44" s="9"/>
      <c r="F44" s="9"/>
      <c r="G44" s="9"/>
      <c r="H44" s="9"/>
      <c r="I44" s="9"/>
      <c r="J44" s="9"/>
      <c r="K44" s="9"/>
      <c r="L44" s="9"/>
      <c r="M44" s="9"/>
      <c r="N44" s="9"/>
      <c r="O44" s="9"/>
      <c r="P44" s="9"/>
      <c r="Q44" s="9"/>
      <c r="R44" s="9"/>
      <c r="S44" s="9"/>
      <c r="T44" s="9"/>
      <c r="U44" s="9"/>
      <c r="V44" s="9"/>
      <c r="W44" s="9"/>
    </row>
    <row r="45" ht="15.75" customHeight="1">
      <c r="A45" s="9"/>
      <c r="B45" s="9"/>
      <c r="C45" s="422"/>
      <c r="D45" s="9"/>
      <c r="E45" s="9"/>
      <c r="F45" s="9"/>
      <c r="G45" s="9"/>
      <c r="H45" s="9"/>
      <c r="I45" s="9"/>
      <c r="J45" s="9"/>
      <c r="K45" s="9"/>
      <c r="L45" s="9"/>
      <c r="M45" s="9"/>
      <c r="N45" s="9"/>
      <c r="O45" s="9"/>
      <c r="P45" s="9"/>
      <c r="Q45" s="9"/>
      <c r="R45" s="9"/>
      <c r="S45" s="9"/>
      <c r="T45" s="9"/>
      <c r="U45" s="9"/>
      <c r="V45" s="9"/>
      <c r="W45" s="9"/>
    </row>
    <row r="46" ht="15.75" customHeight="1">
      <c r="A46" s="9"/>
      <c r="B46" s="9"/>
      <c r="C46" s="422"/>
      <c r="D46" s="9"/>
      <c r="E46" s="9"/>
      <c r="F46" s="9"/>
      <c r="G46" s="9"/>
      <c r="H46" s="9"/>
      <c r="I46" s="9"/>
      <c r="J46" s="9"/>
      <c r="K46" s="9"/>
      <c r="L46" s="9"/>
      <c r="M46" s="9"/>
      <c r="N46" s="9"/>
      <c r="O46" s="9"/>
      <c r="P46" s="9"/>
      <c r="Q46" s="9"/>
      <c r="R46" s="9"/>
      <c r="S46" s="9"/>
      <c r="T46" s="9"/>
      <c r="U46" s="9"/>
      <c r="V46" s="9"/>
      <c r="W46" s="9"/>
    </row>
    <row r="47" ht="15.75" customHeight="1">
      <c r="A47" s="9"/>
      <c r="B47" s="9"/>
      <c r="C47" s="422"/>
      <c r="D47" s="9"/>
      <c r="E47" s="9"/>
      <c r="F47" s="9"/>
      <c r="G47" s="9"/>
      <c r="H47" s="9"/>
      <c r="I47" s="9"/>
      <c r="J47" s="9"/>
      <c r="K47" s="9"/>
      <c r="L47" s="9"/>
      <c r="M47" s="9"/>
      <c r="N47" s="9"/>
      <c r="O47" s="9"/>
      <c r="P47" s="9"/>
      <c r="Q47" s="9"/>
      <c r="R47" s="9"/>
      <c r="S47" s="9"/>
      <c r="T47" s="9"/>
      <c r="U47" s="9"/>
      <c r="V47" s="9"/>
      <c r="W47" s="9"/>
    </row>
    <row r="48" ht="15.75" customHeight="1">
      <c r="A48" s="9"/>
      <c r="B48" s="9"/>
      <c r="C48" s="422"/>
      <c r="D48" s="9"/>
      <c r="E48" s="9"/>
      <c r="F48" s="9"/>
      <c r="G48" s="9"/>
      <c r="H48" s="9"/>
      <c r="I48" s="9"/>
      <c r="J48" s="9"/>
      <c r="K48" s="9"/>
      <c r="L48" s="9"/>
      <c r="M48" s="9"/>
      <c r="N48" s="9"/>
      <c r="O48" s="9"/>
      <c r="P48" s="9"/>
      <c r="Q48" s="9"/>
      <c r="R48" s="9"/>
      <c r="S48" s="9"/>
      <c r="T48" s="9"/>
      <c r="U48" s="9"/>
      <c r="V48" s="9"/>
      <c r="W48" s="9"/>
    </row>
    <row r="49" ht="15.75" customHeight="1">
      <c r="A49" s="9"/>
      <c r="B49" s="9"/>
      <c r="C49" s="422"/>
      <c r="D49" s="9"/>
      <c r="E49" s="9"/>
      <c r="F49" s="9"/>
      <c r="G49" s="9"/>
      <c r="H49" s="9"/>
      <c r="I49" s="9"/>
      <c r="J49" s="9"/>
      <c r="K49" s="9"/>
      <c r="L49" s="9"/>
      <c r="M49" s="9"/>
      <c r="N49" s="9"/>
      <c r="O49" s="9"/>
      <c r="P49" s="9"/>
      <c r="Q49" s="9"/>
      <c r="R49" s="9"/>
      <c r="S49" s="9"/>
      <c r="T49" s="9"/>
      <c r="U49" s="9"/>
      <c r="V49" s="9"/>
      <c r="W49" s="9"/>
    </row>
    <row r="50" ht="15.75" customHeight="1">
      <c r="A50" s="9"/>
      <c r="B50" s="9"/>
      <c r="C50" s="422"/>
      <c r="D50" s="9"/>
      <c r="E50" s="9"/>
      <c r="F50" s="9"/>
      <c r="G50" s="9"/>
      <c r="H50" s="9"/>
      <c r="I50" s="9"/>
      <c r="J50" s="9"/>
      <c r="K50" s="9"/>
      <c r="L50" s="9"/>
      <c r="M50" s="9"/>
      <c r="N50" s="9"/>
      <c r="O50" s="9"/>
      <c r="P50" s="9"/>
      <c r="Q50" s="9"/>
      <c r="R50" s="9"/>
      <c r="S50" s="9"/>
      <c r="T50" s="9"/>
      <c r="U50" s="9"/>
      <c r="V50" s="9"/>
      <c r="W50" s="9"/>
    </row>
    <row r="51" ht="15.75" customHeight="1">
      <c r="A51" s="9"/>
      <c r="B51" s="9"/>
      <c r="C51" s="422"/>
      <c r="D51" s="9"/>
      <c r="E51" s="9"/>
      <c r="F51" s="9"/>
      <c r="G51" s="9"/>
      <c r="H51" s="9"/>
      <c r="I51" s="9"/>
      <c r="J51" s="9"/>
      <c r="K51" s="9"/>
      <c r="L51" s="9"/>
      <c r="M51" s="9"/>
      <c r="N51" s="9"/>
      <c r="O51" s="9"/>
      <c r="P51" s="9"/>
      <c r="Q51" s="9"/>
      <c r="R51" s="9"/>
      <c r="S51" s="9"/>
      <c r="T51" s="9"/>
      <c r="U51" s="9"/>
      <c r="V51" s="9"/>
      <c r="W51" s="9"/>
    </row>
    <row r="52" ht="15.75" customHeight="1">
      <c r="A52" s="9"/>
      <c r="B52" s="9"/>
      <c r="C52" s="422"/>
      <c r="D52" s="9"/>
      <c r="E52" s="9"/>
      <c r="F52" s="9"/>
      <c r="G52" s="9"/>
      <c r="H52" s="9"/>
      <c r="I52" s="9"/>
      <c r="J52" s="9"/>
      <c r="K52" s="9"/>
      <c r="L52" s="9"/>
      <c r="M52" s="9"/>
      <c r="N52" s="9"/>
      <c r="O52" s="9"/>
      <c r="P52" s="9"/>
      <c r="Q52" s="9"/>
      <c r="R52" s="9"/>
      <c r="S52" s="9"/>
      <c r="T52" s="9"/>
      <c r="U52" s="9"/>
      <c r="V52" s="9"/>
      <c r="W52" s="9"/>
    </row>
    <row r="53" ht="15.75" customHeight="1">
      <c r="A53" s="9"/>
      <c r="B53" s="9"/>
      <c r="C53" s="422"/>
      <c r="D53" s="9"/>
      <c r="E53" s="9"/>
      <c r="F53" s="9"/>
      <c r="G53" s="9"/>
      <c r="H53" s="9"/>
      <c r="I53" s="9"/>
      <c r="J53" s="9"/>
      <c r="K53" s="9"/>
      <c r="L53" s="9"/>
      <c r="M53" s="9"/>
      <c r="N53" s="9"/>
      <c r="O53" s="9"/>
      <c r="P53" s="9"/>
      <c r="Q53" s="9"/>
      <c r="R53" s="9"/>
      <c r="S53" s="9"/>
      <c r="T53" s="9"/>
      <c r="U53" s="9"/>
      <c r="V53" s="9"/>
      <c r="W53" s="9"/>
    </row>
    <row r="54" ht="15.75" customHeight="1">
      <c r="A54" s="9"/>
      <c r="B54" s="9"/>
      <c r="C54" s="422"/>
      <c r="D54" s="9"/>
      <c r="E54" s="9"/>
      <c r="F54" s="9"/>
      <c r="G54" s="9"/>
      <c r="H54" s="9"/>
      <c r="I54" s="9"/>
      <c r="J54" s="9"/>
      <c r="K54" s="9"/>
      <c r="L54" s="9"/>
      <c r="M54" s="9"/>
      <c r="N54" s="9"/>
      <c r="O54" s="9"/>
      <c r="P54" s="9"/>
      <c r="Q54" s="9"/>
      <c r="R54" s="9"/>
      <c r="S54" s="9"/>
      <c r="T54" s="9"/>
      <c r="U54" s="9"/>
      <c r="V54" s="9"/>
      <c r="W54" s="9"/>
    </row>
    <row r="55" ht="15.75" customHeight="1">
      <c r="A55" s="9"/>
      <c r="B55" s="9"/>
      <c r="C55" s="422"/>
      <c r="D55" s="9"/>
      <c r="E55" s="9"/>
      <c r="F55" s="9"/>
      <c r="G55" s="9"/>
      <c r="H55" s="9"/>
      <c r="I55" s="9"/>
      <c r="J55" s="9"/>
      <c r="K55" s="9"/>
      <c r="L55" s="9"/>
      <c r="M55" s="9"/>
      <c r="N55" s="9"/>
      <c r="O55" s="9"/>
      <c r="P55" s="9"/>
      <c r="Q55" s="9"/>
      <c r="R55" s="9"/>
      <c r="S55" s="9"/>
      <c r="T55" s="9"/>
      <c r="U55" s="9"/>
      <c r="V55" s="9"/>
      <c r="W55" s="9"/>
    </row>
    <row r="56" ht="15.75" customHeight="1">
      <c r="A56" s="9"/>
      <c r="B56" s="9"/>
      <c r="C56" s="422"/>
      <c r="D56" s="9"/>
      <c r="E56" s="9"/>
      <c r="F56" s="9"/>
      <c r="G56" s="9"/>
      <c r="H56" s="9"/>
      <c r="I56" s="9"/>
      <c r="J56" s="9"/>
      <c r="K56" s="9"/>
      <c r="L56" s="9"/>
      <c r="M56" s="9"/>
      <c r="N56" s="9"/>
      <c r="O56" s="9"/>
      <c r="P56" s="9"/>
      <c r="Q56" s="9"/>
      <c r="R56" s="9"/>
      <c r="S56" s="9"/>
      <c r="T56" s="9"/>
      <c r="U56" s="9"/>
      <c r="V56" s="9"/>
      <c r="W56" s="9"/>
    </row>
    <row r="57" ht="15.75" customHeight="1">
      <c r="A57" s="9"/>
      <c r="B57" s="9"/>
      <c r="C57" s="422"/>
      <c r="D57" s="9"/>
      <c r="E57" s="9"/>
      <c r="F57" s="9"/>
      <c r="G57" s="9"/>
      <c r="H57" s="9"/>
      <c r="I57" s="9"/>
      <c r="J57" s="9"/>
      <c r="K57" s="9"/>
      <c r="L57" s="9"/>
      <c r="M57" s="9"/>
      <c r="N57" s="9"/>
      <c r="O57" s="9"/>
      <c r="P57" s="9"/>
      <c r="Q57" s="9"/>
      <c r="R57" s="9"/>
      <c r="S57" s="9"/>
      <c r="T57" s="9"/>
      <c r="U57" s="9"/>
      <c r="V57" s="9"/>
      <c r="W57" s="9"/>
    </row>
    <row r="58" ht="15.75" customHeight="1">
      <c r="A58" s="9"/>
      <c r="B58" s="9"/>
      <c r="C58" s="422"/>
      <c r="D58" s="9"/>
      <c r="E58" s="9"/>
      <c r="F58" s="9"/>
      <c r="G58" s="9"/>
      <c r="H58" s="9"/>
      <c r="I58" s="9"/>
      <c r="J58" s="9"/>
      <c r="K58" s="9"/>
      <c r="L58" s="9"/>
      <c r="M58" s="9"/>
      <c r="N58" s="9"/>
      <c r="O58" s="9"/>
      <c r="P58" s="9"/>
      <c r="Q58" s="9"/>
      <c r="R58" s="9"/>
      <c r="S58" s="9"/>
      <c r="T58" s="9"/>
      <c r="U58" s="9"/>
      <c r="V58" s="9"/>
      <c r="W58" s="9"/>
    </row>
    <row r="59" ht="15.75" customHeight="1">
      <c r="A59" s="9"/>
      <c r="B59" s="9"/>
      <c r="C59" s="422"/>
      <c r="D59" s="9"/>
      <c r="E59" s="9"/>
      <c r="F59" s="9"/>
      <c r="G59" s="9"/>
      <c r="H59" s="9"/>
      <c r="I59" s="9"/>
      <c r="J59" s="9"/>
      <c r="K59" s="9"/>
      <c r="L59" s="9"/>
      <c r="M59" s="9"/>
      <c r="N59" s="9"/>
      <c r="O59" s="9"/>
      <c r="P59" s="9"/>
      <c r="Q59" s="9"/>
      <c r="R59" s="9"/>
      <c r="S59" s="9"/>
      <c r="T59" s="9"/>
      <c r="U59" s="9"/>
      <c r="V59" s="9"/>
      <c r="W59" s="9"/>
    </row>
    <row r="60" ht="15.75" customHeight="1">
      <c r="A60" s="9"/>
      <c r="B60" s="9"/>
      <c r="C60" s="422"/>
      <c r="D60" s="9"/>
      <c r="E60" s="9"/>
      <c r="F60" s="9"/>
      <c r="G60" s="9"/>
      <c r="H60" s="9"/>
      <c r="I60" s="9"/>
      <c r="J60" s="9"/>
      <c r="K60" s="9"/>
      <c r="L60" s="9"/>
      <c r="M60" s="9"/>
      <c r="N60" s="9"/>
      <c r="O60" s="9"/>
      <c r="P60" s="9"/>
      <c r="Q60" s="9"/>
      <c r="R60" s="9"/>
      <c r="S60" s="9"/>
      <c r="T60" s="9"/>
      <c r="U60" s="9"/>
      <c r="V60" s="9"/>
      <c r="W60" s="9"/>
    </row>
    <row r="61" ht="15.75" customHeight="1">
      <c r="A61" s="9"/>
      <c r="B61" s="9"/>
      <c r="C61" s="422"/>
      <c r="D61" s="9"/>
      <c r="E61" s="9"/>
      <c r="F61" s="9"/>
      <c r="G61" s="9"/>
      <c r="H61" s="9"/>
      <c r="I61" s="9"/>
      <c r="J61" s="9"/>
      <c r="K61" s="9"/>
      <c r="L61" s="9"/>
      <c r="M61" s="9"/>
      <c r="N61" s="9"/>
      <c r="O61" s="9"/>
      <c r="P61" s="9"/>
      <c r="Q61" s="9"/>
      <c r="R61" s="9"/>
      <c r="S61" s="9"/>
      <c r="T61" s="9"/>
      <c r="U61" s="9"/>
      <c r="V61" s="9"/>
      <c r="W61" s="9"/>
    </row>
    <row r="62" ht="15.75" customHeight="1">
      <c r="A62" s="9"/>
      <c r="B62" s="9"/>
      <c r="C62" s="422"/>
      <c r="D62" s="9"/>
      <c r="E62" s="9"/>
      <c r="F62" s="9"/>
      <c r="G62" s="9"/>
      <c r="H62" s="9"/>
      <c r="I62" s="9"/>
      <c r="J62" s="9"/>
      <c r="K62" s="9"/>
      <c r="L62" s="9"/>
      <c r="M62" s="9"/>
      <c r="N62" s="9"/>
      <c r="O62" s="9"/>
      <c r="P62" s="9"/>
      <c r="Q62" s="9"/>
      <c r="R62" s="9"/>
      <c r="S62" s="9"/>
      <c r="T62" s="9"/>
      <c r="U62" s="9"/>
      <c r="V62" s="9"/>
      <c r="W62" s="9"/>
    </row>
    <row r="63" ht="15.75" customHeight="1">
      <c r="A63" s="9"/>
      <c r="B63" s="9"/>
      <c r="C63" s="422"/>
      <c r="D63" s="9"/>
      <c r="E63" s="9"/>
      <c r="F63" s="9"/>
      <c r="G63" s="9"/>
      <c r="H63" s="9"/>
      <c r="I63" s="9"/>
      <c r="J63" s="9"/>
      <c r="K63" s="9"/>
      <c r="L63" s="9"/>
      <c r="M63" s="9"/>
      <c r="N63" s="9"/>
      <c r="O63" s="9"/>
      <c r="P63" s="9"/>
      <c r="Q63" s="9"/>
      <c r="R63" s="9"/>
      <c r="S63" s="9"/>
      <c r="T63" s="9"/>
      <c r="U63" s="9"/>
      <c r="V63" s="9"/>
      <c r="W63" s="9"/>
    </row>
    <row r="64" ht="15.75" customHeight="1">
      <c r="A64" s="9"/>
      <c r="B64" s="9"/>
      <c r="C64" s="422"/>
      <c r="D64" s="9"/>
      <c r="E64" s="9"/>
      <c r="F64" s="9"/>
      <c r="G64" s="9"/>
      <c r="H64" s="9"/>
      <c r="I64" s="9"/>
      <c r="J64" s="9"/>
      <c r="K64" s="9"/>
      <c r="L64" s="9"/>
      <c r="M64" s="9"/>
      <c r="N64" s="9"/>
      <c r="O64" s="9"/>
      <c r="P64" s="9"/>
      <c r="Q64" s="9"/>
      <c r="R64" s="9"/>
      <c r="S64" s="9"/>
      <c r="T64" s="9"/>
      <c r="U64" s="9"/>
      <c r="V64" s="9"/>
      <c r="W64" s="9"/>
    </row>
    <row r="65" ht="15.75" customHeight="1">
      <c r="A65" s="9"/>
      <c r="B65" s="9"/>
      <c r="C65" s="422"/>
      <c r="D65" s="9"/>
      <c r="E65" s="9"/>
      <c r="F65" s="9"/>
      <c r="G65" s="9"/>
      <c r="H65" s="9"/>
      <c r="I65" s="9"/>
      <c r="J65" s="9"/>
      <c r="K65" s="9"/>
      <c r="L65" s="9"/>
      <c r="M65" s="9"/>
      <c r="N65" s="9"/>
      <c r="O65" s="9"/>
      <c r="P65" s="9"/>
      <c r="Q65" s="9"/>
      <c r="R65" s="9"/>
      <c r="S65" s="9"/>
      <c r="T65" s="9"/>
      <c r="U65" s="9"/>
      <c r="V65" s="9"/>
      <c r="W65" s="9"/>
    </row>
    <row r="66" ht="15.75" customHeight="1">
      <c r="A66" s="9"/>
      <c r="B66" s="9"/>
      <c r="C66" s="422"/>
      <c r="D66" s="9"/>
      <c r="E66" s="9"/>
      <c r="F66" s="9"/>
      <c r="G66" s="9"/>
      <c r="H66" s="9"/>
      <c r="I66" s="9"/>
      <c r="J66" s="9"/>
      <c r="K66" s="9"/>
      <c r="L66" s="9"/>
      <c r="M66" s="9"/>
      <c r="N66" s="9"/>
      <c r="O66" s="9"/>
      <c r="P66" s="9"/>
      <c r="Q66" s="9"/>
      <c r="R66" s="9"/>
      <c r="S66" s="9"/>
      <c r="T66" s="9"/>
      <c r="U66" s="9"/>
      <c r="V66" s="9"/>
      <c r="W66" s="9"/>
    </row>
    <row r="67" ht="15.75" customHeight="1">
      <c r="A67" s="9"/>
      <c r="B67" s="9"/>
      <c r="C67" s="422"/>
      <c r="D67" s="9"/>
      <c r="E67" s="9"/>
      <c r="F67" s="9"/>
      <c r="G67" s="9"/>
      <c r="H67" s="9"/>
      <c r="I67" s="9"/>
      <c r="J67" s="9"/>
      <c r="K67" s="9"/>
      <c r="L67" s="9"/>
      <c r="M67" s="9"/>
      <c r="N67" s="9"/>
      <c r="O67" s="9"/>
      <c r="P67" s="9"/>
      <c r="Q67" s="9"/>
      <c r="R67" s="9"/>
      <c r="S67" s="9"/>
      <c r="T67" s="9"/>
      <c r="U67" s="9"/>
      <c r="V67" s="9"/>
      <c r="W67" s="9"/>
    </row>
    <row r="68" ht="15.75" customHeight="1">
      <c r="A68" s="9"/>
      <c r="B68" s="9"/>
      <c r="C68" s="422"/>
      <c r="D68" s="9"/>
      <c r="E68" s="9"/>
      <c r="F68" s="9"/>
      <c r="G68" s="9"/>
      <c r="H68" s="9"/>
      <c r="I68" s="9"/>
      <c r="J68" s="9"/>
      <c r="K68" s="9"/>
      <c r="L68" s="9"/>
      <c r="M68" s="9"/>
      <c r="N68" s="9"/>
      <c r="O68" s="9"/>
      <c r="P68" s="9"/>
      <c r="Q68" s="9"/>
      <c r="R68" s="9"/>
      <c r="S68" s="9"/>
      <c r="T68" s="9"/>
      <c r="U68" s="9"/>
      <c r="V68" s="9"/>
      <c r="W68" s="9"/>
    </row>
    <row r="69" ht="15.75" customHeight="1">
      <c r="A69" s="9"/>
      <c r="B69" s="9"/>
      <c r="C69" s="422"/>
      <c r="D69" s="9"/>
      <c r="E69" s="9"/>
      <c r="F69" s="9"/>
      <c r="G69" s="9"/>
      <c r="H69" s="9"/>
      <c r="I69" s="9"/>
      <c r="J69" s="9"/>
      <c r="K69" s="9"/>
      <c r="L69" s="9"/>
      <c r="M69" s="9"/>
      <c r="N69" s="9"/>
      <c r="O69" s="9"/>
      <c r="P69" s="9"/>
      <c r="Q69" s="9"/>
      <c r="R69" s="9"/>
      <c r="S69" s="9"/>
      <c r="T69" s="9"/>
      <c r="U69" s="9"/>
      <c r="V69" s="9"/>
      <c r="W69" s="9"/>
    </row>
    <row r="70" ht="15.75" customHeight="1">
      <c r="A70" s="9"/>
      <c r="B70" s="9"/>
      <c r="C70" s="422"/>
      <c r="D70" s="9"/>
      <c r="E70" s="9"/>
      <c r="F70" s="9"/>
      <c r="G70" s="9"/>
      <c r="H70" s="9"/>
      <c r="I70" s="9"/>
      <c r="J70" s="9"/>
      <c r="K70" s="9"/>
      <c r="L70" s="9"/>
      <c r="M70" s="9"/>
      <c r="N70" s="9"/>
      <c r="O70" s="9"/>
      <c r="P70" s="9"/>
      <c r="Q70" s="9"/>
      <c r="R70" s="9"/>
      <c r="S70" s="9"/>
      <c r="T70" s="9"/>
      <c r="U70" s="9"/>
      <c r="V70" s="9"/>
      <c r="W70" s="9"/>
    </row>
    <row r="71" ht="15.75" customHeight="1">
      <c r="A71" s="9"/>
      <c r="B71" s="9"/>
      <c r="C71" s="422"/>
      <c r="D71" s="9"/>
      <c r="E71" s="9"/>
      <c r="F71" s="9"/>
      <c r="G71" s="9"/>
      <c r="H71" s="9"/>
      <c r="I71" s="9"/>
      <c r="J71" s="9"/>
      <c r="K71" s="9"/>
      <c r="L71" s="9"/>
      <c r="M71" s="9"/>
      <c r="N71" s="9"/>
      <c r="O71" s="9"/>
      <c r="P71" s="9"/>
      <c r="Q71" s="9"/>
      <c r="R71" s="9"/>
      <c r="S71" s="9"/>
      <c r="T71" s="9"/>
      <c r="U71" s="9"/>
      <c r="V71" s="9"/>
      <c r="W71" s="9"/>
    </row>
    <row r="72" ht="15.75" customHeight="1">
      <c r="A72" s="9"/>
      <c r="B72" s="9"/>
      <c r="C72" s="422"/>
      <c r="D72" s="9"/>
      <c r="E72" s="9"/>
      <c r="F72" s="9"/>
      <c r="G72" s="9"/>
      <c r="H72" s="9"/>
      <c r="I72" s="9"/>
      <c r="J72" s="9"/>
      <c r="K72" s="9"/>
      <c r="L72" s="9"/>
      <c r="M72" s="9"/>
      <c r="N72" s="9"/>
      <c r="O72" s="9"/>
      <c r="P72" s="9"/>
      <c r="Q72" s="9"/>
      <c r="R72" s="9"/>
      <c r="S72" s="9"/>
      <c r="T72" s="9"/>
      <c r="U72" s="9"/>
      <c r="V72" s="9"/>
      <c r="W72" s="9"/>
    </row>
    <row r="73" ht="15.75" customHeight="1">
      <c r="A73" s="9"/>
      <c r="B73" s="9"/>
      <c r="C73" s="422"/>
      <c r="D73" s="9"/>
      <c r="E73" s="9"/>
      <c r="F73" s="9"/>
      <c r="G73" s="9"/>
      <c r="H73" s="9"/>
      <c r="I73" s="9"/>
      <c r="J73" s="9"/>
      <c r="K73" s="9"/>
      <c r="L73" s="9"/>
      <c r="M73" s="9"/>
      <c r="N73" s="9"/>
      <c r="O73" s="9"/>
      <c r="P73" s="9"/>
      <c r="Q73" s="9"/>
      <c r="R73" s="9"/>
      <c r="S73" s="9"/>
      <c r="T73" s="9"/>
      <c r="U73" s="9"/>
      <c r="V73" s="9"/>
      <c r="W73" s="9"/>
    </row>
    <row r="74" ht="15.75" customHeight="1">
      <c r="A74" s="9"/>
      <c r="B74" s="9"/>
      <c r="C74" s="422"/>
      <c r="D74" s="9"/>
      <c r="E74" s="9"/>
      <c r="F74" s="9"/>
      <c r="G74" s="9"/>
      <c r="H74" s="9"/>
      <c r="I74" s="9"/>
      <c r="J74" s="9"/>
      <c r="K74" s="9"/>
      <c r="L74" s="9"/>
      <c r="M74" s="9"/>
      <c r="N74" s="9"/>
      <c r="O74" s="9"/>
      <c r="P74" s="9"/>
      <c r="Q74" s="9"/>
      <c r="R74" s="9"/>
      <c r="S74" s="9"/>
      <c r="T74" s="9"/>
      <c r="U74" s="9"/>
      <c r="V74" s="9"/>
      <c r="W74" s="9"/>
    </row>
    <row r="75" ht="15.75" customHeight="1">
      <c r="A75" s="9"/>
      <c r="B75" s="9"/>
      <c r="C75" s="422"/>
      <c r="D75" s="9"/>
      <c r="E75" s="9"/>
      <c r="F75" s="9"/>
      <c r="G75" s="9"/>
      <c r="H75" s="9"/>
      <c r="I75" s="9"/>
      <c r="J75" s="9"/>
      <c r="K75" s="9"/>
      <c r="L75" s="9"/>
      <c r="M75" s="9"/>
      <c r="N75" s="9"/>
      <c r="O75" s="9"/>
      <c r="P75" s="9"/>
      <c r="Q75" s="9"/>
      <c r="R75" s="9"/>
      <c r="S75" s="9"/>
      <c r="T75" s="9"/>
      <c r="U75" s="9"/>
      <c r="V75" s="9"/>
      <c r="W75" s="9"/>
    </row>
    <row r="76" ht="15.75" customHeight="1">
      <c r="A76" s="9"/>
      <c r="B76" s="9"/>
      <c r="C76" s="422"/>
      <c r="D76" s="9"/>
      <c r="E76" s="9"/>
      <c r="F76" s="9"/>
      <c r="G76" s="9"/>
      <c r="H76" s="9"/>
      <c r="I76" s="9"/>
      <c r="J76" s="9"/>
      <c r="K76" s="9"/>
      <c r="L76" s="9"/>
      <c r="M76" s="9"/>
      <c r="N76" s="9"/>
      <c r="O76" s="9"/>
      <c r="P76" s="9"/>
      <c r="Q76" s="9"/>
      <c r="R76" s="9"/>
      <c r="S76" s="9"/>
      <c r="T76" s="9"/>
      <c r="U76" s="9"/>
      <c r="V76" s="9"/>
      <c r="W76" s="9"/>
    </row>
    <row r="77" ht="15.75" customHeight="1">
      <c r="A77" s="9"/>
      <c r="B77" s="9"/>
      <c r="C77" s="422"/>
      <c r="D77" s="9"/>
      <c r="E77" s="9"/>
      <c r="F77" s="9"/>
      <c r="G77" s="9"/>
      <c r="H77" s="9"/>
      <c r="I77" s="9"/>
      <c r="J77" s="9"/>
      <c r="K77" s="9"/>
      <c r="L77" s="9"/>
      <c r="M77" s="9"/>
      <c r="N77" s="9"/>
      <c r="O77" s="9"/>
      <c r="P77" s="9"/>
      <c r="Q77" s="9"/>
      <c r="R77" s="9"/>
      <c r="S77" s="9"/>
      <c r="T77" s="9"/>
      <c r="U77" s="9"/>
      <c r="V77" s="9"/>
      <c r="W77" s="9"/>
    </row>
    <row r="78" ht="15.75" customHeight="1">
      <c r="A78" s="9"/>
      <c r="B78" s="9"/>
      <c r="C78" s="422"/>
      <c r="D78" s="9"/>
      <c r="E78" s="9"/>
      <c r="F78" s="9"/>
      <c r="G78" s="9"/>
      <c r="H78" s="9"/>
      <c r="I78" s="9"/>
      <c r="J78" s="9"/>
      <c r="K78" s="9"/>
      <c r="L78" s="9"/>
      <c r="M78" s="9"/>
      <c r="N78" s="9"/>
      <c r="O78" s="9"/>
      <c r="P78" s="9"/>
      <c r="Q78" s="9"/>
      <c r="R78" s="9"/>
      <c r="S78" s="9"/>
      <c r="T78" s="9"/>
      <c r="U78" s="9"/>
      <c r="V78" s="9"/>
      <c r="W78" s="9"/>
    </row>
    <row r="79" ht="15.75" customHeight="1">
      <c r="A79" s="9"/>
      <c r="B79" s="9"/>
      <c r="C79" s="422"/>
      <c r="D79" s="9"/>
      <c r="E79" s="9"/>
      <c r="F79" s="9"/>
      <c r="G79" s="9"/>
      <c r="H79" s="9"/>
      <c r="I79" s="9"/>
      <c r="J79" s="9"/>
      <c r="K79" s="9"/>
      <c r="L79" s="9"/>
      <c r="M79" s="9"/>
      <c r="N79" s="9"/>
      <c r="O79" s="9"/>
      <c r="P79" s="9"/>
      <c r="Q79" s="9"/>
      <c r="R79" s="9"/>
      <c r="S79" s="9"/>
      <c r="T79" s="9"/>
      <c r="U79" s="9"/>
      <c r="V79" s="9"/>
      <c r="W79" s="9"/>
    </row>
    <row r="80" ht="15.75" customHeight="1">
      <c r="A80" s="9"/>
      <c r="B80" s="9"/>
      <c r="C80" s="422"/>
      <c r="D80" s="9"/>
      <c r="E80" s="9"/>
      <c r="F80" s="9"/>
      <c r="G80" s="9"/>
      <c r="H80" s="9"/>
      <c r="I80" s="9"/>
      <c r="J80" s="9"/>
      <c r="K80" s="9"/>
      <c r="L80" s="9"/>
      <c r="M80" s="9"/>
      <c r="N80" s="9"/>
      <c r="O80" s="9"/>
      <c r="P80" s="9"/>
      <c r="Q80" s="9"/>
      <c r="R80" s="9"/>
      <c r="S80" s="9"/>
      <c r="T80" s="9"/>
      <c r="U80" s="9"/>
      <c r="V80" s="9"/>
      <c r="W80" s="9"/>
    </row>
    <row r="81" ht="15.75" customHeight="1">
      <c r="A81" s="9"/>
      <c r="B81" s="9"/>
      <c r="C81" s="422"/>
      <c r="D81" s="9"/>
      <c r="E81" s="9"/>
      <c r="F81" s="9"/>
      <c r="G81" s="9"/>
      <c r="H81" s="9"/>
      <c r="I81" s="9"/>
      <c r="J81" s="9"/>
      <c r="K81" s="9"/>
      <c r="L81" s="9"/>
      <c r="M81" s="9"/>
      <c r="N81" s="9"/>
      <c r="O81" s="9"/>
      <c r="P81" s="9"/>
      <c r="Q81" s="9"/>
      <c r="R81" s="9"/>
      <c r="S81" s="9"/>
      <c r="T81" s="9"/>
      <c r="U81" s="9"/>
      <c r="V81" s="9"/>
      <c r="W81" s="9"/>
    </row>
    <row r="82" ht="15.75" customHeight="1">
      <c r="A82" s="9"/>
      <c r="B82" s="9"/>
      <c r="C82" s="422"/>
      <c r="D82" s="9"/>
      <c r="E82" s="9"/>
      <c r="F82" s="9"/>
      <c r="G82" s="9"/>
      <c r="H82" s="9"/>
      <c r="I82" s="9"/>
      <c r="J82" s="9"/>
      <c r="K82" s="9"/>
      <c r="L82" s="9"/>
      <c r="M82" s="9"/>
      <c r="N82" s="9"/>
      <c r="O82" s="9"/>
      <c r="P82" s="9"/>
      <c r="Q82" s="9"/>
      <c r="R82" s="9"/>
      <c r="S82" s="9"/>
      <c r="T82" s="9"/>
      <c r="U82" s="9"/>
      <c r="V82" s="9"/>
      <c r="W82" s="9"/>
    </row>
    <row r="83" ht="15.75" customHeight="1">
      <c r="A83" s="9"/>
      <c r="B83" s="9"/>
      <c r="C83" s="422"/>
      <c r="D83" s="9"/>
      <c r="E83" s="9"/>
      <c r="F83" s="9"/>
      <c r="G83" s="9"/>
      <c r="H83" s="9"/>
      <c r="I83" s="9"/>
      <c r="J83" s="9"/>
      <c r="K83" s="9"/>
      <c r="L83" s="9"/>
      <c r="M83" s="9"/>
      <c r="N83" s="9"/>
      <c r="O83" s="9"/>
      <c r="P83" s="9"/>
      <c r="Q83" s="9"/>
      <c r="R83" s="9"/>
      <c r="S83" s="9"/>
      <c r="T83" s="9"/>
      <c r="U83" s="9"/>
      <c r="V83" s="9"/>
      <c r="W83" s="9"/>
    </row>
    <row r="84" ht="15.75" customHeight="1">
      <c r="A84" s="9"/>
      <c r="B84" s="9"/>
      <c r="C84" s="422"/>
      <c r="D84" s="9"/>
      <c r="E84" s="9"/>
      <c r="F84" s="9"/>
      <c r="G84" s="9"/>
      <c r="H84" s="9"/>
      <c r="I84" s="9"/>
      <c r="J84" s="9"/>
      <c r="K84" s="9"/>
      <c r="L84" s="9"/>
      <c r="M84" s="9"/>
      <c r="N84" s="9"/>
      <c r="O84" s="9"/>
      <c r="P84" s="9"/>
      <c r="Q84" s="9"/>
      <c r="R84" s="9"/>
      <c r="S84" s="9"/>
      <c r="T84" s="9"/>
      <c r="U84" s="9"/>
      <c r="V84" s="9"/>
      <c r="W84" s="9"/>
    </row>
    <row r="85" ht="15.75" customHeight="1">
      <c r="A85" s="9"/>
      <c r="B85" s="9"/>
      <c r="C85" s="422"/>
      <c r="D85" s="9"/>
      <c r="E85" s="9"/>
      <c r="F85" s="9"/>
      <c r="G85" s="9"/>
      <c r="H85" s="9"/>
      <c r="I85" s="9"/>
      <c r="J85" s="9"/>
      <c r="K85" s="9"/>
      <c r="L85" s="9"/>
      <c r="M85" s="9"/>
      <c r="N85" s="9"/>
      <c r="O85" s="9"/>
      <c r="P85" s="9"/>
      <c r="Q85" s="9"/>
      <c r="R85" s="9"/>
      <c r="S85" s="9"/>
      <c r="T85" s="9"/>
      <c r="U85" s="9"/>
      <c r="V85" s="9"/>
      <c r="W85" s="9"/>
    </row>
    <row r="86" ht="15.75" customHeight="1">
      <c r="A86" s="9"/>
      <c r="B86" s="9"/>
      <c r="C86" s="422"/>
      <c r="D86" s="9"/>
      <c r="E86" s="9"/>
      <c r="F86" s="9"/>
      <c r="G86" s="9"/>
      <c r="H86" s="9"/>
      <c r="I86" s="9"/>
      <c r="J86" s="9"/>
      <c r="K86" s="9"/>
      <c r="L86" s="9"/>
      <c r="M86" s="9"/>
      <c r="N86" s="9"/>
      <c r="O86" s="9"/>
      <c r="P86" s="9"/>
      <c r="Q86" s="9"/>
      <c r="R86" s="9"/>
      <c r="S86" s="9"/>
      <c r="T86" s="9"/>
      <c r="U86" s="9"/>
      <c r="V86" s="9"/>
      <c r="W86" s="9"/>
    </row>
    <row r="87" ht="15.75" customHeight="1">
      <c r="A87" s="9"/>
      <c r="B87" s="9"/>
      <c r="C87" s="422"/>
      <c r="D87" s="9"/>
      <c r="E87" s="9"/>
      <c r="F87" s="9"/>
      <c r="G87" s="9"/>
      <c r="H87" s="9"/>
      <c r="I87" s="9"/>
      <c r="J87" s="9"/>
      <c r="K87" s="9"/>
      <c r="L87" s="9"/>
      <c r="M87" s="9"/>
      <c r="N87" s="9"/>
      <c r="O87" s="9"/>
      <c r="P87" s="9"/>
      <c r="Q87" s="9"/>
      <c r="R87" s="9"/>
      <c r="S87" s="9"/>
      <c r="T87" s="9"/>
      <c r="U87" s="9"/>
      <c r="V87" s="9"/>
      <c r="W87" s="9"/>
    </row>
    <row r="88" ht="15.75" customHeight="1">
      <c r="A88" s="9"/>
      <c r="B88" s="9"/>
      <c r="C88" s="422"/>
      <c r="D88" s="9"/>
      <c r="E88" s="9"/>
      <c r="F88" s="9"/>
      <c r="G88" s="9"/>
      <c r="H88" s="9"/>
      <c r="I88" s="9"/>
      <c r="J88" s="9"/>
      <c r="K88" s="9"/>
      <c r="L88" s="9"/>
      <c r="M88" s="9"/>
      <c r="N88" s="9"/>
      <c r="O88" s="9"/>
      <c r="P88" s="9"/>
      <c r="Q88" s="9"/>
      <c r="R88" s="9"/>
      <c r="S88" s="9"/>
      <c r="T88" s="9"/>
      <c r="U88" s="9"/>
      <c r="V88" s="9"/>
      <c r="W88" s="9"/>
    </row>
    <row r="89" ht="15.75" customHeight="1">
      <c r="A89" s="9"/>
      <c r="B89" s="9"/>
      <c r="C89" s="422"/>
      <c r="D89" s="9"/>
      <c r="E89" s="9"/>
      <c r="F89" s="9"/>
      <c r="G89" s="9"/>
      <c r="H89" s="9"/>
      <c r="I89" s="9"/>
      <c r="J89" s="9"/>
      <c r="K89" s="9"/>
      <c r="L89" s="9"/>
      <c r="M89" s="9"/>
      <c r="N89" s="9"/>
      <c r="O89" s="9"/>
      <c r="P89" s="9"/>
      <c r="Q89" s="9"/>
      <c r="R89" s="9"/>
      <c r="S89" s="9"/>
      <c r="T89" s="9"/>
      <c r="U89" s="9"/>
      <c r="V89" s="9"/>
      <c r="W89" s="9"/>
    </row>
    <row r="90" ht="15.75" customHeight="1">
      <c r="A90" s="9"/>
      <c r="B90" s="9"/>
      <c r="C90" s="422"/>
      <c r="D90" s="9"/>
      <c r="E90" s="9"/>
      <c r="F90" s="9"/>
      <c r="G90" s="9"/>
      <c r="H90" s="9"/>
      <c r="I90" s="9"/>
      <c r="J90" s="9"/>
      <c r="K90" s="9"/>
      <c r="L90" s="9"/>
      <c r="M90" s="9"/>
      <c r="N90" s="9"/>
      <c r="O90" s="9"/>
      <c r="P90" s="9"/>
      <c r="Q90" s="9"/>
      <c r="R90" s="9"/>
      <c r="S90" s="9"/>
      <c r="T90" s="9"/>
      <c r="U90" s="9"/>
      <c r="V90" s="9"/>
      <c r="W90" s="9"/>
    </row>
    <row r="91" ht="15.75" customHeight="1">
      <c r="A91" s="9"/>
      <c r="B91" s="9"/>
      <c r="C91" s="422"/>
      <c r="D91" s="9"/>
      <c r="E91" s="9"/>
      <c r="F91" s="9"/>
      <c r="G91" s="9"/>
      <c r="H91" s="9"/>
      <c r="I91" s="9"/>
      <c r="J91" s="9"/>
      <c r="K91" s="9"/>
      <c r="L91" s="9"/>
      <c r="M91" s="9"/>
      <c r="N91" s="9"/>
      <c r="O91" s="9"/>
      <c r="P91" s="9"/>
      <c r="Q91" s="9"/>
      <c r="R91" s="9"/>
      <c r="S91" s="9"/>
      <c r="T91" s="9"/>
      <c r="U91" s="9"/>
      <c r="V91" s="9"/>
      <c r="W91" s="9"/>
    </row>
    <row r="92" ht="15.75" customHeight="1">
      <c r="A92" s="9"/>
      <c r="B92" s="9"/>
      <c r="C92" s="422"/>
      <c r="D92" s="9"/>
      <c r="E92" s="9"/>
      <c r="F92" s="9"/>
      <c r="G92" s="9"/>
      <c r="H92" s="9"/>
      <c r="I92" s="9"/>
      <c r="J92" s="9"/>
      <c r="K92" s="9"/>
      <c r="L92" s="9"/>
      <c r="M92" s="9"/>
      <c r="N92" s="9"/>
      <c r="O92" s="9"/>
      <c r="P92" s="9"/>
      <c r="Q92" s="9"/>
      <c r="R92" s="9"/>
      <c r="S92" s="9"/>
      <c r="T92" s="9"/>
      <c r="U92" s="9"/>
      <c r="V92" s="9"/>
      <c r="W92" s="9"/>
    </row>
    <row r="93" ht="15.75" customHeight="1">
      <c r="A93" s="9"/>
      <c r="B93" s="9"/>
      <c r="C93" s="422"/>
      <c r="D93" s="9"/>
      <c r="E93" s="9"/>
      <c r="F93" s="9"/>
      <c r="G93" s="9"/>
      <c r="H93" s="9"/>
      <c r="I93" s="9"/>
      <c r="J93" s="9"/>
      <c r="K93" s="9"/>
      <c r="L93" s="9"/>
      <c r="M93" s="9"/>
      <c r="N93" s="9"/>
      <c r="O93" s="9"/>
      <c r="P93" s="9"/>
      <c r="Q93" s="9"/>
      <c r="R93" s="9"/>
      <c r="S93" s="9"/>
      <c r="T93" s="9"/>
      <c r="U93" s="9"/>
      <c r="V93" s="9"/>
      <c r="W93" s="9"/>
    </row>
    <row r="94" ht="15.75" customHeight="1">
      <c r="A94" s="9"/>
      <c r="B94" s="9"/>
      <c r="C94" s="422"/>
      <c r="D94" s="9"/>
      <c r="E94" s="9"/>
      <c r="F94" s="9"/>
      <c r="G94" s="9"/>
      <c r="H94" s="9"/>
      <c r="I94" s="9"/>
      <c r="J94" s="9"/>
      <c r="K94" s="9"/>
      <c r="L94" s="9"/>
      <c r="M94" s="9"/>
      <c r="N94" s="9"/>
      <c r="O94" s="9"/>
      <c r="P94" s="9"/>
      <c r="Q94" s="9"/>
      <c r="R94" s="9"/>
      <c r="S94" s="9"/>
      <c r="T94" s="9"/>
      <c r="U94" s="9"/>
      <c r="V94" s="9"/>
      <c r="W94" s="9"/>
    </row>
    <row r="95" ht="15.75" customHeight="1">
      <c r="A95" s="9"/>
      <c r="B95" s="9"/>
      <c r="C95" s="422"/>
      <c r="D95" s="9"/>
      <c r="E95" s="9"/>
      <c r="F95" s="9"/>
      <c r="G95" s="9"/>
      <c r="H95" s="9"/>
      <c r="I95" s="9"/>
      <c r="J95" s="9"/>
      <c r="K95" s="9"/>
      <c r="L95" s="9"/>
      <c r="M95" s="9"/>
      <c r="N95" s="9"/>
      <c r="O95" s="9"/>
      <c r="P95" s="9"/>
      <c r="Q95" s="9"/>
      <c r="R95" s="9"/>
      <c r="S95" s="9"/>
      <c r="T95" s="9"/>
      <c r="U95" s="9"/>
      <c r="V95" s="9"/>
      <c r="W95" s="9"/>
    </row>
    <row r="96" ht="15.75" customHeight="1">
      <c r="A96" s="9"/>
      <c r="B96" s="9"/>
      <c r="C96" s="422"/>
      <c r="D96" s="9"/>
      <c r="E96" s="9"/>
      <c r="F96" s="9"/>
      <c r="G96" s="9"/>
      <c r="H96" s="9"/>
      <c r="I96" s="9"/>
      <c r="J96" s="9"/>
      <c r="K96" s="9"/>
      <c r="L96" s="9"/>
      <c r="M96" s="9"/>
      <c r="N96" s="9"/>
      <c r="O96" s="9"/>
      <c r="P96" s="9"/>
      <c r="Q96" s="9"/>
      <c r="R96" s="9"/>
      <c r="S96" s="9"/>
      <c r="T96" s="9"/>
      <c r="U96" s="9"/>
      <c r="V96" s="9"/>
      <c r="W96" s="9"/>
    </row>
    <row r="97" ht="15.75" customHeight="1">
      <c r="A97" s="9"/>
      <c r="B97" s="9"/>
      <c r="C97" s="422"/>
      <c r="D97" s="9"/>
      <c r="E97" s="9"/>
      <c r="F97" s="9"/>
      <c r="G97" s="9"/>
      <c r="H97" s="9"/>
      <c r="I97" s="9"/>
      <c r="J97" s="9"/>
      <c r="K97" s="9"/>
      <c r="L97" s="9"/>
      <c r="M97" s="9"/>
      <c r="N97" s="9"/>
      <c r="O97" s="9"/>
      <c r="P97" s="9"/>
      <c r="Q97" s="9"/>
      <c r="R97" s="9"/>
      <c r="S97" s="9"/>
      <c r="T97" s="9"/>
      <c r="U97" s="9"/>
      <c r="V97" s="9"/>
      <c r="W97" s="9"/>
    </row>
    <row r="98" ht="15.75" customHeight="1">
      <c r="A98" s="9"/>
      <c r="B98" s="9"/>
      <c r="C98" s="422"/>
      <c r="D98" s="9"/>
      <c r="E98" s="9"/>
      <c r="F98" s="9"/>
      <c r="G98" s="9"/>
      <c r="H98" s="9"/>
      <c r="I98" s="9"/>
      <c r="J98" s="9"/>
      <c r="K98" s="9"/>
      <c r="L98" s="9"/>
      <c r="M98" s="9"/>
      <c r="N98" s="9"/>
      <c r="O98" s="9"/>
      <c r="P98" s="9"/>
      <c r="Q98" s="9"/>
      <c r="R98" s="9"/>
      <c r="S98" s="9"/>
      <c r="T98" s="9"/>
      <c r="U98" s="9"/>
      <c r="V98" s="9"/>
      <c r="W98" s="9"/>
    </row>
    <row r="99" ht="15.75" customHeight="1">
      <c r="A99" s="9"/>
      <c r="B99" s="9"/>
      <c r="C99" s="422"/>
      <c r="D99" s="9"/>
      <c r="E99" s="9"/>
      <c r="F99" s="9"/>
      <c r="G99" s="9"/>
      <c r="H99" s="9"/>
      <c r="I99" s="9"/>
      <c r="J99" s="9"/>
      <c r="K99" s="9"/>
      <c r="L99" s="9"/>
      <c r="M99" s="9"/>
      <c r="N99" s="9"/>
      <c r="O99" s="9"/>
      <c r="P99" s="9"/>
      <c r="Q99" s="9"/>
      <c r="R99" s="9"/>
      <c r="S99" s="9"/>
      <c r="T99" s="9"/>
      <c r="U99" s="9"/>
      <c r="V99" s="9"/>
      <c r="W99" s="9"/>
    </row>
    <row r="100" ht="15.75" customHeight="1">
      <c r="A100" s="9"/>
      <c r="B100" s="9"/>
      <c r="C100" s="422"/>
      <c r="D100" s="9"/>
      <c r="E100" s="9"/>
      <c r="F100" s="9"/>
      <c r="G100" s="9"/>
      <c r="H100" s="9"/>
      <c r="I100" s="9"/>
      <c r="J100" s="9"/>
      <c r="K100" s="9"/>
      <c r="L100" s="9"/>
      <c r="M100" s="9"/>
      <c r="N100" s="9"/>
      <c r="O100" s="9"/>
      <c r="P100" s="9"/>
      <c r="Q100" s="9"/>
      <c r="R100" s="9"/>
      <c r="S100" s="9"/>
      <c r="T100" s="9"/>
      <c r="U100" s="9"/>
      <c r="V100" s="9"/>
      <c r="W100" s="9"/>
    </row>
    <row r="101" ht="15.75" customHeight="1">
      <c r="A101" s="9"/>
      <c r="B101" s="9"/>
      <c r="C101" s="422"/>
      <c r="D101" s="9"/>
      <c r="E101" s="9"/>
      <c r="F101" s="9"/>
      <c r="G101" s="9"/>
      <c r="H101" s="9"/>
      <c r="I101" s="9"/>
      <c r="J101" s="9"/>
      <c r="K101" s="9"/>
      <c r="L101" s="9"/>
      <c r="M101" s="9"/>
      <c r="N101" s="9"/>
      <c r="O101" s="9"/>
      <c r="P101" s="9"/>
      <c r="Q101" s="9"/>
      <c r="R101" s="9"/>
      <c r="S101" s="9"/>
      <c r="T101" s="9"/>
      <c r="U101" s="9"/>
      <c r="V101" s="9"/>
      <c r="W101" s="9"/>
    </row>
    <row r="102" ht="15.75" customHeight="1">
      <c r="A102" s="9"/>
      <c r="B102" s="9"/>
      <c r="C102" s="422"/>
      <c r="D102" s="9"/>
      <c r="E102" s="9"/>
      <c r="F102" s="9"/>
      <c r="G102" s="9"/>
      <c r="H102" s="9"/>
      <c r="I102" s="9"/>
      <c r="J102" s="9"/>
      <c r="K102" s="9"/>
      <c r="L102" s="9"/>
      <c r="M102" s="9"/>
      <c r="N102" s="9"/>
      <c r="O102" s="9"/>
      <c r="P102" s="9"/>
      <c r="Q102" s="9"/>
      <c r="R102" s="9"/>
      <c r="S102" s="9"/>
      <c r="T102" s="9"/>
      <c r="U102" s="9"/>
      <c r="V102" s="9"/>
      <c r="W102" s="9"/>
    </row>
    <row r="103" ht="15.75" customHeight="1">
      <c r="A103" s="9"/>
      <c r="B103" s="9"/>
      <c r="C103" s="422"/>
      <c r="D103" s="9"/>
      <c r="E103" s="9"/>
      <c r="F103" s="9"/>
      <c r="G103" s="9"/>
      <c r="H103" s="9"/>
      <c r="I103" s="9"/>
      <c r="J103" s="9"/>
      <c r="K103" s="9"/>
      <c r="L103" s="9"/>
      <c r="M103" s="9"/>
      <c r="N103" s="9"/>
      <c r="O103" s="9"/>
      <c r="P103" s="9"/>
      <c r="Q103" s="9"/>
      <c r="R103" s="9"/>
      <c r="S103" s="9"/>
      <c r="T103" s="9"/>
      <c r="U103" s="9"/>
      <c r="V103" s="9"/>
      <c r="W103" s="9"/>
    </row>
    <row r="104" ht="15.75" customHeight="1">
      <c r="A104" s="9"/>
      <c r="B104" s="9"/>
      <c r="C104" s="422"/>
      <c r="D104" s="9"/>
      <c r="E104" s="9"/>
      <c r="F104" s="9"/>
      <c r="G104" s="9"/>
      <c r="H104" s="9"/>
      <c r="I104" s="9"/>
      <c r="J104" s="9"/>
      <c r="K104" s="9"/>
      <c r="L104" s="9"/>
      <c r="M104" s="9"/>
      <c r="N104" s="9"/>
      <c r="O104" s="9"/>
      <c r="P104" s="9"/>
      <c r="Q104" s="9"/>
      <c r="R104" s="9"/>
      <c r="S104" s="9"/>
      <c r="T104" s="9"/>
      <c r="U104" s="9"/>
      <c r="V104" s="9"/>
      <c r="W104" s="9"/>
    </row>
    <row r="105" ht="15.75" customHeight="1">
      <c r="A105" s="9"/>
      <c r="B105" s="9"/>
      <c r="C105" s="422"/>
      <c r="D105" s="9"/>
      <c r="E105" s="9"/>
      <c r="F105" s="9"/>
      <c r="G105" s="9"/>
      <c r="H105" s="9"/>
      <c r="I105" s="9"/>
      <c r="J105" s="9"/>
      <c r="K105" s="9"/>
      <c r="L105" s="9"/>
      <c r="M105" s="9"/>
      <c r="N105" s="9"/>
      <c r="O105" s="9"/>
      <c r="P105" s="9"/>
      <c r="Q105" s="9"/>
      <c r="R105" s="9"/>
      <c r="S105" s="9"/>
      <c r="T105" s="9"/>
      <c r="U105" s="9"/>
      <c r="V105" s="9"/>
      <c r="W105" s="9"/>
    </row>
    <row r="106" ht="15.75" customHeight="1">
      <c r="A106" s="9"/>
      <c r="B106" s="9"/>
      <c r="C106" s="422"/>
      <c r="D106" s="9"/>
      <c r="E106" s="9"/>
      <c r="F106" s="9"/>
      <c r="G106" s="9"/>
      <c r="H106" s="9"/>
      <c r="I106" s="9"/>
      <c r="J106" s="9"/>
      <c r="K106" s="9"/>
      <c r="L106" s="9"/>
      <c r="M106" s="9"/>
      <c r="N106" s="9"/>
      <c r="O106" s="9"/>
      <c r="P106" s="9"/>
      <c r="Q106" s="9"/>
      <c r="R106" s="9"/>
      <c r="S106" s="9"/>
      <c r="T106" s="9"/>
      <c r="U106" s="9"/>
      <c r="V106" s="9"/>
      <c r="W106" s="9"/>
    </row>
    <row r="107" ht="15.75" customHeight="1">
      <c r="A107" s="9"/>
      <c r="B107" s="9"/>
      <c r="C107" s="422"/>
      <c r="D107" s="9"/>
      <c r="E107" s="9"/>
      <c r="F107" s="9"/>
      <c r="G107" s="9"/>
      <c r="H107" s="9"/>
      <c r="I107" s="9"/>
      <c r="J107" s="9"/>
      <c r="K107" s="9"/>
      <c r="L107" s="9"/>
      <c r="M107" s="9"/>
      <c r="N107" s="9"/>
      <c r="O107" s="9"/>
      <c r="P107" s="9"/>
      <c r="Q107" s="9"/>
      <c r="R107" s="9"/>
      <c r="S107" s="9"/>
      <c r="T107" s="9"/>
      <c r="U107" s="9"/>
      <c r="V107" s="9"/>
      <c r="W107" s="9"/>
    </row>
    <row r="108" ht="15.75" customHeight="1">
      <c r="A108" s="9"/>
      <c r="B108" s="9"/>
      <c r="C108" s="422"/>
      <c r="D108" s="9"/>
      <c r="E108" s="9"/>
      <c r="F108" s="9"/>
      <c r="G108" s="9"/>
      <c r="H108" s="9"/>
      <c r="I108" s="9"/>
      <c r="J108" s="9"/>
      <c r="K108" s="9"/>
      <c r="L108" s="9"/>
      <c r="M108" s="9"/>
      <c r="N108" s="9"/>
      <c r="O108" s="9"/>
      <c r="P108" s="9"/>
      <c r="Q108" s="9"/>
      <c r="R108" s="9"/>
      <c r="S108" s="9"/>
      <c r="T108" s="9"/>
      <c r="U108" s="9"/>
      <c r="V108" s="9"/>
      <c r="W108" s="9"/>
    </row>
    <row r="109" ht="15.75" customHeight="1">
      <c r="A109" s="9"/>
      <c r="B109" s="9"/>
      <c r="C109" s="422"/>
      <c r="D109" s="9"/>
      <c r="E109" s="9"/>
      <c r="F109" s="9"/>
      <c r="G109" s="9"/>
      <c r="H109" s="9"/>
      <c r="I109" s="9"/>
      <c r="J109" s="9"/>
      <c r="K109" s="9"/>
      <c r="L109" s="9"/>
      <c r="M109" s="9"/>
      <c r="N109" s="9"/>
      <c r="O109" s="9"/>
      <c r="P109" s="9"/>
      <c r="Q109" s="9"/>
      <c r="R109" s="9"/>
      <c r="S109" s="9"/>
      <c r="T109" s="9"/>
      <c r="U109" s="9"/>
      <c r="V109" s="9"/>
      <c r="W109" s="9"/>
    </row>
    <row r="110" ht="15.75" customHeight="1">
      <c r="A110" s="9"/>
      <c r="B110" s="9"/>
      <c r="C110" s="422"/>
      <c r="D110" s="9"/>
      <c r="E110" s="9"/>
      <c r="F110" s="9"/>
      <c r="G110" s="9"/>
      <c r="H110" s="9"/>
      <c r="I110" s="9"/>
      <c r="J110" s="9"/>
      <c r="K110" s="9"/>
      <c r="L110" s="9"/>
      <c r="M110" s="9"/>
      <c r="N110" s="9"/>
      <c r="O110" s="9"/>
      <c r="P110" s="9"/>
      <c r="Q110" s="9"/>
      <c r="R110" s="9"/>
      <c r="S110" s="9"/>
      <c r="T110" s="9"/>
      <c r="U110" s="9"/>
      <c r="V110" s="9"/>
      <c r="W110" s="9"/>
    </row>
    <row r="111" ht="15.75" customHeight="1">
      <c r="A111" s="9"/>
      <c r="B111" s="9"/>
      <c r="C111" s="422"/>
      <c r="D111" s="9"/>
      <c r="E111" s="9"/>
      <c r="F111" s="9"/>
      <c r="G111" s="9"/>
      <c r="H111" s="9"/>
      <c r="I111" s="9"/>
      <c r="J111" s="9"/>
      <c r="K111" s="9"/>
      <c r="L111" s="9"/>
      <c r="M111" s="9"/>
      <c r="N111" s="9"/>
      <c r="O111" s="9"/>
      <c r="P111" s="9"/>
      <c r="Q111" s="9"/>
      <c r="R111" s="9"/>
      <c r="S111" s="9"/>
      <c r="T111" s="9"/>
      <c r="U111" s="9"/>
      <c r="V111" s="9"/>
      <c r="W111" s="9"/>
    </row>
    <row r="112" ht="15.75" customHeight="1">
      <c r="A112" s="9"/>
      <c r="B112" s="9"/>
      <c r="C112" s="422"/>
      <c r="D112" s="9"/>
      <c r="E112" s="9"/>
      <c r="F112" s="9"/>
      <c r="G112" s="9"/>
      <c r="H112" s="9"/>
      <c r="I112" s="9"/>
      <c r="J112" s="9"/>
      <c r="K112" s="9"/>
      <c r="L112" s="9"/>
      <c r="M112" s="9"/>
      <c r="N112" s="9"/>
      <c r="O112" s="9"/>
      <c r="P112" s="9"/>
      <c r="Q112" s="9"/>
      <c r="R112" s="9"/>
      <c r="S112" s="9"/>
      <c r="T112" s="9"/>
      <c r="U112" s="9"/>
      <c r="V112" s="9"/>
      <c r="W112" s="9"/>
    </row>
    <row r="113" ht="15.75" customHeight="1">
      <c r="A113" s="9"/>
      <c r="B113" s="9"/>
      <c r="C113" s="422"/>
      <c r="D113" s="9"/>
      <c r="E113" s="9"/>
      <c r="F113" s="9"/>
      <c r="G113" s="9"/>
      <c r="H113" s="9"/>
      <c r="I113" s="9"/>
      <c r="J113" s="9"/>
      <c r="K113" s="9"/>
      <c r="L113" s="9"/>
      <c r="M113" s="9"/>
      <c r="N113" s="9"/>
      <c r="O113" s="9"/>
      <c r="P113" s="9"/>
      <c r="Q113" s="9"/>
      <c r="R113" s="9"/>
      <c r="S113" s="9"/>
      <c r="T113" s="9"/>
      <c r="U113" s="9"/>
      <c r="V113" s="9"/>
      <c r="W113" s="9"/>
    </row>
    <row r="114" ht="15.75" customHeight="1">
      <c r="A114" s="9"/>
      <c r="B114" s="9"/>
      <c r="C114" s="422"/>
      <c r="D114" s="9"/>
      <c r="E114" s="9"/>
      <c r="F114" s="9"/>
      <c r="G114" s="9"/>
      <c r="H114" s="9"/>
      <c r="I114" s="9"/>
      <c r="J114" s="9"/>
      <c r="K114" s="9"/>
      <c r="L114" s="9"/>
      <c r="M114" s="9"/>
      <c r="N114" s="9"/>
      <c r="O114" s="9"/>
      <c r="P114" s="9"/>
      <c r="Q114" s="9"/>
      <c r="R114" s="9"/>
      <c r="S114" s="9"/>
      <c r="T114" s="9"/>
      <c r="U114" s="9"/>
      <c r="V114" s="9"/>
      <c r="W114" s="9"/>
    </row>
    <row r="115" ht="15.75" customHeight="1">
      <c r="A115" s="9"/>
      <c r="B115" s="9"/>
      <c r="C115" s="422"/>
      <c r="D115" s="9"/>
      <c r="E115" s="9"/>
      <c r="F115" s="9"/>
      <c r="G115" s="9"/>
      <c r="H115" s="9"/>
      <c r="I115" s="9"/>
      <c r="J115" s="9"/>
      <c r="K115" s="9"/>
      <c r="L115" s="9"/>
      <c r="M115" s="9"/>
      <c r="N115" s="9"/>
      <c r="O115" s="9"/>
      <c r="P115" s="9"/>
      <c r="Q115" s="9"/>
      <c r="R115" s="9"/>
      <c r="S115" s="9"/>
      <c r="T115" s="9"/>
      <c r="U115" s="9"/>
      <c r="V115" s="9"/>
      <c r="W115" s="9"/>
    </row>
    <row r="116" ht="15.75" customHeight="1">
      <c r="A116" s="9"/>
      <c r="B116" s="9"/>
      <c r="C116" s="422"/>
      <c r="D116" s="9"/>
      <c r="E116" s="9"/>
      <c r="F116" s="9"/>
      <c r="G116" s="9"/>
      <c r="H116" s="9"/>
      <c r="I116" s="9"/>
      <c r="J116" s="9"/>
      <c r="K116" s="9"/>
      <c r="L116" s="9"/>
      <c r="M116" s="9"/>
      <c r="N116" s="9"/>
      <c r="O116" s="9"/>
      <c r="P116" s="9"/>
      <c r="Q116" s="9"/>
      <c r="R116" s="9"/>
      <c r="S116" s="9"/>
      <c r="T116" s="9"/>
      <c r="U116" s="9"/>
      <c r="V116" s="9"/>
      <c r="W116" s="9"/>
    </row>
    <row r="117" ht="15.75" customHeight="1">
      <c r="A117" s="9"/>
      <c r="B117" s="9"/>
      <c r="C117" s="422"/>
      <c r="D117" s="9"/>
      <c r="E117" s="9"/>
      <c r="F117" s="9"/>
      <c r="G117" s="9"/>
      <c r="H117" s="9"/>
      <c r="I117" s="9"/>
      <c r="J117" s="9"/>
      <c r="K117" s="9"/>
      <c r="L117" s="9"/>
      <c r="M117" s="9"/>
      <c r="N117" s="9"/>
      <c r="O117" s="9"/>
      <c r="P117" s="9"/>
      <c r="Q117" s="9"/>
      <c r="R117" s="9"/>
      <c r="S117" s="9"/>
      <c r="T117" s="9"/>
      <c r="U117" s="9"/>
      <c r="V117" s="9"/>
      <c r="W117" s="9"/>
    </row>
    <row r="118" ht="15.75" customHeight="1">
      <c r="A118" s="9"/>
      <c r="B118" s="9"/>
      <c r="C118" s="422"/>
      <c r="D118" s="9"/>
      <c r="E118" s="9"/>
      <c r="F118" s="9"/>
      <c r="G118" s="9"/>
      <c r="H118" s="9"/>
      <c r="I118" s="9"/>
      <c r="J118" s="9"/>
      <c r="K118" s="9"/>
      <c r="L118" s="9"/>
      <c r="M118" s="9"/>
      <c r="N118" s="9"/>
      <c r="O118" s="9"/>
      <c r="P118" s="9"/>
      <c r="Q118" s="9"/>
      <c r="R118" s="9"/>
      <c r="S118" s="9"/>
      <c r="T118" s="9"/>
      <c r="U118" s="9"/>
      <c r="V118" s="9"/>
      <c r="W118" s="9"/>
    </row>
    <row r="119" ht="15.75" customHeight="1">
      <c r="A119" s="9"/>
      <c r="B119" s="9"/>
      <c r="C119" s="422"/>
      <c r="D119" s="9"/>
      <c r="E119" s="9"/>
      <c r="F119" s="9"/>
      <c r="G119" s="9"/>
      <c r="H119" s="9"/>
      <c r="I119" s="9"/>
      <c r="J119" s="9"/>
      <c r="K119" s="9"/>
      <c r="L119" s="9"/>
      <c r="M119" s="9"/>
      <c r="N119" s="9"/>
      <c r="O119" s="9"/>
      <c r="P119" s="9"/>
      <c r="Q119" s="9"/>
      <c r="R119" s="9"/>
      <c r="S119" s="9"/>
      <c r="T119" s="9"/>
      <c r="U119" s="9"/>
      <c r="V119" s="9"/>
      <c r="W119" s="9"/>
    </row>
    <row r="120" ht="15.75" customHeight="1">
      <c r="A120" s="9"/>
      <c r="B120" s="9"/>
      <c r="C120" s="422"/>
      <c r="D120" s="9"/>
      <c r="E120" s="9"/>
      <c r="F120" s="9"/>
      <c r="G120" s="9"/>
      <c r="H120" s="9"/>
      <c r="I120" s="9"/>
      <c r="J120" s="9"/>
      <c r="K120" s="9"/>
      <c r="L120" s="9"/>
      <c r="M120" s="9"/>
      <c r="N120" s="9"/>
      <c r="O120" s="9"/>
      <c r="P120" s="9"/>
      <c r="Q120" s="9"/>
      <c r="R120" s="9"/>
      <c r="S120" s="9"/>
      <c r="T120" s="9"/>
      <c r="U120" s="9"/>
      <c r="V120" s="9"/>
      <c r="W120" s="9"/>
    </row>
    <row r="121" ht="15.75" customHeight="1">
      <c r="A121" s="9"/>
      <c r="B121" s="9"/>
      <c r="C121" s="422"/>
      <c r="D121" s="9"/>
      <c r="E121" s="9"/>
      <c r="F121" s="9"/>
      <c r="G121" s="9"/>
      <c r="H121" s="9"/>
      <c r="I121" s="9"/>
      <c r="J121" s="9"/>
      <c r="K121" s="9"/>
      <c r="L121" s="9"/>
      <c r="M121" s="9"/>
      <c r="N121" s="9"/>
      <c r="O121" s="9"/>
      <c r="P121" s="9"/>
      <c r="Q121" s="9"/>
      <c r="R121" s="9"/>
      <c r="S121" s="9"/>
      <c r="T121" s="9"/>
      <c r="U121" s="9"/>
      <c r="V121" s="9"/>
      <c r="W121" s="9"/>
    </row>
    <row r="122" ht="15.75" customHeight="1">
      <c r="A122" s="9"/>
      <c r="B122" s="9"/>
      <c r="C122" s="422"/>
      <c r="D122" s="9"/>
      <c r="E122" s="9"/>
      <c r="F122" s="9"/>
      <c r="G122" s="9"/>
      <c r="H122" s="9"/>
      <c r="I122" s="9"/>
      <c r="J122" s="9"/>
      <c r="K122" s="9"/>
      <c r="L122" s="9"/>
      <c r="M122" s="9"/>
      <c r="N122" s="9"/>
      <c r="O122" s="9"/>
      <c r="P122" s="9"/>
      <c r="Q122" s="9"/>
      <c r="R122" s="9"/>
      <c r="S122" s="9"/>
      <c r="T122" s="9"/>
      <c r="U122" s="9"/>
      <c r="V122" s="9"/>
      <c r="W122" s="9"/>
    </row>
    <row r="123" ht="15.75" customHeight="1">
      <c r="A123" s="9"/>
      <c r="B123" s="9"/>
      <c r="C123" s="422"/>
      <c r="D123" s="9"/>
      <c r="E123" s="9"/>
      <c r="F123" s="9"/>
      <c r="G123" s="9"/>
      <c r="H123" s="9"/>
      <c r="I123" s="9"/>
      <c r="J123" s="9"/>
      <c r="K123" s="9"/>
      <c r="L123" s="9"/>
      <c r="M123" s="9"/>
      <c r="N123" s="9"/>
      <c r="O123" s="9"/>
      <c r="P123" s="9"/>
      <c r="Q123" s="9"/>
      <c r="R123" s="9"/>
      <c r="S123" s="9"/>
      <c r="T123" s="9"/>
      <c r="U123" s="9"/>
      <c r="V123" s="9"/>
      <c r="W123" s="9"/>
    </row>
    <row r="124" ht="15.75" customHeight="1">
      <c r="A124" s="9"/>
      <c r="B124" s="9"/>
      <c r="C124" s="422"/>
      <c r="D124" s="9"/>
      <c r="E124" s="9"/>
      <c r="F124" s="9"/>
      <c r="G124" s="9"/>
      <c r="H124" s="9"/>
      <c r="I124" s="9"/>
      <c r="J124" s="9"/>
      <c r="K124" s="9"/>
      <c r="L124" s="9"/>
      <c r="M124" s="9"/>
      <c r="N124" s="9"/>
      <c r="O124" s="9"/>
      <c r="P124" s="9"/>
      <c r="Q124" s="9"/>
      <c r="R124" s="9"/>
      <c r="S124" s="9"/>
      <c r="T124" s="9"/>
      <c r="U124" s="9"/>
      <c r="V124" s="9"/>
      <c r="W124" s="9"/>
    </row>
    <row r="125" ht="15.75" customHeight="1">
      <c r="A125" s="9"/>
      <c r="B125" s="9"/>
      <c r="C125" s="422"/>
      <c r="D125" s="9"/>
      <c r="E125" s="9"/>
      <c r="F125" s="9"/>
      <c r="G125" s="9"/>
      <c r="H125" s="9"/>
      <c r="I125" s="9"/>
      <c r="J125" s="9"/>
      <c r="K125" s="9"/>
      <c r="L125" s="9"/>
      <c r="M125" s="9"/>
      <c r="N125" s="9"/>
      <c r="O125" s="9"/>
      <c r="P125" s="9"/>
      <c r="Q125" s="9"/>
      <c r="R125" s="9"/>
      <c r="S125" s="9"/>
      <c r="T125" s="9"/>
      <c r="U125" s="9"/>
      <c r="V125" s="9"/>
      <c r="W125" s="9"/>
    </row>
    <row r="126" ht="15.75" customHeight="1">
      <c r="A126" s="9"/>
      <c r="B126" s="9"/>
      <c r="C126" s="422"/>
      <c r="D126" s="9"/>
      <c r="E126" s="9"/>
      <c r="F126" s="9"/>
      <c r="G126" s="9"/>
      <c r="H126" s="9"/>
      <c r="I126" s="9"/>
      <c r="J126" s="9"/>
      <c r="K126" s="9"/>
      <c r="L126" s="9"/>
      <c r="M126" s="9"/>
      <c r="N126" s="9"/>
      <c r="O126" s="9"/>
      <c r="P126" s="9"/>
      <c r="Q126" s="9"/>
      <c r="R126" s="9"/>
      <c r="S126" s="9"/>
      <c r="T126" s="9"/>
      <c r="U126" s="9"/>
      <c r="V126" s="9"/>
      <c r="W126" s="9"/>
    </row>
    <row r="127" ht="15.75" customHeight="1">
      <c r="A127" s="9"/>
      <c r="B127" s="9"/>
      <c r="C127" s="422"/>
      <c r="D127" s="9"/>
      <c r="E127" s="9"/>
      <c r="F127" s="9"/>
      <c r="G127" s="9"/>
      <c r="H127" s="9"/>
      <c r="I127" s="9"/>
      <c r="J127" s="9"/>
      <c r="K127" s="9"/>
      <c r="L127" s="9"/>
      <c r="M127" s="9"/>
      <c r="N127" s="9"/>
      <c r="O127" s="9"/>
      <c r="P127" s="9"/>
      <c r="Q127" s="9"/>
      <c r="R127" s="9"/>
      <c r="S127" s="9"/>
      <c r="T127" s="9"/>
      <c r="U127" s="9"/>
      <c r="V127" s="9"/>
      <c r="W127" s="9"/>
    </row>
    <row r="128" ht="15.75" customHeight="1">
      <c r="A128" s="9"/>
      <c r="B128" s="9"/>
      <c r="C128" s="422"/>
      <c r="D128" s="9"/>
      <c r="E128" s="9"/>
      <c r="F128" s="9"/>
      <c r="G128" s="9"/>
      <c r="H128" s="9"/>
      <c r="I128" s="9"/>
      <c r="J128" s="9"/>
      <c r="K128" s="9"/>
      <c r="L128" s="9"/>
      <c r="M128" s="9"/>
      <c r="N128" s="9"/>
      <c r="O128" s="9"/>
      <c r="P128" s="9"/>
      <c r="Q128" s="9"/>
      <c r="R128" s="9"/>
      <c r="S128" s="9"/>
      <c r="T128" s="9"/>
      <c r="U128" s="9"/>
      <c r="V128" s="9"/>
      <c r="W128" s="9"/>
    </row>
    <row r="129" ht="15.75" customHeight="1">
      <c r="A129" s="9"/>
      <c r="B129" s="9"/>
      <c r="C129" s="422"/>
      <c r="D129" s="9"/>
      <c r="E129" s="9"/>
      <c r="F129" s="9"/>
      <c r="G129" s="9"/>
      <c r="H129" s="9"/>
      <c r="I129" s="9"/>
      <c r="J129" s="9"/>
      <c r="K129" s="9"/>
      <c r="L129" s="9"/>
      <c r="M129" s="9"/>
      <c r="N129" s="9"/>
      <c r="O129" s="9"/>
      <c r="P129" s="9"/>
      <c r="Q129" s="9"/>
      <c r="R129" s="9"/>
      <c r="S129" s="9"/>
      <c r="T129" s="9"/>
      <c r="U129" s="9"/>
      <c r="V129" s="9"/>
      <c r="W129" s="9"/>
    </row>
    <row r="130" ht="15.75" customHeight="1">
      <c r="A130" s="9"/>
      <c r="B130" s="9"/>
      <c r="C130" s="422"/>
      <c r="D130" s="9"/>
      <c r="E130" s="9"/>
      <c r="F130" s="9"/>
      <c r="G130" s="9"/>
      <c r="H130" s="9"/>
      <c r="I130" s="9"/>
      <c r="J130" s="9"/>
      <c r="K130" s="9"/>
      <c r="L130" s="9"/>
      <c r="M130" s="9"/>
      <c r="N130" s="9"/>
      <c r="O130" s="9"/>
      <c r="P130" s="9"/>
      <c r="Q130" s="9"/>
      <c r="R130" s="9"/>
      <c r="S130" s="9"/>
      <c r="T130" s="9"/>
      <c r="U130" s="9"/>
      <c r="V130" s="9"/>
      <c r="W130" s="9"/>
    </row>
    <row r="131" ht="15.75" customHeight="1">
      <c r="A131" s="9"/>
      <c r="B131" s="9"/>
      <c r="C131" s="422"/>
      <c r="D131" s="9"/>
      <c r="E131" s="9"/>
      <c r="F131" s="9"/>
      <c r="G131" s="9"/>
      <c r="H131" s="9"/>
      <c r="I131" s="9"/>
      <c r="J131" s="9"/>
      <c r="K131" s="9"/>
      <c r="L131" s="9"/>
      <c r="M131" s="9"/>
      <c r="N131" s="9"/>
      <c r="O131" s="9"/>
      <c r="P131" s="9"/>
      <c r="Q131" s="9"/>
      <c r="R131" s="9"/>
      <c r="S131" s="9"/>
      <c r="T131" s="9"/>
      <c r="U131" s="9"/>
      <c r="V131" s="9"/>
      <c r="W131" s="9"/>
    </row>
    <row r="132" ht="15.75" customHeight="1">
      <c r="A132" s="9"/>
      <c r="B132" s="9"/>
      <c r="C132" s="422"/>
      <c r="D132" s="9"/>
      <c r="E132" s="9"/>
      <c r="F132" s="9"/>
      <c r="G132" s="9"/>
      <c r="H132" s="9"/>
      <c r="I132" s="9"/>
      <c r="J132" s="9"/>
      <c r="K132" s="9"/>
      <c r="L132" s="9"/>
      <c r="M132" s="9"/>
      <c r="N132" s="9"/>
      <c r="O132" s="9"/>
      <c r="P132" s="9"/>
      <c r="Q132" s="9"/>
      <c r="R132" s="9"/>
      <c r="S132" s="9"/>
      <c r="T132" s="9"/>
      <c r="U132" s="9"/>
      <c r="V132" s="9"/>
      <c r="W132" s="9"/>
    </row>
    <row r="133" ht="15.75" customHeight="1">
      <c r="A133" s="9"/>
      <c r="B133" s="9"/>
      <c r="C133" s="422"/>
      <c r="D133" s="9"/>
      <c r="E133" s="9"/>
      <c r="F133" s="9"/>
      <c r="G133" s="9"/>
      <c r="H133" s="9"/>
      <c r="I133" s="9"/>
      <c r="J133" s="9"/>
      <c r="K133" s="9"/>
      <c r="L133" s="9"/>
      <c r="M133" s="9"/>
      <c r="N133" s="9"/>
      <c r="O133" s="9"/>
      <c r="P133" s="9"/>
      <c r="Q133" s="9"/>
      <c r="R133" s="9"/>
      <c r="S133" s="9"/>
      <c r="T133" s="9"/>
      <c r="U133" s="9"/>
      <c r="V133" s="9"/>
      <c r="W133" s="9"/>
    </row>
    <row r="134" ht="15.75" customHeight="1">
      <c r="A134" s="9"/>
      <c r="B134" s="9"/>
      <c r="C134" s="422"/>
      <c r="D134" s="9"/>
      <c r="E134" s="9"/>
      <c r="F134" s="9"/>
      <c r="G134" s="9"/>
      <c r="H134" s="9"/>
      <c r="I134" s="9"/>
      <c r="J134" s="9"/>
      <c r="K134" s="9"/>
      <c r="L134" s="9"/>
      <c r="M134" s="9"/>
      <c r="N134" s="9"/>
      <c r="O134" s="9"/>
      <c r="P134" s="9"/>
      <c r="Q134" s="9"/>
      <c r="R134" s="9"/>
      <c r="S134" s="9"/>
      <c r="T134" s="9"/>
      <c r="U134" s="9"/>
      <c r="V134" s="9"/>
      <c r="W134" s="9"/>
    </row>
    <row r="135" ht="15.75" customHeight="1">
      <c r="A135" s="9"/>
      <c r="B135" s="9"/>
      <c r="C135" s="422"/>
      <c r="D135" s="9"/>
      <c r="E135" s="9"/>
      <c r="F135" s="9"/>
      <c r="G135" s="9"/>
      <c r="H135" s="9"/>
      <c r="I135" s="9"/>
      <c r="J135" s="9"/>
      <c r="K135" s="9"/>
      <c r="L135" s="9"/>
      <c r="M135" s="9"/>
      <c r="N135" s="9"/>
      <c r="O135" s="9"/>
      <c r="P135" s="9"/>
      <c r="Q135" s="9"/>
      <c r="R135" s="9"/>
      <c r="S135" s="9"/>
      <c r="T135" s="9"/>
      <c r="U135" s="9"/>
      <c r="V135" s="9"/>
      <c r="W135" s="9"/>
    </row>
    <row r="136" ht="15.75" customHeight="1">
      <c r="A136" s="9"/>
      <c r="B136" s="9"/>
      <c r="C136" s="422"/>
      <c r="D136" s="9"/>
      <c r="E136" s="9"/>
      <c r="F136" s="9"/>
      <c r="G136" s="9"/>
      <c r="H136" s="9"/>
      <c r="I136" s="9"/>
      <c r="J136" s="9"/>
      <c r="K136" s="9"/>
      <c r="L136" s="9"/>
      <c r="M136" s="9"/>
      <c r="N136" s="9"/>
      <c r="O136" s="9"/>
      <c r="P136" s="9"/>
      <c r="Q136" s="9"/>
      <c r="R136" s="9"/>
      <c r="S136" s="9"/>
      <c r="T136" s="9"/>
      <c r="U136" s="9"/>
      <c r="V136" s="9"/>
      <c r="W136" s="9"/>
    </row>
    <row r="137" ht="15.75" customHeight="1">
      <c r="A137" s="9"/>
      <c r="B137" s="9"/>
      <c r="C137" s="422"/>
      <c r="D137" s="9"/>
      <c r="E137" s="9"/>
      <c r="F137" s="9"/>
      <c r="G137" s="9"/>
      <c r="H137" s="9"/>
      <c r="I137" s="9"/>
      <c r="J137" s="9"/>
      <c r="K137" s="9"/>
      <c r="L137" s="9"/>
      <c r="M137" s="9"/>
      <c r="N137" s="9"/>
      <c r="O137" s="9"/>
      <c r="P137" s="9"/>
      <c r="Q137" s="9"/>
      <c r="R137" s="9"/>
      <c r="S137" s="9"/>
      <c r="T137" s="9"/>
      <c r="U137" s="9"/>
      <c r="V137" s="9"/>
      <c r="W137" s="9"/>
    </row>
    <row r="138" ht="15.75" customHeight="1">
      <c r="A138" s="9"/>
      <c r="B138" s="9"/>
      <c r="C138" s="422"/>
      <c r="D138" s="9"/>
      <c r="E138" s="9"/>
      <c r="F138" s="9"/>
      <c r="G138" s="9"/>
      <c r="H138" s="9"/>
      <c r="I138" s="9"/>
      <c r="J138" s="9"/>
      <c r="K138" s="9"/>
      <c r="L138" s="9"/>
      <c r="M138" s="9"/>
      <c r="N138" s="9"/>
      <c r="O138" s="9"/>
      <c r="P138" s="9"/>
      <c r="Q138" s="9"/>
      <c r="R138" s="9"/>
      <c r="S138" s="9"/>
      <c r="T138" s="9"/>
      <c r="U138" s="9"/>
      <c r="V138" s="9"/>
      <c r="W138" s="9"/>
    </row>
    <row r="139" ht="15.75" customHeight="1">
      <c r="A139" s="9"/>
      <c r="B139" s="9"/>
      <c r="C139" s="422"/>
      <c r="D139" s="9"/>
      <c r="E139" s="9"/>
      <c r="F139" s="9"/>
      <c r="G139" s="9"/>
      <c r="H139" s="9"/>
      <c r="I139" s="9"/>
      <c r="J139" s="9"/>
      <c r="K139" s="9"/>
      <c r="L139" s="9"/>
      <c r="M139" s="9"/>
      <c r="N139" s="9"/>
      <c r="O139" s="9"/>
      <c r="P139" s="9"/>
      <c r="Q139" s="9"/>
      <c r="R139" s="9"/>
      <c r="S139" s="9"/>
      <c r="T139" s="9"/>
      <c r="U139" s="9"/>
      <c r="V139" s="9"/>
      <c r="W139" s="9"/>
    </row>
    <row r="140" ht="15.75" customHeight="1">
      <c r="A140" s="9"/>
      <c r="B140" s="9"/>
      <c r="C140" s="422"/>
      <c r="D140" s="9"/>
      <c r="E140" s="9"/>
      <c r="F140" s="9"/>
      <c r="G140" s="9"/>
      <c r="H140" s="9"/>
      <c r="I140" s="9"/>
      <c r="J140" s="9"/>
      <c r="K140" s="9"/>
      <c r="L140" s="9"/>
      <c r="M140" s="9"/>
      <c r="N140" s="9"/>
      <c r="O140" s="9"/>
      <c r="P140" s="9"/>
      <c r="Q140" s="9"/>
      <c r="R140" s="9"/>
      <c r="S140" s="9"/>
      <c r="T140" s="9"/>
      <c r="U140" s="9"/>
      <c r="V140" s="9"/>
      <c r="W140" s="9"/>
    </row>
    <row r="141" ht="15.75" customHeight="1">
      <c r="A141" s="9"/>
      <c r="B141" s="9"/>
      <c r="C141" s="422"/>
      <c r="D141" s="9"/>
      <c r="E141" s="9"/>
      <c r="F141" s="9"/>
      <c r="G141" s="9"/>
      <c r="H141" s="9"/>
      <c r="I141" s="9"/>
      <c r="J141" s="9"/>
      <c r="K141" s="9"/>
      <c r="L141" s="9"/>
      <c r="M141" s="9"/>
      <c r="N141" s="9"/>
      <c r="O141" s="9"/>
      <c r="P141" s="9"/>
      <c r="Q141" s="9"/>
      <c r="R141" s="9"/>
      <c r="S141" s="9"/>
      <c r="T141" s="9"/>
      <c r="U141" s="9"/>
      <c r="V141" s="9"/>
      <c r="W141" s="9"/>
    </row>
    <row r="142" ht="15.75" customHeight="1">
      <c r="A142" s="9"/>
      <c r="B142" s="9"/>
      <c r="C142" s="422"/>
      <c r="D142" s="9"/>
      <c r="E142" s="9"/>
      <c r="F142" s="9"/>
      <c r="G142" s="9"/>
      <c r="H142" s="9"/>
      <c r="I142" s="9"/>
      <c r="J142" s="9"/>
      <c r="K142" s="9"/>
      <c r="L142" s="9"/>
      <c r="M142" s="9"/>
      <c r="N142" s="9"/>
      <c r="O142" s="9"/>
      <c r="P142" s="9"/>
      <c r="Q142" s="9"/>
      <c r="R142" s="9"/>
      <c r="S142" s="9"/>
      <c r="T142" s="9"/>
      <c r="U142" s="9"/>
      <c r="V142" s="9"/>
      <c r="W142" s="9"/>
    </row>
    <row r="143" ht="15.75" customHeight="1">
      <c r="A143" s="9"/>
      <c r="B143" s="9"/>
      <c r="C143" s="422"/>
      <c r="D143" s="9"/>
      <c r="E143" s="9"/>
      <c r="F143" s="9"/>
      <c r="G143" s="9"/>
      <c r="H143" s="9"/>
      <c r="I143" s="9"/>
      <c r="J143" s="9"/>
      <c r="K143" s="9"/>
      <c r="L143" s="9"/>
      <c r="M143" s="9"/>
      <c r="N143" s="9"/>
      <c r="O143" s="9"/>
      <c r="P143" s="9"/>
      <c r="Q143" s="9"/>
      <c r="R143" s="9"/>
      <c r="S143" s="9"/>
      <c r="T143" s="9"/>
      <c r="U143" s="9"/>
      <c r="V143" s="9"/>
      <c r="W143" s="9"/>
    </row>
    <row r="144" ht="15.75" customHeight="1">
      <c r="A144" s="9"/>
      <c r="B144" s="9"/>
      <c r="C144" s="422"/>
      <c r="D144" s="9"/>
      <c r="E144" s="9"/>
      <c r="F144" s="9"/>
      <c r="G144" s="9"/>
      <c r="H144" s="9"/>
      <c r="I144" s="9"/>
      <c r="J144" s="9"/>
      <c r="K144" s="9"/>
      <c r="L144" s="9"/>
      <c r="M144" s="9"/>
      <c r="N144" s="9"/>
      <c r="O144" s="9"/>
      <c r="P144" s="9"/>
      <c r="Q144" s="9"/>
      <c r="R144" s="9"/>
      <c r="S144" s="9"/>
      <c r="T144" s="9"/>
      <c r="U144" s="9"/>
      <c r="V144" s="9"/>
      <c r="W144" s="9"/>
    </row>
    <row r="145" ht="15.75" customHeight="1">
      <c r="A145" s="9"/>
      <c r="B145" s="9"/>
      <c r="C145" s="422"/>
      <c r="D145" s="9"/>
      <c r="E145" s="9"/>
      <c r="F145" s="9"/>
      <c r="G145" s="9"/>
      <c r="H145" s="9"/>
      <c r="I145" s="9"/>
      <c r="J145" s="9"/>
      <c r="K145" s="9"/>
      <c r="L145" s="9"/>
      <c r="M145" s="9"/>
      <c r="N145" s="9"/>
      <c r="O145" s="9"/>
      <c r="P145" s="9"/>
      <c r="Q145" s="9"/>
      <c r="R145" s="9"/>
      <c r="S145" s="9"/>
      <c r="T145" s="9"/>
      <c r="U145" s="9"/>
      <c r="V145" s="9"/>
      <c r="W145" s="9"/>
    </row>
    <row r="146" ht="15.75" customHeight="1">
      <c r="A146" s="9"/>
      <c r="B146" s="9"/>
      <c r="C146" s="422"/>
      <c r="D146" s="9"/>
      <c r="E146" s="9"/>
      <c r="F146" s="9"/>
      <c r="G146" s="9"/>
      <c r="H146" s="9"/>
      <c r="I146" s="9"/>
      <c r="J146" s="9"/>
      <c r="K146" s="9"/>
      <c r="L146" s="9"/>
      <c r="M146" s="9"/>
      <c r="N146" s="9"/>
      <c r="O146" s="9"/>
      <c r="P146" s="9"/>
      <c r="Q146" s="9"/>
      <c r="R146" s="9"/>
      <c r="S146" s="9"/>
      <c r="T146" s="9"/>
      <c r="U146" s="9"/>
      <c r="V146" s="9"/>
      <c r="W146" s="9"/>
    </row>
    <row r="147" ht="15.75" customHeight="1">
      <c r="A147" s="9"/>
      <c r="B147" s="9"/>
      <c r="C147" s="422"/>
      <c r="D147" s="9"/>
      <c r="E147" s="9"/>
      <c r="F147" s="9"/>
      <c r="G147" s="9"/>
      <c r="H147" s="9"/>
      <c r="I147" s="9"/>
      <c r="J147" s="9"/>
      <c r="K147" s="9"/>
      <c r="L147" s="9"/>
      <c r="M147" s="9"/>
      <c r="N147" s="9"/>
      <c r="O147" s="9"/>
      <c r="P147" s="9"/>
      <c r="Q147" s="9"/>
      <c r="R147" s="9"/>
      <c r="S147" s="9"/>
      <c r="T147" s="9"/>
      <c r="U147" s="9"/>
      <c r="V147" s="9"/>
      <c r="W147" s="9"/>
    </row>
    <row r="148" ht="15.75" customHeight="1">
      <c r="A148" s="9"/>
      <c r="B148" s="9"/>
      <c r="C148" s="422"/>
      <c r="D148" s="9"/>
      <c r="E148" s="9"/>
      <c r="F148" s="9"/>
      <c r="G148" s="9"/>
      <c r="H148" s="9"/>
      <c r="I148" s="9"/>
      <c r="J148" s="9"/>
      <c r="K148" s="9"/>
      <c r="L148" s="9"/>
      <c r="M148" s="9"/>
      <c r="N148" s="9"/>
      <c r="O148" s="9"/>
      <c r="P148" s="9"/>
      <c r="Q148" s="9"/>
      <c r="R148" s="9"/>
      <c r="S148" s="9"/>
      <c r="T148" s="9"/>
      <c r="U148" s="9"/>
      <c r="V148" s="9"/>
      <c r="W148" s="9"/>
    </row>
    <row r="149" ht="15.75" customHeight="1">
      <c r="A149" s="9"/>
      <c r="B149" s="9"/>
      <c r="C149" s="422"/>
      <c r="D149" s="9"/>
      <c r="E149" s="9"/>
      <c r="F149" s="9"/>
      <c r="G149" s="9"/>
      <c r="H149" s="9"/>
      <c r="I149" s="9"/>
      <c r="J149" s="9"/>
      <c r="K149" s="9"/>
      <c r="L149" s="9"/>
      <c r="M149" s="9"/>
      <c r="N149" s="9"/>
      <c r="O149" s="9"/>
      <c r="P149" s="9"/>
      <c r="Q149" s="9"/>
      <c r="R149" s="9"/>
      <c r="S149" s="9"/>
      <c r="T149" s="9"/>
      <c r="U149" s="9"/>
      <c r="V149" s="9"/>
      <c r="W149" s="9"/>
    </row>
    <row r="150" ht="15.75" customHeight="1">
      <c r="A150" s="9"/>
      <c r="B150" s="9"/>
      <c r="C150" s="422"/>
      <c r="D150" s="9"/>
      <c r="E150" s="9"/>
      <c r="F150" s="9"/>
      <c r="G150" s="9"/>
      <c r="H150" s="9"/>
      <c r="I150" s="9"/>
      <c r="J150" s="9"/>
      <c r="K150" s="9"/>
      <c r="L150" s="9"/>
      <c r="M150" s="9"/>
      <c r="N150" s="9"/>
      <c r="O150" s="9"/>
      <c r="P150" s="9"/>
      <c r="Q150" s="9"/>
      <c r="R150" s="9"/>
      <c r="S150" s="9"/>
      <c r="T150" s="9"/>
      <c r="U150" s="9"/>
      <c r="V150" s="9"/>
      <c r="W150" s="9"/>
    </row>
    <row r="151" ht="15.75" customHeight="1">
      <c r="A151" s="9"/>
      <c r="B151" s="9"/>
      <c r="C151" s="422"/>
      <c r="D151" s="9"/>
      <c r="E151" s="9"/>
      <c r="F151" s="9"/>
      <c r="G151" s="9"/>
      <c r="H151" s="9"/>
      <c r="I151" s="9"/>
      <c r="J151" s="9"/>
      <c r="K151" s="9"/>
      <c r="L151" s="9"/>
      <c r="M151" s="9"/>
      <c r="N151" s="9"/>
      <c r="O151" s="9"/>
      <c r="P151" s="9"/>
      <c r="Q151" s="9"/>
      <c r="R151" s="9"/>
      <c r="S151" s="9"/>
      <c r="T151" s="9"/>
      <c r="U151" s="9"/>
      <c r="V151" s="9"/>
      <c r="W151" s="9"/>
    </row>
    <row r="152" ht="15.75" customHeight="1">
      <c r="A152" s="9"/>
      <c r="B152" s="9"/>
      <c r="C152" s="422"/>
      <c r="D152" s="9"/>
      <c r="E152" s="9"/>
      <c r="F152" s="9"/>
      <c r="G152" s="9"/>
      <c r="H152" s="9"/>
      <c r="I152" s="9"/>
      <c r="J152" s="9"/>
      <c r="K152" s="9"/>
      <c r="L152" s="9"/>
      <c r="M152" s="9"/>
      <c r="N152" s="9"/>
      <c r="O152" s="9"/>
      <c r="P152" s="9"/>
      <c r="Q152" s="9"/>
      <c r="R152" s="9"/>
      <c r="S152" s="9"/>
      <c r="T152" s="9"/>
      <c r="U152" s="9"/>
      <c r="V152" s="9"/>
      <c r="W152" s="9"/>
    </row>
    <row r="153" ht="15.75" customHeight="1">
      <c r="A153" s="9"/>
      <c r="B153" s="9"/>
      <c r="C153" s="422"/>
      <c r="D153" s="9"/>
      <c r="E153" s="9"/>
      <c r="F153" s="9"/>
      <c r="G153" s="9"/>
      <c r="H153" s="9"/>
      <c r="I153" s="9"/>
      <c r="J153" s="9"/>
      <c r="K153" s="9"/>
      <c r="L153" s="9"/>
      <c r="M153" s="9"/>
      <c r="N153" s="9"/>
      <c r="O153" s="9"/>
      <c r="P153" s="9"/>
      <c r="Q153" s="9"/>
      <c r="R153" s="9"/>
      <c r="S153" s="9"/>
      <c r="T153" s="9"/>
      <c r="U153" s="9"/>
      <c r="V153" s="9"/>
      <c r="W153" s="9"/>
    </row>
    <row r="154" ht="15.75" customHeight="1">
      <c r="A154" s="9"/>
      <c r="B154" s="9"/>
      <c r="C154" s="422"/>
      <c r="D154" s="9"/>
      <c r="E154" s="9"/>
      <c r="F154" s="9"/>
      <c r="G154" s="9"/>
      <c r="H154" s="9"/>
      <c r="I154" s="9"/>
      <c r="J154" s="9"/>
      <c r="K154" s="9"/>
      <c r="L154" s="9"/>
      <c r="M154" s="9"/>
      <c r="N154" s="9"/>
      <c r="O154" s="9"/>
      <c r="P154" s="9"/>
      <c r="Q154" s="9"/>
      <c r="R154" s="9"/>
      <c r="S154" s="9"/>
      <c r="T154" s="9"/>
      <c r="U154" s="9"/>
      <c r="V154" s="9"/>
      <c r="W154" s="9"/>
    </row>
    <row r="155" ht="15.75" customHeight="1">
      <c r="A155" s="9"/>
      <c r="B155" s="9"/>
      <c r="C155" s="422"/>
      <c r="D155" s="9"/>
      <c r="E155" s="9"/>
      <c r="F155" s="9"/>
      <c r="G155" s="9"/>
      <c r="H155" s="9"/>
      <c r="I155" s="9"/>
      <c r="J155" s="9"/>
      <c r="K155" s="9"/>
      <c r="L155" s="9"/>
      <c r="M155" s="9"/>
      <c r="N155" s="9"/>
      <c r="O155" s="9"/>
      <c r="P155" s="9"/>
      <c r="Q155" s="9"/>
      <c r="R155" s="9"/>
      <c r="S155" s="9"/>
      <c r="T155" s="9"/>
      <c r="U155" s="9"/>
      <c r="V155" s="9"/>
      <c r="W155" s="9"/>
    </row>
    <row r="156" ht="15.75" customHeight="1">
      <c r="A156" s="9"/>
      <c r="B156" s="9"/>
      <c r="C156" s="422"/>
      <c r="D156" s="9"/>
      <c r="E156" s="9"/>
      <c r="F156" s="9"/>
      <c r="G156" s="9"/>
      <c r="H156" s="9"/>
      <c r="I156" s="9"/>
      <c r="J156" s="9"/>
      <c r="K156" s="9"/>
      <c r="L156" s="9"/>
      <c r="M156" s="9"/>
      <c r="N156" s="9"/>
      <c r="O156" s="9"/>
      <c r="P156" s="9"/>
      <c r="Q156" s="9"/>
      <c r="R156" s="9"/>
      <c r="S156" s="9"/>
      <c r="T156" s="9"/>
      <c r="U156" s="9"/>
      <c r="V156" s="9"/>
      <c r="W156" s="9"/>
    </row>
    <row r="157" ht="15.75" customHeight="1">
      <c r="A157" s="9"/>
      <c r="B157" s="9"/>
      <c r="C157" s="422"/>
      <c r="D157" s="9"/>
      <c r="E157" s="9"/>
      <c r="F157" s="9"/>
      <c r="G157" s="9"/>
      <c r="H157" s="9"/>
      <c r="I157" s="9"/>
      <c r="J157" s="9"/>
      <c r="K157" s="9"/>
      <c r="L157" s="9"/>
      <c r="M157" s="9"/>
      <c r="N157" s="9"/>
      <c r="O157" s="9"/>
      <c r="P157" s="9"/>
      <c r="Q157" s="9"/>
      <c r="R157" s="9"/>
      <c r="S157" s="9"/>
      <c r="T157" s="9"/>
      <c r="U157" s="9"/>
      <c r="V157" s="9"/>
      <c r="W157" s="9"/>
    </row>
    <row r="158" ht="15.75" customHeight="1">
      <c r="A158" s="9"/>
      <c r="B158" s="9"/>
      <c r="C158" s="422"/>
      <c r="D158" s="9"/>
      <c r="E158" s="9"/>
      <c r="F158" s="9"/>
      <c r="G158" s="9"/>
      <c r="H158" s="9"/>
      <c r="I158" s="9"/>
      <c r="J158" s="9"/>
      <c r="K158" s="9"/>
      <c r="L158" s="9"/>
      <c r="M158" s="9"/>
      <c r="N158" s="9"/>
      <c r="O158" s="9"/>
      <c r="P158" s="9"/>
      <c r="Q158" s="9"/>
      <c r="R158" s="9"/>
      <c r="S158" s="9"/>
      <c r="T158" s="9"/>
      <c r="U158" s="9"/>
      <c r="V158" s="9"/>
      <c r="W158" s="9"/>
    </row>
    <row r="159" ht="15.75" customHeight="1">
      <c r="A159" s="9"/>
      <c r="B159" s="9"/>
      <c r="C159" s="422"/>
      <c r="D159" s="9"/>
      <c r="E159" s="9"/>
      <c r="F159" s="9"/>
      <c r="G159" s="9"/>
      <c r="H159" s="9"/>
      <c r="I159" s="9"/>
      <c r="J159" s="9"/>
      <c r="K159" s="9"/>
      <c r="L159" s="9"/>
      <c r="M159" s="9"/>
      <c r="N159" s="9"/>
      <c r="O159" s="9"/>
      <c r="P159" s="9"/>
      <c r="Q159" s="9"/>
      <c r="R159" s="9"/>
      <c r="S159" s="9"/>
      <c r="T159" s="9"/>
      <c r="U159" s="9"/>
      <c r="V159" s="9"/>
      <c r="W159" s="9"/>
    </row>
    <row r="160" ht="15.75" customHeight="1">
      <c r="A160" s="9"/>
      <c r="B160" s="9"/>
      <c r="C160" s="422"/>
      <c r="D160" s="9"/>
      <c r="E160" s="9"/>
      <c r="F160" s="9"/>
      <c r="G160" s="9"/>
      <c r="H160" s="9"/>
      <c r="I160" s="9"/>
      <c r="J160" s="9"/>
      <c r="K160" s="9"/>
      <c r="L160" s="9"/>
      <c r="M160" s="9"/>
      <c r="N160" s="9"/>
      <c r="O160" s="9"/>
      <c r="P160" s="9"/>
      <c r="Q160" s="9"/>
      <c r="R160" s="9"/>
      <c r="S160" s="9"/>
      <c r="T160" s="9"/>
      <c r="U160" s="9"/>
      <c r="V160" s="9"/>
      <c r="W160" s="9"/>
    </row>
    <row r="161" ht="15.75" customHeight="1">
      <c r="A161" s="9"/>
      <c r="B161" s="9"/>
      <c r="C161" s="422"/>
      <c r="D161" s="9"/>
      <c r="E161" s="9"/>
      <c r="F161" s="9"/>
      <c r="G161" s="9"/>
      <c r="H161" s="9"/>
      <c r="I161" s="9"/>
      <c r="J161" s="9"/>
      <c r="K161" s="9"/>
      <c r="L161" s="9"/>
      <c r="M161" s="9"/>
      <c r="N161" s="9"/>
      <c r="O161" s="9"/>
      <c r="P161" s="9"/>
      <c r="Q161" s="9"/>
      <c r="R161" s="9"/>
      <c r="S161" s="9"/>
      <c r="T161" s="9"/>
      <c r="U161" s="9"/>
      <c r="V161" s="9"/>
      <c r="W161" s="9"/>
    </row>
    <row r="162" ht="15.75" customHeight="1">
      <c r="A162" s="9"/>
      <c r="B162" s="9"/>
      <c r="C162" s="422"/>
      <c r="D162" s="9"/>
      <c r="E162" s="9"/>
      <c r="F162" s="9"/>
      <c r="G162" s="9"/>
      <c r="H162" s="9"/>
      <c r="I162" s="9"/>
      <c r="J162" s="9"/>
      <c r="K162" s="9"/>
      <c r="L162" s="9"/>
      <c r="M162" s="9"/>
      <c r="N162" s="9"/>
      <c r="O162" s="9"/>
      <c r="P162" s="9"/>
      <c r="Q162" s="9"/>
      <c r="R162" s="9"/>
      <c r="S162" s="9"/>
      <c r="T162" s="9"/>
      <c r="U162" s="9"/>
      <c r="V162" s="9"/>
      <c r="W162" s="9"/>
    </row>
    <row r="163" ht="15.75" customHeight="1">
      <c r="A163" s="9"/>
      <c r="B163" s="9"/>
      <c r="C163" s="422"/>
      <c r="D163" s="9"/>
      <c r="E163" s="9"/>
      <c r="F163" s="9"/>
      <c r="G163" s="9"/>
      <c r="H163" s="9"/>
      <c r="I163" s="9"/>
      <c r="J163" s="9"/>
      <c r="K163" s="9"/>
      <c r="L163" s="9"/>
      <c r="M163" s="9"/>
      <c r="N163" s="9"/>
      <c r="O163" s="9"/>
      <c r="P163" s="9"/>
      <c r="Q163" s="9"/>
      <c r="R163" s="9"/>
      <c r="S163" s="9"/>
      <c r="T163" s="9"/>
      <c r="U163" s="9"/>
      <c r="V163" s="9"/>
      <c r="W163" s="9"/>
    </row>
    <row r="164" ht="15.75" customHeight="1">
      <c r="A164" s="9"/>
      <c r="B164" s="9"/>
      <c r="C164" s="422"/>
      <c r="D164" s="9"/>
      <c r="E164" s="9"/>
      <c r="F164" s="9"/>
      <c r="G164" s="9"/>
      <c r="H164" s="9"/>
      <c r="I164" s="9"/>
      <c r="J164" s="9"/>
      <c r="K164" s="9"/>
      <c r="L164" s="9"/>
      <c r="M164" s="9"/>
      <c r="N164" s="9"/>
      <c r="O164" s="9"/>
      <c r="P164" s="9"/>
      <c r="Q164" s="9"/>
      <c r="R164" s="9"/>
      <c r="S164" s="9"/>
      <c r="T164" s="9"/>
      <c r="U164" s="9"/>
      <c r="V164" s="9"/>
      <c r="W164" s="9"/>
    </row>
    <row r="165" ht="15.75" customHeight="1">
      <c r="A165" s="9"/>
      <c r="B165" s="9"/>
      <c r="C165" s="422"/>
      <c r="D165" s="9"/>
      <c r="E165" s="9"/>
      <c r="F165" s="9"/>
      <c r="G165" s="9"/>
      <c r="H165" s="9"/>
      <c r="I165" s="9"/>
      <c r="J165" s="9"/>
      <c r="K165" s="9"/>
      <c r="L165" s="9"/>
      <c r="M165" s="9"/>
      <c r="N165" s="9"/>
      <c r="O165" s="9"/>
      <c r="P165" s="9"/>
      <c r="Q165" s="9"/>
      <c r="R165" s="9"/>
      <c r="S165" s="9"/>
      <c r="T165" s="9"/>
      <c r="U165" s="9"/>
      <c r="V165" s="9"/>
      <c r="W165" s="9"/>
    </row>
    <row r="166" ht="15.75" customHeight="1">
      <c r="A166" s="9"/>
      <c r="B166" s="9"/>
      <c r="C166" s="422"/>
      <c r="D166" s="9"/>
      <c r="E166" s="9"/>
      <c r="F166" s="9"/>
      <c r="G166" s="9"/>
      <c r="H166" s="9"/>
      <c r="I166" s="9"/>
      <c r="J166" s="9"/>
      <c r="K166" s="9"/>
      <c r="L166" s="9"/>
      <c r="M166" s="9"/>
      <c r="N166" s="9"/>
      <c r="O166" s="9"/>
      <c r="P166" s="9"/>
      <c r="Q166" s="9"/>
      <c r="R166" s="9"/>
      <c r="S166" s="9"/>
      <c r="T166" s="9"/>
      <c r="U166" s="9"/>
      <c r="V166" s="9"/>
      <c r="W166" s="9"/>
    </row>
    <row r="167" ht="15.75" customHeight="1">
      <c r="A167" s="9"/>
      <c r="B167" s="9"/>
      <c r="C167" s="422"/>
      <c r="D167" s="9"/>
      <c r="E167" s="9"/>
      <c r="F167" s="9"/>
      <c r="G167" s="9"/>
      <c r="H167" s="9"/>
      <c r="I167" s="9"/>
      <c r="J167" s="9"/>
      <c r="K167" s="9"/>
      <c r="L167" s="9"/>
      <c r="M167" s="9"/>
      <c r="N167" s="9"/>
      <c r="O167" s="9"/>
      <c r="P167" s="9"/>
      <c r="Q167" s="9"/>
      <c r="R167" s="9"/>
      <c r="S167" s="9"/>
      <c r="T167" s="9"/>
      <c r="U167" s="9"/>
      <c r="V167" s="9"/>
      <c r="W167" s="9"/>
    </row>
    <row r="168" ht="15.75" customHeight="1">
      <c r="A168" s="9"/>
      <c r="B168" s="9"/>
      <c r="C168" s="422"/>
      <c r="D168" s="9"/>
      <c r="E168" s="9"/>
      <c r="F168" s="9"/>
      <c r="G168" s="9"/>
      <c r="H168" s="9"/>
      <c r="I168" s="9"/>
      <c r="J168" s="9"/>
      <c r="K168" s="9"/>
      <c r="L168" s="9"/>
      <c r="M168" s="9"/>
      <c r="N168" s="9"/>
      <c r="O168" s="9"/>
      <c r="P168" s="9"/>
      <c r="Q168" s="9"/>
      <c r="R168" s="9"/>
      <c r="S168" s="9"/>
      <c r="T168" s="9"/>
      <c r="U168" s="9"/>
      <c r="V168" s="9"/>
      <c r="W168" s="9"/>
    </row>
    <row r="169" ht="15.75" customHeight="1">
      <c r="A169" s="9"/>
      <c r="B169" s="9"/>
      <c r="C169" s="422"/>
      <c r="D169" s="9"/>
      <c r="E169" s="9"/>
      <c r="F169" s="9"/>
      <c r="G169" s="9"/>
      <c r="H169" s="9"/>
      <c r="I169" s="9"/>
      <c r="J169" s="9"/>
      <c r="K169" s="9"/>
      <c r="L169" s="9"/>
      <c r="M169" s="9"/>
      <c r="N169" s="9"/>
      <c r="O169" s="9"/>
      <c r="P169" s="9"/>
      <c r="Q169" s="9"/>
      <c r="R169" s="9"/>
      <c r="S169" s="9"/>
      <c r="T169" s="9"/>
      <c r="U169" s="9"/>
      <c r="V169" s="9"/>
      <c r="W169" s="9"/>
    </row>
    <row r="170" ht="15.75" customHeight="1">
      <c r="A170" s="9"/>
      <c r="B170" s="9"/>
      <c r="C170" s="422"/>
      <c r="D170" s="9"/>
      <c r="E170" s="9"/>
      <c r="F170" s="9"/>
      <c r="G170" s="9"/>
      <c r="H170" s="9"/>
      <c r="I170" s="9"/>
      <c r="J170" s="9"/>
      <c r="K170" s="9"/>
      <c r="L170" s="9"/>
      <c r="M170" s="9"/>
      <c r="N170" s="9"/>
      <c r="O170" s="9"/>
      <c r="P170" s="9"/>
      <c r="Q170" s="9"/>
      <c r="R170" s="9"/>
      <c r="S170" s="9"/>
      <c r="T170" s="9"/>
      <c r="U170" s="9"/>
      <c r="V170" s="9"/>
      <c r="W170" s="9"/>
    </row>
    <row r="171" ht="15.75" customHeight="1">
      <c r="A171" s="9"/>
      <c r="B171" s="9"/>
      <c r="C171" s="422"/>
      <c r="D171" s="9"/>
      <c r="E171" s="9"/>
      <c r="F171" s="9"/>
      <c r="G171" s="9"/>
      <c r="H171" s="9"/>
      <c r="I171" s="9"/>
      <c r="J171" s="9"/>
      <c r="K171" s="9"/>
      <c r="L171" s="9"/>
      <c r="M171" s="9"/>
      <c r="N171" s="9"/>
      <c r="O171" s="9"/>
      <c r="P171" s="9"/>
      <c r="Q171" s="9"/>
      <c r="R171" s="9"/>
      <c r="S171" s="9"/>
      <c r="T171" s="9"/>
      <c r="U171" s="9"/>
      <c r="V171" s="9"/>
      <c r="W171" s="9"/>
    </row>
    <row r="172" ht="15.75" customHeight="1">
      <c r="A172" s="9"/>
      <c r="B172" s="9"/>
      <c r="C172" s="422"/>
      <c r="D172" s="9"/>
      <c r="E172" s="9"/>
      <c r="F172" s="9"/>
      <c r="G172" s="9"/>
      <c r="H172" s="9"/>
      <c r="I172" s="9"/>
      <c r="J172" s="9"/>
      <c r="K172" s="9"/>
      <c r="L172" s="9"/>
      <c r="M172" s="9"/>
      <c r="N172" s="9"/>
      <c r="O172" s="9"/>
      <c r="P172" s="9"/>
      <c r="Q172" s="9"/>
      <c r="R172" s="9"/>
      <c r="S172" s="9"/>
      <c r="T172" s="9"/>
      <c r="U172" s="9"/>
      <c r="V172" s="9"/>
      <c r="W172" s="9"/>
    </row>
    <row r="173" ht="15.75" customHeight="1">
      <c r="A173" s="9"/>
      <c r="B173" s="9"/>
      <c r="C173" s="422"/>
      <c r="D173" s="9"/>
      <c r="E173" s="9"/>
      <c r="F173" s="9"/>
      <c r="G173" s="9"/>
      <c r="H173" s="9"/>
      <c r="I173" s="9"/>
      <c r="J173" s="9"/>
      <c r="K173" s="9"/>
      <c r="L173" s="9"/>
      <c r="M173" s="9"/>
      <c r="N173" s="9"/>
      <c r="O173" s="9"/>
      <c r="P173" s="9"/>
      <c r="Q173" s="9"/>
      <c r="R173" s="9"/>
      <c r="S173" s="9"/>
      <c r="T173" s="9"/>
      <c r="U173" s="9"/>
      <c r="V173" s="9"/>
      <c r="W173" s="9"/>
    </row>
    <row r="174" ht="15.75" customHeight="1">
      <c r="A174" s="9"/>
      <c r="B174" s="9"/>
      <c r="C174" s="422"/>
      <c r="D174" s="9"/>
      <c r="E174" s="9"/>
      <c r="F174" s="9"/>
      <c r="G174" s="9"/>
      <c r="H174" s="9"/>
      <c r="I174" s="9"/>
      <c r="J174" s="9"/>
      <c r="K174" s="9"/>
      <c r="L174" s="9"/>
      <c r="M174" s="9"/>
      <c r="N174" s="9"/>
      <c r="O174" s="9"/>
      <c r="P174" s="9"/>
      <c r="Q174" s="9"/>
      <c r="R174" s="9"/>
      <c r="S174" s="9"/>
      <c r="T174" s="9"/>
      <c r="U174" s="9"/>
      <c r="V174" s="9"/>
      <c r="W174" s="9"/>
    </row>
    <row r="175" ht="15.75" customHeight="1">
      <c r="A175" s="9"/>
      <c r="B175" s="9"/>
      <c r="C175" s="422"/>
      <c r="D175" s="9"/>
      <c r="E175" s="9"/>
      <c r="F175" s="9"/>
      <c r="G175" s="9"/>
      <c r="H175" s="9"/>
      <c r="I175" s="9"/>
      <c r="J175" s="9"/>
      <c r="K175" s="9"/>
      <c r="L175" s="9"/>
      <c r="M175" s="9"/>
      <c r="N175" s="9"/>
      <c r="O175" s="9"/>
      <c r="P175" s="9"/>
      <c r="Q175" s="9"/>
      <c r="R175" s="9"/>
      <c r="S175" s="9"/>
      <c r="T175" s="9"/>
      <c r="U175" s="9"/>
      <c r="V175" s="9"/>
      <c r="W175" s="9"/>
    </row>
    <row r="176" ht="15.75" customHeight="1">
      <c r="A176" s="9"/>
      <c r="B176" s="9"/>
      <c r="C176" s="422"/>
      <c r="D176" s="9"/>
      <c r="E176" s="9"/>
      <c r="F176" s="9"/>
      <c r="G176" s="9"/>
      <c r="H176" s="9"/>
      <c r="I176" s="9"/>
      <c r="J176" s="9"/>
      <c r="K176" s="9"/>
      <c r="L176" s="9"/>
      <c r="M176" s="9"/>
      <c r="N176" s="9"/>
      <c r="O176" s="9"/>
      <c r="P176" s="9"/>
      <c r="Q176" s="9"/>
      <c r="R176" s="9"/>
      <c r="S176" s="9"/>
      <c r="T176" s="9"/>
      <c r="U176" s="9"/>
      <c r="V176" s="9"/>
      <c r="W176" s="9"/>
    </row>
    <row r="177" ht="15.75" customHeight="1">
      <c r="A177" s="9"/>
      <c r="B177" s="9"/>
      <c r="C177" s="422"/>
      <c r="D177" s="9"/>
      <c r="E177" s="9"/>
      <c r="F177" s="9"/>
      <c r="G177" s="9"/>
      <c r="H177" s="9"/>
      <c r="I177" s="9"/>
      <c r="J177" s="9"/>
      <c r="K177" s="9"/>
      <c r="L177" s="9"/>
      <c r="M177" s="9"/>
      <c r="N177" s="9"/>
      <c r="O177" s="9"/>
      <c r="P177" s="9"/>
      <c r="Q177" s="9"/>
      <c r="R177" s="9"/>
      <c r="S177" s="9"/>
      <c r="T177" s="9"/>
      <c r="U177" s="9"/>
      <c r="V177" s="9"/>
      <c r="W177" s="9"/>
    </row>
    <row r="178" ht="15.75" customHeight="1">
      <c r="A178" s="9"/>
      <c r="B178" s="9"/>
      <c r="C178" s="422"/>
      <c r="D178" s="9"/>
      <c r="E178" s="9"/>
      <c r="F178" s="9"/>
      <c r="G178" s="9"/>
      <c r="H178" s="9"/>
      <c r="I178" s="9"/>
      <c r="J178" s="9"/>
      <c r="K178" s="9"/>
      <c r="L178" s="9"/>
      <c r="M178" s="9"/>
      <c r="N178" s="9"/>
      <c r="O178" s="9"/>
      <c r="P178" s="9"/>
      <c r="Q178" s="9"/>
      <c r="R178" s="9"/>
      <c r="S178" s="9"/>
      <c r="T178" s="9"/>
      <c r="U178" s="9"/>
      <c r="V178" s="9"/>
      <c r="W178" s="9"/>
    </row>
    <row r="179" ht="15.75" customHeight="1">
      <c r="A179" s="9"/>
      <c r="B179" s="9"/>
      <c r="C179" s="422"/>
      <c r="D179" s="9"/>
      <c r="E179" s="9"/>
      <c r="F179" s="9"/>
      <c r="G179" s="9"/>
      <c r="H179" s="9"/>
      <c r="I179" s="9"/>
      <c r="J179" s="9"/>
      <c r="K179" s="9"/>
      <c r="L179" s="9"/>
      <c r="M179" s="9"/>
      <c r="N179" s="9"/>
      <c r="O179" s="9"/>
      <c r="P179" s="9"/>
      <c r="Q179" s="9"/>
      <c r="R179" s="9"/>
      <c r="S179" s="9"/>
      <c r="T179" s="9"/>
      <c r="U179" s="9"/>
      <c r="V179" s="9"/>
      <c r="W179" s="9"/>
    </row>
    <row r="180" ht="15.75" customHeight="1">
      <c r="A180" s="9"/>
      <c r="B180" s="9"/>
      <c r="C180" s="422"/>
      <c r="D180" s="9"/>
      <c r="E180" s="9"/>
      <c r="F180" s="9"/>
      <c r="G180" s="9"/>
      <c r="H180" s="9"/>
      <c r="I180" s="9"/>
      <c r="J180" s="9"/>
      <c r="K180" s="9"/>
      <c r="L180" s="9"/>
      <c r="M180" s="9"/>
      <c r="N180" s="9"/>
      <c r="O180" s="9"/>
      <c r="P180" s="9"/>
      <c r="Q180" s="9"/>
      <c r="R180" s="9"/>
      <c r="S180" s="9"/>
      <c r="T180" s="9"/>
      <c r="U180" s="9"/>
      <c r="V180" s="9"/>
      <c r="W180" s="9"/>
    </row>
    <row r="181" ht="15.75" customHeight="1">
      <c r="A181" s="9"/>
      <c r="B181" s="9"/>
      <c r="C181" s="422"/>
      <c r="D181" s="9"/>
      <c r="E181" s="9"/>
      <c r="F181" s="9"/>
      <c r="G181" s="9"/>
      <c r="H181" s="9"/>
      <c r="I181" s="9"/>
      <c r="J181" s="9"/>
      <c r="K181" s="9"/>
      <c r="L181" s="9"/>
      <c r="M181" s="9"/>
      <c r="N181" s="9"/>
      <c r="O181" s="9"/>
      <c r="P181" s="9"/>
      <c r="Q181" s="9"/>
      <c r="R181" s="9"/>
      <c r="S181" s="9"/>
      <c r="T181" s="9"/>
      <c r="U181" s="9"/>
      <c r="V181" s="9"/>
      <c r="W181" s="9"/>
    </row>
    <row r="182" ht="15.75" customHeight="1">
      <c r="A182" s="9"/>
      <c r="B182" s="9"/>
      <c r="C182" s="422"/>
      <c r="D182" s="9"/>
      <c r="E182" s="9"/>
      <c r="F182" s="9"/>
      <c r="G182" s="9"/>
      <c r="H182" s="9"/>
      <c r="I182" s="9"/>
      <c r="J182" s="9"/>
      <c r="K182" s="9"/>
      <c r="L182" s="9"/>
      <c r="M182" s="9"/>
      <c r="N182" s="9"/>
      <c r="O182" s="9"/>
      <c r="P182" s="9"/>
      <c r="Q182" s="9"/>
      <c r="R182" s="9"/>
      <c r="S182" s="9"/>
      <c r="T182" s="9"/>
      <c r="U182" s="9"/>
      <c r="V182" s="9"/>
      <c r="W182" s="9"/>
    </row>
    <row r="183" ht="15.75" customHeight="1">
      <c r="A183" s="9"/>
      <c r="B183" s="9"/>
      <c r="C183" s="422"/>
      <c r="D183" s="9"/>
      <c r="E183" s="9"/>
      <c r="F183" s="9"/>
      <c r="G183" s="9"/>
      <c r="H183" s="9"/>
      <c r="I183" s="9"/>
      <c r="J183" s="9"/>
      <c r="K183" s="9"/>
      <c r="L183" s="9"/>
      <c r="M183" s="9"/>
      <c r="N183" s="9"/>
      <c r="O183" s="9"/>
      <c r="P183" s="9"/>
      <c r="Q183" s="9"/>
      <c r="R183" s="9"/>
      <c r="S183" s="9"/>
      <c r="T183" s="9"/>
      <c r="U183" s="9"/>
      <c r="V183" s="9"/>
      <c r="W183" s="9"/>
    </row>
    <row r="184" ht="15.75" customHeight="1">
      <c r="A184" s="9"/>
      <c r="B184" s="9"/>
      <c r="C184" s="422"/>
      <c r="D184" s="9"/>
      <c r="E184" s="9"/>
      <c r="F184" s="9"/>
      <c r="G184" s="9"/>
      <c r="H184" s="9"/>
      <c r="I184" s="9"/>
      <c r="J184" s="9"/>
      <c r="K184" s="9"/>
      <c r="L184" s="9"/>
      <c r="M184" s="9"/>
      <c r="N184" s="9"/>
      <c r="O184" s="9"/>
      <c r="P184" s="9"/>
      <c r="Q184" s="9"/>
      <c r="R184" s="9"/>
      <c r="S184" s="9"/>
      <c r="T184" s="9"/>
      <c r="U184" s="9"/>
      <c r="V184" s="9"/>
      <c r="W184" s="9"/>
    </row>
    <row r="185" ht="15.75" customHeight="1">
      <c r="A185" s="9"/>
      <c r="B185" s="9"/>
      <c r="C185" s="422"/>
      <c r="D185" s="9"/>
      <c r="E185" s="9"/>
      <c r="F185" s="9"/>
      <c r="G185" s="9"/>
      <c r="H185" s="9"/>
      <c r="I185" s="9"/>
      <c r="J185" s="9"/>
      <c r="K185" s="9"/>
      <c r="L185" s="9"/>
      <c r="M185" s="9"/>
      <c r="N185" s="9"/>
      <c r="O185" s="9"/>
      <c r="P185" s="9"/>
      <c r="Q185" s="9"/>
      <c r="R185" s="9"/>
      <c r="S185" s="9"/>
      <c r="T185" s="9"/>
      <c r="U185" s="9"/>
      <c r="V185" s="9"/>
      <c r="W185" s="9"/>
    </row>
    <row r="186" ht="15.75" customHeight="1">
      <c r="A186" s="9"/>
      <c r="B186" s="9"/>
      <c r="C186" s="422"/>
      <c r="D186" s="9"/>
      <c r="E186" s="9"/>
      <c r="F186" s="9"/>
      <c r="G186" s="9"/>
      <c r="H186" s="9"/>
      <c r="I186" s="9"/>
      <c r="J186" s="9"/>
      <c r="K186" s="9"/>
      <c r="L186" s="9"/>
      <c r="M186" s="9"/>
      <c r="N186" s="9"/>
      <c r="O186" s="9"/>
      <c r="P186" s="9"/>
      <c r="Q186" s="9"/>
      <c r="R186" s="9"/>
      <c r="S186" s="9"/>
      <c r="T186" s="9"/>
      <c r="U186" s="9"/>
      <c r="V186" s="9"/>
      <c r="W186" s="9"/>
    </row>
    <row r="187" ht="15.75" customHeight="1">
      <c r="A187" s="9"/>
      <c r="B187" s="9"/>
      <c r="C187" s="422"/>
      <c r="D187" s="9"/>
      <c r="E187" s="9"/>
      <c r="F187" s="9"/>
      <c r="G187" s="9"/>
      <c r="H187" s="9"/>
      <c r="I187" s="9"/>
      <c r="J187" s="9"/>
      <c r="K187" s="9"/>
      <c r="L187" s="9"/>
      <c r="M187" s="9"/>
      <c r="N187" s="9"/>
      <c r="O187" s="9"/>
      <c r="P187" s="9"/>
      <c r="Q187" s="9"/>
      <c r="R187" s="9"/>
      <c r="S187" s="9"/>
      <c r="T187" s="9"/>
      <c r="U187" s="9"/>
      <c r="V187" s="9"/>
      <c r="W187" s="9"/>
    </row>
    <row r="188" ht="15.75" customHeight="1">
      <c r="A188" s="9"/>
      <c r="B188" s="9"/>
      <c r="C188" s="422"/>
      <c r="D188" s="9"/>
      <c r="E188" s="9"/>
      <c r="F188" s="9"/>
      <c r="G188" s="9"/>
      <c r="H188" s="9"/>
      <c r="I188" s="9"/>
      <c r="J188" s="9"/>
      <c r="K188" s="9"/>
      <c r="L188" s="9"/>
      <c r="M188" s="9"/>
      <c r="N188" s="9"/>
      <c r="O188" s="9"/>
      <c r="P188" s="9"/>
      <c r="Q188" s="9"/>
      <c r="R188" s="9"/>
      <c r="S188" s="9"/>
      <c r="T188" s="9"/>
      <c r="U188" s="9"/>
      <c r="V188" s="9"/>
      <c r="W188" s="9"/>
    </row>
    <row r="189" ht="15.75" customHeight="1">
      <c r="A189" s="9"/>
      <c r="B189" s="9"/>
      <c r="C189" s="422"/>
      <c r="D189" s="9"/>
      <c r="E189" s="9"/>
      <c r="F189" s="9"/>
      <c r="G189" s="9"/>
      <c r="H189" s="9"/>
      <c r="I189" s="9"/>
      <c r="J189" s="9"/>
      <c r="K189" s="9"/>
      <c r="L189" s="9"/>
      <c r="M189" s="9"/>
      <c r="N189" s="9"/>
      <c r="O189" s="9"/>
      <c r="P189" s="9"/>
      <c r="Q189" s="9"/>
      <c r="R189" s="9"/>
      <c r="S189" s="9"/>
      <c r="T189" s="9"/>
      <c r="U189" s="9"/>
      <c r="V189" s="9"/>
      <c r="W189" s="9"/>
    </row>
    <row r="190" ht="15.75" customHeight="1">
      <c r="A190" s="9"/>
      <c r="B190" s="9"/>
      <c r="C190" s="422"/>
      <c r="D190" s="9"/>
      <c r="E190" s="9"/>
      <c r="F190" s="9"/>
      <c r="G190" s="9"/>
      <c r="H190" s="9"/>
      <c r="I190" s="9"/>
      <c r="J190" s="9"/>
      <c r="K190" s="9"/>
      <c r="L190" s="9"/>
      <c r="M190" s="9"/>
      <c r="N190" s="9"/>
      <c r="O190" s="9"/>
      <c r="P190" s="9"/>
      <c r="Q190" s="9"/>
      <c r="R190" s="9"/>
      <c r="S190" s="9"/>
      <c r="T190" s="9"/>
      <c r="U190" s="9"/>
      <c r="V190" s="9"/>
      <c r="W190" s="9"/>
    </row>
    <row r="191" ht="15.75" customHeight="1">
      <c r="A191" s="9"/>
      <c r="B191" s="9"/>
      <c r="C191" s="422"/>
      <c r="D191" s="9"/>
      <c r="E191" s="9"/>
      <c r="F191" s="9"/>
      <c r="G191" s="9"/>
      <c r="H191" s="9"/>
      <c r="I191" s="9"/>
      <c r="J191" s="9"/>
      <c r="K191" s="9"/>
      <c r="L191" s="9"/>
      <c r="M191" s="9"/>
      <c r="N191" s="9"/>
      <c r="O191" s="9"/>
      <c r="P191" s="9"/>
      <c r="Q191" s="9"/>
      <c r="R191" s="9"/>
      <c r="S191" s="9"/>
      <c r="T191" s="9"/>
      <c r="U191" s="9"/>
      <c r="V191" s="9"/>
      <c r="W191" s="9"/>
    </row>
    <row r="192" ht="15.75" customHeight="1">
      <c r="A192" s="9"/>
      <c r="B192" s="9"/>
      <c r="C192" s="422"/>
      <c r="D192" s="9"/>
      <c r="E192" s="9"/>
      <c r="F192" s="9"/>
      <c r="G192" s="9"/>
      <c r="H192" s="9"/>
      <c r="I192" s="9"/>
      <c r="J192" s="9"/>
      <c r="K192" s="9"/>
      <c r="L192" s="9"/>
      <c r="M192" s="9"/>
      <c r="N192" s="9"/>
      <c r="O192" s="9"/>
      <c r="P192" s="9"/>
      <c r="Q192" s="9"/>
      <c r="R192" s="9"/>
      <c r="S192" s="9"/>
      <c r="T192" s="9"/>
      <c r="U192" s="9"/>
      <c r="V192" s="9"/>
      <c r="W192" s="9"/>
    </row>
    <row r="193" ht="15.75" customHeight="1">
      <c r="A193" s="9"/>
      <c r="B193" s="9"/>
      <c r="C193" s="422"/>
      <c r="D193" s="9"/>
      <c r="E193" s="9"/>
      <c r="F193" s="9"/>
      <c r="G193" s="9"/>
      <c r="H193" s="9"/>
      <c r="I193" s="9"/>
      <c r="J193" s="9"/>
      <c r="K193" s="9"/>
      <c r="L193" s="9"/>
      <c r="M193" s="9"/>
      <c r="N193" s="9"/>
      <c r="O193" s="9"/>
      <c r="P193" s="9"/>
      <c r="Q193" s="9"/>
      <c r="R193" s="9"/>
      <c r="S193" s="9"/>
      <c r="T193" s="9"/>
      <c r="U193" s="9"/>
      <c r="V193" s="9"/>
      <c r="W193" s="9"/>
    </row>
    <row r="194" ht="15.75" customHeight="1">
      <c r="A194" s="9"/>
      <c r="B194" s="9"/>
      <c r="C194" s="422"/>
      <c r="D194" s="9"/>
      <c r="E194" s="9"/>
      <c r="F194" s="9"/>
      <c r="G194" s="9"/>
      <c r="H194" s="9"/>
      <c r="I194" s="9"/>
      <c r="J194" s="9"/>
      <c r="K194" s="9"/>
      <c r="L194" s="9"/>
      <c r="M194" s="9"/>
      <c r="N194" s="9"/>
      <c r="O194" s="9"/>
      <c r="P194" s="9"/>
      <c r="Q194" s="9"/>
      <c r="R194" s="9"/>
      <c r="S194" s="9"/>
      <c r="T194" s="9"/>
      <c r="U194" s="9"/>
      <c r="V194" s="9"/>
      <c r="W194" s="9"/>
    </row>
    <row r="195" ht="15.75" customHeight="1">
      <c r="A195" s="9"/>
      <c r="B195" s="9"/>
      <c r="C195" s="422"/>
      <c r="D195" s="9"/>
      <c r="E195" s="9"/>
      <c r="F195" s="9"/>
      <c r="G195" s="9"/>
      <c r="H195" s="9"/>
      <c r="I195" s="9"/>
      <c r="J195" s="9"/>
      <c r="K195" s="9"/>
      <c r="L195" s="9"/>
      <c r="M195" s="9"/>
      <c r="N195" s="9"/>
      <c r="O195" s="9"/>
      <c r="P195" s="9"/>
      <c r="Q195" s="9"/>
      <c r="R195" s="9"/>
      <c r="S195" s="9"/>
      <c r="T195" s="9"/>
      <c r="U195" s="9"/>
      <c r="V195" s="9"/>
      <c r="W195" s="9"/>
    </row>
    <row r="196" ht="15.75" customHeight="1">
      <c r="A196" s="9"/>
      <c r="B196" s="9"/>
      <c r="C196" s="422"/>
      <c r="D196" s="9"/>
      <c r="E196" s="9"/>
      <c r="F196" s="9"/>
      <c r="G196" s="9"/>
      <c r="H196" s="9"/>
      <c r="I196" s="9"/>
      <c r="J196" s="9"/>
      <c r="K196" s="9"/>
      <c r="L196" s="9"/>
      <c r="M196" s="9"/>
      <c r="N196" s="9"/>
      <c r="O196" s="9"/>
      <c r="P196" s="9"/>
      <c r="Q196" s="9"/>
      <c r="R196" s="9"/>
      <c r="S196" s="9"/>
      <c r="T196" s="9"/>
      <c r="U196" s="9"/>
      <c r="V196" s="9"/>
      <c r="W196" s="9"/>
    </row>
    <row r="197" ht="15.75" customHeight="1">
      <c r="A197" s="9"/>
      <c r="B197" s="9"/>
      <c r="C197" s="422"/>
      <c r="D197" s="9"/>
      <c r="E197" s="9"/>
      <c r="F197" s="9"/>
      <c r="G197" s="9"/>
      <c r="H197" s="9"/>
      <c r="I197" s="9"/>
      <c r="J197" s="9"/>
      <c r="K197" s="9"/>
      <c r="L197" s="9"/>
      <c r="M197" s="9"/>
      <c r="N197" s="9"/>
      <c r="O197" s="9"/>
      <c r="P197" s="9"/>
      <c r="Q197" s="9"/>
      <c r="R197" s="9"/>
      <c r="S197" s="9"/>
      <c r="T197" s="9"/>
      <c r="U197" s="9"/>
      <c r="V197" s="9"/>
      <c r="W197" s="9"/>
    </row>
    <row r="198" ht="15.75" customHeight="1">
      <c r="A198" s="9"/>
      <c r="B198" s="9"/>
      <c r="C198" s="422"/>
      <c r="D198" s="9"/>
      <c r="E198" s="9"/>
      <c r="F198" s="9"/>
      <c r="G198" s="9"/>
      <c r="H198" s="9"/>
      <c r="I198" s="9"/>
      <c r="J198" s="9"/>
      <c r="K198" s="9"/>
      <c r="L198" s="9"/>
      <c r="M198" s="9"/>
      <c r="N198" s="9"/>
      <c r="O198" s="9"/>
      <c r="P198" s="9"/>
      <c r="Q198" s="9"/>
      <c r="R198" s="9"/>
      <c r="S198" s="9"/>
      <c r="T198" s="9"/>
      <c r="U198" s="9"/>
      <c r="V198" s="9"/>
      <c r="W198" s="9"/>
    </row>
    <row r="199" ht="15.75" customHeight="1">
      <c r="A199" s="9"/>
      <c r="B199" s="9"/>
      <c r="C199" s="422"/>
      <c r="D199" s="9"/>
      <c r="E199" s="9"/>
      <c r="F199" s="9"/>
      <c r="G199" s="9"/>
      <c r="H199" s="9"/>
      <c r="I199" s="9"/>
      <c r="J199" s="9"/>
      <c r="K199" s="9"/>
      <c r="L199" s="9"/>
      <c r="M199" s="9"/>
      <c r="N199" s="9"/>
      <c r="O199" s="9"/>
      <c r="P199" s="9"/>
      <c r="Q199" s="9"/>
      <c r="R199" s="9"/>
      <c r="S199" s="9"/>
      <c r="T199" s="9"/>
      <c r="U199" s="9"/>
      <c r="V199" s="9"/>
      <c r="W199" s="9"/>
    </row>
    <row r="200" ht="15.75" customHeight="1">
      <c r="A200" s="9"/>
      <c r="B200" s="9"/>
      <c r="C200" s="422"/>
      <c r="D200" s="9"/>
      <c r="E200" s="9"/>
      <c r="F200" s="9"/>
      <c r="G200" s="9"/>
      <c r="H200" s="9"/>
      <c r="I200" s="9"/>
      <c r="J200" s="9"/>
      <c r="K200" s="9"/>
      <c r="L200" s="9"/>
      <c r="M200" s="9"/>
      <c r="N200" s="9"/>
      <c r="O200" s="9"/>
      <c r="P200" s="9"/>
      <c r="Q200" s="9"/>
      <c r="R200" s="9"/>
      <c r="S200" s="9"/>
      <c r="T200" s="9"/>
      <c r="U200" s="9"/>
      <c r="V200" s="9"/>
      <c r="W200" s="9"/>
    </row>
    <row r="201" ht="15.75" customHeight="1">
      <c r="A201" s="9"/>
      <c r="B201" s="9"/>
      <c r="C201" s="422"/>
      <c r="D201" s="9"/>
      <c r="E201" s="9"/>
      <c r="F201" s="9"/>
      <c r="G201" s="9"/>
      <c r="H201" s="9"/>
      <c r="I201" s="9"/>
      <c r="J201" s="9"/>
      <c r="K201" s="9"/>
      <c r="L201" s="9"/>
      <c r="M201" s="9"/>
      <c r="N201" s="9"/>
      <c r="O201" s="9"/>
      <c r="P201" s="9"/>
      <c r="Q201" s="9"/>
      <c r="R201" s="9"/>
      <c r="S201" s="9"/>
      <c r="T201" s="9"/>
      <c r="U201" s="9"/>
      <c r="V201" s="9"/>
      <c r="W201" s="9"/>
    </row>
    <row r="202" ht="15.75" customHeight="1">
      <c r="A202" s="9"/>
      <c r="B202" s="9"/>
      <c r="C202" s="422"/>
      <c r="D202" s="9"/>
      <c r="E202" s="9"/>
      <c r="F202" s="9"/>
      <c r="G202" s="9"/>
      <c r="H202" s="9"/>
      <c r="I202" s="9"/>
      <c r="J202" s="9"/>
      <c r="K202" s="9"/>
      <c r="L202" s="9"/>
      <c r="M202" s="9"/>
      <c r="N202" s="9"/>
      <c r="O202" s="9"/>
      <c r="P202" s="9"/>
      <c r="Q202" s="9"/>
      <c r="R202" s="9"/>
      <c r="S202" s="9"/>
      <c r="T202" s="9"/>
      <c r="U202" s="9"/>
      <c r="V202" s="9"/>
      <c r="W202" s="9"/>
    </row>
    <row r="203" ht="15.75" customHeight="1">
      <c r="A203" s="9"/>
      <c r="B203" s="9"/>
      <c r="C203" s="422"/>
      <c r="D203" s="9"/>
      <c r="E203" s="9"/>
      <c r="F203" s="9"/>
      <c r="G203" s="9"/>
      <c r="H203" s="9"/>
      <c r="I203" s="9"/>
      <c r="J203" s="9"/>
      <c r="K203" s="9"/>
      <c r="L203" s="9"/>
      <c r="M203" s="9"/>
      <c r="N203" s="9"/>
      <c r="O203" s="9"/>
      <c r="P203" s="9"/>
      <c r="Q203" s="9"/>
      <c r="R203" s="9"/>
      <c r="S203" s="9"/>
      <c r="T203" s="9"/>
      <c r="U203" s="9"/>
      <c r="V203" s="9"/>
      <c r="W203" s="9"/>
    </row>
    <row r="204" ht="15.75" customHeight="1">
      <c r="A204" s="9"/>
      <c r="B204" s="9"/>
      <c r="C204" s="422"/>
      <c r="D204" s="9"/>
      <c r="E204" s="9"/>
      <c r="F204" s="9"/>
      <c r="G204" s="9"/>
      <c r="H204" s="9"/>
      <c r="I204" s="9"/>
      <c r="J204" s="9"/>
      <c r="K204" s="9"/>
      <c r="L204" s="9"/>
      <c r="M204" s="9"/>
      <c r="N204" s="9"/>
      <c r="O204" s="9"/>
      <c r="P204" s="9"/>
      <c r="Q204" s="9"/>
      <c r="R204" s="9"/>
      <c r="S204" s="9"/>
      <c r="T204" s="9"/>
      <c r="U204" s="9"/>
      <c r="V204" s="9"/>
      <c r="W204" s="9"/>
    </row>
    <row r="205" ht="15.75" customHeight="1">
      <c r="A205" s="9"/>
      <c r="B205" s="9"/>
      <c r="C205" s="422"/>
      <c r="D205" s="9"/>
      <c r="E205" s="9"/>
      <c r="F205" s="9"/>
      <c r="G205" s="9"/>
      <c r="H205" s="9"/>
      <c r="I205" s="9"/>
      <c r="J205" s="9"/>
      <c r="K205" s="9"/>
      <c r="L205" s="9"/>
      <c r="M205" s="9"/>
      <c r="N205" s="9"/>
      <c r="O205" s="9"/>
      <c r="P205" s="9"/>
      <c r="Q205" s="9"/>
      <c r="R205" s="9"/>
      <c r="S205" s="9"/>
      <c r="T205" s="9"/>
      <c r="U205" s="9"/>
      <c r="V205" s="9"/>
      <c r="W205" s="9"/>
    </row>
    <row r="206" ht="15.75" customHeight="1">
      <c r="A206" s="9"/>
      <c r="B206" s="9"/>
      <c r="C206" s="422"/>
      <c r="D206" s="9"/>
      <c r="E206" s="9"/>
      <c r="F206" s="9"/>
      <c r="G206" s="9"/>
      <c r="H206" s="9"/>
      <c r="I206" s="9"/>
      <c r="J206" s="9"/>
      <c r="K206" s="9"/>
      <c r="L206" s="9"/>
      <c r="M206" s="9"/>
      <c r="N206" s="9"/>
      <c r="O206" s="9"/>
      <c r="P206" s="9"/>
      <c r="Q206" s="9"/>
      <c r="R206" s="9"/>
      <c r="S206" s="9"/>
      <c r="T206" s="9"/>
      <c r="U206" s="9"/>
      <c r="V206" s="9"/>
      <c r="W206" s="9"/>
    </row>
    <row r="207" ht="15.75" customHeight="1">
      <c r="A207" s="9"/>
      <c r="B207" s="9"/>
      <c r="C207" s="422"/>
      <c r="D207" s="9"/>
      <c r="E207" s="9"/>
      <c r="F207" s="9"/>
      <c r="G207" s="9"/>
      <c r="H207" s="9"/>
      <c r="I207" s="9"/>
      <c r="J207" s="9"/>
      <c r="K207" s="9"/>
      <c r="L207" s="9"/>
      <c r="M207" s="9"/>
      <c r="N207" s="9"/>
      <c r="O207" s="9"/>
      <c r="P207" s="9"/>
      <c r="Q207" s="9"/>
      <c r="R207" s="9"/>
      <c r="S207" s="9"/>
      <c r="T207" s="9"/>
      <c r="U207" s="9"/>
      <c r="V207" s="9"/>
      <c r="W207" s="9"/>
    </row>
    <row r="208" ht="15.75" customHeight="1">
      <c r="A208" s="9"/>
      <c r="B208" s="9"/>
      <c r="C208" s="422"/>
      <c r="D208" s="9"/>
      <c r="E208" s="9"/>
      <c r="F208" s="9"/>
      <c r="G208" s="9"/>
      <c r="H208" s="9"/>
      <c r="I208" s="9"/>
      <c r="J208" s="9"/>
      <c r="K208" s="9"/>
      <c r="L208" s="9"/>
      <c r="M208" s="9"/>
      <c r="N208" s="9"/>
      <c r="O208" s="9"/>
      <c r="P208" s="9"/>
      <c r="Q208" s="9"/>
      <c r="R208" s="9"/>
      <c r="S208" s="9"/>
      <c r="T208" s="9"/>
      <c r="U208" s="9"/>
      <c r="V208" s="9"/>
      <c r="W208" s="9"/>
    </row>
    <row r="209" ht="15.75" customHeight="1">
      <c r="A209" s="9"/>
      <c r="B209" s="9"/>
      <c r="C209" s="422"/>
      <c r="D209" s="9"/>
      <c r="E209" s="9"/>
      <c r="F209" s="9"/>
      <c r="G209" s="9"/>
      <c r="H209" s="9"/>
      <c r="I209" s="9"/>
      <c r="J209" s="9"/>
      <c r="K209" s="9"/>
      <c r="L209" s="9"/>
      <c r="M209" s="9"/>
      <c r="N209" s="9"/>
      <c r="O209" s="9"/>
      <c r="P209" s="9"/>
      <c r="Q209" s="9"/>
      <c r="R209" s="9"/>
      <c r="S209" s="9"/>
      <c r="T209" s="9"/>
      <c r="U209" s="9"/>
      <c r="V209" s="9"/>
      <c r="W209" s="9"/>
    </row>
    <row r="210" ht="15.75" customHeight="1">
      <c r="A210" s="9"/>
      <c r="B210" s="9"/>
      <c r="C210" s="422"/>
      <c r="D210" s="9"/>
      <c r="E210" s="9"/>
      <c r="F210" s="9"/>
      <c r="G210" s="9"/>
      <c r="H210" s="9"/>
      <c r="I210" s="9"/>
      <c r="J210" s="9"/>
      <c r="K210" s="9"/>
      <c r="L210" s="9"/>
      <c r="M210" s="9"/>
      <c r="N210" s="9"/>
      <c r="O210" s="9"/>
      <c r="P210" s="9"/>
      <c r="Q210" s="9"/>
      <c r="R210" s="9"/>
      <c r="S210" s="9"/>
      <c r="T210" s="9"/>
      <c r="U210" s="9"/>
      <c r="V210" s="9"/>
      <c r="W210" s="9"/>
    </row>
    <row r="211" ht="15.75" customHeight="1">
      <c r="A211" s="9"/>
      <c r="B211" s="9"/>
      <c r="C211" s="422"/>
      <c r="D211" s="9"/>
      <c r="E211" s="9"/>
      <c r="F211" s="9"/>
      <c r="G211" s="9"/>
      <c r="H211" s="9"/>
      <c r="I211" s="9"/>
      <c r="J211" s="9"/>
      <c r="K211" s="9"/>
      <c r="L211" s="9"/>
      <c r="M211" s="9"/>
      <c r="N211" s="9"/>
      <c r="O211" s="9"/>
      <c r="P211" s="9"/>
      <c r="Q211" s="9"/>
      <c r="R211" s="9"/>
      <c r="S211" s="9"/>
      <c r="T211" s="9"/>
      <c r="U211" s="9"/>
      <c r="V211" s="9"/>
      <c r="W211" s="9"/>
    </row>
    <row r="212" ht="15.75" customHeight="1">
      <c r="A212" s="9"/>
      <c r="B212" s="9"/>
      <c r="C212" s="422"/>
      <c r="D212" s="9"/>
      <c r="E212" s="9"/>
      <c r="F212" s="9"/>
      <c r="G212" s="9"/>
      <c r="H212" s="9"/>
      <c r="I212" s="9"/>
      <c r="J212" s="9"/>
      <c r="K212" s="9"/>
      <c r="L212" s="9"/>
      <c r="M212" s="9"/>
      <c r="N212" s="9"/>
      <c r="O212" s="9"/>
      <c r="P212" s="9"/>
      <c r="Q212" s="9"/>
      <c r="R212" s="9"/>
      <c r="S212" s="9"/>
      <c r="T212" s="9"/>
      <c r="U212" s="9"/>
      <c r="V212" s="9"/>
      <c r="W212" s="9"/>
    </row>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mergeCells count="3">
    <mergeCell ref="B9:B10"/>
    <mergeCell ref="D17:F17"/>
    <mergeCell ref="G17:H17"/>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9DAF8"/>
    <outlinePr summaryBelow="0" summaryRight="0"/>
  </sheetPr>
  <sheetViews>
    <sheetView workbookViewId="0"/>
  </sheetViews>
  <sheetFormatPr customHeight="1" defaultColWidth="12.63" defaultRowHeight="15.0"/>
  <cols>
    <col customWidth="1" min="1" max="1" width="18.25"/>
    <col customWidth="1" min="2" max="3" width="12.63"/>
    <col customWidth="1" min="4" max="4" width="4.25"/>
    <col customWidth="1" min="5" max="5" width="18.63"/>
    <col customWidth="1" min="14" max="14" width="16.63"/>
    <col customWidth="1" min="15" max="15" width="18.38"/>
    <col customWidth="1" min="16" max="16" width="12.25"/>
    <col customWidth="1" min="17" max="17" width="14.13"/>
    <col customWidth="1" min="18" max="18" width="13.88"/>
  </cols>
  <sheetData>
    <row r="1">
      <c r="A1" s="538" t="s">
        <v>2777</v>
      </c>
      <c r="B1" s="539" t="s">
        <v>2778</v>
      </c>
      <c r="C1" s="540" t="s">
        <v>2779</v>
      </c>
      <c r="F1" s="65" t="s">
        <v>2780</v>
      </c>
      <c r="G1" s="65" t="s">
        <v>2781</v>
      </c>
      <c r="H1" s="65" t="b">
        <v>1</v>
      </c>
      <c r="I1" s="65" t="s">
        <v>2782</v>
      </c>
      <c r="J1" s="65" t="s">
        <v>2783</v>
      </c>
      <c r="K1" s="65" t="s">
        <v>2784</v>
      </c>
      <c r="L1" s="65" t="s">
        <v>2785</v>
      </c>
      <c r="M1" s="65" t="s">
        <v>2786</v>
      </c>
      <c r="N1" s="240" t="s">
        <v>2787</v>
      </c>
      <c r="O1" s="149" t="s">
        <v>2788</v>
      </c>
      <c r="P1" s="240" t="s">
        <v>2789</v>
      </c>
      <c r="Q1" s="240" t="s">
        <v>2790</v>
      </c>
      <c r="R1" s="240" t="s">
        <v>2791</v>
      </c>
      <c r="S1" s="240" t="s">
        <v>1429</v>
      </c>
      <c r="T1" s="240"/>
    </row>
    <row r="2">
      <c r="A2" s="541" t="s">
        <v>1663</v>
      </c>
      <c r="B2" s="258">
        <f>(0+1+1+1+2+3)/6</f>
        <v>1.333333333</v>
      </c>
      <c r="C2" s="209">
        <v>0.0</v>
      </c>
      <c r="F2" s="75" t="str">
        <f>IFERROR(__xludf.DUMMYFUNCTION("
FILTER(Classes!$B:$B,(Classes!$A:$A='Main Page'!C5))"),"Runemaster")</f>
        <v>Runemaster</v>
      </c>
      <c r="G2" s="75" t="str">
        <f>IFERROR(__xludf.DUMMYFUNCTION("IFERROR(
FILTER(
Classes!$B:$B,
Classes!$A:$A = 'Main Page'!G4,
Classes!$B:$B &lt;&gt; ""Steelcaster"",
Classes!$B:$B &lt;&gt; ""Avenger"",
Classes!$B:$B &lt;&gt; ""Raider"",
Classes!$B:$B &lt;&gt; ""Battlemage"",
Classes!$B:$B &lt;&gt; ""Ravager"",
Classes!$B:$B &lt;&gt; ""Crusader"",
C"&amp;"lasses!$B:$B &lt;&gt; ""Trickster"",
Classes!$B:$B &lt;&gt; ""Heretic"",
Classes!$B:$B &lt;&gt; ""Truthseer"",
Classes!$B:$B &lt;&gt; ""Watchman"",
Classes!$B:$B &lt;&gt; ""Lorekeeper"",
Classes!$B:$B &lt;&gt; ""Monk""
),
"""")"),"")</f>
        <v/>
      </c>
      <c r="H2" s="75" t="str">
        <f>IFERROR(__xludf.DUMMYFUNCTION("
FILTER(Classes!$B:$B,(Classes!$A:$A='Main Page'!J5))"),"Knight")</f>
        <v>Knight</v>
      </c>
      <c r="I2" s="75" t="str">
        <f>IFERROR(__xludf.DUMMYFUNCTION("IFERROR(
FILTER(
Classes!$B:$B,
Classes!$A:$A = 'Main Page'!N4,
Classes!$B:$B &lt;&gt; ""Steelcaster"",
Classes!$B:$B &lt;&gt; ""Avenger"",
Classes!$B:$B &lt;&gt; ""Raider"",
Classes!$B:$B &lt;&gt; ""Battlemage"",
Classes!$B:$B &lt;&gt; ""Ravager"",
Classes!$B:$B &lt;&gt; ""Crusader"",
C"&amp;"lasses!$B:$B &lt;&gt; ""Trickster"",
Classes!$B:$B &lt;&gt; ""Heretic"",
Classes!$B:$B &lt;&gt; ""Truthseer"",
Classes!$B:$B &lt;&gt; ""Watchman"",
Classes!$B:$B &lt;&gt; ""Lorekeeper"",
Classes!$B:$B &lt;&gt; ""Monk""
),
"""")"),"")</f>
        <v/>
      </c>
      <c r="J2" s="75" t="str">
        <f>IFERROR(__xludf.DUMMYFUNCTION("
FILTER(Classes!$B:$B,(Classes!$A:$A='Main Page'!$C$27))"),"Thief")</f>
        <v>Thief</v>
      </c>
      <c r="K2" s="75" t="str">
        <f>IFERROR(__xludf.DUMMYFUNCTION("IFERROR(
FILTER(
Classes!$B:$B,
Classes!$A:$A = 'Main Page'!G26,
Classes!$B:$B &lt;&gt; ""Steelcaster"",
Classes!$B:$B &lt;&gt; ""Avenger"",
Classes!$B:$B &lt;&gt; ""Raider"",
Classes!$B:$B &lt;&gt; ""Battlemage"",
Classes!$B:$B &lt;&gt; ""Ravager"",
Classes!$B:$B &lt;&gt; ""Crusader"",
"&amp;"Classes!$B:$B &lt;&gt; ""Trickster"",
Classes!$B:$B &lt;&gt; ""Heretic"",
Classes!$B:$B &lt;&gt; ""Truthseer"",
Classes!$B:$B &lt;&gt; ""Watchman"",
Classes!$B:$B &lt;&gt; ""Lorekeeper"",
Classes!$B:$B &lt;&gt; ""Monk""
),
"""")"),"")</f>
        <v/>
      </c>
      <c r="L2" s="75" t="str">
        <f>IFERROR(__xludf.DUMMYFUNCTION("
FILTER(Classes!$B:$B,(Classes!$A:$A='Main Page'!$J$27))"),"Disciple")</f>
        <v>Disciple</v>
      </c>
      <c r="M2" s="75" t="str">
        <f>IFERROR(__xludf.DUMMYFUNCTION("IFERROR(
FILTER(
Classes!$B:$B,
Classes!$A:$A = 'Main Page'!N26,
Classes!$B:$B &lt;&gt; ""Steelcaster"",
Classes!$B:$B &lt;&gt; ""Avenger"",
Classes!$B:$B &lt;&gt; ""Raider"",
Classes!$B:$B &lt;&gt; ""Battlemage"",
Classes!$B:$B &lt;&gt; ""Ravager"",
Classes!$B:$B &lt;&gt; ""Crusader"",
"&amp;"Classes!$B:$B &lt;&gt; ""Trickster"",
Classes!$B:$B &lt;&gt; ""Heretic"",
Classes!$B:$B &lt;&gt; ""Truthseer"",
Classes!$B:$B &lt;&gt; ""Watchman"",
Classes!$B:$B &lt;&gt; ""Lorekeeper"",
Classes!$B:$B &lt;&gt; ""Monk""
),
"""")"),"")</f>
        <v/>
      </c>
      <c r="N2" s="75" t="str">
        <f>IFERROR(__xludf.DUMMYFUNCTION("FILTER(Campaigns!B:B,'Main Page'!$T$3  = Campaigns!A:A,'Main Page'!$T$5  =Campaigns!D:D, Campaigns!B:B &lt;&gt; """")"),"The Monster's Hoard")</f>
        <v>The Monster's Hoard</v>
      </c>
      <c r="O2" s="75" t="str">
        <f>IFERROR(__xludf.DUMMYFUNCTION("
IFERROR(
UNIQUE(
FILTER( 
Monsters!A:A,
Monsters!A:A &lt;&gt; """",
Monsters!A:A &lt;&gt; 'Main Page'!$W$3,
Monsters!A:A &lt;&gt; 'Main Page'!$W$4,
Monsters!A:A &lt;&gt; 'Main Page'!$W$5,
(Monsters!Z:Z = IFERROR (FILTER(Campaigns!H:H, Campaigns!H:H &lt;&gt; """", Campaigns!A:A = 'Mai"&amp;"n Page'!$T$3, Campaigns!B:B = 'Main Page'!$U$5,Campaigns!C:C = 'Main Page'!$V$5) , ""BLANK""))
+
(Monsters!AA:AA = IFERROR (FILTER(Campaigns!I:I, Campaigns!I:I &lt;&gt; """", Campaigns!A:A = 'Main Page'!$T$3, Campaigns!B:B = 'Main Page'!$U$5,Campaigns!C:C = 'Ma"&amp;"in Page'!$V$5), ""BLANK""))
+
(Monsters!AB:AB = IFERROR (FILTER(Campaigns!J:J, Campaigns!J:J &lt;&gt; """", Campaigns!A:A = 'Main Page'!$T$3, Campaigns!B:B = 'Main Page'!$U$5,Campaigns!C:C = 'Main Page'!$V$5) , ""BLANK""))
+
(Monsters!AC:AC = IFERROR (FILTER(Ca"&amp;"mpaigns!K:K, Campaigns!K:K &lt;&gt; """", Campaigns!A:A = 'Main Page'!$T$3, Campaigns!B:B = 'Main Page'!$U$5,Campaigns!C:C = 'Main Page'!$V$5) , ""BLANK""))
+
(Monsters!AD:AD = IFERROR (FILTER(Campaigns!L:L, Campaigns!L:L &lt;&gt; """", Campaigns!A:A = 'Main Page'!$T"&amp;"$3, Campaigns!B:B = 'Main Page'!$U$5,Campaigns!C:C = 'Main Page'!$V$5) , ""BLANK""))
+
(Monsters!AE:AE = IFERROR (FILTER(Campaigns!M:M, Campaigns!M:M &lt;&gt; """", Campaigns!A:A = 'Main Page'!$T$3, Campaigns!B:B = 'Main Page'!$U$5,Campaigns!C:C = 'Main Page'!$"&amp;"V$5) , ""BLANK""))
+
(Monsters!AF:AF = IFERROR (FILTER(Campaigns!N:N, Campaigns!N:N &lt;&gt; """", Campaigns!A:A = 'Main Page'!$T$3, Campaigns!B:B = 'Main Page'!$U$5,Campaigns!C:C = 'Main Page'!$V$5) , ""BLANK""))
+
(Monsters!AG:AG = IFERROR (FILTER(Campaigns!O"&amp;":O, Campaigns!O:O &lt;&gt; """", Campaigns!A:A = 'Main Page'!$T$3, Campaigns!B:B = 'Main Page'!$U$5,Campaigns!C:C = 'Main Page'!$V$5) , ""BLANK""))
+
(Monsters!AH:AH = IFERROR (FILTER(Campaigns!P:P, Campaigns!P:P &lt;&gt; """", Campaigns!A:A = 'Main Page'!$T$3, Campa"&amp;"igns!B:B = 'Main Page'!$U$5,Campaigns!C:C = 'Main Page'!$V$5) , ""BLANK""))
+
(Monsters!AI:AI = IFERROR (FILTER(Campaigns!Q:Q, Campaigns!Q:Q &lt;&gt; """", Campaigns!A:A = 'Main Page'!$T$3, Campaigns!B:B = 'Main Page'!$U$5,Campaigns!C:C = 'Main Page'!$V$5) , """&amp;"BLANK""))
))
,)
"),"Arachyura")</f>
        <v>Arachyura</v>
      </c>
      <c r="P2" s="75">
        <f>IFERROR(__xludf.DUMMYFUNCTION(" IFERROR(
(FILTER(Monsters!$AQ:$AQ, Monsters!$A:$A = O2 , Monsters!$D:$D  = 'Main Page'!$T$5, Monsters!$B:$B = ""Master"")
*
FILTER(Monsters!$AN:$AN, Monsters!$A:$A = O2 , Monsters!$D:$D  = 'Main Page'!$T$5, Monsters!$B:$B = ""Master"")
)
+
(FILTER(Monste"&amp;"rs!$AQ:$AQ, Monsters!$A:$A = O2 , Monsters!$D:$D  = 'Main Page'!$T$5, Monsters!$B:$B = ""Minion"")
*
FILTER(Monsters!$AN:$AN, Monsters!$A:$A = O2 , Monsters!$D:$D  = 'Main Page'!$T$5, Monsters!$B:$B = ""Minion"")
)
,
)"),47.806666666666665)</f>
        <v>47.80666667</v>
      </c>
      <c r="Q2" s="542" t="str">
        <f>IFERROR(__xludf.DUMMYFUNCTION("FILTER(O2:O1000,P2:P1000 &lt;= ('Main Page'!H22 -  SUM('Main Page'!AI7:AI9 , 'Main Page'!AI3:AI5)))"),"Arachyura")</f>
        <v>Arachyura</v>
      </c>
      <c r="R2" s="542">
        <f t="shared" ref="R2:R100" si="1">IF(ISBLANK(Q2),,VLOOKUP(Q2,O:P,2,FALSE))</f>
        <v>47.80666667</v>
      </c>
      <c r="S2" s="542" t="str">
        <f>IFERROR(__xludf.DUMMYFUNCTION("UNIQUE(FILTER(vote4Plot!A3:A172,vote4Plot!A3:A172 &lt;&gt; """"))"),"Burning Ambition")</f>
        <v>Burning Ambition</v>
      </c>
    </row>
    <row r="3">
      <c r="A3" s="541" t="s">
        <v>1671</v>
      </c>
      <c r="B3" s="258">
        <f>(0+2+2+2+3+4)/6</f>
        <v>2.166666667</v>
      </c>
      <c r="C3" s="209">
        <v>0.0</v>
      </c>
      <c r="F3" s="75" t="str">
        <f>IFERROR(__xludf.DUMMYFUNCTION("""COMPUTED_VALUE"""),"Runemaster")</f>
        <v>Runemaster</v>
      </c>
      <c r="G3" s="75"/>
      <c r="H3" s="75" t="str">
        <f>IFERROR(__xludf.DUMMYFUNCTION("""COMPUTED_VALUE"""),"Knight")</f>
        <v>Knight</v>
      </c>
      <c r="I3" s="75"/>
      <c r="J3" s="75" t="str">
        <f>IFERROR(__xludf.DUMMYFUNCTION("""COMPUTED_VALUE"""),"Thief")</f>
        <v>Thief</v>
      </c>
      <c r="K3" s="75"/>
      <c r="L3" s="75" t="str">
        <f>IFERROR(__xludf.DUMMYFUNCTION("""COMPUTED_VALUE"""),"Disciple")</f>
        <v>Disciple</v>
      </c>
      <c r="M3" s="75"/>
      <c r="N3" s="75" t="str">
        <f>IFERROR(__xludf.DUMMYFUNCTION("""COMPUTED_VALUE"""),"The Monster's Hoard")</f>
        <v>The Monster's Hoard</v>
      </c>
      <c r="O3" s="75" t="str">
        <f>IFERROR(__xludf.DUMMYFUNCTION("""COMPUTED_VALUE"""),"Bane Spider")</f>
        <v>Bane Spider</v>
      </c>
      <c r="P3" s="75">
        <f>IFERROR(__xludf.DUMMYFUNCTION(" IFERROR(
(FILTER(Monsters!$AQ:$AQ, Monsters!$A:$A = O3 , Monsters!$D:$D  = 'Main Page'!$T$5, Monsters!$B:$B = ""Master"")
*
FILTER(Monsters!$AN:$AN, Monsters!$A:$A = O3 , Monsters!$D:$D  = 'Main Page'!$T$5, Monsters!$B:$B = ""Master"")
)
+
(FILTER(Monste"&amp;"rs!$AQ:$AQ, Monsters!$A:$A = O3 , Monsters!$D:$D  = 'Main Page'!$T$5, Monsters!$B:$B = ""Minion"")
*
FILTER(Monsters!$AN:$AN, Monsters!$A:$A = O3 , Monsters!$D:$D  = 'Main Page'!$T$5, Monsters!$B:$B = ""Minion"")
)
,
)"),58.616666666666674)</f>
        <v>58.61666667</v>
      </c>
      <c r="Q3" s="75" t="str">
        <f>IFERROR(__xludf.DUMMYFUNCTION("""COMPUTED_VALUE"""),"Bane Spider")</f>
        <v>Bane Spider</v>
      </c>
      <c r="R3" s="542">
        <f t="shared" si="1"/>
        <v>58.61666667</v>
      </c>
      <c r="S3" s="75" t="str">
        <f>IFERROR(__xludf.DUMMYFUNCTION("""COMPUTED_VALUE"""),"Goblin Uprising")</f>
        <v>Goblin Uprising</v>
      </c>
    </row>
    <row r="4">
      <c r="A4" s="541" t="s">
        <v>1621</v>
      </c>
      <c r="B4" s="258">
        <f>(0+0+0+1+1+2)/6</f>
        <v>0.6666666667</v>
      </c>
      <c r="C4" s="209">
        <v>0.0</v>
      </c>
      <c r="F4" s="75" t="str">
        <f>IFERROR(__xludf.DUMMYFUNCTION("""COMPUTED_VALUE"""),"Runemaster")</f>
        <v>Runemaster</v>
      </c>
      <c r="G4" s="75"/>
      <c r="H4" s="75" t="str">
        <f>IFERROR(__xludf.DUMMYFUNCTION("""COMPUTED_VALUE"""),"Knight")</f>
        <v>Knight</v>
      </c>
      <c r="I4" s="75"/>
      <c r="J4" s="75" t="str">
        <f>IFERROR(__xludf.DUMMYFUNCTION("""COMPUTED_VALUE"""),"Thief")</f>
        <v>Thief</v>
      </c>
      <c r="K4" s="75"/>
      <c r="L4" s="75" t="str">
        <f>IFERROR(__xludf.DUMMYFUNCTION("""COMPUTED_VALUE"""),"Disciple")</f>
        <v>Disciple</v>
      </c>
      <c r="M4" s="75"/>
      <c r="N4" s="75" t="str">
        <f>IFERROR(__xludf.DUMMYFUNCTION("""COMPUTED_VALUE"""),"The Frozen Spire")</f>
        <v>The Frozen Spire</v>
      </c>
      <c r="O4" s="75" t="str">
        <f>IFERROR(__xludf.DUMMYFUNCTION("""COMPUTED_VALUE"""),"Blood Ape")</f>
        <v>Blood Ape</v>
      </c>
      <c r="P4" s="75">
        <f>IFERROR(__xludf.DUMMYFUNCTION(" IFERROR(
(FILTER(Monsters!$AQ:$AQ, Monsters!$A:$A = O4 , Monsters!$D:$D  = 'Main Page'!$T$5, Monsters!$B:$B = ""Master"")
*
FILTER(Monsters!$AN:$AN, Monsters!$A:$A = O4 , Monsters!$D:$D  = 'Main Page'!$T$5, Monsters!$B:$B = ""Master"")
)
+
(FILTER(Monste"&amp;"rs!$AQ:$AQ, Monsters!$A:$A = O4 , Monsters!$D:$D  = 'Main Page'!$T$5, Monsters!$B:$B = ""Minion"")
*
FILTER(Monsters!$AN:$AN, Monsters!$A:$A = O4 , Monsters!$D:$D  = 'Main Page'!$T$5, Monsters!$B:$B = ""Minion"")
)
,
)"),66.45)</f>
        <v>66.45</v>
      </c>
      <c r="Q4" s="75" t="str">
        <f>IFERROR(__xludf.DUMMYFUNCTION("""COMPUTED_VALUE"""),"Blood Ape")</f>
        <v>Blood Ape</v>
      </c>
      <c r="R4" s="542">
        <f t="shared" si="1"/>
        <v>66.45</v>
      </c>
      <c r="S4" s="75" t="str">
        <f>IFERROR(__xludf.DUMMYFUNCTION("""COMPUTED_VALUE"""),"Hybrid Loyalty")</f>
        <v>Hybrid Loyalty</v>
      </c>
    </row>
    <row r="5">
      <c r="A5" s="541" t="s">
        <v>2601</v>
      </c>
      <c r="B5" s="258">
        <f>(-1+1+1+2+2+2)/6</f>
        <v>1.166666667</v>
      </c>
      <c r="C5" s="209">
        <f>2/6</f>
        <v>0.3333333333</v>
      </c>
      <c r="F5" s="75" t="str">
        <f>IFERROR(__xludf.DUMMYFUNCTION("""COMPUTED_VALUE"""),"Runemaster")</f>
        <v>Runemaster</v>
      </c>
      <c r="H5" s="75" t="str">
        <f>IFERROR(__xludf.DUMMYFUNCTION("""COMPUTED_VALUE"""),"Knight")</f>
        <v>Knight</v>
      </c>
      <c r="J5" s="75" t="str">
        <f>IFERROR(__xludf.DUMMYFUNCTION("""COMPUTED_VALUE"""),"Thief")</f>
        <v>Thief</v>
      </c>
      <c r="L5" s="75" t="str">
        <f>IFERROR(__xludf.DUMMYFUNCTION("""COMPUTED_VALUE"""),"Disciple")</f>
        <v>Disciple</v>
      </c>
      <c r="N5" s="75" t="str">
        <f>IFERROR(__xludf.DUMMYFUNCTION("""COMPUTED_VALUE"""),"The Frozen Spire")</f>
        <v>The Frozen Spire</v>
      </c>
      <c r="O5" s="75" t="str">
        <f>IFERROR(__xludf.DUMMYFUNCTION("""COMPUTED_VALUE"""),"Bone Horror")</f>
        <v>Bone Horror</v>
      </c>
      <c r="P5" s="75">
        <f>IFERROR(__xludf.DUMMYFUNCTION(" IFERROR(
(FILTER(Monsters!$AQ:$AQ, Monsters!$A:$A = O5 , Monsters!$D:$D  = 'Main Page'!$T$5, Monsters!$B:$B = ""Master"")
*
FILTER(Monsters!$AN:$AN, Monsters!$A:$A = O5 , Monsters!$D:$D  = 'Main Page'!$T$5, Monsters!$B:$B = ""Master"")
)
+
(FILTER(Monste"&amp;"rs!$AQ:$AQ, Monsters!$A:$A = O5 , Monsters!$D:$D  = 'Main Page'!$T$5, Monsters!$B:$B = ""Minion"")
*
FILTER(Monsters!$AN:$AN, Monsters!$A:$A = O5 , Monsters!$D:$D  = 'Main Page'!$T$5, Monsters!$B:$B = ""Minion"")
)
,
)"),80.61666666666667)</f>
        <v>80.61666667</v>
      </c>
      <c r="Q5" s="75" t="str">
        <f>IFERROR(__xludf.DUMMYFUNCTION("""COMPUTED_VALUE"""),"Bone Horror")</f>
        <v>Bone Horror</v>
      </c>
      <c r="R5" s="542">
        <f t="shared" si="1"/>
        <v>80.61666667</v>
      </c>
      <c r="S5" s="75" t="str">
        <f>IFERROR(__xludf.DUMMYFUNCTION("""COMPUTED_VALUE"""),"Seeds of Betrayal")</f>
        <v>Seeds of Betrayal</v>
      </c>
    </row>
    <row r="6">
      <c r="A6" s="541" t="s">
        <v>2792</v>
      </c>
      <c r="B6" s="258">
        <f>(1+2+2+2+3+3)/6</f>
        <v>2.166666667</v>
      </c>
      <c r="C6" s="209">
        <f>1/6</f>
        <v>0.1666666667</v>
      </c>
      <c r="F6" s="75" t="str">
        <f>IFERROR(__xludf.DUMMYFUNCTION("""COMPUTED_VALUE"""),"Runemaster")</f>
        <v>Runemaster</v>
      </c>
      <c r="H6" s="75" t="str">
        <f>IFERROR(__xludf.DUMMYFUNCTION("""COMPUTED_VALUE"""),"Knight")</f>
        <v>Knight</v>
      </c>
      <c r="J6" s="75" t="str">
        <f>IFERROR(__xludf.DUMMYFUNCTION("""COMPUTED_VALUE"""),"Thief")</f>
        <v>Thief</v>
      </c>
      <c r="L6" s="75" t="str">
        <f>IFERROR(__xludf.DUMMYFUNCTION("""COMPUTED_VALUE"""),"Disciple")</f>
        <v>Disciple</v>
      </c>
      <c r="N6" s="75" t="str">
        <f>IFERROR(__xludf.DUMMYFUNCTION("""COMPUTED_VALUE"""),"The Dawnblade")</f>
        <v>The Dawnblade</v>
      </c>
      <c r="O6" s="75" t="str">
        <f>IFERROR(__xludf.DUMMYFUNCTION("""COMPUTED_VALUE"""),"Cave Spider")</f>
        <v>Cave Spider</v>
      </c>
      <c r="P6" s="75">
        <f>IFERROR(__xludf.DUMMYFUNCTION(" IFERROR(
(FILTER(Monsters!$AQ:$AQ, Monsters!$A:$A = O6 , Monsters!$D:$D  = 'Main Page'!$T$5, Monsters!$B:$B = ""Master"")
*
FILTER(Monsters!$AN:$AN, Monsters!$A:$A = O6 , Monsters!$D:$D  = 'Main Page'!$T$5, Monsters!$B:$B = ""Master"")
)
+
(FILTER(Monste"&amp;"rs!$AQ:$AQ, Monsters!$A:$A = O6 , Monsters!$D:$D  = 'Main Page'!$T$5, Monsters!$B:$B = ""Minion"")
*
FILTER(Monsters!$AN:$AN, Monsters!$A:$A = O6 , Monsters!$D:$D  = 'Main Page'!$T$5, Monsters!$B:$B = ""Minion"")
)
,
)"),64.43333333333334)</f>
        <v>64.43333333</v>
      </c>
      <c r="Q6" s="75" t="str">
        <f>IFERROR(__xludf.DUMMYFUNCTION("""COMPUTED_VALUE"""),"Cave Spider")</f>
        <v>Cave Spider</v>
      </c>
      <c r="R6" s="542">
        <f t="shared" si="1"/>
        <v>64.43333333</v>
      </c>
      <c r="S6" s="75" t="str">
        <f>IFERROR(__xludf.DUMMYFUNCTION("""COMPUTED_VALUE"""),"The Fallen Elite")</f>
        <v>The Fallen Elite</v>
      </c>
    </row>
    <row r="7">
      <c r="A7" s="541" t="s">
        <v>2637</v>
      </c>
      <c r="B7" s="258">
        <f>(0+1+1+1+2+2)/6</f>
        <v>1.166666667</v>
      </c>
      <c r="C7" s="209">
        <f>3/6</f>
        <v>0.5</v>
      </c>
      <c r="F7" s="75" t="str">
        <f>IFERROR(__xludf.DUMMYFUNCTION("""COMPUTED_VALUE"""),"Runemaster")</f>
        <v>Runemaster</v>
      </c>
      <c r="H7" s="75" t="str">
        <f>IFERROR(__xludf.DUMMYFUNCTION("""COMPUTED_VALUE"""),"Knight")</f>
        <v>Knight</v>
      </c>
      <c r="J7" s="75" t="str">
        <f>IFERROR(__xludf.DUMMYFUNCTION("""COMPUTED_VALUE"""),"Thief")</f>
        <v>Thief</v>
      </c>
      <c r="L7" s="75" t="str">
        <f>IFERROR(__xludf.DUMMYFUNCTION("""COMPUTED_VALUE"""),"Disciple")</f>
        <v>Disciple</v>
      </c>
      <c r="N7" s="75" t="str">
        <f>IFERROR(__xludf.DUMMYFUNCTION("""COMPUTED_VALUE"""),"The Dawnblade")</f>
        <v>The Dawnblade</v>
      </c>
      <c r="O7" s="75" t="str">
        <f>IFERROR(__xludf.DUMMYFUNCTION("""COMPUTED_VALUE"""),"Changeling")</f>
        <v>Changeling</v>
      </c>
      <c r="P7" s="75">
        <f>IFERROR(__xludf.DUMMYFUNCTION(" IFERROR(
(FILTER(Monsters!$AQ:$AQ, Monsters!$A:$A = O7 , Monsters!$D:$D  = 'Main Page'!$T$5, Monsters!$B:$B = ""Master"")
*
FILTER(Monsters!$AN:$AN, Monsters!$A:$A = O7 , Monsters!$D:$D  = 'Main Page'!$T$5, Monsters!$B:$B = ""Master"")
)
+
(FILTER(Monste"&amp;"rs!$AQ:$AQ, Monsters!$A:$A = O7 , Monsters!$D:$D  = 'Main Page'!$T$5, Monsters!$B:$B = ""Minion"")
*
FILTER(Monsters!$AN:$AN, Monsters!$A:$A = O7 , Monsters!$D:$D  = 'Main Page'!$T$5, Monsters!$B:$B = ""Minion"")
)
,
)"),101.82166666666667)</f>
        <v>101.8216667</v>
      </c>
      <c r="Q7" s="75" t="str">
        <f>IFERROR(__xludf.DUMMYFUNCTION("""COMPUTED_VALUE"""),"Changeling")</f>
        <v>Changeling</v>
      </c>
      <c r="R7" s="542">
        <f t="shared" si="1"/>
        <v>101.8216667</v>
      </c>
      <c r="S7" s="75" t="str">
        <f>IFERROR(__xludf.DUMMYFUNCTION("""COMPUTED_VALUE"""),"Cursed by Power")</f>
        <v>Cursed by Power</v>
      </c>
    </row>
    <row r="8">
      <c r="A8" s="543" t="s">
        <v>1697</v>
      </c>
      <c r="B8" s="544">
        <f>(0+1+0+1+1+1)/6</f>
        <v>0.6666666667</v>
      </c>
      <c r="C8" s="545">
        <f>4/6</f>
        <v>0.6666666667</v>
      </c>
      <c r="F8" s="75" t="str">
        <f>IFERROR(__xludf.DUMMYFUNCTION("""COMPUTED_VALUE"""),"Runemaster")</f>
        <v>Runemaster</v>
      </c>
      <c r="H8" s="75" t="str">
        <f>IFERROR(__xludf.DUMMYFUNCTION("""COMPUTED_VALUE"""),"Knight")</f>
        <v>Knight</v>
      </c>
      <c r="J8" s="75" t="str">
        <f>IFERROR(__xludf.DUMMYFUNCTION("""COMPUTED_VALUE"""),"Thief")</f>
        <v>Thief</v>
      </c>
      <c r="L8" s="75" t="str">
        <f>IFERROR(__xludf.DUMMYFUNCTION("""COMPUTED_VALUE"""),"Disciple")</f>
        <v>Disciple</v>
      </c>
      <c r="N8" s="75" t="str">
        <f>IFERROR(__xludf.DUMMYFUNCTION("""COMPUTED_VALUE"""),"The Desecrated Tomb")</f>
        <v>The Desecrated Tomb</v>
      </c>
      <c r="O8" s="75" t="str">
        <f>IFERROR(__xludf.DUMMYFUNCTION("""COMPUTED_VALUE"""),"Chaos Beast")</f>
        <v>Chaos Beast</v>
      </c>
      <c r="P8" s="75">
        <f>IFERROR(__xludf.DUMMYFUNCTION(" IFERROR(
(FILTER(Monsters!$AQ:$AQ, Monsters!$A:$A = O8 , Monsters!$D:$D  = 'Main Page'!$T$5, Monsters!$B:$B = ""Master"")
*
FILTER(Monsters!$AN:$AN, Monsters!$A:$A = O8 , Monsters!$D:$D  = 'Main Page'!$T$5, Monsters!$B:$B = ""Master"")
)
+
(FILTER(Monste"&amp;"rs!$AQ:$AQ, Monsters!$A:$A = O8 , Monsters!$D:$D  = 'Main Page'!$T$5, Monsters!$B:$B = ""Minion"")
*
FILTER(Monsters!$AN:$AN, Monsters!$A:$A = O8 , Monsters!$D:$D  = 'Main Page'!$T$5, Monsters!$B:$B = ""Minion"")
)
,
)"),67.96000000000001)</f>
        <v>67.96</v>
      </c>
      <c r="Q8" s="75" t="str">
        <f>IFERROR(__xludf.DUMMYFUNCTION("""COMPUTED_VALUE"""),"Chaos Beast")</f>
        <v>Chaos Beast</v>
      </c>
      <c r="R8" s="542">
        <f t="shared" si="1"/>
        <v>67.96</v>
      </c>
      <c r="S8" s="75" t="str">
        <f>IFERROR(__xludf.DUMMYFUNCTION("""COMPUTED_VALUE"""),"Endless Thirst")</f>
        <v>Endless Thirst</v>
      </c>
    </row>
    <row r="9">
      <c r="A9" s="240"/>
      <c r="B9" s="258"/>
      <c r="F9" s="75" t="str">
        <f>IFERROR(__xludf.DUMMYFUNCTION("""COMPUTED_VALUE"""),"Runemaster")</f>
        <v>Runemaster</v>
      </c>
      <c r="H9" s="75" t="str">
        <f>IFERROR(__xludf.DUMMYFUNCTION("""COMPUTED_VALUE"""),"Knight")</f>
        <v>Knight</v>
      </c>
      <c r="J9" s="75" t="str">
        <f>IFERROR(__xludf.DUMMYFUNCTION("""COMPUTED_VALUE"""),"Thief")</f>
        <v>Thief</v>
      </c>
      <c r="L9" s="75" t="str">
        <f>IFERROR(__xludf.DUMMYFUNCTION("""COMPUTED_VALUE"""),"Disciple")</f>
        <v>Disciple</v>
      </c>
      <c r="N9" s="75" t="str">
        <f>IFERROR(__xludf.DUMMYFUNCTION("""COMPUTED_VALUE"""),"The Desecrated Tomb")</f>
        <v>The Desecrated Tomb</v>
      </c>
      <c r="O9" s="75" t="str">
        <f>IFERROR(__xludf.DUMMYFUNCTION("""COMPUTED_VALUE"""),"Crypt Dragon")</f>
        <v>Crypt Dragon</v>
      </c>
      <c r="P9" s="75">
        <f>IFERROR(__xludf.DUMMYFUNCTION(" IFERROR(
(FILTER(Monsters!$AQ:$AQ, Monsters!$A:$A = O9 , Monsters!$D:$D  = 'Main Page'!$T$5, Monsters!$B:$B = ""Master"")
*
FILTER(Monsters!$AN:$AN, Monsters!$A:$A = O9 , Monsters!$D:$D  = 'Main Page'!$T$5, Monsters!$B:$B = ""Master"")
)
+
(FILTER(Monste"&amp;"rs!$AQ:$AQ, Monsters!$A:$A = O9 , Monsters!$D:$D  = 'Main Page'!$T$5, Monsters!$B:$B = ""Minion"")
*
FILTER(Monsters!$AN:$AN, Monsters!$A:$A = O9 , Monsters!$D:$D  = 'Main Page'!$T$5, Monsters!$B:$B = ""Minion"")
)
,
)"),87.88333333333333)</f>
        <v>87.88333333</v>
      </c>
      <c r="Q9" s="75" t="str">
        <f>IFERROR(__xludf.DUMMYFUNCTION("""COMPUTED_VALUE"""),"Crypt Dragon")</f>
        <v>Crypt Dragon</v>
      </c>
      <c r="R9" s="542">
        <f t="shared" si="1"/>
        <v>87.88333333</v>
      </c>
      <c r="S9" s="75" t="str">
        <f>IFERROR(__xludf.DUMMYFUNCTION("""COMPUTED_VALUE"""),"Dragon's Greed")</f>
        <v>Dragon's Greed</v>
      </c>
    </row>
    <row r="10">
      <c r="B10" s="258"/>
      <c r="F10" s="75" t="str">
        <f>IFERROR(__xludf.DUMMYFUNCTION("""COMPUTED_VALUE"""),"Runemaster")</f>
        <v>Runemaster</v>
      </c>
      <c r="H10" s="75" t="str">
        <f>IFERROR(__xludf.DUMMYFUNCTION("""COMPUTED_VALUE"""),"Knight")</f>
        <v>Knight</v>
      </c>
      <c r="J10" s="75" t="str">
        <f>IFERROR(__xludf.DUMMYFUNCTION("""COMPUTED_VALUE"""),"Thief")</f>
        <v>Thief</v>
      </c>
      <c r="L10" s="75" t="str">
        <f>IFERROR(__xludf.DUMMYFUNCTION("""COMPUTED_VALUE"""),"Disciple")</f>
        <v>Disciple</v>
      </c>
      <c r="N10" s="75" t="str">
        <f>IFERROR(__xludf.DUMMYFUNCTION("""COMPUTED_VALUE"""),"Enduring the Elements")</f>
        <v>Enduring the Elements</v>
      </c>
      <c r="O10" s="75" t="str">
        <f>IFERROR(__xludf.DUMMYFUNCTION("""COMPUTED_VALUE"""),"Dark Minotaur")</f>
        <v>Dark Minotaur</v>
      </c>
      <c r="P10" s="75">
        <f>IFERROR(__xludf.DUMMYFUNCTION(" IFERROR(
(FILTER(Monsters!$AQ:$AQ, Monsters!$A:$A = O10 , Monsters!$D:$D  = 'Main Page'!$T$5, Monsters!$B:$B = ""Master"")
*
FILTER(Monsters!$AN:$AN, Monsters!$A:$A = O10 , Monsters!$D:$D  = 'Main Page'!$T$5, Monsters!$B:$B = ""Master"")
)
+
(FILTER(Mons"&amp;"ters!$AQ:$AQ, Monsters!$A:$A = O10 , Monsters!$D:$D  = 'Main Page'!$T$5, Monsters!$B:$B = ""Minion"")
*
FILTER(Monsters!$AN:$AN, Monsters!$A:$A = O10 , Monsters!$D:$D  = 'Main Page'!$T$5, Monsters!$B:$B = ""Minion"")
)
,
)"),80.89)</f>
        <v>80.89</v>
      </c>
      <c r="Q10" s="75" t="str">
        <f>IFERROR(__xludf.DUMMYFUNCTION("""COMPUTED_VALUE"""),"Dark Minotaur")</f>
        <v>Dark Minotaur</v>
      </c>
      <c r="R10" s="542">
        <f t="shared" si="1"/>
        <v>80.89</v>
      </c>
      <c r="S10" s="75" t="str">
        <f>IFERROR(__xludf.DUMMYFUNCTION("""COMPUTED_VALUE"""),"Raging Infection")</f>
        <v>Raging Infection</v>
      </c>
    </row>
    <row r="11">
      <c r="B11" s="258"/>
      <c r="F11" s="75" t="str">
        <f>IFERROR(__xludf.DUMMYFUNCTION("""COMPUTED_VALUE"""),"Necromancer")</f>
        <v>Necromancer</v>
      </c>
      <c r="H11" s="75" t="str">
        <f>IFERROR(__xludf.DUMMYFUNCTION("""COMPUTED_VALUE"""),"Beserker")</f>
        <v>Beserker</v>
      </c>
      <c r="J11" s="75" t="str">
        <f>IFERROR(__xludf.DUMMYFUNCTION("""COMPUTED_VALUE"""),"Wildlander")</f>
        <v>Wildlander</v>
      </c>
      <c r="L11" s="75" t="str">
        <f>IFERROR(__xludf.DUMMYFUNCTION("""COMPUTED_VALUE"""),"Spiritspeaker")</f>
        <v>Spiritspeaker</v>
      </c>
      <c r="N11" s="75" t="str">
        <f>IFERROR(__xludf.DUMMYFUNCTION("""COMPUTED_VALUE"""),"Enduring the Elements")</f>
        <v>Enduring the Elements</v>
      </c>
      <c r="O11" s="75" t="str">
        <f>IFERROR(__xludf.DUMMYFUNCTION("""COMPUTED_VALUE"""),"Dark Priest")</f>
        <v>Dark Priest</v>
      </c>
      <c r="P11" s="75">
        <f>IFERROR(__xludf.DUMMYFUNCTION(" IFERROR(
(FILTER(Monsters!$AQ:$AQ, Monsters!$A:$A = O11 , Monsters!$D:$D  = 'Main Page'!$T$5, Monsters!$B:$B = ""Master"")
*
FILTER(Monsters!$AN:$AN, Monsters!$A:$A = O11 , Monsters!$D:$D  = 'Main Page'!$T$5, Monsters!$B:$B = ""Master"")
)
+
(FILTER(Mons"&amp;"ters!$AQ:$AQ, Monsters!$A:$A = O11 , Monsters!$D:$D  = 'Main Page'!$T$5, Monsters!$B:$B = ""Minion"")
*
FILTER(Monsters!$AN:$AN, Monsters!$A:$A = O11 , Monsters!$D:$D  = 'Main Page'!$T$5, Monsters!$B:$B = ""Minion"")
)
,
)"),42.98833333333333)</f>
        <v>42.98833333</v>
      </c>
      <c r="Q11" s="75" t="str">
        <f>IFERROR(__xludf.DUMMYFUNCTION("""COMPUTED_VALUE"""),"Dark Priest")</f>
        <v>Dark Priest</v>
      </c>
      <c r="R11" s="542">
        <f t="shared" si="1"/>
        <v>42.98833333</v>
      </c>
      <c r="S11" s="75" t="str">
        <f>IFERROR(__xludf.DUMMYFUNCTION("""COMPUTED_VALUE"""),"Dark Illusions")</f>
        <v>Dark Illusions</v>
      </c>
    </row>
    <row r="12">
      <c r="B12" s="258"/>
      <c r="F12" s="75" t="str">
        <f>IFERROR(__xludf.DUMMYFUNCTION("""COMPUTED_VALUE"""),"Necromancer")</f>
        <v>Necromancer</v>
      </c>
      <c r="H12" s="75" t="str">
        <f>IFERROR(__xludf.DUMMYFUNCTION("""COMPUTED_VALUE"""),"Beserker")</f>
        <v>Beserker</v>
      </c>
      <c r="J12" s="75" t="str">
        <f>IFERROR(__xludf.DUMMYFUNCTION("""COMPUTED_VALUE"""),"Wildlander")</f>
        <v>Wildlander</v>
      </c>
      <c r="L12" s="75" t="str">
        <f>IFERROR(__xludf.DUMMYFUNCTION("""COMPUTED_VALUE"""),"Spiritspeaker")</f>
        <v>Spiritspeaker</v>
      </c>
      <c r="N12" s="75" t="str">
        <f>IFERROR(__xludf.DUMMYFUNCTION("""COMPUTED_VALUE"""),"The Ritual of Shadows")</f>
        <v>The Ritual of Shadows</v>
      </c>
      <c r="O12" s="75" t="str">
        <f>IFERROR(__xludf.DUMMYFUNCTION("""COMPUTED_VALUE"""),"Deep Elf")</f>
        <v>Deep Elf</v>
      </c>
      <c r="P12" s="75">
        <f>IFERROR(__xludf.DUMMYFUNCTION(" IFERROR(
(FILTER(Monsters!$AQ:$AQ, Monsters!$A:$A = O12 , Monsters!$D:$D  = 'Main Page'!$T$5, Monsters!$B:$B = ""Master"")
*
FILTER(Monsters!$AN:$AN, Monsters!$A:$A = O12 , Monsters!$D:$D  = 'Main Page'!$T$5, Monsters!$B:$B = ""Master"")
)
+
(FILTER(Mons"&amp;"ters!$AQ:$AQ, Monsters!$A:$A = O12 , Monsters!$D:$D  = 'Main Page'!$T$5, Monsters!$B:$B = ""Minion"")
*
FILTER(Monsters!$AN:$AN, Monsters!$A:$A = O12 , Monsters!$D:$D  = 'Main Page'!$T$5, Monsters!$B:$B = ""Minion"")
)
,
)"),53.88333333333333)</f>
        <v>53.88333333</v>
      </c>
      <c r="Q12" s="75" t="str">
        <f>IFERROR(__xludf.DUMMYFUNCTION("""COMPUTED_VALUE"""),"Deep Elf")</f>
        <v>Deep Elf</v>
      </c>
      <c r="R12" s="542">
        <f t="shared" si="1"/>
        <v>53.88333333</v>
      </c>
      <c r="S12" s="75" t="str">
        <f>IFERROR(__xludf.DUMMYFUNCTION("""COMPUTED_VALUE"""),"Tangled Web")</f>
        <v>Tangled Web</v>
      </c>
    </row>
    <row r="13">
      <c r="B13" s="258"/>
      <c r="F13" s="75" t="str">
        <f>IFERROR(__xludf.DUMMYFUNCTION("""COMPUTED_VALUE"""),"Necromancer")</f>
        <v>Necromancer</v>
      </c>
      <c r="H13" s="75" t="str">
        <f>IFERROR(__xludf.DUMMYFUNCTION("""COMPUTED_VALUE"""),"Beserker")</f>
        <v>Beserker</v>
      </c>
      <c r="J13" s="75" t="str">
        <f>IFERROR(__xludf.DUMMYFUNCTION("""COMPUTED_VALUE"""),"Wildlander")</f>
        <v>Wildlander</v>
      </c>
      <c r="L13" s="75" t="str">
        <f>IFERROR(__xludf.DUMMYFUNCTION("""COMPUTED_VALUE"""),"Spiritspeaker")</f>
        <v>Spiritspeaker</v>
      </c>
      <c r="N13" s="75" t="str">
        <f>IFERROR(__xludf.DUMMYFUNCTION("""COMPUTED_VALUE"""),"The Ritual of Shadows")</f>
        <v>The Ritual of Shadows</v>
      </c>
      <c r="O13" s="75" t="str">
        <f>IFERROR(__xludf.DUMMYFUNCTION("""COMPUTED_VALUE"""),"Demon Lord")</f>
        <v>Demon Lord</v>
      </c>
      <c r="P13" s="75">
        <f>IFERROR(__xludf.DUMMYFUNCTION(" IFERROR(
(FILTER(Monsters!$AQ:$AQ, Monsters!$A:$A = O13 , Monsters!$D:$D  = 'Main Page'!$T$5, Monsters!$B:$B = ""Master"")
*
FILTER(Monsters!$AN:$AN, Monsters!$A:$A = O13 , Monsters!$D:$D  = 'Main Page'!$T$5, Monsters!$B:$B = ""Master"")
)
+
(FILTER(Mons"&amp;"ters!$AQ:$AQ, Monsters!$A:$A = O13 , Monsters!$D:$D  = 'Main Page'!$T$5, Monsters!$B:$B = ""Minion"")
*
FILTER(Monsters!$AN:$AN, Monsters!$A:$A = O13 , Monsters!$D:$D  = 'Main Page'!$T$5, Monsters!$B:$B = ""Minion"")
)
,
)"),72.22333333333333)</f>
        <v>72.22333333</v>
      </c>
      <c r="Q13" s="75" t="str">
        <f>IFERROR(__xludf.DUMMYFUNCTION("""COMPUTED_VALUE"""),"Demon Lord")</f>
        <v>Demon Lord</v>
      </c>
      <c r="R13" s="542">
        <f t="shared" si="1"/>
        <v>72.22333333</v>
      </c>
      <c r="S13" s="75" t="str">
        <f>IFERROR(__xludf.DUMMYFUNCTION("""COMPUTED_VALUE"""),"Skullduggery")</f>
        <v>Skullduggery</v>
      </c>
    </row>
    <row r="14">
      <c r="B14" s="258"/>
      <c r="F14" s="75" t="str">
        <f>IFERROR(__xludf.DUMMYFUNCTION("""COMPUTED_VALUE"""),"Necromancer")</f>
        <v>Necromancer</v>
      </c>
      <c r="H14" s="75" t="str">
        <f>IFERROR(__xludf.DUMMYFUNCTION("""COMPUTED_VALUE"""),"Beserker")</f>
        <v>Beserker</v>
      </c>
      <c r="J14" s="75" t="str">
        <f>IFERROR(__xludf.DUMMYFUNCTION("""COMPUTED_VALUE"""),"Wildlander")</f>
        <v>Wildlander</v>
      </c>
      <c r="L14" s="75" t="str">
        <f>IFERROR(__xludf.DUMMYFUNCTION("""COMPUTED_VALUE"""),"Spiritspeaker")</f>
        <v>Spiritspeaker</v>
      </c>
      <c r="N14" s="75" t="str">
        <f>IFERROR(__xludf.DUMMYFUNCTION("""COMPUTED_VALUE"""),"Blood of Heroes")</f>
        <v>Blood of Heroes</v>
      </c>
      <c r="O14" s="75" t="str">
        <f>IFERROR(__xludf.DUMMYFUNCTION("""COMPUTED_VALUE"""),"Ettins")</f>
        <v>Ettins</v>
      </c>
      <c r="P14" s="75">
        <f>IFERROR(__xludf.DUMMYFUNCTION(" IFERROR(
(FILTER(Monsters!$AQ:$AQ, Monsters!$A:$A = O14 , Monsters!$D:$D  = 'Main Page'!$T$5, Monsters!$B:$B = ""Master"")
*
FILTER(Monsters!$AN:$AN, Monsters!$A:$A = O14 , Monsters!$D:$D  = 'Main Page'!$T$5, Monsters!$B:$B = ""Master"")
)
+
(FILTER(Mons"&amp;"ters!$AQ:$AQ, Monsters!$A:$A = O14 , Monsters!$D:$D  = 'Main Page'!$T$5, Monsters!$B:$B = ""Minion"")
*
FILTER(Monsters!$AN:$AN, Monsters!$A:$A = O14 , Monsters!$D:$D  = 'Main Page'!$T$5, Monsters!$B:$B = ""Minion"")
)
,
)"),75.14)</f>
        <v>75.14</v>
      </c>
      <c r="Q14" s="75" t="str">
        <f>IFERROR(__xludf.DUMMYFUNCTION("""COMPUTED_VALUE"""),"Ettins")</f>
        <v>Ettins</v>
      </c>
      <c r="R14" s="542">
        <f t="shared" si="1"/>
        <v>75.14</v>
      </c>
      <c r="S14" s="75" t="str">
        <f>IFERROR(__xludf.DUMMYFUNCTION("""COMPUTED_VALUE"""),"Silent Protector")</f>
        <v>Silent Protector</v>
      </c>
    </row>
    <row r="15">
      <c r="B15" s="258"/>
      <c r="F15" s="75" t="str">
        <f>IFERROR(__xludf.DUMMYFUNCTION("""COMPUTED_VALUE"""),"Necromancer")</f>
        <v>Necromancer</v>
      </c>
      <c r="H15" s="75" t="str">
        <f>IFERROR(__xludf.DUMMYFUNCTION("""COMPUTED_VALUE"""),"Beserker")</f>
        <v>Beserker</v>
      </c>
      <c r="J15" s="75" t="str">
        <f>IFERROR(__xludf.DUMMYFUNCTION("""COMPUTED_VALUE"""),"Wildlander")</f>
        <v>Wildlander</v>
      </c>
      <c r="L15" s="75" t="str">
        <f>IFERROR(__xludf.DUMMYFUNCTION("""COMPUTED_VALUE"""),"Spiritspeaker")</f>
        <v>Spiritspeaker</v>
      </c>
      <c r="N15" s="75" t="str">
        <f>IFERROR(__xludf.DUMMYFUNCTION("""COMPUTED_VALUE"""),"Blood of Heroes")</f>
        <v>Blood of Heroes</v>
      </c>
      <c r="O15" s="75" t="str">
        <f>IFERROR(__xludf.DUMMYFUNCTION("""COMPUTED_VALUE"""),"Ferrox")</f>
        <v>Ferrox</v>
      </c>
      <c r="P15" s="75">
        <f>IFERROR(__xludf.DUMMYFUNCTION(" IFERROR(
(FILTER(Monsters!$AQ:$AQ, Monsters!$A:$A = O15 , Monsters!$D:$D  = 'Main Page'!$T$5, Monsters!$B:$B = ""Master"")
*
FILTER(Monsters!$AN:$AN, Monsters!$A:$A = O15 , Monsters!$D:$D  = 'Main Page'!$T$5, Monsters!$B:$B = ""Master"")
)
+
(FILTER(Mons"&amp;"ters!$AQ:$AQ, Monsters!$A:$A = O15 , Monsters!$D:$D  = 'Main Page'!$T$5, Monsters!$B:$B = ""Minion"")
*
FILTER(Monsters!$AN:$AN, Monsters!$A:$A = O15 , Monsters!$D:$D  = 'Main Page'!$T$5, Monsters!$B:$B = ""Minion"")
)
,
)"),70.69666666666667)</f>
        <v>70.69666667</v>
      </c>
      <c r="Q15" s="75" t="str">
        <f>IFERROR(__xludf.DUMMYFUNCTION("""COMPUTED_VALUE"""),"Ferrox")</f>
        <v>Ferrox</v>
      </c>
      <c r="R15" s="542">
        <f t="shared" si="1"/>
        <v>70.69666667</v>
      </c>
      <c r="S15" s="75" t="str">
        <f>IFERROR(__xludf.DUMMYFUNCTION("""COMPUTED_VALUE"""),"Inner Corruption")</f>
        <v>Inner Corruption</v>
      </c>
    </row>
    <row r="16">
      <c r="B16" s="258"/>
      <c r="F16" s="75" t="str">
        <f>IFERROR(__xludf.DUMMYFUNCTION("""COMPUTED_VALUE"""),"Necromancer")</f>
        <v>Necromancer</v>
      </c>
      <c r="H16" s="75" t="str">
        <f>IFERROR(__xludf.DUMMYFUNCTION("""COMPUTED_VALUE"""),"Beserker")</f>
        <v>Beserker</v>
      </c>
      <c r="J16" s="75" t="str">
        <f>IFERROR(__xludf.DUMMYFUNCTION("""COMPUTED_VALUE"""),"Wildlander")</f>
        <v>Wildlander</v>
      </c>
      <c r="L16" s="75" t="str">
        <f>IFERROR(__xludf.DUMMYFUNCTION("""COMPUTED_VALUE"""),"Spiritspeaker")</f>
        <v>Spiritspeaker</v>
      </c>
      <c r="N16" s="75" t="str">
        <f>IFERROR(__xludf.DUMMYFUNCTION("""COMPUTED_VALUE"""),"The Twin Idols")</f>
        <v>The Twin Idols</v>
      </c>
      <c r="O16" s="75" t="str">
        <f>IFERROR(__xludf.DUMMYFUNCTION("""COMPUTED_VALUE"""),"Fire Imps")</f>
        <v>Fire Imps</v>
      </c>
      <c r="P16" s="75">
        <f>IFERROR(__xludf.DUMMYFUNCTION(" IFERROR(
(FILTER(Monsters!$AQ:$AQ, Monsters!$A:$A = O16 , Monsters!$D:$D  = 'Main Page'!$T$5, Monsters!$B:$B = ""Master"")
*
FILTER(Monsters!$AN:$AN, Monsters!$A:$A = O16 , Monsters!$D:$D  = 'Main Page'!$T$5, Monsters!$B:$B = ""Master"")
)
+
(FILTER(Mons"&amp;"ters!$AQ:$AQ, Monsters!$A:$A = O16 , Monsters!$D:$D  = 'Main Page'!$T$5, Monsters!$B:$B = ""Minion"")
*
FILTER(Monsters!$AN:$AN, Monsters!$A:$A = O16 , Monsters!$D:$D  = 'Main Page'!$T$5, Monsters!$B:$B = ""Minion"")
)
,
)"),66.375)</f>
        <v>66.375</v>
      </c>
      <c r="Q16" s="75" t="str">
        <f>IFERROR(__xludf.DUMMYFUNCTION("""COMPUTED_VALUE"""),"Fire Imps")</f>
        <v>Fire Imps</v>
      </c>
      <c r="R16" s="542">
        <f t="shared" si="1"/>
        <v>66.375</v>
      </c>
      <c r="S16" s="75" t="str">
        <f>IFERROR(__xludf.DUMMYFUNCTION("""COMPUTED_VALUE"""),"Unstable Forces")</f>
        <v>Unstable Forces</v>
      </c>
    </row>
    <row r="17">
      <c r="B17" s="258"/>
      <c r="F17" s="75" t="str">
        <f>IFERROR(__xludf.DUMMYFUNCTION("""COMPUTED_VALUE"""),"Necromancer")</f>
        <v>Necromancer</v>
      </c>
      <c r="H17" s="75" t="str">
        <f>IFERROR(__xludf.DUMMYFUNCTION("""COMPUTED_VALUE"""),"Beserker")</f>
        <v>Beserker</v>
      </c>
      <c r="J17" s="75" t="str">
        <f>IFERROR(__xludf.DUMMYFUNCTION("""COMPUTED_VALUE"""),"Wildlander")</f>
        <v>Wildlander</v>
      </c>
      <c r="L17" s="75" t="str">
        <f>IFERROR(__xludf.DUMMYFUNCTION("""COMPUTED_VALUE"""),"Spiritspeaker")</f>
        <v>Spiritspeaker</v>
      </c>
      <c r="N17" s="75" t="str">
        <f>IFERROR(__xludf.DUMMYFUNCTION("""COMPUTED_VALUE"""),"The Twin Idols")</f>
        <v>The Twin Idols</v>
      </c>
      <c r="O17" s="75" t="str">
        <f>IFERROR(__xludf.DUMMYFUNCTION("""COMPUTED_VALUE"""),"Flesh Moulder")</f>
        <v>Flesh Moulder</v>
      </c>
      <c r="P17" s="75">
        <f>IFERROR(__xludf.DUMMYFUNCTION(" IFERROR(
(FILTER(Monsters!$AQ:$AQ, Monsters!$A:$A = O17 , Monsters!$D:$D  = 'Main Page'!$T$5, Monsters!$B:$B = ""Master"")
*
FILTER(Monsters!$AN:$AN, Monsters!$A:$A = O17 , Monsters!$D:$D  = 'Main Page'!$T$5, Monsters!$B:$B = ""Master"")
)
+
(FILTER(Mons"&amp;"ters!$AQ:$AQ, Monsters!$A:$A = O17 , Monsters!$D:$D  = 'Main Page'!$T$5, Monsters!$B:$B = ""Minion"")
*
FILTER(Monsters!$AN:$AN, Monsters!$A:$A = O17 , Monsters!$D:$D  = 'Main Page'!$T$5, Monsters!$B:$B = ""Minion"")
)
,
)"),63.425833333333344)</f>
        <v>63.42583333</v>
      </c>
      <c r="Q17" s="75" t="str">
        <f>IFERROR(__xludf.DUMMYFUNCTION("""COMPUTED_VALUE"""),"Flesh Moulder")</f>
        <v>Flesh Moulder</v>
      </c>
      <c r="R17" s="542">
        <f t="shared" si="1"/>
        <v>63.42583333</v>
      </c>
      <c r="S17" s="75" t="str">
        <f>IFERROR(__xludf.DUMMYFUNCTION("""COMPUTED_VALUE"""),"Unseen Legions")</f>
        <v>Unseen Legions</v>
      </c>
    </row>
    <row r="18">
      <c r="B18" s="258"/>
      <c r="F18" s="75" t="str">
        <f>IFERROR(__xludf.DUMMYFUNCTION("""COMPUTED_VALUE"""),"Necromancer")</f>
        <v>Necromancer</v>
      </c>
      <c r="H18" s="75" t="str">
        <f>IFERROR(__xludf.DUMMYFUNCTION("""COMPUTED_VALUE"""),"Beserker")</f>
        <v>Beserker</v>
      </c>
      <c r="J18" s="75" t="str">
        <f>IFERROR(__xludf.DUMMYFUNCTION("""COMPUTED_VALUE"""),"Wildlander")</f>
        <v>Wildlander</v>
      </c>
      <c r="L18" s="75" t="str">
        <f>IFERROR(__xludf.DUMMYFUNCTION("""COMPUTED_VALUE"""),"Spiritspeaker")</f>
        <v>Spiritspeaker</v>
      </c>
      <c r="N18" s="75" t="str">
        <f>IFERROR(__xludf.DUMMYFUNCTION("""COMPUTED_VALUE"""),"The Wyrm Turns")</f>
        <v>The Wyrm Turns</v>
      </c>
      <c r="O18" s="75" t="str">
        <f>IFERROR(__xludf.DUMMYFUNCTION("""COMPUTED_VALUE"""),"Goblin Archers")</f>
        <v>Goblin Archers</v>
      </c>
      <c r="P18" s="75">
        <f>IFERROR(__xludf.DUMMYFUNCTION(" IFERROR(
(FILTER(Monsters!$AQ:$AQ, Monsters!$A:$A = O18 , Monsters!$D:$D  = 'Main Page'!$T$5, Monsters!$B:$B = ""Master"")
*
FILTER(Monsters!$AN:$AN, Monsters!$A:$A = O18 , Monsters!$D:$D  = 'Main Page'!$T$5, Monsters!$B:$B = ""Master"")
)
+
(FILTER(Mons"&amp;"ters!$AQ:$AQ, Monsters!$A:$A = O18 , Monsters!$D:$D  = 'Main Page'!$T$5, Monsters!$B:$B = ""Minion"")
*
FILTER(Monsters!$AN:$AN, Monsters!$A:$A = O18 , Monsters!$D:$D  = 'Main Page'!$T$5, Monsters!$B:$B = ""Minion"")
)
,
)"),63.749999999999986)</f>
        <v>63.75</v>
      </c>
      <c r="Q18" s="75" t="str">
        <f>IFERROR(__xludf.DUMMYFUNCTION("""COMPUTED_VALUE"""),"Goblin Archers")</f>
        <v>Goblin Archers</v>
      </c>
      <c r="R18" s="542">
        <f t="shared" si="1"/>
        <v>63.75</v>
      </c>
      <c r="S18" s="75" t="str">
        <f>IFERROR(__xludf.DUMMYFUNCTION("""COMPUTED_VALUE"""),"Twisted Soul")</f>
        <v>Twisted Soul</v>
      </c>
    </row>
    <row r="19">
      <c r="B19" s="258"/>
      <c r="F19" s="75" t="str">
        <f>IFERROR(__xludf.DUMMYFUNCTION("""COMPUTED_VALUE"""),"Necromancer")</f>
        <v>Necromancer</v>
      </c>
      <c r="H19" s="75" t="str">
        <f>IFERROR(__xludf.DUMMYFUNCTION("""COMPUTED_VALUE"""),"Beserker")</f>
        <v>Beserker</v>
      </c>
      <c r="J19" s="75" t="str">
        <f>IFERROR(__xludf.DUMMYFUNCTION("""COMPUTED_VALUE"""),"Wildlander")</f>
        <v>Wildlander</v>
      </c>
      <c r="L19" s="75" t="str">
        <f>IFERROR(__xludf.DUMMYFUNCTION("""COMPUTED_VALUE"""),"Spiritspeaker")</f>
        <v>Spiritspeaker</v>
      </c>
      <c r="N19" s="75" t="str">
        <f>IFERROR(__xludf.DUMMYFUNCTION("""COMPUTED_VALUE"""),"The Wyrm Turns")</f>
        <v>The Wyrm Turns</v>
      </c>
      <c r="O19" s="75" t="str">
        <f>IFERROR(__xludf.DUMMYFUNCTION("""COMPUTED_VALUE"""),"Goblin Witcher")</f>
        <v>Goblin Witcher</v>
      </c>
      <c r="P19" s="75">
        <f>IFERROR(__xludf.DUMMYFUNCTION(" IFERROR(
(FILTER(Monsters!$AQ:$AQ, Monsters!$A:$A = O19 , Monsters!$D:$D  = 'Main Page'!$T$5, Monsters!$B:$B = ""Master"")
*
FILTER(Monsters!$AN:$AN, Monsters!$A:$A = O19 , Monsters!$D:$D  = 'Main Page'!$T$5, Monsters!$B:$B = ""Master"")
)
+
(FILTER(Mons"&amp;"ters!$AQ:$AQ, Monsters!$A:$A = O19 , Monsters!$D:$D  = 'Main Page'!$T$5, Monsters!$B:$B = ""Minion"")
*
FILTER(Monsters!$AN:$AN, Monsters!$A:$A = O19 , Monsters!$D:$D  = 'Main Page'!$T$5, Monsters!$B:$B = ""Minion"")
)
,
)"),49.855000000000004)</f>
        <v>49.855</v>
      </c>
      <c r="Q19" s="75" t="str">
        <f>IFERROR(__xludf.DUMMYFUNCTION("""COMPUTED_VALUE"""),"Goblin Witcher")</f>
        <v>Goblin Witcher</v>
      </c>
      <c r="R19" s="542">
        <f t="shared" si="1"/>
        <v>49.855</v>
      </c>
    </row>
    <row r="20">
      <c r="B20" s="258"/>
      <c r="F20" s="75" t="str">
        <f>IFERROR(__xludf.DUMMYFUNCTION("""COMPUTED_VALUE"""),"Geomancer")</f>
        <v>Geomancer</v>
      </c>
      <c r="H20" s="75" t="str">
        <f>IFERROR(__xludf.DUMMYFUNCTION("""COMPUTED_VALUE"""),"Champion")</f>
        <v>Champion</v>
      </c>
      <c r="J20" s="75" t="str">
        <f>IFERROR(__xludf.DUMMYFUNCTION("""COMPUTED_VALUE"""),"Shadow Walker")</f>
        <v>Shadow Walker</v>
      </c>
      <c r="L20" s="75" t="str">
        <f>IFERROR(__xludf.DUMMYFUNCTION("""COMPUTED_VALUE"""),"Prophet")</f>
        <v>Prophet</v>
      </c>
      <c r="N20" s="75" t="str">
        <f>IFERROR(__xludf.DUMMYFUNCTION("""COMPUTED_VALUE"""),"The Wyrm Rises")</f>
        <v>The Wyrm Rises</v>
      </c>
      <c r="O20" s="75" t="str">
        <f>IFERROR(__xludf.DUMMYFUNCTION("""COMPUTED_VALUE"""),"Hell Hound")</f>
        <v>Hell Hound</v>
      </c>
      <c r="P20" s="75">
        <f>IFERROR(__xludf.DUMMYFUNCTION(" IFERROR(
(FILTER(Monsters!$AQ:$AQ, Monsters!$A:$A = O20 , Monsters!$D:$D  = 'Main Page'!$T$5, Monsters!$B:$B = ""Master"")
*
FILTER(Monsters!$AN:$AN, Monsters!$A:$A = O20 , Monsters!$D:$D  = 'Main Page'!$T$5, Monsters!$B:$B = ""Master"")
)
+
(FILTER(Mons"&amp;"ters!$AQ:$AQ, Monsters!$A:$A = O20 , Monsters!$D:$D  = 'Main Page'!$T$5, Monsters!$B:$B = ""Minion"")
*
FILTER(Monsters!$AN:$AN, Monsters!$A:$A = O20 , Monsters!$D:$D  = 'Main Page'!$T$5, Monsters!$B:$B = ""Minion"")
)
,
)"),78.795)</f>
        <v>78.795</v>
      </c>
      <c r="Q20" s="75" t="str">
        <f>IFERROR(__xludf.DUMMYFUNCTION("""COMPUTED_VALUE"""),"Hell Hound")</f>
        <v>Hell Hound</v>
      </c>
      <c r="R20" s="542">
        <f t="shared" si="1"/>
        <v>78.795</v>
      </c>
    </row>
    <row r="21" ht="15.75" customHeight="1">
      <c r="B21" s="258"/>
      <c r="F21" s="75" t="str">
        <f>IFERROR(__xludf.DUMMYFUNCTION("""COMPUTED_VALUE"""),"Geomancer")</f>
        <v>Geomancer</v>
      </c>
      <c r="H21" s="75" t="str">
        <f>IFERROR(__xludf.DUMMYFUNCTION("""COMPUTED_VALUE"""),"Champion")</f>
        <v>Champion</v>
      </c>
      <c r="J21" s="75" t="str">
        <f>IFERROR(__xludf.DUMMYFUNCTION("""COMPUTED_VALUE"""),"Shadow Walker")</f>
        <v>Shadow Walker</v>
      </c>
      <c r="L21" s="75" t="str">
        <f>IFERROR(__xludf.DUMMYFUNCTION("""COMPUTED_VALUE"""),"Prophet")</f>
        <v>Prophet</v>
      </c>
      <c r="N21" s="75" t="str">
        <f>IFERROR(__xludf.DUMMYFUNCTION("""COMPUTED_VALUE"""),"The Wyrm Rises")</f>
        <v>The Wyrm Rises</v>
      </c>
      <c r="O21" s="75" t="str">
        <f>IFERROR(__xludf.DUMMYFUNCTION("""COMPUTED_VALUE"""),"Hybrid Sentinel")</f>
        <v>Hybrid Sentinel</v>
      </c>
      <c r="P21" s="75">
        <f>IFERROR(__xludf.DUMMYFUNCTION(" IFERROR(
(FILTER(Monsters!$AQ:$AQ, Monsters!$A:$A = O21 , Monsters!$D:$D  = 'Main Page'!$T$5, Monsters!$B:$B = ""Master"")
*
FILTER(Monsters!$AN:$AN, Monsters!$A:$A = O21 , Monsters!$D:$D  = 'Main Page'!$T$5, Monsters!$B:$B = ""Master"")
)
+
(FILTER(Mons"&amp;"ters!$AQ:$AQ, Monsters!$A:$A = O21 , Monsters!$D:$D  = 'Main Page'!$T$5, Monsters!$B:$B = ""Minion"")
*
FILTER(Monsters!$AN:$AN, Monsters!$A:$A = O21 , Monsters!$D:$D  = 'Main Page'!$T$5, Monsters!$B:$B = ""Minion"")
)
,
)"),98.835)</f>
        <v>98.835</v>
      </c>
      <c r="Q21" s="75" t="str">
        <f>IFERROR(__xludf.DUMMYFUNCTION("""COMPUTED_VALUE"""),"Hybrid Sentinel")</f>
        <v>Hybrid Sentinel</v>
      </c>
      <c r="R21" s="542">
        <f t="shared" si="1"/>
        <v>98.835</v>
      </c>
    </row>
    <row r="22" ht="15.75" customHeight="1">
      <c r="B22" s="258"/>
      <c r="F22" s="75" t="str">
        <f>IFERROR(__xludf.DUMMYFUNCTION("""COMPUTED_VALUE"""),"Geomancer")</f>
        <v>Geomancer</v>
      </c>
      <c r="H22" s="75" t="str">
        <f>IFERROR(__xludf.DUMMYFUNCTION("""COMPUTED_VALUE"""),"Champion")</f>
        <v>Champion</v>
      </c>
      <c r="J22" s="75" t="str">
        <f>IFERROR(__xludf.DUMMYFUNCTION("""COMPUTED_VALUE"""),"Shadow Walker")</f>
        <v>Shadow Walker</v>
      </c>
      <c r="L22" s="75" t="str">
        <f>IFERROR(__xludf.DUMMYFUNCTION("""COMPUTED_VALUE"""),"Prophet")</f>
        <v>Prophet</v>
      </c>
      <c r="N22" s="75" t="str">
        <f>IFERROR(__xludf.DUMMYFUNCTION("""COMPUTED_VALUE"""),"Gryvorn Unleashed")</f>
        <v>Gryvorn Unleashed</v>
      </c>
      <c r="O22" s="75" t="str">
        <f>IFERROR(__xludf.DUMMYFUNCTION("""COMPUTED_VALUE"""),"Ice Wyrm")</f>
        <v>Ice Wyrm</v>
      </c>
      <c r="P22" s="75">
        <f>IFERROR(__xludf.DUMMYFUNCTION(" IFERROR(
(FILTER(Monsters!$AQ:$AQ, Monsters!$A:$A = O22 , Monsters!$D:$D  = 'Main Page'!$T$5, Monsters!$B:$B = ""Master"")
*
FILTER(Monsters!$AN:$AN, Monsters!$A:$A = O22 , Monsters!$D:$D  = 'Main Page'!$T$5, Monsters!$B:$B = ""Master"")
)
+
(FILTER(Mons"&amp;"ters!$AQ:$AQ, Monsters!$A:$A = O22 , Monsters!$D:$D  = 'Main Page'!$T$5, Monsters!$B:$B = ""Minion"")
*
FILTER(Monsters!$AN:$AN, Monsters!$A:$A = O22 , Monsters!$D:$D  = 'Main Page'!$T$5, Monsters!$B:$B = ""Minion"")
)
,
)"),96.45999999999998)</f>
        <v>96.46</v>
      </c>
      <c r="Q22" s="75" t="str">
        <f>IFERROR(__xludf.DUMMYFUNCTION("""COMPUTED_VALUE"""),"Ice Wyrm")</f>
        <v>Ice Wyrm</v>
      </c>
      <c r="R22" s="542">
        <f t="shared" si="1"/>
        <v>96.46</v>
      </c>
    </row>
    <row r="23" ht="15.75" customHeight="1">
      <c r="B23" s="258"/>
      <c r="F23" s="75" t="str">
        <f>IFERROR(__xludf.DUMMYFUNCTION("""COMPUTED_VALUE"""),"Geomancer")</f>
        <v>Geomancer</v>
      </c>
      <c r="H23" s="75" t="str">
        <f>IFERROR(__xludf.DUMMYFUNCTION("""COMPUTED_VALUE"""),"Champion")</f>
        <v>Champion</v>
      </c>
      <c r="J23" s="75" t="str">
        <f>IFERROR(__xludf.DUMMYFUNCTION("""COMPUTED_VALUE"""),"Shadow Walker")</f>
        <v>Shadow Walker</v>
      </c>
      <c r="L23" s="75" t="str">
        <f>IFERROR(__xludf.DUMMYFUNCTION("""COMPUTED_VALUE"""),"Prophet")</f>
        <v>Prophet</v>
      </c>
      <c r="N23" s="75" t="str">
        <f>IFERROR(__xludf.DUMMYFUNCTION("""COMPUTED_VALUE"""),"Gryvorn Unleashed")</f>
        <v>Gryvorn Unleashed</v>
      </c>
      <c r="O23" s="75" t="str">
        <f>IFERROR(__xludf.DUMMYFUNCTION("""COMPUTED_VALUE"""),"Kobold")</f>
        <v>Kobold</v>
      </c>
      <c r="P23" s="75">
        <f>IFERROR(__xludf.DUMMYFUNCTION(" IFERROR(
(FILTER(Monsters!$AQ:$AQ, Monsters!$A:$A = O23 , Monsters!$D:$D  = 'Main Page'!$T$5, Monsters!$B:$B = ""Master"")
*
FILTER(Monsters!$AN:$AN, Monsters!$A:$A = O23 , Monsters!$D:$D  = 'Main Page'!$T$5, Monsters!$B:$B = ""Master"")
)
+
(FILTER(Mons"&amp;"ters!$AQ:$AQ, Monsters!$A:$A = O23 , Monsters!$D:$D  = 'Main Page'!$T$5, Monsters!$B:$B = ""Minion"")
*
FILTER(Monsters!$AN:$AN, Monsters!$A:$A = O23 , Monsters!$D:$D  = 'Main Page'!$T$5, Monsters!$B:$B = ""Minion"")
)
,
)"),43.34)</f>
        <v>43.34</v>
      </c>
      <c r="Q23" s="75" t="str">
        <f>IFERROR(__xludf.DUMMYFUNCTION("""COMPUTED_VALUE"""),"Kobold")</f>
        <v>Kobold</v>
      </c>
      <c r="R23" s="542">
        <f t="shared" si="1"/>
        <v>43.34</v>
      </c>
    </row>
    <row r="24" ht="15.75" customHeight="1">
      <c r="B24" s="258"/>
      <c r="F24" s="75" t="str">
        <f>IFERROR(__xludf.DUMMYFUNCTION("""COMPUTED_VALUE"""),"Geomancer")</f>
        <v>Geomancer</v>
      </c>
      <c r="H24" s="75" t="str">
        <f>IFERROR(__xludf.DUMMYFUNCTION("""COMPUTED_VALUE"""),"Champion")</f>
        <v>Champion</v>
      </c>
      <c r="J24" s="75" t="str">
        <f>IFERROR(__xludf.DUMMYFUNCTION("""COMPUTED_VALUE"""),"Shadow Walker")</f>
        <v>Shadow Walker</v>
      </c>
      <c r="L24" s="75" t="str">
        <f>IFERROR(__xludf.DUMMYFUNCTION("""COMPUTED_VALUE"""),"Prophet")</f>
        <v>Prophet</v>
      </c>
      <c r="N24" s="75" t="str">
        <f>IFERROR(__xludf.DUMMYFUNCTION("""COMPUTED_VALUE"""),"The Man Who Would Be King")</f>
        <v>The Man Who Would Be King</v>
      </c>
      <c r="O24" s="75" t="str">
        <f>IFERROR(__xludf.DUMMYFUNCTION("""COMPUTED_VALUE"""),"Medusa")</f>
        <v>Medusa</v>
      </c>
      <c r="P24" s="75">
        <f>IFERROR(__xludf.DUMMYFUNCTION(" IFERROR(
(FILTER(Monsters!$AQ:$AQ, Monsters!$A:$A = O24 , Monsters!$D:$D  = 'Main Page'!$T$5, Monsters!$B:$B = ""Master"")
*
FILTER(Monsters!$AN:$AN, Monsters!$A:$A = O24 , Monsters!$D:$D  = 'Main Page'!$T$5, Monsters!$B:$B = ""Master"")
)
+
(FILTER(Mons"&amp;"ters!$AQ:$AQ, Monsters!$A:$A = O24 , Monsters!$D:$D  = 'Main Page'!$T$5, Monsters!$B:$B = ""Minion"")
*
FILTER(Monsters!$AN:$AN, Monsters!$A:$A = O24 , Monsters!$D:$D  = 'Main Page'!$T$5, Monsters!$B:$B = ""Minion"")
)
,
)"),59.959999999999994)</f>
        <v>59.96</v>
      </c>
      <c r="Q24" s="75" t="str">
        <f>IFERROR(__xludf.DUMMYFUNCTION("""COMPUTED_VALUE"""),"Medusa")</f>
        <v>Medusa</v>
      </c>
      <c r="R24" s="542">
        <f t="shared" si="1"/>
        <v>59.96</v>
      </c>
    </row>
    <row r="25" ht="15.75" customHeight="1">
      <c r="B25" s="258"/>
      <c r="F25" s="75" t="str">
        <f>IFERROR(__xludf.DUMMYFUNCTION("""COMPUTED_VALUE"""),"Geomancer")</f>
        <v>Geomancer</v>
      </c>
      <c r="H25" s="75" t="str">
        <f>IFERROR(__xludf.DUMMYFUNCTION("""COMPUTED_VALUE"""),"Champion")</f>
        <v>Champion</v>
      </c>
      <c r="J25" s="75" t="str">
        <f>IFERROR(__xludf.DUMMYFUNCTION("""COMPUTED_VALUE"""),"Shadow Walker")</f>
        <v>Shadow Walker</v>
      </c>
      <c r="L25" s="75" t="str">
        <f>IFERROR(__xludf.DUMMYFUNCTION("""COMPUTED_VALUE"""),"Prophet")</f>
        <v>Prophet</v>
      </c>
      <c r="N25" s="75" t="str">
        <f>IFERROR(__xludf.DUMMYFUNCTION("""COMPUTED_VALUE"""),"The Man Who Would Be King")</f>
        <v>The Man Who Would Be King</v>
      </c>
      <c r="O25" s="75" t="str">
        <f>IFERROR(__xludf.DUMMYFUNCTION("""COMPUTED_VALUE"""),"Naga")</f>
        <v>Naga</v>
      </c>
      <c r="P25" s="75">
        <f>IFERROR(__xludf.DUMMYFUNCTION(" IFERROR(
(FILTER(Monsters!$AQ:$AQ, Monsters!$A:$A = O25 , Monsters!$D:$D  = 'Main Page'!$T$5, Monsters!$B:$B = ""Master"")
*
FILTER(Monsters!$AN:$AN, Monsters!$A:$A = O25 , Monsters!$D:$D  = 'Main Page'!$T$5, Monsters!$B:$B = ""Master"")
)
+
(FILTER(Mons"&amp;"ters!$AQ:$AQ, Monsters!$A:$A = O25 , Monsters!$D:$D  = 'Main Page'!$T$5, Monsters!$B:$B = ""Minion"")
*
FILTER(Monsters!$AN:$AN, Monsters!$A:$A = O25 , Monsters!$D:$D  = 'Main Page'!$T$5, Monsters!$B:$B = ""Minion"")
)
,
)"),68.2)</f>
        <v>68.2</v>
      </c>
      <c r="Q25" s="75" t="str">
        <f>IFERROR(__xludf.DUMMYFUNCTION("""COMPUTED_VALUE"""),"Naga")</f>
        <v>Naga</v>
      </c>
      <c r="R25" s="542">
        <f t="shared" si="1"/>
        <v>68.2</v>
      </c>
    </row>
    <row r="26" ht="15.75" customHeight="1">
      <c r="B26" s="258"/>
      <c r="F26" s="75" t="str">
        <f>IFERROR(__xludf.DUMMYFUNCTION("""COMPUTED_VALUE"""),"Geomancer")</f>
        <v>Geomancer</v>
      </c>
      <c r="H26" s="75" t="str">
        <f>IFERROR(__xludf.DUMMYFUNCTION("""COMPUTED_VALUE"""),"Champion")</f>
        <v>Champion</v>
      </c>
      <c r="J26" s="75" t="str">
        <f>IFERROR(__xludf.DUMMYFUNCTION("""COMPUTED_VALUE"""),"Shadow Walker")</f>
        <v>Shadow Walker</v>
      </c>
      <c r="L26" s="75" t="str">
        <f>IFERROR(__xludf.DUMMYFUNCTION("""COMPUTED_VALUE"""),"Prophet")</f>
        <v>Prophet</v>
      </c>
      <c r="O26" s="75" t="str">
        <f>IFERROR(__xludf.DUMMYFUNCTION("""COMPUTED_VALUE"""),"Ogre")</f>
        <v>Ogre</v>
      </c>
      <c r="P26" s="75">
        <f>IFERROR(__xludf.DUMMYFUNCTION(" IFERROR(
(FILTER(Monsters!$AQ:$AQ, Monsters!$A:$A = O26 , Monsters!$D:$D  = 'Main Page'!$T$5, Monsters!$B:$B = ""Master"")
*
FILTER(Monsters!$AN:$AN, Monsters!$A:$A = O26 , Monsters!$D:$D  = 'Main Page'!$T$5, Monsters!$B:$B = ""Master"")
)
+
(FILTER(Mons"&amp;"ters!$AQ:$AQ, Monsters!$A:$A = O26 , Monsters!$D:$D  = 'Main Page'!$T$5, Monsters!$B:$B = ""Minion"")
*
FILTER(Monsters!$AN:$AN, Monsters!$A:$A = O26 , Monsters!$D:$D  = 'Main Page'!$T$5, Monsters!$B:$B = ""Minion"")
)
,
)"),40.36916666666667)</f>
        <v>40.36916667</v>
      </c>
      <c r="Q26" s="75" t="str">
        <f>IFERROR(__xludf.DUMMYFUNCTION("""COMPUTED_VALUE"""),"Ogre")</f>
        <v>Ogre</v>
      </c>
      <c r="R26" s="542">
        <f t="shared" si="1"/>
        <v>40.36916667</v>
      </c>
    </row>
    <row r="27" ht="15.75" customHeight="1">
      <c r="B27" s="258"/>
      <c r="F27" s="75" t="str">
        <f>IFERROR(__xludf.DUMMYFUNCTION("""COMPUTED_VALUE"""),"Geomancer")</f>
        <v>Geomancer</v>
      </c>
      <c r="H27" s="75" t="str">
        <f>IFERROR(__xludf.DUMMYFUNCTION("""COMPUTED_VALUE"""),"Champion")</f>
        <v>Champion</v>
      </c>
      <c r="J27" s="75" t="str">
        <f>IFERROR(__xludf.DUMMYFUNCTION("""COMPUTED_VALUE"""),"Shadow Walker")</f>
        <v>Shadow Walker</v>
      </c>
      <c r="L27" s="75" t="str">
        <f>IFERROR(__xludf.DUMMYFUNCTION("""COMPUTED_VALUE"""),"Prophet")</f>
        <v>Prophet</v>
      </c>
      <c r="O27" s="75" t="str">
        <f>IFERROR(__xludf.DUMMYFUNCTION("""COMPUTED_VALUE"""),"Plague Worm")</f>
        <v>Plague Worm</v>
      </c>
      <c r="P27" s="75">
        <f>IFERROR(__xludf.DUMMYFUNCTION(" IFERROR(
(FILTER(Monsters!$AQ:$AQ, Monsters!$A:$A = O27 , Monsters!$D:$D  = 'Main Page'!$T$5, Monsters!$B:$B = ""Master"")
*
FILTER(Monsters!$AN:$AN, Monsters!$A:$A = O27 , Monsters!$D:$D  = 'Main Page'!$T$5, Monsters!$B:$B = ""Master"")
)
+
(FILTER(Mons"&amp;"ters!$AQ:$AQ, Monsters!$A:$A = O27 , Monsters!$D:$D  = 'Main Page'!$T$5, Monsters!$B:$B = ""Minion"")
*
FILTER(Monsters!$AN:$AN, Monsters!$A:$A = O27 , Monsters!$D:$D  = 'Main Page'!$T$5, Monsters!$B:$B = ""Minion"")
)
,
)"),77.7825)</f>
        <v>77.7825</v>
      </c>
      <c r="Q27" s="75" t="str">
        <f>IFERROR(__xludf.DUMMYFUNCTION("""COMPUTED_VALUE"""),"Plague Worm")</f>
        <v>Plague Worm</v>
      </c>
      <c r="R27" s="542">
        <f t="shared" si="1"/>
        <v>77.7825</v>
      </c>
    </row>
    <row r="28" ht="15.75" customHeight="1">
      <c r="B28" s="258"/>
      <c r="F28" s="75" t="str">
        <f>IFERROR(__xludf.DUMMYFUNCTION("""COMPUTED_VALUE"""),"Geomancer")</f>
        <v>Geomancer</v>
      </c>
      <c r="H28" s="75" t="str">
        <f>IFERROR(__xludf.DUMMYFUNCTION("""COMPUTED_VALUE"""),"Champion")</f>
        <v>Champion</v>
      </c>
      <c r="J28" s="75" t="str">
        <f>IFERROR(__xludf.DUMMYFUNCTION("""COMPUTED_VALUE"""),"Shadow Walker")</f>
        <v>Shadow Walker</v>
      </c>
      <c r="L28" s="75" t="str">
        <f>IFERROR(__xludf.DUMMYFUNCTION("""COMPUTED_VALUE"""),"Prophet")</f>
        <v>Prophet</v>
      </c>
      <c r="O28" s="75" t="str">
        <f>IFERROR(__xludf.DUMMYFUNCTION("""COMPUTED_VALUE"""),"Razorwing")</f>
        <v>Razorwing</v>
      </c>
      <c r="P28" s="75">
        <f>IFERROR(__xludf.DUMMYFUNCTION(" IFERROR(
(FILTER(Monsters!$AQ:$AQ, Monsters!$A:$A = O28 , Monsters!$D:$D  = 'Main Page'!$T$5, Monsters!$B:$B = ""Master"")
*
FILTER(Monsters!$AN:$AN, Monsters!$A:$A = O28 , Monsters!$D:$D  = 'Main Page'!$T$5, Monsters!$B:$B = ""Master"")
)
+
(FILTER(Mons"&amp;"ters!$AQ:$AQ, Monsters!$A:$A = O28 , Monsters!$D:$D  = 'Main Page'!$T$5, Monsters!$B:$B = ""Minion"")
*
FILTER(Monsters!$AN:$AN, Monsters!$A:$A = O28 , Monsters!$D:$D  = 'Main Page'!$T$5, Monsters!$B:$B = ""Minion"")
)
,
)"),45.80500000000001)</f>
        <v>45.805</v>
      </c>
      <c r="Q28" s="75" t="str">
        <f>IFERROR(__xludf.DUMMYFUNCTION("""COMPUTED_VALUE"""),"Razorwing")</f>
        <v>Razorwing</v>
      </c>
      <c r="R28" s="542">
        <f t="shared" si="1"/>
        <v>45.805</v>
      </c>
    </row>
    <row r="29" ht="15.75" customHeight="1">
      <c r="B29" s="258"/>
      <c r="F29" s="75" t="str">
        <f>IFERROR(__xludf.DUMMYFUNCTION("""COMPUTED_VALUE"""),"Conjurer")</f>
        <v>Conjurer</v>
      </c>
      <c r="H29" s="75" t="str">
        <f>IFERROR(__xludf.DUMMYFUNCTION("""COMPUTED_VALUE"""),"Skirmisher")</f>
        <v>Skirmisher</v>
      </c>
      <c r="J29" s="75" t="str">
        <f>IFERROR(__xludf.DUMMYFUNCTION("""COMPUTED_VALUE"""),"Treasure Hunter")</f>
        <v>Treasure Hunter</v>
      </c>
      <c r="L29" s="75" t="str">
        <f>IFERROR(__xludf.DUMMYFUNCTION("""COMPUTED_VALUE"""),"Apothecary")</f>
        <v>Apothecary</v>
      </c>
      <c r="O29" s="75" t="str">
        <f>IFERROR(__xludf.DUMMYFUNCTION("""COMPUTED_VALUE"""),"Reanimate")</f>
        <v>Reanimate</v>
      </c>
      <c r="P29" s="75">
        <f>IFERROR(__xludf.DUMMYFUNCTION(" IFERROR(
(FILTER(Monsters!$AQ:$AQ, Monsters!$A:$A = O29 , Monsters!$D:$D  = 'Main Page'!$T$5, Monsters!$B:$B = ""Master"")
*
FILTER(Monsters!$AN:$AN, Monsters!$A:$A = O29 , Monsters!$D:$D  = 'Main Page'!$T$5, Monsters!$B:$B = ""Master"")
)
+
(FILTER(Mons"&amp;"ters!$AQ:$AQ, Monsters!$A:$A = O29 , Monsters!$D:$D  = 'Main Page'!$T$5, Monsters!$B:$B = ""Minion"")
*
FILTER(Monsters!$AN:$AN, Monsters!$A:$A = O29 , Monsters!$D:$D  = 'Main Page'!$T$5, Monsters!$B:$B = ""Minion"")
)
,
)"),66.27333333333334)</f>
        <v>66.27333333</v>
      </c>
      <c r="Q29" s="75" t="str">
        <f>IFERROR(__xludf.DUMMYFUNCTION("""COMPUTED_VALUE"""),"Reanimate")</f>
        <v>Reanimate</v>
      </c>
      <c r="R29" s="542">
        <f t="shared" si="1"/>
        <v>66.27333333</v>
      </c>
    </row>
    <row r="30" ht="15.75" customHeight="1">
      <c r="B30" s="258"/>
      <c r="F30" s="75" t="str">
        <f>IFERROR(__xludf.DUMMYFUNCTION("""COMPUTED_VALUE"""),"Conjurer")</f>
        <v>Conjurer</v>
      </c>
      <c r="H30" s="75" t="str">
        <f>IFERROR(__xludf.DUMMYFUNCTION("""COMPUTED_VALUE"""),"Skirmisher")</f>
        <v>Skirmisher</v>
      </c>
      <c r="J30" s="75" t="str">
        <f>IFERROR(__xludf.DUMMYFUNCTION("""COMPUTED_VALUE"""),"Treasure Hunter")</f>
        <v>Treasure Hunter</v>
      </c>
      <c r="L30" s="75" t="str">
        <f>IFERROR(__xludf.DUMMYFUNCTION("""COMPUTED_VALUE"""),"Apothecary")</f>
        <v>Apothecary</v>
      </c>
      <c r="O30" s="75" t="str">
        <f>IFERROR(__xludf.DUMMYFUNCTION("""COMPUTED_VALUE"""),"Shade")</f>
        <v>Shade</v>
      </c>
      <c r="P30" s="75">
        <f>IFERROR(__xludf.DUMMYFUNCTION(" IFERROR(
(FILTER(Monsters!$AQ:$AQ, Monsters!$A:$A = O30 , Monsters!$D:$D  = 'Main Page'!$T$5, Monsters!$B:$B = ""Master"")
*
FILTER(Monsters!$AN:$AN, Monsters!$A:$A = O30 , Monsters!$D:$D  = 'Main Page'!$T$5, Monsters!$B:$B = ""Master"")
)
+
(FILTER(Mons"&amp;"ters!$AQ:$AQ, Monsters!$A:$A = O30 , Monsters!$D:$D  = 'Main Page'!$T$5, Monsters!$B:$B = ""Minion"")
*
FILTER(Monsters!$AN:$AN, Monsters!$A:$A = O30 , Monsters!$D:$D  = 'Main Page'!$T$5, Monsters!$B:$B = ""Minion"")
)
,
)"),90.41666666666667)</f>
        <v>90.41666667</v>
      </c>
      <c r="Q30" s="75" t="str">
        <f>IFERROR(__xludf.DUMMYFUNCTION("""COMPUTED_VALUE"""),"Shade")</f>
        <v>Shade</v>
      </c>
      <c r="R30" s="542">
        <f t="shared" si="1"/>
        <v>90.41666667</v>
      </c>
    </row>
    <row r="31" ht="15.75" customHeight="1">
      <c r="B31" s="258"/>
      <c r="F31" s="75" t="str">
        <f>IFERROR(__xludf.DUMMYFUNCTION("""COMPUTED_VALUE"""),"Conjurer")</f>
        <v>Conjurer</v>
      </c>
      <c r="H31" s="75" t="str">
        <f>IFERROR(__xludf.DUMMYFUNCTION("""COMPUTED_VALUE"""),"Skirmisher")</f>
        <v>Skirmisher</v>
      </c>
      <c r="J31" s="75" t="str">
        <f>IFERROR(__xludf.DUMMYFUNCTION("""COMPUTED_VALUE"""),"Treasure Hunter")</f>
        <v>Treasure Hunter</v>
      </c>
      <c r="L31" s="75" t="str">
        <f>IFERROR(__xludf.DUMMYFUNCTION("""COMPUTED_VALUE"""),"Apothecary")</f>
        <v>Apothecary</v>
      </c>
      <c r="O31" s="75" t="str">
        <f>IFERROR(__xludf.DUMMYFUNCTION("""COMPUTED_VALUE"""),"Shambling Colossus")</f>
        <v>Shambling Colossus</v>
      </c>
      <c r="P31" s="75">
        <f>IFERROR(__xludf.DUMMYFUNCTION(" IFERROR(
(FILTER(Monsters!$AQ:$AQ, Monsters!$A:$A = O31 , Monsters!$D:$D  = 'Main Page'!$T$5, Monsters!$B:$B = ""Master"")
*
FILTER(Monsters!$AN:$AN, Monsters!$A:$A = O31 , Monsters!$D:$D  = 'Main Page'!$T$5, Monsters!$B:$B = ""Master"")
)
+
(FILTER(Mons"&amp;"ters!$AQ:$AQ, Monsters!$A:$A = O31 , Monsters!$D:$D  = 'Main Page'!$T$5, Monsters!$B:$B = ""Minion"")
*
FILTER(Monsters!$AN:$AN, Monsters!$A:$A = O31 , Monsters!$D:$D  = 'Main Page'!$T$5, Monsters!$B:$B = ""Minion"")
)
,
)"),76.12666666666667)</f>
        <v>76.12666667</v>
      </c>
      <c r="Q31" s="75" t="str">
        <f>IFERROR(__xludf.DUMMYFUNCTION("""COMPUTED_VALUE"""),"Shambling Colossus")</f>
        <v>Shambling Colossus</v>
      </c>
      <c r="R31" s="542">
        <f t="shared" si="1"/>
        <v>76.12666667</v>
      </c>
    </row>
    <row r="32" ht="15.75" customHeight="1">
      <c r="B32" s="258"/>
      <c r="F32" s="75" t="str">
        <f>IFERROR(__xludf.DUMMYFUNCTION("""COMPUTED_VALUE"""),"Conjurer")</f>
        <v>Conjurer</v>
      </c>
      <c r="H32" s="75" t="str">
        <f>IFERROR(__xludf.DUMMYFUNCTION("""COMPUTED_VALUE"""),"Skirmisher")</f>
        <v>Skirmisher</v>
      </c>
      <c r="J32" s="75" t="str">
        <f>IFERROR(__xludf.DUMMYFUNCTION("""COMPUTED_VALUE"""),"Treasure Hunter")</f>
        <v>Treasure Hunter</v>
      </c>
      <c r="L32" s="75" t="str">
        <f>IFERROR(__xludf.DUMMYFUNCTION("""COMPUTED_VALUE"""),"Apothecary")</f>
        <v>Apothecary</v>
      </c>
      <c r="O32" s="75" t="str">
        <f>IFERROR(__xludf.DUMMYFUNCTION("""COMPUTED_VALUE"""),"Skeleton Archer")</f>
        <v>Skeleton Archer</v>
      </c>
      <c r="P32" s="75">
        <f>IFERROR(__xludf.DUMMYFUNCTION(" IFERROR(
(FILTER(Monsters!$AQ:$AQ, Monsters!$A:$A = O32 , Monsters!$D:$D  = 'Main Page'!$T$5, Monsters!$B:$B = ""Master"")
*
FILTER(Monsters!$AN:$AN, Monsters!$A:$A = O32 , Monsters!$D:$D  = 'Main Page'!$T$5, Monsters!$B:$B = ""Master"")
)
+
(FILTER(Mons"&amp;"ters!$AQ:$AQ, Monsters!$A:$A = O32 , Monsters!$D:$D  = 'Main Page'!$T$5, Monsters!$B:$B = ""Minion"")
*
FILTER(Monsters!$AN:$AN, Monsters!$A:$A = O32 , Monsters!$D:$D  = 'Main Page'!$T$5, Monsters!$B:$B = ""Minion"")
)
,
)"),83.87083333333332)</f>
        <v>83.87083333</v>
      </c>
      <c r="Q32" s="75" t="str">
        <f>IFERROR(__xludf.DUMMYFUNCTION("""COMPUTED_VALUE"""),"Skeleton Archer")</f>
        <v>Skeleton Archer</v>
      </c>
      <c r="R32" s="542">
        <f t="shared" si="1"/>
        <v>83.87083333</v>
      </c>
    </row>
    <row r="33" ht="15.75" customHeight="1">
      <c r="B33" s="258"/>
      <c r="F33" s="75" t="str">
        <f>IFERROR(__xludf.DUMMYFUNCTION("""COMPUTED_VALUE"""),"Conjurer")</f>
        <v>Conjurer</v>
      </c>
      <c r="H33" s="75" t="str">
        <f>IFERROR(__xludf.DUMMYFUNCTION("""COMPUTED_VALUE"""),"Skirmisher")</f>
        <v>Skirmisher</v>
      </c>
      <c r="J33" s="75" t="str">
        <f>IFERROR(__xludf.DUMMYFUNCTION("""COMPUTED_VALUE"""),"Treasure Hunter")</f>
        <v>Treasure Hunter</v>
      </c>
      <c r="L33" s="75" t="str">
        <f>IFERROR(__xludf.DUMMYFUNCTION("""COMPUTED_VALUE"""),"Apothecary")</f>
        <v>Apothecary</v>
      </c>
      <c r="O33" s="75" t="str">
        <f>IFERROR(__xludf.DUMMYFUNCTION("""COMPUTED_VALUE"""),"The Dispossessed")</f>
        <v>The Dispossessed</v>
      </c>
      <c r="P33" s="75">
        <f>IFERROR(__xludf.DUMMYFUNCTION(" IFERROR(
(FILTER(Monsters!$AQ:$AQ, Monsters!$A:$A = O33 , Monsters!$D:$D  = 'Main Page'!$T$5, Monsters!$B:$B = ""Master"")
*
FILTER(Monsters!$AN:$AN, Monsters!$A:$A = O33 , Monsters!$D:$D  = 'Main Page'!$T$5, Monsters!$B:$B = ""Master"")
)
+
(FILTER(Mons"&amp;"ters!$AQ:$AQ, Monsters!$A:$A = O33 , Monsters!$D:$D  = 'Main Page'!$T$5, Monsters!$B:$B = ""Minion"")
*
FILTER(Monsters!$AN:$AN, Monsters!$A:$A = O33 , Monsters!$D:$D  = 'Main Page'!$T$5, Monsters!$B:$B = ""Minion"")
)
,
)"),68.39666666666668)</f>
        <v>68.39666667</v>
      </c>
      <c r="Q33" s="75" t="str">
        <f>IFERROR(__xludf.DUMMYFUNCTION("""COMPUTED_VALUE"""),"The Dispossessed")</f>
        <v>The Dispossessed</v>
      </c>
      <c r="R33" s="542">
        <f t="shared" si="1"/>
        <v>68.39666667</v>
      </c>
    </row>
    <row r="34" ht="15.75" customHeight="1">
      <c r="B34" s="258"/>
      <c r="F34" s="75" t="str">
        <f>IFERROR(__xludf.DUMMYFUNCTION("""COMPUTED_VALUE"""),"Conjurer")</f>
        <v>Conjurer</v>
      </c>
      <c r="H34" s="75" t="str">
        <f>IFERROR(__xludf.DUMMYFUNCTION("""COMPUTED_VALUE"""),"Skirmisher")</f>
        <v>Skirmisher</v>
      </c>
      <c r="J34" s="75" t="str">
        <f>IFERROR(__xludf.DUMMYFUNCTION("""COMPUTED_VALUE"""),"Treasure Hunter")</f>
        <v>Treasure Hunter</v>
      </c>
      <c r="L34" s="75" t="str">
        <f>IFERROR(__xludf.DUMMYFUNCTION("""COMPUTED_VALUE"""),"Apothecary")</f>
        <v>Apothecary</v>
      </c>
      <c r="O34" s="75" t="str">
        <f>IFERROR(__xludf.DUMMYFUNCTION("""COMPUTED_VALUE"""),"Troll")</f>
        <v>Troll</v>
      </c>
      <c r="P34" s="75">
        <f>IFERROR(__xludf.DUMMYFUNCTION(" IFERROR(
(FILTER(Monsters!$AQ:$AQ, Monsters!$A:$A = O34 , Monsters!$D:$D  = 'Main Page'!$T$5, Monsters!$B:$B = ""Master"")
*
FILTER(Monsters!$AN:$AN, Monsters!$A:$A = O34 , Monsters!$D:$D  = 'Main Page'!$T$5, Monsters!$B:$B = ""Master"")
)
+
(FILTER(Mons"&amp;"ters!$AQ:$AQ, Monsters!$A:$A = O34 , Monsters!$D:$D  = 'Main Page'!$T$5, Monsters!$B:$B = ""Minion"")
*
FILTER(Monsters!$AN:$AN, Monsters!$A:$A = O34 , Monsters!$D:$D  = 'Main Page'!$T$5, Monsters!$B:$B = ""Minion"")
)
,
)"),58.14)</f>
        <v>58.14</v>
      </c>
      <c r="Q34" s="75" t="str">
        <f>IFERROR(__xludf.DUMMYFUNCTION("""COMPUTED_VALUE"""),"Troll")</f>
        <v>Troll</v>
      </c>
      <c r="R34" s="542">
        <f t="shared" si="1"/>
        <v>58.14</v>
      </c>
    </row>
    <row r="35" ht="15.75" customHeight="1">
      <c r="B35" s="258"/>
      <c r="F35" s="75" t="str">
        <f>IFERROR(__xludf.DUMMYFUNCTION("""COMPUTED_VALUE"""),"Conjurer")</f>
        <v>Conjurer</v>
      </c>
      <c r="H35" s="75" t="str">
        <f>IFERROR(__xludf.DUMMYFUNCTION("""COMPUTED_VALUE"""),"Skirmisher")</f>
        <v>Skirmisher</v>
      </c>
      <c r="J35" s="75" t="str">
        <f>IFERROR(__xludf.DUMMYFUNCTION("""COMPUTED_VALUE"""),"Treasure Hunter")</f>
        <v>Treasure Hunter</v>
      </c>
      <c r="L35" s="75" t="str">
        <f>IFERROR(__xludf.DUMMYFUNCTION("""COMPUTED_VALUE"""),"Apothecary")</f>
        <v>Apothecary</v>
      </c>
      <c r="O35" s="75" t="str">
        <f>IFERROR(__xludf.DUMMYFUNCTION("""COMPUTED_VALUE"""),"Wendigo")</f>
        <v>Wendigo</v>
      </c>
      <c r="P35" s="75">
        <f>IFERROR(__xludf.DUMMYFUNCTION(" IFERROR(
(FILTER(Monsters!$AQ:$AQ, Monsters!$A:$A = O35 , Monsters!$D:$D  = 'Main Page'!$T$5, Monsters!$B:$B = ""Master"")
*
FILTER(Monsters!$AN:$AN, Monsters!$A:$A = O35 , Monsters!$D:$D  = 'Main Page'!$T$5, Monsters!$B:$B = ""Master"")
)
+
(FILTER(Mons"&amp;"ters!$AQ:$AQ, Monsters!$A:$A = O35 , Monsters!$D:$D  = 'Main Page'!$T$5, Monsters!$B:$B = ""Minion"")
*
FILTER(Monsters!$AN:$AN, Monsters!$A:$A = O35 , Monsters!$D:$D  = 'Main Page'!$T$5, Monsters!$B:$B = ""Minion"")
)
,
)"),74.61666666666667)</f>
        <v>74.61666667</v>
      </c>
      <c r="Q35" s="75" t="str">
        <f>IFERROR(__xludf.DUMMYFUNCTION("""COMPUTED_VALUE"""),"Wendigo")</f>
        <v>Wendigo</v>
      </c>
      <c r="R35" s="542">
        <f t="shared" si="1"/>
        <v>74.61666667</v>
      </c>
    </row>
    <row r="36" ht="15.75" customHeight="1">
      <c r="B36" s="258"/>
      <c r="F36" s="75" t="str">
        <f>IFERROR(__xludf.DUMMYFUNCTION("""COMPUTED_VALUE"""),"Conjurer")</f>
        <v>Conjurer</v>
      </c>
      <c r="H36" s="75" t="str">
        <f>IFERROR(__xludf.DUMMYFUNCTION("""COMPUTED_VALUE"""),"Skirmisher")</f>
        <v>Skirmisher</v>
      </c>
      <c r="J36" s="75" t="str">
        <f>IFERROR(__xludf.DUMMYFUNCTION("""COMPUTED_VALUE"""),"Treasure Hunter")</f>
        <v>Treasure Hunter</v>
      </c>
      <c r="L36" s="75" t="str">
        <f>IFERROR(__xludf.DUMMYFUNCTION("""COMPUTED_VALUE"""),"Apothecary")</f>
        <v>Apothecary</v>
      </c>
      <c r="O36" s="75" t="str">
        <f>IFERROR(__xludf.DUMMYFUNCTION("""COMPUTED_VALUE"""),"Wraith")</f>
        <v>Wraith</v>
      </c>
      <c r="P36" s="75">
        <f>IFERROR(__xludf.DUMMYFUNCTION(" IFERROR(
(FILTER(Monsters!$AQ:$AQ, Monsters!$A:$A = O36 , Monsters!$D:$D  = 'Main Page'!$T$5, Monsters!$B:$B = ""Master"")
*
FILTER(Monsters!$AN:$AN, Monsters!$A:$A = O36 , Monsters!$D:$D  = 'Main Page'!$T$5, Monsters!$B:$B = ""Master"")
)
+
(FILTER(Mons"&amp;"ters!$AQ:$AQ, Monsters!$A:$A = O36 , Monsters!$D:$D  = 'Main Page'!$T$5, Monsters!$B:$B = ""Minion"")
*
FILTER(Monsters!$AN:$AN, Monsters!$A:$A = O36 , Monsters!$D:$D  = 'Main Page'!$T$5, Monsters!$B:$B = ""Minion"")
)
,
)"),68.53333333333333)</f>
        <v>68.53333333</v>
      </c>
      <c r="Q36" s="75" t="str">
        <f>IFERROR(__xludf.DUMMYFUNCTION("""COMPUTED_VALUE"""),"Wraith")</f>
        <v>Wraith</v>
      </c>
      <c r="R36" s="542">
        <f t="shared" si="1"/>
        <v>68.53333333</v>
      </c>
    </row>
    <row r="37" ht="15.75" customHeight="1">
      <c r="B37" s="258"/>
      <c r="F37" s="75" t="str">
        <f>IFERROR(__xludf.DUMMYFUNCTION("""COMPUTED_VALUE"""),"Conjurer")</f>
        <v>Conjurer</v>
      </c>
      <c r="H37" s="75" t="str">
        <f>IFERROR(__xludf.DUMMYFUNCTION("""COMPUTED_VALUE"""),"Skirmisher")</f>
        <v>Skirmisher</v>
      </c>
      <c r="J37" s="75" t="str">
        <f>IFERROR(__xludf.DUMMYFUNCTION("""COMPUTED_VALUE"""),"Treasure Hunter")</f>
        <v>Treasure Hunter</v>
      </c>
      <c r="L37" s="75" t="str">
        <f>IFERROR(__xludf.DUMMYFUNCTION("""COMPUTED_VALUE"""),"Apothecary")</f>
        <v>Apothecary</v>
      </c>
      <c r="O37" s="75" t="str">
        <f>IFERROR(__xludf.DUMMYFUNCTION("""COMPUTED_VALUE"""),"Ynfernael Hulk")</f>
        <v>Ynfernael Hulk</v>
      </c>
      <c r="P37" s="75">
        <f>IFERROR(__xludf.DUMMYFUNCTION(" IFERROR(
(FILTER(Monsters!$AQ:$AQ, Monsters!$A:$A = O37 , Monsters!$D:$D  = 'Main Page'!$T$5, Monsters!$B:$B = ""Master"")
*
FILTER(Monsters!$AN:$AN, Monsters!$A:$A = O37 , Monsters!$D:$D  = 'Main Page'!$T$5, Monsters!$B:$B = ""Master"")
)
+
(FILTER(Mons"&amp;"ters!$AQ:$AQ, Monsters!$A:$A = O37 , Monsters!$D:$D  = 'Main Page'!$T$5, Monsters!$B:$B = ""Minion"")
*
FILTER(Monsters!$AN:$AN, Monsters!$A:$A = O37 , Monsters!$D:$D  = 'Main Page'!$T$5, Monsters!$B:$B = ""Minion"")
)
,
)"),49.265)</f>
        <v>49.265</v>
      </c>
      <c r="Q37" s="75" t="str">
        <f>IFERROR(__xludf.DUMMYFUNCTION("""COMPUTED_VALUE"""),"Ynfernael Hulk")</f>
        <v>Ynfernael Hulk</v>
      </c>
      <c r="R37" s="542">
        <f t="shared" si="1"/>
        <v>49.265</v>
      </c>
    </row>
    <row r="38" ht="15.75" customHeight="1">
      <c r="B38" s="258"/>
      <c r="F38" s="75" t="str">
        <f>IFERROR(__xludf.DUMMYFUNCTION("""COMPUTED_VALUE"""),"Conjurer")</f>
        <v>Conjurer</v>
      </c>
      <c r="H38" s="75" t="str">
        <f>IFERROR(__xludf.DUMMYFUNCTION("""COMPUTED_VALUE"""),"Marshal")</f>
        <v>Marshal</v>
      </c>
      <c r="J38" s="75" t="str">
        <f>IFERROR(__xludf.DUMMYFUNCTION("""COMPUTED_VALUE"""),"Stalker")</f>
        <v>Stalker</v>
      </c>
      <c r="L38" s="75" t="str">
        <f>IFERROR(__xludf.DUMMYFUNCTION("""COMPUTED_VALUE"""),"Bard")</f>
        <v>Bard</v>
      </c>
      <c r="O38" s="75" t="str">
        <f>IFERROR(__xludf.DUMMYFUNCTION("""COMPUTED_VALUE"""),"Zombie")</f>
        <v>Zombie</v>
      </c>
      <c r="P38" s="75">
        <f>IFERROR(__xludf.DUMMYFUNCTION(" IFERROR(
(FILTER(Monsters!$AQ:$AQ, Monsters!$A:$A = O38 , Monsters!$D:$D  = 'Main Page'!$T$5, Monsters!$B:$B = ""Master"")
*
FILTER(Monsters!$AN:$AN, Monsters!$A:$A = O38 , Monsters!$D:$D  = 'Main Page'!$T$5, Monsters!$B:$B = ""Master"")
)
+
(FILTER(Mons"&amp;"ters!$AQ:$AQ, Monsters!$A:$A = O38 , Monsters!$D:$D  = 'Main Page'!$T$5, Monsters!$B:$B = ""Minion"")
*
FILTER(Monsters!$AN:$AN, Monsters!$A:$A = O38 , Monsters!$D:$D  = 'Main Page'!$T$5, Monsters!$B:$B = ""Minion"")
)
,
)"),23.366666666666667)</f>
        <v>23.36666667</v>
      </c>
      <c r="Q38" s="75" t="str">
        <f>IFERROR(__xludf.DUMMYFUNCTION("""COMPUTED_VALUE"""),"Zombie")</f>
        <v>Zombie</v>
      </c>
      <c r="R38" s="542">
        <f t="shared" si="1"/>
        <v>23.36666667</v>
      </c>
    </row>
    <row r="39" ht="15.75" customHeight="1">
      <c r="B39" s="258"/>
      <c r="F39" s="75" t="str">
        <f>IFERROR(__xludf.DUMMYFUNCTION("""COMPUTED_VALUE"""),"Hexer")</f>
        <v>Hexer</v>
      </c>
      <c r="H39" s="75" t="str">
        <f>IFERROR(__xludf.DUMMYFUNCTION("""COMPUTED_VALUE"""),"Marshal")</f>
        <v>Marshal</v>
      </c>
      <c r="J39" s="75" t="str">
        <f>IFERROR(__xludf.DUMMYFUNCTION("""COMPUTED_VALUE"""),"Stalker")</f>
        <v>Stalker</v>
      </c>
      <c r="L39" s="75" t="str">
        <f>IFERROR(__xludf.DUMMYFUNCTION("""COMPUTED_VALUE"""),"Bard")</f>
        <v>Bard</v>
      </c>
      <c r="P39" s="75" t="str">
        <f>IFERROR(__xludf.DUMMYFUNCTION(" IFERROR(
(FILTER(Monsters!$AQ:$AQ, Monsters!$A:$A = O39 , Monsters!$D:$D  = 'Main Page'!$T$5, Monsters!$B:$B = ""Master"")
*
FILTER(Monsters!$AN:$AN, Monsters!$A:$A = O39 , Monsters!$D:$D  = 'Main Page'!$T$5, Monsters!$B:$B = ""Master"")
)
+
(FILTER(Mons"&amp;"ters!$AQ:$AQ, Monsters!$A:$A = O39 , Monsters!$D:$D  = 'Main Page'!$T$5, Monsters!$B:$B = ""Minion"")
*
FILTER(Monsters!$AN:$AN, Monsters!$A:$A = O39 , Monsters!$D:$D  = 'Main Page'!$T$5, Monsters!$B:$B = ""Minion"")
)
,
)"),"")</f>
        <v/>
      </c>
      <c r="Q39" s="75"/>
      <c r="R39" s="542" t="str">
        <f t="shared" si="1"/>
        <v/>
      </c>
    </row>
    <row r="40" ht="15.75" customHeight="1">
      <c r="B40" s="258"/>
      <c r="F40" s="75" t="str">
        <f>IFERROR(__xludf.DUMMYFUNCTION("""COMPUTED_VALUE"""),"Hexer")</f>
        <v>Hexer</v>
      </c>
      <c r="H40" s="75" t="str">
        <f>IFERROR(__xludf.DUMMYFUNCTION("""COMPUTED_VALUE"""),"Marshal")</f>
        <v>Marshal</v>
      </c>
      <c r="J40" s="75" t="str">
        <f>IFERROR(__xludf.DUMMYFUNCTION("""COMPUTED_VALUE"""),"Stalker")</f>
        <v>Stalker</v>
      </c>
      <c r="L40" s="75" t="str">
        <f>IFERROR(__xludf.DUMMYFUNCTION("""COMPUTED_VALUE"""),"Bard")</f>
        <v>Bard</v>
      </c>
      <c r="P40" s="75" t="str">
        <f>IFERROR(__xludf.DUMMYFUNCTION(" IFERROR(
(FILTER(Monsters!$AQ:$AQ, Monsters!$A:$A = O40 , Monsters!$D:$D  = 'Main Page'!$T$5, Monsters!$B:$B = ""Master"")
*
FILTER(Monsters!$AN:$AN, Monsters!$A:$A = O40 , Monsters!$D:$D  = 'Main Page'!$T$5, Monsters!$B:$B = ""Master"")
)
+
(FILTER(Mons"&amp;"ters!$AQ:$AQ, Monsters!$A:$A = O40 , Monsters!$D:$D  = 'Main Page'!$T$5, Monsters!$B:$B = ""Minion"")
*
FILTER(Monsters!$AN:$AN, Monsters!$A:$A = O40 , Monsters!$D:$D  = 'Main Page'!$T$5, Monsters!$B:$B = ""Minion"")
)
,
)"),"")</f>
        <v/>
      </c>
      <c r="Q40" s="75"/>
      <c r="R40" s="542" t="str">
        <f t="shared" si="1"/>
        <v/>
      </c>
    </row>
    <row r="41" ht="15.75" customHeight="1">
      <c r="B41" s="258"/>
      <c r="F41" s="75" t="str">
        <f>IFERROR(__xludf.DUMMYFUNCTION("""COMPUTED_VALUE"""),"Hexer")</f>
        <v>Hexer</v>
      </c>
      <c r="H41" s="75" t="str">
        <f>IFERROR(__xludf.DUMMYFUNCTION("""COMPUTED_VALUE"""),"Marshal")</f>
        <v>Marshal</v>
      </c>
      <c r="J41" s="75" t="str">
        <f>IFERROR(__xludf.DUMMYFUNCTION("""COMPUTED_VALUE"""),"Stalker")</f>
        <v>Stalker</v>
      </c>
      <c r="L41" s="75" t="str">
        <f>IFERROR(__xludf.DUMMYFUNCTION("""COMPUTED_VALUE"""),"Bard")</f>
        <v>Bard</v>
      </c>
      <c r="P41" s="75" t="str">
        <f>IFERROR(__xludf.DUMMYFUNCTION(" IFERROR(
(FILTER(Monsters!$AQ:$AQ, Monsters!$A:$A = O41 , Monsters!$D:$D  = 'Main Page'!$T$5, Monsters!$B:$B = ""Master"")
*
FILTER(Monsters!$AN:$AN, Monsters!$A:$A = O41 , Monsters!$D:$D  = 'Main Page'!$T$5, Monsters!$B:$B = ""Master"")
)
+
(FILTER(Mons"&amp;"ters!$AQ:$AQ, Monsters!$A:$A = O41 , Monsters!$D:$D  = 'Main Page'!$T$5, Monsters!$B:$B = ""Minion"")
*
FILTER(Monsters!$AN:$AN, Monsters!$A:$A = O41 , Monsters!$D:$D  = 'Main Page'!$T$5, Monsters!$B:$B = ""Minion"")
)
,
)"),"")</f>
        <v/>
      </c>
      <c r="Q41" s="75"/>
      <c r="R41" s="542" t="str">
        <f t="shared" si="1"/>
        <v/>
      </c>
    </row>
    <row r="42" ht="15.75" customHeight="1">
      <c r="B42" s="258"/>
      <c r="F42" s="75" t="str">
        <f>IFERROR(__xludf.DUMMYFUNCTION("""COMPUTED_VALUE"""),"Hexer")</f>
        <v>Hexer</v>
      </c>
      <c r="H42" s="75" t="str">
        <f>IFERROR(__xludf.DUMMYFUNCTION("""COMPUTED_VALUE"""),"Marshal")</f>
        <v>Marshal</v>
      </c>
      <c r="J42" s="75" t="str">
        <f>IFERROR(__xludf.DUMMYFUNCTION("""COMPUTED_VALUE"""),"Stalker")</f>
        <v>Stalker</v>
      </c>
      <c r="L42" s="75" t="str">
        <f>IFERROR(__xludf.DUMMYFUNCTION("""COMPUTED_VALUE"""),"Bard")</f>
        <v>Bard</v>
      </c>
      <c r="P42" s="75" t="str">
        <f>IFERROR(__xludf.DUMMYFUNCTION(" IFERROR(
(FILTER(Monsters!$AQ:$AQ, Monsters!$A:$A = O42 , Monsters!$D:$D  = 'Main Page'!$T$5, Monsters!$B:$B = ""Master"")
*
FILTER(Monsters!$AN:$AN, Monsters!$A:$A = O42 , Monsters!$D:$D  = 'Main Page'!$T$5, Monsters!$B:$B = ""Master"")
)
+
(FILTER(Mons"&amp;"ters!$AQ:$AQ, Monsters!$A:$A = O42 , Monsters!$D:$D  = 'Main Page'!$T$5, Monsters!$B:$B = ""Minion"")
*
FILTER(Monsters!$AN:$AN, Monsters!$A:$A = O42 , Monsters!$D:$D  = 'Main Page'!$T$5, Monsters!$B:$B = ""Minion"")
)
,
)"),"")</f>
        <v/>
      </c>
      <c r="Q42" s="75"/>
      <c r="R42" s="542" t="str">
        <f t="shared" si="1"/>
        <v/>
      </c>
    </row>
    <row r="43" ht="15.75" customHeight="1">
      <c r="B43" s="258"/>
      <c r="F43" s="75" t="str">
        <f>IFERROR(__xludf.DUMMYFUNCTION("""COMPUTED_VALUE"""),"Hexer")</f>
        <v>Hexer</v>
      </c>
      <c r="H43" s="75" t="str">
        <f>IFERROR(__xludf.DUMMYFUNCTION("""COMPUTED_VALUE"""),"Marshal")</f>
        <v>Marshal</v>
      </c>
      <c r="J43" s="75" t="str">
        <f>IFERROR(__xludf.DUMMYFUNCTION("""COMPUTED_VALUE"""),"Stalker")</f>
        <v>Stalker</v>
      </c>
      <c r="L43" s="75" t="str">
        <f>IFERROR(__xludf.DUMMYFUNCTION("""COMPUTED_VALUE"""),"Bard")</f>
        <v>Bard</v>
      </c>
      <c r="P43" s="75" t="str">
        <f>IFERROR(__xludf.DUMMYFUNCTION(" IFERROR(
(FILTER(Monsters!$AQ:$AQ, Monsters!$A:$A = O43 , Monsters!$D:$D  = 'Main Page'!$T$5, Monsters!$B:$B = ""Master"")
*
FILTER(Monsters!$AN:$AN, Monsters!$A:$A = O43 , Monsters!$D:$D  = 'Main Page'!$T$5, Monsters!$B:$B = ""Master"")
)
+
(FILTER(Mons"&amp;"ters!$AQ:$AQ, Monsters!$A:$A = O43 , Monsters!$D:$D  = 'Main Page'!$T$5, Monsters!$B:$B = ""Minion"")
*
FILTER(Monsters!$AN:$AN, Monsters!$A:$A = O43 , Monsters!$D:$D  = 'Main Page'!$T$5, Monsters!$B:$B = ""Minion"")
)
,
)"),"")</f>
        <v/>
      </c>
      <c r="Q43" s="75"/>
      <c r="R43" s="542" t="str">
        <f t="shared" si="1"/>
        <v/>
      </c>
    </row>
    <row r="44" ht="15.75" customHeight="1">
      <c r="B44" s="258"/>
      <c r="F44" s="75" t="str">
        <f>IFERROR(__xludf.DUMMYFUNCTION("""COMPUTED_VALUE"""),"Hexer")</f>
        <v>Hexer</v>
      </c>
      <c r="H44" s="75" t="str">
        <f>IFERROR(__xludf.DUMMYFUNCTION("""COMPUTED_VALUE"""),"Marshal")</f>
        <v>Marshal</v>
      </c>
      <c r="J44" s="75" t="str">
        <f>IFERROR(__xludf.DUMMYFUNCTION("""COMPUTED_VALUE"""),"Stalker")</f>
        <v>Stalker</v>
      </c>
      <c r="L44" s="75" t="str">
        <f>IFERROR(__xludf.DUMMYFUNCTION("""COMPUTED_VALUE"""),"Bard")</f>
        <v>Bard</v>
      </c>
      <c r="P44" s="75" t="str">
        <f>IFERROR(__xludf.DUMMYFUNCTION(" IFERROR(
(FILTER(Monsters!$AQ:$AQ, Monsters!$A:$A = O44 , Monsters!$D:$D  = 'Main Page'!$T$5, Monsters!$B:$B = ""Master"")
*
FILTER(Monsters!$AN:$AN, Monsters!$A:$A = O44 , Monsters!$D:$D  = 'Main Page'!$T$5, Monsters!$B:$B = ""Master"")
)
+
(FILTER(Mons"&amp;"ters!$AQ:$AQ, Monsters!$A:$A = O44 , Monsters!$D:$D  = 'Main Page'!$T$5, Monsters!$B:$B = ""Minion"")
*
FILTER(Monsters!$AN:$AN, Monsters!$A:$A = O44 , Monsters!$D:$D  = 'Main Page'!$T$5, Monsters!$B:$B = ""Minion"")
)
,
)"),"")</f>
        <v/>
      </c>
      <c r="Q44" s="75"/>
      <c r="R44" s="542" t="str">
        <f t="shared" si="1"/>
        <v/>
      </c>
    </row>
    <row r="45" ht="15.75" customHeight="1">
      <c r="B45" s="258"/>
      <c r="F45" s="75" t="str">
        <f>IFERROR(__xludf.DUMMYFUNCTION("""COMPUTED_VALUE"""),"Hexer")</f>
        <v>Hexer</v>
      </c>
      <c r="H45" s="75" t="str">
        <f>IFERROR(__xludf.DUMMYFUNCTION("""COMPUTED_VALUE"""),"Marshal")</f>
        <v>Marshal</v>
      </c>
      <c r="J45" s="75" t="str">
        <f>IFERROR(__xludf.DUMMYFUNCTION("""COMPUTED_VALUE"""),"Stalker")</f>
        <v>Stalker</v>
      </c>
      <c r="L45" s="75" t="str">
        <f>IFERROR(__xludf.DUMMYFUNCTION("""COMPUTED_VALUE"""),"Bard")</f>
        <v>Bard</v>
      </c>
      <c r="P45" s="75" t="str">
        <f>IFERROR(__xludf.DUMMYFUNCTION(" IFERROR(
(FILTER(Monsters!$AQ:$AQ, Monsters!$A:$A = O45 , Monsters!$D:$D  = 'Main Page'!$T$5, Monsters!$B:$B = ""Master"")
*
FILTER(Monsters!$AN:$AN, Monsters!$A:$A = O45 , Monsters!$D:$D  = 'Main Page'!$T$5, Monsters!$B:$B = ""Master"")
)
+
(FILTER(Mons"&amp;"ters!$AQ:$AQ, Monsters!$A:$A = O45 , Monsters!$D:$D  = 'Main Page'!$T$5, Monsters!$B:$B = ""Minion"")
*
FILTER(Monsters!$AN:$AN, Monsters!$A:$A = O45 , Monsters!$D:$D  = 'Main Page'!$T$5, Monsters!$B:$B = ""Minion"")
)
,
)"),"")</f>
        <v/>
      </c>
      <c r="Q45" s="75"/>
      <c r="R45" s="542" t="str">
        <f t="shared" si="1"/>
        <v/>
      </c>
    </row>
    <row r="46" ht="15.75" customHeight="1">
      <c r="B46" s="258"/>
      <c r="F46" s="75" t="str">
        <f>IFERROR(__xludf.DUMMYFUNCTION("""COMPUTED_VALUE"""),"Hexer")</f>
        <v>Hexer</v>
      </c>
      <c r="H46" s="75" t="str">
        <f>IFERROR(__xludf.DUMMYFUNCTION("""COMPUTED_VALUE"""),"Marshal")</f>
        <v>Marshal</v>
      </c>
      <c r="J46" s="75" t="str">
        <f>IFERROR(__xludf.DUMMYFUNCTION("""COMPUTED_VALUE"""),"Stalker")</f>
        <v>Stalker</v>
      </c>
      <c r="L46" s="75" t="str">
        <f>IFERROR(__xludf.DUMMYFUNCTION("""COMPUTED_VALUE"""),"Bard")</f>
        <v>Bard</v>
      </c>
      <c r="P46" s="75" t="str">
        <f>IFERROR(__xludf.DUMMYFUNCTION(" IFERROR(
(FILTER(Monsters!$AQ:$AQ, Monsters!$A:$A = O46 , Monsters!$D:$D  = 'Main Page'!$T$5, Monsters!$B:$B = ""Master"")
*
FILTER(Monsters!$AN:$AN, Monsters!$A:$A = O46 , Monsters!$D:$D  = 'Main Page'!$T$5, Monsters!$B:$B = ""Master"")
)
+
(FILTER(Mons"&amp;"ters!$AQ:$AQ, Monsters!$A:$A = O46 , Monsters!$D:$D  = 'Main Page'!$T$5, Monsters!$B:$B = ""Minion"")
*
FILTER(Monsters!$AN:$AN, Monsters!$A:$A = O46 , Monsters!$D:$D  = 'Main Page'!$T$5, Monsters!$B:$B = ""Minion"")
)
,
)"),"")</f>
        <v/>
      </c>
      <c r="Q46" s="75"/>
      <c r="R46" s="542" t="str">
        <f t="shared" si="1"/>
        <v/>
      </c>
    </row>
    <row r="47" ht="15.75" customHeight="1">
      <c r="B47" s="258"/>
      <c r="F47" s="75" t="str">
        <f>IFERROR(__xludf.DUMMYFUNCTION("""COMPUTED_VALUE"""),"Hexer")</f>
        <v>Hexer</v>
      </c>
      <c r="H47" s="75" t="str">
        <f>IFERROR(__xludf.DUMMYFUNCTION("""COMPUTED_VALUE"""),"Beastmaster")</f>
        <v>Beastmaster</v>
      </c>
      <c r="J47" s="75" t="str">
        <f>IFERROR(__xludf.DUMMYFUNCTION("""COMPUTED_VALUE"""),"Bounty Hunter")</f>
        <v>Bounty Hunter</v>
      </c>
      <c r="L47" s="75" t="str">
        <f>IFERROR(__xludf.DUMMYFUNCTION("""COMPUTED_VALUE"""),"Watchman")</f>
        <v>Watchman</v>
      </c>
      <c r="P47" s="75" t="str">
        <f>IFERROR(__xludf.DUMMYFUNCTION(" IFERROR(
(FILTER(Monsters!$AQ:$AQ, Monsters!$A:$A = O47 , Monsters!$D:$D  = 'Main Page'!$T$5, Monsters!$B:$B = ""Master"")
*
FILTER(Monsters!$AN:$AN, Monsters!$A:$A = O47 , Monsters!$D:$D  = 'Main Page'!$T$5, Monsters!$B:$B = ""Master"")
)
+
(FILTER(Mons"&amp;"ters!$AQ:$AQ, Monsters!$A:$A = O47 , Monsters!$D:$D  = 'Main Page'!$T$5, Monsters!$B:$B = ""Minion"")
*
FILTER(Monsters!$AN:$AN, Monsters!$A:$A = O47 , Monsters!$D:$D  = 'Main Page'!$T$5, Monsters!$B:$B = ""Minion"")
)
,
)"),"")</f>
        <v/>
      </c>
      <c r="Q47" s="75"/>
      <c r="R47" s="542" t="str">
        <f t="shared" si="1"/>
        <v/>
      </c>
    </row>
    <row r="48" ht="15.75" customHeight="1">
      <c r="B48" s="258"/>
      <c r="F48" s="75" t="str">
        <f>IFERROR(__xludf.DUMMYFUNCTION("""COMPUTED_VALUE"""),"Battlemage")</f>
        <v>Battlemage</v>
      </c>
      <c r="H48" s="75" t="str">
        <f>IFERROR(__xludf.DUMMYFUNCTION("""COMPUTED_VALUE"""),"Beastmaster")</f>
        <v>Beastmaster</v>
      </c>
      <c r="J48" s="75" t="str">
        <f>IFERROR(__xludf.DUMMYFUNCTION("""COMPUTED_VALUE"""),"Bounty Hunter")</f>
        <v>Bounty Hunter</v>
      </c>
      <c r="L48" s="75" t="str">
        <f>IFERROR(__xludf.DUMMYFUNCTION("""COMPUTED_VALUE"""),"Watchman")</f>
        <v>Watchman</v>
      </c>
      <c r="P48" s="75" t="str">
        <f>IFERROR(__xludf.DUMMYFUNCTION(" IFERROR(
(FILTER(Monsters!$AQ:$AQ, Monsters!$A:$A = O48 , Monsters!$D:$D  = 'Main Page'!$T$5, Monsters!$B:$B = ""Master"")
*
FILTER(Monsters!$AN:$AN, Monsters!$A:$A = O48 , Monsters!$D:$D  = 'Main Page'!$T$5, Monsters!$B:$B = ""Master"")
)
+
(FILTER(Mons"&amp;"ters!$AQ:$AQ, Monsters!$A:$A = O48 , Monsters!$D:$D  = 'Main Page'!$T$5, Monsters!$B:$B = ""Minion"")
*
FILTER(Monsters!$AN:$AN, Monsters!$A:$A = O48 , Monsters!$D:$D  = 'Main Page'!$T$5, Monsters!$B:$B = ""Minion"")
)
,
)"),"")</f>
        <v/>
      </c>
      <c r="Q48" s="75"/>
      <c r="R48" s="542" t="str">
        <f t="shared" si="1"/>
        <v/>
      </c>
    </row>
    <row r="49" ht="15.75" customHeight="1">
      <c r="B49" s="258"/>
      <c r="F49" s="75" t="str">
        <f>IFERROR(__xludf.DUMMYFUNCTION("""COMPUTED_VALUE"""),"Battlemage")</f>
        <v>Battlemage</v>
      </c>
      <c r="H49" s="75" t="str">
        <f>IFERROR(__xludf.DUMMYFUNCTION("""COMPUTED_VALUE"""),"Beastmaster")</f>
        <v>Beastmaster</v>
      </c>
      <c r="J49" s="75" t="str">
        <f>IFERROR(__xludf.DUMMYFUNCTION("""COMPUTED_VALUE"""),"Bounty Hunter")</f>
        <v>Bounty Hunter</v>
      </c>
      <c r="L49" s="75" t="str">
        <f>IFERROR(__xludf.DUMMYFUNCTION("""COMPUTED_VALUE"""),"Watchman")</f>
        <v>Watchman</v>
      </c>
      <c r="P49" s="75" t="str">
        <f>IFERROR(__xludf.DUMMYFUNCTION(" IFERROR(
(FILTER(Monsters!$AQ:$AQ, Monsters!$A:$A = O49 , Monsters!$D:$D  = 'Main Page'!$T$5, Monsters!$B:$B = ""Master"")
*
FILTER(Monsters!$AN:$AN, Monsters!$A:$A = O49 , Monsters!$D:$D  = 'Main Page'!$T$5, Monsters!$B:$B = ""Master"")
)
+
(FILTER(Mons"&amp;"ters!$AQ:$AQ, Monsters!$A:$A = O49 , Monsters!$D:$D  = 'Main Page'!$T$5, Monsters!$B:$B = ""Minion"")
*
FILTER(Monsters!$AN:$AN, Monsters!$A:$A = O49 , Monsters!$D:$D  = 'Main Page'!$T$5, Monsters!$B:$B = ""Minion"")
)
,
)"),"")</f>
        <v/>
      </c>
      <c r="Q49" s="75"/>
      <c r="R49" s="542" t="str">
        <f t="shared" si="1"/>
        <v/>
      </c>
    </row>
    <row r="50" ht="15.75" customHeight="1">
      <c r="B50" s="258"/>
      <c r="F50" s="75" t="str">
        <f>IFERROR(__xludf.DUMMYFUNCTION("""COMPUTED_VALUE"""),"Battlemage")</f>
        <v>Battlemage</v>
      </c>
      <c r="H50" s="75" t="str">
        <f>IFERROR(__xludf.DUMMYFUNCTION("""COMPUTED_VALUE"""),"Beastmaster")</f>
        <v>Beastmaster</v>
      </c>
      <c r="J50" s="75" t="str">
        <f>IFERROR(__xludf.DUMMYFUNCTION("""COMPUTED_VALUE"""),"Bounty Hunter")</f>
        <v>Bounty Hunter</v>
      </c>
      <c r="L50" s="75" t="str">
        <f>IFERROR(__xludf.DUMMYFUNCTION("""COMPUTED_VALUE"""),"Watchman")</f>
        <v>Watchman</v>
      </c>
      <c r="P50" s="75" t="str">
        <f>IFERROR(__xludf.DUMMYFUNCTION(" IFERROR(
(FILTER(Monsters!$AQ:$AQ, Monsters!$A:$A = O50 , Monsters!$D:$D  = 'Main Page'!$T$5, Monsters!$B:$B = ""Master"")
*
FILTER(Monsters!$AN:$AN, Monsters!$A:$A = O50 , Monsters!$D:$D  = 'Main Page'!$T$5, Monsters!$B:$B = ""Master"")
)
+
(FILTER(Mons"&amp;"ters!$AQ:$AQ, Monsters!$A:$A = O50 , Monsters!$D:$D  = 'Main Page'!$T$5, Monsters!$B:$B = ""Minion"")
*
FILTER(Monsters!$AN:$AN, Monsters!$A:$A = O50 , Monsters!$D:$D  = 'Main Page'!$T$5, Monsters!$B:$B = ""Minion"")
)
,
)"),"")</f>
        <v/>
      </c>
      <c r="Q50" s="75"/>
      <c r="R50" s="542" t="str">
        <f t="shared" si="1"/>
        <v/>
      </c>
    </row>
    <row r="51" ht="15.75" customHeight="1">
      <c r="B51" s="258"/>
      <c r="F51" s="75" t="str">
        <f>IFERROR(__xludf.DUMMYFUNCTION("""COMPUTED_VALUE"""),"Battlemage")</f>
        <v>Battlemage</v>
      </c>
      <c r="H51" s="75" t="str">
        <f>IFERROR(__xludf.DUMMYFUNCTION("""COMPUTED_VALUE"""),"Beastmaster")</f>
        <v>Beastmaster</v>
      </c>
      <c r="J51" s="75" t="str">
        <f>IFERROR(__xludf.DUMMYFUNCTION("""COMPUTED_VALUE"""),"Bounty Hunter")</f>
        <v>Bounty Hunter</v>
      </c>
      <c r="L51" s="75" t="str">
        <f>IFERROR(__xludf.DUMMYFUNCTION("""COMPUTED_VALUE"""),"Soul Reaper")</f>
        <v>Soul Reaper</v>
      </c>
      <c r="P51" s="75" t="str">
        <f>IFERROR(__xludf.DUMMYFUNCTION(" IFERROR(
(FILTER(Monsters!$AQ:$AQ, Monsters!$A:$A = O51 , Monsters!$D:$D  = 'Main Page'!$T$5, Monsters!$B:$B = ""Master"")
*
FILTER(Monsters!$AN:$AN, Monsters!$A:$A = O51 , Monsters!$D:$D  = 'Main Page'!$T$5, Monsters!$B:$B = ""Master"")
)
+
(FILTER(Mons"&amp;"ters!$AQ:$AQ, Monsters!$A:$A = O51 , Monsters!$D:$D  = 'Main Page'!$T$5, Monsters!$B:$B = ""Minion"")
*
FILTER(Monsters!$AN:$AN, Monsters!$A:$A = O51 , Monsters!$D:$D  = 'Main Page'!$T$5, Monsters!$B:$B = ""Minion"")
)
,
)"),"")</f>
        <v/>
      </c>
      <c r="Q51" s="75"/>
      <c r="R51" s="542" t="str">
        <f t="shared" si="1"/>
        <v/>
      </c>
    </row>
    <row r="52" ht="15.75" customHeight="1">
      <c r="B52" s="258"/>
      <c r="F52" s="75" t="str">
        <f>IFERROR(__xludf.DUMMYFUNCTION("""COMPUTED_VALUE"""),"Truthseer")</f>
        <v>Truthseer</v>
      </c>
      <c r="H52" s="75" t="str">
        <f>IFERROR(__xludf.DUMMYFUNCTION("""COMPUTED_VALUE"""),"Beastmaster")</f>
        <v>Beastmaster</v>
      </c>
      <c r="J52" s="75" t="str">
        <f>IFERROR(__xludf.DUMMYFUNCTION("""COMPUTED_VALUE"""),"Bounty Hunter")</f>
        <v>Bounty Hunter</v>
      </c>
      <c r="L52" s="75" t="str">
        <f>IFERROR(__xludf.DUMMYFUNCTION("""COMPUTED_VALUE"""),"Soul Reaper")</f>
        <v>Soul Reaper</v>
      </c>
      <c r="P52" s="75" t="str">
        <f>IFERROR(__xludf.DUMMYFUNCTION(" IFERROR(
(FILTER(Monsters!$AQ:$AQ, Monsters!$A:$A = O52 , Monsters!$D:$D  = 'Main Page'!$T$5, Monsters!$B:$B = ""Master"")
*
FILTER(Monsters!$AN:$AN, Monsters!$A:$A = O52 , Monsters!$D:$D  = 'Main Page'!$T$5, Monsters!$B:$B = ""Master"")
)
+
(FILTER(Mons"&amp;"ters!$AQ:$AQ, Monsters!$A:$A = O52 , Monsters!$D:$D  = 'Main Page'!$T$5, Monsters!$B:$B = ""Minion"")
*
FILTER(Monsters!$AN:$AN, Monsters!$A:$A = O52 , Monsters!$D:$D  = 'Main Page'!$T$5, Monsters!$B:$B = ""Minion"")
)
,
)"),"")</f>
        <v/>
      </c>
      <c r="Q52" s="75"/>
      <c r="R52" s="542" t="str">
        <f t="shared" si="1"/>
        <v/>
      </c>
    </row>
    <row r="53" ht="15.75" customHeight="1">
      <c r="B53" s="258"/>
      <c r="F53" s="75" t="str">
        <f>IFERROR(__xludf.DUMMYFUNCTION("""COMPUTED_VALUE"""),"Truthseer")</f>
        <v>Truthseer</v>
      </c>
      <c r="H53" s="75" t="str">
        <f>IFERROR(__xludf.DUMMYFUNCTION("""COMPUTED_VALUE"""),"Beastmaster")</f>
        <v>Beastmaster</v>
      </c>
      <c r="J53" s="75" t="str">
        <f>IFERROR(__xludf.DUMMYFUNCTION("""COMPUTED_VALUE"""),"Bounty Hunter")</f>
        <v>Bounty Hunter</v>
      </c>
      <c r="L53" s="75" t="str">
        <f>IFERROR(__xludf.DUMMYFUNCTION("""COMPUTED_VALUE"""),"Soul Reaper")</f>
        <v>Soul Reaper</v>
      </c>
      <c r="P53" s="75" t="str">
        <f>IFERROR(__xludf.DUMMYFUNCTION(" IFERROR(
(FILTER(Monsters!$AQ:$AQ, Monsters!$A:$A = O53 , Monsters!$D:$D  = 'Main Page'!$T$5, Monsters!$B:$B = ""Master"")
*
FILTER(Monsters!$AN:$AN, Monsters!$A:$A = O53 , Monsters!$D:$D  = 'Main Page'!$T$5, Monsters!$B:$B = ""Master"")
)
+
(FILTER(Mons"&amp;"ters!$AQ:$AQ, Monsters!$A:$A = O53 , Monsters!$D:$D  = 'Main Page'!$T$5, Monsters!$B:$B = ""Minion"")
*
FILTER(Monsters!$AN:$AN, Monsters!$A:$A = O53 , Monsters!$D:$D  = 'Main Page'!$T$5, Monsters!$B:$B = ""Minion"")
)
,
)"),"")</f>
        <v/>
      </c>
      <c r="Q53" s="75"/>
      <c r="R53" s="542" t="str">
        <f t="shared" si="1"/>
        <v/>
      </c>
    </row>
    <row r="54" ht="15.75" customHeight="1">
      <c r="B54" s="258"/>
      <c r="F54" s="75" t="str">
        <f>IFERROR(__xludf.DUMMYFUNCTION("""COMPUTED_VALUE"""),"Truthseer")</f>
        <v>Truthseer</v>
      </c>
      <c r="H54" s="75" t="str">
        <f>IFERROR(__xludf.DUMMYFUNCTION("""COMPUTED_VALUE"""),"Beastmaster")</f>
        <v>Beastmaster</v>
      </c>
      <c r="J54" s="75" t="str">
        <f>IFERROR(__xludf.DUMMYFUNCTION("""COMPUTED_VALUE"""),"Bounty Hunter")</f>
        <v>Bounty Hunter</v>
      </c>
      <c r="L54" s="75" t="str">
        <f>IFERROR(__xludf.DUMMYFUNCTION("""COMPUTED_VALUE"""),"Soul Reaper")</f>
        <v>Soul Reaper</v>
      </c>
      <c r="P54" s="75" t="str">
        <f>IFERROR(__xludf.DUMMYFUNCTION(" IFERROR(
(FILTER(Monsters!$AQ:$AQ, Monsters!$A:$A = O54 , Monsters!$D:$D  = 'Main Page'!$T$5, Monsters!$B:$B = ""Master"")
*
FILTER(Monsters!$AN:$AN, Monsters!$A:$A = O54 , Monsters!$D:$D  = 'Main Page'!$T$5, Monsters!$B:$B = ""Master"")
)
+
(FILTER(Mons"&amp;"ters!$AQ:$AQ, Monsters!$A:$A = O54 , Monsters!$D:$D  = 'Main Page'!$T$5, Monsters!$B:$B = ""Minion"")
*
FILTER(Monsters!$AN:$AN, Monsters!$A:$A = O54 , Monsters!$D:$D  = 'Main Page'!$T$5, Monsters!$B:$B = ""Minion"")
)
,
)"),"")</f>
        <v/>
      </c>
      <c r="Q54" s="75"/>
      <c r="R54" s="542" t="str">
        <f t="shared" si="1"/>
        <v/>
      </c>
    </row>
    <row r="55" ht="15.75" customHeight="1">
      <c r="B55" s="258"/>
      <c r="F55" s="75" t="str">
        <f>IFERROR(__xludf.DUMMYFUNCTION("""COMPUTED_VALUE"""),"Truthseer")</f>
        <v>Truthseer</v>
      </c>
      <c r="H55" s="75" t="str">
        <f>IFERROR(__xludf.DUMMYFUNCTION("""COMPUTED_VALUE"""),"Beastmaster")</f>
        <v>Beastmaster</v>
      </c>
      <c r="J55" s="75" t="str">
        <f>IFERROR(__xludf.DUMMYFUNCTION("""COMPUTED_VALUE"""),"Bounty Hunter")</f>
        <v>Bounty Hunter</v>
      </c>
      <c r="L55" s="75" t="str">
        <f>IFERROR(__xludf.DUMMYFUNCTION("""COMPUTED_VALUE"""),"Soul Reaper")</f>
        <v>Soul Reaper</v>
      </c>
      <c r="P55" s="75" t="str">
        <f>IFERROR(__xludf.DUMMYFUNCTION(" IFERROR(
(FILTER(Monsters!$AQ:$AQ, Monsters!$A:$A = O55 , Monsters!$D:$D  = 'Main Page'!$T$5, Monsters!$B:$B = ""Master"")
*
FILTER(Monsters!$AN:$AN, Monsters!$A:$A = O55 , Monsters!$D:$D  = 'Main Page'!$T$5, Monsters!$B:$B = ""Master"")
)
+
(FILTER(Mons"&amp;"ters!$AQ:$AQ, Monsters!$A:$A = O55 , Monsters!$D:$D  = 'Main Page'!$T$5, Monsters!$B:$B = ""Minion"")
*
FILTER(Monsters!$AN:$AN, Monsters!$A:$A = O55 , Monsters!$D:$D  = 'Main Page'!$T$5, Monsters!$B:$B = ""Minion"")
)
,
)"),"")</f>
        <v/>
      </c>
      <c r="Q55" s="75"/>
      <c r="R55" s="542" t="str">
        <f t="shared" si="1"/>
        <v/>
      </c>
    </row>
    <row r="56" ht="15.75" customHeight="1">
      <c r="B56" s="258"/>
      <c r="F56" s="75" t="str">
        <f>IFERROR(__xludf.DUMMYFUNCTION("""COMPUTED_VALUE"""),"Lorekeeper")</f>
        <v>Lorekeeper</v>
      </c>
      <c r="H56" s="75" t="str">
        <f>IFERROR(__xludf.DUMMYFUNCTION("""COMPUTED_VALUE"""),"Steelcaster")</f>
        <v>Steelcaster</v>
      </c>
      <c r="J56" s="75" t="str">
        <f>IFERROR(__xludf.DUMMYFUNCTION("""COMPUTED_VALUE"""),"Monk")</f>
        <v>Monk</v>
      </c>
      <c r="L56" s="75" t="str">
        <f>IFERROR(__xludf.DUMMYFUNCTION("""COMPUTED_VALUE"""),"Soul Reaper")</f>
        <v>Soul Reaper</v>
      </c>
      <c r="P56" s="75" t="str">
        <f>IFERROR(__xludf.DUMMYFUNCTION(" IFERROR(
(FILTER(Monsters!$AQ:$AQ, Monsters!$A:$A = O56 , Monsters!$D:$D  = 'Main Page'!$T$5, Monsters!$B:$B = ""Master"")
*
FILTER(Monsters!$AN:$AN, Monsters!$A:$A = O56 , Monsters!$D:$D  = 'Main Page'!$T$5, Monsters!$B:$B = ""Master"")
)
+
(FILTER(Mons"&amp;"ters!$AQ:$AQ, Monsters!$A:$A = O56 , Monsters!$D:$D  = 'Main Page'!$T$5, Monsters!$B:$B = ""Minion"")
*
FILTER(Monsters!$AN:$AN, Monsters!$A:$A = O56 , Monsters!$D:$D  = 'Main Page'!$T$5, Monsters!$B:$B = ""Minion"")
)
,
)"),"")</f>
        <v/>
      </c>
      <c r="Q56" s="75"/>
      <c r="R56" s="542" t="str">
        <f t="shared" si="1"/>
        <v/>
      </c>
    </row>
    <row r="57" ht="15.75" customHeight="1">
      <c r="B57" s="258"/>
      <c r="F57" s="75" t="str">
        <f>IFERROR(__xludf.DUMMYFUNCTION("""COMPUTED_VALUE"""),"Lorekeeper")</f>
        <v>Lorekeeper</v>
      </c>
      <c r="H57" s="75" t="str">
        <f>IFERROR(__xludf.DUMMYFUNCTION("""COMPUTED_VALUE"""),"Steelcaster")</f>
        <v>Steelcaster</v>
      </c>
      <c r="J57" s="75" t="str">
        <f>IFERROR(__xludf.DUMMYFUNCTION("""COMPUTED_VALUE"""),"Monk")</f>
        <v>Monk</v>
      </c>
      <c r="L57" s="75" t="str">
        <f>IFERROR(__xludf.DUMMYFUNCTION("""COMPUTED_VALUE"""),"Soul Reaper")</f>
        <v>Soul Reaper</v>
      </c>
      <c r="P57" s="75" t="str">
        <f>IFERROR(__xludf.DUMMYFUNCTION(" IFERROR(
(FILTER(Monsters!$AQ:$AQ, Monsters!$A:$A = O57 , Monsters!$D:$D  = 'Main Page'!$T$5, Monsters!$B:$B = ""Master"")
*
FILTER(Monsters!$AN:$AN, Monsters!$A:$A = O57 , Monsters!$D:$D  = 'Main Page'!$T$5, Monsters!$B:$B = ""Master"")
)
+
(FILTER(Mons"&amp;"ters!$AQ:$AQ, Monsters!$A:$A = O57 , Monsters!$D:$D  = 'Main Page'!$T$5, Monsters!$B:$B = ""Minion"")
*
FILTER(Monsters!$AN:$AN, Monsters!$A:$A = O57 , Monsters!$D:$D  = 'Main Page'!$T$5, Monsters!$B:$B = ""Minion"")
)
,
)"),"")</f>
        <v/>
      </c>
      <c r="Q57" s="75"/>
      <c r="R57" s="542" t="str">
        <f t="shared" si="1"/>
        <v/>
      </c>
    </row>
    <row r="58" ht="15.75" customHeight="1">
      <c r="B58" s="258"/>
      <c r="F58" s="75" t="str">
        <f>IFERROR(__xludf.DUMMYFUNCTION("""COMPUTED_VALUE"""),"Lorekeeper")</f>
        <v>Lorekeeper</v>
      </c>
      <c r="H58" s="75" t="str">
        <f>IFERROR(__xludf.DUMMYFUNCTION("""COMPUTED_VALUE"""),"Steelcaster")</f>
        <v>Steelcaster</v>
      </c>
      <c r="J58" s="75" t="str">
        <f>IFERROR(__xludf.DUMMYFUNCTION("""COMPUTED_VALUE"""),"Monk")</f>
        <v>Monk</v>
      </c>
      <c r="L58" s="75" t="str">
        <f>IFERROR(__xludf.DUMMYFUNCTION("""COMPUTED_VALUE"""),"Soul Reaper")</f>
        <v>Soul Reaper</v>
      </c>
      <c r="P58" s="75" t="str">
        <f>IFERROR(__xludf.DUMMYFUNCTION(" IFERROR(
(FILTER(Monsters!$AQ:$AQ, Monsters!$A:$A = O58 , Monsters!$D:$D  = 'Main Page'!$T$5, Monsters!$B:$B = ""Master"")
*
FILTER(Monsters!$AN:$AN, Monsters!$A:$A = O58 , Monsters!$D:$D  = 'Main Page'!$T$5, Monsters!$B:$B = ""Master"")
)
+
(FILTER(Mons"&amp;"ters!$AQ:$AQ, Monsters!$A:$A = O58 , Monsters!$D:$D  = 'Main Page'!$T$5, Monsters!$B:$B = ""Minion"")
*
FILTER(Monsters!$AN:$AN, Monsters!$A:$A = O58 , Monsters!$D:$D  = 'Main Page'!$T$5, Monsters!$B:$B = ""Minion"")
)
,
)"),"")</f>
        <v/>
      </c>
      <c r="Q58" s="75"/>
      <c r="R58" s="542" t="str">
        <f t="shared" si="1"/>
        <v/>
      </c>
    </row>
    <row r="59" ht="15.75" customHeight="1">
      <c r="B59" s="258"/>
      <c r="F59" s="75" t="str">
        <f>IFERROR(__xludf.DUMMYFUNCTION("""COMPUTED_VALUE"""),"Lorekeeper")</f>
        <v>Lorekeeper</v>
      </c>
      <c r="H59" s="75" t="str">
        <f>IFERROR(__xludf.DUMMYFUNCTION("""COMPUTED_VALUE"""),"Steelcaster")</f>
        <v>Steelcaster</v>
      </c>
      <c r="J59" s="75" t="str">
        <f>IFERROR(__xludf.DUMMYFUNCTION("""COMPUTED_VALUE"""),"Monk")</f>
        <v>Monk</v>
      </c>
      <c r="L59" s="75" t="str">
        <f>IFERROR(__xludf.DUMMYFUNCTION("""COMPUTED_VALUE"""),"Soul Reaper")</f>
        <v>Soul Reaper</v>
      </c>
      <c r="P59" s="75" t="str">
        <f>IFERROR(__xludf.DUMMYFUNCTION(" IFERROR(
(FILTER(Monsters!$AQ:$AQ, Monsters!$A:$A = O59 , Monsters!$D:$D  = 'Main Page'!$T$5, Monsters!$B:$B = ""Master"")
*
FILTER(Monsters!$AN:$AN, Monsters!$A:$A = O59 , Monsters!$D:$D  = 'Main Page'!$T$5, Monsters!$B:$B = ""Master"")
)
+
(FILTER(Mons"&amp;"ters!$AQ:$AQ, Monsters!$A:$A = O59 , Monsters!$D:$D  = 'Main Page'!$T$5, Monsters!$B:$B = ""Minion"")
*
FILTER(Monsters!$AN:$AN, Monsters!$A:$A = O59 , Monsters!$D:$D  = 'Main Page'!$T$5, Monsters!$B:$B = ""Minion"")
)
,
)"),"")</f>
        <v/>
      </c>
      <c r="Q59" s="75"/>
      <c r="R59" s="542" t="str">
        <f t="shared" si="1"/>
        <v/>
      </c>
    </row>
    <row r="60" ht="15.75" customHeight="1">
      <c r="B60" s="258"/>
      <c r="F60" s="75" t="str">
        <f>IFERROR(__xludf.DUMMYFUNCTION("""COMPUTED_VALUE"""),"Elementalist")</f>
        <v>Elementalist</v>
      </c>
      <c r="H60" s="75" t="str">
        <f>IFERROR(__xludf.DUMMYFUNCTION("""COMPUTED_VALUE"""),"Avenger")</f>
        <v>Avenger</v>
      </c>
      <c r="J60" s="75" t="str">
        <f>IFERROR(__xludf.DUMMYFUNCTION("""COMPUTED_VALUE"""),"Trickster")</f>
        <v>Trickster</v>
      </c>
      <c r="L60" s="75" t="str">
        <f>IFERROR(__xludf.DUMMYFUNCTION("""COMPUTED_VALUE"""),"Soul Reaper")</f>
        <v>Soul Reaper</v>
      </c>
      <c r="P60" s="75" t="str">
        <f>IFERROR(__xludf.DUMMYFUNCTION(" IFERROR(
(FILTER(Monsters!$AQ:$AQ, Monsters!$A:$A = O60 , Monsters!$D:$D  = 'Main Page'!$T$5, Monsters!$B:$B = ""Master"")
*
FILTER(Monsters!$AN:$AN, Monsters!$A:$A = O60 , Monsters!$D:$D  = 'Main Page'!$T$5, Monsters!$B:$B = ""Master"")
)
+
(FILTER(Mons"&amp;"ters!$AQ:$AQ, Monsters!$A:$A = O60 , Monsters!$D:$D  = 'Main Page'!$T$5, Monsters!$B:$B = ""Minion"")
*
FILTER(Monsters!$AN:$AN, Monsters!$A:$A = O60 , Monsters!$D:$D  = 'Main Page'!$T$5, Monsters!$B:$B = ""Minion"")
)
,
)"),"")</f>
        <v/>
      </c>
      <c r="Q60" s="75"/>
      <c r="R60" s="542" t="str">
        <f t="shared" si="1"/>
        <v/>
      </c>
    </row>
    <row r="61" ht="15.75" customHeight="1">
      <c r="B61" s="258"/>
      <c r="F61" s="75" t="str">
        <f>IFERROR(__xludf.DUMMYFUNCTION("""COMPUTED_VALUE"""),"Elementalist")</f>
        <v>Elementalist</v>
      </c>
      <c r="H61" s="75" t="str">
        <f>IFERROR(__xludf.DUMMYFUNCTION("""COMPUTED_VALUE"""),"Avenger")</f>
        <v>Avenger</v>
      </c>
      <c r="J61" s="75" t="str">
        <f>IFERROR(__xludf.DUMMYFUNCTION("""COMPUTED_VALUE"""),"Trickster")</f>
        <v>Trickster</v>
      </c>
      <c r="L61" s="75" t="str">
        <f>IFERROR(__xludf.DUMMYFUNCTION("""COMPUTED_VALUE"""),"Heretic")</f>
        <v>Heretic</v>
      </c>
      <c r="P61" s="75" t="str">
        <f>IFERROR(__xludf.DUMMYFUNCTION(" IFERROR(
(FILTER(Monsters!$AQ:$AQ, Monsters!$A:$A = O61 , Monsters!$D:$D  = 'Main Page'!$T$5, Monsters!$B:$B = ""Master"")
*
FILTER(Monsters!$AN:$AN, Monsters!$A:$A = O61 , Monsters!$D:$D  = 'Main Page'!$T$5, Monsters!$B:$B = ""Master"")
)
+
(FILTER(Mons"&amp;"ters!$AQ:$AQ, Monsters!$A:$A = O61 , Monsters!$D:$D  = 'Main Page'!$T$5, Monsters!$B:$B = ""Minion"")
*
FILTER(Monsters!$AN:$AN, Monsters!$A:$A = O61 , Monsters!$D:$D  = 'Main Page'!$T$5, Monsters!$B:$B = ""Minion"")
)
,
)"),"")</f>
        <v/>
      </c>
      <c r="Q61" s="75"/>
      <c r="R61" s="542" t="str">
        <f t="shared" si="1"/>
        <v/>
      </c>
    </row>
    <row r="62" ht="15.75" customHeight="1">
      <c r="B62" s="258"/>
      <c r="F62" s="75" t="str">
        <f>IFERROR(__xludf.DUMMYFUNCTION("""COMPUTED_VALUE"""),"Elementalist")</f>
        <v>Elementalist</v>
      </c>
      <c r="H62" s="75" t="str">
        <f>IFERROR(__xludf.DUMMYFUNCTION("""COMPUTED_VALUE"""),"Avenger")</f>
        <v>Avenger</v>
      </c>
      <c r="J62" s="75" t="str">
        <f>IFERROR(__xludf.DUMMYFUNCTION("""COMPUTED_VALUE"""),"Trickster")</f>
        <v>Trickster</v>
      </c>
      <c r="L62" s="75" t="str">
        <f>IFERROR(__xludf.DUMMYFUNCTION("""COMPUTED_VALUE"""),"Heretic")</f>
        <v>Heretic</v>
      </c>
      <c r="P62" s="75" t="str">
        <f>IFERROR(__xludf.DUMMYFUNCTION(" IFERROR(
(FILTER(Monsters!$AQ:$AQ, Monsters!$A:$A = O62 , Monsters!$D:$D  = 'Main Page'!$T$5, Monsters!$B:$B = ""Master"")
*
FILTER(Monsters!$AN:$AN, Monsters!$A:$A = O62 , Monsters!$D:$D  = 'Main Page'!$T$5, Monsters!$B:$B = ""Master"")
)
+
(FILTER(Mons"&amp;"ters!$AQ:$AQ, Monsters!$A:$A = O62 , Monsters!$D:$D  = 'Main Page'!$T$5, Monsters!$B:$B = ""Minion"")
*
FILTER(Monsters!$AN:$AN, Monsters!$A:$A = O62 , Monsters!$D:$D  = 'Main Page'!$T$5, Monsters!$B:$B = ""Minion"")
)
,
)"),"")</f>
        <v/>
      </c>
      <c r="Q62" s="75"/>
      <c r="R62" s="542" t="str">
        <f t="shared" si="1"/>
        <v/>
      </c>
    </row>
    <row r="63" ht="15.75" customHeight="1">
      <c r="B63" s="258"/>
      <c r="F63" s="75" t="str">
        <f>IFERROR(__xludf.DUMMYFUNCTION("""COMPUTED_VALUE"""),"Elementalist")</f>
        <v>Elementalist</v>
      </c>
      <c r="H63" s="75" t="str">
        <f>IFERROR(__xludf.DUMMYFUNCTION("""COMPUTED_VALUE"""),"Avenger")</f>
        <v>Avenger</v>
      </c>
      <c r="J63" s="75" t="str">
        <f>IFERROR(__xludf.DUMMYFUNCTION("""COMPUTED_VALUE"""),"Trickster")</f>
        <v>Trickster</v>
      </c>
      <c r="L63" s="75" t="str">
        <f>IFERROR(__xludf.DUMMYFUNCTION("""COMPUTED_VALUE"""),"Heretic")</f>
        <v>Heretic</v>
      </c>
      <c r="P63" s="75" t="str">
        <f>IFERROR(__xludf.DUMMYFUNCTION(" IFERROR(
(FILTER(Monsters!$AQ:$AQ, Monsters!$A:$A = O63 , Monsters!$D:$D  = 'Main Page'!$T$5, Monsters!$B:$B = ""Master"")
*
FILTER(Monsters!$AN:$AN, Monsters!$A:$A = O63 , Monsters!$D:$D  = 'Main Page'!$T$5, Monsters!$B:$B = ""Master"")
)
+
(FILTER(Mons"&amp;"ters!$AQ:$AQ, Monsters!$A:$A = O63 , Monsters!$D:$D  = 'Main Page'!$T$5, Monsters!$B:$B = ""Minion"")
*
FILTER(Monsters!$AN:$AN, Monsters!$A:$A = O63 , Monsters!$D:$D  = 'Main Page'!$T$5, Monsters!$B:$B = ""Minion"")
)
,
)"),"")</f>
        <v/>
      </c>
      <c r="Q63" s="75"/>
      <c r="R63" s="542" t="str">
        <f t="shared" si="1"/>
        <v/>
      </c>
    </row>
    <row r="64" ht="15.75" customHeight="1">
      <c r="B64" s="258"/>
      <c r="F64" s="75" t="str">
        <f>IFERROR(__xludf.DUMMYFUNCTION("""COMPUTED_VALUE"""),"Elementalist")</f>
        <v>Elementalist</v>
      </c>
      <c r="H64" s="75" t="str">
        <f>IFERROR(__xludf.DUMMYFUNCTION("""COMPUTED_VALUE"""),"Raider")</f>
        <v>Raider</v>
      </c>
      <c r="J64" s="75" t="str">
        <f>IFERROR(__xludf.DUMMYFUNCTION("""COMPUTED_VALUE"""),"Ravager")</f>
        <v>Ravager</v>
      </c>
      <c r="L64" s="75" t="str">
        <f>IFERROR(__xludf.DUMMYFUNCTION("""COMPUTED_VALUE"""),"Heretic")</f>
        <v>Heretic</v>
      </c>
      <c r="P64" s="75" t="str">
        <f>IFERROR(__xludf.DUMMYFUNCTION(" IFERROR(
(FILTER(Monsters!$AQ:$AQ, Monsters!$A:$A = O64 , Monsters!$D:$D  = 'Main Page'!$T$5, Monsters!$B:$B = ""Master"")
*
FILTER(Monsters!$AN:$AN, Monsters!$A:$A = O64 , Monsters!$D:$D  = 'Main Page'!$T$5, Monsters!$B:$B = ""Master"")
)
+
(FILTER(Mons"&amp;"ters!$AQ:$AQ, Monsters!$A:$A = O64 , Monsters!$D:$D  = 'Main Page'!$T$5, Monsters!$B:$B = ""Minion"")
*
FILTER(Monsters!$AN:$AN, Monsters!$A:$A = O64 , Monsters!$D:$D  = 'Main Page'!$T$5, Monsters!$B:$B = ""Minion"")
)
,
)"),"")</f>
        <v/>
      </c>
      <c r="Q64" s="75"/>
      <c r="R64" s="542" t="str">
        <f t="shared" si="1"/>
        <v/>
      </c>
    </row>
    <row r="65" ht="15.75" customHeight="1">
      <c r="B65" s="258"/>
      <c r="F65" s="75" t="str">
        <f>IFERROR(__xludf.DUMMYFUNCTION("""COMPUTED_VALUE"""),"Elementalist")</f>
        <v>Elementalist</v>
      </c>
      <c r="H65" s="75" t="str">
        <f>IFERROR(__xludf.DUMMYFUNCTION("""COMPUTED_VALUE"""),"Raider")</f>
        <v>Raider</v>
      </c>
      <c r="J65" s="75" t="str">
        <f>IFERROR(__xludf.DUMMYFUNCTION("""COMPUTED_VALUE"""),"Ravager")</f>
        <v>Ravager</v>
      </c>
      <c r="L65" s="75" t="str">
        <f>IFERROR(__xludf.DUMMYFUNCTION("""COMPUTED_VALUE"""),"Crusader")</f>
        <v>Crusader</v>
      </c>
      <c r="P65" s="75" t="str">
        <f>IFERROR(__xludf.DUMMYFUNCTION(" IFERROR(
(FILTER(Monsters!$AQ:$AQ, Monsters!$A:$A = O65 , Monsters!$D:$D  = 'Main Page'!$T$5, Monsters!$B:$B = ""Master"")
*
FILTER(Monsters!$AN:$AN, Monsters!$A:$A = O65 , Monsters!$D:$D  = 'Main Page'!$T$5, Monsters!$B:$B = ""Master"")
)
+
(FILTER(Mons"&amp;"ters!$AQ:$AQ, Monsters!$A:$A = O65 , Monsters!$D:$D  = 'Main Page'!$T$5, Monsters!$B:$B = ""Minion"")
*
FILTER(Monsters!$AN:$AN, Monsters!$A:$A = O65 , Monsters!$D:$D  = 'Main Page'!$T$5, Monsters!$B:$B = ""Minion"")
)
,
)"),"")</f>
        <v/>
      </c>
      <c r="Q65" s="75"/>
      <c r="R65" s="542" t="str">
        <f t="shared" si="1"/>
        <v/>
      </c>
    </row>
    <row r="66" ht="15.75" customHeight="1">
      <c r="B66" s="258"/>
      <c r="F66" s="75" t="str">
        <f>IFERROR(__xludf.DUMMYFUNCTION("""COMPUTED_VALUE"""),"Elementalist")</f>
        <v>Elementalist</v>
      </c>
      <c r="H66" s="75" t="str">
        <f>IFERROR(__xludf.DUMMYFUNCTION("""COMPUTED_VALUE"""),"Raider")</f>
        <v>Raider</v>
      </c>
      <c r="J66" s="75" t="str">
        <f>IFERROR(__xludf.DUMMYFUNCTION("""COMPUTED_VALUE"""),"Ravager")</f>
        <v>Ravager</v>
      </c>
      <c r="L66" s="75" t="str">
        <f>IFERROR(__xludf.DUMMYFUNCTION("""COMPUTED_VALUE"""),"Crusader")</f>
        <v>Crusader</v>
      </c>
      <c r="P66" s="75" t="str">
        <f>IFERROR(__xludf.DUMMYFUNCTION(" IFERROR(
(FILTER(Monsters!$AQ:$AQ, Monsters!$A:$A = O66 , Monsters!$D:$D  = 'Main Page'!$T$5, Monsters!$B:$B = ""Master"")
*
FILTER(Monsters!$AN:$AN, Monsters!$A:$A = O66 , Monsters!$D:$D  = 'Main Page'!$T$5, Monsters!$B:$B = ""Master"")
)
+
(FILTER(Mons"&amp;"ters!$AQ:$AQ, Monsters!$A:$A = O66 , Monsters!$D:$D  = 'Main Page'!$T$5, Monsters!$B:$B = ""Minion"")
*
FILTER(Monsters!$AN:$AN, Monsters!$A:$A = O66 , Monsters!$D:$D  = 'Main Page'!$T$5, Monsters!$B:$B = ""Minion"")
)
,
)"),"")</f>
        <v/>
      </c>
      <c r="Q66" s="75"/>
      <c r="R66" s="542" t="str">
        <f t="shared" si="1"/>
        <v/>
      </c>
    </row>
    <row r="67" ht="15.75" customHeight="1">
      <c r="B67" s="258"/>
      <c r="F67" s="75" t="str">
        <f>IFERROR(__xludf.DUMMYFUNCTION("""COMPUTED_VALUE"""),"Elementalist")</f>
        <v>Elementalist</v>
      </c>
      <c r="H67" s="75" t="str">
        <f>IFERROR(__xludf.DUMMYFUNCTION("""COMPUTED_VALUE"""),"Raider")</f>
        <v>Raider</v>
      </c>
      <c r="J67" s="75" t="str">
        <f>IFERROR(__xludf.DUMMYFUNCTION("""COMPUTED_VALUE"""),"Ravager")</f>
        <v>Ravager</v>
      </c>
      <c r="L67" s="75" t="str">
        <f>IFERROR(__xludf.DUMMYFUNCTION("""COMPUTED_VALUE"""),"Crusader")</f>
        <v>Crusader</v>
      </c>
      <c r="P67" s="75" t="str">
        <f>IFERROR(__xludf.DUMMYFUNCTION(" IFERROR(
(FILTER(Monsters!$AQ:$AQ, Monsters!$A:$A = O67 , Monsters!$D:$D  = 'Main Page'!$T$5, Monsters!$B:$B = ""Master"")
*
FILTER(Monsters!$AN:$AN, Monsters!$A:$A = O67 , Monsters!$D:$D  = 'Main Page'!$T$5, Monsters!$B:$B = ""Master"")
)
+
(FILTER(Mons"&amp;"ters!$AQ:$AQ, Monsters!$A:$A = O67 , Monsters!$D:$D  = 'Main Page'!$T$5, Monsters!$B:$B = ""Minion"")
*
FILTER(Monsters!$AN:$AN, Monsters!$A:$A = O67 , Monsters!$D:$D  = 'Main Page'!$T$5, Monsters!$B:$B = ""Minion"")
)
,
)"),"")</f>
        <v/>
      </c>
      <c r="Q67" s="75"/>
      <c r="R67" s="542" t="str">
        <f t="shared" si="1"/>
        <v/>
      </c>
    </row>
    <row r="68" ht="15.75" customHeight="1">
      <c r="B68" s="258"/>
      <c r="F68" s="75" t="str">
        <f>IFERROR(__xludf.DUMMYFUNCTION("""COMPUTED_VALUE"""),"Elementalist")</f>
        <v>Elementalist</v>
      </c>
      <c r="L68" s="75" t="str">
        <f>IFERROR(__xludf.DUMMYFUNCTION("""COMPUTED_VALUE"""),"Crusader")</f>
        <v>Crusader</v>
      </c>
      <c r="P68" s="75" t="str">
        <f>IFERROR(__xludf.DUMMYFUNCTION(" IFERROR(
(FILTER(Monsters!$AQ:$AQ, Monsters!$A:$A = O68 , Monsters!$D:$D  = 'Main Page'!$T$5, Monsters!$B:$B = ""Master"")
*
FILTER(Monsters!$AN:$AN, Monsters!$A:$A = O68 , Monsters!$D:$D  = 'Main Page'!$T$5, Monsters!$B:$B = ""Master"")
)
+
(FILTER(Mons"&amp;"ters!$AQ:$AQ, Monsters!$A:$A = O68 , Monsters!$D:$D  = 'Main Page'!$T$5, Monsters!$B:$B = ""Minion"")
*
FILTER(Monsters!$AN:$AN, Monsters!$A:$A = O68 , Monsters!$D:$D  = 'Main Page'!$T$5, Monsters!$B:$B = ""Minion"")
)
,
)"),"")</f>
        <v/>
      </c>
      <c r="Q68" s="75"/>
      <c r="R68" s="542" t="str">
        <f t="shared" si="1"/>
        <v/>
      </c>
    </row>
    <row r="69" ht="15.75" customHeight="1">
      <c r="B69" s="258"/>
      <c r="F69" s="75" t="str">
        <f>IFERROR(__xludf.DUMMYFUNCTION("""COMPUTED_VALUE"""),"Elementalist")</f>
        <v>Elementalist</v>
      </c>
      <c r="P69" s="75" t="str">
        <f>IFERROR(__xludf.DUMMYFUNCTION(" IFERROR(
(FILTER(Monsters!$AQ:$AQ, Monsters!$A:$A = O69 , Monsters!$D:$D  = 'Main Page'!$T$5, Monsters!$B:$B = ""Master"")
*
FILTER(Monsters!$AN:$AN, Monsters!$A:$A = O69 , Monsters!$D:$D  = 'Main Page'!$T$5, Monsters!$B:$B = ""Master"")
)
+
(FILTER(Mons"&amp;"ters!$AQ:$AQ, Monsters!$A:$A = O69 , Monsters!$D:$D  = 'Main Page'!$T$5, Monsters!$B:$B = ""Minion"")
*
FILTER(Monsters!$AN:$AN, Monsters!$A:$A = O69 , Monsters!$D:$D  = 'Main Page'!$T$5, Monsters!$B:$B = ""Minion"")
)
,
)"),"")</f>
        <v/>
      </c>
      <c r="Q69" s="75"/>
      <c r="R69" s="542" t="str">
        <f t="shared" si="1"/>
        <v/>
      </c>
    </row>
    <row r="70" ht="15.75" customHeight="1">
      <c r="B70" s="258"/>
      <c r="F70" s="75" t="str">
        <f>IFERROR(__xludf.DUMMYFUNCTION("""COMPUTED_VALUE"""),"Elementalist")</f>
        <v>Elementalist</v>
      </c>
      <c r="P70" s="75" t="str">
        <f>IFERROR(__xludf.DUMMYFUNCTION(" IFERROR(
(FILTER(Monsters!$AQ:$AQ, Monsters!$A:$A = O70 , Monsters!$D:$D  = 'Main Page'!$T$5, Monsters!$B:$B = ""Master"")
*
FILTER(Monsters!$AN:$AN, Monsters!$A:$A = O70 , Monsters!$D:$D  = 'Main Page'!$T$5, Monsters!$B:$B = ""Master"")
)
+
(FILTER(Mons"&amp;"ters!$AQ:$AQ, Monsters!$A:$A = O70 , Monsters!$D:$D  = 'Main Page'!$T$5, Monsters!$B:$B = ""Minion"")
*
FILTER(Monsters!$AN:$AN, Monsters!$A:$A = O70 , Monsters!$D:$D  = 'Main Page'!$T$5, Monsters!$B:$B = ""Minion"")
)
,
)"),"")</f>
        <v/>
      </c>
      <c r="Q70" s="75"/>
      <c r="R70" s="542" t="str">
        <f t="shared" si="1"/>
        <v/>
      </c>
    </row>
    <row r="71" ht="15.75" customHeight="1">
      <c r="B71" s="258"/>
      <c r="F71" s="75" t="str">
        <f>IFERROR(__xludf.DUMMYFUNCTION("""COMPUTED_VALUE"""),"Elementalist")</f>
        <v>Elementalist</v>
      </c>
      <c r="P71" s="75" t="str">
        <f>IFERROR(__xludf.DUMMYFUNCTION(" IFERROR(
(FILTER(Monsters!$AQ:$AQ, Monsters!$A:$A = O71 , Monsters!$D:$D  = 'Main Page'!$T$5, Monsters!$B:$B = ""Master"")
*
FILTER(Monsters!$AN:$AN, Monsters!$A:$A = O71 , Monsters!$D:$D  = 'Main Page'!$T$5, Monsters!$B:$B = ""Master"")
)
+
(FILTER(Mons"&amp;"ters!$AQ:$AQ, Monsters!$A:$A = O71 , Monsters!$D:$D  = 'Main Page'!$T$5, Monsters!$B:$B = ""Minion"")
*
FILTER(Monsters!$AN:$AN, Monsters!$A:$A = O71 , Monsters!$D:$D  = 'Main Page'!$T$5, Monsters!$B:$B = ""Minion"")
)
,
)"),"")</f>
        <v/>
      </c>
      <c r="Q71" s="75"/>
      <c r="R71" s="542" t="str">
        <f t="shared" si="1"/>
        <v/>
      </c>
    </row>
    <row r="72" ht="15.75" customHeight="1">
      <c r="B72" s="258"/>
      <c r="F72" s="75" t="str">
        <f>IFERROR(__xludf.DUMMYFUNCTION("""COMPUTED_VALUE"""),"Elementalist")</f>
        <v>Elementalist</v>
      </c>
      <c r="P72" s="75" t="str">
        <f>IFERROR(__xludf.DUMMYFUNCTION(" IFERROR(
(FILTER(Monsters!$AQ:$AQ, Monsters!$A:$A = O72 , Monsters!$D:$D  = 'Main Page'!$T$5, Monsters!$B:$B = ""Master"")
*
FILTER(Monsters!$AN:$AN, Monsters!$A:$A = O72 , Monsters!$D:$D  = 'Main Page'!$T$5, Monsters!$B:$B = ""Master"")
)
+
(FILTER(Mons"&amp;"ters!$AQ:$AQ, Monsters!$A:$A = O72 , Monsters!$D:$D  = 'Main Page'!$T$5, Monsters!$B:$B = ""Minion"")
*
FILTER(Monsters!$AN:$AN, Monsters!$A:$A = O72 , Monsters!$D:$D  = 'Main Page'!$T$5, Monsters!$B:$B = ""Minion"")
)
,
)"),"")</f>
        <v/>
      </c>
      <c r="Q72" s="75"/>
      <c r="R72" s="542" t="str">
        <f t="shared" si="1"/>
        <v/>
      </c>
    </row>
    <row r="73" ht="15.75" customHeight="1">
      <c r="B73" s="258"/>
      <c r="P73" s="75" t="str">
        <f>IFERROR(__xludf.DUMMYFUNCTION(" IFERROR(
(FILTER(Monsters!$AQ:$AQ, Monsters!$A:$A = O73 , Monsters!$D:$D  = 'Main Page'!$T$5, Monsters!$B:$B = ""Master"")
*
FILTER(Monsters!$AJ:$AJ, Monsters!$A:$A = O73 , Monsters!$D:$D  = 'Main Page'!$T$5, Monsters!$B:$B = ""Master"")
)
+
(FILTER(Mons"&amp;"ters!$AQ:$AQ, Monsters!$A:$A = O73 , Monsters!$D:$D  = 'Main Page'!$T$5, Monsters!$B:$B = ""Minion"")
*
FILTER(Monsters!$AJ:$AJ, Monsters!$A:$A = O73 , Monsters!$D:$D  = 'Main Page'!$T$5, Monsters!$B:$B = ""Minion"")
)
,
)"),"")</f>
        <v/>
      </c>
      <c r="Q73" s="75"/>
      <c r="R73" s="542" t="str">
        <f t="shared" si="1"/>
        <v/>
      </c>
    </row>
    <row r="74" ht="15.75" customHeight="1">
      <c r="B74" s="258"/>
      <c r="P74" s="75" t="str">
        <f>IFERROR(__xludf.DUMMYFUNCTION(" IFERROR(
(FILTER(Monsters!$AQ:$AQ, Monsters!$A:$A = O74 , Monsters!$D:$D  = 'Main Page'!$T$5, Monsters!$B:$B = ""Master"")
*
FILTER(Monsters!$AJ:$AJ, Monsters!$A:$A = O74 , Monsters!$D:$D  = 'Main Page'!$T$5, Monsters!$B:$B = ""Master"")
)
+
(FILTER(Mons"&amp;"ters!$AQ:$AQ, Monsters!$A:$A = O74 , Monsters!$D:$D  = 'Main Page'!$T$5, Monsters!$B:$B = ""Minion"")
*
FILTER(Monsters!$AJ:$AJ, Monsters!$A:$A = O74 , Monsters!$D:$D  = 'Main Page'!$T$5, Monsters!$B:$B = ""Minion"")
)
,
)"),"")</f>
        <v/>
      </c>
      <c r="Q74" s="75"/>
      <c r="R74" s="542" t="str">
        <f t="shared" si="1"/>
        <v/>
      </c>
    </row>
    <row r="75" ht="15.75" customHeight="1">
      <c r="B75" s="258"/>
      <c r="P75" s="75" t="str">
        <f>IFERROR(__xludf.DUMMYFUNCTION(" IFERROR(
(FILTER(Monsters!$AQ:$AQ, Monsters!$A:$A = O75 , Monsters!$D:$D  = 'Main Page'!$T$5, Monsters!$B:$B = ""Master"")
*
FILTER(Monsters!$AJ:$AJ, Monsters!$A:$A = O75 , Monsters!$D:$D  = 'Main Page'!$T$5, Monsters!$B:$B = ""Master"")
)
+
(FILTER(Mons"&amp;"ters!$AQ:$AQ, Monsters!$A:$A = O75 , Monsters!$D:$D  = 'Main Page'!$T$5, Monsters!$B:$B = ""Minion"")
*
FILTER(Monsters!$AJ:$AJ, Monsters!$A:$A = O75 , Monsters!$D:$D  = 'Main Page'!$T$5, Monsters!$B:$B = ""Minion"")
)
,
)"),"")</f>
        <v/>
      </c>
      <c r="Q75" s="75"/>
      <c r="R75" s="542" t="str">
        <f t="shared" si="1"/>
        <v/>
      </c>
    </row>
    <row r="76" ht="15.75" customHeight="1">
      <c r="B76" s="258"/>
      <c r="P76" s="75" t="str">
        <f>IFERROR(__xludf.DUMMYFUNCTION(" IFERROR(
(FILTER(Monsters!$AQ:$AQ, Monsters!$A:$A = O76 , Monsters!$D:$D  = 'Main Page'!$T$5, Monsters!$B:$B = ""Master"")
*
FILTER(Monsters!$AJ:$AJ, Monsters!$A:$A = O76 , Monsters!$D:$D  = 'Main Page'!$T$5, Monsters!$B:$B = ""Master"")
)
+
(FILTER(Mons"&amp;"ters!$AQ:$AQ, Monsters!$A:$A = O76 , Monsters!$D:$D  = 'Main Page'!$T$5, Monsters!$B:$B = ""Minion"")
*
FILTER(Monsters!$AJ:$AJ, Monsters!$A:$A = O76 , Monsters!$D:$D  = 'Main Page'!$T$5, Monsters!$B:$B = ""Minion"")
)
,
)"),"")</f>
        <v/>
      </c>
      <c r="Q76" s="75"/>
      <c r="R76" s="542" t="str">
        <f t="shared" si="1"/>
        <v/>
      </c>
    </row>
    <row r="77" ht="15.75" customHeight="1">
      <c r="B77" s="258"/>
      <c r="P77" s="75" t="str">
        <f>IFERROR(__xludf.DUMMYFUNCTION(" IFERROR(
(FILTER(Monsters!$AQ:$AQ, Monsters!$A:$A = O77 , Monsters!$D:$D  = 'Main Page'!$T$5, Monsters!$B:$B = ""Master"")
*
FILTER(Monsters!$AJ:$AJ, Monsters!$A:$A = O77 , Monsters!$D:$D  = 'Main Page'!$T$5, Monsters!$B:$B = ""Master"")
)
+
(FILTER(Mons"&amp;"ters!$AQ:$AQ, Monsters!$A:$A = O77 , Monsters!$D:$D  = 'Main Page'!$T$5, Monsters!$B:$B = ""Minion"")
*
FILTER(Monsters!$AJ:$AJ, Monsters!$A:$A = O77 , Monsters!$D:$D  = 'Main Page'!$T$5, Monsters!$B:$B = ""Minion"")
)
,
)"),"")</f>
        <v/>
      </c>
      <c r="Q77" s="75"/>
      <c r="R77" s="542" t="str">
        <f t="shared" si="1"/>
        <v/>
      </c>
    </row>
    <row r="78" ht="15.75" customHeight="1">
      <c r="B78" s="258"/>
      <c r="P78" s="75" t="str">
        <f>IFERROR(__xludf.DUMMYFUNCTION(" IFERROR(
(FILTER(Monsters!$AQ:$AQ, Monsters!$A:$A = O78 , Monsters!$D:$D  = 'Main Page'!$T$5, Monsters!$B:$B = ""Master"")
*
FILTER(Monsters!$AJ:$AJ, Monsters!$A:$A = O78 , Monsters!$D:$D  = 'Main Page'!$T$5, Monsters!$B:$B = ""Master"")
)
+
(FILTER(Mons"&amp;"ters!$AQ:$AQ, Monsters!$A:$A = O78 , Monsters!$D:$D  = 'Main Page'!$T$5, Monsters!$B:$B = ""Minion"")
*
FILTER(Monsters!$AJ:$AJ, Monsters!$A:$A = O78 , Monsters!$D:$D  = 'Main Page'!$T$5, Monsters!$B:$B = ""Minion"")
)
,
)"),"")</f>
        <v/>
      </c>
      <c r="Q78" s="75"/>
      <c r="R78" s="542" t="str">
        <f t="shared" si="1"/>
        <v/>
      </c>
    </row>
    <row r="79" ht="15.75" customHeight="1">
      <c r="B79" s="258"/>
      <c r="P79" s="75" t="str">
        <f>IFERROR(__xludf.DUMMYFUNCTION(" IFERROR(
(FILTER(Monsters!$AQ:$AQ, Monsters!$A:$A = O79 , Monsters!$D:$D  = 'Main Page'!$T$5, Monsters!$B:$B = ""Master"")
*
FILTER(Monsters!$AJ:$AJ, Monsters!$A:$A = O79 , Monsters!$D:$D  = 'Main Page'!$T$5, Monsters!$B:$B = ""Master"")
)
+
(FILTER(Mons"&amp;"ters!$AQ:$AQ, Monsters!$A:$A = O79 , Monsters!$D:$D  = 'Main Page'!$T$5, Monsters!$B:$B = ""Minion"")
*
FILTER(Monsters!$AJ:$AJ, Monsters!$A:$A = O79 , Monsters!$D:$D  = 'Main Page'!$T$5, Monsters!$B:$B = ""Minion"")
)
,
)"),"")</f>
        <v/>
      </c>
      <c r="Q79" s="75"/>
      <c r="R79" s="542" t="str">
        <f t="shared" si="1"/>
        <v/>
      </c>
    </row>
    <row r="80" ht="15.75" customHeight="1">
      <c r="B80" s="258"/>
      <c r="P80" s="75" t="str">
        <f>IFERROR(__xludf.DUMMYFUNCTION(" IFERROR(
(FILTER(Monsters!$AQ:$AQ, Monsters!$A:$A = O80 , Monsters!$D:$D  = 'Main Page'!$T$5, Monsters!$B:$B = ""Master"")
*
FILTER(Monsters!$AJ:$AJ, Monsters!$A:$A = O80 , Monsters!$D:$D  = 'Main Page'!$T$5, Monsters!$B:$B = ""Master"")
)
+
(FILTER(Mons"&amp;"ters!$AQ:$AQ, Monsters!$A:$A = O80 , Monsters!$D:$D  = 'Main Page'!$T$5, Monsters!$B:$B = ""Minion"")
*
FILTER(Monsters!$AJ:$AJ, Monsters!$A:$A = O80 , Monsters!$D:$D  = 'Main Page'!$T$5, Monsters!$B:$B = ""Minion"")
)
,
)"),"")</f>
        <v/>
      </c>
      <c r="Q80" s="75"/>
      <c r="R80" s="542" t="str">
        <f t="shared" si="1"/>
        <v/>
      </c>
    </row>
    <row r="81" ht="15.75" customHeight="1">
      <c r="B81" s="258"/>
      <c r="P81" s="75" t="str">
        <f>IFERROR(__xludf.DUMMYFUNCTION(" IFERROR(
(FILTER(Monsters!$AQ:$AQ, Monsters!$A:$A = O81 , Monsters!$D:$D  = 'Main Page'!$T$5, Monsters!$B:$B = ""Master"")
*
FILTER(Monsters!$AJ:$AJ, Monsters!$A:$A = O81 , Monsters!$D:$D  = 'Main Page'!$T$5, Monsters!$B:$B = ""Master"")
)
+
(FILTER(Mons"&amp;"ters!$AQ:$AQ, Monsters!$A:$A = O81 , Monsters!$D:$D  = 'Main Page'!$T$5, Monsters!$B:$B = ""Minion"")
*
FILTER(Monsters!$AJ:$AJ, Monsters!$A:$A = O81 , Monsters!$D:$D  = 'Main Page'!$T$5, Monsters!$B:$B = ""Minion"")
)
,
)"),"")</f>
        <v/>
      </c>
      <c r="Q81" s="75"/>
      <c r="R81" s="542" t="str">
        <f t="shared" si="1"/>
        <v/>
      </c>
    </row>
    <row r="82" ht="15.75" customHeight="1">
      <c r="B82" s="258"/>
      <c r="P82" s="75" t="str">
        <f>IFERROR(__xludf.DUMMYFUNCTION(" IFERROR(
(FILTER(Monsters!$AQ:$AQ, Monsters!$A:$A = O82 , Monsters!$D:$D  = 'Main Page'!$T$5, Monsters!$B:$B = ""Master"")
*
FILTER(Monsters!$AJ:$AJ, Monsters!$A:$A = O82 , Monsters!$D:$D  = 'Main Page'!$T$5, Monsters!$B:$B = ""Master"")
)
+
(FILTER(Mons"&amp;"ters!$AQ:$AQ, Monsters!$A:$A = O82 , Monsters!$D:$D  = 'Main Page'!$T$5, Monsters!$B:$B = ""Minion"")
*
FILTER(Monsters!$AJ:$AJ, Monsters!$A:$A = O82 , Monsters!$D:$D  = 'Main Page'!$T$5, Monsters!$B:$B = ""Minion"")
)
,
)"),"")</f>
        <v/>
      </c>
      <c r="Q82" s="75"/>
      <c r="R82" s="542" t="str">
        <f t="shared" si="1"/>
        <v/>
      </c>
    </row>
    <row r="83" ht="15.75" customHeight="1">
      <c r="B83" s="258"/>
      <c r="P83" s="75" t="str">
        <f>IFERROR(__xludf.DUMMYFUNCTION(" IFERROR(
(FILTER(Monsters!$AQ:$AQ, Monsters!$A:$A = O83 , Monsters!$D:$D  = 'Main Page'!$T$5, Monsters!$B:$B = ""Master"")
*
FILTER(Monsters!$AJ:$AJ, Monsters!$A:$A = O83 , Monsters!$D:$D  = 'Main Page'!$T$5, Monsters!$B:$B = ""Master"")
)
+
(FILTER(Mons"&amp;"ters!$AQ:$AQ, Monsters!$A:$A = O83 , Monsters!$D:$D  = 'Main Page'!$T$5, Monsters!$B:$B = ""Minion"")
*
FILTER(Monsters!$AJ:$AJ, Monsters!$A:$A = O83 , Monsters!$D:$D  = 'Main Page'!$T$5, Monsters!$B:$B = ""Minion"")
)
,
)"),"")</f>
        <v/>
      </c>
      <c r="Q83" s="75"/>
      <c r="R83" s="542" t="str">
        <f t="shared" si="1"/>
        <v/>
      </c>
    </row>
    <row r="84" ht="15.75" customHeight="1">
      <c r="B84" s="258"/>
      <c r="P84" s="75" t="str">
        <f>IFERROR(__xludf.DUMMYFUNCTION(" IFERROR(
(FILTER(Monsters!$AQ:$AQ, Monsters!$A:$A = O84 , Monsters!$D:$D  = 'Main Page'!$T$5, Monsters!$B:$B = ""Master"")
*
FILTER(Monsters!$AJ:$AJ, Monsters!$A:$A = O84 , Monsters!$D:$D  = 'Main Page'!$T$5, Monsters!$B:$B = ""Master"")
)
+
(FILTER(Mons"&amp;"ters!$AQ:$AQ, Monsters!$A:$A = O84 , Monsters!$D:$D  = 'Main Page'!$T$5, Monsters!$B:$B = ""Minion"")
*
FILTER(Monsters!$AJ:$AJ, Monsters!$A:$A = O84 , Monsters!$D:$D  = 'Main Page'!$T$5, Monsters!$B:$B = ""Minion"")
)
,
)"),"")</f>
        <v/>
      </c>
      <c r="Q84" s="75"/>
      <c r="R84" s="542" t="str">
        <f t="shared" si="1"/>
        <v/>
      </c>
    </row>
    <row r="85" ht="15.75" customHeight="1">
      <c r="B85" s="258"/>
      <c r="P85" s="75" t="str">
        <f>IFERROR(__xludf.DUMMYFUNCTION(" IFERROR(
(FILTER(Monsters!$AQ:$AQ, Monsters!$A:$A = O85 , Monsters!$D:$D  = 'Main Page'!$T$5, Monsters!$B:$B = ""Master"")
*
FILTER(Monsters!$AJ:$AJ, Monsters!$A:$A = O85 , Monsters!$D:$D  = 'Main Page'!$T$5, Monsters!$B:$B = ""Master"")
)
+
(FILTER(Mons"&amp;"ters!$AQ:$AQ, Monsters!$A:$A = O85 , Monsters!$D:$D  = 'Main Page'!$T$5, Monsters!$B:$B = ""Minion"")
*
FILTER(Monsters!$AJ:$AJ, Monsters!$A:$A = O85 , Monsters!$D:$D  = 'Main Page'!$T$5, Monsters!$B:$B = ""Minion"")
)
,
)"),"")</f>
        <v/>
      </c>
      <c r="Q85" s="75"/>
      <c r="R85" s="542" t="str">
        <f t="shared" si="1"/>
        <v/>
      </c>
    </row>
    <row r="86" ht="15.75" customHeight="1">
      <c r="B86" s="258"/>
      <c r="P86" s="75" t="str">
        <f>IFERROR(__xludf.DUMMYFUNCTION(" IFERROR(
(FILTER(Monsters!$AQ:$AQ, Monsters!$A:$A = O86 , Monsters!$D:$D  = 'Main Page'!$T$5, Monsters!$B:$B = ""Master"")
*
FILTER(Monsters!$AJ:$AJ, Monsters!$A:$A = O86 , Monsters!$D:$D  = 'Main Page'!$T$5, Monsters!$B:$B = ""Master"")
)
+
(FILTER(Mons"&amp;"ters!$AQ:$AQ, Monsters!$A:$A = O86 , Monsters!$D:$D  = 'Main Page'!$T$5, Monsters!$B:$B = ""Minion"")
*
FILTER(Monsters!$AJ:$AJ, Monsters!$A:$A = O86 , Monsters!$D:$D  = 'Main Page'!$T$5, Monsters!$B:$B = ""Minion"")
)
,
)"),"")</f>
        <v/>
      </c>
      <c r="Q86" s="75"/>
      <c r="R86" s="542" t="str">
        <f t="shared" si="1"/>
        <v/>
      </c>
    </row>
    <row r="87" ht="15.75" customHeight="1">
      <c r="B87" s="258"/>
      <c r="P87" s="75" t="str">
        <f>IFERROR(__xludf.DUMMYFUNCTION(" IFERROR(
(FILTER(Monsters!$AQ:$AQ, Monsters!$A:$A = O87 , Monsters!$D:$D  = 'Main Page'!$T$5, Monsters!$B:$B = ""Master"")
*
FILTER(Monsters!$AJ:$AJ, Monsters!$A:$A = O87 , Monsters!$D:$D  = 'Main Page'!$T$5, Monsters!$B:$B = ""Master"")
)
+
(FILTER(Mons"&amp;"ters!$AQ:$AQ, Monsters!$A:$A = O87 , Monsters!$D:$D  = 'Main Page'!$T$5, Monsters!$B:$B = ""Minion"")
*
FILTER(Monsters!$AJ:$AJ, Monsters!$A:$A = O87 , Monsters!$D:$D  = 'Main Page'!$T$5, Monsters!$B:$B = ""Minion"")
)
,
)"),"")</f>
        <v/>
      </c>
      <c r="Q87" s="75"/>
      <c r="R87" s="542" t="str">
        <f t="shared" si="1"/>
        <v/>
      </c>
    </row>
    <row r="88" ht="15.75" customHeight="1">
      <c r="B88" s="258"/>
      <c r="P88" s="75" t="str">
        <f>IFERROR(__xludf.DUMMYFUNCTION(" IFERROR(
(FILTER(Monsters!$AQ:$AQ, Monsters!$A:$A = O88 , Monsters!$D:$D  = 'Main Page'!$T$5, Monsters!$B:$B = ""Master"")
*
FILTER(Monsters!$AJ:$AJ, Monsters!$A:$A = O88 , Monsters!$D:$D  = 'Main Page'!$T$5, Monsters!$B:$B = ""Master"")
)
+
(FILTER(Mons"&amp;"ters!$AQ:$AQ, Monsters!$A:$A = O88 , Monsters!$D:$D  = 'Main Page'!$T$5, Monsters!$B:$B = ""Minion"")
*
FILTER(Monsters!$AJ:$AJ, Monsters!$A:$A = O88 , Monsters!$D:$D  = 'Main Page'!$T$5, Monsters!$B:$B = ""Minion"")
)
,
)"),"")</f>
        <v/>
      </c>
      <c r="Q88" s="75"/>
      <c r="R88" s="542" t="str">
        <f t="shared" si="1"/>
        <v/>
      </c>
    </row>
    <row r="89" ht="15.75" customHeight="1">
      <c r="B89" s="258"/>
      <c r="P89" s="75" t="str">
        <f>IFERROR(__xludf.DUMMYFUNCTION(" IFERROR(
(FILTER(Monsters!$AQ:$AQ, Monsters!$A:$A = O89 , Monsters!$D:$D  = 'Main Page'!$T$5, Monsters!$B:$B = ""Master"")
*
FILTER(Monsters!$AJ:$AJ, Monsters!$A:$A = O89 , Monsters!$D:$D  = 'Main Page'!$T$5, Monsters!$B:$B = ""Master"")
)
+
(FILTER(Mons"&amp;"ters!$AQ:$AQ, Monsters!$A:$A = O89 , Monsters!$D:$D  = 'Main Page'!$T$5, Monsters!$B:$B = ""Minion"")
*
FILTER(Monsters!$AJ:$AJ, Monsters!$A:$A = O89 , Monsters!$D:$D  = 'Main Page'!$T$5, Monsters!$B:$B = ""Minion"")
)
,
)"),"")</f>
        <v/>
      </c>
      <c r="Q89" s="75"/>
      <c r="R89" s="542" t="str">
        <f t="shared" si="1"/>
        <v/>
      </c>
    </row>
    <row r="90" ht="15.75" customHeight="1">
      <c r="B90" s="258"/>
      <c r="P90" s="75" t="str">
        <f>IFERROR(__xludf.DUMMYFUNCTION(" IFERROR(
(FILTER(Monsters!$AQ:$AQ, Monsters!$A:$A = O90 , Monsters!$D:$D  = 'Main Page'!$T$5, Monsters!$B:$B = ""Master"")
*
FILTER(Monsters!$AJ:$AJ, Monsters!$A:$A = O90 , Monsters!$D:$D  = 'Main Page'!$T$5, Monsters!$B:$B = ""Master"")
)
+
(FILTER(Mons"&amp;"ters!$AQ:$AQ, Monsters!$A:$A = O90 , Monsters!$D:$D  = 'Main Page'!$T$5, Monsters!$B:$B = ""Minion"")
*
FILTER(Monsters!$AJ:$AJ, Monsters!$A:$A = O90 , Monsters!$D:$D  = 'Main Page'!$T$5, Monsters!$B:$B = ""Minion"")
)
,
)"),"")</f>
        <v/>
      </c>
      <c r="Q90" s="75"/>
      <c r="R90" s="542" t="str">
        <f t="shared" si="1"/>
        <v/>
      </c>
    </row>
    <row r="91" ht="15.75" customHeight="1">
      <c r="B91" s="258"/>
      <c r="P91" s="75" t="str">
        <f>IFERROR(__xludf.DUMMYFUNCTION(" IFERROR(
(FILTER(Monsters!$AQ:$AQ, Monsters!$A:$A = O91 , Monsters!$D:$D  = 'Main Page'!$T$5, Monsters!$B:$B = ""Master"")
*
FILTER(Monsters!$AJ:$AJ, Monsters!$A:$A = O91 , Monsters!$D:$D  = 'Main Page'!$T$5, Monsters!$B:$B = ""Master"")
)
+
(FILTER(Mons"&amp;"ters!$AQ:$AQ, Monsters!$A:$A = O91 , Monsters!$D:$D  = 'Main Page'!$T$5, Monsters!$B:$B = ""Minion"")
*
FILTER(Monsters!$AJ:$AJ, Monsters!$A:$A = O91 , Monsters!$D:$D  = 'Main Page'!$T$5, Monsters!$B:$B = ""Minion"")
)
,
)"),"")</f>
        <v/>
      </c>
      <c r="Q91" s="75"/>
      <c r="R91" s="542" t="str">
        <f t="shared" si="1"/>
        <v/>
      </c>
    </row>
    <row r="92" ht="15.75" customHeight="1">
      <c r="B92" s="258"/>
      <c r="P92" s="75" t="str">
        <f>IFERROR(__xludf.DUMMYFUNCTION(" IFERROR(
(FILTER(Monsters!$AQ:$AQ, Monsters!$A:$A = O92 , Monsters!$D:$D  = 'Main Page'!$T$5, Monsters!$B:$B = ""Master"")
*
FILTER(Monsters!$AJ:$AJ, Monsters!$A:$A = O92 , Monsters!$D:$D  = 'Main Page'!$T$5, Monsters!$B:$B = ""Master"")
)
+
(FILTER(Mons"&amp;"ters!$AQ:$AQ, Monsters!$A:$A = O92 , Monsters!$D:$D  = 'Main Page'!$T$5, Monsters!$B:$B = ""Minion"")
*
FILTER(Monsters!$AJ:$AJ, Monsters!$A:$A = O92 , Monsters!$D:$D  = 'Main Page'!$T$5, Monsters!$B:$B = ""Minion"")
)
,
)"),"")</f>
        <v/>
      </c>
      <c r="Q92" s="75"/>
      <c r="R92" s="542" t="str">
        <f t="shared" si="1"/>
        <v/>
      </c>
    </row>
    <row r="93" ht="15.75" customHeight="1">
      <c r="B93" s="258"/>
      <c r="P93" s="75" t="str">
        <f>IFERROR(__xludf.DUMMYFUNCTION(" IFERROR(
(FILTER(Monsters!$AQ:$AQ, Monsters!$A:$A = O93 , Monsters!$D:$D  = 'Main Page'!$T$5, Monsters!$B:$B = ""Master"")
*
FILTER(Monsters!$AJ:$AJ, Monsters!$A:$A = O93 , Monsters!$D:$D  = 'Main Page'!$T$5, Monsters!$B:$B = ""Master"")
)
+
(FILTER(Mons"&amp;"ters!$AQ:$AQ, Monsters!$A:$A = O93 , Monsters!$D:$D  = 'Main Page'!$T$5, Monsters!$B:$B = ""Minion"")
*
FILTER(Monsters!$AJ:$AJ, Monsters!$A:$A = O93 , Monsters!$D:$D  = 'Main Page'!$T$5, Monsters!$B:$B = ""Minion"")
)
,
)"),"")</f>
        <v/>
      </c>
      <c r="Q93" s="75"/>
      <c r="R93" s="542" t="str">
        <f t="shared" si="1"/>
        <v/>
      </c>
    </row>
    <row r="94" ht="15.75" customHeight="1">
      <c r="B94" s="258"/>
      <c r="P94" s="75" t="str">
        <f>IFERROR(__xludf.DUMMYFUNCTION(" IFERROR(
(FILTER(Monsters!$AQ:$AQ, Monsters!$A:$A = O94 , Monsters!$D:$D  = 'Main Page'!$T$5, Monsters!$B:$B = ""Master"")
*
FILTER(Monsters!$AJ:$AJ, Monsters!$A:$A = O94 , Monsters!$D:$D  = 'Main Page'!$T$5, Monsters!$B:$B = ""Master"")
)
+
(FILTER(Mons"&amp;"ters!$AQ:$AQ, Monsters!$A:$A = O94 , Monsters!$D:$D  = 'Main Page'!$T$5, Monsters!$B:$B = ""Minion"")
*
FILTER(Monsters!$AJ:$AJ, Monsters!$A:$A = O94 , Monsters!$D:$D  = 'Main Page'!$T$5, Monsters!$B:$B = ""Minion"")
)
,
)"),"")</f>
        <v/>
      </c>
      <c r="Q94" s="75"/>
      <c r="R94" s="542" t="str">
        <f t="shared" si="1"/>
        <v/>
      </c>
    </row>
    <row r="95" ht="15.75" customHeight="1">
      <c r="B95" s="258"/>
      <c r="P95" s="75" t="str">
        <f>IFERROR(__xludf.DUMMYFUNCTION(" IFERROR(
(FILTER(Monsters!$AQ:$AQ, Monsters!$A:$A = O95 , Monsters!$D:$D  = 'Main Page'!$T$5, Monsters!$B:$B = ""Master"")
*
FILTER(Monsters!$AJ:$AJ, Monsters!$A:$A = O95 , Monsters!$D:$D  = 'Main Page'!$T$5, Monsters!$B:$B = ""Master"")
)
+
(FILTER(Mons"&amp;"ters!$AQ:$AQ, Monsters!$A:$A = O95 , Monsters!$D:$D  = 'Main Page'!$T$5, Monsters!$B:$B = ""Minion"")
*
FILTER(Monsters!$AJ:$AJ, Monsters!$A:$A = O95 , Monsters!$D:$D  = 'Main Page'!$T$5, Monsters!$B:$B = ""Minion"")
)
,
)"),"")</f>
        <v/>
      </c>
      <c r="Q95" s="75"/>
      <c r="R95" s="542" t="str">
        <f t="shared" si="1"/>
        <v/>
      </c>
    </row>
    <row r="96" ht="15.75" customHeight="1">
      <c r="B96" s="258"/>
      <c r="P96" s="75" t="str">
        <f>IFERROR(__xludf.DUMMYFUNCTION(" IFERROR(
(FILTER(Monsters!$AQ:$AQ, Monsters!$A:$A = O96 , Monsters!$D:$D  = 'Main Page'!$T$5, Monsters!$B:$B = ""Master"")
*
FILTER(Monsters!$AJ:$AJ, Monsters!$A:$A = O96 , Monsters!$D:$D  = 'Main Page'!$T$5, Monsters!$B:$B = ""Master"")
)
+
(FILTER(Mons"&amp;"ters!$AQ:$AQ, Monsters!$A:$A = O96 , Monsters!$D:$D  = 'Main Page'!$T$5, Monsters!$B:$B = ""Minion"")
*
FILTER(Monsters!$AJ:$AJ, Monsters!$A:$A = O96 , Monsters!$D:$D  = 'Main Page'!$T$5, Monsters!$B:$B = ""Minion"")
)
,
)"),"")</f>
        <v/>
      </c>
      <c r="Q96" s="75"/>
      <c r="R96" s="542" t="str">
        <f t="shared" si="1"/>
        <v/>
      </c>
    </row>
    <row r="97" ht="15.75" customHeight="1">
      <c r="B97" s="258"/>
      <c r="P97" s="75" t="str">
        <f>IFERROR(__xludf.DUMMYFUNCTION(" IFERROR(
(FILTER(Monsters!$AQ:$AQ, Monsters!$A:$A = O97 , Monsters!$D:$D  = 'Main Page'!$T$5, Monsters!$B:$B = ""Master"")
*
FILTER(Monsters!$AJ:$AJ, Monsters!$A:$A = O97 , Monsters!$D:$D  = 'Main Page'!$T$5, Monsters!$B:$B = ""Master"")
)
+
(FILTER(Mons"&amp;"ters!$AQ:$AQ, Monsters!$A:$A = O97 , Monsters!$D:$D  = 'Main Page'!$T$5, Monsters!$B:$B = ""Minion"")
*
FILTER(Monsters!$AJ:$AJ, Monsters!$A:$A = O97 , Monsters!$D:$D  = 'Main Page'!$T$5, Monsters!$B:$B = ""Minion"")
)
,
)"),"")</f>
        <v/>
      </c>
      <c r="Q97" s="75"/>
      <c r="R97" s="542" t="str">
        <f t="shared" si="1"/>
        <v/>
      </c>
    </row>
    <row r="98" ht="15.75" customHeight="1">
      <c r="B98" s="258"/>
      <c r="P98" s="75" t="str">
        <f>IFERROR(__xludf.DUMMYFUNCTION(" IFERROR(
(FILTER(Monsters!$AQ:$AQ, Monsters!$A:$A = O98 , Monsters!$D:$D  = 'Main Page'!$T$5, Monsters!$B:$B = ""Master"")
*
FILTER(Monsters!$AJ:$AJ, Monsters!$A:$A = O98 , Monsters!$D:$D  = 'Main Page'!$T$5, Monsters!$B:$B = ""Master"")
)
+
(FILTER(Mons"&amp;"ters!$AQ:$AQ, Monsters!$A:$A = O98 , Monsters!$D:$D  = 'Main Page'!$T$5, Monsters!$B:$B = ""Minion"")
*
FILTER(Monsters!$AJ:$AJ, Monsters!$A:$A = O98 , Monsters!$D:$D  = 'Main Page'!$T$5, Monsters!$B:$B = ""Minion"")
)
,
)"),"")</f>
        <v/>
      </c>
      <c r="Q98" s="75"/>
      <c r="R98" s="542" t="str">
        <f t="shared" si="1"/>
        <v/>
      </c>
    </row>
    <row r="99" ht="15.75" customHeight="1">
      <c r="B99" s="258"/>
      <c r="P99" s="75" t="str">
        <f>IFERROR(__xludf.DUMMYFUNCTION(" IFERROR(
(FILTER(Monsters!$AQ:$AQ, Monsters!$A:$A = O99 , Monsters!$D:$D  = 'Main Page'!$T$5, Monsters!$B:$B = ""Master"")
*
FILTER(Monsters!$AJ:$AJ, Monsters!$A:$A = O99 , Monsters!$D:$D  = 'Main Page'!$T$5, Monsters!$B:$B = ""Master"")
)
+
(FILTER(Mons"&amp;"ters!$AQ:$AQ, Monsters!$A:$A = O99 , Monsters!$D:$D  = 'Main Page'!$T$5, Monsters!$B:$B = ""Minion"")
*
FILTER(Monsters!$AJ:$AJ, Monsters!$A:$A = O99 , Monsters!$D:$D  = 'Main Page'!$T$5, Monsters!$B:$B = ""Minion"")
)
,
)"),"")</f>
        <v/>
      </c>
      <c r="Q99" s="75"/>
      <c r="R99" s="542" t="str">
        <f t="shared" si="1"/>
        <v/>
      </c>
    </row>
    <row r="100" ht="15.75" customHeight="1">
      <c r="B100" s="258"/>
      <c r="P100" s="75" t="str">
        <f>IFERROR(__xludf.DUMMYFUNCTION(" IFERROR(
(FILTER(Monsters!$AQ:$AQ, Monsters!$A:$A = O100 , Monsters!$D:$D  = 'Main Page'!$T$5, Monsters!$B:$B = ""Master"")
*
FILTER(Monsters!$AJ:$AJ, Monsters!$A:$A = O100 , Monsters!$D:$D  = 'Main Page'!$T$5, Monsters!$B:$B = ""Master"")
)
+
(FILTER(Mo"&amp;"nsters!$AQ:$AQ, Monsters!$A:$A = O100 , Monsters!$D:$D  = 'Main Page'!$T$5, Monsters!$B:$B = ""Minion"")
*
FILTER(Monsters!$AJ:$AJ, Monsters!$A:$A = O100 , Monsters!$D:$D  = 'Main Page'!$T$5, Monsters!$B:$B = ""Minion"")
)
,
)"),"")</f>
        <v/>
      </c>
      <c r="Q100" s="75"/>
      <c r="R100" s="542" t="str">
        <f t="shared" si="1"/>
        <v/>
      </c>
    </row>
    <row r="101" ht="15.75" customHeight="1">
      <c r="B101" s="258"/>
      <c r="Q101" s="75"/>
    </row>
    <row r="102" ht="15.75" customHeight="1">
      <c r="B102" s="258"/>
      <c r="Q102" s="75"/>
    </row>
    <row r="103" ht="15.75" customHeight="1">
      <c r="B103" s="258"/>
      <c r="Q103" s="75"/>
    </row>
    <row r="104" ht="15.75" customHeight="1">
      <c r="B104" s="258"/>
      <c r="Q104" s="75"/>
    </row>
    <row r="105" ht="15.75" customHeight="1">
      <c r="B105" s="258"/>
      <c r="Q105" s="75"/>
    </row>
    <row r="106" ht="15.75" customHeight="1">
      <c r="B106" s="258"/>
      <c r="Q106" s="75"/>
    </row>
    <row r="107" ht="15.75" customHeight="1">
      <c r="B107" s="258"/>
      <c r="Q107" s="75"/>
    </row>
    <row r="108" ht="15.75" customHeight="1">
      <c r="B108" s="258"/>
      <c r="Q108" s="75"/>
    </row>
    <row r="109" ht="15.75" customHeight="1">
      <c r="B109" s="258"/>
      <c r="Q109" s="75"/>
    </row>
    <row r="110" ht="15.75" customHeight="1">
      <c r="B110" s="258"/>
      <c r="Q110" s="75"/>
    </row>
    <row r="111" ht="15.75" customHeight="1">
      <c r="B111" s="258"/>
      <c r="Q111" s="75"/>
    </row>
    <row r="112" ht="15.75" customHeight="1">
      <c r="B112" s="258"/>
      <c r="Q112" s="75"/>
    </row>
    <row r="113" ht="15.75" customHeight="1">
      <c r="B113" s="258"/>
      <c r="Q113" s="75"/>
    </row>
    <row r="114" ht="15.75" customHeight="1">
      <c r="B114" s="258"/>
      <c r="Q114" s="75"/>
    </row>
    <row r="115" ht="15.75" customHeight="1">
      <c r="B115" s="258"/>
      <c r="Q115" s="75"/>
    </row>
    <row r="116" ht="15.75" customHeight="1">
      <c r="B116" s="258"/>
      <c r="Q116" s="75"/>
    </row>
    <row r="117" ht="15.75" customHeight="1">
      <c r="B117" s="258"/>
      <c r="Q117" s="75"/>
    </row>
    <row r="118" ht="15.75" customHeight="1">
      <c r="B118" s="258"/>
      <c r="Q118" s="75"/>
    </row>
    <row r="119" ht="15.75" customHeight="1">
      <c r="B119" s="258"/>
      <c r="Q119" s="75"/>
    </row>
    <row r="120" ht="15.75" customHeight="1">
      <c r="B120" s="258"/>
      <c r="Q120" s="75"/>
    </row>
    <row r="121" ht="15.75" customHeight="1">
      <c r="B121" s="258"/>
      <c r="Q121" s="75"/>
    </row>
    <row r="122" ht="15.75" customHeight="1">
      <c r="B122" s="258"/>
      <c r="Q122" s="75"/>
    </row>
    <row r="123" ht="15.75" customHeight="1">
      <c r="B123" s="258"/>
      <c r="Q123" s="75"/>
    </row>
    <row r="124" ht="15.75" customHeight="1">
      <c r="B124" s="258"/>
      <c r="Q124" s="75"/>
    </row>
    <row r="125" ht="15.75" customHeight="1">
      <c r="B125" s="258"/>
      <c r="Q125" s="75"/>
    </row>
    <row r="126" ht="15.75" customHeight="1">
      <c r="B126" s="258"/>
      <c r="Q126" s="75"/>
    </row>
    <row r="127" ht="15.75" customHeight="1">
      <c r="B127" s="258"/>
      <c r="Q127" s="75"/>
    </row>
    <row r="128" ht="15.75" customHeight="1">
      <c r="B128" s="258"/>
      <c r="Q128" s="75"/>
    </row>
    <row r="129" ht="15.75" customHeight="1">
      <c r="B129" s="258"/>
      <c r="Q129" s="75"/>
    </row>
    <row r="130" ht="15.75" customHeight="1">
      <c r="B130" s="258"/>
      <c r="Q130" s="75"/>
    </row>
    <row r="131" ht="15.75" customHeight="1">
      <c r="B131" s="258"/>
      <c r="Q131" s="75"/>
    </row>
    <row r="132" ht="15.75" customHeight="1">
      <c r="B132" s="258"/>
      <c r="Q132" s="75"/>
    </row>
    <row r="133" ht="15.75" customHeight="1">
      <c r="B133" s="258"/>
      <c r="Q133" s="75"/>
    </row>
    <row r="134" ht="15.75" customHeight="1">
      <c r="B134" s="258"/>
      <c r="Q134" s="75"/>
    </row>
    <row r="135" ht="15.75" customHeight="1">
      <c r="B135" s="258"/>
      <c r="Q135" s="75"/>
    </row>
    <row r="136" ht="15.75" customHeight="1">
      <c r="B136" s="258"/>
      <c r="Q136" s="75"/>
    </row>
    <row r="137" ht="15.75" customHeight="1">
      <c r="B137" s="258"/>
      <c r="Q137" s="75"/>
    </row>
    <row r="138" ht="15.75" customHeight="1">
      <c r="B138" s="258"/>
      <c r="Q138" s="75"/>
    </row>
    <row r="139" ht="15.75" customHeight="1">
      <c r="B139" s="258"/>
      <c r="Q139" s="75"/>
    </row>
    <row r="140" ht="15.75" customHeight="1">
      <c r="B140" s="258"/>
      <c r="Q140" s="75"/>
    </row>
    <row r="141" ht="15.75" customHeight="1">
      <c r="B141" s="258"/>
      <c r="Q141" s="75"/>
    </row>
    <row r="142" ht="15.75" customHeight="1">
      <c r="B142" s="258"/>
      <c r="Q142" s="75"/>
    </row>
    <row r="143" ht="15.75" customHeight="1">
      <c r="B143" s="258"/>
      <c r="Q143" s="75"/>
    </row>
    <row r="144" ht="15.75" customHeight="1">
      <c r="B144" s="258"/>
      <c r="Q144" s="75"/>
    </row>
    <row r="145" ht="15.75" customHeight="1">
      <c r="B145" s="258"/>
      <c r="Q145" s="75"/>
    </row>
    <row r="146" ht="15.75" customHeight="1">
      <c r="B146" s="258"/>
      <c r="Q146" s="75"/>
    </row>
    <row r="147" ht="15.75" customHeight="1">
      <c r="B147" s="258"/>
      <c r="Q147" s="75"/>
    </row>
    <row r="148" ht="15.75" customHeight="1">
      <c r="B148" s="258"/>
      <c r="Q148" s="75"/>
    </row>
    <row r="149" ht="15.75" customHeight="1">
      <c r="B149" s="258"/>
      <c r="Q149" s="75"/>
    </row>
    <row r="150" ht="15.75" customHeight="1">
      <c r="B150" s="258"/>
      <c r="Q150" s="75"/>
    </row>
    <row r="151" ht="15.75" customHeight="1">
      <c r="B151" s="258"/>
      <c r="Q151" s="75"/>
    </row>
    <row r="152" ht="15.75" customHeight="1">
      <c r="B152" s="258"/>
      <c r="Q152" s="75"/>
    </row>
    <row r="153" ht="15.75" customHeight="1">
      <c r="B153" s="258"/>
      <c r="Q153" s="75"/>
    </row>
    <row r="154" ht="15.75" customHeight="1">
      <c r="B154" s="258"/>
      <c r="Q154" s="75"/>
    </row>
    <row r="155" ht="15.75" customHeight="1">
      <c r="B155" s="258"/>
      <c r="Q155" s="75"/>
    </row>
    <row r="156" ht="15.75" customHeight="1">
      <c r="B156" s="258"/>
      <c r="Q156" s="75"/>
    </row>
    <row r="157" ht="15.75" customHeight="1">
      <c r="B157" s="258"/>
      <c r="Q157" s="75"/>
    </row>
    <row r="158" ht="15.75" customHeight="1">
      <c r="B158" s="258"/>
      <c r="Q158" s="75"/>
    </row>
    <row r="159" ht="15.75" customHeight="1">
      <c r="B159" s="258"/>
      <c r="Q159" s="75"/>
    </row>
    <row r="160" ht="15.75" customHeight="1">
      <c r="B160" s="258"/>
      <c r="Q160" s="75"/>
    </row>
    <row r="161" ht="15.75" customHeight="1">
      <c r="B161" s="258"/>
      <c r="Q161" s="75"/>
    </row>
    <row r="162" ht="15.75" customHeight="1">
      <c r="B162" s="258"/>
      <c r="Q162" s="75"/>
    </row>
    <row r="163" ht="15.75" customHeight="1">
      <c r="B163" s="258"/>
      <c r="Q163" s="75"/>
    </row>
    <row r="164" ht="15.75" customHeight="1">
      <c r="B164" s="258"/>
      <c r="Q164" s="75"/>
    </row>
    <row r="165" ht="15.75" customHeight="1">
      <c r="B165" s="258"/>
      <c r="Q165" s="75"/>
    </row>
    <row r="166" ht="15.75" customHeight="1">
      <c r="B166" s="258"/>
      <c r="Q166" s="75"/>
    </row>
    <row r="167" ht="15.75" customHeight="1">
      <c r="B167" s="258"/>
      <c r="Q167" s="75"/>
    </row>
    <row r="168" ht="15.75" customHeight="1">
      <c r="B168" s="258"/>
      <c r="Q168" s="75"/>
    </row>
    <row r="169" ht="15.75" customHeight="1">
      <c r="B169" s="258"/>
      <c r="Q169" s="75"/>
    </row>
    <row r="170" ht="15.75" customHeight="1">
      <c r="B170" s="258"/>
      <c r="Q170" s="75"/>
    </row>
    <row r="171" ht="15.75" customHeight="1">
      <c r="B171" s="258"/>
      <c r="Q171" s="75"/>
    </row>
    <row r="172" ht="15.75" customHeight="1">
      <c r="B172" s="258"/>
      <c r="Q172" s="75"/>
    </row>
    <row r="173" ht="15.75" customHeight="1">
      <c r="B173" s="258"/>
      <c r="Q173" s="75"/>
    </row>
    <row r="174" ht="15.75" customHeight="1">
      <c r="B174" s="258"/>
      <c r="Q174" s="75"/>
    </row>
    <row r="175" ht="15.75" customHeight="1">
      <c r="B175" s="258"/>
      <c r="Q175" s="75"/>
    </row>
    <row r="176" ht="15.75" customHeight="1">
      <c r="B176" s="258"/>
      <c r="Q176" s="75"/>
    </row>
    <row r="177" ht="15.75" customHeight="1">
      <c r="B177" s="258"/>
      <c r="Q177" s="75"/>
    </row>
    <row r="178" ht="15.75" customHeight="1">
      <c r="B178" s="258"/>
      <c r="Q178" s="75"/>
    </row>
    <row r="179" ht="15.75" customHeight="1">
      <c r="B179" s="258"/>
      <c r="Q179" s="75"/>
    </row>
    <row r="180" ht="15.75" customHeight="1">
      <c r="B180" s="258"/>
      <c r="Q180" s="75"/>
    </row>
    <row r="181" ht="15.75" customHeight="1">
      <c r="B181" s="258"/>
      <c r="Q181" s="75"/>
    </row>
    <row r="182" ht="15.75" customHeight="1">
      <c r="B182" s="258"/>
      <c r="Q182" s="75"/>
    </row>
    <row r="183" ht="15.75" customHeight="1">
      <c r="B183" s="258"/>
      <c r="Q183" s="75"/>
    </row>
    <row r="184" ht="15.75" customHeight="1">
      <c r="B184" s="258"/>
      <c r="Q184" s="75"/>
    </row>
    <row r="185" ht="15.75" customHeight="1">
      <c r="B185" s="258"/>
      <c r="Q185" s="75"/>
    </row>
    <row r="186" ht="15.75" customHeight="1">
      <c r="B186" s="258"/>
      <c r="Q186" s="75"/>
    </row>
    <row r="187" ht="15.75" customHeight="1">
      <c r="B187" s="258"/>
      <c r="Q187" s="75"/>
    </row>
    <row r="188" ht="15.75" customHeight="1">
      <c r="B188" s="258"/>
      <c r="Q188" s="75"/>
    </row>
    <row r="189" ht="15.75" customHeight="1">
      <c r="B189" s="258"/>
      <c r="Q189" s="75"/>
    </row>
    <row r="190" ht="15.75" customHeight="1">
      <c r="B190" s="258"/>
      <c r="Q190" s="75"/>
    </row>
    <row r="191" ht="15.75" customHeight="1">
      <c r="B191" s="258"/>
      <c r="Q191" s="75"/>
    </row>
    <row r="192" ht="15.75" customHeight="1">
      <c r="B192" s="258"/>
      <c r="Q192" s="75"/>
    </row>
    <row r="193" ht="15.75" customHeight="1">
      <c r="B193" s="258"/>
      <c r="Q193" s="75"/>
    </row>
    <row r="194" ht="15.75" customHeight="1">
      <c r="B194" s="258"/>
      <c r="Q194" s="75"/>
    </row>
    <row r="195" ht="15.75" customHeight="1">
      <c r="B195" s="258"/>
      <c r="Q195" s="75"/>
    </row>
    <row r="196" ht="15.75" customHeight="1">
      <c r="B196" s="258"/>
      <c r="Q196" s="75"/>
    </row>
    <row r="197" ht="15.75" customHeight="1">
      <c r="B197" s="258"/>
      <c r="Q197" s="75"/>
    </row>
    <row r="198" ht="15.75" customHeight="1">
      <c r="B198" s="258"/>
      <c r="Q198" s="75"/>
    </row>
    <row r="199" ht="15.75" customHeight="1">
      <c r="B199" s="258"/>
      <c r="Q199" s="75"/>
    </row>
    <row r="200" ht="15.75" customHeight="1">
      <c r="B200" s="258"/>
      <c r="Q200" s="75"/>
    </row>
    <row r="201" ht="15.75" customHeight="1">
      <c r="B201" s="258"/>
      <c r="Q201" s="75"/>
    </row>
    <row r="202" ht="15.75" customHeight="1">
      <c r="B202" s="258"/>
      <c r="Q202" s="75"/>
    </row>
    <row r="203" ht="15.75" customHeight="1">
      <c r="B203" s="258"/>
      <c r="Q203" s="75"/>
    </row>
    <row r="204" ht="15.75" customHeight="1">
      <c r="B204" s="258"/>
      <c r="Q204" s="75"/>
    </row>
    <row r="205" ht="15.75" customHeight="1">
      <c r="B205" s="258"/>
      <c r="Q205" s="75"/>
    </row>
    <row r="206" ht="15.75" customHeight="1">
      <c r="B206" s="258"/>
      <c r="Q206" s="75"/>
    </row>
    <row r="207" ht="15.75" customHeight="1">
      <c r="B207" s="258"/>
      <c r="Q207" s="75"/>
    </row>
    <row r="208" ht="15.75" customHeight="1">
      <c r="B208" s="258"/>
      <c r="Q208" s="75"/>
    </row>
    <row r="209" ht="15.75" customHeight="1">
      <c r="B209" s="258"/>
      <c r="Q209" s="75"/>
    </row>
    <row r="210" ht="15.75" customHeight="1">
      <c r="B210" s="258"/>
      <c r="Q210" s="75"/>
    </row>
    <row r="211" ht="15.75" customHeight="1">
      <c r="B211" s="258"/>
      <c r="Q211" s="75"/>
    </row>
    <row r="212" ht="15.75" customHeight="1">
      <c r="B212" s="258"/>
      <c r="Q212" s="75"/>
    </row>
    <row r="213" ht="15.75" customHeight="1">
      <c r="B213" s="258"/>
      <c r="Q213" s="75"/>
    </row>
    <row r="214" ht="15.75" customHeight="1">
      <c r="B214" s="258"/>
      <c r="Q214" s="75"/>
    </row>
    <row r="215" ht="15.75" customHeight="1">
      <c r="B215" s="258"/>
      <c r="Q215" s="75"/>
    </row>
    <row r="216" ht="15.75" customHeight="1">
      <c r="B216" s="258"/>
      <c r="Q216" s="75"/>
    </row>
    <row r="217" ht="15.75" customHeight="1">
      <c r="B217" s="258"/>
      <c r="Q217" s="75"/>
    </row>
    <row r="218" ht="15.75" customHeight="1">
      <c r="B218" s="258"/>
      <c r="Q218" s="75"/>
    </row>
    <row r="219" ht="15.75" customHeight="1">
      <c r="B219" s="258"/>
      <c r="Q219" s="75"/>
    </row>
    <row r="220" ht="15.75" customHeight="1">
      <c r="B220" s="258"/>
      <c r="Q220" s="75"/>
    </row>
    <row r="221" ht="15.75" customHeight="1">
      <c r="B221" s="258"/>
      <c r="Q221" s="75"/>
    </row>
    <row r="222" ht="15.75" customHeight="1">
      <c r="B222" s="258"/>
      <c r="Q222" s="75"/>
    </row>
    <row r="223" ht="15.75" customHeight="1">
      <c r="B223" s="258"/>
      <c r="Q223" s="75"/>
    </row>
    <row r="224" ht="15.75" customHeight="1">
      <c r="B224" s="258"/>
      <c r="Q224" s="75"/>
    </row>
    <row r="225" ht="15.75" customHeight="1">
      <c r="B225" s="258"/>
      <c r="Q225" s="75"/>
    </row>
    <row r="226" ht="15.75" customHeight="1">
      <c r="B226" s="258"/>
      <c r="Q226" s="75"/>
    </row>
    <row r="227" ht="15.75" customHeight="1">
      <c r="B227" s="258"/>
      <c r="Q227" s="75"/>
    </row>
    <row r="228" ht="15.75" customHeight="1">
      <c r="B228" s="258"/>
      <c r="Q228" s="75"/>
    </row>
    <row r="229" ht="15.75" customHeight="1">
      <c r="B229" s="258"/>
      <c r="Q229" s="75"/>
    </row>
    <row r="230" ht="15.75" customHeight="1">
      <c r="B230" s="258"/>
      <c r="Q230" s="75"/>
    </row>
    <row r="231" ht="15.75" customHeight="1">
      <c r="B231" s="258"/>
      <c r="Q231" s="75"/>
    </row>
    <row r="232" ht="15.75" customHeight="1">
      <c r="B232" s="258"/>
      <c r="Q232" s="75"/>
    </row>
    <row r="233" ht="15.75" customHeight="1">
      <c r="B233" s="258"/>
      <c r="Q233" s="75"/>
    </row>
    <row r="234" ht="15.75" customHeight="1">
      <c r="B234" s="258"/>
      <c r="Q234" s="75"/>
    </row>
    <row r="235" ht="15.75" customHeight="1">
      <c r="B235" s="258"/>
      <c r="Q235" s="75"/>
    </row>
    <row r="236" ht="15.75" customHeight="1">
      <c r="B236" s="258"/>
      <c r="Q236" s="75"/>
    </row>
    <row r="237" ht="15.75" customHeight="1">
      <c r="B237" s="258"/>
      <c r="Q237" s="75"/>
    </row>
    <row r="238" ht="15.75" customHeight="1">
      <c r="B238" s="258"/>
      <c r="Q238" s="75"/>
    </row>
    <row r="239" ht="15.75" customHeight="1">
      <c r="B239" s="258"/>
      <c r="Q239" s="75"/>
    </row>
    <row r="240" ht="15.75" customHeight="1">
      <c r="B240" s="258"/>
      <c r="Q240" s="75"/>
    </row>
    <row r="241" ht="15.75" customHeight="1">
      <c r="B241" s="258"/>
      <c r="Q241" s="75"/>
    </row>
    <row r="242" ht="15.75" customHeight="1">
      <c r="B242" s="258"/>
      <c r="Q242" s="75"/>
    </row>
    <row r="243" ht="15.75" customHeight="1">
      <c r="B243" s="258"/>
      <c r="Q243" s="75"/>
    </row>
    <row r="244" ht="15.75" customHeight="1">
      <c r="B244" s="258"/>
      <c r="Q244" s="75"/>
    </row>
    <row r="245" ht="15.75" customHeight="1">
      <c r="B245" s="258"/>
      <c r="Q245" s="75"/>
    </row>
    <row r="246" ht="15.75" customHeight="1">
      <c r="B246" s="258"/>
      <c r="Q246" s="75"/>
    </row>
    <row r="247" ht="15.75" customHeight="1">
      <c r="B247" s="258"/>
      <c r="Q247" s="75"/>
    </row>
    <row r="248" ht="15.75" customHeight="1">
      <c r="B248" s="258"/>
      <c r="Q248" s="75"/>
    </row>
    <row r="249" ht="15.75" customHeight="1">
      <c r="B249" s="258"/>
      <c r="Q249" s="75"/>
    </row>
    <row r="250" ht="15.75" customHeight="1">
      <c r="B250" s="258"/>
      <c r="Q250" s="75"/>
    </row>
    <row r="251" ht="15.75" customHeight="1">
      <c r="B251" s="258"/>
      <c r="Q251" s="75"/>
    </row>
    <row r="252" ht="15.75" customHeight="1">
      <c r="B252" s="258"/>
      <c r="Q252" s="75"/>
    </row>
    <row r="253" ht="15.75" customHeight="1">
      <c r="B253" s="258"/>
      <c r="Q253" s="75"/>
    </row>
    <row r="254" ht="15.75" customHeight="1">
      <c r="B254" s="258"/>
      <c r="Q254" s="75"/>
    </row>
    <row r="255" ht="15.75" customHeight="1">
      <c r="B255" s="258"/>
      <c r="Q255" s="75"/>
    </row>
    <row r="256" ht="15.75" customHeight="1">
      <c r="B256" s="258"/>
      <c r="Q256" s="75"/>
    </row>
    <row r="257" ht="15.75" customHeight="1">
      <c r="B257" s="258"/>
      <c r="Q257" s="75"/>
    </row>
    <row r="258" ht="15.75" customHeight="1">
      <c r="B258" s="258"/>
      <c r="Q258" s="75"/>
    </row>
    <row r="259" ht="15.75" customHeight="1">
      <c r="B259" s="258"/>
      <c r="Q259" s="75"/>
    </row>
    <row r="260" ht="15.75" customHeight="1">
      <c r="B260" s="258"/>
      <c r="Q260" s="75"/>
    </row>
    <row r="261" ht="15.75" customHeight="1">
      <c r="B261" s="258"/>
      <c r="Q261" s="75"/>
    </row>
    <row r="262" ht="15.75" customHeight="1">
      <c r="B262" s="258"/>
      <c r="Q262" s="75"/>
    </row>
    <row r="263" ht="15.75" customHeight="1">
      <c r="B263" s="258"/>
      <c r="Q263" s="75"/>
    </row>
    <row r="264" ht="15.75" customHeight="1">
      <c r="B264" s="258"/>
      <c r="Q264" s="75"/>
    </row>
    <row r="265" ht="15.75" customHeight="1">
      <c r="B265" s="258"/>
      <c r="Q265" s="75"/>
    </row>
    <row r="266" ht="15.75" customHeight="1">
      <c r="B266" s="258"/>
      <c r="Q266" s="75"/>
    </row>
    <row r="267" ht="15.75" customHeight="1">
      <c r="B267" s="258"/>
      <c r="Q267" s="75"/>
    </row>
    <row r="268" ht="15.75" customHeight="1">
      <c r="B268" s="258"/>
      <c r="Q268" s="75"/>
    </row>
    <row r="269" ht="15.75" customHeight="1">
      <c r="B269" s="258"/>
      <c r="Q269" s="75"/>
    </row>
    <row r="270" ht="15.75" customHeight="1">
      <c r="B270" s="258"/>
      <c r="Q270" s="75"/>
    </row>
    <row r="271" ht="15.75" customHeight="1">
      <c r="B271" s="258"/>
      <c r="Q271" s="75"/>
    </row>
    <row r="272" ht="15.75" customHeight="1">
      <c r="B272" s="258"/>
      <c r="Q272" s="75"/>
    </row>
    <row r="273" ht="15.75" customHeight="1">
      <c r="B273" s="258"/>
      <c r="Q273" s="75"/>
    </row>
    <row r="274" ht="15.75" customHeight="1">
      <c r="B274" s="258"/>
      <c r="Q274" s="75"/>
    </row>
    <row r="275" ht="15.75" customHeight="1">
      <c r="B275" s="258"/>
      <c r="Q275" s="75"/>
    </row>
    <row r="276" ht="15.75" customHeight="1">
      <c r="B276" s="258"/>
      <c r="Q276" s="75"/>
    </row>
    <row r="277" ht="15.75" customHeight="1">
      <c r="B277" s="258"/>
      <c r="Q277" s="75"/>
    </row>
    <row r="278" ht="15.75" customHeight="1">
      <c r="B278" s="258"/>
      <c r="Q278" s="75"/>
    </row>
    <row r="279" ht="15.75" customHeight="1">
      <c r="B279" s="258"/>
      <c r="Q279" s="75"/>
    </row>
    <row r="280" ht="15.75" customHeight="1">
      <c r="B280" s="258"/>
      <c r="Q280" s="75"/>
    </row>
    <row r="281" ht="15.75" customHeight="1">
      <c r="B281" s="258"/>
      <c r="Q281" s="75"/>
    </row>
    <row r="282" ht="15.75" customHeight="1">
      <c r="B282" s="258"/>
      <c r="Q282" s="75"/>
    </row>
    <row r="283" ht="15.75" customHeight="1">
      <c r="B283" s="258"/>
      <c r="Q283" s="75"/>
    </row>
    <row r="284" ht="15.75" customHeight="1">
      <c r="B284" s="258"/>
      <c r="Q284" s="75"/>
    </row>
    <row r="285" ht="15.75" customHeight="1">
      <c r="B285" s="258"/>
      <c r="Q285" s="75"/>
    </row>
    <row r="286" ht="15.75" customHeight="1">
      <c r="B286" s="258"/>
      <c r="Q286" s="75"/>
    </row>
    <row r="287" ht="15.75" customHeight="1">
      <c r="B287" s="258"/>
      <c r="Q287" s="75"/>
    </row>
    <row r="288" ht="15.75" customHeight="1">
      <c r="B288" s="258"/>
      <c r="Q288" s="75"/>
    </row>
    <row r="289" ht="15.75" customHeight="1">
      <c r="B289" s="258"/>
      <c r="Q289" s="75"/>
    </row>
    <row r="290" ht="15.75" customHeight="1">
      <c r="B290" s="258"/>
      <c r="Q290" s="75"/>
    </row>
    <row r="291" ht="15.75" customHeight="1">
      <c r="B291" s="258"/>
      <c r="Q291" s="75"/>
    </row>
    <row r="292" ht="15.75" customHeight="1">
      <c r="B292" s="258"/>
      <c r="Q292" s="75"/>
    </row>
    <row r="293" ht="15.75" customHeight="1">
      <c r="B293" s="258"/>
      <c r="Q293" s="75"/>
    </row>
    <row r="294" ht="15.75" customHeight="1">
      <c r="B294" s="258"/>
      <c r="Q294" s="75"/>
    </row>
    <row r="295" ht="15.75" customHeight="1">
      <c r="B295" s="258"/>
      <c r="Q295" s="75"/>
    </row>
    <row r="296" ht="15.75" customHeight="1">
      <c r="B296" s="258"/>
      <c r="Q296" s="75"/>
    </row>
    <row r="297" ht="15.75" customHeight="1">
      <c r="B297" s="258"/>
      <c r="Q297" s="75"/>
    </row>
    <row r="298" ht="15.75" customHeight="1">
      <c r="B298" s="258"/>
      <c r="Q298" s="75"/>
    </row>
    <row r="299" ht="15.75" customHeight="1">
      <c r="B299" s="258"/>
      <c r="Q299" s="75"/>
    </row>
    <row r="300" ht="15.75" customHeight="1">
      <c r="B300" s="258"/>
      <c r="Q300" s="75"/>
    </row>
    <row r="301" ht="15.75" customHeight="1">
      <c r="B301" s="258"/>
      <c r="Q301" s="75"/>
    </row>
    <row r="302" ht="15.75" customHeight="1">
      <c r="B302" s="258"/>
      <c r="Q302" s="75"/>
    </row>
    <row r="303" ht="15.75" customHeight="1">
      <c r="B303" s="258"/>
      <c r="Q303" s="75"/>
    </row>
    <row r="304" ht="15.75" customHeight="1">
      <c r="B304" s="258"/>
      <c r="Q304" s="75"/>
    </row>
    <row r="305" ht="15.75" customHeight="1">
      <c r="B305" s="258"/>
      <c r="Q305" s="75"/>
    </row>
    <row r="306" ht="15.75" customHeight="1">
      <c r="B306" s="258"/>
      <c r="Q306" s="75"/>
    </row>
    <row r="307" ht="15.75" customHeight="1">
      <c r="B307" s="258"/>
      <c r="Q307" s="75"/>
    </row>
    <row r="308" ht="15.75" customHeight="1">
      <c r="B308" s="258"/>
      <c r="Q308" s="75"/>
    </row>
    <row r="309" ht="15.75" customHeight="1">
      <c r="B309" s="258"/>
      <c r="Q309" s="75"/>
    </row>
    <row r="310" ht="15.75" customHeight="1">
      <c r="B310" s="258"/>
      <c r="Q310" s="75"/>
    </row>
    <row r="311" ht="15.75" customHeight="1">
      <c r="B311" s="258"/>
      <c r="Q311" s="75"/>
    </row>
    <row r="312" ht="15.75" customHeight="1">
      <c r="B312" s="258"/>
      <c r="Q312" s="75"/>
    </row>
    <row r="313" ht="15.75" customHeight="1">
      <c r="B313" s="258"/>
      <c r="Q313" s="75"/>
    </row>
    <row r="314" ht="15.75" customHeight="1">
      <c r="B314" s="258"/>
      <c r="Q314" s="75"/>
    </row>
    <row r="315" ht="15.75" customHeight="1">
      <c r="B315" s="258"/>
      <c r="Q315" s="75"/>
    </row>
    <row r="316" ht="15.75" customHeight="1">
      <c r="B316" s="258"/>
      <c r="Q316" s="75"/>
    </row>
    <row r="317" ht="15.75" customHeight="1">
      <c r="B317" s="258"/>
      <c r="Q317" s="75"/>
    </row>
    <row r="318" ht="15.75" customHeight="1">
      <c r="B318" s="258"/>
      <c r="Q318" s="75"/>
    </row>
    <row r="319" ht="15.75" customHeight="1">
      <c r="B319" s="258"/>
      <c r="Q319" s="75"/>
    </row>
    <row r="320" ht="15.75" customHeight="1">
      <c r="B320" s="258"/>
      <c r="Q320" s="75"/>
    </row>
    <row r="321" ht="15.75" customHeight="1">
      <c r="B321" s="258"/>
      <c r="Q321" s="75"/>
    </row>
    <row r="322" ht="15.75" customHeight="1">
      <c r="B322" s="258"/>
      <c r="Q322" s="75"/>
    </row>
    <row r="323" ht="15.75" customHeight="1">
      <c r="B323" s="258"/>
      <c r="Q323" s="75"/>
    </row>
    <row r="324" ht="15.75" customHeight="1">
      <c r="B324" s="258"/>
      <c r="Q324" s="75"/>
    </row>
    <row r="325" ht="15.75" customHeight="1">
      <c r="B325" s="258"/>
      <c r="Q325" s="75"/>
    </row>
    <row r="326" ht="15.75" customHeight="1">
      <c r="B326" s="258"/>
      <c r="Q326" s="75"/>
    </row>
    <row r="327" ht="15.75" customHeight="1">
      <c r="B327" s="258"/>
      <c r="Q327" s="75"/>
    </row>
    <row r="328" ht="15.75" customHeight="1">
      <c r="B328" s="258"/>
      <c r="Q328" s="75"/>
    </row>
    <row r="329" ht="15.75" customHeight="1">
      <c r="B329" s="258"/>
      <c r="Q329" s="75"/>
    </row>
    <row r="330" ht="15.75" customHeight="1">
      <c r="B330" s="258"/>
      <c r="Q330" s="75"/>
    </row>
    <row r="331" ht="15.75" customHeight="1">
      <c r="B331" s="258"/>
      <c r="Q331" s="75"/>
    </row>
    <row r="332" ht="15.75" customHeight="1">
      <c r="B332" s="258"/>
      <c r="Q332" s="75"/>
    </row>
    <row r="333" ht="15.75" customHeight="1">
      <c r="B333" s="258"/>
      <c r="Q333" s="75"/>
    </row>
    <row r="334" ht="15.75" customHeight="1">
      <c r="B334" s="258"/>
      <c r="Q334" s="75"/>
    </row>
    <row r="335" ht="15.75" customHeight="1">
      <c r="B335" s="258"/>
      <c r="Q335" s="75"/>
    </row>
    <row r="336" ht="15.75" customHeight="1">
      <c r="B336" s="258"/>
      <c r="Q336" s="75"/>
    </row>
    <row r="337" ht="15.75" customHeight="1">
      <c r="B337" s="258"/>
      <c r="Q337" s="75"/>
    </row>
    <row r="338" ht="15.75" customHeight="1">
      <c r="B338" s="258"/>
      <c r="Q338" s="75"/>
    </row>
    <row r="339" ht="15.75" customHeight="1">
      <c r="B339" s="258"/>
      <c r="Q339" s="75"/>
    </row>
    <row r="340" ht="15.75" customHeight="1">
      <c r="B340" s="258"/>
      <c r="Q340" s="75"/>
    </row>
    <row r="341" ht="15.75" customHeight="1">
      <c r="B341" s="258"/>
      <c r="Q341" s="75"/>
    </row>
    <row r="342" ht="15.75" customHeight="1">
      <c r="B342" s="258"/>
      <c r="Q342" s="75"/>
    </row>
    <row r="343" ht="15.75" customHeight="1">
      <c r="B343" s="258"/>
      <c r="Q343" s="75"/>
    </row>
    <row r="344" ht="15.75" customHeight="1">
      <c r="B344" s="258"/>
      <c r="Q344" s="75"/>
    </row>
    <row r="345" ht="15.75" customHeight="1">
      <c r="B345" s="258"/>
      <c r="Q345" s="75"/>
    </row>
    <row r="346" ht="15.75" customHeight="1">
      <c r="B346" s="258"/>
      <c r="Q346" s="75"/>
    </row>
    <row r="347" ht="15.75" customHeight="1">
      <c r="B347" s="258"/>
      <c r="Q347" s="75"/>
    </row>
    <row r="348" ht="15.75" customHeight="1">
      <c r="B348" s="258"/>
      <c r="Q348" s="75"/>
    </row>
    <row r="349" ht="15.75" customHeight="1">
      <c r="B349" s="258"/>
      <c r="Q349" s="75"/>
    </row>
    <row r="350" ht="15.75" customHeight="1">
      <c r="B350" s="258"/>
      <c r="Q350" s="75"/>
    </row>
    <row r="351" ht="15.75" customHeight="1">
      <c r="B351" s="258"/>
      <c r="Q351" s="75"/>
    </row>
    <row r="352" ht="15.75" customHeight="1">
      <c r="B352" s="258"/>
      <c r="Q352" s="75"/>
    </row>
    <row r="353" ht="15.75" customHeight="1">
      <c r="B353" s="258"/>
      <c r="Q353" s="75"/>
    </row>
    <row r="354" ht="15.75" customHeight="1">
      <c r="B354" s="258"/>
      <c r="Q354" s="75"/>
    </row>
    <row r="355" ht="15.75" customHeight="1">
      <c r="B355" s="258"/>
      <c r="Q355" s="75"/>
    </row>
    <row r="356" ht="15.75" customHeight="1">
      <c r="B356" s="258"/>
      <c r="Q356" s="75"/>
    </row>
    <row r="357" ht="15.75" customHeight="1">
      <c r="B357" s="258"/>
      <c r="Q357" s="75"/>
    </row>
    <row r="358" ht="15.75" customHeight="1">
      <c r="B358" s="258"/>
      <c r="Q358" s="75"/>
    </row>
    <row r="359" ht="15.75" customHeight="1">
      <c r="B359" s="258"/>
      <c r="Q359" s="75"/>
    </row>
    <row r="360" ht="15.75" customHeight="1">
      <c r="B360" s="258"/>
      <c r="Q360" s="75"/>
    </row>
    <row r="361" ht="15.75" customHeight="1">
      <c r="B361" s="258"/>
      <c r="Q361" s="75"/>
    </row>
    <row r="362" ht="15.75" customHeight="1">
      <c r="B362" s="258"/>
      <c r="Q362" s="75"/>
    </row>
    <row r="363" ht="15.75" customHeight="1">
      <c r="B363" s="258"/>
      <c r="Q363" s="75"/>
    </row>
    <row r="364" ht="15.75" customHeight="1">
      <c r="B364" s="258"/>
      <c r="Q364" s="75"/>
    </row>
    <row r="365" ht="15.75" customHeight="1">
      <c r="B365" s="258"/>
      <c r="Q365" s="75"/>
    </row>
    <row r="366" ht="15.75" customHeight="1">
      <c r="B366" s="258"/>
      <c r="Q366" s="75"/>
    </row>
    <row r="367" ht="15.75" customHeight="1">
      <c r="B367" s="258"/>
      <c r="Q367" s="75"/>
    </row>
    <row r="368" ht="15.75" customHeight="1">
      <c r="B368" s="258"/>
      <c r="Q368" s="75"/>
    </row>
    <row r="369" ht="15.75" customHeight="1">
      <c r="B369" s="258"/>
      <c r="Q369" s="75"/>
    </row>
    <row r="370" ht="15.75" customHeight="1">
      <c r="B370" s="258"/>
      <c r="Q370" s="75"/>
    </row>
    <row r="371" ht="15.75" customHeight="1">
      <c r="B371" s="258"/>
      <c r="Q371" s="75"/>
    </row>
    <row r="372" ht="15.75" customHeight="1">
      <c r="B372" s="258"/>
      <c r="Q372" s="75"/>
    </row>
    <row r="373" ht="15.75" customHeight="1">
      <c r="B373" s="258"/>
      <c r="Q373" s="75"/>
    </row>
    <row r="374" ht="15.75" customHeight="1">
      <c r="B374" s="258"/>
      <c r="Q374" s="75"/>
    </row>
    <row r="375" ht="15.75" customHeight="1">
      <c r="B375" s="258"/>
      <c r="Q375" s="75"/>
    </row>
    <row r="376" ht="15.75" customHeight="1">
      <c r="B376" s="258"/>
      <c r="Q376" s="75"/>
    </row>
    <row r="377" ht="15.75" customHeight="1">
      <c r="B377" s="258"/>
      <c r="Q377" s="75"/>
    </row>
    <row r="378" ht="15.75" customHeight="1">
      <c r="B378" s="258"/>
      <c r="Q378" s="75"/>
    </row>
    <row r="379" ht="15.75" customHeight="1">
      <c r="B379" s="258"/>
      <c r="Q379" s="75"/>
    </row>
    <row r="380" ht="15.75" customHeight="1">
      <c r="B380" s="258"/>
      <c r="Q380" s="75"/>
    </row>
    <row r="381" ht="15.75" customHeight="1">
      <c r="B381" s="258"/>
      <c r="Q381" s="75"/>
    </row>
    <row r="382" ht="15.75" customHeight="1">
      <c r="B382" s="258"/>
      <c r="Q382" s="75"/>
    </row>
    <row r="383" ht="15.75" customHeight="1">
      <c r="B383" s="258"/>
      <c r="Q383" s="75"/>
    </row>
    <row r="384" ht="15.75" customHeight="1">
      <c r="B384" s="258"/>
      <c r="Q384" s="75"/>
    </row>
    <row r="385" ht="15.75" customHeight="1">
      <c r="B385" s="258"/>
      <c r="Q385" s="75"/>
    </row>
    <row r="386" ht="15.75" customHeight="1">
      <c r="B386" s="258"/>
      <c r="Q386" s="75"/>
    </row>
    <row r="387" ht="15.75" customHeight="1">
      <c r="B387" s="258"/>
      <c r="Q387" s="75"/>
    </row>
    <row r="388" ht="15.75" customHeight="1">
      <c r="B388" s="258"/>
      <c r="Q388" s="75"/>
    </row>
    <row r="389" ht="15.75" customHeight="1">
      <c r="B389" s="258"/>
      <c r="Q389" s="75"/>
    </row>
    <row r="390" ht="15.75" customHeight="1">
      <c r="B390" s="258"/>
      <c r="Q390" s="75"/>
    </row>
    <row r="391" ht="15.75" customHeight="1">
      <c r="B391" s="258"/>
      <c r="Q391" s="75"/>
    </row>
    <row r="392" ht="15.75" customHeight="1">
      <c r="B392" s="258"/>
      <c r="Q392" s="75"/>
    </row>
    <row r="393" ht="15.75" customHeight="1">
      <c r="B393" s="258"/>
      <c r="Q393" s="75"/>
    </row>
    <row r="394" ht="15.75" customHeight="1">
      <c r="B394" s="258"/>
      <c r="Q394" s="75"/>
    </row>
    <row r="395" ht="15.75" customHeight="1">
      <c r="B395" s="258"/>
      <c r="Q395" s="75"/>
    </row>
    <row r="396" ht="15.75" customHeight="1">
      <c r="B396" s="258"/>
      <c r="Q396" s="75"/>
    </row>
    <row r="397" ht="15.75" customHeight="1">
      <c r="B397" s="258"/>
      <c r="Q397" s="75"/>
    </row>
    <row r="398" ht="15.75" customHeight="1">
      <c r="B398" s="258"/>
      <c r="Q398" s="75"/>
    </row>
    <row r="399" ht="15.75" customHeight="1">
      <c r="B399" s="258"/>
      <c r="Q399" s="75"/>
    </row>
    <row r="400" ht="15.75" customHeight="1">
      <c r="B400" s="258"/>
      <c r="Q400" s="75"/>
    </row>
    <row r="401" ht="15.75" customHeight="1">
      <c r="B401" s="258"/>
      <c r="Q401" s="75"/>
    </row>
    <row r="402" ht="15.75" customHeight="1">
      <c r="B402" s="258"/>
      <c r="Q402" s="75"/>
    </row>
    <row r="403" ht="15.75" customHeight="1">
      <c r="B403" s="258"/>
      <c r="Q403" s="75"/>
    </row>
    <row r="404" ht="15.75" customHeight="1">
      <c r="B404" s="258"/>
      <c r="Q404" s="75"/>
    </row>
    <row r="405" ht="15.75" customHeight="1">
      <c r="B405" s="258"/>
      <c r="Q405" s="75"/>
    </row>
    <row r="406" ht="15.75" customHeight="1">
      <c r="B406" s="258"/>
      <c r="Q406" s="75"/>
    </row>
    <row r="407" ht="15.75" customHeight="1">
      <c r="B407" s="258"/>
      <c r="Q407" s="75"/>
    </row>
    <row r="408" ht="15.75" customHeight="1">
      <c r="B408" s="258"/>
      <c r="Q408" s="75"/>
    </row>
    <row r="409" ht="15.75" customHeight="1">
      <c r="B409" s="258"/>
      <c r="Q409" s="75"/>
    </row>
    <row r="410" ht="15.75" customHeight="1">
      <c r="B410" s="258"/>
      <c r="Q410" s="75"/>
    </row>
    <row r="411" ht="15.75" customHeight="1">
      <c r="B411" s="258"/>
      <c r="Q411" s="75"/>
    </row>
    <row r="412" ht="15.75" customHeight="1">
      <c r="B412" s="258"/>
      <c r="Q412" s="75"/>
    </row>
    <row r="413" ht="15.75" customHeight="1">
      <c r="B413" s="258"/>
      <c r="Q413" s="75"/>
    </row>
    <row r="414" ht="15.75" customHeight="1">
      <c r="B414" s="258"/>
      <c r="Q414" s="75"/>
    </row>
    <row r="415" ht="15.75" customHeight="1">
      <c r="B415" s="258"/>
      <c r="Q415" s="75"/>
    </row>
    <row r="416" ht="15.75" customHeight="1">
      <c r="B416" s="258"/>
      <c r="Q416" s="75"/>
    </row>
    <row r="417" ht="15.75" customHeight="1">
      <c r="B417" s="258"/>
      <c r="Q417" s="75"/>
    </row>
    <row r="418" ht="15.75" customHeight="1">
      <c r="B418" s="258"/>
      <c r="Q418" s="75"/>
    </row>
    <row r="419" ht="15.75" customHeight="1">
      <c r="B419" s="258"/>
      <c r="Q419" s="75"/>
    </row>
    <row r="420" ht="15.75" customHeight="1">
      <c r="B420" s="258"/>
      <c r="Q420" s="75"/>
    </row>
    <row r="421" ht="15.75" customHeight="1">
      <c r="B421" s="258"/>
      <c r="Q421" s="75"/>
    </row>
    <row r="422" ht="15.75" customHeight="1">
      <c r="B422" s="258"/>
      <c r="Q422" s="75"/>
    </row>
    <row r="423" ht="15.75" customHeight="1">
      <c r="B423" s="258"/>
      <c r="Q423" s="75"/>
    </row>
    <row r="424" ht="15.75" customHeight="1">
      <c r="B424" s="258"/>
      <c r="Q424" s="75"/>
    </row>
    <row r="425" ht="15.75" customHeight="1">
      <c r="B425" s="258"/>
      <c r="Q425" s="75"/>
    </row>
    <row r="426" ht="15.75" customHeight="1">
      <c r="B426" s="258"/>
      <c r="Q426" s="75"/>
    </row>
    <row r="427" ht="15.75" customHeight="1">
      <c r="B427" s="258"/>
      <c r="Q427" s="75"/>
    </row>
    <row r="428" ht="15.75" customHeight="1">
      <c r="B428" s="258"/>
      <c r="Q428" s="75"/>
    </row>
    <row r="429" ht="15.75" customHeight="1">
      <c r="B429" s="258"/>
      <c r="Q429" s="75"/>
    </row>
    <row r="430" ht="15.75" customHeight="1">
      <c r="B430" s="258"/>
      <c r="Q430" s="75"/>
    </row>
    <row r="431" ht="15.75" customHeight="1">
      <c r="B431" s="258"/>
      <c r="Q431" s="75"/>
    </row>
    <row r="432" ht="15.75" customHeight="1">
      <c r="B432" s="258"/>
      <c r="Q432" s="75"/>
    </row>
    <row r="433" ht="15.75" customHeight="1">
      <c r="B433" s="258"/>
      <c r="Q433" s="75"/>
    </row>
    <row r="434" ht="15.75" customHeight="1">
      <c r="B434" s="258"/>
      <c r="Q434" s="75"/>
    </row>
    <row r="435" ht="15.75" customHeight="1">
      <c r="B435" s="258"/>
      <c r="Q435" s="75"/>
    </row>
    <row r="436" ht="15.75" customHeight="1">
      <c r="B436" s="258"/>
      <c r="Q436" s="75"/>
    </row>
    <row r="437" ht="15.75" customHeight="1">
      <c r="B437" s="258"/>
      <c r="Q437" s="75"/>
    </row>
    <row r="438" ht="15.75" customHeight="1">
      <c r="B438" s="258"/>
      <c r="Q438" s="75"/>
    </row>
    <row r="439" ht="15.75" customHeight="1">
      <c r="B439" s="258"/>
      <c r="Q439" s="75"/>
    </row>
    <row r="440" ht="15.75" customHeight="1">
      <c r="B440" s="258"/>
      <c r="Q440" s="75"/>
    </row>
    <row r="441" ht="15.75" customHeight="1">
      <c r="B441" s="258"/>
      <c r="Q441" s="75"/>
    </row>
    <row r="442" ht="15.75" customHeight="1">
      <c r="B442" s="258"/>
      <c r="Q442" s="75"/>
    </row>
    <row r="443" ht="15.75" customHeight="1">
      <c r="B443" s="258"/>
      <c r="Q443" s="75"/>
    </row>
    <row r="444" ht="15.75" customHeight="1">
      <c r="B444" s="258"/>
      <c r="Q444" s="75"/>
    </row>
    <row r="445" ht="15.75" customHeight="1">
      <c r="B445" s="258"/>
      <c r="Q445" s="75"/>
    </row>
    <row r="446" ht="15.75" customHeight="1">
      <c r="B446" s="258"/>
      <c r="Q446" s="75"/>
    </row>
    <row r="447" ht="15.75" customHeight="1">
      <c r="B447" s="258"/>
      <c r="Q447" s="75"/>
    </row>
    <row r="448" ht="15.75" customHeight="1">
      <c r="B448" s="258"/>
      <c r="Q448" s="75"/>
    </row>
    <row r="449" ht="15.75" customHeight="1">
      <c r="B449" s="258"/>
      <c r="Q449" s="75"/>
    </row>
    <row r="450" ht="15.75" customHeight="1">
      <c r="B450" s="258"/>
      <c r="Q450" s="75"/>
    </row>
    <row r="451" ht="15.75" customHeight="1">
      <c r="B451" s="258"/>
      <c r="Q451" s="75"/>
    </row>
    <row r="452" ht="15.75" customHeight="1">
      <c r="B452" s="258"/>
      <c r="Q452" s="75"/>
    </row>
    <row r="453" ht="15.75" customHeight="1">
      <c r="B453" s="258"/>
      <c r="Q453" s="75"/>
    </row>
    <row r="454" ht="15.75" customHeight="1">
      <c r="B454" s="258"/>
      <c r="Q454" s="75"/>
    </row>
    <row r="455" ht="15.75" customHeight="1">
      <c r="B455" s="258"/>
      <c r="Q455" s="75"/>
    </row>
    <row r="456" ht="15.75" customHeight="1">
      <c r="B456" s="258"/>
      <c r="Q456" s="75"/>
    </row>
    <row r="457" ht="15.75" customHeight="1">
      <c r="B457" s="258"/>
      <c r="Q457" s="75"/>
    </row>
    <row r="458" ht="15.75" customHeight="1">
      <c r="B458" s="258"/>
      <c r="Q458" s="75"/>
    </row>
    <row r="459" ht="15.75" customHeight="1">
      <c r="B459" s="258"/>
      <c r="Q459" s="75"/>
    </row>
    <row r="460" ht="15.75" customHeight="1">
      <c r="B460" s="258"/>
      <c r="Q460" s="75"/>
    </row>
    <row r="461" ht="15.75" customHeight="1">
      <c r="B461" s="258"/>
      <c r="Q461" s="75"/>
    </row>
    <row r="462" ht="15.75" customHeight="1">
      <c r="B462" s="258"/>
      <c r="Q462" s="75"/>
    </row>
    <row r="463" ht="15.75" customHeight="1">
      <c r="B463" s="258"/>
      <c r="Q463" s="75"/>
    </row>
    <row r="464" ht="15.75" customHeight="1">
      <c r="B464" s="258"/>
      <c r="Q464" s="75"/>
    </row>
    <row r="465" ht="15.75" customHeight="1">
      <c r="B465" s="258"/>
      <c r="Q465" s="75"/>
    </row>
    <row r="466" ht="15.75" customHeight="1">
      <c r="B466" s="258"/>
      <c r="Q466" s="75"/>
    </row>
    <row r="467" ht="15.75" customHeight="1">
      <c r="B467" s="258"/>
      <c r="Q467" s="75"/>
    </row>
    <row r="468" ht="15.75" customHeight="1">
      <c r="B468" s="258"/>
      <c r="Q468" s="75"/>
    </row>
    <row r="469" ht="15.75" customHeight="1">
      <c r="B469" s="258"/>
      <c r="Q469" s="75"/>
    </row>
    <row r="470" ht="15.75" customHeight="1">
      <c r="B470" s="258"/>
      <c r="Q470" s="75"/>
    </row>
    <row r="471" ht="15.75" customHeight="1">
      <c r="B471" s="258"/>
      <c r="Q471" s="75"/>
    </row>
    <row r="472" ht="15.75" customHeight="1">
      <c r="B472" s="258"/>
      <c r="Q472" s="75"/>
    </row>
    <row r="473" ht="15.75" customHeight="1">
      <c r="B473" s="258"/>
      <c r="Q473" s="75"/>
    </row>
    <row r="474" ht="15.75" customHeight="1">
      <c r="B474" s="258"/>
      <c r="Q474" s="75"/>
    </row>
    <row r="475" ht="15.75" customHeight="1">
      <c r="B475" s="258"/>
      <c r="Q475" s="75"/>
    </row>
    <row r="476" ht="15.75" customHeight="1">
      <c r="B476" s="258"/>
      <c r="Q476" s="75"/>
    </row>
    <row r="477" ht="15.75" customHeight="1">
      <c r="B477" s="258"/>
      <c r="Q477" s="75"/>
    </row>
    <row r="478" ht="15.75" customHeight="1">
      <c r="B478" s="258"/>
      <c r="Q478" s="75"/>
    </row>
    <row r="479" ht="15.75" customHeight="1">
      <c r="B479" s="258"/>
      <c r="Q479" s="75"/>
    </row>
    <row r="480" ht="15.75" customHeight="1">
      <c r="B480" s="258"/>
      <c r="Q480" s="75"/>
    </row>
    <row r="481" ht="15.75" customHeight="1">
      <c r="B481" s="258"/>
      <c r="Q481" s="75"/>
    </row>
    <row r="482" ht="15.75" customHeight="1">
      <c r="B482" s="258"/>
      <c r="Q482" s="75"/>
    </row>
    <row r="483" ht="15.75" customHeight="1">
      <c r="B483" s="258"/>
      <c r="Q483" s="75"/>
    </row>
    <row r="484" ht="15.75" customHeight="1">
      <c r="B484" s="258"/>
      <c r="Q484" s="75"/>
    </row>
    <row r="485" ht="15.75" customHeight="1">
      <c r="B485" s="258"/>
      <c r="Q485" s="75"/>
    </row>
    <row r="486" ht="15.75" customHeight="1">
      <c r="B486" s="258"/>
      <c r="Q486" s="75"/>
    </row>
    <row r="487" ht="15.75" customHeight="1">
      <c r="B487" s="258"/>
      <c r="Q487" s="75"/>
    </row>
    <row r="488" ht="15.75" customHeight="1">
      <c r="B488" s="258"/>
      <c r="Q488" s="75"/>
    </row>
    <row r="489" ht="15.75" customHeight="1">
      <c r="B489" s="258"/>
      <c r="Q489" s="75"/>
    </row>
    <row r="490" ht="15.75" customHeight="1">
      <c r="B490" s="258"/>
      <c r="Q490" s="75"/>
    </row>
    <row r="491" ht="15.75" customHeight="1">
      <c r="B491" s="258"/>
      <c r="Q491" s="75"/>
    </row>
    <row r="492" ht="15.75" customHeight="1">
      <c r="B492" s="258"/>
      <c r="Q492" s="75"/>
    </row>
    <row r="493" ht="15.75" customHeight="1">
      <c r="B493" s="258"/>
      <c r="Q493" s="75"/>
    </row>
    <row r="494" ht="15.75" customHeight="1">
      <c r="B494" s="258"/>
      <c r="Q494" s="75"/>
    </row>
    <row r="495" ht="15.75" customHeight="1">
      <c r="B495" s="258"/>
      <c r="Q495" s="75"/>
    </row>
    <row r="496" ht="15.75" customHeight="1">
      <c r="B496" s="258"/>
      <c r="Q496" s="75"/>
    </row>
    <row r="497" ht="15.75" customHeight="1">
      <c r="B497" s="258"/>
      <c r="Q497" s="75"/>
    </row>
    <row r="498" ht="15.75" customHeight="1">
      <c r="B498" s="258"/>
      <c r="Q498" s="75"/>
    </row>
    <row r="499" ht="15.75" customHeight="1">
      <c r="B499" s="258"/>
      <c r="Q499" s="75"/>
    </row>
    <row r="500" ht="15.75" customHeight="1">
      <c r="B500" s="258"/>
      <c r="Q500" s="75"/>
    </row>
    <row r="501" ht="15.75" customHeight="1">
      <c r="B501" s="258"/>
      <c r="Q501" s="75"/>
    </row>
    <row r="502" ht="15.75" customHeight="1">
      <c r="B502" s="258"/>
      <c r="Q502" s="75"/>
    </row>
    <row r="503" ht="15.75" customHeight="1">
      <c r="B503" s="258"/>
      <c r="Q503" s="75"/>
    </row>
    <row r="504" ht="15.75" customHeight="1">
      <c r="B504" s="258"/>
      <c r="Q504" s="75"/>
    </row>
    <row r="505" ht="15.75" customHeight="1">
      <c r="B505" s="258"/>
      <c r="Q505" s="75"/>
    </row>
    <row r="506" ht="15.75" customHeight="1">
      <c r="B506" s="258"/>
      <c r="Q506" s="75"/>
    </row>
    <row r="507" ht="15.75" customHeight="1">
      <c r="B507" s="258"/>
      <c r="Q507" s="75"/>
    </row>
    <row r="508" ht="15.75" customHeight="1">
      <c r="B508" s="258"/>
      <c r="Q508" s="75"/>
    </row>
    <row r="509" ht="15.75" customHeight="1">
      <c r="B509" s="258"/>
      <c r="Q509" s="75"/>
    </row>
    <row r="510" ht="15.75" customHeight="1">
      <c r="B510" s="258"/>
      <c r="Q510" s="75"/>
    </row>
    <row r="511" ht="15.75" customHeight="1">
      <c r="B511" s="258"/>
      <c r="Q511" s="75"/>
    </row>
    <row r="512" ht="15.75" customHeight="1">
      <c r="B512" s="258"/>
      <c r="Q512" s="75"/>
    </row>
    <row r="513" ht="15.75" customHeight="1">
      <c r="B513" s="258"/>
      <c r="Q513" s="75"/>
    </row>
    <row r="514" ht="15.75" customHeight="1">
      <c r="B514" s="258"/>
      <c r="Q514" s="75"/>
    </row>
    <row r="515" ht="15.75" customHeight="1">
      <c r="B515" s="258"/>
      <c r="Q515" s="75"/>
    </row>
    <row r="516" ht="15.75" customHeight="1">
      <c r="B516" s="258"/>
      <c r="Q516" s="75"/>
    </row>
    <row r="517" ht="15.75" customHeight="1">
      <c r="B517" s="258"/>
      <c r="Q517" s="75"/>
    </row>
    <row r="518" ht="15.75" customHeight="1">
      <c r="B518" s="258"/>
      <c r="Q518" s="75"/>
    </row>
    <row r="519" ht="15.75" customHeight="1">
      <c r="B519" s="258"/>
      <c r="Q519" s="75"/>
    </row>
    <row r="520" ht="15.75" customHeight="1">
      <c r="B520" s="258"/>
      <c r="Q520" s="75"/>
    </row>
    <row r="521" ht="15.75" customHeight="1">
      <c r="B521" s="258"/>
      <c r="Q521" s="75"/>
    </row>
    <row r="522" ht="15.75" customHeight="1">
      <c r="B522" s="258"/>
      <c r="Q522" s="75"/>
    </row>
    <row r="523" ht="15.75" customHeight="1">
      <c r="B523" s="258"/>
      <c r="Q523" s="75"/>
    </row>
    <row r="524" ht="15.75" customHeight="1">
      <c r="B524" s="258"/>
      <c r="Q524" s="75"/>
    </row>
    <row r="525" ht="15.75" customHeight="1">
      <c r="B525" s="258"/>
      <c r="Q525" s="75"/>
    </row>
    <row r="526" ht="15.75" customHeight="1">
      <c r="B526" s="258"/>
      <c r="Q526" s="75"/>
    </row>
    <row r="527" ht="15.75" customHeight="1">
      <c r="B527" s="258"/>
      <c r="Q527" s="75"/>
    </row>
    <row r="528" ht="15.75" customHeight="1">
      <c r="B528" s="258"/>
      <c r="Q528" s="75"/>
    </row>
    <row r="529" ht="15.75" customHeight="1">
      <c r="B529" s="258"/>
      <c r="Q529" s="75"/>
    </row>
    <row r="530" ht="15.75" customHeight="1">
      <c r="B530" s="258"/>
      <c r="Q530" s="75"/>
    </row>
    <row r="531" ht="15.75" customHeight="1">
      <c r="B531" s="258"/>
      <c r="Q531" s="75"/>
    </row>
    <row r="532" ht="15.75" customHeight="1">
      <c r="B532" s="258"/>
      <c r="Q532" s="75"/>
    </row>
    <row r="533" ht="15.75" customHeight="1">
      <c r="B533" s="258"/>
      <c r="Q533" s="75"/>
    </row>
    <row r="534" ht="15.75" customHeight="1">
      <c r="B534" s="258"/>
      <c r="Q534" s="75"/>
    </row>
    <row r="535" ht="15.75" customHeight="1">
      <c r="B535" s="258"/>
      <c r="Q535" s="75"/>
    </row>
    <row r="536" ht="15.75" customHeight="1">
      <c r="B536" s="258"/>
      <c r="Q536" s="75"/>
    </row>
    <row r="537" ht="15.75" customHeight="1">
      <c r="B537" s="258"/>
      <c r="Q537" s="75"/>
    </row>
    <row r="538" ht="15.75" customHeight="1">
      <c r="B538" s="258"/>
      <c r="Q538" s="75"/>
    </row>
    <row r="539" ht="15.75" customHeight="1">
      <c r="B539" s="258"/>
      <c r="Q539" s="75"/>
    </row>
    <row r="540" ht="15.75" customHeight="1">
      <c r="B540" s="258"/>
      <c r="Q540" s="75"/>
    </row>
    <row r="541" ht="15.75" customHeight="1">
      <c r="B541" s="258"/>
      <c r="Q541" s="75"/>
    </row>
    <row r="542" ht="15.75" customHeight="1">
      <c r="B542" s="258"/>
      <c r="Q542" s="75"/>
    </row>
    <row r="543" ht="15.75" customHeight="1">
      <c r="B543" s="258"/>
      <c r="Q543" s="75"/>
    </row>
    <row r="544" ht="15.75" customHeight="1">
      <c r="B544" s="258"/>
      <c r="Q544" s="75"/>
    </row>
    <row r="545" ht="15.75" customHeight="1">
      <c r="B545" s="258"/>
      <c r="Q545" s="75"/>
    </row>
    <row r="546" ht="15.75" customHeight="1">
      <c r="B546" s="258"/>
      <c r="Q546" s="75"/>
    </row>
    <row r="547" ht="15.75" customHeight="1">
      <c r="B547" s="258"/>
      <c r="Q547" s="75"/>
    </row>
    <row r="548" ht="15.75" customHeight="1">
      <c r="B548" s="258"/>
      <c r="Q548" s="75"/>
    </row>
    <row r="549" ht="15.75" customHeight="1">
      <c r="B549" s="258"/>
      <c r="Q549" s="75"/>
    </row>
    <row r="550" ht="15.75" customHeight="1">
      <c r="B550" s="258"/>
      <c r="Q550" s="75"/>
    </row>
    <row r="551" ht="15.75" customHeight="1">
      <c r="B551" s="258"/>
      <c r="Q551" s="75"/>
    </row>
    <row r="552" ht="15.75" customHeight="1">
      <c r="B552" s="258"/>
      <c r="Q552" s="75"/>
    </row>
    <row r="553" ht="15.75" customHeight="1">
      <c r="B553" s="258"/>
      <c r="Q553" s="75"/>
    </row>
    <row r="554" ht="15.75" customHeight="1">
      <c r="B554" s="258"/>
      <c r="Q554" s="75"/>
    </row>
    <row r="555" ht="15.75" customHeight="1">
      <c r="B555" s="258"/>
      <c r="Q555" s="75"/>
    </row>
    <row r="556" ht="15.75" customHeight="1">
      <c r="B556" s="258"/>
      <c r="Q556" s="75"/>
    </row>
    <row r="557" ht="15.75" customHeight="1">
      <c r="B557" s="258"/>
      <c r="Q557" s="75"/>
    </row>
    <row r="558" ht="15.75" customHeight="1">
      <c r="B558" s="258"/>
      <c r="Q558" s="75"/>
    </row>
    <row r="559" ht="15.75" customHeight="1">
      <c r="B559" s="258"/>
      <c r="Q559" s="75"/>
    </row>
    <row r="560" ht="15.75" customHeight="1">
      <c r="B560" s="258"/>
      <c r="Q560" s="75"/>
    </row>
    <row r="561" ht="15.75" customHeight="1">
      <c r="B561" s="258"/>
      <c r="Q561" s="75"/>
    </row>
    <row r="562" ht="15.75" customHeight="1">
      <c r="B562" s="258"/>
      <c r="Q562" s="75"/>
    </row>
    <row r="563" ht="15.75" customHeight="1">
      <c r="B563" s="258"/>
      <c r="Q563" s="75"/>
    </row>
    <row r="564" ht="15.75" customHeight="1">
      <c r="B564" s="258"/>
      <c r="Q564" s="75"/>
    </row>
    <row r="565" ht="15.75" customHeight="1">
      <c r="B565" s="258"/>
      <c r="Q565" s="75"/>
    </row>
    <row r="566" ht="15.75" customHeight="1">
      <c r="B566" s="258"/>
      <c r="Q566" s="75"/>
    </row>
    <row r="567" ht="15.75" customHeight="1">
      <c r="B567" s="258"/>
      <c r="Q567" s="75"/>
    </row>
    <row r="568" ht="15.75" customHeight="1">
      <c r="B568" s="258"/>
      <c r="Q568" s="75"/>
    </row>
    <row r="569" ht="15.75" customHeight="1">
      <c r="B569" s="258"/>
      <c r="Q569" s="75"/>
    </row>
    <row r="570" ht="15.75" customHeight="1">
      <c r="B570" s="258"/>
      <c r="Q570" s="75"/>
    </row>
    <row r="571" ht="15.75" customHeight="1">
      <c r="B571" s="258"/>
      <c r="Q571" s="75"/>
    </row>
    <row r="572" ht="15.75" customHeight="1">
      <c r="B572" s="258"/>
      <c r="Q572" s="75"/>
    </row>
    <row r="573" ht="15.75" customHeight="1">
      <c r="B573" s="258"/>
      <c r="Q573" s="75"/>
    </row>
    <row r="574" ht="15.75" customHeight="1">
      <c r="B574" s="258"/>
      <c r="Q574" s="75"/>
    </row>
    <row r="575" ht="15.75" customHeight="1">
      <c r="B575" s="258"/>
      <c r="Q575" s="75"/>
    </row>
    <row r="576" ht="15.75" customHeight="1">
      <c r="B576" s="258"/>
      <c r="Q576" s="75"/>
    </row>
    <row r="577" ht="15.75" customHeight="1">
      <c r="B577" s="258"/>
      <c r="Q577" s="75"/>
    </row>
    <row r="578" ht="15.75" customHeight="1">
      <c r="B578" s="258"/>
      <c r="Q578" s="75"/>
    </row>
    <row r="579" ht="15.75" customHeight="1">
      <c r="B579" s="258"/>
      <c r="Q579" s="75"/>
    </row>
    <row r="580" ht="15.75" customHeight="1">
      <c r="B580" s="258"/>
      <c r="Q580" s="75"/>
    </row>
    <row r="581" ht="15.75" customHeight="1">
      <c r="B581" s="258"/>
      <c r="Q581" s="75"/>
    </row>
    <row r="582" ht="15.75" customHeight="1">
      <c r="B582" s="258"/>
      <c r="Q582" s="75"/>
    </row>
    <row r="583" ht="15.75" customHeight="1">
      <c r="B583" s="258"/>
      <c r="Q583" s="75"/>
    </row>
    <row r="584" ht="15.75" customHeight="1">
      <c r="B584" s="258"/>
      <c r="Q584" s="75"/>
    </row>
    <row r="585" ht="15.75" customHeight="1">
      <c r="B585" s="258"/>
      <c r="Q585" s="75"/>
    </row>
    <row r="586" ht="15.75" customHeight="1">
      <c r="B586" s="258"/>
      <c r="Q586" s="75"/>
    </row>
    <row r="587" ht="15.75" customHeight="1">
      <c r="B587" s="258"/>
      <c r="Q587" s="75"/>
    </row>
    <row r="588" ht="15.75" customHeight="1">
      <c r="B588" s="258"/>
      <c r="Q588" s="75"/>
    </row>
    <row r="589" ht="15.75" customHeight="1">
      <c r="B589" s="258"/>
      <c r="Q589" s="75"/>
    </row>
    <row r="590" ht="15.75" customHeight="1">
      <c r="B590" s="258"/>
      <c r="Q590" s="75"/>
    </row>
    <row r="591" ht="15.75" customHeight="1">
      <c r="B591" s="258"/>
      <c r="Q591" s="75"/>
    </row>
    <row r="592" ht="15.75" customHeight="1">
      <c r="B592" s="258"/>
      <c r="Q592" s="75"/>
    </row>
    <row r="593" ht="15.75" customHeight="1">
      <c r="B593" s="258"/>
      <c r="Q593" s="75"/>
    </row>
    <row r="594" ht="15.75" customHeight="1">
      <c r="B594" s="258"/>
      <c r="Q594" s="75"/>
    </row>
    <row r="595" ht="15.75" customHeight="1">
      <c r="B595" s="258"/>
      <c r="Q595" s="75"/>
    </row>
    <row r="596" ht="15.75" customHeight="1">
      <c r="B596" s="258"/>
      <c r="Q596" s="75"/>
    </row>
    <row r="597" ht="15.75" customHeight="1">
      <c r="B597" s="258"/>
      <c r="Q597" s="75"/>
    </row>
    <row r="598" ht="15.75" customHeight="1">
      <c r="B598" s="258"/>
      <c r="Q598" s="75"/>
    </row>
    <row r="599" ht="15.75" customHeight="1">
      <c r="B599" s="258"/>
      <c r="Q599" s="75"/>
    </row>
    <row r="600" ht="15.75" customHeight="1">
      <c r="B600" s="258"/>
      <c r="Q600" s="75"/>
    </row>
    <row r="601" ht="15.75" customHeight="1">
      <c r="B601" s="258"/>
      <c r="Q601" s="75"/>
    </row>
    <row r="602" ht="15.75" customHeight="1">
      <c r="B602" s="258"/>
      <c r="Q602" s="75"/>
    </row>
    <row r="603" ht="15.75" customHeight="1">
      <c r="B603" s="258"/>
      <c r="Q603" s="75"/>
    </row>
    <row r="604" ht="15.75" customHeight="1">
      <c r="B604" s="258"/>
      <c r="Q604" s="75"/>
    </row>
    <row r="605" ht="15.75" customHeight="1">
      <c r="B605" s="258"/>
      <c r="Q605" s="75"/>
    </row>
    <row r="606" ht="15.75" customHeight="1">
      <c r="B606" s="258"/>
      <c r="Q606" s="75"/>
    </row>
    <row r="607" ht="15.75" customHeight="1">
      <c r="B607" s="258"/>
      <c r="Q607" s="75"/>
    </row>
    <row r="608" ht="15.75" customHeight="1">
      <c r="B608" s="258"/>
      <c r="Q608" s="75"/>
    </row>
    <row r="609" ht="15.75" customHeight="1">
      <c r="B609" s="258"/>
      <c r="Q609" s="75"/>
    </row>
    <row r="610" ht="15.75" customHeight="1">
      <c r="B610" s="258"/>
      <c r="Q610" s="75"/>
    </row>
    <row r="611" ht="15.75" customHeight="1">
      <c r="B611" s="258"/>
      <c r="Q611" s="75"/>
    </row>
    <row r="612" ht="15.75" customHeight="1">
      <c r="B612" s="258"/>
      <c r="Q612" s="75"/>
    </row>
    <row r="613" ht="15.75" customHeight="1">
      <c r="B613" s="258"/>
      <c r="Q613" s="75"/>
    </row>
    <row r="614" ht="15.75" customHeight="1">
      <c r="B614" s="258"/>
      <c r="Q614" s="75"/>
    </row>
    <row r="615" ht="15.75" customHeight="1">
      <c r="B615" s="258"/>
      <c r="Q615" s="75"/>
    </row>
    <row r="616" ht="15.75" customHeight="1">
      <c r="B616" s="258"/>
      <c r="Q616" s="75"/>
    </row>
    <row r="617" ht="15.75" customHeight="1">
      <c r="B617" s="258"/>
      <c r="Q617" s="75"/>
    </row>
    <row r="618" ht="15.75" customHeight="1">
      <c r="B618" s="258"/>
      <c r="Q618" s="75"/>
    </row>
    <row r="619" ht="15.75" customHeight="1">
      <c r="B619" s="258"/>
      <c r="Q619" s="75"/>
    </row>
    <row r="620" ht="15.75" customHeight="1">
      <c r="B620" s="258"/>
      <c r="Q620" s="75"/>
    </row>
    <row r="621" ht="15.75" customHeight="1">
      <c r="B621" s="258"/>
      <c r="Q621" s="75"/>
    </row>
    <row r="622" ht="15.75" customHeight="1">
      <c r="B622" s="258"/>
      <c r="Q622" s="75"/>
    </row>
    <row r="623" ht="15.75" customHeight="1">
      <c r="B623" s="258"/>
      <c r="Q623" s="75"/>
    </row>
    <row r="624" ht="15.75" customHeight="1">
      <c r="B624" s="258"/>
      <c r="Q624" s="75"/>
    </row>
    <row r="625" ht="15.75" customHeight="1">
      <c r="B625" s="258"/>
      <c r="Q625" s="75"/>
    </row>
    <row r="626" ht="15.75" customHeight="1">
      <c r="B626" s="258"/>
      <c r="Q626" s="75"/>
    </row>
    <row r="627" ht="15.75" customHeight="1">
      <c r="B627" s="258"/>
      <c r="Q627" s="75"/>
    </row>
    <row r="628" ht="15.75" customHeight="1">
      <c r="B628" s="258"/>
      <c r="Q628" s="75"/>
    </row>
    <row r="629" ht="15.75" customHeight="1">
      <c r="B629" s="258"/>
      <c r="Q629" s="75"/>
    </row>
    <row r="630" ht="15.75" customHeight="1">
      <c r="B630" s="258"/>
      <c r="Q630" s="75"/>
    </row>
    <row r="631" ht="15.75" customHeight="1">
      <c r="B631" s="258"/>
      <c r="Q631" s="75"/>
    </row>
    <row r="632" ht="15.75" customHeight="1">
      <c r="B632" s="258"/>
      <c r="Q632" s="75"/>
    </row>
    <row r="633" ht="15.75" customHeight="1">
      <c r="B633" s="258"/>
      <c r="Q633" s="75"/>
    </row>
    <row r="634" ht="15.75" customHeight="1">
      <c r="B634" s="258"/>
      <c r="Q634" s="75"/>
    </row>
    <row r="635" ht="15.75" customHeight="1">
      <c r="B635" s="258"/>
      <c r="Q635" s="75"/>
    </row>
    <row r="636" ht="15.75" customHeight="1">
      <c r="B636" s="258"/>
      <c r="Q636" s="75"/>
    </row>
    <row r="637" ht="15.75" customHeight="1">
      <c r="B637" s="258"/>
      <c r="Q637" s="75"/>
    </row>
    <row r="638" ht="15.75" customHeight="1">
      <c r="B638" s="258"/>
      <c r="Q638" s="75"/>
    </row>
    <row r="639" ht="15.75" customHeight="1">
      <c r="B639" s="258"/>
      <c r="Q639" s="75"/>
    </row>
    <row r="640" ht="15.75" customHeight="1">
      <c r="B640" s="258"/>
      <c r="Q640" s="75"/>
    </row>
    <row r="641" ht="15.75" customHeight="1">
      <c r="B641" s="258"/>
      <c r="Q641" s="75"/>
    </row>
    <row r="642" ht="15.75" customHeight="1">
      <c r="B642" s="258"/>
      <c r="Q642" s="75"/>
    </row>
    <row r="643" ht="15.75" customHeight="1">
      <c r="B643" s="258"/>
      <c r="Q643" s="75"/>
    </row>
    <row r="644" ht="15.75" customHeight="1">
      <c r="B644" s="258"/>
      <c r="Q644" s="75"/>
    </row>
    <row r="645" ht="15.75" customHeight="1">
      <c r="B645" s="258"/>
      <c r="Q645" s="75"/>
    </row>
    <row r="646" ht="15.75" customHeight="1">
      <c r="B646" s="258"/>
      <c r="Q646" s="75"/>
    </row>
    <row r="647" ht="15.75" customHeight="1">
      <c r="B647" s="258"/>
      <c r="Q647" s="75"/>
    </row>
    <row r="648" ht="15.75" customHeight="1">
      <c r="B648" s="258"/>
      <c r="Q648" s="75"/>
    </row>
    <row r="649" ht="15.75" customHeight="1">
      <c r="B649" s="258"/>
      <c r="Q649" s="75"/>
    </row>
    <row r="650" ht="15.75" customHeight="1">
      <c r="B650" s="258"/>
      <c r="Q650" s="75"/>
    </row>
    <row r="651" ht="15.75" customHeight="1">
      <c r="B651" s="258"/>
      <c r="Q651" s="75"/>
    </row>
    <row r="652" ht="15.75" customHeight="1">
      <c r="B652" s="258"/>
      <c r="Q652" s="75"/>
    </row>
    <row r="653" ht="15.75" customHeight="1">
      <c r="B653" s="258"/>
      <c r="Q653" s="75"/>
    </row>
    <row r="654" ht="15.75" customHeight="1">
      <c r="B654" s="258"/>
      <c r="Q654" s="75"/>
    </row>
    <row r="655" ht="15.75" customHeight="1">
      <c r="B655" s="258"/>
      <c r="Q655" s="75"/>
    </row>
    <row r="656" ht="15.75" customHeight="1">
      <c r="B656" s="258"/>
      <c r="Q656" s="75"/>
    </row>
    <row r="657" ht="15.75" customHeight="1">
      <c r="B657" s="258"/>
      <c r="Q657" s="75"/>
    </row>
    <row r="658" ht="15.75" customHeight="1">
      <c r="B658" s="258"/>
      <c r="Q658" s="75"/>
    </row>
    <row r="659" ht="15.75" customHeight="1">
      <c r="B659" s="258"/>
      <c r="Q659" s="75"/>
    </row>
    <row r="660" ht="15.75" customHeight="1">
      <c r="B660" s="258"/>
      <c r="Q660" s="75"/>
    </row>
    <row r="661" ht="15.75" customHeight="1">
      <c r="B661" s="258"/>
      <c r="Q661" s="75"/>
    </row>
    <row r="662" ht="15.75" customHeight="1">
      <c r="B662" s="258"/>
      <c r="Q662" s="75"/>
    </row>
    <row r="663" ht="15.75" customHeight="1">
      <c r="B663" s="258"/>
      <c r="Q663" s="75"/>
    </row>
    <row r="664" ht="15.75" customHeight="1">
      <c r="B664" s="258"/>
      <c r="Q664" s="75"/>
    </row>
    <row r="665" ht="15.75" customHeight="1">
      <c r="B665" s="258"/>
      <c r="Q665" s="75"/>
    </row>
    <row r="666" ht="15.75" customHeight="1">
      <c r="B666" s="258"/>
      <c r="Q666" s="75"/>
    </row>
    <row r="667" ht="15.75" customHeight="1">
      <c r="B667" s="258"/>
      <c r="Q667" s="75"/>
    </row>
    <row r="668" ht="15.75" customHeight="1">
      <c r="B668" s="258"/>
      <c r="Q668" s="75"/>
    </row>
    <row r="669" ht="15.75" customHeight="1">
      <c r="B669" s="258"/>
      <c r="Q669" s="75"/>
    </row>
    <row r="670" ht="15.75" customHeight="1">
      <c r="B670" s="258"/>
      <c r="Q670" s="75"/>
    </row>
    <row r="671" ht="15.75" customHeight="1">
      <c r="B671" s="258"/>
      <c r="Q671" s="75"/>
    </row>
    <row r="672" ht="15.75" customHeight="1">
      <c r="B672" s="258"/>
      <c r="Q672" s="75"/>
    </row>
    <row r="673" ht="15.75" customHeight="1">
      <c r="B673" s="258"/>
      <c r="Q673" s="75"/>
    </row>
    <row r="674" ht="15.75" customHeight="1">
      <c r="B674" s="258"/>
      <c r="Q674" s="75"/>
    </row>
    <row r="675" ht="15.75" customHeight="1">
      <c r="B675" s="258"/>
      <c r="Q675" s="75"/>
    </row>
    <row r="676" ht="15.75" customHeight="1">
      <c r="B676" s="258"/>
      <c r="Q676" s="75"/>
    </row>
    <row r="677" ht="15.75" customHeight="1">
      <c r="B677" s="258"/>
      <c r="Q677" s="75"/>
    </row>
    <row r="678" ht="15.75" customHeight="1">
      <c r="B678" s="258"/>
      <c r="Q678" s="75"/>
    </row>
    <row r="679" ht="15.75" customHeight="1">
      <c r="B679" s="258"/>
      <c r="Q679" s="75"/>
    </row>
    <row r="680" ht="15.75" customHeight="1">
      <c r="B680" s="258"/>
      <c r="Q680" s="75"/>
    </row>
    <row r="681" ht="15.75" customHeight="1">
      <c r="B681" s="258"/>
      <c r="Q681" s="75"/>
    </row>
    <row r="682" ht="15.75" customHeight="1">
      <c r="B682" s="258"/>
      <c r="Q682" s="75"/>
    </row>
    <row r="683" ht="15.75" customHeight="1">
      <c r="B683" s="258"/>
      <c r="Q683" s="75"/>
    </row>
    <row r="684" ht="15.75" customHeight="1">
      <c r="B684" s="258"/>
      <c r="Q684" s="75"/>
    </row>
    <row r="685" ht="15.75" customHeight="1">
      <c r="B685" s="258"/>
      <c r="Q685" s="75"/>
    </row>
    <row r="686" ht="15.75" customHeight="1">
      <c r="B686" s="258"/>
      <c r="Q686" s="75"/>
    </row>
    <row r="687" ht="15.75" customHeight="1">
      <c r="B687" s="258"/>
      <c r="Q687" s="75"/>
    </row>
    <row r="688" ht="15.75" customHeight="1">
      <c r="B688" s="258"/>
      <c r="Q688" s="75"/>
    </row>
    <row r="689" ht="15.75" customHeight="1">
      <c r="B689" s="258"/>
      <c r="Q689" s="75"/>
    </row>
    <row r="690" ht="15.75" customHeight="1">
      <c r="B690" s="258"/>
      <c r="Q690" s="75"/>
    </row>
    <row r="691" ht="15.75" customHeight="1">
      <c r="B691" s="258"/>
      <c r="Q691" s="75"/>
    </row>
    <row r="692" ht="15.75" customHeight="1">
      <c r="B692" s="258"/>
      <c r="Q692" s="75"/>
    </row>
    <row r="693" ht="15.75" customHeight="1">
      <c r="B693" s="258"/>
      <c r="Q693" s="75"/>
    </row>
    <row r="694" ht="15.75" customHeight="1">
      <c r="B694" s="258"/>
      <c r="Q694" s="75"/>
    </row>
    <row r="695" ht="15.75" customHeight="1">
      <c r="B695" s="258"/>
      <c r="Q695" s="75"/>
    </row>
    <row r="696" ht="15.75" customHeight="1">
      <c r="B696" s="258"/>
      <c r="Q696" s="75"/>
    </row>
    <row r="697" ht="15.75" customHeight="1">
      <c r="B697" s="258"/>
      <c r="Q697" s="75"/>
    </row>
    <row r="698" ht="15.75" customHeight="1">
      <c r="B698" s="258"/>
      <c r="Q698" s="75"/>
    </row>
    <row r="699" ht="15.75" customHeight="1">
      <c r="B699" s="258"/>
      <c r="Q699" s="75"/>
    </row>
    <row r="700" ht="15.75" customHeight="1">
      <c r="B700" s="258"/>
      <c r="Q700" s="75"/>
    </row>
    <row r="701" ht="15.75" customHeight="1">
      <c r="B701" s="258"/>
      <c r="Q701" s="75"/>
    </row>
    <row r="702" ht="15.75" customHeight="1">
      <c r="B702" s="258"/>
      <c r="Q702" s="75"/>
    </row>
    <row r="703" ht="15.75" customHeight="1">
      <c r="B703" s="258"/>
      <c r="Q703" s="75"/>
    </row>
    <row r="704" ht="15.75" customHeight="1">
      <c r="B704" s="258"/>
      <c r="Q704" s="75"/>
    </row>
    <row r="705" ht="15.75" customHeight="1">
      <c r="B705" s="258"/>
      <c r="Q705" s="75"/>
    </row>
    <row r="706" ht="15.75" customHeight="1">
      <c r="B706" s="258"/>
      <c r="Q706" s="75"/>
    </row>
    <row r="707" ht="15.75" customHeight="1">
      <c r="B707" s="258"/>
      <c r="Q707" s="75"/>
    </row>
    <row r="708" ht="15.75" customHeight="1">
      <c r="B708" s="258"/>
      <c r="Q708" s="75"/>
    </row>
    <row r="709" ht="15.75" customHeight="1">
      <c r="B709" s="258"/>
      <c r="Q709" s="75"/>
    </row>
    <row r="710" ht="15.75" customHeight="1">
      <c r="B710" s="258"/>
      <c r="Q710" s="75"/>
    </row>
    <row r="711" ht="15.75" customHeight="1">
      <c r="B711" s="258"/>
      <c r="Q711" s="75"/>
    </row>
    <row r="712" ht="15.75" customHeight="1">
      <c r="B712" s="258"/>
      <c r="Q712" s="75"/>
    </row>
    <row r="713" ht="15.75" customHeight="1">
      <c r="B713" s="258"/>
      <c r="Q713" s="75"/>
    </row>
    <row r="714" ht="15.75" customHeight="1">
      <c r="B714" s="258"/>
      <c r="Q714" s="75"/>
    </row>
    <row r="715" ht="15.75" customHeight="1">
      <c r="B715" s="258"/>
      <c r="Q715" s="75"/>
    </row>
    <row r="716" ht="15.75" customHeight="1">
      <c r="B716" s="258"/>
      <c r="Q716" s="75"/>
    </row>
    <row r="717" ht="15.75" customHeight="1">
      <c r="B717" s="258"/>
      <c r="Q717" s="75"/>
    </row>
    <row r="718" ht="15.75" customHeight="1">
      <c r="B718" s="258"/>
      <c r="Q718" s="75"/>
    </row>
    <row r="719" ht="15.75" customHeight="1">
      <c r="B719" s="258"/>
      <c r="Q719" s="75"/>
    </row>
    <row r="720" ht="15.75" customHeight="1">
      <c r="B720" s="258"/>
      <c r="Q720" s="75"/>
    </row>
    <row r="721" ht="15.75" customHeight="1">
      <c r="B721" s="258"/>
      <c r="Q721" s="75"/>
    </row>
    <row r="722" ht="15.75" customHeight="1">
      <c r="B722" s="258"/>
      <c r="Q722" s="75"/>
    </row>
    <row r="723" ht="15.75" customHeight="1">
      <c r="B723" s="258"/>
      <c r="Q723" s="75"/>
    </row>
    <row r="724" ht="15.75" customHeight="1">
      <c r="B724" s="258"/>
      <c r="Q724" s="75"/>
    </row>
    <row r="725" ht="15.75" customHeight="1">
      <c r="B725" s="258"/>
      <c r="Q725" s="75"/>
    </row>
    <row r="726" ht="15.75" customHeight="1">
      <c r="B726" s="258"/>
      <c r="Q726" s="75"/>
    </row>
    <row r="727" ht="15.75" customHeight="1">
      <c r="B727" s="258"/>
      <c r="Q727" s="75"/>
    </row>
    <row r="728" ht="15.75" customHeight="1">
      <c r="B728" s="258"/>
      <c r="Q728" s="75"/>
    </row>
    <row r="729" ht="15.75" customHeight="1">
      <c r="B729" s="258"/>
      <c r="Q729" s="75"/>
    </row>
    <row r="730" ht="15.75" customHeight="1">
      <c r="B730" s="258"/>
      <c r="Q730" s="75"/>
    </row>
    <row r="731" ht="15.75" customHeight="1">
      <c r="B731" s="258"/>
      <c r="Q731" s="75"/>
    </row>
    <row r="732" ht="15.75" customHeight="1">
      <c r="B732" s="258"/>
      <c r="Q732" s="75"/>
    </row>
    <row r="733" ht="15.75" customHeight="1">
      <c r="B733" s="258"/>
      <c r="Q733" s="75"/>
    </row>
    <row r="734" ht="15.75" customHeight="1">
      <c r="B734" s="258"/>
      <c r="Q734" s="75"/>
    </row>
    <row r="735" ht="15.75" customHeight="1">
      <c r="B735" s="258"/>
      <c r="Q735" s="75"/>
    </row>
    <row r="736" ht="15.75" customHeight="1">
      <c r="B736" s="258"/>
      <c r="Q736" s="75"/>
    </row>
    <row r="737" ht="15.75" customHeight="1">
      <c r="B737" s="258"/>
      <c r="Q737" s="75"/>
    </row>
    <row r="738" ht="15.75" customHeight="1">
      <c r="B738" s="258"/>
      <c r="Q738" s="75"/>
    </row>
    <row r="739" ht="15.75" customHeight="1">
      <c r="B739" s="258"/>
      <c r="Q739" s="75"/>
    </row>
    <row r="740" ht="15.75" customHeight="1">
      <c r="B740" s="258"/>
      <c r="Q740" s="75"/>
    </row>
    <row r="741" ht="15.75" customHeight="1">
      <c r="B741" s="258"/>
      <c r="Q741" s="75"/>
    </row>
    <row r="742" ht="15.75" customHeight="1">
      <c r="B742" s="258"/>
      <c r="Q742" s="75"/>
    </row>
    <row r="743" ht="15.75" customHeight="1">
      <c r="B743" s="258"/>
      <c r="Q743" s="75"/>
    </row>
    <row r="744" ht="15.75" customHeight="1">
      <c r="B744" s="258"/>
      <c r="Q744" s="75"/>
    </row>
    <row r="745" ht="15.75" customHeight="1">
      <c r="B745" s="258"/>
      <c r="Q745" s="75"/>
    </row>
    <row r="746" ht="15.75" customHeight="1">
      <c r="B746" s="258"/>
      <c r="Q746" s="75"/>
    </row>
    <row r="747" ht="15.75" customHeight="1">
      <c r="B747" s="258"/>
      <c r="Q747" s="75"/>
    </row>
    <row r="748" ht="15.75" customHeight="1">
      <c r="B748" s="258"/>
      <c r="Q748" s="75"/>
    </row>
    <row r="749" ht="15.75" customHeight="1">
      <c r="B749" s="258"/>
      <c r="Q749" s="75"/>
    </row>
    <row r="750" ht="15.75" customHeight="1">
      <c r="B750" s="258"/>
      <c r="Q750" s="75"/>
    </row>
    <row r="751" ht="15.75" customHeight="1">
      <c r="B751" s="258"/>
      <c r="Q751" s="75"/>
    </row>
    <row r="752" ht="15.75" customHeight="1">
      <c r="B752" s="258"/>
      <c r="Q752" s="75"/>
    </row>
    <row r="753" ht="15.75" customHeight="1">
      <c r="B753" s="258"/>
      <c r="Q753" s="75"/>
    </row>
    <row r="754" ht="15.75" customHeight="1">
      <c r="B754" s="258"/>
      <c r="Q754" s="75"/>
    </row>
    <row r="755" ht="15.75" customHeight="1">
      <c r="B755" s="258"/>
      <c r="Q755" s="75"/>
    </row>
    <row r="756" ht="15.75" customHeight="1">
      <c r="B756" s="258"/>
      <c r="Q756" s="75"/>
    </row>
    <row r="757" ht="15.75" customHeight="1">
      <c r="B757" s="258"/>
      <c r="Q757" s="75"/>
    </row>
    <row r="758" ht="15.75" customHeight="1">
      <c r="B758" s="258"/>
      <c r="Q758" s="75"/>
    </row>
    <row r="759" ht="15.75" customHeight="1">
      <c r="B759" s="258"/>
      <c r="Q759" s="75"/>
    </row>
    <row r="760" ht="15.75" customHeight="1">
      <c r="B760" s="258"/>
      <c r="Q760" s="75"/>
    </row>
    <row r="761" ht="15.75" customHeight="1">
      <c r="B761" s="258"/>
      <c r="Q761" s="75"/>
    </row>
    <row r="762" ht="15.75" customHeight="1">
      <c r="B762" s="258"/>
      <c r="Q762" s="75"/>
    </row>
    <row r="763" ht="15.75" customHeight="1">
      <c r="B763" s="258"/>
      <c r="Q763" s="75"/>
    </row>
    <row r="764" ht="15.75" customHeight="1">
      <c r="B764" s="258"/>
      <c r="Q764" s="75"/>
    </row>
    <row r="765" ht="15.75" customHeight="1">
      <c r="B765" s="258"/>
      <c r="Q765" s="75"/>
    </row>
    <row r="766" ht="15.75" customHeight="1">
      <c r="B766" s="258"/>
      <c r="Q766" s="75"/>
    </row>
    <row r="767" ht="15.75" customHeight="1">
      <c r="B767" s="258"/>
      <c r="Q767" s="75"/>
    </row>
    <row r="768" ht="15.75" customHeight="1">
      <c r="B768" s="258"/>
      <c r="Q768" s="75"/>
    </row>
    <row r="769" ht="15.75" customHeight="1">
      <c r="B769" s="258"/>
      <c r="Q769" s="75"/>
    </row>
    <row r="770" ht="15.75" customHeight="1">
      <c r="B770" s="258"/>
      <c r="Q770" s="75"/>
    </row>
    <row r="771" ht="15.75" customHeight="1">
      <c r="B771" s="258"/>
      <c r="Q771" s="75"/>
    </row>
    <row r="772" ht="15.75" customHeight="1">
      <c r="B772" s="258"/>
      <c r="Q772" s="75"/>
    </row>
    <row r="773" ht="15.75" customHeight="1">
      <c r="B773" s="258"/>
      <c r="Q773" s="75"/>
    </row>
    <row r="774" ht="15.75" customHeight="1">
      <c r="B774" s="258"/>
      <c r="Q774" s="75"/>
    </row>
    <row r="775" ht="15.75" customHeight="1">
      <c r="B775" s="258"/>
      <c r="Q775" s="75"/>
    </row>
    <row r="776" ht="15.75" customHeight="1">
      <c r="B776" s="258"/>
      <c r="Q776" s="75"/>
    </row>
    <row r="777" ht="15.75" customHeight="1">
      <c r="B777" s="258"/>
      <c r="Q777" s="75"/>
    </row>
    <row r="778" ht="15.75" customHeight="1">
      <c r="B778" s="258"/>
      <c r="Q778" s="75"/>
    </row>
    <row r="779" ht="15.75" customHeight="1">
      <c r="B779" s="258"/>
      <c r="Q779" s="75"/>
    </row>
    <row r="780" ht="15.75" customHeight="1">
      <c r="B780" s="258"/>
      <c r="Q780" s="75"/>
    </row>
    <row r="781" ht="15.75" customHeight="1">
      <c r="B781" s="258"/>
      <c r="Q781" s="75"/>
    </row>
    <row r="782" ht="15.75" customHeight="1">
      <c r="B782" s="258"/>
      <c r="Q782" s="75"/>
    </row>
    <row r="783" ht="15.75" customHeight="1">
      <c r="B783" s="258"/>
      <c r="Q783" s="75"/>
    </row>
    <row r="784" ht="15.75" customHeight="1">
      <c r="B784" s="258"/>
      <c r="Q784" s="75"/>
    </row>
    <row r="785" ht="15.75" customHeight="1">
      <c r="B785" s="258"/>
      <c r="Q785" s="75"/>
    </row>
    <row r="786" ht="15.75" customHeight="1">
      <c r="B786" s="258"/>
      <c r="Q786" s="75"/>
    </row>
    <row r="787" ht="15.75" customHeight="1">
      <c r="B787" s="258"/>
      <c r="Q787" s="75"/>
    </row>
    <row r="788" ht="15.75" customHeight="1">
      <c r="B788" s="258"/>
      <c r="Q788" s="75"/>
    </row>
    <row r="789" ht="15.75" customHeight="1">
      <c r="B789" s="258"/>
      <c r="Q789" s="75"/>
    </row>
    <row r="790" ht="15.75" customHeight="1">
      <c r="B790" s="258"/>
      <c r="Q790" s="75"/>
    </row>
    <row r="791" ht="15.75" customHeight="1">
      <c r="B791" s="258"/>
      <c r="Q791" s="75"/>
    </row>
    <row r="792" ht="15.75" customHeight="1">
      <c r="B792" s="258"/>
      <c r="Q792" s="75"/>
    </row>
    <row r="793" ht="15.75" customHeight="1">
      <c r="B793" s="258"/>
      <c r="Q793" s="75"/>
    </row>
    <row r="794" ht="15.75" customHeight="1">
      <c r="B794" s="258"/>
      <c r="Q794" s="75"/>
    </row>
    <row r="795" ht="15.75" customHeight="1">
      <c r="B795" s="258"/>
      <c r="Q795" s="75"/>
    </row>
    <row r="796" ht="15.75" customHeight="1">
      <c r="B796" s="258"/>
      <c r="Q796" s="75"/>
    </row>
    <row r="797" ht="15.75" customHeight="1">
      <c r="B797" s="258"/>
      <c r="Q797" s="75"/>
    </row>
    <row r="798" ht="15.75" customHeight="1">
      <c r="B798" s="258"/>
      <c r="Q798" s="75"/>
    </row>
    <row r="799" ht="15.75" customHeight="1">
      <c r="B799" s="258"/>
      <c r="Q799" s="75"/>
    </row>
    <row r="800" ht="15.75" customHeight="1">
      <c r="B800" s="258"/>
      <c r="Q800" s="75"/>
    </row>
    <row r="801" ht="15.75" customHeight="1">
      <c r="B801" s="258"/>
      <c r="Q801" s="75"/>
    </row>
    <row r="802" ht="15.75" customHeight="1">
      <c r="B802" s="258"/>
      <c r="Q802" s="75"/>
    </row>
    <row r="803" ht="15.75" customHeight="1">
      <c r="B803" s="258"/>
      <c r="Q803" s="75"/>
    </row>
    <row r="804" ht="15.75" customHeight="1">
      <c r="B804" s="258"/>
      <c r="Q804" s="75"/>
    </row>
    <row r="805" ht="15.75" customHeight="1">
      <c r="B805" s="258"/>
      <c r="Q805" s="75"/>
    </row>
    <row r="806" ht="15.75" customHeight="1">
      <c r="B806" s="258"/>
      <c r="Q806" s="75"/>
    </row>
    <row r="807" ht="15.75" customHeight="1">
      <c r="B807" s="258"/>
      <c r="Q807" s="75"/>
    </row>
    <row r="808" ht="15.75" customHeight="1">
      <c r="B808" s="258"/>
      <c r="Q808" s="75"/>
    </row>
    <row r="809" ht="15.75" customHeight="1">
      <c r="B809" s="258"/>
      <c r="Q809" s="75"/>
    </row>
    <row r="810" ht="15.75" customHeight="1">
      <c r="B810" s="258"/>
      <c r="Q810" s="75"/>
    </row>
    <row r="811" ht="15.75" customHeight="1">
      <c r="B811" s="258"/>
      <c r="Q811" s="75"/>
    </row>
    <row r="812" ht="15.75" customHeight="1">
      <c r="B812" s="258"/>
      <c r="Q812" s="75"/>
    </row>
    <row r="813" ht="15.75" customHeight="1">
      <c r="B813" s="258"/>
      <c r="Q813" s="75"/>
    </row>
    <row r="814" ht="15.75" customHeight="1">
      <c r="B814" s="258"/>
      <c r="Q814" s="75"/>
    </row>
    <row r="815" ht="15.75" customHeight="1">
      <c r="B815" s="258"/>
      <c r="Q815" s="75"/>
    </row>
    <row r="816" ht="15.75" customHeight="1">
      <c r="B816" s="258"/>
      <c r="Q816" s="75"/>
    </row>
    <row r="817" ht="15.75" customHeight="1">
      <c r="B817" s="258"/>
      <c r="Q817" s="75"/>
    </row>
    <row r="818" ht="15.75" customHeight="1">
      <c r="B818" s="258"/>
      <c r="Q818" s="75"/>
    </row>
    <row r="819" ht="15.75" customHeight="1">
      <c r="B819" s="258"/>
      <c r="Q819" s="75"/>
    </row>
    <row r="820" ht="15.75" customHeight="1">
      <c r="B820" s="258"/>
      <c r="Q820" s="75"/>
    </row>
    <row r="821" ht="15.75" customHeight="1">
      <c r="B821" s="258"/>
      <c r="Q821" s="75"/>
    </row>
    <row r="822" ht="15.75" customHeight="1">
      <c r="B822" s="258"/>
      <c r="Q822" s="75"/>
    </row>
    <row r="823" ht="15.75" customHeight="1">
      <c r="B823" s="258"/>
      <c r="Q823" s="75"/>
    </row>
    <row r="824" ht="15.75" customHeight="1">
      <c r="B824" s="258"/>
      <c r="Q824" s="75"/>
    </row>
    <row r="825" ht="15.75" customHeight="1">
      <c r="B825" s="258"/>
      <c r="Q825" s="75"/>
    </row>
    <row r="826" ht="15.75" customHeight="1">
      <c r="B826" s="258"/>
      <c r="Q826" s="75"/>
    </row>
    <row r="827" ht="15.75" customHeight="1">
      <c r="B827" s="258"/>
      <c r="Q827" s="75"/>
    </row>
    <row r="828" ht="15.75" customHeight="1">
      <c r="B828" s="258"/>
      <c r="Q828" s="75"/>
    </row>
    <row r="829" ht="15.75" customHeight="1">
      <c r="B829" s="258"/>
      <c r="Q829" s="75"/>
    </row>
    <row r="830" ht="15.75" customHeight="1">
      <c r="B830" s="258"/>
      <c r="Q830" s="75"/>
    </row>
    <row r="831" ht="15.75" customHeight="1">
      <c r="B831" s="258"/>
      <c r="Q831" s="75"/>
    </row>
    <row r="832" ht="15.75" customHeight="1">
      <c r="B832" s="258"/>
      <c r="Q832" s="75"/>
    </row>
    <row r="833" ht="15.75" customHeight="1">
      <c r="B833" s="258"/>
      <c r="Q833" s="75"/>
    </row>
    <row r="834" ht="15.75" customHeight="1">
      <c r="B834" s="258"/>
      <c r="Q834" s="75"/>
    </row>
    <row r="835" ht="15.75" customHeight="1">
      <c r="B835" s="258"/>
      <c r="Q835" s="75"/>
    </row>
    <row r="836" ht="15.75" customHeight="1">
      <c r="B836" s="258"/>
      <c r="Q836" s="75"/>
    </row>
    <row r="837" ht="15.75" customHeight="1">
      <c r="B837" s="258"/>
      <c r="Q837" s="75"/>
    </row>
    <row r="838" ht="15.75" customHeight="1">
      <c r="B838" s="258"/>
      <c r="Q838" s="75"/>
    </row>
    <row r="839" ht="15.75" customHeight="1">
      <c r="B839" s="258"/>
      <c r="Q839" s="75"/>
    </row>
    <row r="840" ht="15.75" customHeight="1">
      <c r="B840" s="258"/>
      <c r="Q840" s="75"/>
    </row>
    <row r="841" ht="15.75" customHeight="1">
      <c r="B841" s="258"/>
      <c r="Q841" s="75"/>
    </row>
    <row r="842" ht="15.75" customHeight="1">
      <c r="B842" s="258"/>
      <c r="Q842" s="75"/>
    </row>
    <row r="843" ht="15.75" customHeight="1">
      <c r="B843" s="258"/>
      <c r="Q843" s="75"/>
    </row>
    <row r="844" ht="15.75" customHeight="1">
      <c r="B844" s="258"/>
      <c r="Q844" s="75"/>
    </row>
    <row r="845" ht="15.75" customHeight="1">
      <c r="B845" s="258"/>
      <c r="Q845" s="75"/>
    </row>
    <row r="846" ht="15.75" customHeight="1">
      <c r="B846" s="258"/>
      <c r="Q846" s="75"/>
    </row>
    <row r="847" ht="15.75" customHeight="1">
      <c r="B847" s="258"/>
      <c r="Q847" s="75"/>
    </row>
    <row r="848" ht="15.75" customHeight="1">
      <c r="B848" s="258"/>
      <c r="Q848" s="75"/>
    </row>
    <row r="849" ht="15.75" customHeight="1">
      <c r="B849" s="258"/>
      <c r="Q849" s="75"/>
    </row>
    <row r="850" ht="15.75" customHeight="1">
      <c r="B850" s="258"/>
      <c r="Q850" s="75"/>
    </row>
    <row r="851" ht="15.75" customHeight="1">
      <c r="B851" s="258"/>
      <c r="Q851" s="75"/>
    </row>
    <row r="852" ht="15.75" customHeight="1">
      <c r="B852" s="258"/>
      <c r="Q852" s="75"/>
    </row>
    <row r="853" ht="15.75" customHeight="1">
      <c r="B853" s="258"/>
      <c r="Q853" s="75"/>
    </row>
    <row r="854" ht="15.75" customHeight="1">
      <c r="B854" s="258"/>
      <c r="Q854" s="75"/>
    </row>
    <row r="855" ht="15.75" customHeight="1">
      <c r="B855" s="258"/>
      <c r="Q855" s="75"/>
    </row>
    <row r="856" ht="15.75" customHeight="1">
      <c r="B856" s="258"/>
      <c r="Q856" s="75"/>
    </row>
    <row r="857" ht="15.75" customHeight="1">
      <c r="B857" s="258"/>
      <c r="Q857" s="75"/>
    </row>
    <row r="858" ht="15.75" customHeight="1">
      <c r="B858" s="258"/>
      <c r="Q858" s="75"/>
    </row>
    <row r="859" ht="15.75" customHeight="1">
      <c r="B859" s="258"/>
      <c r="Q859" s="75"/>
    </row>
    <row r="860" ht="15.75" customHeight="1">
      <c r="B860" s="258"/>
      <c r="Q860" s="75"/>
    </row>
    <row r="861" ht="15.75" customHeight="1">
      <c r="B861" s="258"/>
      <c r="Q861" s="75"/>
    </row>
    <row r="862" ht="15.75" customHeight="1">
      <c r="B862" s="258"/>
      <c r="Q862" s="75"/>
    </row>
    <row r="863" ht="15.75" customHeight="1">
      <c r="B863" s="258"/>
      <c r="Q863" s="75"/>
    </row>
    <row r="864" ht="15.75" customHeight="1">
      <c r="B864" s="258"/>
      <c r="Q864" s="75"/>
    </row>
    <row r="865" ht="15.75" customHeight="1">
      <c r="B865" s="258"/>
      <c r="Q865" s="75"/>
    </row>
    <row r="866" ht="15.75" customHeight="1">
      <c r="B866" s="258"/>
      <c r="Q866" s="75"/>
    </row>
    <row r="867" ht="15.75" customHeight="1">
      <c r="B867" s="258"/>
      <c r="Q867" s="75"/>
    </row>
    <row r="868" ht="15.75" customHeight="1">
      <c r="B868" s="258"/>
      <c r="Q868" s="75"/>
    </row>
    <row r="869" ht="15.75" customHeight="1">
      <c r="B869" s="258"/>
      <c r="Q869" s="75"/>
    </row>
    <row r="870" ht="15.75" customHeight="1">
      <c r="B870" s="258"/>
      <c r="Q870" s="75"/>
    </row>
    <row r="871" ht="15.75" customHeight="1">
      <c r="B871" s="258"/>
      <c r="Q871" s="75"/>
    </row>
    <row r="872" ht="15.75" customHeight="1">
      <c r="B872" s="258"/>
      <c r="Q872" s="75"/>
    </row>
    <row r="873" ht="15.75" customHeight="1">
      <c r="B873" s="258"/>
      <c r="Q873" s="75"/>
    </row>
    <row r="874" ht="15.75" customHeight="1">
      <c r="B874" s="258"/>
      <c r="Q874" s="75"/>
    </row>
    <row r="875" ht="15.75" customHeight="1">
      <c r="B875" s="258"/>
      <c r="Q875" s="75"/>
    </row>
    <row r="876" ht="15.75" customHeight="1">
      <c r="B876" s="258"/>
      <c r="Q876" s="75"/>
    </row>
    <row r="877" ht="15.75" customHeight="1">
      <c r="B877" s="258"/>
      <c r="Q877" s="75"/>
    </row>
    <row r="878" ht="15.75" customHeight="1">
      <c r="B878" s="258"/>
      <c r="Q878" s="75"/>
    </row>
    <row r="879" ht="15.75" customHeight="1">
      <c r="B879" s="258"/>
      <c r="Q879" s="75"/>
    </row>
    <row r="880" ht="15.75" customHeight="1">
      <c r="B880" s="258"/>
      <c r="Q880" s="75"/>
    </row>
    <row r="881" ht="15.75" customHeight="1">
      <c r="B881" s="258"/>
      <c r="Q881" s="75"/>
    </row>
    <row r="882" ht="15.75" customHeight="1">
      <c r="B882" s="258"/>
      <c r="Q882" s="75"/>
    </row>
    <row r="883" ht="15.75" customHeight="1">
      <c r="B883" s="258"/>
      <c r="Q883" s="75"/>
    </row>
    <row r="884" ht="15.75" customHeight="1">
      <c r="B884" s="258"/>
      <c r="Q884" s="75"/>
    </row>
    <row r="885" ht="15.75" customHeight="1">
      <c r="B885" s="258"/>
      <c r="Q885" s="75"/>
    </row>
    <row r="886" ht="15.75" customHeight="1">
      <c r="B886" s="258"/>
      <c r="Q886" s="75"/>
    </row>
    <row r="887" ht="15.75" customHeight="1">
      <c r="B887" s="258"/>
      <c r="Q887" s="75"/>
    </row>
    <row r="888" ht="15.75" customHeight="1">
      <c r="B888" s="258"/>
      <c r="Q888" s="75"/>
    </row>
    <row r="889" ht="15.75" customHeight="1">
      <c r="B889" s="258"/>
      <c r="Q889" s="75"/>
    </row>
    <row r="890" ht="15.75" customHeight="1">
      <c r="B890" s="258"/>
      <c r="Q890" s="75"/>
    </row>
    <row r="891" ht="15.75" customHeight="1">
      <c r="B891" s="258"/>
      <c r="Q891" s="75"/>
    </row>
    <row r="892" ht="15.75" customHeight="1">
      <c r="B892" s="258"/>
      <c r="Q892" s="75"/>
    </row>
    <row r="893" ht="15.75" customHeight="1">
      <c r="B893" s="258"/>
      <c r="Q893" s="75"/>
    </row>
    <row r="894" ht="15.75" customHeight="1">
      <c r="B894" s="258"/>
      <c r="Q894" s="75"/>
    </row>
    <row r="895" ht="15.75" customHeight="1">
      <c r="B895" s="258"/>
      <c r="Q895" s="75"/>
    </row>
    <row r="896" ht="15.75" customHeight="1">
      <c r="B896" s="258"/>
      <c r="Q896" s="75"/>
    </row>
    <row r="897" ht="15.75" customHeight="1">
      <c r="B897" s="258"/>
      <c r="Q897" s="75"/>
    </row>
    <row r="898" ht="15.75" customHeight="1">
      <c r="B898" s="258"/>
      <c r="Q898" s="75"/>
    </row>
    <row r="899" ht="15.75" customHeight="1">
      <c r="B899" s="258"/>
      <c r="Q899" s="75"/>
    </row>
    <row r="900" ht="15.75" customHeight="1">
      <c r="B900" s="258"/>
      <c r="Q900" s="75"/>
    </row>
    <row r="901" ht="15.75" customHeight="1">
      <c r="B901" s="258"/>
      <c r="Q901" s="75"/>
    </row>
    <row r="902" ht="15.75" customHeight="1">
      <c r="B902" s="258"/>
      <c r="Q902" s="75"/>
    </row>
    <row r="903" ht="15.75" customHeight="1">
      <c r="B903" s="258"/>
      <c r="Q903" s="75"/>
    </row>
    <row r="904" ht="15.75" customHeight="1">
      <c r="B904" s="258"/>
      <c r="Q904" s="75"/>
    </row>
    <row r="905" ht="15.75" customHeight="1">
      <c r="B905" s="258"/>
      <c r="Q905" s="75"/>
    </row>
    <row r="906" ht="15.75" customHeight="1">
      <c r="B906" s="258"/>
      <c r="Q906" s="75"/>
    </row>
    <row r="907" ht="15.75" customHeight="1">
      <c r="B907" s="258"/>
      <c r="Q907" s="75"/>
    </row>
    <row r="908" ht="15.75" customHeight="1">
      <c r="B908" s="258"/>
      <c r="Q908" s="75"/>
    </row>
    <row r="909" ht="15.75" customHeight="1">
      <c r="B909" s="258"/>
      <c r="Q909" s="75"/>
    </row>
    <row r="910" ht="15.75" customHeight="1">
      <c r="B910" s="258"/>
      <c r="Q910" s="75"/>
    </row>
    <row r="911" ht="15.75" customHeight="1">
      <c r="B911" s="258"/>
      <c r="Q911" s="75"/>
    </row>
    <row r="912" ht="15.75" customHeight="1">
      <c r="B912" s="258"/>
      <c r="Q912" s="75"/>
    </row>
    <row r="913" ht="15.75" customHeight="1">
      <c r="B913" s="258"/>
      <c r="Q913" s="75"/>
    </row>
    <row r="914" ht="15.75" customHeight="1">
      <c r="B914" s="258"/>
      <c r="Q914" s="75"/>
    </row>
    <row r="915" ht="15.75" customHeight="1">
      <c r="B915" s="258"/>
      <c r="Q915" s="75"/>
    </row>
    <row r="916" ht="15.75" customHeight="1">
      <c r="B916" s="258"/>
      <c r="Q916" s="75"/>
    </row>
    <row r="917" ht="15.75" customHeight="1">
      <c r="B917" s="258"/>
      <c r="Q917" s="75"/>
    </row>
    <row r="918" ht="15.75" customHeight="1">
      <c r="B918" s="258"/>
      <c r="Q918" s="75"/>
    </row>
    <row r="919" ht="15.75" customHeight="1">
      <c r="B919" s="258"/>
      <c r="Q919" s="75"/>
    </row>
    <row r="920" ht="15.75" customHeight="1">
      <c r="B920" s="258"/>
      <c r="Q920" s="75"/>
    </row>
    <row r="921" ht="15.75" customHeight="1">
      <c r="B921" s="258"/>
      <c r="Q921" s="75"/>
    </row>
    <row r="922" ht="15.75" customHeight="1">
      <c r="B922" s="258"/>
      <c r="Q922" s="75"/>
    </row>
    <row r="923" ht="15.75" customHeight="1">
      <c r="B923" s="258"/>
      <c r="Q923" s="75"/>
    </row>
    <row r="924" ht="15.75" customHeight="1">
      <c r="B924" s="258"/>
      <c r="Q924" s="75"/>
    </row>
    <row r="925" ht="15.75" customHeight="1">
      <c r="B925" s="258"/>
      <c r="Q925" s="75"/>
    </row>
    <row r="926" ht="15.75" customHeight="1">
      <c r="B926" s="258"/>
      <c r="Q926" s="75"/>
    </row>
    <row r="927" ht="15.75" customHeight="1">
      <c r="B927" s="258"/>
      <c r="Q927" s="75"/>
    </row>
    <row r="928" ht="15.75" customHeight="1">
      <c r="B928" s="258"/>
      <c r="Q928" s="75"/>
    </row>
    <row r="929" ht="15.75" customHeight="1">
      <c r="B929" s="258"/>
      <c r="Q929" s="75"/>
    </row>
    <row r="930" ht="15.75" customHeight="1">
      <c r="B930" s="258"/>
      <c r="Q930" s="75"/>
    </row>
    <row r="931" ht="15.75" customHeight="1">
      <c r="B931" s="258"/>
      <c r="Q931" s="75"/>
    </row>
    <row r="932" ht="15.75" customHeight="1">
      <c r="B932" s="258"/>
      <c r="Q932" s="75"/>
    </row>
    <row r="933" ht="15.75" customHeight="1">
      <c r="B933" s="258"/>
      <c r="Q933" s="75"/>
    </row>
    <row r="934" ht="15.75" customHeight="1">
      <c r="B934" s="258"/>
      <c r="Q934" s="75"/>
    </row>
    <row r="935" ht="15.75" customHeight="1">
      <c r="B935" s="258"/>
      <c r="Q935" s="75"/>
    </row>
    <row r="936" ht="15.75" customHeight="1">
      <c r="B936" s="258"/>
      <c r="Q936" s="75"/>
    </row>
    <row r="937" ht="15.75" customHeight="1">
      <c r="B937" s="258"/>
      <c r="Q937" s="75"/>
    </row>
    <row r="938" ht="15.75" customHeight="1">
      <c r="B938" s="258"/>
      <c r="Q938" s="75"/>
    </row>
    <row r="939" ht="15.75" customHeight="1">
      <c r="B939" s="258"/>
      <c r="Q939" s="75"/>
    </row>
    <row r="940" ht="15.75" customHeight="1">
      <c r="B940" s="258"/>
      <c r="Q940" s="75"/>
    </row>
    <row r="941" ht="15.75" customHeight="1">
      <c r="B941" s="258"/>
      <c r="Q941" s="75"/>
    </row>
    <row r="942" ht="15.75" customHeight="1">
      <c r="B942" s="258"/>
      <c r="Q942" s="75"/>
    </row>
    <row r="943" ht="15.75" customHeight="1">
      <c r="B943" s="258"/>
      <c r="Q943" s="75"/>
    </row>
    <row r="944" ht="15.75" customHeight="1">
      <c r="B944" s="258"/>
      <c r="Q944" s="75"/>
    </row>
    <row r="945" ht="15.75" customHeight="1">
      <c r="B945" s="258"/>
      <c r="Q945" s="75"/>
    </row>
    <row r="946" ht="15.75" customHeight="1">
      <c r="B946" s="258"/>
      <c r="Q946" s="75"/>
    </row>
    <row r="947" ht="15.75" customHeight="1">
      <c r="B947" s="258"/>
      <c r="Q947" s="75"/>
    </row>
    <row r="948" ht="15.75" customHeight="1">
      <c r="B948" s="258"/>
      <c r="Q948" s="75"/>
    </row>
    <row r="949" ht="15.75" customHeight="1">
      <c r="B949" s="258"/>
      <c r="Q949" s="75"/>
    </row>
    <row r="950" ht="15.75" customHeight="1">
      <c r="B950" s="258"/>
      <c r="Q950" s="75"/>
    </row>
    <row r="951" ht="15.75" customHeight="1">
      <c r="B951" s="258"/>
      <c r="Q951" s="75"/>
    </row>
    <row r="952" ht="15.75" customHeight="1">
      <c r="B952" s="258"/>
      <c r="Q952" s="75"/>
    </row>
    <row r="953" ht="15.75" customHeight="1">
      <c r="B953" s="258"/>
      <c r="Q953" s="75"/>
    </row>
    <row r="954" ht="15.75" customHeight="1">
      <c r="B954" s="258"/>
      <c r="Q954" s="75"/>
    </row>
    <row r="955" ht="15.75" customHeight="1">
      <c r="B955" s="258"/>
      <c r="Q955" s="75"/>
    </row>
    <row r="956" ht="15.75" customHeight="1">
      <c r="B956" s="258"/>
      <c r="Q956" s="75"/>
    </row>
    <row r="957" ht="15.75" customHeight="1">
      <c r="B957" s="258"/>
      <c r="Q957" s="75"/>
    </row>
    <row r="958" ht="15.75" customHeight="1">
      <c r="B958" s="258"/>
      <c r="Q958" s="75"/>
    </row>
    <row r="959" ht="15.75" customHeight="1">
      <c r="B959" s="258"/>
      <c r="Q959" s="75"/>
    </row>
    <row r="960" ht="15.75" customHeight="1">
      <c r="B960" s="258"/>
      <c r="Q960" s="75"/>
    </row>
    <row r="961" ht="15.75" customHeight="1">
      <c r="B961" s="258"/>
      <c r="Q961" s="75"/>
    </row>
    <row r="962" ht="15.75" customHeight="1">
      <c r="B962" s="258"/>
      <c r="Q962" s="75"/>
    </row>
    <row r="963" ht="15.75" customHeight="1">
      <c r="B963" s="258"/>
      <c r="Q963" s="75"/>
    </row>
    <row r="964" ht="15.75" customHeight="1">
      <c r="B964" s="258"/>
      <c r="Q964" s="75"/>
    </row>
    <row r="965" ht="15.75" customHeight="1">
      <c r="B965" s="258"/>
      <c r="Q965" s="75"/>
    </row>
    <row r="966" ht="15.75" customHeight="1">
      <c r="B966" s="258"/>
      <c r="Q966" s="75"/>
    </row>
    <row r="967" ht="15.75" customHeight="1">
      <c r="B967" s="258"/>
      <c r="Q967" s="75"/>
    </row>
    <row r="968" ht="15.75" customHeight="1">
      <c r="B968" s="258"/>
      <c r="Q968" s="75"/>
    </row>
    <row r="969" ht="15.75" customHeight="1">
      <c r="B969" s="258"/>
      <c r="Q969" s="75"/>
    </row>
    <row r="970" ht="15.75" customHeight="1">
      <c r="B970" s="258"/>
      <c r="Q970" s="75"/>
    </row>
    <row r="971" ht="15.75" customHeight="1">
      <c r="B971" s="258"/>
      <c r="Q971" s="75"/>
    </row>
    <row r="972" ht="15.75" customHeight="1">
      <c r="B972" s="258"/>
      <c r="Q972" s="75"/>
    </row>
    <row r="973" ht="15.75" customHeight="1">
      <c r="B973" s="258"/>
      <c r="Q973" s="75"/>
    </row>
    <row r="974" ht="15.75" customHeight="1">
      <c r="B974" s="258"/>
      <c r="Q974" s="75"/>
    </row>
    <row r="975" ht="15.75" customHeight="1">
      <c r="B975" s="258"/>
      <c r="Q975" s="75"/>
    </row>
    <row r="976" ht="15.75" customHeight="1">
      <c r="B976" s="258"/>
      <c r="Q976" s="75"/>
    </row>
    <row r="977" ht="15.75" customHeight="1">
      <c r="B977" s="258"/>
      <c r="Q977" s="75"/>
    </row>
    <row r="978" ht="15.75" customHeight="1">
      <c r="B978" s="258"/>
      <c r="Q978" s="75"/>
    </row>
    <row r="979" ht="15.75" customHeight="1">
      <c r="B979" s="258"/>
      <c r="Q979" s="75"/>
    </row>
    <row r="980" ht="15.75" customHeight="1">
      <c r="B980" s="258"/>
      <c r="Q980" s="75"/>
    </row>
    <row r="981" ht="15.75" customHeight="1">
      <c r="B981" s="258"/>
      <c r="Q981" s="75"/>
    </row>
    <row r="982" ht="15.75" customHeight="1">
      <c r="B982" s="258"/>
      <c r="Q982" s="75"/>
    </row>
    <row r="983" ht="15.75" customHeight="1">
      <c r="B983" s="258"/>
      <c r="Q983" s="75"/>
    </row>
    <row r="984" ht="15.75" customHeight="1">
      <c r="B984" s="258"/>
      <c r="Q984" s="75"/>
    </row>
    <row r="985" ht="15.75" customHeight="1">
      <c r="B985" s="258"/>
      <c r="Q985" s="75"/>
    </row>
    <row r="986" ht="15.75" customHeight="1">
      <c r="B986" s="258"/>
      <c r="Q986" s="75"/>
    </row>
    <row r="987" ht="15.75" customHeight="1">
      <c r="B987" s="258"/>
      <c r="Q987" s="75"/>
    </row>
    <row r="988" ht="15.75" customHeight="1">
      <c r="B988" s="258"/>
      <c r="Q988" s="75"/>
    </row>
    <row r="989" ht="15.75" customHeight="1">
      <c r="B989" s="258"/>
      <c r="Q989" s="75"/>
    </row>
    <row r="990" ht="15.75" customHeight="1">
      <c r="B990" s="258"/>
      <c r="Q990" s="75"/>
    </row>
    <row r="991" ht="15.75" customHeight="1">
      <c r="B991" s="258"/>
      <c r="Q991" s="75"/>
    </row>
    <row r="992" ht="15.75" customHeight="1">
      <c r="B992" s="258"/>
      <c r="Q992" s="75"/>
    </row>
    <row r="993" ht="15.75" customHeight="1">
      <c r="B993" s="258"/>
      <c r="Q993" s="75"/>
    </row>
    <row r="994" ht="15.75" customHeight="1">
      <c r="B994" s="258"/>
      <c r="Q994" s="75"/>
    </row>
    <row r="995" ht="15.75" customHeight="1">
      <c r="B995" s="258"/>
      <c r="Q995" s="75"/>
    </row>
    <row r="996" ht="15.75" customHeight="1">
      <c r="B996" s="258"/>
      <c r="Q996" s="75"/>
    </row>
    <row r="997" ht="15.75" customHeight="1">
      <c r="B997" s="258"/>
      <c r="Q997" s="75"/>
    </row>
    <row r="998" ht="15.75" customHeight="1">
      <c r="B998" s="258"/>
      <c r="Q998" s="75"/>
    </row>
    <row r="999" ht="15.75" customHeight="1">
      <c r="B999" s="258"/>
      <c r="Q999" s="75"/>
    </row>
    <row r="1000" ht="15.75" customHeight="1">
      <c r="B1000" s="258"/>
      <c r="Q1000" s="75"/>
    </row>
  </sheetData>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14.38"/>
    <col customWidth="1" min="2" max="2" width="22.75"/>
    <col customWidth="1" min="3" max="4" width="3.13"/>
    <col customWidth="1" min="5" max="6" width="16.88"/>
    <col customWidth="1" min="7" max="17" width="3.13"/>
  </cols>
  <sheetData>
    <row r="1" ht="27.75" customHeight="1">
      <c r="A1" s="190"/>
      <c r="B1" s="190"/>
      <c r="C1" s="190"/>
      <c r="D1" s="190"/>
      <c r="E1" s="309"/>
      <c r="F1" s="309"/>
      <c r="G1" s="190"/>
      <c r="H1" s="546"/>
      <c r="I1" s="547"/>
      <c r="J1" s="547"/>
      <c r="K1" s="547"/>
      <c r="L1" s="547"/>
      <c r="M1" s="547"/>
      <c r="N1" s="547"/>
      <c r="O1" s="547"/>
      <c r="P1" s="547"/>
      <c r="Q1" s="548"/>
      <c r="R1" s="549"/>
      <c r="S1" s="549"/>
      <c r="T1" s="549"/>
      <c r="U1" s="549"/>
      <c r="V1" s="549"/>
      <c r="W1" s="549"/>
      <c r="X1" s="549"/>
      <c r="Y1" s="549"/>
      <c r="Z1" s="549"/>
      <c r="AA1" s="549"/>
      <c r="AB1" s="549"/>
      <c r="AC1" s="549"/>
      <c r="AD1" s="549"/>
    </row>
    <row r="2" ht="62.25" customHeight="1">
      <c r="A2" s="190" t="s">
        <v>1403</v>
      </c>
      <c r="B2" s="190" t="s">
        <v>1414</v>
      </c>
      <c r="C2" s="550" t="s">
        <v>1415</v>
      </c>
      <c r="D2" s="184" t="s">
        <v>1413</v>
      </c>
      <c r="E2" s="309" t="s">
        <v>1420</v>
      </c>
      <c r="F2" s="309" t="s">
        <v>2793</v>
      </c>
      <c r="G2" s="184" t="s">
        <v>1419</v>
      </c>
      <c r="H2" s="551" t="s">
        <v>2555</v>
      </c>
      <c r="I2" s="184" t="s">
        <v>2556</v>
      </c>
      <c r="J2" s="184" t="s">
        <v>2557</v>
      </c>
      <c r="K2" s="184" t="s">
        <v>2558</v>
      </c>
      <c r="L2" s="184" t="s">
        <v>1930</v>
      </c>
      <c r="M2" s="184" t="s">
        <v>2559</v>
      </c>
      <c r="N2" s="184" t="s">
        <v>2560</v>
      </c>
      <c r="O2" s="184" t="s">
        <v>2561</v>
      </c>
      <c r="P2" s="184" t="s">
        <v>1393</v>
      </c>
      <c r="Q2" s="552" t="s">
        <v>2562</v>
      </c>
      <c r="R2" s="549"/>
      <c r="S2" s="549"/>
      <c r="T2" s="549"/>
      <c r="U2" s="549"/>
      <c r="V2" s="549"/>
      <c r="W2" s="549"/>
      <c r="X2" s="549"/>
      <c r="Y2" s="549"/>
      <c r="Z2" s="549"/>
      <c r="AA2" s="549"/>
      <c r="AB2" s="549"/>
      <c r="AC2" s="549"/>
      <c r="AD2" s="549"/>
    </row>
    <row r="3">
      <c r="A3" s="65" t="s">
        <v>908</v>
      </c>
      <c r="B3" s="65" t="s">
        <v>2771</v>
      </c>
      <c r="C3" s="65">
        <v>1.0</v>
      </c>
      <c r="D3" s="65">
        <v>1.0</v>
      </c>
      <c r="E3" s="134"/>
      <c r="F3" s="134" t="s">
        <v>2794</v>
      </c>
      <c r="G3" s="65">
        <v>0.0</v>
      </c>
      <c r="H3" s="219"/>
      <c r="I3" s="83"/>
      <c r="J3" s="83"/>
      <c r="K3" s="83"/>
      <c r="L3" s="83"/>
      <c r="M3" s="83"/>
      <c r="N3" s="83"/>
      <c r="O3" s="83"/>
      <c r="P3" s="83"/>
      <c r="Q3" s="261"/>
      <c r="R3" s="83"/>
      <c r="S3" s="83"/>
      <c r="T3" s="83"/>
      <c r="U3" s="83"/>
      <c r="V3" s="83"/>
      <c r="W3" s="83"/>
      <c r="X3" s="83"/>
      <c r="Y3" s="83"/>
      <c r="Z3" s="83"/>
      <c r="AA3" s="83"/>
      <c r="AB3" s="83"/>
      <c r="AC3" s="83"/>
      <c r="AD3" s="83"/>
    </row>
    <row r="4">
      <c r="A4" s="65" t="s">
        <v>908</v>
      </c>
      <c r="B4" s="65" t="s">
        <v>2795</v>
      </c>
      <c r="C4" s="65">
        <v>1.0</v>
      </c>
      <c r="D4" s="65">
        <v>1.0</v>
      </c>
      <c r="E4" s="553"/>
      <c r="F4" s="134" t="s">
        <v>1462</v>
      </c>
      <c r="G4" s="65">
        <v>1.0</v>
      </c>
      <c r="H4" s="219"/>
      <c r="I4" s="83"/>
      <c r="J4" s="65" t="s">
        <v>2572</v>
      </c>
      <c r="K4" s="83"/>
      <c r="L4" s="83"/>
      <c r="M4" s="83"/>
      <c r="N4" s="83"/>
      <c r="O4" s="83"/>
      <c r="P4" s="83"/>
      <c r="Q4" s="261"/>
      <c r="R4" s="83"/>
      <c r="S4" s="83"/>
      <c r="T4" s="83"/>
      <c r="U4" s="83"/>
      <c r="V4" s="83"/>
      <c r="W4" s="83"/>
      <c r="X4" s="83"/>
      <c r="Y4" s="83"/>
      <c r="Z4" s="83"/>
      <c r="AA4" s="83"/>
      <c r="AB4" s="83"/>
      <c r="AC4" s="83"/>
      <c r="AD4" s="83"/>
    </row>
    <row r="5">
      <c r="A5" s="65" t="s">
        <v>908</v>
      </c>
      <c r="B5" s="65" t="s">
        <v>2795</v>
      </c>
      <c r="C5" s="65">
        <v>2.0</v>
      </c>
      <c r="D5" s="65">
        <v>1.0</v>
      </c>
      <c r="E5" s="554" t="s">
        <v>2717</v>
      </c>
      <c r="F5" s="134" t="s">
        <v>2796</v>
      </c>
      <c r="G5" s="65">
        <v>1.0</v>
      </c>
      <c r="H5" s="68" t="s">
        <v>2572</v>
      </c>
      <c r="I5" s="65" t="s">
        <v>2572</v>
      </c>
      <c r="J5" s="83"/>
      <c r="K5" s="83"/>
      <c r="L5" s="83"/>
      <c r="M5" s="83"/>
      <c r="N5" s="83"/>
      <c r="O5" s="83"/>
      <c r="P5" s="83"/>
      <c r="Q5" s="261"/>
      <c r="R5" s="83"/>
      <c r="S5" s="83"/>
      <c r="T5" s="83"/>
      <c r="U5" s="83"/>
      <c r="V5" s="83"/>
      <c r="W5" s="83"/>
      <c r="X5" s="83"/>
      <c r="Y5" s="83"/>
      <c r="Z5" s="83"/>
      <c r="AA5" s="83"/>
      <c r="AB5" s="83"/>
      <c r="AC5" s="83"/>
      <c r="AD5" s="83"/>
    </row>
    <row r="6">
      <c r="A6" s="65" t="s">
        <v>908</v>
      </c>
      <c r="B6" s="65" t="s">
        <v>2776</v>
      </c>
      <c r="C6" s="65">
        <v>1.0</v>
      </c>
      <c r="D6" s="65">
        <v>1.0</v>
      </c>
      <c r="E6" s="554"/>
      <c r="F6" s="134"/>
      <c r="G6" s="65">
        <v>2.0</v>
      </c>
      <c r="H6" s="219"/>
      <c r="I6" s="83"/>
      <c r="J6" s="65" t="s">
        <v>2572</v>
      </c>
      <c r="K6" s="83"/>
      <c r="L6" s="83"/>
      <c r="M6" s="65" t="s">
        <v>2572</v>
      </c>
      <c r="N6" s="83"/>
      <c r="O6" s="83"/>
      <c r="P6" s="65" t="s">
        <v>2572</v>
      </c>
      <c r="Q6" s="261"/>
      <c r="R6" s="83"/>
      <c r="S6" s="83"/>
      <c r="T6" s="83"/>
      <c r="U6" s="83"/>
      <c r="V6" s="83"/>
      <c r="W6" s="83"/>
      <c r="X6" s="83"/>
      <c r="Y6" s="83"/>
      <c r="Z6" s="83"/>
      <c r="AA6" s="83"/>
      <c r="AB6" s="83"/>
      <c r="AC6" s="83"/>
      <c r="AD6" s="83"/>
    </row>
    <row r="7">
      <c r="A7" s="65" t="s">
        <v>908</v>
      </c>
      <c r="B7" s="65" t="s">
        <v>2776</v>
      </c>
      <c r="C7" s="65">
        <v>2.0</v>
      </c>
      <c r="D7" s="65">
        <v>1.0</v>
      </c>
      <c r="E7" s="554" t="s">
        <v>2709</v>
      </c>
      <c r="F7" s="134" t="s">
        <v>1444</v>
      </c>
      <c r="G7" s="65">
        <v>1.0</v>
      </c>
      <c r="H7" s="68" t="s">
        <v>2572</v>
      </c>
      <c r="I7" s="83"/>
      <c r="J7" s="65" t="s">
        <v>2572</v>
      </c>
      <c r="K7" s="83"/>
      <c r="L7" s="83"/>
      <c r="M7" s="83"/>
      <c r="N7" s="83"/>
      <c r="O7" s="83"/>
      <c r="P7" s="83"/>
      <c r="Q7" s="261"/>
      <c r="R7" s="83"/>
      <c r="S7" s="83"/>
      <c r="T7" s="83"/>
      <c r="U7" s="83"/>
      <c r="V7" s="83"/>
      <c r="W7" s="83"/>
      <c r="X7" s="83"/>
      <c r="Y7" s="83"/>
      <c r="Z7" s="83"/>
      <c r="AA7" s="83"/>
      <c r="AB7" s="83"/>
      <c r="AC7" s="83"/>
      <c r="AD7" s="83"/>
    </row>
    <row r="8">
      <c r="A8" s="65" t="s">
        <v>908</v>
      </c>
      <c r="B8" s="65" t="s">
        <v>2774</v>
      </c>
      <c r="C8" s="65">
        <v>1.0</v>
      </c>
      <c r="D8" s="65">
        <v>1.0</v>
      </c>
      <c r="E8" s="554" t="s">
        <v>2696</v>
      </c>
      <c r="F8" s="134" t="s">
        <v>2797</v>
      </c>
      <c r="G8" s="65">
        <v>1.0</v>
      </c>
      <c r="H8" s="219"/>
      <c r="I8" s="83"/>
      <c r="J8" s="65" t="s">
        <v>2572</v>
      </c>
      <c r="K8" s="83"/>
      <c r="L8" s="65" t="s">
        <v>2572</v>
      </c>
      <c r="M8" s="65" t="s">
        <v>2572</v>
      </c>
      <c r="N8" s="83"/>
      <c r="O8" s="83"/>
      <c r="P8" s="83"/>
      <c r="Q8" s="220" t="s">
        <v>2572</v>
      </c>
      <c r="R8" s="83"/>
      <c r="S8" s="83"/>
      <c r="T8" s="83"/>
      <c r="U8" s="83"/>
      <c r="V8" s="83"/>
      <c r="W8" s="83"/>
      <c r="X8" s="83"/>
      <c r="Y8" s="83"/>
      <c r="Z8" s="83"/>
      <c r="AA8" s="83"/>
      <c r="AB8" s="83"/>
      <c r="AC8" s="83"/>
      <c r="AD8" s="83"/>
    </row>
    <row r="9">
      <c r="A9" s="65" t="s">
        <v>908</v>
      </c>
      <c r="B9" s="65" t="s">
        <v>2774</v>
      </c>
      <c r="C9" s="65">
        <v>2.0</v>
      </c>
      <c r="D9" s="65">
        <v>1.0</v>
      </c>
      <c r="E9" s="554" t="s">
        <v>2696</v>
      </c>
      <c r="F9" s="134" t="s">
        <v>1475</v>
      </c>
      <c r="G9" s="65">
        <v>3.0</v>
      </c>
      <c r="H9" s="68" t="s">
        <v>2572</v>
      </c>
      <c r="I9" s="83"/>
      <c r="J9" s="65" t="s">
        <v>2572</v>
      </c>
      <c r="K9" s="83"/>
      <c r="L9" s="65" t="s">
        <v>2572</v>
      </c>
      <c r="M9" s="65" t="s">
        <v>2572</v>
      </c>
      <c r="N9" s="83"/>
      <c r="O9" s="83"/>
      <c r="P9" s="83"/>
      <c r="Q9" s="261"/>
      <c r="R9" s="83"/>
      <c r="S9" s="83"/>
      <c r="T9" s="83"/>
      <c r="U9" s="83"/>
      <c r="V9" s="83"/>
      <c r="W9" s="83"/>
      <c r="X9" s="83"/>
      <c r="Y9" s="83"/>
      <c r="Z9" s="83"/>
      <c r="AA9" s="83"/>
      <c r="AB9" s="83"/>
      <c r="AC9" s="83"/>
      <c r="AD9" s="83"/>
    </row>
    <row r="10">
      <c r="A10" s="65" t="s">
        <v>908</v>
      </c>
      <c r="B10" s="65" t="s">
        <v>2798</v>
      </c>
      <c r="C10" s="65">
        <v>1.0</v>
      </c>
      <c r="D10" s="65">
        <v>1.0</v>
      </c>
      <c r="E10" s="554" t="s">
        <v>2691</v>
      </c>
      <c r="F10" s="134" t="s">
        <v>1463</v>
      </c>
      <c r="G10" s="65">
        <v>2.0</v>
      </c>
      <c r="H10" s="68" t="s">
        <v>2572</v>
      </c>
      <c r="I10" s="83"/>
      <c r="J10" s="65" t="s">
        <v>2572</v>
      </c>
      <c r="K10" s="83"/>
      <c r="L10" s="65" t="s">
        <v>2572</v>
      </c>
      <c r="M10" s="83"/>
      <c r="N10" s="83"/>
      <c r="O10" s="83"/>
      <c r="P10" s="83"/>
      <c r="Q10" s="261"/>
      <c r="R10" s="83"/>
      <c r="S10" s="83"/>
      <c r="T10" s="83"/>
      <c r="U10" s="83"/>
      <c r="V10" s="83"/>
      <c r="W10" s="83"/>
      <c r="X10" s="83"/>
      <c r="Y10" s="83"/>
      <c r="Z10" s="83"/>
      <c r="AA10" s="83"/>
      <c r="AB10" s="83"/>
      <c r="AC10" s="83"/>
      <c r="AD10" s="83"/>
    </row>
    <row r="11">
      <c r="A11" s="65" t="s">
        <v>908</v>
      </c>
      <c r="B11" s="65" t="s">
        <v>2798</v>
      </c>
      <c r="C11" s="65">
        <v>2.0</v>
      </c>
      <c r="D11" s="65">
        <v>1.0</v>
      </c>
      <c r="E11" s="554" t="s">
        <v>2691</v>
      </c>
      <c r="F11" s="134" t="s">
        <v>1461</v>
      </c>
      <c r="G11" s="65">
        <v>2.0</v>
      </c>
      <c r="H11" s="219"/>
      <c r="I11" s="65" t="s">
        <v>2572</v>
      </c>
      <c r="J11" s="65" t="s">
        <v>2572</v>
      </c>
      <c r="K11" s="83"/>
      <c r="L11" s="65" t="s">
        <v>2572</v>
      </c>
      <c r="M11" s="65" t="s">
        <v>2572</v>
      </c>
      <c r="N11" s="83"/>
      <c r="O11" s="83"/>
      <c r="P11" s="83"/>
      <c r="Q11" s="261"/>
      <c r="R11" s="83"/>
      <c r="S11" s="83"/>
      <c r="T11" s="83"/>
      <c r="U11" s="83"/>
      <c r="V11" s="83"/>
      <c r="W11" s="83"/>
      <c r="X11" s="83"/>
      <c r="Y11" s="83"/>
      <c r="Z11" s="83"/>
      <c r="AA11" s="83"/>
      <c r="AB11" s="83"/>
      <c r="AC11" s="83"/>
      <c r="AD11" s="83"/>
    </row>
    <row r="12">
      <c r="A12" s="65" t="s">
        <v>908</v>
      </c>
      <c r="B12" s="65" t="s">
        <v>2772</v>
      </c>
      <c r="C12" s="65">
        <v>1.0</v>
      </c>
      <c r="D12" s="65">
        <v>1.0</v>
      </c>
      <c r="E12" s="554"/>
      <c r="F12" s="134" t="s">
        <v>1461</v>
      </c>
      <c r="G12" s="65">
        <v>1.0</v>
      </c>
      <c r="H12" s="555"/>
      <c r="J12" s="240" t="s">
        <v>2572</v>
      </c>
      <c r="O12" s="240" t="s">
        <v>2572</v>
      </c>
      <c r="Q12" s="556" t="s">
        <v>2572</v>
      </c>
      <c r="S12" s="83"/>
      <c r="T12" s="83"/>
      <c r="U12" s="83"/>
      <c r="V12" s="83"/>
      <c r="W12" s="83"/>
      <c r="X12" s="83"/>
      <c r="Y12" s="83"/>
      <c r="Z12" s="83"/>
      <c r="AA12" s="83"/>
      <c r="AB12" s="83"/>
      <c r="AC12" s="83"/>
      <c r="AD12" s="83"/>
    </row>
    <row r="13">
      <c r="A13" s="65" t="s">
        <v>908</v>
      </c>
      <c r="B13" s="65" t="s">
        <v>2772</v>
      </c>
      <c r="C13" s="65">
        <v>2.0</v>
      </c>
      <c r="D13" s="65">
        <v>1.0</v>
      </c>
      <c r="E13" s="554" t="s">
        <v>2674</v>
      </c>
      <c r="F13" s="557" t="s">
        <v>2799</v>
      </c>
      <c r="G13" s="65">
        <v>1.0</v>
      </c>
      <c r="H13" s="558" t="s">
        <v>2572</v>
      </c>
      <c r="J13" s="240" t="s">
        <v>2572</v>
      </c>
      <c r="O13" s="240" t="s">
        <v>2572</v>
      </c>
      <c r="Q13" s="556" t="s">
        <v>2572</v>
      </c>
      <c r="S13" s="83"/>
      <c r="T13" s="83"/>
      <c r="U13" s="83"/>
      <c r="V13" s="83"/>
      <c r="W13" s="83"/>
      <c r="X13" s="83"/>
      <c r="Y13" s="83"/>
      <c r="Z13" s="83"/>
      <c r="AA13" s="83"/>
      <c r="AB13" s="83"/>
      <c r="AC13" s="83"/>
      <c r="AD13" s="83"/>
    </row>
    <row r="14">
      <c r="A14" s="65" t="s">
        <v>908</v>
      </c>
      <c r="B14" s="65" t="s">
        <v>2800</v>
      </c>
      <c r="C14" s="65">
        <v>1.0</v>
      </c>
      <c r="D14" s="65">
        <v>1.0</v>
      </c>
      <c r="E14" s="554" t="s">
        <v>2668</v>
      </c>
      <c r="F14" s="134"/>
      <c r="G14" s="65">
        <v>3.0</v>
      </c>
      <c r="H14" s="555"/>
      <c r="I14" s="240" t="s">
        <v>2572</v>
      </c>
      <c r="L14" s="240" t="s">
        <v>2572</v>
      </c>
      <c r="M14" s="240" t="s">
        <v>2572</v>
      </c>
      <c r="P14" s="240" t="s">
        <v>2572</v>
      </c>
      <c r="Q14" s="556" t="s">
        <v>2572</v>
      </c>
      <c r="S14" s="83"/>
      <c r="T14" s="83"/>
      <c r="U14" s="83"/>
      <c r="V14" s="83"/>
      <c r="W14" s="83"/>
      <c r="X14" s="83"/>
      <c r="Y14" s="83"/>
      <c r="Z14" s="83"/>
      <c r="AA14" s="83"/>
      <c r="AB14" s="83"/>
      <c r="AC14" s="83"/>
      <c r="AD14" s="83"/>
    </row>
    <row r="15">
      <c r="A15" s="65" t="s">
        <v>908</v>
      </c>
      <c r="B15" s="65" t="s">
        <v>1496</v>
      </c>
      <c r="C15" s="65">
        <v>1.0</v>
      </c>
      <c r="D15" s="65">
        <v>1.0</v>
      </c>
      <c r="E15" s="554" t="s">
        <v>2668</v>
      </c>
      <c r="F15" s="134"/>
      <c r="G15" s="65">
        <v>3.0</v>
      </c>
      <c r="H15" s="558" t="s">
        <v>2572</v>
      </c>
      <c r="I15" s="240" t="s">
        <v>2572</v>
      </c>
      <c r="J15" s="83"/>
      <c r="K15" s="83"/>
      <c r="L15" s="240" t="s">
        <v>2572</v>
      </c>
      <c r="M15" s="240" t="s">
        <v>2572</v>
      </c>
      <c r="N15" s="83"/>
      <c r="O15" s="83"/>
      <c r="P15" s="83"/>
      <c r="Q15" s="261"/>
      <c r="R15" s="83"/>
      <c r="S15" s="83"/>
      <c r="T15" s="83"/>
      <c r="U15" s="83"/>
      <c r="V15" s="83"/>
      <c r="W15" s="83"/>
      <c r="X15" s="83"/>
      <c r="Y15" s="83"/>
      <c r="Z15" s="83"/>
      <c r="AA15" s="83"/>
      <c r="AB15" s="83"/>
      <c r="AC15" s="83"/>
      <c r="AD15" s="83"/>
    </row>
    <row r="16">
      <c r="A16" s="65" t="s">
        <v>908</v>
      </c>
      <c r="B16" s="65" t="s">
        <v>2801</v>
      </c>
      <c r="C16" s="65">
        <v>1.0</v>
      </c>
      <c r="D16" s="65">
        <v>2.0</v>
      </c>
      <c r="E16" s="554"/>
      <c r="F16" s="134" t="s">
        <v>2802</v>
      </c>
      <c r="G16" s="65">
        <v>1.0</v>
      </c>
      <c r="H16" s="219"/>
      <c r="J16" s="83"/>
      <c r="K16" s="83"/>
      <c r="L16" s="83"/>
      <c r="M16" s="83"/>
      <c r="N16" s="83"/>
      <c r="O16" s="240" t="s">
        <v>2572</v>
      </c>
      <c r="P16" s="240" t="s">
        <v>2572</v>
      </c>
      <c r="Q16" s="556" t="s">
        <v>2572</v>
      </c>
      <c r="R16" s="83"/>
      <c r="S16" s="83"/>
      <c r="T16" s="83"/>
      <c r="U16" s="83"/>
      <c r="V16" s="83"/>
      <c r="W16" s="83"/>
      <c r="X16" s="83"/>
      <c r="Y16" s="83"/>
      <c r="Z16" s="83"/>
      <c r="AA16" s="83"/>
      <c r="AB16" s="83"/>
      <c r="AC16" s="83"/>
      <c r="AD16" s="83"/>
    </row>
    <row r="17">
      <c r="A17" s="65" t="s">
        <v>908</v>
      </c>
      <c r="B17" s="65" t="s">
        <v>2801</v>
      </c>
      <c r="C17" s="65">
        <v>2.0</v>
      </c>
      <c r="D17" s="65">
        <v>2.0</v>
      </c>
      <c r="E17" s="554"/>
      <c r="F17" s="134" t="s">
        <v>1462</v>
      </c>
      <c r="G17" s="65">
        <v>2.0</v>
      </c>
      <c r="H17" s="219"/>
      <c r="I17" s="240" t="s">
        <v>2572</v>
      </c>
      <c r="J17" s="83"/>
      <c r="K17" s="83"/>
      <c r="L17" s="83"/>
      <c r="M17" s="83"/>
      <c r="N17" s="240" t="s">
        <v>2572</v>
      </c>
      <c r="O17" s="240" t="s">
        <v>2572</v>
      </c>
      <c r="P17" s="83"/>
      <c r="Q17" s="261"/>
      <c r="R17" s="83"/>
      <c r="S17" s="83"/>
      <c r="T17" s="83"/>
      <c r="U17" s="83"/>
      <c r="V17" s="83"/>
      <c r="W17" s="83"/>
      <c r="X17" s="83"/>
      <c r="Y17" s="83"/>
      <c r="Z17" s="83"/>
      <c r="AA17" s="83"/>
      <c r="AB17" s="83"/>
      <c r="AC17" s="83"/>
      <c r="AD17" s="83"/>
    </row>
    <row r="18">
      <c r="A18" s="65" t="s">
        <v>908</v>
      </c>
      <c r="B18" s="65" t="s">
        <v>2803</v>
      </c>
      <c r="C18" s="65">
        <v>1.0</v>
      </c>
      <c r="D18" s="65">
        <v>2.0</v>
      </c>
      <c r="E18" s="554"/>
      <c r="F18" s="134" t="s">
        <v>2638</v>
      </c>
      <c r="G18" s="65">
        <v>2.0</v>
      </c>
      <c r="H18" s="219"/>
      <c r="I18" s="83"/>
      <c r="J18" s="83"/>
      <c r="K18" s="65" t="s">
        <v>2572</v>
      </c>
      <c r="L18" s="83"/>
      <c r="M18" s="83"/>
      <c r="N18" s="83"/>
      <c r="O18" s="65" t="s">
        <v>2572</v>
      </c>
      <c r="P18" s="240" t="s">
        <v>2572</v>
      </c>
      <c r="Q18" s="261"/>
      <c r="R18" s="83"/>
      <c r="S18" s="83"/>
      <c r="T18" s="83"/>
      <c r="U18" s="83"/>
      <c r="V18" s="83"/>
      <c r="W18" s="83"/>
      <c r="X18" s="83"/>
      <c r="Y18" s="83"/>
      <c r="Z18" s="83"/>
      <c r="AA18" s="83"/>
      <c r="AB18" s="83"/>
      <c r="AC18" s="83"/>
      <c r="AD18" s="83"/>
    </row>
    <row r="19">
      <c r="A19" s="65" t="s">
        <v>908</v>
      </c>
      <c r="B19" s="65" t="s">
        <v>2803</v>
      </c>
      <c r="C19" s="65">
        <v>2.0</v>
      </c>
      <c r="D19" s="65">
        <v>2.0</v>
      </c>
      <c r="E19" s="554"/>
      <c r="F19" s="134"/>
      <c r="G19" s="65">
        <v>3.0</v>
      </c>
      <c r="H19" s="219"/>
      <c r="I19" s="240" t="s">
        <v>2572</v>
      </c>
      <c r="J19" s="83"/>
      <c r="K19" s="65" t="s">
        <v>2572</v>
      </c>
      <c r="L19" s="83"/>
      <c r="M19" s="83"/>
      <c r="N19" s="83"/>
      <c r="O19" s="65" t="s">
        <v>2572</v>
      </c>
      <c r="P19" s="83"/>
      <c r="Q19" s="261"/>
      <c r="R19" s="83"/>
      <c r="S19" s="83"/>
      <c r="T19" s="83"/>
      <c r="U19" s="83"/>
      <c r="V19" s="83"/>
      <c r="W19" s="83"/>
      <c r="X19" s="83"/>
      <c r="Y19" s="83"/>
      <c r="Z19" s="83"/>
      <c r="AA19" s="83"/>
      <c r="AB19" s="83"/>
      <c r="AC19" s="83"/>
      <c r="AD19" s="83"/>
    </row>
    <row r="20">
      <c r="A20" s="65" t="s">
        <v>908</v>
      </c>
      <c r="B20" s="65" t="s">
        <v>2804</v>
      </c>
      <c r="C20" s="65">
        <v>1.0</v>
      </c>
      <c r="D20" s="65">
        <v>2.0</v>
      </c>
      <c r="E20" s="554"/>
      <c r="F20" s="134"/>
      <c r="G20" s="65">
        <v>3.0</v>
      </c>
      <c r="H20" s="219"/>
      <c r="I20" s="240" t="s">
        <v>2572</v>
      </c>
      <c r="J20" s="83"/>
      <c r="K20" s="83"/>
      <c r="L20" s="83"/>
      <c r="M20" s="83"/>
      <c r="N20" s="83"/>
      <c r="O20" s="83"/>
      <c r="P20" s="240" t="s">
        <v>2572</v>
      </c>
      <c r="Q20" s="261"/>
      <c r="R20" s="83"/>
      <c r="S20" s="83"/>
      <c r="T20" s="83"/>
      <c r="U20" s="83"/>
      <c r="V20" s="83"/>
      <c r="W20" s="83"/>
      <c r="X20" s="83"/>
      <c r="Y20" s="83"/>
      <c r="Z20" s="83"/>
      <c r="AA20" s="83"/>
      <c r="AB20" s="83"/>
      <c r="AC20" s="83"/>
      <c r="AD20" s="83"/>
    </row>
    <row r="21">
      <c r="A21" s="65" t="s">
        <v>908</v>
      </c>
      <c r="B21" s="65" t="s">
        <v>2804</v>
      </c>
      <c r="C21" s="65">
        <v>2.0</v>
      </c>
      <c r="D21" s="65">
        <v>2.0</v>
      </c>
      <c r="E21" s="554" t="s">
        <v>2709</v>
      </c>
      <c r="F21" s="134" t="s">
        <v>2638</v>
      </c>
      <c r="G21" s="65">
        <v>2.0</v>
      </c>
      <c r="H21" s="219"/>
      <c r="I21" s="240" t="s">
        <v>2572</v>
      </c>
      <c r="J21" s="83"/>
      <c r="K21" s="83"/>
      <c r="L21" s="83"/>
      <c r="M21" s="240" t="s">
        <v>2572</v>
      </c>
      <c r="N21" s="83"/>
      <c r="O21" s="240" t="s">
        <v>2572</v>
      </c>
      <c r="P21" s="83"/>
      <c r="Q21" s="261"/>
      <c r="R21" s="83"/>
      <c r="S21" s="83"/>
      <c r="T21" s="83"/>
      <c r="U21" s="83"/>
      <c r="V21" s="83"/>
      <c r="W21" s="83"/>
      <c r="X21" s="83"/>
      <c r="Y21" s="83"/>
      <c r="Z21" s="83"/>
      <c r="AA21" s="83"/>
      <c r="AB21" s="83"/>
      <c r="AC21" s="83"/>
      <c r="AD21" s="83"/>
    </row>
    <row r="22">
      <c r="A22" s="65" t="s">
        <v>908</v>
      </c>
      <c r="B22" s="65" t="s">
        <v>2805</v>
      </c>
      <c r="C22" s="65">
        <v>1.0</v>
      </c>
      <c r="D22" s="65">
        <v>2.0</v>
      </c>
      <c r="E22" s="554"/>
      <c r="F22" s="134" t="s">
        <v>1475</v>
      </c>
      <c r="G22" s="65">
        <v>1.0</v>
      </c>
      <c r="H22" s="558" t="s">
        <v>2572</v>
      </c>
      <c r="I22" s="83"/>
      <c r="J22" s="240" t="s">
        <v>2572</v>
      </c>
      <c r="K22" s="83"/>
      <c r="L22" s="240" t="s">
        <v>2572</v>
      </c>
      <c r="M22" s="240" t="s">
        <v>2572</v>
      </c>
      <c r="N22" s="83"/>
      <c r="O22" s="83"/>
      <c r="P22" s="83"/>
      <c r="Q22" s="261"/>
      <c r="R22" s="83"/>
      <c r="S22" s="83"/>
      <c r="T22" s="83"/>
      <c r="U22" s="83"/>
      <c r="V22" s="83"/>
      <c r="W22" s="83"/>
      <c r="X22" s="83"/>
      <c r="Y22" s="83"/>
      <c r="Z22" s="83"/>
      <c r="AA22" s="83"/>
      <c r="AB22" s="83"/>
      <c r="AC22" s="83"/>
      <c r="AD22" s="83"/>
    </row>
    <row r="23">
      <c r="A23" s="65" t="s">
        <v>908</v>
      </c>
      <c r="B23" s="65" t="s">
        <v>2805</v>
      </c>
      <c r="C23" s="65">
        <v>2.0</v>
      </c>
      <c r="D23" s="65">
        <v>2.0</v>
      </c>
      <c r="E23" s="554" t="s">
        <v>2709</v>
      </c>
      <c r="F23" s="134" t="s">
        <v>2638</v>
      </c>
      <c r="G23" s="65">
        <v>1.0</v>
      </c>
      <c r="H23" s="219"/>
      <c r="I23" s="240" t="s">
        <v>2572</v>
      </c>
      <c r="J23" s="83"/>
      <c r="K23" s="240" t="s">
        <v>2572</v>
      </c>
      <c r="L23" s="83"/>
      <c r="M23" s="240" t="s">
        <v>2572</v>
      </c>
      <c r="N23" s="83"/>
      <c r="O23" s="83"/>
      <c r="P23" s="83"/>
      <c r="Q23" s="556" t="s">
        <v>2572</v>
      </c>
      <c r="R23" s="83"/>
      <c r="S23" s="83"/>
      <c r="T23" s="83"/>
      <c r="U23" s="83"/>
      <c r="V23" s="83"/>
      <c r="W23" s="83"/>
      <c r="X23" s="83"/>
      <c r="Y23" s="83"/>
      <c r="Z23" s="83"/>
      <c r="AA23" s="83"/>
      <c r="AB23" s="83"/>
      <c r="AC23" s="83"/>
      <c r="AD23" s="83"/>
    </row>
    <row r="24">
      <c r="A24" s="65" t="s">
        <v>908</v>
      </c>
      <c r="B24" s="65" t="s">
        <v>2806</v>
      </c>
      <c r="C24" s="65">
        <v>1.0</v>
      </c>
      <c r="D24" s="65">
        <v>2.0</v>
      </c>
      <c r="E24" s="554" t="s">
        <v>2696</v>
      </c>
      <c r="F24" s="134"/>
      <c r="G24" s="65">
        <v>2.0</v>
      </c>
      <c r="H24" s="219"/>
      <c r="I24" s="240" t="s">
        <v>2572</v>
      </c>
      <c r="J24" s="83"/>
      <c r="K24" s="240" t="s">
        <v>2572</v>
      </c>
      <c r="L24" s="83"/>
      <c r="M24" s="83"/>
      <c r="N24" s="240" t="s">
        <v>2572</v>
      </c>
      <c r="O24" s="83"/>
      <c r="P24" s="83"/>
      <c r="Q24" s="261"/>
      <c r="R24" s="83"/>
      <c r="S24" s="83"/>
      <c r="T24" s="83"/>
      <c r="U24" s="83"/>
      <c r="V24" s="83"/>
      <c r="W24" s="83"/>
      <c r="X24" s="83"/>
      <c r="Y24" s="83"/>
      <c r="Z24" s="83"/>
      <c r="AA24" s="83"/>
      <c r="AB24" s="83"/>
      <c r="AC24" s="83"/>
      <c r="AD24" s="83"/>
    </row>
    <row r="25">
      <c r="A25" s="65" t="s">
        <v>908</v>
      </c>
      <c r="B25" s="65" t="s">
        <v>2806</v>
      </c>
      <c r="C25" s="65">
        <v>2.0</v>
      </c>
      <c r="D25" s="65">
        <v>2.0</v>
      </c>
      <c r="E25" s="554" t="s">
        <v>2696</v>
      </c>
      <c r="F25" s="134" t="s">
        <v>2799</v>
      </c>
      <c r="G25" s="65">
        <v>1.0</v>
      </c>
      <c r="H25" s="558" t="s">
        <v>2572</v>
      </c>
      <c r="I25" s="240" t="s">
        <v>2572</v>
      </c>
      <c r="J25" s="83"/>
      <c r="K25" s="240" t="s">
        <v>2572</v>
      </c>
      <c r="L25" s="83"/>
      <c r="M25" s="83"/>
      <c r="N25" s="240" t="s">
        <v>2572</v>
      </c>
      <c r="O25" s="83"/>
      <c r="P25" s="83"/>
      <c r="Q25" s="261"/>
      <c r="R25" s="83"/>
      <c r="S25" s="83"/>
      <c r="T25" s="83"/>
      <c r="U25" s="83"/>
      <c r="V25" s="83"/>
      <c r="W25" s="83"/>
      <c r="X25" s="83"/>
      <c r="Y25" s="83"/>
      <c r="Z25" s="83"/>
      <c r="AA25" s="83"/>
      <c r="AB25" s="83"/>
      <c r="AC25" s="83"/>
      <c r="AD25" s="83"/>
    </row>
    <row r="26">
      <c r="A26" s="65" t="s">
        <v>908</v>
      </c>
      <c r="B26" s="65" t="s">
        <v>2807</v>
      </c>
      <c r="C26" s="65">
        <v>1.0</v>
      </c>
      <c r="D26" s="65">
        <v>2.0</v>
      </c>
      <c r="E26" s="554" t="s">
        <v>2696</v>
      </c>
      <c r="F26" s="134" t="s">
        <v>1463</v>
      </c>
      <c r="G26" s="65">
        <v>2.0</v>
      </c>
      <c r="H26" s="219"/>
      <c r="I26" s="240" t="s">
        <v>2572</v>
      </c>
      <c r="J26" s="83"/>
      <c r="K26" s="83"/>
      <c r="L26" s="240" t="s">
        <v>2572</v>
      </c>
      <c r="M26" s="240" t="s">
        <v>2572</v>
      </c>
      <c r="N26" s="83"/>
      <c r="O26" s="83"/>
      <c r="P26" s="83"/>
      <c r="Q26" s="261"/>
      <c r="R26" s="83"/>
      <c r="S26" s="83"/>
      <c r="T26" s="83"/>
      <c r="U26" s="83"/>
      <c r="V26" s="83"/>
      <c r="W26" s="83"/>
      <c r="X26" s="83"/>
      <c r="Y26" s="83"/>
      <c r="Z26" s="83"/>
      <c r="AA26" s="83"/>
      <c r="AB26" s="83"/>
      <c r="AC26" s="83"/>
      <c r="AD26" s="83"/>
    </row>
    <row r="27">
      <c r="A27" s="65" t="s">
        <v>908</v>
      </c>
      <c r="B27" s="65" t="s">
        <v>2807</v>
      </c>
      <c r="C27" s="65">
        <v>2.0</v>
      </c>
      <c r="D27" s="65">
        <v>2.0</v>
      </c>
      <c r="E27" s="554" t="s">
        <v>2696</v>
      </c>
      <c r="F27" s="134" t="s">
        <v>1463</v>
      </c>
      <c r="G27" s="65">
        <v>2.0</v>
      </c>
      <c r="H27" s="219"/>
      <c r="I27" s="240" t="s">
        <v>2572</v>
      </c>
      <c r="J27" s="83"/>
      <c r="K27" s="83"/>
      <c r="L27" s="240" t="s">
        <v>2572</v>
      </c>
      <c r="M27" s="240" t="s">
        <v>2572</v>
      </c>
      <c r="N27" s="83"/>
      <c r="O27" s="83"/>
      <c r="P27" s="83"/>
      <c r="Q27" s="261"/>
      <c r="R27" s="83"/>
      <c r="S27" s="83"/>
      <c r="T27" s="83"/>
      <c r="U27" s="83"/>
      <c r="V27" s="83"/>
      <c r="W27" s="83"/>
      <c r="X27" s="83"/>
      <c r="Y27" s="83"/>
      <c r="Z27" s="83"/>
      <c r="AA27" s="83"/>
      <c r="AB27" s="83"/>
      <c r="AC27" s="83"/>
      <c r="AD27" s="83"/>
    </row>
    <row r="28">
      <c r="A28" s="65" t="s">
        <v>908</v>
      </c>
      <c r="B28" s="65" t="s">
        <v>2808</v>
      </c>
      <c r="C28" s="65">
        <v>1.0</v>
      </c>
      <c r="D28" s="65">
        <v>2.0</v>
      </c>
      <c r="E28" s="554"/>
      <c r="F28" s="134" t="s">
        <v>1462</v>
      </c>
      <c r="G28" s="65">
        <v>1.0</v>
      </c>
      <c r="H28" s="558" t="s">
        <v>2572</v>
      </c>
      <c r="I28" s="83"/>
      <c r="J28" s="83"/>
      <c r="K28" s="83"/>
      <c r="L28" s="83"/>
      <c r="M28" s="83"/>
      <c r="N28" s="83"/>
      <c r="O28" s="240" t="s">
        <v>2572</v>
      </c>
      <c r="P28" s="83"/>
      <c r="Q28" s="556" t="s">
        <v>2572</v>
      </c>
      <c r="R28" s="83"/>
      <c r="S28" s="83"/>
      <c r="T28" s="83"/>
      <c r="U28" s="83"/>
      <c r="V28" s="83"/>
      <c r="W28" s="83"/>
      <c r="X28" s="83"/>
      <c r="Y28" s="83"/>
      <c r="Z28" s="83"/>
      <c r="AA28" s="83"/>
      <c r="AB28" s="83"/>
      <c r="AC28" s="83"/>
      <c r="AD28" s="83"/>
    </row>
    <row r="29">
      <c r="A29" s="65" t="s">
        <v>908</v>
      </c>
      <c r="B29" s="65" t="s">
        <v>2808</v>
      </c>
      <c r="C29" s="65">
        <v>2.0</v>
      </c>
      <c r="D29" s="65">
        <v>2.0</v>
      </c>
      <c r="E29" s="554" t="s">
        <v>2691</v>
      </c>
      <c r="F29" s="134" t="s">
        <v>1463</v>
      </c>
      <c r="G29" s="65">
        <v>0.0</v>
      </c>
      <c r="H29" s="219"/>
      <c r="I29" s="83"/>
      <c r="J29" s="83"/>
      <c r="K29" s="83"/>
      <c r="L29" s="83"/>
      <c r="M29" s="83"/>
      <c r="N29" s="83"/>
      <c r="O29" s="83"/>
      <c r="P29" s="83"/>
      <c r="Q29" s="261"/>
      <c r="R29" s="83"/>
      <c r="S29" s="83"/>
      <c r="T29" s="83"/>
      <c r="U29" s="83"/>
      <c r="V29" s="83"/>
      <c r="W29" s="83"/>
      <c r="X29" s="83"/>
      <c r="Y29" s="83"/>
      <c r="Z29" s="83"/>
      <c r="AA29" s="83"/>
      <c r="AB29" s="83"/>
      <c r="AC29" s="83"/>
      <c r="AD29" s="83"/>
    </row>
    <row r="30">
      <c r="A30" s="65" t="s">
        <v>908</v>
      </c>
      <c r="B30" s="65" t="s">
        <v>2809</v>
      </c>
      <c r="C30" s="65">
        <v>1.0</v>
      </c>
      <c r="D30" s="65">
        <v>2.0</v>
      </c>
      <c r="E30" s="554"/>
      <c r="F30" s="134" t="s">
        <v>1444</v>
      </c>
      <c r="G30" s="65">
        <v>1.0</v>
      </c>
      <c r="H30" s="219"/>
      <c r="I30" s="240" t="s">
        <v>2572</v>
      </c>
      <c r="J30" s="83"/>
      <c r="K30" s="83"/>
      <c r="L30" s="83"/>
      <c r="M30" s="240" t="s">
        <v>2572</v>
      </c>
      <c r="N30" s="83"/>
      <c r="O30" s="240" t="s">
        <v>2572</v>
      </c>
      <c r="P30" s="83"/>
      <c r="Q30" s="261"/>
      <c r="R30" s="83"/>
      <c r="S30" s="83"/>
      <c r="T30" s="83"/>
      <c r="U30" s="83"/>
      <c r="V30" s="83"/>
      <c r="W30" s="83"/>
      <c r="X30" s="83"/>
      <c r="Y30" s="83"/>
      <c r="Z30" s="83"/>
      <c r="AA30" s="83"/>
      <c r="AB30" s="83"/>
      <c r="AC30" s="83"/>
      <c r="AD30" s="83"/>
    </row>
    <row r="31">
      <c r="A31" s="65" t="s">
        <v>908</v>
      </c>
      <c r="B31" s="65" t="s">
        <v>2809</v>
      </c>
      <c r="C31" s="65">
        <v>2.0</v>
      </c>
      <c r="D31" s="65">
        <v>2.0</v>
      </c>
      <c r="E31" s="554" t="s">
        <v>2691</v>
      </c>
      <c r="F31" s="134" t="s">
        <v>1475</v>
      </c>
      <c r="G31" s="65">
        <v>1.0</v>
      </c>
      <c r="H31" s="219"/>
      <c r="I31" s="83"/>
      <c r="J31" s="83"/>
      <c r="K31" s="83"/>
      <c r="L31" s="240" t="s">
        <v>2572</v>
      </c>
      <c r="M31" s="83"/>
      <c r="N31" s="83"/>
      <c r="O31" s="240" t="s">
        <v>2572</v>
      </c>
      <c r="P31" s="83"/>
      <c r="Q31" s="261"/>
      <c r="R31" s="83"/>
      <c r="S31" s="83"/>
      <c r="T31" s="83"/>
      <c r="U31" s="83"/>
      <c r="V31" s="83"/>
      <c r="W31" s="83"/>
      <c r="X31" s="83"/>
      <c r="Y31" s="83"/>
      <c r="Z31" s="83"/>
      <c r="AA31" s="83"/>
      <c r="AB31" s="83"/>
      <c r="AC31" s="83"/>
      <c r="AD31" s="83"/>
    </row>
    <row r="32">
      <c r="A32" s="65" t="s">
        <v>908</v>
      </c>
      <c r="B32" s="65" t="s">
        <v>2810</v>
      </c>
      <c r="C32" s="65">
        <v>1.0</v>
      </c>
      <c r="D32" s="65">
        <v>2.0</v>
      </c>
      <c r="E32" s="554"/>
      <c r="F32" s="134" t="s">
        <v>1461</v>
      </c>
      <c r="G32" s="65">
        <v>2.0</v>
      </c>
      <c r="H32" s="219"/>
      <c r="I32" s="83"/>
      <c r="J32" s="83"/>
      <c r="K32" s="83"/>
      <c r="L32" s="83"/>
      <c r="M32" s="240" t="s">
        <v>2572</v>
      </c>
      <c r="N32" s="240" t="s">
        <v>2572</v>
      </c>
      <c r="O32" s="83"/>
      <c r="P32" s="83"/>
      <c r="Q32" s="261"/>
      <c r="R32" s="83"/>
      <c r="S32" s="83"/>
      <c r="T32" s="83"/>
      <c r="U32" s="83"/>
      <c r="V32" s="83"/>
      <c r="W32" s="83"/>
      <c r="X32" s="83"/>
      <c r="Y32" s="83"/>
      <c r="Z32" s="83"/>
      <c r="AA32" s="83"/>
      <c r="AB32" s="83"/>
      <c r="AC32" s="83"/>
      <c r="AD32" s="83"/>
    </row>
    <row r="33">
      <c r="A33" s="65" t="s">
        <v>908</v>
      </c>
      <c r="B33" s="65" t="s">
        <v>2810</v>
      </c>
      <c r="C33" s="65">
        <v>2.0</v>
      </c>
      <c r="D33" s="65">
        <v>2.0</v>
      </c>
      <c r="E33" s="554" t="s">
        <v>2674</v>
      </c>
      <c r="F33" s="134"/>
      <c r="G33" s="65">
        <v>3.0</v>
      </c>
      <c r="H33" s="219"/>
      <c r="I33" s="83"/>
      <c r="J33" s="83"/>
      <c r="K33" s="83"/>
      <c r="L33" s="83"/>
      <c r="M33" s="83"/>
      <c r="N33" s="240" t="s">
        <v>2572</v>
      </c>
      <c r="O33" s="240" t="s">
        <v>2572</v>
      </c>
      <c r="P33" s="83"/>
      <c r="Q33" s="556" t="s">
        <v>2572</v>
      </c>
      <c r="R33" s="83"/>
      <c r="S33" s="83"/>
      <c r="T33" s="83"/>
      <c r="U33" s="83"/>
      <c r="V33" s="83"/>
      <c r="W33" s="83"/>
      <c r="X33" s="83"/>
      <c r="Y33" s="83"/>
      <c r="Z33" s="83"/>
      <c r="AA33" s="83"/>
      <c r="AB33" s="83"/>
      <c r="AC33" s="83"/>
      <c r="AD33" s="83"/>
    </row>
    <row r="34">
      <c r="A34" s="65" t="s">
        <v>908</v>
      </c>
      <c r="B34" s="65" t="s">
        <v>1416</v>
      </c>
      <c r="C34" s="65">
        <v>1.0</v>
      </c>
      <c r="D34" s="65">
        <v>2.0</v>
      </c>
      <c r="E34" s="554"/>
      <c r="F34" s="134"/>
      <c r="G34" s="65">
        <v>4.0</v>
      </c>
      <c r="H34" s="219"/>
      <c r="I34" s="240" t="s">
        <v>2572</v>
      </c>
      <c r="J34" s="83"/>
      <c r="K34" s="83"/>
      <c r="L34" s="240" t="s">
        <v>2572</v>
      </c>
      <c r="M34" s="83"/>
      <c r="N34" s="83"/>
      <c r="O34" s="240" t="s">
        <v>2572</v>
      </c>
      <c r="P34" s="83"/>
      <c r="Q34" s="261"/>
      <c r="R34" s="83"/>
      <c r="S34" s="83"/>
      <c r="T34" s="83"/>
      <c r="U34" s="83"/>
      <c r="V34" s="83"/>
      <c r="W34" s="83"/>
      <c r="X34" s="83"/>
      <c r="Y34" s="83"/>
      <c r="Z34" s="83"/>
      <c r="AA34" s="83"/>
      <c r="AB34" s="83"/>
      <c r="AC34" s="83"/>
      <c r="AD34" s="83"/>
    </row>
    <row r="35">
      <c r="A35" s="65" t="s">
        <v>908</v>
      </c>
      <c r="B35" s="65" t="s">
        <v>1416</v>
      </c>
      <c r="C35" s="65">
        <v>2.0</v>
      </c>
      <c r="D35" s="65">
        <v>2.0</v>
      </c>
      <c r="E35" s="554" t="s">
        <v>2674</v>
      </c>
      <c r="F35" s="134" t="s">
        <v>2638</v>
      </c>
      <c r="G35" s="65">
        <v>1.0</v>
      </c>
      <c r="H35" s="219"/>
      <c r="I35" s="240" t="s">
        <v>2572</v>
      </c>
      <c r="J35" s="83"/>
      <c r="K35" s="83"/>
      <c r="L35" s="240" t="s">
        <v>2572</v>
      </c>
      <c r="M35" s="83"/>
      <c r="N35" s="83"/>
      <c r="O35" s="83"/>
      <c r="P35" s="83"/>
      <c r="Q35" s="261"/>
      <c r="R35" s="83"/>
      <c r="S35" s="83"/>
      <c r="T35" s="83"/>
      <c r="U35" s="83"/>
      <c r="V35" s="83"/>
      <c r="W35" s="83"/>
      <c r="X35" s="83"/>
      <c r="Y35" s="83"/>
      <c r="Z35" s="83"/>
      <c r="AA35" s="83"/>
      <c r="AB35" s="83"/>
      <c r="AC35" s="83"/>
      <c r="AD35" s="83"/>
    </row>
    <row r="36">
      <c r="A36" s="65" t="s">
        <v>908</v>
      </c>
      <c r="B36" s="65" t="s">
        <v>2811</v>
      </c>
      <c r="C36" s="65">
        <v>1.0</v>
      </c>
      <c r="D36" s="65">
        <v>2.0</v>
      </c>
      <c r="E36" s="554" t="s">
        <v>2812</v>
      </c>
      <c r="F36" s="134"/>
      <c r="G36" s="65">
        <v>1.0</v>
      </c>
      <c r="H36" s="558" t="s">
        <v>2572</v>
      </c>
      <c r="I36" s="240" t="s">
        <v>2572</v>
      </c>
      <c r="J36" s="240" t="s">
        <v>2572</v>
      </c>
      <c r="K36" s="240" t="s">
        <v>2572</v>
      </c>
      <c r="L36" s="240" t="s">
        <v>2572</v>
      </c>
      <c r="M36" s="240" t="s">
        <v>2572</v>
      </c>
      <c r="N36" s="240" t="s">
        <v>2572</v>
      </c>
      <c r="O36" s="240" t="s">
        <v>2572</v>
      </c>
      <c r="P36" s="240" t="s">
        <v>2572</v>
      </c>
      <c r="Q36" s="556" t="s">
        <v>2572</v>
      </c>
      <c r="R36" s="83"/>
      <c r="S36" s="83"/>
      <c r="T36" s="83"/>
      <c r="U36" s="83"/>
      <c r="V36" s="83"/>
      <c r="W36" s="83"/>
      <c r="X36" s="83"/>
      <c r="Y36" s="83"/>
      <c r="Z36" s="83"/>
      <c r="AA36" s="83"/>
      <c r="AB36" s="83"/>
      <c r="AC36" s="83"/>
      <c r="AD36" s="83"/>
    </row>
    <row r="37">
      <c r="A37" s="65" t="s">
        <v>908</v>
      </c>
      <c r="B37" s="65" t="s">
        <v>2811</v>
      </c>
      <c r="C37" s="65">
        <v>2.0</v>
      </c>
      <c r="D37" s="65">
        <v>2.0</v>
      </c>
      <c r="E37" s="554" t="s">
        <v>2668</v>
      </c>
      <c r="F37" s="134" t="s">
        <v>2638</v>
      </c>
      <c r="G37" s="65">
        <v>0.0</v>
      </c>
      <c r="H37" s="219"/>
      <c r="I37" s="83"/>
      <c r="J37" s="83"/>
      <c r="K37" s="83"/>
      <c r="L37" s="83"/>
      <c r="M37" s="83"/>
      <c r="N37" s="83"/>
      <c r="O37" s="83"/>
      <c r="P37" s="83"/>
      <c r="Q37" s="261"/>
      <c r="R37" s="83"/>
      <c r="S37" s="83"/>
      <c r="T37" s="83"/>
      <c r="U37" s="83"/>
      <c r="V37" s="83"/>
      <c r="W37" s="83"/>
      <c r="X37" s="83"/>
      <c r="Y37" s="83"/>
      <c r="Z37" s="83"/>
      <c r="AA37" s="83"/>
      <c r="AB37" s="83"/>
      <c r="AC37" s="83"/>
      <c r="AD37" s="83"/>
    </row>
    <row r="38">
      <c r="A38" s="65" t="s">
        <v>908</v>
      </c>
      <c r="B38" s="65" t="s">
        <v>2813</v>
      </c>
      <c r="C38" s="65">
        <v>1.0</v>
      </c>
      <c r="D38" s="65">
        <v>2.0</v>
      </c>
      <c r="E38" s="554" t="s">
        <v>2812</v>
      </c>
      <c r="F38" s="134"/>
      <c r="G38" s="65">
        <v>2.0</v>
      </c>
      <c r="H38" s="558" t="s">
        <v>2572</v>
      </c>
      <c r="I38" s="240" t="s">
        <v>2572</v>
      </c>
      <c r="J38" s="240" t="s">
        <v>2572</v>
      </c>
      <c r="K38" s="240" t="s">
        <v>2572</v>
      </c>
      <c r="L38" s="240" t="s">
        <v>2572</v>
      </c>
      <c r="M38" s="240" t="s">
        <v>2572</v>
      </c>
      <c r="N38" s="240" t="s">
        <v>2572</v>
      </c>
      <c r="O38" s="240" t="s">
        <v>2572</v>
      </c>
      <c r="P38" s="240" t="s">
        <v>2572</v>
      </c>
      <c r="Q38" s="556" t="s">
        <v>2572</v>
      </c>
      <c r="R38" s="83"/>
      <c r="S38" s="83"/>
      <c r="T38" s="83"/>
      <c r="U38" s="83"/>
      <c r="V38" s="83"/>
      <c r="W38" s="83"/>
      <c r="X38" s="83"/>
      <c r="Y38" s="83"/>
      <c r="Z38" s="83"/>
      <c r="AA38" s="83"/>
      <c r="AB38" s="83"/>
      <c r="AC38" s="83"/>
      <c r="AD38" s="83"/>
    </row>
    <row r="39">
      <c r="A39" s="66" t="s">
        <v>908</v>
      </c>
      <c r="B39" s="66" t="s">
        <v>2813</v>
      </c>
      <c r="C39" s="66">
        <v>2.0</v>
      </c>
      <c r="D39" s="66">
        <v>2.0</v>
      </c>
      <c r="E39" s="559" t="s">
        <v>2814</v>
      </c>
      <c r="F39" s="287" t="s">
        <v>1475</v>
      </c>
      <c r="G39" s="65">
        <v>1.0</v>
      </c>
      <c r="H39" s="560" t="s">
        <v>2572</v>
      </c>
      <c r="I39" s="561" t="s">
        <v>2572</v>
      </c>
      <c r="J39" s="561" t="s">
        <v>2572</v>
      </c>
      <c r="K39" s="561" t="s">
        <v>2572</v>
      </c>
      <c r="L39" s="561" t="s">
        <v>2572</v>
      </c>
      <c r="M39" s="561" t="s">
        <v>2572</v>
      </c>
      <c r="N39" s="561" t="s">
        <v>2572</v>
      </c>
      <c r="O39" s="561" t="s">
        <v>2572</v>
      </c>
      <c r="P39" s="561" t="s">
        <v>2572</v>
      </c>
      <c r="Q39" s="562" t="s">
        <v>2572</v>
      </c>
      <c r="R39" s="83"/>
      <c r="S39" s="83"/>
      <c r="T39" s="83"/>
      <c r="U39" s="83"/>
      <c r="V39" s="83"/>
      <c r="W39" s="83"/>
      <c r="X39" s="83"/>
      <c r="Y39" s="83"/>
      <c r="Z39" s="83"/>
      <c r="AA39" s="83"/>
      <c r="AB39" s="83"/>
      <c r="AC39" s="83"/>
      <c r="AD39" s="83"/>
    </row>
    <row r="40">
      <c r="A40" s="83"/>
      <c r="B40" s="83"/>
      <c r="C40" s="83"/>
      <c r="D40" s="83"/>
      <c r="E40" s="118"/>
      <c r="F40" s="134"/>
      <c r="G40" s="83"/>
      <c r="H40" s="83"/>
      <c r="I40" s="83"/>
      <c r="J40" s="83"/>
      <c r="K40" s="83"/>
      <c r="L40" s="83"/>
      <c r="M40" s="83"/>
      <c r="N40" s="83"/>
      <c r="O40" s="83"/>
      <c r="P40" s="83"/>
      <c r="Q40" s="83"/>
      <c r="R40" s="83"/>
      <c r="S40" s="83"/>
      <c r="T40" s="83"/>
      <c r="U40" s="83"/>
      <c r="V40" s="83"/>
      <c r="W40" s="83"/>
      <c r="X40" s="83"/>
      <c r="Y40" s="83"/>
      <c r="Z40" s="83"/>
      <c r="AA40" s="83"/>
      <c r="AB40" s="83"/>
      <c r="AC40" s="83"/>
      <c r="AD40" s="83"/>
    </row>
    <row r="41">
      <c r="A41" s="83"/>
      <c r="B41" s="83"/>
      <c r="C41" s="83"/>
      <c r="D41" s="83"/>
      <c r="E41" s="118"/>
      <c r="F41" s="134"/>
      <c r="G41" s="83"/>
      <c r="H41" s="83"/>
      <c r="I41" s="83"/>
      <c r="J41" s="83"/>
      <c r="K41" s="83"/>
      <c r="L41" s="83"/>
      <c r="M41" s="83"/>
      <c r="N41" s="83"/>
      <c r="O41" s="83"/>
      <c r="P41" s="83"/>
      <c r="Q41" s="83"/>
      <c r="R41" s="83"/>
      <c r="S41" s="83"/>
      <c r="T41" s="83"/>
      <c r="U41" s="83"/>
      <c r="V41" s="83"/>
      <c r="W41" s="83"/>
      <c r="X41" s="83"/>
      <c r="Y41" s="83"/>
      <c r="Z41" s="83"/>
      <c r="AA41" s="83"/>
      <c r="AB41" s="83"/>
      <c r="AC41" s="83"/>
      <c r="AD41" s="83"/>
    </row>
    <row r="42">
      <c r="A42" s="83"/>
      <c r="B42" s="83"/>
      <c r="C42" s="83"/>
      <c r="D42" s="83"/>
      <c r="E42" s="118"/>
      <c r="F42" s="134"/>
      <c r="G42" s="83"/>
      <c r="H42" s="83"/>
      <c r="I42" s="83"/>
      <c r="J42" s="83"/>
      <c r="K42" s="83"/>
      <c r="L42" s="83"/>
      <c r="M42" s="83"/>
      <c r="N42" s="83"/>
      <c r="O42" s="83"/>
      <c r="P42" s="83"/>
      <c r="Q42" s="83"/>
      <c r="R42" s="83"/>
      <c r="S42" s="83"/>
      <c r="T42" s="83"/>
      <c r="U42" s="83"/>
      <c r="V42" s="83"/>
      <c r="W42" s="83"/>
      <c r="X42" s="83"/>
      <c r="Y42" s="83"/>
      <c r="Z42" s="83"/>
      <c r="AA42" s="83"/>
      <c r="AB42" s="83"/>
      <c r="AC42" s="83"/>
      <c r="AD42" s="83"/>
    </row>
    <row r="43">
      <c r="A43" s="83"/>
      <c r="B43" s="83"/>
      <c r="C43" s="83"/>
      <c r="D43" s="83"/>
      <c r="E43" s="118"/>
      <c r="F43" s="134"/>
      <c r="G43" s="83"/>
      <c r="H43" s="83"/>
      <c r="I43" s="83"/>
      <c r="J43" s="83"/>
      <c r="K43" s="83"/>
      <c r="L43" s="83"/>
      <c r="M43" s="83"/>
      <c r="N43" s="83"/>
      <c r="O43" s="83"/>
      <c r="P43" s="83"/>
      <c r="Q43" s="83"/>
      <c r="R43" s="83"/>
      <c r="S43" s="83"/>
      <c r="T43" s="83"/>
      <c r="U43" s="83"/>
      <c r="V43" s="83"/>
      <c r="W43" s="83"/>
      <c r="X43" s="83"/>
      <c r="Y43" s="83"/>
      <c r="Z43" s="83"/>
      <c r="AA43" s="83"/>
      <c r="AB43" s="83"/>
      <c r="AC43" s="83"/>
      <c r="AD43" s="83"/>
    </row>
    <row r="44">
      <c r="A44" s="83"/>
      <c r="B44" s="83"/>
      <c r="C44" s="83"/>
      <c r="D44" s="83"/>
      <c r="E44" s="118"/>
      <c r="F44" s="134"/>
      <c r="G44" s="83"/>
      <c r="H44" s="83"/>
      <c r="I44" s="83"/>
      <c r="J44" s="83"/>
      <c r="K44" s="83"/>
      <c r="L44" s="83"/>
      <c r="M44" s="83"/>
      <c r="N44" s="83"/>
      <c r="O44" s="83"/>
      <c r="P44" s="83"/>
      <c r="Q44" s="83"/>
      <c r="R44" s="83"/>
      <c r="S44" s="83"/>
      <c r="T44" s="83"/>
      <c r="U44" s="83"/>
      <c r="V44" s="83"/>
      <c r="W44" s="83"/>
      <c r="X44" s="83"/>
      <c r="Y44" s="83"/>
      <c r="Z44" s="83"/>
      <c r="AA44" s="83"/>
      <c r="AB44" s="83"/>
      <c r="AC44" s="83"/>
      <c r="AD44" s="83"/>
    </row>
    <row r="45">
      <c r="A45" s="83"/>
      <c r="B45" s="83"/>
      <c r="C45" s="83"/>
      <c r="D45" s="83"/>
      <c r="E45" s="118"/>
      <c r="F45" s="134"/>
      <c r="G45" s="83"/>
      <c r="H45" s="83"/>
      <c r="I45" s="83"/>
      <c r="J45" s="83"/>
      <c r="K45" s="83"/>
      <c r="L45" s="83"/>
      <c r="M45" s="83"/>
      <c r="N45" s="83"/>
      <c r="O45" s="83"/>
      <c r="P45" s="83"/>
      <c r="Q45" s="83"/>
      <c r="R45" s="83"/>
      <c r="S45" s="83"/>
      <c r="T45" s="83"/>
      <c r="U45" s="83"/>
      <c r="V45" s="83"/>
      <c r="W45" s="83"/>
      <c r="X45" s="83"/>
      <c r="Y45" s="83"/>
      <c r="Z45" s="83"/>
      <c r="AA45" s="83"/>
      <c r="AB45" s="83"/>
      <c r="AC45" s="83"/>
      <c r="AD45" s="83"/>
    </row>
    <row r="46">
      <c r="A46" s="83"/>
      <c r="B46" s="83"/>
      <c r="C46" s="83"/>
      <c r="D46" s="83"/>
      <c r="E46" s="118"/>
      <c r="F46" s="134"/>
      <c r="G46" s="83"/>
      <c r="H46" s="83"/>
      <c r="I46" s="83"/>
      <c r="J46" s="83"/>
      <c r="K46" s="83"/>
      <c r="L46" s="83"/>
      <c r="M46" s="83"/>
      <c r="N46" s="83"/>
      <c r="O46" s="83"/>
      <c r="P46" s="83"/>
      <c r="Q46" s="83"/>
      <c r="R46" s="83"/>
      <c r="S46" s="83"/>
      <c r="T46" s="83"/>
      <c r="U46" s="83"/>
      <c r="V46" s="83"/>
      <c r="W46" s="83"/>
      <c r="X46" s="83"/>
      <c r="Y46" s="83"/>
      <c r="Z46" s="83"/>
      <c r="AA46" s="83"/>
      <c r="AB46" s="83"/>
      <c r="AC46" s="83"/>
      <c r="AD46" s="83"/>
    </row>
    <row r="47">
      <c r="A47" s="83"/>
      <c r="B47" s="83"/>
      <c r="C47" s="83"/>
      <c r="D47" s="83"/>
      <c r="E47" s="118"/>
      <c r="F47" s="118"/>
      <c r="G47" s="83"/>
      <c r="H47" s="83"/>
      <c r="I47" s="83"/>
      <c r="J47" s="83"/>
      <c r="K47" s="83"/>
      <c r="L47" s="83"/>
      <c r="M47" s="83"/>
      <c r="N47" s="83"/>
      <c r="O47" s="83"/>
      <c r="P47" s="83"/>
      <c r="Q47" s="83"/>
      <c r="R47" s="83"/>
      <c r="S47" s="83"/>
      <c r="T47" s="83"/>
      <c r="U47" s="83"/>
      <c r="V47" s="83"/>
      <c r="W47" s="83"/>
      <c r="X47" s="83"/>
      <c r="Y47" s="83"/>
      <c r="Z47" s="83"/>
      <c r="AA47" s="83"/>
      <c r="AB47" s="83"/>
      <c r="AC47" s="83"/>
      <c r="AD47" s="83"/>
    </row>
    <row r="48">
      <c r="A48" s="83"/>
      <c r="B48" s="83"/>
      <c r="C48" s="83"/>
      <c r="D48" s="83"/>
      <c r="E48" s="118"/>
      <c r="F48" s="118"/>
      <c r="G48" s="83"/>
      <c r="H48" s="83"/>
      <c r="I48" s="83"/>
      <c r="J48" s="83"/>
      <c r="K48" s="83"/>
      <c r="L48" s="83"/>
      <c r="M48" s="83"/>
      <c r="N48" s="83"/>
      <c r="O48" s="83"/>
      <c r="P48" s="83"/>
      <c r="Q48" s="83"/>
      <c r="R48" s="83"/>
      <c r="S48" s="83"/>
      <c r="T48" s="83"/>
      <c r="U48" s="83"/>
      <c r="V48" s="83"/>
      <c r="W48" s="83"/>
      <c r="X48" s="83"/>
      <c r="Y48" s="83"/>
      <c r="Z48" s="83"/>
      <c r="AA48" s="83"/>
      <c r="AB48" s="83"/>
      <c r="AC48" s="83"/>
      <c r="AD48" s="83"/>
    </row>
    <row r="49">
      <c r="A49" s="83"/>
      <c r="B49" s="83"/>
      <c r="C49" s="83"/>
      <c r="D49" s="83"/>
      <c r="E49" s="118"/>
      <c r="F49" s="118"/>
      <c r="G49" s="83"/>
      <c r="H49" s="83"/>
      <c r="I49" s="83"/>
      <c r="J49" s="83"/>
      <c r="K49" s="83"/>
      <c r="L49" s="83"/>
      <c r="M49" s="83"/>
      <c r="N49" s="83"/>
      <c r="O49" s="83"/>
      <c r="P49" s="83"/>
      <c r="Q49" s="83"/>
      <c r="R49" s="83"/>
      <c r="S49" s="83"/>
      <c r="T49" s="83"/>
      <c r="U49" s="83"/>
      <c r="V49" s="83"/>
      <c r="W49" s="83"/>
      <c r="X49" s="83"/>
      <c r="Y49" s="83"/>
      <c r="Z49" s="83"/>
      <c r="AA49" s="83"/>
      <c r="AB49" s="83"/>
      <c r="AC49" s="83"/>
      <c r="AD49" s="83"/>
    </row>
    <row r="50">
      <c r="A50" s="83"/>
      <c r="B50" s="83"/>
      <c r="C50" s="83"/>
      <c r="D50" s="83"/>
      <c r="E50" s="118"/>
      <c r="F50" s="118"/>
      <c r="G50" s="83"/>
      <c r="H50" s="83"/>
      <c r="I50" s="83"/>
      <c r="J50" s="83"/>
      <c r="K50" s="83"/>
      <c r="L50" s="83"/>
      <c r="M50" s="83"/>
      <c r="N50" s="83"/>
      <c r="O50" s="83"/>
      <c r="P50" s="83"/>
      <c r="Q50" s="83"/>
      <c r="R50" s="83"/>
      <c r="S50" s="83"/>
      <c r="T50" s="83"/>
      <c r="U50" s="83"/>
      <c r="V50" s="83"/>
      <c r="W50" s="83"/>
      <c r="X50" s="83"/>
      <c r="Y50" s="83"/>
      <c r="Z50" s="83"/>
      <c r="AA50" s="83"/>
      <c r="AB50" s="83"/>
      <c r="AC50" s="83"/>
      <c r="AD50" s="83"/>
    </row>
    <row r="51">
      <c r="A51" s="83"/>
      <c r="B51" s="83"/>
      <c r="C51" s="83"/>
      <c r="D51" s="83"/>
      <c r="E51" s="118"/>
      <c r="F51" s="118"/>
      <c r="G51" s="83"/>
      <c r="H51" s="83"/>
      <c r="I51" s="83"/>
      <c r="J51" s="83"/>
      <c r="K51" s="83"/>
      <c r="L51" s="83"/>
      <c r="M51" s="83"/>
      <c r="N51" s="83"/>
      <c r="O51" s="83"/>
      <c r="P51" s="83"/>
      <c r="Q51" s="83"/>
      <c r="R51" s="83"/>
      <c r="S51" s="83"/>
      <c r="T51" s="83"/>
      <c r="U51" s="83"/>
      <c r="V51" s="83"/>
      <c r="W51" s="83"/>
      <c r="X51" s="83"/>
      <c r="Y51" s="83"/>
      <c r="Z51" s="83"/>
      <c r="AA51" s="83"/>
      <c r="AB51" s="83"/>
      <c r="AC51" s="83"/>
      <c r="AD51" s="83"/>
    </row>
    <row r="52">
      <c r="A52" s="83"/>
      <c r="B52" s="83"/>
      <c r="C52" s="83"/>
      <c r="D52" s="83"/>
      <c r="E52" s="118"/>
      <c r="F52" s="118"/>
      <c r="G52" s="83"/>
      <c r="H52" s="83"/>
      <c r="I52" s="83"/>
      <c r="J52" s="83"/>
      <c r="K52" s="83"/>
      <c r="L52" s="83"/>
      <c r="M52" s="83"/>
      <c r="N52" s="83"/>
      <c r="O52" s="83"/>
      <c r="P52" s="83"/>
      <c r="Q52" s="83"/>
      <c r="R52" s="83"/>
      <c r="S52" s="83"/>
      <c r="T52" s="83"/>
      <c r="U52" s="83"/>
      <c r="V52" s="83"/>
      <c r="W52" s="83"/>
      <c r="X52" s="83"/>
      <c r="Y52" s="83"/>
      <c r="Z52" s="83"/>
      <c r="AA52" s="83"/>
      <c r="AB52" s="83"/>
      <c r="AC52" s="83"/>
      <c r="AD52" s="83"/>
    </row>
    <row r="53">
      <c r="A53" s="83"/>
      <c r="B53" s="83"/>
      <c r="C53" s="83"/>
      <c r="D53" s="83"/>
      <c r="E53" s="118"/>
      <c r="F53" s="118"/>
      <c r="G53" s="83"/>
      <c r="H53" s="83"/>
      <c r="I53" s="83"/>
      <c r="J53" s="83"/>
      <c r="K53" s="83"/>
      <c r="L53" s="83"/>
      <c r="M53" s="83"/>
      <c r="N53" s="83"/>
      <c r="O53" s="83"/>
      <c r="P53" s="83"/>
      <c r="Q53" s="83"/>
      <c r="R53" s="83"/>
      <c r="S53" s="83"/>
      <c r="T53" s="83"/>
      <c r="U53" s="83"/>
      <c r="V53" s="83"/>
      <c r="W53" s="83"/>
      <c r="X53" s="83"/>
      <c r="Y53" s="83"/>
      <c r="Z53" s="83"/>
      <c r="AA53" s="83"/>
      <c r="AB53" s="83"/>
      <c r="AC53" s="83"/>
      <c r="AD53" s="83"/>
    </row>
    <row r="54">
      <c r="A54" s="83"/>
      <c r="B54" s="83"/>
      <c r="C54" s="83"/>
      <c r="D54" s="83"/>
      <c r="E54" s="118"/>
      <c r="F54" s="118"/>
      <c r="G54" s="83"/>
      <c r="H54" s="83"/>
      <c r="I54" s="83"/>
      <c r="J54" s="83"/>
      <c r="K54" s="83"/>
      <c r="L54" s="83"/>
      <c r="M54" s="83"/>
      <c r="N54" s="83"/>
      <c r="O54" s="83"/>
      <c r="P54" s="83"/>
      <c r="Q54" s="83"/>
      <c r="R54" s="83"/>
      <c r="S54" s="83"/>
      <c r="T54" s="83"/>
      <c r="U54" s="83"/>
      <c r="V54" s="83"/>
      <c r="W54" s="83"/>
      <c r="X54" s="83"/>
      <c r="Y54" s="83"/>
      <c r="Z54" s="83"/>
      <c r="AA54" s="83"/>
      <c r="AB54" s="83"/>
      <c r="AC54" s="83"/>
      <c r="AD54" s="83"/>
    </row>
    <row r="55">
      <c r="A55" s="83"/>
      <c r="B55" s="83"/>
      <c r="C55" s="83"/>
      <c r="D55" s="83"/>
      <c r="E55" s="118"/>
      <c r="F55" s="118"/>
      <c r="G55" s="83"/>
      <c r="H55" s="83"/>
      <c r="I55" s="83"/>
      <c r="J55" s="83"/>
      <c r="K55" s="83"/>
      <c r="L55" s="83"/>
      <c r="M55" s="83"/>
      <c r="N55" s="83"/>
      <c r="O55" s="83"/>
      <c r="P55" s="83"/>
      <c r="Q55" s="83"/>
      <c r="R55" s="83"/>
      <c r="S55" s="83"/>
      <c r="T55" s="83"/>
      <c r="U55" s="83"/>
      <c r="V55" s="83"/>
      <c r="W55" s="83"/>
      <c r="X55" s="83"/>
      <c r="Y55" s="83"/>
      <c r="Z55" s="83"/>
      <c r="AA55" s="83"/>
      <c r="AB55" s="83"/>
      <c r="AC55" s="83"/>
      <c r="AD55" s="83"/>
    </row>
    <row r="56">
      <c r="A56" s="83"/>
      <c r="B56" s="83"/>
      <c r="C56" s="83"/>
      <c r="D56" s="83"/>
      <c r="E56" s="118"/>
      <c r="F56" s="118"/>
      <c r="G56" s="83"/>
      <c r="H56" s="83"/>
      <c r="I56" s="83"/>
      <c r="J56" s="83"/>
      <c r="K56" s="83"/>
      <c r="L56" s="83"/>
      <c r="M56" s="83"/>
      <c r="N56" s="83"/>
      <c r="O56" s="83"/>
      <c r="P56" s="83"/>
      <c r="Q56" s="83"/>
      <c r="R56" s="83"/>
      <c r="S56" s="83"/>
      <c r="T56" s="83"/>
      <c r="U56" s="83"/>
      <c r="V56" s="83"/>
      <c r="W56" s="83"/>
      <c r="X56" s="83"/>
      <c r="Y56" s="83"/>
      <c r="Z56" s="83"/>
      <c r="AA56" s="83"/>
      <c r="AB56" s="83"/>
      <c r="AC56" s="83"/>
      <c r="AD56" s="83"/>
    </row>
    <row r="57">
      <c r="A57" s="83"/>
      <c r="B57" s="83"/>
      <c r="C57" s="83"/>
      <c r="D57" s="83"/>
      <c r="E57" s="118"/>
      <c r="F57" s="118"/>
      <c r="G57" s="83"/>
      <c r="H57" s="83"/>
      <c r="I57" s="83"/>
      <c r="J57" s="83"/>
      <c r="K57" s="83"/>
      <c r="L57" s="83"/>
      <c r="M57" s="83"/>
      <c r="N57" s="83"/>
      <c r="O57" s="83"/>
      <c r="P57" s="83"/>
      <c r="Q57" s="83"/>
      <c r="R57" s="83"/>
      <c r="S57" s="83"/>
      <c r="T57" s="83"/>
      <c r="U57" s="83"/>
      <c r="V57" s="83"/>
      <c r="W57" s="83"/>
      <c r="X57" s="83"/>
      <c r="Y57" s="83"/>
      <c r="Z57" s="83"/>
      <c r="AA57" s="83"/>
      <c r="AB57" s="83"/>
      <c r="AC57" s="83"/>
      <c r="AD57" s="83"/>
    </row>
    <row r="58">
      <c r="A58" s="83"/>
      <c r="B58" s="83"/>
      <c r="C58" s="83"/>
      <c r="D58" s="83"/>
      <c r="E58" s="118"/>
      <c r="F58" s="118"/>
      <c r="G58" s="83"/>
      <c r="H58" s="83"/>
      <c r="I58" s="83"/>
      <c r="J58" s="83"/>
      <c r="K58" s="83"/>
      <c r="L58" s="83"/>
      <c r="M58" s="83"/>
      <c r="N58" s="83"/>
      <c r="O58" s="83"/>
      <c r="P58" s="83"/>
      <c r="Q58" s="83"/>
      <c r="R58" s="83"/>
      <c r="S58" s="83"/>
      <c r="T58" s="83"/>
      <c r="U58" s="83"/>
      <c r="V58" s="83"/>
      <c r="W58" s="83"/>
      <c r="X58" s="83"/>
      <c r="Y58" s="83"/>
      <c r="Z58" s="83"/>
      <c r="AA58" s="83"/>
      <c r="AB58" s="83"/>
      <c r="AC58" s="83"/>
      <c r="AD58" s="83"/>
    </row>
    <row r="59">
      <c r="A59" s="83"/>
      <c r="B59" s="83"/>
      <c r="C59" s="83"/>
      <c r="D59" s="83"/>
      <c r="E59" s="118"/>
      <c r="F59" s="118"/>
      <c r="G59" s="83"/>
      <c r="H59" s="83"/>
      <c r="I59" s="83"/>
      <c r="J59" s="83"/>
      <c r="K59" s="83"/>
      <c r="L59" s="83"/>
      <c r="M59" s="83"/>
      <c r="N59" s="83"/>
      <c r="O59" s="83"/>
      <c r="P59" s="83"/>
      <c r="Q59" s="83"/>
      <c r="R59" s="83"/>
      <c r="S59" s="83"/>
      <c r="T59" s="83"/>
      <c r="U59" s="83"/>
      <c r="V59" s="83"/>
      <c r="W59" s="83"/>
      <c r="X59" s="83"/>
      <c r="Y59" s="83"/>
      <c r="Z59" s="83"/>
      <c r="AA59" s="83"/>
      <c r="AB59" s="83"/>
      <c r="AC59" s="83"/>
      <c r="AD59" s="83"/>
    </row>
    <row r="60">
      <c r="A60" s="83"/>
      <c r="B60" s="83"/>
      <c r="C60" s="83"/>
      <c r="D60" s="83"/>
      <c r="E60" s="118"/>
      <c r="F60" s="118"/>
      <c r="G60" s="83"/>
      <c r="H60" s="83"/>
      <c r="I60" s="83"/>
      <c r="J60" s="83"/>
      <c r="K60" s="83"/>
      <c r="L60" s="83"/>
      <c r="M60" s="83"/>
      <c r="N60" s="83"/>
      <c r="O60" s="83"/>
      <c r="P60" s="83"/>
      <c r="Q60" s="83"/>
      <c r="R60" s="83"/>
      <c r="S60" s="83"/>
      <c r="T60" s="83"/>
      <c r="U60" s="83"/>
      <c r="V60" s="83"/>
      <c r="W60" s="83"/>
      <c r="X60" s="83"/>
      <c r="Y60" s="83"/>
      <c r="Z60" s="83"/>
      <c r="AA60" s="83"/>
      <c r="AB60" s="83"/>
      <c r="AC60" s="83"/>
      <c r="AD60" s="83"/>
    </row>
    <row r="61">
      <c r="A61" s="83"/>
      <c r="B61" s="83"/>
      <c r="C61" s="83"/>
      <c r="D61" s="83"/>
      <c r="E61" s="118"/>
      <c r="F61" s="118"/>
      <c r="G61" s="83"/>
      <c r="H61" s="83"/>
      <c r="I61" s="83"/>
      <c r="J61" s="83"/>
      <c r="K61" s="83"/>
      <c r="L61" s="83"/>
      <c r="M61" s="83"/>
      <c r="N61" s="83"/>
      <c r="O61" s="83"/>
      <c r="P61" s="83"/>
      <c r="Q61" s="83"/>
      <c r="R61" s="83"/>
      <c r="S61" s="83"/>
      <c r="T61" s="83"/>
      <c r="U61" s="83"/>
      <c r="V61" s="83"/>
      <c r="W61" s="83"/>
      <c r="X61" s="83"/>
      <c r="Y61" s="83"/>
      <c r="Z61" s="83"/>
      <c r="AA61" s="83"/>
      <c r="AB61" s="83"/>
      <c r="AC61" s="83"/>
      <c r="AD61" s="83"/>
    </row>
    <row r="62">
      <c r="A62" s="83"/>
      <c r="B62" s="83"/>
      <c r="C62" s="83"/>
      <c r="D62" s="83"/>
      <c r="E62" s="118"/>
      <c r="F62" s="118"/>
      <c r="G62" s="83"/>
      <c r="H62" s="83"/>
      <c r="I62" s="83"/>
      <c r="J62" s="83"/>
      <c r="K62" s="83"/>
      <c r="L62" s="83"/>
      <c r="M62" s="83"/>
      <c r="N62" s="83"/>
      <c r="O62" s="83"/>
      <c r="P62" s="83"/>
      <c r="Q62" s="83"/>
      <c r="R62" s="83"/>
      <c r="S62" s="83"/>
      <c r="T62" s="83"/>
      <c r="U62" s="83"/>
      <c r="V62" s="83"/>
      <c r="W62" s="83"/>
      <c r="X62" s="83"/>
      <c r="Y62" s="83"/>
      <c r="Z62" s="83"/>
      <c r="AA62" s="83"/>
      <c r="AB62" s="83"/>
      <c r="AC62" s="83"/>
      <c r="AD62" s="83"/>
    </row>
    <row r="63">
      <c r="A63" s="83"/>
      <c r="B63" s="83"/>
      <c r="C63" s="83"/>
      <c r="D63" s="83"/>
      <c r="E63" s="118"/>
      <c r="F63" s="118"/>
      <c r="G63" s="83"/>
      <c r="H63" s="83"/>
      <c r="I63" s="83"/>
      <c r="J63" s="83"/>
      <c r="K63" s="83"/>
      <c r="L63" s="83"/>
      <c r="M63" s="83"/>
      <c r="N63" s="83"/>
      <c r="O63" s="83"/>
      <c r="P63" s="83"/>
      <c r="Q63" s="83"/>
      <c r="R63" s="83"/>
      <c r="S63" s="83"/>
      <c r="T63" s="83"/>
      <c r="U63" s="83"/>
      <c r="V63" s="83"/>
      <c r="W63" s="83"/>
      <c r="X63" s="83"/>
      <c r="Y63" s="83"/>
      <c r="Z63" s="83"/>
      <c r="AA63" s="83"/>
      <c r="AB63" s="83"/>
      <c r="AC63" s="83"/>
      <c r="AD63" s="83"/>
    </row>
    <row r="64">
      <c r="A64" s="83"/>
      <c r="B64" s="83"/>
      <c r="C64" s="83"/>
      <c r="D64" s="83"/>
      <c r="E64" s="118"/>
      <c r="F64" s="118"/>
      <c r="G64" s="83"/>
      <c r="H64" s="83"/>
      <c r="I64" s="83"/>
      <c r="J64" s="83"/>
      <c r="K64" s="83"/>
      <c r="L64" s="83"/>
      <c r="M64" s="83"/>
      <c r="N64" s="83"/>
      <c r="O64" s="83"/>
      <c r="P64" s="83"/>
      <c r="Q64" s="83"/>
      <c r="R64" s="83"/>
      <c r="S64" s="83"/>
      <c r="T64" s="83"/>
      <c r="U64" s="83"/>
      <c r="V64" s="83"/>
      <c r="W64" s="83"/>
      <c r="X64" s="83"/>
      <c r="Y64" s="83"/>
      <c r="Z64" s="83"/>
      <c r="AA64" s="83"/>
      <c r="AB64" s="83"/>
      <c r="AC64" s="83"/>
      <c r="AD64" s="83"/>
    </row>
    <row r="65">
      <c r="A65" s="83"/>
      <c r="B65" s="83"/>
      <c r="C65" s="83"/>
      <c r="D65" s="83"/>
      <c r="E65" s="118"/>
      <c r="F65" s="118"/>
      <c r="G65" s="83"/>
      <c r="H65" s="83"/>
      <c r="I65" s="83"/>
      <c r="J65" s="83"/>
      <c r="K65" s="83"/>
      <c r="L65" s="83"/>
      <c r="M65" s="83"/>
      <c r="N65" s="83"/>
      <c r="O65" s="83"/>
      <c r="P65" s="83"/>
      <c r="Q65" s="83"/>
      <c r="R65" s="83"/>
      <c r="S65" s="83"/>
      <c r="T65" s="83"/>
      <c r="U65" s="83"/>
      <c r="V65" s="83"/>
      <c r="W65" s="83"/>
      <c r="X65" s="83"/>
      <c r="Y65" s="83"/>
      <c r="Z65" s="83"/>
      <c r="AA65" s="83"/>
      <c r="AB65" s="83"/>
      <c r="AC65" s="83"/>
      <c r="AD65" s="83"/>
    </row>
    <row r="66">
      <c r="A66" s="83"/>
      <c r="B66" s="83"/>
      <c r="C66" s="83"/>
      <c r="D66" s="83"/>
      <c r="E66" s="118"/>
      <c r="F66" s="118"/>
      <c r="G66" s="83"/>
      <c r="H66" s="83"/>
      <c r="I66" s="83"/>
      <c r="J66" s="83"/>
      <c r="K66" s="83"/>
      <c r="L66" s="83"/>
      <c r="M66" s="83"/>
      <c r="N66" s="83"/>
      <c r="O66" s="83"/>
      <c r="P66" s="83"/>
      <c r="Q66" s="83"/>
      <c r="R66" s="83"/>
      <c r="S66" s="83"/>
      <c r="T66" s="83"/>
      <c r="U66" s="83"/>
      <c r="V66" s="83"/>
      <c r="W66" s="83"/>
      <c r="X66" s="83"/>
      <c r="Y66" s="83"/>
      <c r="Z66" s="83"/>
      <c r="AA66" s="83"/>
      <c r="AB66" s="83"/>
      <c r="AC66" s="83"/>
      <c r="AD66" s="83"/>
    </row>
    <row r="67">
      <c r="A67" s="83"/>
      <c r="B67" s="83"/>
      <c r="C67" s="83"/>
      <c r="D67" s="83"/>
      <c r="E67" s="118"/>
      <c r="F67" s="118"/>
      <c r="G67" s="83"/>
      <c r="H67" s="83"/>
      <c r="I67" s="83"/>
      <c r="J67" s="83"/>
      <c r="K67" s="83"/>
      <c r="L67" s="83"/>
      <c r="M67" s="83"/>
      <c r="N67" s="83"/>
      <c r="O67" s="83"/>
      <c r="P67" s="83"/>
      <c r="Q67" s="83"/>
      <c r="R67" s="83"/>
      <c r="S67" s="83"/>
      <c r="T67" s="83"/>
      <c r="U67" s="83"/>
      <c r="V67" s="83"/>
      <c r="W67" s="83"/>
      <c r="X67" s="83"/>
      <c r="Y67" s="83"/>
      <c r="Z67" s="83"/>
      <c r="AA67" s="83"/>
      <c r="AB67" s="83"/>
      <c r="AC67" s="83"/>
      <c r="AD67" s="83"/>
    </row>
    <row r="68">
      <c r="A68" s="83"/>
      <c r="B68" s="83"/>
      <c r="C68" s="83"/>
      <c r="D68" s="83"/>
      <c r="E68" s="118"/>
      <c r="F68" s="118"/>
      <c r="G68" s="83"/>
      <c r="H68" s="83"/>
      <c r="I68" s="83"/>
      <c r="J68" s="83"/>
      <c r="K68" s="83"/>
      <c r="L68" s="83"/>
      <c r="M68" s="83"/>
      <c r="N68" s="83"/>
      <c r="O68" s="83"/>
      <c r="P68" s="83"/>
      <c r="Q68" s="83"/>
      <c r="R68" s="83"/>
      <c r="S68" s="83"/>
      <c r="T68" s="83"/>
      <c r="U68" s="83"/>
      <c r="V68" s="83"/>
      <c r="W68" s="83"/>
      <c r="X68" s="83"/>
      <c r="Y68" s="83"/>
      <c r="Z68" s="83"/>
      <c r="AA68" s="83"/>
      <c r="AB68" s="83"/>
      <c r="AC68" s="83"/>
      <c r="AD68" s="83"/>
    </row>
    <row r="69">
      <c r="A69" s="83"/>
      <c r="B69" s="83"/>
      <c r="C69" s="83"/>
      <c r="D69" s="83"/>
      <c r="E69" s="118"/>
      <c r="F69" s="118"/>
      <c r="G69" s="83"/>
      <c r="H69" s="83"/>
      <c r="I69" s="83"/>
      <c r="J69" s="83"/>
      <c r="K69" s="83"/>
      <c r="L69" s="83"/>
      <c r="M69" s="83"/>
      <c r="N69" s="83"/>
      <c r="O69" s="83"/>
      <c r="P69" s="83"/>
      <c r="Q69" s="83"/>
      <c r="R69" s="83"/>
      <c r="S69" s="83"/>
      <c r="T69" s="83"/>
      <c r="U69" s="83"/>
      <c r="V69" s="83"/>
      <c r="W69" s="83"/>
      <c r="X69" s="83"/>
      <c r="Y69" s="83"/>
      <c r="Z69" s="83"/>
      <c r="AA69" s="83"/>
      <c r="AB69" s="83"/>
      <c r="AC69" s="83"/>
      <c r="AD69" s="83"/>
    </row>
    <row r="70">
      <c r="A70" s="83"/>
      <c r="B70" s="83"/>
      <c r="C70" s="83"/>
      <c r="D70" s="83"/>
      <c r="E70" s="118"/>
      <c r="F70" s="118"/>
      <c r="G70" s="83"/>
      <c r="H70" s="83"/>
      <c r="I70" s="83"/>
      <c r="J70" s="83"/>
      <c r="K70" s="83"/>
      <c r="L70" s="83"/>
      <c r="M70" s="83"/>
      <c r="N70" s="83"/>
      <c r="O70" s="83"/>
      <c r="P70" s="83"/>
      <c r="Q70" s="83"/>
      <c r="R70" s="83"/>
      <c r="S70" s="83"/>
      <c r="T70" s="83"/>
      <c r="U70" s="83"/>
      <c r="V70" s="83"/>
      <c r="W70" s="83"/>
      <c r="X70" s="83"/>
      <c r="Y70" s="83"/>
      <c r="Z70" s="83"/>
      <c r="AA70" s="83"/>
      <c r="AB70" s="83"/>
      <c r="AC70" s="83"/>
      <c r="AD70" s="83"/>
    </row>
    <row r="71">
      <c r="A71" s="83"/>
      <c r="B71" s="83"/>
      <c r="C71" s="83"/>
      <c r="D71" s="83"/>
      <c r="E71" s="118"/>
      <c r="F71" s="118"/>
      <c r="G71" s="83"/>
      <c r="H71" s="83"/>
      <c r="I71" s="83"/>
      <c r="J71" s="83"/>
      <c r="K71" s="83"/>
      <c r="L71" s="83"/>
      <c r="M71" s="83"/>
      <c r="N71" s="83"/>
      <c r="O71" s="83"/>
      <c r="P71" s="83"/>
      <c r="Q71" s="83"/>
      <c r="R71" s="83"/>
      <c r="S71" s="83"/>
      <c r="T71" s="83"/>
      <c r="U71" s="83"/>
      <c r="V71" s="83"/>
      <c r="W71" s="83"/>
      <c r="X71" s="83"/>
      <c r="Y71" s="83"/>
      <c r="Z71" s="83"/>
      <c r="AA71" s="83"/>
      <c r="AB71" s="83"/>
      <c r="AC71" s="83"/>
      <c r="AD71" s="83"/>
    </row>
    <row r="72">
      <c r="A72" s="83"/>
      <c r="B72" s="83"/>
      <c r="C72" s="83"/>
      <c r="D72" s="83"/>
      <c r="E72" s="118"/>
      <c r="F72" s="118"/>
      <c r="G72" s="83"/>
      <c r="H72" s="83"/>
      <c r="I72" s="83"/>
      <c r="J72" s="83"/>
      <c r="K72" s="83"/>
      <c r="L72" s="83"/>
      <c r="M72" s="83"/>
      <c r="N72" s="83"/>
      <c r="O72" s="83"/>
      <c r="P72" s="83"/>
      <c r="Q72" s="83"/>
      <c r="R72" s="83"/>
      <c r="S72" s="83"/>
      <c r="T72" s="83"/>
      <c r="U72" s="83"/>
      <c r="V72" s="83"/>
      <c r="W72" s="83"/>
      <c r="X72" s="83"/>
      <c r="Y72" s="83"/>
      <c r="Z72" s="83"/>
      <c r="AA72" s="83"/>
      <c r="AB72" s="83"/>
      <c r="AC72" s="83"/>
      <c r="AD72" s="83"/>
    </row>
    <row r="73">
      <c r="A73" s="83"/>
      <c r="B73" s="83"/>
      <c r="C73" s="83"/>
      <c r="D73" s="83"/>
      <c r="E73" s="118"/>
      <c r="F73" s="118"/>
      <c r="G73" s="83"/>
      <c r="H73" s="83"/>
      <c r="I73" s="83"/>
      <c r="J73" s="83"/>
      <c r="K73" s="83"/>
      <c r="L73" s="83"/>
      <c r="M73" s="83"/>
      <c r="N73" s="83"/>
      <c r="O73" s="83"/>
      <c r="P73" s="83"/>
      <c r="Q73" s="83"/>
      <c r="R73" s="83"/>
      <c r="S73" s="83"/>
      <c r="T73" s="83"/>
      <c r="U73" s="83"/>
      <c r="V73" s="83"/>
      <c r="W73" s="83"/>
      <c r="X73" s="83"/>
      <c r="Y73" s="83"/>
      <c r="Z73" s="83"/>
      <c r="AA73" s="83"/>
      <c r="AB73" s="83"/>
      <c r="AC73" s="83"/>
      <c r="AD73" s="83"/>
    </row>
    <row r="74">
      <c r="A74" s="83"/>
      <c r="B74" s="83"/>
      <c r="C74" s="83"/>
      <c r="D74" s="83"/>
      <c r="E74" s="118"/>
      <c r="F74" s="118"/>
      <c r="G74" s="83"/>
      <c r="H74" s="83"/>
      <c r="I74" s="83"/>
      <c r="J74" s="83"/>
      <c r="K74" s="83"/>
      <c r="L74" s="83"/>
      <c r="M74" s="83"/>
      <c r="N74" s="83"/>
      <c r="O74" s="83"/>
      <c r="P74" s="83"/>
      <c r="Q74" s="83"/>
      <c r="R74" s="83"/>
      <c r="S74" s="83"/>
      <c r="T74" s="83"/>
      <c r="U74" s="83"/>
      <c r="V74" s="83"/>
      <c r="W74" s="83"/>
      <c r="X74" s="83"/>
      <c r="Y74" s="83"/>
      <c r="Z74" s="83"/>
      <c r="AA74" s="83"/>
      <c r="AB74" s="83"/>
      <c r="AC74" s="83"/>
      <c r="AD74" s="83"/>
    </row>
    <row r="75">
      <c r="A75" s="83"/>
      <c r="B75" s="83"/>
      <c r="C75" s="83"/>
      <c r="D75" s="83"/>
      <c r="E75" s="118"/>
      <c r="F75" s="118"/>
      <c r="G75" s="83"/>
      <c r="H75" s="83"/>
      <c r="I75" s="83"/>
      <c r="J75" s="83"/>
      <c r="K75" s="83"/>
      <c r="L75" s="83"/>
      <c r="M75" s="83"/>
      <c r="N75" s="83"/>
      <c r="O75" s="83"/>
      <c r="P75" s="83"/>
      <c r="Q75" s="83"/>
      <c r="R75" s="83"/>
      <c r="S75" s="83"/>
      <c r="T75" s="83"/>
      <c r="U75" s="83"/>
      <c r="V75" s="83"/>
      <c r="W75" s="83"/>
      <c r="X75" s="83"/>
      <c r="Y75" s="83"/>
      <c r="Z75" s="83"/>
      <c r="AA75" s="83"/>
      <c r="AB75" s="83"/>
      <c r="AC75" s="83"/>
      <c r="AD75" s="83"/>
    </row>
    <row r="76">
      <c r="A76" s="83"/>
      <c r="B76" s="83"/>
      <c r="C76" s="83"/>
      <c r="D76" s="83"/>
      <c r="E76" s="118"/>
      <c r="F76" s="118"/>
      <c r="G76" s="83"/>
      <c r="H76" s="83"/>
      <c r="I76" s="83"/>
      <c r="J76" s="83"/>
      <c r="K76" s="83"/>
      <c r="L76" s="83"/>
      <c r="M76" s="83"/>
      <c r="N76" s="83"/>
      <c r="O76" s="83"/>
      <c r="P76" s="83"/>
      <c r="Q76" s="83"/>
      <c r="R76" s="83"/>
      <c r="S76" s="83"/>
      <c r="T76" s="83"/>
      <c r="U76" s="83"/>
      <c r="V76" s="83"/>
      <c r="W76" s="83"/>
      <c r="X76" s="83"/>
      <c r="Y76" s="83"/>
      <c r="Z76" s="83"/>
      <c r="AA76" s="83"/>
      <c r="AB76" s="83"/>
      <c r="AC76" s="83"/>
      <c r="AD76" s="83"/>
    </row>
    <row r="77">
      <c r="A77" s="83"/>
      <c r="B77" s="83"/>
      <c r="C77" s="83"/>
      <c r="D77" s="83"/>
      <c r="E77" s="118"/>
      <c r="F77" s="118"/>
      <c r="G77" s="83"/>
      <c r="H77" s="83"/>
      <c r="I77" s="83"/>
      <c r="J77" s="83"/>
      <c r="K77" s="83"/>
      <c r="L77" s="83"/>
      <c r="M77" s="83"/>
      <c r="N77" s="83"/>
      <c r="O77" s="83"/>
      <c r="P77" s="83"/>
      <c r="Q77" s="83"/>
      <c r="R77" s="83"/>
      <c r="S77" s="83"/>
      <c r="T77" s="83"/>
      <c r="U77" s="83"/>
      <c r="V77" s="83"/>
      <c r="W77" s="83"/>
      <c r="X77" s="83"/>
      <c r="Y77" s="83"/>
      <c r="Z77" s="83"/>
      <c r="AA77" s="83"/>
      <c r="AB77" s="83"/>
      <c r="AC77" s="83"/>
      <c r="AD77" s="83"/>
    </row>
    <row r="78">
      <c r="A78" s="83"/>
      <c r="B78" s="83"/>
      <c r="C78" s="83"/>
      <c r="D78" s="83"/>
      <c r="E78" s="118"/>
      <c r="F78" s="118"/>
      <c r="G78" s="83"/>
      <c r="H78" s="83"/>
      <c r="I78" s="83"/>
      <c r="J78" s="83"/>
      <c r="K78" s="83"/>
      <c r="L78" s="83"/>
      <c r="M78" s="83"/>
      <c r="N78" s="83"/>
      <c r="O78" s="83"/>
      <c r="P78" s="83"/>
      <c r="Q78" s="83"/>
      <c r="R78" s="83"/>
      <c r="S78" s="83"/>
      <c r="T78" s="83"/>
      <c r="U78" s="83"/>
      <c r="V78" s="83"/>
      <c r="W78" s="83"/>
      <c r="X78" s="83"/>
      <c r="Y78" s="83"/>
      <c r="Z78" s="83"/>
      <c r="AA78" s="83"/>
      <c r="AB78" s="83"/>
      <c r="AC78" s="83"/>
      <c r="AD78" s="83"/>
    </row>
    <row r="79">
      <c r="A79" s="83"/>
      <c r="B79" s="83"/>
      <c r="C79" s="83"/>
      <c r="D79" s="83"/>
      <c r="E79" s="118"/>
      <c r="F79" s="118"/>
      <c r="G79" s="83"/>
      <c r="H79" s="83"/>
      <c r="I79" s="83"/>
      <c r="J79" s="83"/>
      <c r="K79" s="83"/>
      <c r="L79" s="83"/>
      <c r="M79" s="83"/>
      <c r="N79" s="83"/>
      <c r="O79" s="83"/>
      <c r="P79" s="83"/>
      <c r="Q79" s="83"/>
      <c r="R79" s="83"/>
      <c r="S79" s="83"/>
      <c r="T79" s="83"/>
      <c r="U79" s="83"/>
      <c r="V79" s="83"/>
      <c r="W79" s="83"/>
      <c r="X79" s="83"/>
      <c r="Y79" s="83"/>
      <c r="Z79" s="83"/>
      <c r="AA79" s="83"/>
      <c r="AB79" s="83"/>
      <c r="AC79" s="83"/>
      <c r="AD79" s="83"/>
    </row>
    <row r="80">
      <c r="A80" s="83"/>
      <c r="B80" s="83"/>
      <c r="C80" s="83"/>
      <c r="D80" s="83"/>
      <c r="E80" s="118"/>
      <c r="F80" s="118"/>
      <c r="G80" s="83"/>
      <c r="H80" s="83"/>
      <c r="I80" s="83"/>
      <c r="J80" s="83"/>
      <c r="K80" s="83"/>
      <c r="L80" s="83"/>
      <c r="M80" s="83"/>
      <c r="N80" s="83"/>
      <c r="O80" s="83"/>
      <c r="P80" s="83"/>
      <c r="Q80" s="83"/>
      <c r="R80" s="83"/>
      <c r="S80" s="83"/>
      <c r="T80" s="83"/>
      <c r="U80" s="83"/>
      <c r="V80" s="83"/>
      <c r="W80" s="83"/>
      <c r="X80" s="83"/>
      <c r="Y80" s="83"/>
      <c r="Z80" s="83"/>
      <c r="AA80" s="83"/>
      <c r="AB80" s="83"/>
      <c r="AC80" s="83"/>
      <c r="AD80" s="83"/>
    </row>
    <row r="81">
      <c r="A81" s="83"/>
      <c r="B81" s="83"/>
      <c r="C81" s="83"/>
      <c r="D81" s="83"/>
      <c r="E81" s="118"/>
      <c r="F81" s="118"/>
      <c r="G81" s="83"/>
      <c r="H81" s="83"/>
      <c r="I81" s="83"/>
      <c r="J81" s="83"/>
      <c r="K81" s="83"/>
      <c r="L81" s="83"/>
      <c r="M81" s="83"/>
      <c r="N81" s="83"/>
      <c r="O81" s="83"/>
      <c r="P81" s="83"/>
      <c r="Q81" s="83"/>
      <c r="R81" s="83"/>
      <c r="S81" s="83"/>
      <c r="T81" s="83"/>
      <c r="U81" s="83"/>
      <c r="V81" s="83"/>
      <c r="W81" s="83"/>
      <c r="X81" s="83"/>
      <c r="Y81" s="83"/>
      <c r="Z81" s="83"/>
      <c r="AA81" s="83"/>
      <c r="AB81" s="83"/>
      <c r="AC81" s="83"/>
      <c r="AD81" s="83"/>
    </row>
    <row r="82">
      <c r="A82" s="83"/>
      <c r="B82" s="83"/>
      <c r="C82" s="83"/>
      <c r="D82" s="83"/>
      <c r="E82" s="118"/>
      <c r="F82" s="118"/>
      <c r="G82" s="83"/>
      <c r="H82" s="83"/>
      <c r="I82" s="83"/>
      <c r="J82" s="83"/>
      <c r="K82" s="83"/>
      <c r="L82" s="83"/>
      <c r="M82" s="83"/>
      <c r="N82" s="83"/>
      <c r="O82" s="83"/>
      <c r="P82" s="83"/>
      <c r="Q82" s="83"/>
      <c r="R82" s="83"/>
      <c r="S82" s="83"/>
      <c r="T82" s="83"/>
      <c r="U82" s="83"/>
      <c r="V82" s="83"/>
      <c r="W82" s="83"/>
      <c r="X82" s="83"/>
      <c r="Y82" s="83"/>
      <c r="Z82" s="83"/>
      <c r="AA82" s="83"/>
      <c r="AB82" s="83"/>
      <c r="AC82" s="83"/>
      <c r="AD82" s="83"/>
    </row>
    <row r="83">
      <c r="A83" s="83"/>
      <c r="B83" s="83"/>
      <c r="C83" s="83"/>
      <c r="D83" s="83"/>
      <c r="E83" s="118"/>
      <c r="F83" s="118"/>
      <c r="G83" s="83"/>
      <c r="H83" s="83"/>
      <c r="I83" s="83"/>
      <c r="J83" s="83"/>
      <c r="K83" s="83"/>
      <c r="L83" s="83"/>
      <c r="M83" s="83"/>
      <c r="N83" s="83"/>
      <c r="O83" s="83"/>
      <c r="P83" s="83"/>
      <c r="Q83" s="83"/>
      <c r="R83" s="83"/>
      <c r="S83" s="83"/>
      <c r="T83" s="83"/>
      <c r="U83" s="83"/>
      <c r="V83" s="83"/>
      <c r="W83" s="83"/>
      <c r="X83" s="83"/>
      <c r="Y83" s="83"/>
      <c r="Z83" s="83"/>
      <c r="AA83" s="83"/>
      <c r="AB83" s="83"/>
      <c r="AC83" s="83"/>
      <c r="AD83" s="83"/>
    </row>
    <row r="84">
      <c r="A84" s="83"/>
      <c r="B84" s="83"/>
      <c r="C84" s="83"/>
      <c r="D84" s="83"/>
      <c r="E84" s="118"/>
      <c r="F84" s="118"/>
      <c r="G84" s="83"/>
      <c r="H84" s="83"/>
      <c r="I84" s="83"/>
      <c r="J84" s="83"/>
      <c r="K84" s="83"/>
      <c r="L84" s="83"/>
      <c r="M84" s="83"/>
      <c r="N84" s="83"/>
      <c r="O84" s="83"/>
      <c r="P84" s="83"/>
      <c r="Q84" s="83"/>
      <c r="R84" s="83"/>
      <c r="S84" s="83"/>
      <c r="T84" s="83"/>
      <c r="U84" s="83"/>
      <c r="V84" s="83"/>
      <c r="W84" s="83"/>
      <c r="X84" s="83"/>
      <c r="Y84" s="83"/>
      <c r="Z84" s="83"/>
      <c r="AA84" s="83"/>
      <c r="AB84" s="83"/>
      <c r="AC84" s="83"/>
      <c r="AD84" s="83"/>
    </row>
    <row r="85">
      <c r="A85" s="83"/>
      <c r="B85" s="83"/>
      <c r="C85" s="83"/>
      <c r="D85" s="83"/>
      <c r="E85" s="118"/>
      <c r="F85" s="118"/>
      <c r="G85" s="83"/>
      <c r="H85" s="83"/>
      <c r="I85" s="83"/>
      <c r="J85" s="83"/>
      <c r="K85" s="83"/>
      <c r="L85" s="83"/>
      <c r="M85" s="83"/>
      <c r="N85" s="83"/>
      <c r="O85" s="83"/>
      <c r="P85" s="83"/>
      <c r="Q85" s="83"/>
      <c r="R85" s="83"/>
      <c r="S85" s="83"/>
      <c r="T85" s="83"/>
      <c r="U85" s="83"/>
      <c r="V85" s="83"/>
      <c r="W85" s="83"/>
      <c r="X85" s="83"/>
      <c r="Y85" s="83"/>
      <c r="Z85" s="83"/>
      <c r="AA85" s="83"/>
      <c r="AB85" s="83"/>
      <c r="AC85" s="83"/>
      <c r="AD85" s="83"/>
    </row>
    <row r="86">
      <c r="A86" s="83"/>
      <c r="B86" s="83"/>
      <c r="C86" s="83"/>
      <c r="D86" s="83"/>
      <c r="E86" s="118"/>
      <c r="F86" s="118"/>
      <c r="G86" s="83"/>
      <c r="H86" s="83"/>
      <c r="I86" s="83"/>
      <c r="J86" s="83"/>
      <c r="K86" s="83"/>
      <c r="L86" s="83"/>
      <c r="M86" s="83"/>
      <c r="N86" s="83"/>
      <c r="O86" s="83"/>
      <c r="P86" s="83"/>
      <c r="Q86" s="83"/>
      <c r="R86" s="83"/>
      <c r="S86" s="83"/>
      <c r="T86" s="83"/>
      <c r="U86" s="83"/>
      <c r="V86" s="83"/>
      <c r="W86" s="83"/>
      <c r="X86" s="83"/>
      <c r="Y86" s="83"/>
      <c r="Z86" s="83"/>
      <c r="AA86" s="83"/>
      <c r="AB86" s="83"/>
      <c r="AC86" s="83"/>
      <c r="AD86" s="83"/>
    </row>
    <row r="87">
      <c r="A87" s="83"/>
      <c r="B87" s="83"/>
      <c r="C87" s="83"/>
      <c r="D87" s="83"/>
      <c r="E87" s="118"/>
      <c r="F87" s="118"/>
      <c r="G87" s="83"/>
      <c r="H87" s="83"/>
      <c r="I87" s="83"/>
      <c r="J87" s="83"/>
      <c r="K87" s="83"/>
      <c r="L87" s="83"/>
      <c r="M87" s="83"/>
      <c r="N87" s="83"/>
      <c r="O87" s="83"/>
      <c r="P87" s="83"/>
      <c r="Q87" s="83"/>
      <c r="R87" s="83"/>
      <c r="S87" s="83"/>
      <c r="T87" s="83"/>
      <c r="U87" s="83"/>
      <c r="V87" s="83"/>
      <c r="W87" s="83"/>
      <c r="X87" s="83"/>
      <c r="Y87" s="83"/>
      <c r="Z87" s="83"/>
      <c r="AA87" s="83"/>
      <c r="AB87" s="83"/>
      <c r="AC87" s="83"/>
      <c r="AD87" s="83"/>
    </row>
    <row r="88">
      <c r="A88" s="83"/>
      <c r="B88" s="83"/>
      <c r="C88" s="83"/>
      <c r="D88" s="83"/>
      <c r="E88" s="118"/>
      <c r="F88" s="118"/>
      <c r="G88" s="83"/>
      <c r="H88" s="83"/>
      <c r="I88" s="83"/>
      <c r="J88" s="83"/>
      <c r="K88" s="83"/>
      <c r="L88" s="83"/>
      <c r="M88" s="83"/>
      <c r="N88" s="83"/>
      <c r="O88" s="83"/>
      <c r="P88" s="83"/>
      <c r="Q88" s="83"/>
      <c r="R88" s="83"/>
      <c r="S88" s="83"/>
      <c r="T88" s="83"/>
      <c r="U88" s="83"/>
      <c r="V88" s="83"/>
      <c r="W88" s="83"/>
      <c r="X88" s="83"/>
      <c r="Y88" s="83"/>
      <c r="Z88" s="83"/>
      <c r="AA88" s="83"/>
      <c r="AB88" s="83"/>
      <c r="AC88" s="83"/>
      <c r="AD88" s="83"/>
    </row>
    <row r="89">
      <c r="A89" s="83"/>
      <c r="B89" s="83"/>
      <c r="C89" s="83"/>
      <c r="D89" s="83"/>
      <c r="E89" s="118"/>
      <c r="F89" s="118"/>
      <c r="G89" s="83"/>
      <c r="H89" s="83"/>
      <c r="I89" s="83"/>
      <c r="J89" s="83"/>
      <c r="K89" s="83"/>
      <c r="L89" s="83"/>
      <c r="M89" s="83"/>
      <c r="N89" s="83"/>
      <c r="O89" s="83"/>
      <c r="P89" s="83"/>
      <c r="Q89" s="83"/>
      <c r="R89" s="83"/>
      <c r="S89" s="83"/>
      <c r="T89" s="83"/>
      <c r="U89" s="83"/>
      <c r="V89" s="83"/>
      <c r="W89" s="83"/>
      <c r="X89" s="83"/>
      <c r="Y89" s="83"/>
      <c r="Z89" s="83"/>
      <c r="AA89" s="83"/>
      <c r="AB89" s="83"/>
      <c r="AC89" s="83"/>
      <c r="AD89" s="83"/>
    </row>
    <row r="90">
      <c r="A90" s="83"/>
      <c r="B90" s="83"/>
      <c r="C90" s="83"/>
      <c r="D90" s="83"/>
      <c r="E90" s="118"/>
      <c r="F90" s="118"/>
      <c r="G90" s="83"/>
      <c r="H90" s="83"/>
      <c r="I90" s="83"/>
      <c r="J90" s="83"/>
      <c r="K90" s="83"/>
      <c r="L90" s="83"/>
      <c r="M90" s="83"/>
      <c r="N90" s="83"/>
      <c r="O90" s="83"/>
      <c r="P90" s="83"/>
      <c r="Q90" s="83"/>
      <c r="R90" s="83"/>
      <c r="S90" s="83"/>
      <c r="T90" s="83"/>
      <c r="U90" s="83"/>
      <c r="V90" s="83"/>
      <c r="W90" s="83"/>
      <c r="X90" s="83"/>
      <c r="Y90" s="83"/>
      <c r="Z90" s="83"/>
      <c r="AA90" s="83"/>
      <c r="AB90" s="83"/>
      <c r="AC90" s="83"/>
      <c r="AD90" s="83"/>
    </row>
    <row r="91">
      <c r="A91" s="83"/>
      <c r="B91" s="83"/>
      <c r="C91" s="83"/>
      <c r="D91" s="83"/>
      <c r="E91" s="118"/>
      <c r="F91" s="118"/>
      <c r="G91" s="83"/>
      <c r="H91" s="83"/>
      <c r="I91" s="83"/>
      <c r="J91" s="83"/>
      <c r="K91" s="83"/>
      <c r="L91" s="83"/>
      <c r="M91" s="83"/>
      <c r="N91" s="83"/>
      <c r="O91" s="83"/>
      <c r="P91" s="83"/>
      <c r="Q91" s="83"/>
      <c r="R91" s="83"/>
      <c r="S91" s="83"/>
      <c r="T91" s="83"/>
      <c r="U91" s="83"/>
      <c r="V91" s="83"/>
      <c r="W91" s="83"/>
      <c r="X91" s="83"/>
      <c r="Y91" s="83"/>
      <c r="Z91" s="83"/>
      <c r="AA91" s="83"/>
      <c r="AB91" s="83"/>
      <c r="AC91" s="83"/>
      <c r="AD91" s="83"/>
    </row>
    <row r="92">
      <c r="A92" s="83"/>
      <c r="B92" s="83"/>
      <c r="C92" s="83"/>
      <c r="D92" s="83"/>
      <c r="E92" s="118"/>
      <c r="F92" s="118"/>
      <c r="G92" s="83"/>
      <c r="H92" s="83"/>
      <c r="I92" s="83"/>
      <c r="J92" s="83"/>
      <c r="K92" s="83"/>
      <c r="L92" s="83"/>
      <c r="M92" s="83"/>
      <c r="N92" s="83"/>
      <c r="O92" s="83"/>
      <c r="P92" s="83"/>
      <c r="Q92" s="83"/>
      <c r="R92" s="83"/>
      <c r="S92" s="83"/>
      <c r="T92" s="83"/>
      <c r="U92" s="83"/>
      <c r="V92" s="83"/>
      <c r="W92" s="83"/>
      <c r="X92" s="83"/>
      <c r="Y92" s="83"/>
      <c r="Z92" s="83"/>
      <c r="AA92" s="83"/>
      <c r="AB92" s="83"/>
      <c r="AC92" s="83"/>
      <c r="AD92" s="83"/>
    </row>
    <row r="93">
      <c r="A93" s="83"/>
      <c r="B93" s="83"/>
      <c r="C93" s="83"/>
      <c r="D93" s="83"/>
      <c r="E93" s="118"/>
      <c r="F93" s="118"/>
      <c r="G93" s="83"/>
      <c r="H93" s="83"/>
      <c r="I93" s="83"/>
      <c r="J93" s="83"/>
      <c r="K93" s="83"/>
      <c r="L93" s="83"/>
      <c r="M93" s="83"/>
      <c r="N93" s="83"/>
      <c r="O93" s="83"/>
      <c r="P93" s="83"/>
      <c r="Q93" s="83"/>
      <c r="R93" s="83"/>
      <c r="S93" s="83"/>
      <c r="T93" s="83"/>
      <c r="U93" s="83"/>
      <c r="V93" s="83"/>
      <c r="W93" s="83"/>
      <c r="X93" s="83"/>
      <c r="Y93" s="83"/>
      <c r="Z93" s="83"/>
      <c r="AA93" s="83"/>
      <c r="AB93" s="83"/>
      <c r="AC93" s="83"/>
      <c r="AD93" s="83"/>
    </row>
    <row r="94">
      <c r="A94" s="83"/>
      <c r="B94" s="83"/>
      <c r="C94" s="83"/>
      <c r="D94" s="83"/>
      <c r="E94" s="118"/>
      <c r="F94" s="118"/>
      <c r="G94" s="83"/>
      <c r="H94" s="83"/>
      <c r="I94" s="83"/>
      <c r="J94" s="83"/>
      <c r="K94" s="83"/>
      <c r="L94" s="83"/>
      <c r="M94" s="83"/>
      <c r="N94" s="83"/>
      <c r="O94" s="83"/>
      <c r="P94" s="83"/>
      <c r="Q94" s="83"/>
      <c r="R94" s="83"/>
      <c r="S94" s="83"/>
      <c r="T94" s="83"/>
      <c r="U94" s="83"/>
      <c r="V94" s="83"/>
      <c r="W94" s="83"/>
      <c r="X94" s="83"/>
      <c r="Y94" s="83"/>
      <c r="Z94" s="83"/>
      <c r="AA94" s="83"/>
      <c r="AB94" s="83"/>
      <c r="AC94" s="83"/>
      <c r="AD94" s="83"/>
    </row>
    <row r="95">
      <c r="A95" s="83"/>
      <c r="B95" s="83"/>
      <c r="C95" s="83"/>
      <c r="D95" s="83"/>
      <c r="E95" s="118"/>
      <c r="F95" s="118"/>
      <c r="G95" s="83"/>
      <c r="H95" s="83"/>
      <c r="I95" s="83"/>
      <c r="J95" s="83"/>
      <c r="K95" s="83"/>
      <c r="L95" s="83"/>
      <c r="M95" s="83"/>
      <c r="N95" s="83"/>
      <c r="O95" s="83"/>
      <c r="P95" s="83"/>
      <c r="Q95" s="83"/>
      <c r="R95" s="83"/>
      <c r="S95" s="83"/>
      <c r="T95" s="83"/>
      <c r="U95" s="83"/>
      <c r="V95" s="83"/>
      <c r="W95" s="83"/>
      <c r="X95" s="83"/>
      <c r="Y95" s="83"/>
      <c r="Z95" s="83"/>
      <c r="AA95" s="83"/>
      <c r="AB95" s="83"/>
      <c r="AC95" s="83"/>
      <c r="AD95" s="83"/>
    </row>
    <row r="96">
      <c r="A96" s="83"/>
      <c r="B96" s="83"/>
      <c r="C96" s="83"/>
      <c r="D96" s="83"/>
      <c r="E96" s="118"/>
      <c r="F96" s="118"/>
      <c r="G96" s="83"/>
      <c r="H96" s="83"/>
      <c r="I96" s="83"/>
      <c r="J96" s="83"/>
      <c r="K96" s="83"/>
      <c r="L96" s="83"/>
      <c r="M96" s="83"/>
      <c r="N96" s="83"/>
      <c r="O96" s="83"/>
      <c r="P96" s="83"/>
      <c r="Q96" s="83"/>
      <c r="R96" s="83"/>
      <c r="S96" s="83"/>
      <c r="T96" s="83"/>
      <c r="U96" s="83"/>
      <c r="V96" s="83"/>
      <c r="W96" s="83"/>
      <c r="X96" s="83"/>
      <c r="Y96" s="83"/>
      <c r="Z96" s="83"/>
      <c r="AA96" s="83"/>
      <c r="AB96" s="83"/>
      <c r="AC96" s="83"/>
      <c r="AD96" s="83"/>
    </row>
    <row r="97">
      <c r="A97" s="83"/>
      <c r="B97" s="83"/>
      <c r="C97" s="83"/>
      <c r="D97" s="83"/>
      <c r="E97" s="118"/>
      <c r="F97" s="118"/>
      <c r="G97" s="83"/>
      <c r="H97" s="83"/>
      <c r="I97" s="83"/>
      <c r="J97" s="83"/>
      <c r="K97" s="83"/>
      <c r="L97" s="83"/>
      <c r="M97" s="83"/>
      <c r="N97" s="83"/>
      <c r="O97" s="83"/>
      <c r="P97" s="83"/>
      <c r="Q97" s="83"/>
      <c r="R97" s="83"/>
      <c r="S97" s="83"/>
      <c r="T97" s="83"/>
      <c r="U97" s="83"/>
      <c r="V97" s="83"/>
      <c r="W97" s="83"/>
      <c r="X97" s="83"/>
      <c r="Y97" s="83"/>
      <c r="Z97" s="83"/>
      <c r="AA97" s="83"/>
      <c r="AB97" s="83"/>
      <c r="AC97" s="83"/>
      <c r="AD97" s="83"/>
    </row>
    <row r="98">
      <c r="A98" s="83"/>
      <c r="B98" s="83"/>
      <c r="C98" s="83"/>
      <c r="D98" s="83"/>
      <c r="E98" s="118"/>
      <c r="F98" s="118"/>
      <c r="G98" s="83"/>
      <c r="H98" s="83"/>
      <c r="I98" s="83"/>
      <c r="J98" s="83"/>
      <c r="K98" s="83"/>
      <c r="L98" s="83"/>
      <c r="M98" s="83"/>
      <c r="N98" s="83"/>
      <c r="O98" s="83"/>
      <c r="P98" s="83"/>
      <c r="Q98" s="83"/>
      <c r="R98" s="83"/>
      <c r="S98" s="83"/>
      <c r="T98" s="83"/>
      <c r="U98" s="83"/>
      <c r="V98" s="83"/>
      <c r="W98" s="83"/>
      <c r="X98" s="83"/>
      <c r="Y98" s="83"/>
      <c r="Z98" s="83"/>
      <c r="AA98" s="83"/>
      <c r="AB98" s="83"/>
      <c r="AC98" s="83"/>
      <c r="AD98" s="83"/>
    </row>
    <row r="99">
      <c r="A99" s="83"/>
      <c r="B99" s="83"/>
      <c r="C99" s="83"/>
      <c r="D99" s="83"/>
      <c r="E99" s="118"/>
      <c r="F99" s="118"/>
      <c r="G99" s="83"/>
      <c r="H99" s="83"/>
      <c r="I99" s="83"/>
      <c r="J99" s="83"/>
      <c r="K99" s="83"/>
      <c r="L99" s="83"/>
      <c r="M99" s="83"/>
      <c r="N99" s="83"/>
      <c r="O99" s="83"/>
      <c r="P99" s="83"/>
      <c r="Q99" s="83"/>
      <c r="R99" s="83"/>
      <c r="S99" s="83"/>
      <c r="T99" s="83"/>
      <c r="U99" s="83"/>
      <c r="V99" s="83"/>
      <c r="W99" s="83"/>
      <c r="X99" s="83"/>
      <c r="Y99" s="83"/>
      <c r="Z99" s="83"/>
      <c r="AA99" s="83"/>
      <c r="AB99" s="83"/>
      <c r="AC99" s="83"/>
      <c r="AD99" s="83"/>
    </row>
    <row r="100">
      <c r="A100" s="83"/>
      <c r="B100" s="83"/>
      <c r="C100" s="83"/>
      <c r="D100" s="83"/>
      <c r="E100" s="118"/>
      <c r="F100" s="118"/>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row>
    <row r="101">
      <c r="A101" s="83"/>
      <c r="B101" s="83"/>
      <c r="C101" s="83"/>
      <c r="D101" s="83"/>
      <c r="E101" s="118"/>
      <c r="F101" s="118"/>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row>
    <row r="102">
      <c r="A102" s="83"/>
      <c r="B102" s="83"/>
      <c r="C102" s="83"/>
      <c r="D102" s="83"/>
      <c r="E102" s="118"/>
      <c r="F102" s="118"/>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row>
    <row r="103">
      <c r="A103" s="83"/>
      <c r="B103" s="83"/>
      <c r="C103" s="83"/>
      <c r="D103" s="83"/>
      <c r="E103" s="118"/>
      <c r="F103" s="118"/>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c r="AD103" s="83"/>
    </row>
    <row r="104">
      <c r="A104" s="83"/>
      <c r="B104" s="83"/>
      <c r="C104" s="83"/>
      <c r="D104" s="83"/>
      <c r="E104" s="118"/>
      <c r="F104" s="118"/>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c r="AD104" s="83"/>
    </row>
    <row r="105">
      <c r="A105" s="83"/>
      <c r="B105" s="83"/>
      <c r="C105" s="83"/>
      <c r="D105" s="83"/>
      <c r="E105" s="118"/>
      <c r="F105" s="118"/>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row>
    <row r="106">
      <c r="A106" s="83"/>
      <c r="B106" s="83"/>
      <c r="C106" s="83"/>
      <c r="D106" s="83"/>
      <c r="E106" s="118"/>
      <c r="F106" s="118"/>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row>
    <row r="107">
      <c r="A107" s="83"/>
      <c r="B107" s="83"/>
      <c r="C107" s="83"/>
      <c r="D107" s="83"/>
      <c r="E107" s="118"/>
      <c r="F107" s="118"/>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row>
    <row r="108">
      <c r="A108" s="83"/>
      <c r="B108" s="83"/>
      <c r="C108" s="83"/>
      <c r="D108" s="83"/>
      <c r="E108" s="118"/>
      <c r="F108" s="118"/>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row>
    <row r="109">
      <c r="A109" s="83"/>
      <c r="B109" s="83"/>
      <c r="C109" s="83"/>
      <c r="D109" s="83"/>
      <c r="E109" s="118"/>
      <c r="F109" s="118"/>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row>
    <row r="110">
      <c r="A110" s="83"/>
      <c r="B110" s="83"/>
      <c r="C110" s="83"/>
      <c r="D110" s="83"/>
      <c r="E110" s="118"/>
      <c r="F110" s="118"/>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row>
    <row r="111">
      <c r="A111" s="83"/>
      <c r="B111" s="83"/>
      <c r="C111" s="83"/>
      <c r="D111" s="83"/>
      <c r="E111" s="118"/>
      <c r="F111" s="118"/>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row>
    <row r="112">
      <c r="A112" s="83"/>
      <c r="B112" s="83"/>
      <c r="C112" s="83"/>
      <c r="D112" s="83"/>
      <c r="E112" s="118"/>
      <c r="F112" s="118"/>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row>
    <row r="113">
      <c r="A113" s="83"/>
      <c r="B113" s="83"/>
      <c r="C113" s="83"/>
      <c r="D113" s="83"/>
      <c r="E113" s="118"/>
      <c r="F113" s="118"/>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row>
    <row r="114">
      <c r="A114" s="83"/>
      <c r="B114" s="83"/>
      <c r="C114" s="83"/>
      <c r="D114" s="83"/>
      <c r="E114" s="118"/>
      <c r="F114" s="118"/>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row>
    <row r="115">
      <c r="A115" s="83"/>
      <c r="B115" s="83"/>
      <c r="C115" s="83"/>
      <c r="D115" s="83"/>
      <c r="E115" s="118"/>
      <c r="F115" s="118"/>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row>
    <row r="116">
      <c r="A116" s="83"/>
      <c r="B116" s="83"/>
      <c r="C116" s="83"/>
      <c r="D116" s="83"/>
      <c r="E116" s="118"/>
      <c r="F116" s="118"/>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row>
    <row r="117">
      <c r="A117" s="83"/>
      <c r="B117" s="83"/>
      <c r="C117" s="83"/>
      <c r="D117" s="83"/>
      <c r="E117" s="118"/>
      <c r="F117" s="118"/>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row>
    <row r="118">
      <c r="A118" s="83"/>
      <c r="B118" s="83"/>
      <c r="C118" s="83"/>
      <c r="D118" s="83"/>
      <c r="E118" s="118"/>
      <c r="F118" s="118"/>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row>
    <row r="119">
      <c r="A119" s="83"/>
      <c r="B119" s="83"/>
      <c r="C119" s="83"/>
      <c r="D119" s="83"/>
      <c r="E119" s="118"/>
      <c r="F119" s="118"/>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row>
    <row r="120">
      <c r="A120" s="83"/>
      <c r="B120" s="83"/>
      <c r="C120" s="83"/>
      <c r="D120" s="83"/>
      <c r="E120" s="118"/>
      <c r="F120" s="118"/>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row>
    <row r="121">
      <c r="A121" s="83"/>
      <c r="B121" s="83"/>
      <c r="C121" s="83"/>
      <c r="D121" s="83"/>
      <c r="E121" s="118"/>
      <c r="F121" s="118"/>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row>
    <row r="122">
      <c r="A122" s="83"/>
      <c r="B122" s="83"/>
      <c r="C122" s="83"/>
      <c r="D122" s="83"/>
      <c r="E122" s="118"/>
      <c r="F122" s="118"/>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row>
    <row r="123">
      <c r="A123" s="83"/>
      <c r="B123" s="83"/>
      <c r="C123" s="83"/>
      <c r="D123" s="83"/>
      <c r="E123" s="118"/>
      <c r="F123" s="118"/>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row>
    <row r="124">
      <c r="A124" s="83"/>
      <c r="B124" s="83"/>
      <c r="C124" s="83"/>
      <c r="D124" s="83"/>
      <c r="E124" s="118"/>
      <c r="F124" s="118"/>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row>
    <row r="125">
      <c r="A125" s="83"/>
      <c r="B125" s="83"/>
      <c r="C125" s="83"/>
      <c r="D125" s="83"/>
      <c r="E125" s="118"/>
      <c r="F125" s="118"/>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row>
    <row r="126">
      <c r="A126" s="83"/>
      <c r="B126" s="83"/>
      <c r="C126" s="83"/>
      <c r="D126" s="83"/>
      <c r="E126" s="118"/>
      <c r="F126" s="118"/>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row>
    <row r="127">
      <c r="A127" s="83"/>
      <c r="B127" s="83"/>
      <c r="C127" s="83"/>
      <c r="D127" s="83"/>
      <c r="E127" s="118"/>
      <c r="F127" s="118"/>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row>
    <row r="128">
      <c r="A128" s="83"/>
      <c r="B128" s="83"/>
      <c r="C128" s="83"/>
      <c r="D128" s="83"/>
      <c r="E128" s="118"/>
      <c r="F128" s="118"/>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row>
    <row r="129">
      <c r="A129" s="83"/>
      <c r="B129" s="83"/>
      <c r="C129" s="83"/>
      <c r="D129" s="83"/>
      <c r="E129" s="118"/>
      <c r="F129" s="118"/>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row>
    <row r="130">
      <c r="A130" s="83"/>
      <c r="B130" s="83"/>
      <c r="C130" s="83"/>
      <c r="D130" s="83"/>
      <c r="E130" s="118"/>
      <c r="F130" s="118"/>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row>
    <row r="131">
      <c r="A131" s="83"/>
      <c r="B131" s="83"/>
      <c r="C131" s="83"/>
      <c r="D131" s="83"/>
      <c r="E131" s="118"/>
      <c r="F131" s="118"/>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row>
    <row r="132">
      <c r="A132" s="83"/>
      <c r="B132" s="83"/>
      <c r="C132" s="83"/>
      <c r="D132" s="83"/>
      <c r="E132" s="118"/>
      <c r="F132" s="118"/>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row>
    <row r="133">
      <c r="A133" s="83"/>
      <c r="B133" s="83"/>
      <c r="C133" s="83"/>
      <c r="D133" s="83"/>
      <c r="E133" s="118"/>
      <c r="F133" s="118"/>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row>
    <row r="134">
      <c r="A134" s="83"/>
      <c r="B134" s="83"/>
      <c r="C134" s="83"/>
      <c r="D134" s="83"/>
      <c r="E134" s="118"/>
      <c r="F134" s="118"/>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row>
    <row r="135">
      <c r="A135" s="83"/>
      <c r="B135" s="83"/>
      <c r="C135" s="83"/>
      <c r="D135" s="83"/>
      <c r="E135" s="118"/>
      <c r="F135" s="118"/>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row>
    <row r="136">
      <c r="A136" s="83"/>
      <c r="B136" s="83"/>
      <c r="C136" s="83"/>
      <c r="D136" s="83"/>
      <c r="E136" s="118"/>
      <c r="F136" s="118"/>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row>
    <row r="137">
      <c r="A137" s="83"/>
      <c r="B137" s="83"/>
      <c r="C137" s="83"/>
      <c r="D137" s="83"/>
      <c r="E137" s="118"/>
      <c r="F137" s="118"/>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row>
    <row r="138">
      <c r="A138" s="83"/>
      <c r="B138" s="83"/>
      <c r="C138" s="83"/>
      <c r="D138" s="83"/>
      <c r="E138" s="118"/>
      <c r="F138" s="118"/>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row>
    <row r="139">
      <c r="A139" s="83"/>
      <c r="B139" s="83"/>
      <c r="C139" s="83"/>
      <c r="D139" s="83"/>
      <c r="E139" s="118"/>
      <c r="F139" s="118"/>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row>
    <row r="140">
      <c r="A140" s="83"/>
      <c r="B140" s="83"/>
      <c r="C140" s="83"/>
      <c r="D140" s="83"/>
      <c r="E140" s="118"/>
      <c r="F140" s="118"/>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row>
    <row r="141">
      <c r="A141" s="83"/>
      <c r="B141" s="83"/>
      <c r="C141" s="83"/>
      <c r="D141" s="83"/>
      <c r="E141" s="118"/>
      <c r="F141" s="118"/>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row>
    <row r="142">
      <c r="A142" s="83"/>
      <c r="B142" s="83"/>
      <c r="C142" s="83"/>
      <c r="D142" s="83"/>
      <c r="E142" s="118"/>
      <c r="F142" s="118"/>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row>
    <row r="143">
      <c r="A143" s="83"/>
      <c r="B143" s="83"/>
      <c r="C143" s="83"/>
      <c r="D143" s="83"/>
      <c r="E143" s="118"/>
      <c r="F143" s="118"/>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row>
    <row r="144">
      <c r="A144" s="83"/>
      <c r="B144" s="83"/>
      <c r="C144" s="83"/>
      <c r="D144" s="83"/>
      <c r="E144" s="118"/>
      <c r="F144" s="118"/>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row>
    <row r="145">
      <c r="A145" s="83"/>
      <c r="B145" s="83"/>
      <c r="C145" s="83"/>
      <c r="D145" s="83"/>
      <c r="E145" s="118"/>
      <c r="F145" s="118"/>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row>
    <row r="146">
      <c r="A146" s="83"/>
      <c r="B146" s="83"/>
      <c r="C146" s="83"/>
      <c r="D146" s="83"/>
      <c r="E146" s="118"/>
      <c r="F146" s="118"/>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row>
    <row r="147">
      <c r="A147" s="83"/>
      <c r="B147" s="83"/>
      <c r="C147" s="83"/>
      <c r="D147" s="83"/>
      <c r="E147" s="118"/>
      <c r="F147" s="118"/>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row>
    <row r="148">
      <c r="A148" s="83"/>
      <c r="B148" s="83"/>
      <c r="C148" s="83"/>
      <c r="D148" s="83"/>
      <c r="E148" s="118"/>
      <c r="F148" s="118"/>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row>
    <row r="149">
      <c r="A149" s="83"/>
      <c r="B149" s="83"/>
      <c r="C149" s="83"/>
      <c r="D149" s="83"/>
      <c r="E149" s="118"/>
      <c r="F149" s="118"/>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row>
    <row r="150">
      <c r="A150" s="83"/>
      <c r="B150" s="83"/>
      <c r="C150" s="83"/>
      <c r="D150" s="83"/>
      <c r="E150" s="118"/>
      <c r="F150" s="118"/>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row>
    <row r="151">
      <c r="A151" s="83"/>
      <c r="B151" s="83"/>
      <c r="C151" s="83"/>
      <c r="D151" s="83"/>
      <c r="E151" s="118"/>
      <c r="F151" s="118"/>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row>
    <row r="152">
      <c r="A152" s="83"/>
      <c r="B152" s="83"/>
      <c r="C152" s="83"/>
      <c r="D152" s="83"/>
      <c r="E152" s="118"/>
      <c r="F152" s="118"/>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row>
    <row r="153">
      <c r="A153" s="83"/>
      <c r="B153" s="83"/>
      <c r="C153" s="83"/>
      <c r="D153" s="83"/>
      <c r="E153" s="118"/>
      <c r="F153" s="118"/>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row>
    <row r="154">
      <c r="A154" s="83"/>
      <c r="B154" s="83"/>
      <c r="C154" s="83"/>
      <c r="D154" s="83"/>
      <c r="E154" s="118"/>
      <c r="F154" s="118"/>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row>
    <row r="155">
      <c r="A155" s="83"/>
      <c r="B155" s="83"/>
      <c r="C155" s="83"/>
      <c r="D155" s="83"/>
      <c r="E155" s="118"/>
      <c r="F155" s="118"/>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row>
    <row r="156">
      <c r="A156" s="83"/>
      <c r="B156" s="83"/>
      <c r="C156" s="83"/>
      <c r="D156" s="83"/>
      <c r="E156" s="118"/>
      <c r="F156" s="118"/>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row>
    <row r="157">
      <c r="A157" s="83"/>
      <c r="B157" s="83"/>
      <c r="C157" s="83"/>
      <c r="D157" s="83"/>
      <c r="E157" s="118"/>
      <c r="F157" s="118"/>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row>
    <row r="158">
      <c r="A158" s="83"/>
      <c r="B158" s="83"/>
      <c r="C158" s="83"/>
      <c r="D158" s="83"/>
      <c r="E158" s="118"/>
      <c r="F158" s="118"/>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row>
    <row r="159">
      <c r="A159" s="83"/>
      <c r="B159" s="83"/>
      <c r="C159" s="83"/>
      <c r="D159" s="83"/>
      <c r="E159" s="118"/>
      <c r="F159" s="118"/>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row>
    <row r="160">
      <c r="A160" s="83"/>
      <c r="B160" s="83"/>
      <c r="C160" s="83"/>
      <c r="D160" s="83"/>
      <c r="E160" s="118"/>
      <c r="F160" s="118"/>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row>
    <row r="161">
      <c r="A161" s="83"/>
      <c r="B161" s="83"/>
      <c r="C161" s="83"/>
      <c r="D161" s="83"/>
      <c r="E161" s="118"/>
      <c r="F161" s="118"/>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row>
    <row r="162">
      <c r="A162" s="83"/>
      <c r="B162" s="83"/>
      <c r="C162" s="83"/>
      <c r="D162" s="83"/>
      <c r="E162" s="118"/>
      <c r="F162" s="118"/>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row>
    <row r="163">
      <c r="A163" s="83"/>
      <c r="B163" s="83"/>
      <c r="C163" s="83"/>
      <c r="D163" s="83"/>
      <c r="E163" s="118"/>
      <c r="F163" s="118"/>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row>
    <row r="164">
      <c r="A164" s="83"/>
      <c r="B164" s="83"/>
      <c r="C164" s="83"/>
      <c r="D164" s="83"/>
      <c r="E164" s="118"/>
      <c r="F164" s="118"/>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row>
    <row r="165">
      <c r="A165" s="83"/>
      <c r="B165" s="83"/>
      <c r="C165" s="83"/>
      <c r="D165" s="83"/>
      <c r="E165" s="118"/>
      <c r="F165" s="118"/>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row>
    <row r="166">
      <c r="A166" s="83"/>
      <c r="B166" s="83"/>
      <c r="C166" s="83"/>
      <c r="D166" s="83"/>
      <c r="E166" s="118"/>
      <c r="F166" s="118"/>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row>
    <row r="167">
      <c r="A167" s="83"/>
      <c r="B167" s="83"/>
      <c r="C167" s="83"/>
      <c r="D167" s="83"/>
      <c r="E167" s="118"/>
      <c r="F167" s="118"/>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row>
    <row r="168">
      <c r="A168" s="83"/>
      <c r="B168" s="83"/>
      <c r="C168" s="83"/>
      <c r="D168" s="83"/>
      <c r="E168" s="118"/>
      <c r="F168" s="118"/>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row>
    <row r="169">
      <c r="A169" s="83"/>
      <c r="B169" s="83"/>
      <c r="C169" s="83"/>
      <c r="D169" s="83"/>
      <c r="E169" s="118"/>
      <c r="F169" s="118"/>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row>
    <row r="170">
      <c r="A170" s="83"/>
      <c r="B170" s="83"/>
      <c r="C170" s="83"/>
      <c r="D170" s="83"/>
      <c r="E170" s="118"/>
      <c r="F170" s="118"/>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row>
    <row r="171">
      <c r="A171" s="83"/>
      <c r="B171" s="83"/>
      <c r="C171" s="83"/>
      <c r="D171" s="83"/>
      <c r="E171" s="118"/>
      <c r="F171" s="118"/>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row>
    <row r="172">
      <c r="A172" s="83"/>
      <c r="B172" s="83"/>
      <c r="C172" s="83"/>
      <c r="D172" s="83"/>
      <c r="E172" s="118"/>
      <c r="F172" s="118"/>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row>
    <row r="173">
      <c r="A173" s="83"/>
      <c r="B173" s="83"/>
      <c r="C173" s="83"/>
      <c r="D173" s="83"/>
      <c r="E173" s="118"/>
      <c r="F173" s="118"/>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row>
    <row r="174">
      <c r="A174" s="83"/>
      <c r="B174" s="83"/>
      <c r="C174" s="83"/>
      <c r="D174" s="83"/>
      <c r="E174" s="118"/>
      <c r="F174" s="118"/>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row>
    <row r="175">
      <c r="A175" s="83"/>
      <c r="B175" s="83"/>
      <c r="C175" s="83"/>
      <c r="D175" s="83"/>
      <c r="E175" s="118"/>
      <c r="F175" s="118"/>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row>
    <row r="176">
      <c r="A176" s="83"/>
      <c r="B176" s="83"/>
      <c r="C176" s="83"/>
      <c r="D176" s="83"/>
      <c r="E176" s="118"/>
      <c r="F176" s="118"/>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row>
    <row r="177">
      <c r="A177" s="83"/>
      <c r="B177" s="83"/>
      <c r="C177" s="83"/>
      <c r="D177" s="83"/>
      <c r="E177" s="118"/>
      <c r="F177" s="118"/>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row>
    <row r="178">
      <c r="A178" s="83"/>
      <c r="B178" s="83"/>
      <c r="C178" s="83"/>
      <c r="D178" s="83"/>
      <c r="E178" s="118"/>
      <c r="F178" s="118"/>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row>
    <row r="179">
      <c r="A179" s="83"/>
      <c r="B179" s="83"/>
      <c r="C179" s="83"/>
      <c r="D179" s="83"/>
      <c r="E179" s="118"/>
      <c r="F179" s="118"/>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row>
    <row r="180">
      <c r="A180" s="83"/>
      <c r="B180" s="83"/>
      <c r="C180" s="83"/>
      <c r="D180" s="83"/>
      <c r="E180" s="118"/>
      <c r="F180" s="118"/>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row>
    <row r="181">
      <c r="A181" s="83"/>
      <c r="B181" s="83"/>
      <c r="C181" s="83"/>
      <c r="D181" s="83"/>
      <c r="E181" s="118"/>
      <c r="F181" s="118"/>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row>
    <row r="182">
      <c r="A182" s="83"/>
      <c r="B182" s="83"/>
      <c r="C182" s="83"/>
      <c r="D182" s="83"/>
      <c r="E182" s="118"/>
      <c r="F182" s="118"/>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row>
    <row r="183">
      <c r="A183" s="83"/>
      <c r="B183" s="83"/>
      <c r="C183" s="83"/>
      <c r="D183" s="83"/>
      <c r="E183" s="118"/>
      <c r="F183" s="118"/>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row>
    <row r="184">
      <c r="A184" s="83"/>
      <c r="B184" s="83"/>
      <c r="C184" s="83"/>
      <c r="D184" s="83"/>
      <c r="E184" s="118"/>
      <c r="F184" s="118"/>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row>
    <row r="185">
      <c r="A185" s="83"/>
      <c r="B185" s="83"/>
      <c r="C185" s="83"/>
      <c r="D185" s="83"/>
      <c r="E185" s="118"/>
      <c r="F185" s="118"/>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row>
    <row r="186">
      <c r="A186" s="83"/>
      <c r="B186" s="83"/>
      <c r="C186" s="83"/>
      <c r="D186" s="83"/>
      <c r="E186" s="118"/>
      <c r="F186" s="118"/>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row>
    <row r="187">
      <c r="A187" s="83"/>
      <c r="B187" s="83"/>
      <c r="C187" s="83"/>
      <c r="D187" s="83"/>
      <c r="E187" s="118"/>
      <c r="F187" s="118"/>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row>
    <row r="188">
      <c r="A188" s="83"/>
      <c r="B188" s="83"/>
      <c r="C188" s="83"/>
      <c r="D188" s="83"/>
      <c r="E188" s="118"/>
      <c r="F188" s="118"/>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row>
    <row r="189">
      <c r="A189" s="83"/>
      <c r="B189" s="83"/>
      <c r="C189" s="83"/>
      <c r="D189" s="83"/>
      <c r="E189" s="118"/>
      <c r="F189" s="118"/>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row>
    <row r="190">
      <c r="A190" s="83"/>
      <c r="B190" s="83"/>
      <c r="C190" s="83"/>
      <c r="D190" s="83"/>
      <c r="E190" s="118"/>
      <c r="F190" s="118"/>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row>
    <row r="191">
      <c r="A191" s="83"/>
      <c r="B191" s="83"/>
      <c r="C191" s="83"/>
      <c r="D191" s="83"/>
      <c r="E191" s="118"/>
      <c r="F191" s="118"/>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row>
    <row r="192">
      <c r="A192" s="83"/>
      <c r="B192" s="83"/>
      <c r="C192" s="83"/>
      <c r="D192" s="83"/>
      <c r="E192" s="118"/>
      <c r="F192" s="118"/>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row>
    <row r="193">
      <c r="A193" s="83"/>
      <c r="B193" s="83"/>
      <c r="C193" s="83"/>
      <c r="D193" s="83"/>
      <c r="E193" s="118"/>
      <c r="F193" s="118"/>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row>
    <row r="194">
      <c r="A194" s="83"/>
      <c r="B194" s="83"/>
      <c r="C194" s="83"/>
      <c r="D194" s="83"/>
      <c r="E194" s="118"/>
      <c r="F194" s="118"/>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row>
    <row r="195">
      <c r="A195" s="83"/>
      <c r="B195" s="83"/>
      <c r="C195" s="83"/>
      <c r="D195" s="83"/>
      <c r="E195" s="118"/>
      <c r="F195" s="118"/>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row>
    <row r="196">
      <c r="A196" s="83"/>
      <c r="B196" s="83"/>
      <c r="C196" s="83"/>
      <c r="D196" s="83"/>
      <c r="E196" s="118"/>
      <c r="F196" s="118"/>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row>
    <row r="197">
      <c r="A197" s="83"/>
      <c r="B197" s="83"/>
      <c r="C197" s="83"/>
      <c r="D197" s="83"/>
      <c r="E197" s="118"/>
      <c r="F197" s="118"/>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row>
    <row r="198">
      <c r="A198" s="83"/>
      <c r="B198" s="83"/>
      <c r="C198" s="83"/>
      <c r="D198" s="83"/>
      <c r="E198" s="118"/>
      <c r="F198" s="118"/>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c r="AD198" s="83"/>
    </row>
    <row r="199">
      <c r="A199" s="83"/>
      <c r="B199" s="83"/>
      <c r="C199" s="83"/>
      <c r="D199" s="83"/>
      <c r="E199" s="118"/>
      <c r="F199" s="118"/>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row>
    <row r="200">
      <c r="A200" s="83"/>
      <c r="B200" s="83"/>
      <c r="C200" s="83"/>
      <c r="D200" s="83"/>
      <c r="E200" s="118"/>
      <c r="F200" s="118"/>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row>
    <row r="201">
      <c r="A201" s="83"/>
      <c r="B201" s="83"/>
      <c r="C201" s="83"/>
      <c r="D201" s="83"/>
      <c r="E201" s="118"/>
      <c r="F201" s="118"/>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row>
    <row r="202">
      <c r="A202" s="83"/>
      <c r="B202" s="83"/>
      <c r="C202" s="83"/>
      <c r="D202" s="83"/>
      <c r="E202" s="118"/>
      <c r="F202" s="118"/>
      <c r="G202" s="83"/>
      <c r="H202" s="83"/>
      <c r="I202" s="83"/>
      <c r="J202" s="83"/>
      <c r="K202" s="83"/>
      <c r="L202" s="83"/>
      <c r="M202" s="83"/>
      <c r="N202" s="83"/>
      <c r="O202" s="83"/>
      <c r="P202" s="83"/>
      <c r="Q202" s="83"/>
      <c r="R202" s="83"/>
      <c r="S202" s="83"/>
      <c r="T202" s="83"/>
      <c r="U202" s="83"/>
      <c r="V202" s="83"/>
      <c r="W202" s="83"/>
      <c r="X202" s="83"/>
      <c r="Y202" s="83"/>
      <c r="Z202" s="83"/>
      <c r="AA202" s="83"/>
      <c r="AB202" s="83"/>
      <c r="AC202" s="83"/>
      <c r="AD202" s="83"/>
    </row>
    <row r="203">
      <c r="A203" s="83"/>
      <c r="B203" s="83"/>
      <c r="C203" s="83"/>
      <c r="D203" s="83"/>
      <c r="E203" s="118"/>
      <c r="F203" s="118"/>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row>
    <row r="204">
      <c r="A204" s="83"/>
      <c r="B204" s="83"/>
      <c r="C204" s="83"/>
      <c r="D204" s="83"/>
      <c r="E204" s="118"/>
      <c r="F204" s="118"/>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row>
    <row r="205">
      <c r="A205" s="83"/>
      <c r="B205" s="83"/>
      <c r="C205" s="83"/>
      <c r="D205" s="83"/>
      <c r="E205" s="118"/>
      <c r="F205" s="118"/>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row>
    <row r="206">
      <c r="A206" s="83"/>
      <c r="B206" s="83"/>
      <c r="C206" s="83"/>
      <c r="D206" s="83"/>
      <c r="E206" s="118"/>
      <c r="F206" s="118"/>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row>
    <row r="207">
      <c r="A207" s="83"/>
      <c r="B207" s="83"/>
      <c r="C207" s="83"/>
      <c r="D207" s="83"/>
      <c r="E207" s="118"/>
      <c r="F207" s="118"/>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row>
    <row r="208">
      <c r="A208" s="83"/>
      <c r="B208" s="83"/>
      <c r="C208" s="83"/>
      <c r="D208" s="83"/>
      <c r="E208" s="118"/>
      <c r="F208" s="118"/>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c r="AD208" s="83"/>
    </row>
    <row r="209">
      <c r="A209" s="83"/>
      <c r="B209" s="83"/>
      <c r="C209" s="83"/>
      <c r="D209" s="83"/>
      <c r="E209" s="118"/>
      <c r="F209" s="118"/>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row>
    <row r="210">
      <c r="A210" s="83"/>
      <c r="B210" s="83"/>
      <c r="C210" s="83"/>
      <c r="D210" s="83"/>
      <c r="E210" s="118"/>
      <c r="F210" s="118"/>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row>
    <row r="211">
      <c r="A211" s="83"/>
      <c r="B211" s="83"/>
      <c r="C211" s="83"/>
      <c r="D211" s="83"/>
      <c r="E211" s="118"/>
      <c r="F211" s="118"/>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row>
    <row r="212">
      <c r="A212" s="83"/>
      <c r="B212" s="83"/>
      <c r="C212" s="83"/>
      <c r="D212" s="83"/>
      <c r="E212" s="118"/>
      <c r="F212" s="118"/>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row>
    <row r="213">
      <c r="A213" s="83"/>
      <c r="B213" s="83"/>
      <c r="C213" s="83"/>
      <c r="D213" s="83"/>
      <c r="E213" s="118"/>
      <c r="F213" s="118"/>
      <c r="G213" s="83"/>
      <c r="H213" s="83"/>
      <c r="I213" s="83"/>
      <c r="J213" s="83"/>
      <c r="K213" s="83"/>
      <c r="L213" s="83"/>
      <c r="M213" s="83"/>
      <c r="N213" s="83"/>
      <c r="O213" s="83"/>
      <c r="P213" s="83"/>
      <c r="Q213" s="83"/>
      <c r="R213" s="83"/>
      <c r="S213" s="83"/>
      <c r="T213" s="83"/>
      <c r="U213" s="83"/>
      <c r="V213" s="83"/>
      <c r="W213" s="83"/>
      <c r="X213" s="83"/>
      <c r="Y213" s="83"/>
      <c r="Z213" s="83"/>
      <c r="AA213" s="83"/>
      <c r="AB213" s="83"/>
      <c r="AC213" s="83"/>
      <c r="AD213" s="83"/>
    </row>
    <row r="214">
      <c r="A214" s="83"/>
      <c r="B214" s="83"/>
      <c r="C214" s="83"/>
      <c r="D214" s="83"/>
      <c r="E214" s="118"/>
      <c r="F214" s="118"/>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row>
    <row r="215">
      <c r="A215" s="83"/>
      <c r="B215" s="83"/>
      <c r="C215" s="83"/>
      <c r="D215" s="83"/>
      <c r="E215" s="118"/>
      <c r="F215" s="118"/>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row>
    <row r="216">
      <c r="A216" s="83"/>
      <c r="B216" s="83"/>
      <c r="C216" s="83"/>
      <c r="D216" s="83"/>
      <c r="E216" s="118"/>
      <c r="F216" s="118"/>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c r="AD216" s="83"/>
    </row>
    <row r="217">
      <c r="A217" s="83"/>
      <c r="B217" s="83"/>
      <c r="C217" s="83"/>
      <c r="D217" s="83"/>
      <c r="E217" s="118"/>
      <c r="F217" s="118"/>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row>
    <row r="218">
      <c r="A218" s="83"/>
      <c r="B218" s="83"/>
      <c r="C218" s="83"/>
      <c r="D218" s="83"/>
      <c r="E218" s="118"/>
      <c r="F218" s="118"/>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c r="AD218" s="83"/>
    </row>
    <row r="219">
      <c r="A219" s="83"/>
      <c r="B219" s="83"/>
      <c r="C219" s="83"/>
      <c r="D219" s="83"/>
      <c r="E219" s="118"/>
      <c r="F219" s="118"/>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row>
    <row r="220">
      <c r="A220" s="83"/>
      <c r="B220" s="83"/>
      <c r="C220" s="83"/>
      <c r="D220" s="83"/>
      <c r="E220" s="118"/>
      <c r="F220" s="118"/>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row>
    <row r="221">
      <c r="A221" s="83"/>
      <c r="B221" s="83"/>
      <c r="C221" s="83"/>
      <c r="D221" s="83"/>
      <c r="E221" s="118"/>
      <c r="F221" s="118"/>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row>
    <row r="222">
      <c r="A222" s="83"/>
      <c r="B222" s="83"/>
      <c r="C222" s="83"/>
      <c r="D222" s="83"/>
      <c r="E222" s="118"/>
      <c r="F222" s="118"/>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c r="AD222" s="83"/>
    </row>
    <row r="223">
      <c r="A223" s="83"/>
      <c r="B223" s="83"/>
      <c r="C223" s="83"/>
      <c r="D223" s="83"/>
      <c r="E223" s="118"/>
      <c r="F223" s="118"/>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row>
    <row r="224">
      <c r="A224" s="83"/>
      <c r="B224" s="83"/>
      <c r="C224" s="83"/>
      <c r="D224" s="83"/>
      <c r="E224" s="118"/>
      <c r="F224" s="118"/>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row>
    <row r="225">
      <c r="A225" s="83"/>
      <c r="B225" s="83"/>
      <c r="C225" s="83"/>
      <c r="D225" s="83"/>
      <c r="E225" s="118"/>
      <c r="F225" s="118"/>
      <c r="G225" s="83"/>
      <c r="H225" s="83"/>
      <c r="I225" s="83"/>
      <c r="J225" s="83"/>
      <c r="K225" s="83"/>
      <c r="L225" s="83"/>
      <c r="M225" s="83"/>
      <c r="N225" s="83"/>
      <c r="O225" s="83"/>
      <c r="P225" s="83"/>
      <c r="Q225" s="83"/>
      <c r="R225" s="83"/>
      <c r="S225" s="83"/>
      <c r="T225" s="83"/>
      <c r="U225" s="83"/>
      <c r="V225" s="83"/>
      <c r="W225" s="83"/>
      <c r="X225" s="83"/>
      <c r="Y225" s="83"/>
      <c r="Z225" s="83"/>
      <c r="AA225" s="83"/>
      <c r="AB225" s="83"/>
      <c r="AC225" s="83"/>
      <c r="AD225" s="83"/>
    </row>
    <row r="226">
      <c r="A226" s="83"/>
      <c r="B226" s="83"/>
      <c r="C226" s="83"/>
      <c r="D226" s="83"/>
      <c r="E226" s="118"/>
      <c r="F226" s="118"/>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c r="AD226" s="83"/>
    </row>
    <row r="227">
      <c r="A227" s="83"/>
      <c r="B227" s="83"/>
      <c r="C227" s="83"/>
      <c r="D227" s="83"/>
      <c r="E227" s="118"/>
      <c r="F227" s="118"/>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row>
    <row r="228">
      <c r="A228" s="83"/>
      <c r="B228" s="83"/>
      <c r="C228" s="83"/>
      <c r="D228" s="83"/>
      <c r="E228" s="118"/>
      <c r="F228" s="118"/>
      <c r="G228" s="83"/>
      <c r="H228" s="83"/>
      <c r="I228" s="83"/>
      <c r="J228" s="83"/>
      <c r="K228" s="83"/>
      <c r="L228" s="83"/>
      <c r="M228" s="83"/>
      <c r="N228" s="83"/>
      <c r="O228" s="83"/>
      <c r="P228" s="83"/>
      <c r="Q228" s="83"/>
      <c r="R228" s="83"/>
      <c r="S228" s="83"/>
      <c r="T228" s="83"/>
      <c r="U228" s="83"/>
      <c r="V228" s="83"/>
      <c r="W228" s="83"/>
      <c r="X228" s="83"/>
      <c r="Y228" s="83"/>
      <c r="Z228" s="83"/>
      <c r="AA228" s="83"/>
      <c r="AB228" s="83"/>
      <c r="AC228" s="83"/>
      <c r="AD228" s="83"/>
    </row>
    <row r="229">
      <c r="A229" s="83"/>
      <c r="B229" s="83"/>
      <c r="C229" s="83"/>
      <c r="D229" s="83"/>
      <c r="E229" s="118"/>
      <c r="F229" s="118"/>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c r="AD229" s="83"/>
    </row>
    <row r="230">
      <c r="A230" s="83"/>
      <c r="B230" s="83"/>
      <c r="C230" s="83"/>
      <c r="D230" s="83"/>
      <c r="E230" s="118"/>
      <c r="F230" s="118"/>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row>
    <row r="231">
      <c r="A231" s="83"/>
      <c r="B231" s="83"/>
      <c r="C231" s="83"/>
      <c r="D231" s="83"/>
      <c r="E231" s="118"/>
      <c r="F231" s="118"/>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row>
    <row r="232">
      <c r="A232" s="83"/>
      <c r="B232" s="83"/>
      <c r="C232" s="83"/>
      <c r="D232" s="83"/>
      <c r="E232" s="118"/>
      <c r="F232" s="118"/>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row>
    <row r="233">
      <c r="A233" s="83"/>
      <c r="B233" s="83"/>
      <c r="C233" s="83"/>
      <c r="D233" s="83"/>
      <c r="E233" s="118"/>
      <c r="F233" s="118"/>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row>
    <row r="234">
      <c r="A234" s="83"/>
      <c r="B234" s="83"/>
      <c r="C234" s="83"/>
      <c r="D234" s="83"/>
      <c r="E234" s="118"/>
      <c r="F234" s="118"/>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row>
    <row r="235">
      <c r="A235" s="83"/>
      <c r="B235" s="83"/>
      <c r="C235" s="83"/>
      <c r="D235" s="83"/>
      <c r="E235" s="118"/>
      <c r="F235" s="118"/>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row>
    <row r="236">
      <c r="A236" s="83"/>
      <c r="B236" s="83"/>
      <c r="C236" s="83"/>
      <c r="D236" s="83"/>
      <c r="E236" s="118"/>
      <c r="F236" s="118"/>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row>
    <row r="237">
      <c r="A237" s="83"/>
      <c r="B237" s="83"/>
      <c r="C237" s="83"/>
      <c r="D237" s="83"/>
      <c r="E237" s="118"/>
      <c r="F237" s="118"/>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row>
    <row r="238">
      <c r="A238" s="83"/>
      <c r="B238" s="83"/>
      <c r="C238" s="83"/>
      <c r="D238" s="83"/>
      <c r="E238" s="118"/>
      <c r="F238" s="118"/>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row>
    <row r="239">
      <c r="A239" s="83"/>
      <c r="B239" s="83"/>
      <c r="C239" s="83"/>
      <c r="D239" s="83"/>
      <c r="E239" s="118"/>
      <c r="F239" s="118"/>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row>
    <row r="240">
      <c r="A240" s="83"/>
      <c r="B240" s="83"/>
      <c r="C240" s="83"/>
      <c r="D240" s="83"/>
      <c r="E240" s="118"/>
      <c r="F240" s="118"/>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row>
    <row r="241">
      <c r="A241" s="83"/>
      <c r="B241" s="83"/>
      <c r="C241" s="83"/>
      <c r="D241" s="83"/>
      <c r="E241" s="118"/>
      <c r="F241" s="118"/>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row>
    <row r="242">
      <c r="A242" s="83"/>
      <c r="B242" s="83"/>
      <c r="C242" s="83"/>
      <c r="D242" s="83"/>
      <c r="E242" s="118"/>
      <c r="F242" s="118"/>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row>
    <row r="243">
      <c r="A243" s="83"/>
      <c r="B243" s="83"/>
      <c r="C243" s="83"/>
      <c r="D243" s="83"/>
      <c r="E243" s="118"/>
      <c r="F243" s="118"/>
      <c r="G243" s="83"/>
      <c r="H243" s="83"/>
      <c r="I243" s="83"/>
      <c r="J243" s="83"/>
      <c r="K243" s="83"/>
      <c r="L243" s="83"/>
      <c r="M243" s="83"/>
      <c r="N243" s="83"/>
      <c r="O243" s="83"/>
      <c r="P243" s="83"/>
      <c r="Q243" s="83"/>
      <c r="R243" s="83"/>
      <c r="S243" s="83"/>
      <c r="T243" s="83"/>
      <c r="U243" s="83"/>
      <c r="V243" s="83"/>
      <c r="W243" s="83"/>
      <c r="X243" s="83"/>
      <c r="Y243" s="83"/>
      <c r="Z243" s="83"/>
      <c r="AA243" s="83"/>
      <c r="AB243" s="83"/>
      <c r="AC243" s="83"/>
      <c r="AD243" s="83"/>
    </row>
    <row r="244">
      <c r="A244" s="83"/>
      <c r="B244" s="83"/>
      <c r="C244" s="83"/>
      <c r="D244" s="83"/>
      <c r="E244" s="118"/>
      <c r="F244" s="118"/>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row>
    <row r="245">
      <c r="A245" s="83"/>
      <c r="B245" s="83"/>
      <c r="C245" s="83"/>
      <c r="D245" s="83"/>
      <c r="E245" s="118"/>
      <c r="F245" s="118"/>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row>
    <row r="246">
      <c r="A246" s="83"/>
      <c r="B246" s="83"/>
      <c r="C246" s="83"/>
      <c r="D246" s="83"/>
      <c r="E246" s="118"/>
      <c r="F246" s="118"/>
      <c r="G246" s="83"/>
      <c r="H246" s="83"/>
      <c r="I246" s="83"/>
      <c r="J246" s="83"/>
      <c r="K246" s="83"/>
      <c r="L246" s="83"/>
      <c r="M246" s="83"/>
      <c r="N246" s="83"/>
      <c r="O246" s="83"/>
      <c r="P246" s="83"/>
      <c r="Q246" s="83"/>
      <c r="R246" s="83"/>
      <c r="S246" s="83"/>
      <c r="T246" s="83"/>
      <c r="U246" s="83"/>
      <c r="V246" s="83"/>
      <c r="W246" s="83"/>
      <c r="X246" s="83"/>
      <c r="Y246" s="83"/>
      <c r="Z246" s="83"/>
      <c r="AA246" s="83"/>
      <c r="AB246" s="83"/>
      <c r="AC246" s="83"/>
      <c r="AD246" s="83"/>
    </row>
    <row r="247">
      <c r="A247" s="83"/>
      <c r="B247" s="83"/>
      <c r="C247" s="83"/>
      <c r="D247" s="83"/>
      <c r="E247" s="118"/>
      <c r="F247" s="118"/>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row>
    <row r="248">
      <c r="A248" s="83"/>
      <c r="B248" s="83"/>
      <c r="C248" s="83"/>
      <c r="D248" s="83"/>
      <c r="E248" s="118"/>
      <c r="F248" s="118"/>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row>
    <row r="249">
      <c r="A249" s="83"/>
      <c r="B249" s="83"/>
      <c r="C249" s="83"/>
      <c r="D249" s="83"/>
      <c r="E249" s="118"/>
      <c r="F249" s="118"/>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row>
    <row r="250">
      <c r="A250" s="83"/>
      <c r="B250" s="83"/>
      <c r="C250" s="83"/>
      <c r="D250" s="83"/>
      <c r="E250" s="118"/>
      <c r="F250" s="118"/>
      <c r="G250" s="83"/>
      <c r="H250" s="83"/>
      <c r="I250" s="83"/>
      <c r="J250" s="83"/>
      <c r="K250" s="83"/>
      <c r="L250" s="83"/>
      <c r="M250" s="83"/>
      <c r="N250" s="83"/>
      <c r="O250" s="83"/>
      <c r="P250" s="83"/>
      <c r="Q250" s="83"/>
      <c r="R250" s="83"/>
      <c r="S250" s="83"/>
      <c r="T250" s="83"/>
      <c r="U250" s="83"/>
      <c r="V250" s="83"/>
      <c r="W250" s="83"/>
      <c r="X250" s="83"/>
      <c r="Y250" s="83"/>
      <c r="Z250" s="83"/>
      <c r="AA250" s="83"/>
      <c r="AB250" s="83"/>
      <c r="AC250" s="83"/>
      <c r="AD250" s="83"/>
    </row>
    <row r="251">
      <c r="A251" s="83"/>
      <c r="B251" s="83"/>
      <c r="C251" s="83"/>
      <c r="D251" s="83"/>
      <c r="E251" s="118"/>
      <c r="F251" s="118"/>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row>
    <row r="252">
      <c r="A252" s="83"/>
      <c r="B252" s="83"/>
      <c r="C252" s="83"/>
      <c r="D252" s="83"/>
      <c r="E252" s="118"/>
      <c r="F252" s="118"/>
      <c r="G252" s="83"/>
      <c r="H252" s="83"/>
      <c r="I252" s="83"/>
      <c r="J252" s="83"/>
      <c r="K252" s="83"/>
      <c r="L252" s="83"/>
      <c r="M252" s="83"/>
      <c r="N252" s="83"/>
      <c r="O252" s="83"/>
      <c r="P252" s="83"/>
      <c r="Q252" s="83"/>
      <c r="R252" s="83"/>
      <c r="S252" s="83"/>
      <c r="T252" s="83"/>
      <c r="U252" s="83"/>
      <c r="V252" s="83"/>
      <c r="W252" s="83"/>
      <c r="X252" s="83"/>
      <c r="Y252" s="83"/>
      <c r="Z252" s="83"/>
      <c r="AA252" s="83"/>
      <c r="AB252" s="83"/>
      <c r="AC252" s="83"/>
      <c r="AD252" s="83"/>
    </row>
    <row r="253">
      <c r="A253" s="83"/>
      <c r="B253" s="83"/>
      <c r="C253" s="83"/>
      <c r="D253" s="83"/>
      <c r="E253" s="118"/>
      <c r="F253" s="118"/>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row>
    <row r="254">
      <c r="A254" s="83"/>
      <c r="B254" s="83"/>
      <c r="C254" s="83"/>
      <c r="D254" s="83"/>
      <c r="E254" s="118"/>
      <c r="F254" s="118"/>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row>
    <row r="255">
      <c r="A255" s="83"/>
      <c r="B255" s="83"/>
      <c r="C255" s="83"/>
      <c r="D255" s="83"/>
      <c r="E255" s="118"/>
      <c r="F255" s="118"/>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row>
    <row r="256">
      <c r="A256" s="83"/>
      <c r="B256" s="83"/>
      <c r="C256" s="83"/>
      <c r="D256" s="83"/>
      <c r="E256" s="118"/>
      <c r="F256" s="118"/>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row>
    <row r="257">
      <c r="A257" s="83"/>
      <c r="B257" s="83"/>
      <c r="C257" s="83"/>
      <c r="D257" s="83"/>
      <c r="E257" s="118"/>
      <c r="F257" s="118"/>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row>
    <row r="258">
      <c r="A258" s="83"/>
      <c r="B258" s="83"/>
      <c r="C258" s="83"/>
      <c r="D258" s="83"/>
      <c r="E258" s="118"/>
      <c r="F258" s="118"/>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row>
    <row r="259">
      <c r="A259" s="83"/>
      <c r="B259" s="83"/>
      <c r="C259" s="83"/>
      <c r="D259" s="83"/>
      <c r="E259" s="118"/>
      <c r="F259" s="118"/>
      <c r="G259" s="83"/>
      <c r="H259" s="83"/>
      <c r="I259" s="83"/>
      <c r="J259" s="83"/>
      <c r="K259" s="83"/>
      <c r="L259" s="83"/>
      <c r="M259" s="83"/>
      <c r="N259" s="83"/>
      <c r="O259" s="83"/>
      <c r="P259" s="83"/>
      <c r="Q259" s="83"/>
      <c r="R259" s="83"/>
      <c r="S259" s="83"/>
      <c r="T259" s="83"/>
      <c r="U259" s="83"/>
      <c r="V259" s="83"/>
      <c r="W259" s="83"/>
      <c r="X259" s="83"/>
      <c r="Y259" s="83"/>
      <c r="Z259" s="83"/>
      <c r="AA259" s="83"/>
      <c r="AB259" s="83"/>
      <c r="AC259" s="83"/>
      <c r="AD259" s="83"/>
    </row>
    <row r="260">
      <c r="A260" s="83"/>
      <c r="B260" s="83"/>
      <c r="C260" s="83"/>
      <c r="D260" s="83"/>
      <c r="E260" s="118"/>
      <c r="F260" s="118"/>
      <c r="G260" s="83"/>
      <c r="H260" s="83"/>
      <c r="I260" s="83"/>
      <c r="J260" s="83"/>
      <c r="K260" s="83"/>
      <c r="L260" s="83"/>
      <c r="M260" s="83"/>
      <c r="N260" s="83"/>
      <c r="O260" s="83"/>
      <c r="P260" s="83"/>
      <c r="Q260" s="83"/>
      <c r="R260" s="83"/>
      <c r="S260" s="83"/>
      <c r="T260" s="83"/>
      <c r="U260" s="83"/>
      <c r="V260" s="83"/>
      <c r="W260" s="83"/>
      <c r="X260" s="83"/>
      <c r="Y260" s="83"/>
      <c r="Z260" s="83"/>
      <c r="AA260" s="83"/>
      <c r="AB260" s="83"/>
      <c r="AC260" s="83"/>
      <c r="AD260" s="83"/>
    </row>
    <row r="261">
      <c r="A261" s="83"/>
      <c r="B261" s="83"/>
      <c r="C261" s="83"/>
      <c r="D261" s="83"/>
      <c r="E261" s="118"/>
      <c r="F261" s="118"/>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row>
    <row r="262">
      <c r="A262" s="83"/>
      <c r="B262" s="83"/>
      <c r="C262" s="83"/>
      <c r="D262" s="83"/>
      <c r="E262" s="118"/>
      <c r="F262" s="118"/>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row>
    <row r="263">
      <c r="A263" s="83"/>
      <c r="B263" s="83"/>
      <c r="C263" s="83"/>
      <c r="D263" s="83"/>
      <c r="E263" s="118"/>
      <c r="F263" s="118"/>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row>
    <row r="264">
      <c r="A264" s="83"/>
      <c r="B264" s="83"/>
      <c r="C264" s="83"/>
      <c r="D264" s="83"/>
      <c r="E264" s="118"/>
      <c r="F264" s="118"/>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row>
    <row r="265">
      <c r="A265" s="83"/>
      <c r="B265" s="83"/>
      <c r="C265" s="83"/>
      <c r="D265" s="83"/>
      <c r="E265" s="118"/>
      <c r="F265" s="118"/>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row>
    <row r="266">
      <c r="A266" s="83"/>
      <c r="B266" s="83"/>
      <c r="C266" s="83"/>
      <c r="D266" s="83"/>
      <c r="E266" s="118"/>
      <c r="F266" s="118"/>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c r="AD266" s="83"/>
    </row>
    <row r="267">
      <c r="A267" s="83"/>
      <c r="B267" s="83"/>
      <c r="C267" s="83"/>
      <c r="D267" s="83"/>
      <c r="E267" s="118"/>
      <c r="F267" s="118"/>
      <c r="G267" s="83"/>
      <c r="H267" s="83"/>
      <c r="I267" s="83"/>
      <c r="J267" s="83"/>
      <c r="K267" s="83"/>
      <c r="L267" s="83"/>
      <c r="M267" s="83"/>
      <c r="N267" s="83"/>
      <c r="O267" s="83"/>
      <c r="P267" s="83"/>
      <c r="Q267" s="83"/>
      <c r="R267" s="83"/>
      <c r="S267" s="83"/>
      <c r="T267" s="83"/>
      <c r="U267" s="83"/>
      <c r="V267" s="83"/>
      <c r="W267" s="83"/>
      <c r="X267" s="83"/>
      <c r="Y267" s="83"/>
      <c r="Z267" s="83"/>
      <c r="AA267" s="83"/>
      <c r="AB267" s="83"/>
      <c r="AC267" s="83"/>
      <c r="AD267" s="83"/>
    </row>
    <row r="268">
      <c r="A268" s="83"/>
      <c r="B268" s="83"/>
      <c r="C268" s="83"/>
      <c r="D268" s="83"/>
      <c r="E268" s="118"/>
      <c r="F268" s="118"/>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row>
    <row r="269">
      <c r="A269" s="83"/>
      <c r="B269" s="83"/>
      <c r="C269" s="83"/>
      <c r="D269" s="83"/>
      <c r="E269" s="118"/>
      <c r="F269" s="118"/>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row>
    <row r="270">
      <c r="A270" s="83"/>
      <c r="B270" s="83"/>
      <c r="C270" s="83"/>
      <c r="D270" s="83"/>
      <c r="E270" s="118"/>
      <c r="F270" s="118"/>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c r="AD270" s="83"/>
    </row>
    <row r="271">
      <c r="A271" s="83"/>
      <c r="B271" s="83"/>
      <c r="C271" s="83"/>
      <c r="D271" s="83"/>
      <c r="E271" s="118"/>
      <c r="F271" s="118"/>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row>
    <row r="272">
      <c r="A272" s="83"/>
      <c r="B272" s="83"/>
      <c r="C272" s="83"/>
      <c r="D272" s="83"/>
      <c r="E272" s="118"/>
      <c r="F272" s="118"/>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row>
    <row r="273">
      <c r="A273" s="83"/>
      <c r="B273" s="83"/>
      <c r="C273" s="83"/>
      <c r="D273" s="83"/>
      <c r="E273" s="118"/>
      <c r="F273" s="118"/>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row>
    <row r="274">
      <c r="A274" s="83"/>
      <c r="B274" s="83"/>
      <c r="C274" s="83"/>
      <c r="D274" s="83"/>
      <c r="E274" s="118"/>
      <c r="F274" s="118"/>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row>
    <row r="275">
      <c r="A275" s="83"/>
      <c r="B275" s="83"/>
      <c r="C275" s="83"/>
      <c r="D275" s="83"/>
      <c r="E275" s="118"/>
      <c r="F275" s="118"/>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row>
    <row r="276">
      <c r="A276" s="83"/>
      <c r="B276" s="83"/>
      <c r="C276" s="83"/>
      <c r="D276" s="83"/>
      <c r="E276" s="118"/>
      <c r="F276" s="118"/>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row>
    <row r="277">
      <c r="A277" s="83"/>
      <c r="B277" s="83"/>
      <c r="C277" s="83"/>
      <c r="D277" s="83"/>
      <c r="E277" s="118"/>
      <c r="F277" s="118"/>
      <c r="G277" s="83"/>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row>
    <row r="278">
      <c r="A278" s="83"/>
      <c r="B278" s="83"/>
      <c r="C278" s="83"/>
      <c r="D278" s="83"/>
      <c r="E278" s="118"/>
      <c r="F278" s="118"/>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row>
    <row r="279">
      <c r="A279" s="83"/>
      <c r="B279" s="83"/>
      <c r="C279" s="83"/>
      <c r="D279" s="83"/>
      <c r="E279" s="118"/>
      <c r="F279" s="118"/>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row>
    <row r="280">
      <c r="A280" s="83"/>
      <c r="B280" s="83"/>
      <c r="C280" s="83"/>
      <c r="D280" s="83"/>
      <c r="E280" s="118"/>
      <c r="F280" s="118"/>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row>
    <row r="281">
      <c r="A281" s="83"/>
      <c r="B281" s="83"/>
      <c r="C281" s="83"/>
      <c r="D281" s="83"/>
      <c r="E281" s="118"/>
      <c r="F281" s="118"/>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row>
    <row r="282">
      <c r="A282" s="83"/>
      <c r="B282" s="83"/>
      <c r="C282" s="83"/>
      <c r="D282" s="83"/>
      <c r="E282" s="118"/>
      <c r="F282" s="118"/>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row>
    <row r="283">
      <c r="A283" s="83"/>
      <c r="B283" s="83"/>
      <c r="C283" s="83"/>
      <c r="D283" s="83"/>
      <c r="E283" s="118"/>
      <c r="F283" s="118"/>
      <c r="G283" s="83"/>
      <c r="H283" s="83"/>
      <c r="I283" s="83"/>
      <c r="J283" s="83"/>
      <c r="K283" s="83"/>
      <c r="L283" s="83"/>
      <c r="M283" s="83"/>
      <c r="N283" s="83"/>
      <c r="O283" s="83"/>
      <c r="P283" s="83"/>
      <c r="Q283" s="83"/>
      <c r="R283" s="83"/>
      <c r="S283" s="83"/>
      <c r="T283" s="83"/>
      <c r="U283" s="83"/>
      <c r="V283" s="83"/>
      <c r="W283" s="83"/>
      <c r="X283" s="83"/>
      <c r="Y283" s="83"/>
      <c r="Z283" s="83"/>
      <c r="AA283" s="83"/>
      <c r="AB283" s="83"/>
      <c r="AC283" s="83"/>
      <c r="AD283" s="83"/>
    </row>
    <row r="284">
      <c r="A284" s="83"/>
      <c r="B284" s="83"/>
      <c r="C284" s="83"/>
      <c r="D284" s="83"/>
      <c r="E284" s="118"/>
      <c r="F284" s="118"/>
      <c r="G284" s="83"/>
      <c r="H284" s="83"/>
      <c r="I284" s="83"/>
      <c r="J284" s="83"/>
      <c r="K284" s="83"/>
      <c r="L284" s="83"/>
      <c r="M284" s="83"/>
      <c r="N284" s="83"/>
      <c r="O284" s="83"/>
      <c r="P284" s="83"/>
      <c r="Q284" s="83"/>
      <c r="R284" s="83"/>
      <c r="S284" s="83"/>
      <c r="T284" s="83"/>
      <c r="U284" s="83"/>
      <c r="V284" s="83"/>
      <c r="W284" s="83"/>
      <c r="X284" s="83"/>
      <c r="Y284" s="83"/>
      <c r="Z284" s="83"/>
      <c r="AA284" s="83"/>
      <c r="AB284" s="83"/>
      <c r="AC284" s="83"/>
      <c r="AD284" s="83"/>
    </row>
    <row r="285">
      <c r="A285" s="83"/>
      <c r="B285" s="83"/>
      <c r="C285" s="83"/>
      <c r="D285" s="83"/>
      <c r="E285" s="118"/>
      <c r="F285" s="118"/>
      <c r="G285" s="83"/>
      <c r="H285" s="83"/>
      <c r="I285" s="83"/>
      <c r="J285" s="83"/>
      <c r="K285" s="83"/>
      <c r="L285" s="83"/>
      <c r="M285" s="83"/>
      <c r="N285" s="83"/>
      <c r="O285" s="83"/>
      <c r="P285" s="83"/>
      <c r="Q285" s="83"/>
      <c r="R285" s="83"/>
      <c r="S285" s="83"/>
      <c r="T285" s="83"/>
      <c r="U285" s="83"/>
      <c r="V285" s="83"/>
      <c r="W285" s="83"/>
      <c r="X285" s="83"/>
      <c r="Y285" s="83"/>
      <c r="Z285" s="83"/>
      <c r="AA285" s="83"/>
      <c r="AB285" s="83"/>
      <c r="AC285" s="83"/>
      <c r="AD285" s="83"/>
    </row>
    <row r="286">
      <c r="A286" s="83"/>
      <c r="B286" s="83"/>
      <c r="C286" s="83"/>
      <c r="D286" s="83"/>
      <c r="E286" s="118"/>
      <c r="F286" s="118"/>
      <c r="G286" s="83"/>
      <c r="H286" s="83"/>
      <c r="I286" s="83"/>
      <c r="J286" s="83"/>
      <c r="K286" s="83"/>
      <c r="L286" s="83"/>
      <c r="M286" s="83"/>
      <c r="N286" s="83"/>
      <c r="O286" s="83"/>
      <c r="P286" s="83"/>
      <c r="Q286" s="83"/>
      <c r="R286" s="83"/>
      <c r="S286" s="83"/>
      <c r="T286" s="83"/>
      <c r="U286" s="83"/>
      <c r="V286" s="83"/>
      <c r="W286" s="83"/>
      <c r="X286" s="83"/>
      <c r="Y286" s="83"/>
      <c r="Z286" s="83"/>
      <c r="AA286" s="83"/>
      <c r="AB286" s="83"/>
      <c r="AC286" s="83"/>
      <c r="AD286" s="83"/>
    </row>
    <row r="287">
      <c r="A287" s="83"/>
      <c r="B287" s="83"/>
      <c r="C287" s="83"/>
      <c r="D287" s="83"/>
      <c r="E287" s="118"/>
      <c r="F287" s="118"/>
      <c r="G287" s="83"/>
      <c r="H287" s="83"/>
      <c r="I287" s="83"/>
      <c r="J287" s="83"/>
      <c r="K287" s="83"/>
      <c r="L287" s="83"/>
      <c r="M287" s="83"/>
      <c r="N287" s="83"/>
      <c r="O287" s="83"/>
      <c r="P287" s="83"/>
      <c r="Q287" s="83"/>
      <c r="R287" s="83"/>
      <c r="S287" s="83"/>
      <c r="T287" s="83"/>
      <c r="U287" s="83"/>
      <c r="V287" s="83"/>
      <c r="W287" s="83"/>
      <c r="X287" s="83"/>
      <c r="Y287" s="83"/>
      <c r="Z287" s="83"/>
      <c r="AA287" s="83"/>
      <c r="AB287" s="83"/>
      <c r="AC287" s="83"/>
      <c r="AD287" s="83"/>
    </row>
    <row r="288">
      <c r="A288" s="83"/>
      <c r="B288" s="83"/>
      <c r="C288" s="83"/>
      <c r="D288" s="83"/>
      <c r="E288" s="118"/>
      <c r="F288" s="118"/>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row>
    <row r="289">
      <c r="A289" s="83"/>
      <c r="B289" s="83"/>
      <c r="C289" s="83"/>
      <c r="D289" s="83"/>
      <c r="E289" s="118"/>
      <c r="F289" s="118"/>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c r="AD289" s="83"/>
    </row>
    <row r="290">
      <c r="A290" s="83"/>
      <c r="B290" s="83"/>
      <c r="C290" s="83"/>
      <c r="D290" s="83"/>
      <c r="E290" s="118"/>
      <c r="F290" s="118"/>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c r="AD290" s="83"/>
    </row>
    <row r="291">
      <c r="A291" s="83"/>
      <c r="B291" s="83"/>
      <c r="C291" s="83"/>
      <c r="D291" s="83"/>
      <c r="E291" s="118"/>
      <c r="F291" s="118"/>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c r="AD291" s="83"/>
    </row>
    <row r="292">
      <c r="A292" s="83"/>
      <c r="B292" s="83"/>
      <c r="C292" s="83"/>
      <c r="D292" s="83"/>
      <c r="E292" s="118"/>
      <c r="F292" s="118"/>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c r="AD292" s="83"/>
    </row>
    <row r="293">
      <c r="A293" s="83"/>
      <c r="B293" s="83"/>
      <c r="C293" s="83"/>
      <c r="D293" s="83"/>
      <c r="E293" s="118"/>
      <c r="F293" s="118"/>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c r="AD293" s="83"/>
    </row>
    <row r="294">
      <c r="A294" s="83"/>
      <c r="B294" s="83"/>
      <c r="C294" s="83"/>
      <c r="D294" s="83"/>
      <c r="E294" s="118"/>
      <c r="F294" s="118"/>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c r="AD294" s="83"/>
    </row>
    <row r="295">
      <c r="A295" s="83"/>
      <c r="B295" s="83"/>
      <c r="C295" s="83"/>
      <c r="D295" s="83"/>
      <c r="E295" s="118"/>
      <c r="F295" s="118"/>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c r="AD295" s="83"/>
    </row>
    <row r="296">
      <c r="A296" s="83"/>
      <c r="B296" s="83"/>
      <c r="C296" s="83"/>
      <c r="D296" s="83"/>
      <c r="E296" s="118"/>
      <c r="F296" s="118"/>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c r="AD296" s="83"/>
    </row>
    <row r="297">
      <c r="A297" s="83"/>
      <c r="B297" s="83"/>
      <c r="C297" s="83"/>
      <c r="D297" s="83"/>
      <c r="E297" s="118"/>
      <c r="F297" s="118"/>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c r="AD297" s="83"/>
    </row>
    <row r="298">
      <c r="A298" s="83"/>
      <c r="B298" s="83"/>
      <c r="C298" s="83"/>
      <c r="D298" s="83"/>
      <c r="E298" s="118"/>
      <c r="F298" s="118"/>
      <c r="G298" s="83"/>
      <c r="H298" s="83"/>
      <c r="I298" s="83"/>
      <c r="J298" s="83"/>
      <c r="K298" s="83"/>
      <c r="L298" s="83"/>
      <c r="M298" s="83"/>
      <c r="N298" s="83"/>
      <c r="O298" s="83"/>
      <c r="P298" s="83"/>
      <c r="Q298" s="83"/>
      <c r="R298" s="83"/>
      <c r="S298" s="83"/>
      <c r="T298" s="83"/>
      <c r="U298" s="83"/>
      <c r="V298" s="83"/>
      <c r="W298" s="83"/>
      <c r="X298" s="83"/>
      <c r="Y298" s="83"/>
      <c r="Z298" s="83"/>
      <c r="AA298" s="83"/>
      <c r="AB298" s="83"/>
      <c r="AC298" s="83"/>
      <c r="AD298" s="83"/>
    </row>
    <row r="299">
      <c r="A299" s="83"/>
      <c r="B299" s="83"/>
      <c r="C299" s="83"/>
      <c r="D299" s="83"/>
      <c r="E299" s="118"/>
      <c r="F299" s="118"/>
      <c r="G299" s="83"/>
      <c r="H299" s="83"/>
      <c r="I299" s="83"/>
      <c r="J299" s="83"/>
      <c r="K299" s="83"/>
      <c r="L299" s="83"/>
      <c r="M299" s="83"/>
      <c r="N299" s="83"/>
      <c r="O299" s="83"/>
      <c r="P299" s="83"/>
      <c r="Q299" s="83"/>
      <c r="R299" s="83"/>
      <c r="S299" s="83"/>
      <c r="T299" s="83"/>
      <c r="U299" s="83"/>
      <c r="V299" s="83"/>
      <c r="W299" s="83"/>
      <c r="X299" s="83"/>
      <c r="Y299" s="83"/>
      <c r="Z299" s="83"/>
      <c r="AA299" s="83"/>
      <c r="AB299" s="83"/>
      <c r="AC299" s="83"/>
      <c r="AD299" s="83"/>
    </row>
    <row r="300">
      <c r="A300" s="83"/>
      <c r="B300" s="83"/>
      <c r="C300" s="83"/>
      <c r="D300" s="83"/>
      <c r="E300" s="118"/>
      <c r="F300" s="118"/>
      <c r="G300" s="83"/>
      <c r="H300" s="83"/>
      <c r="I300" s="83"/>
      <c r="J300" s="83"/>
      <c r="K300" s="83"/>
      <c r="L300" s="83"/>
      <c r="M300" s="83"/>
      <c r="N300" s="83"/>
      <c r="O300" s="83"/>
      <c r="P300" s="83"/>
      <c r="Q300" s="83"/>
      <c r="R300" s="83"/>
      <c r="S300" s="83"/>
      <c r="T300" s="83"/>
      <c r="U300" s="83"/>
      <c r="V300" s="83"/>
      <c r="W300" s="83"/>
      <c r="X300" s="83"/>
      <c r="Y300" s="83"/>
      <c r="Z300" s="83"/>
      <c r="AA300" s="83"/>
      <c r="AB300" s="83"/>
      <c r="AC300" s="83"/>
      <c r="AD300" s="83"/>
    </row>
    <row r="301">
      <c r="A301" s="83"/>
      <c r="B301" s="83"/>
      <c r="C301" s="83"/>
      <c r="D301" s="83"/>
      <c r="E301" s="118"/>
      <c r="F301" s="118"/>
      <c r="G301" s="83"/>
      <c r="H301" s="83"/>
      <c r="I301" s="83"/>
      <c r="J301" s="83"/>
      <c r="K301" s="83"/>
      <c r="L301" s="83"/>
      <c r="M301" s="83"/>
      <c r="N301" s="83"/>
      <c r="O301" s="83"/>
      <c r="P301" s="83"/>
      <c r="Q301" s="83"/>
      <c r="R301" s="83"/>
      <c r="S301" s="83"/>
      <c r="T301" s="83"/>
      <c r="U301" s="83"/>
      <c r="V301" s="83"/>
      <c r="W301" s="83"/>
      <c r="X301" s="83"/>
      <c r="Y301" s="83"/>
      <c r="Z301" s="83"/>
      <c r="AA301" s="83"/>
      <c r="AB301" s="83"/>
      <c r="AC301" s="83"/>
      <c r="AD301" s="83"/>
    </row>
    <row r="302">
      <c r="A302" s="83"/>
      <c r="B302" s="83"/>
      <c r="C302" s="83"/>
      <c r="D302" s="83"/>
      <c r="E302" s="118"/>
      <c r="F302" s="118"/>
      <c r="G302" s="83"/>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row>
    <row r="303">
      <c r="A303" s="83"/>
      <c r="B303" s="83"/>
      <c r="C303" s="83"/>
      <c r="D303" s="83"/>
      <c r="E303" s="118"/>
      <c r="F303" s="118"/>
      <c r="G303" s="83"/>
      <c r="H303" s="83"/>
      <c r="I303" s="83"/>
      <c r="J303" s="83"/>
      <c r="K303" s="83"/>
      <c r="L303" s="83"/>
      <c r="M303" s="83"/>
      <c r="N303" s="83"/>
      <c r="O303" s="83"/>
      <c r="P303" s="83"/>
      <c r="Q303" s="83"/>
      <c r="R303" s="83"/>
      <c r="S303" s="83"/>
      <c r="T303" s="83"/>
      <c r="U303" s="83"/>
      <c r="V303" s="83"/>
      <c r="W303" s="83"/>
      <c r="X303" s="83"/>
      <c r="Y303" s="83"/>
      <c r="Z303" s="83"/>
      <c r="AA303" s="83"/>
      <c r="AB303" s="83"/>
      <c r="AC303" s="83"/>
      <c r="AD303" s="83"/>
    </row>
    <row r="304">
      <c r="A304" s="83"/>
      <c r="B304" s="83"/>
      <c r="C304" s="83"/>
      <c r="D304" s="83"/>
      <c r="E304" s="118"/>
      <c r="F304" s="118"/>
      <c r="G304" s="83"/>
      <c r="H304" s="83"/>
      <c r="I304" s="83"/>
      <c r="J304" s="83"/>
      <c r="K304" s="83"/>
      <c r="L304" s="83"/>
      <c r="M304" s="83"/>
      <c r="N304" s="83"/>
      <c r="O304" s="83"/>
      <c r="P304" s="83"/>
      <c r="Q304" s="83"/>
      <c r="R304" s="83"/>
      <c r="S304" s="83"/>
      <c r="T304" s="83"/>
      <c r="U304" s="83"/>
      <c r="V304" s="83"/>
      <c r="W304" s="83"/>
      <c r="X304" s="83"/>
      <c r="Y304" s="83"/>
      <c r="Z304" s="83"/>
      <c r="AA304" s="83"/>
      <c r="AB304" s="83"/>
      <c r="AC304" s="83"/>
      <c r="AD304" s="83"/>
    </row>
    <row r="305">
      <c r="A305" s="83"/>
      <c r="B305" s="83"/>
      <c r="C305" s="83"/>
      <c r="D305" s="83"/>
      <c r="E305" s="118"/>
      <c r="F305" s="118"/>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c r="AD305" s="83"/>
    </row>
    <row r="306">
      <c r="A306" s="83"/>
      <c r="B306" s="83"/>
      <c r="C306" s="83"/>
      <c r="D306" s="83"/>
      <c r="E306" s="118"/>
      <c r="F306" s="118"/>
      <c r="G306" s="83"/>
      <c r="H306" s="83"/>
      <c r="I306" s="83"/>
      <c r="J306" s="83"/>
      <c r="K306" s="83"/>
      <c r="L306" s="83"/>
      <c r="M306" s="83"/>
      <c r="N306" s="83"/>
      <c r="O306" s="83"/>
      <c r="P306" s="83"/>
      <c r="Q306" s="83"/>
      <c r="R306" s="83"/>
      <c r="S306" s="83"/>
      <c r="T306" s="83"/>
      <c r="U306" s="83"/>
      <c r="V306" s="83"/>
      <c r="W306" s="83"/>
      <c r="X306" s="83"/>
      <c r="Y306" s="83"/>
      <c r="Z306" s="83"/>
      <c r="AA306" s="83"/>
      <c r="AB306" s="83"/>
      <c r="AC306" s="83"/>
      <c r="AD306" s="83"/>
    </row>
    <row r="307">
      <c r="A307" s="83"/>
      <c r="B307" s="83"/>
      <c r="C307" s="83"/>
      <c r="D307" s="83"/>
      <c r="E307" s="118"/>
      <c r="F307" s="118"/>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c r="AD307" s="83"/>
    </row>
    <row r="308">
      <c r="A308" s="83"/>
      <c r="B308" s="83"/>
      <c r="C308" s="83"/>
      <c r="D308" s="83"/>
      <c r="E308" s="118"/>
      <c r="F308" s="118"/>
      <c r="G308" s="83"/>
      <c r="H308" s="83"/>
      <c r="I308" s="83"/>
      <c r="J308" s="83"/>
      <c r="K308" s="83"/>
      <c r="L308" s="83"/>
      <c r="M308" s="83"/>
      <c r="N308" s="83"/>
      <c r="O308" s="83"/>
      <c r="P308" s="83"/>
      <c r="Q308" s="83"/>
      <c r="R308" s="83"/>
      <c r="S308" s="83"/>
      <c r="T308" s="83"/>
      <c r="U308" s="83"/>
      <c r="V308" s="83"/>
      <c r="W308" s="83"/>
      <c r="X308" s="83"/>
      <c r="Y308" s="83"/>
      <c r="Z308" s="83"/>
      <c r="AA308" s="83"/>
      <c r="AB308" s="83"/>
      <c r="AC308" s="83"/>
      <c r="AD308" s="83"/>
    </row>
    <row r="309">
      <c r="A309" s="83"/>
      <c r="B309" s="83"/>
      <c r="C309" s="83"/>
      <c r="D309" s="83"/>
      <c r="E309" s="118"/>
      <c r="F309" s="118"/>
      <c r="G309" s="83"/>
      <c r="H309" s="83"/>
      <c r="I309" s="83"/>
      <c r="J309" s="83"/>
      <c r="K309" s="83"/>
      <c r="L309" s="83"/>
      <c r="M309" s="83"/>
      <c r="N309" s="83"/>
      <c r="O309" s="83"/>
      <c r="P309" s="83"/>
      <c r="Q309" s="83"/>
      <c r="R309" s="83"/>
      <c r="S309" s="83"/>
      <c r="T309" s="83"/>
      <c r="U309" s="83"/>
      <c r="V309" s="83"/>
      <c r="W309" s="83"/>
      <c r="X309" s="83"/>
      <c r="Y309" s="83"/>
      <c r="Z309" s="83"/>
      <c r="AA309" s="83"/>
      <c r="AB309" s="83"/>
      <c r="AC309" s="83"/>
      <c r="AD309" s="83"/>
    </row>
    <row r="310">
      <c r="A310" s="83"/>
      <c r="B310" s="83"/>
      <c r="C310" s="83"/>
      <c r="D310" s="83"/>
      <c r="E310" s="118"/>
      <c r="F310" s="118"/>
      <c r="G310" s="83"/>
      <c r="H310" s="83"/>
      <c r="I310" s="83"/>
      <c r="J310" s="83"/>
      <c r="K310" s="83"/>
      <c r="L310" s="83"/>
      <c r="M310" s="83"/>
      <c r="N310" s="83"/>
      <c r="O310" s="83"/>
      <c r="P310" s="83"/>
      <c r="Q310" s="83"/>
      <c r="R310" s="83"/>
      <c r="S310" s="83"/>
      <c r="T310" s="83"/>
      <c r="U310" s="83"/>
      <c r="V310" s="83"/>
      <c r="W310" s="83"/>
      <c r="X310" s="83"/>
      <c r="Y310" s="83"/>
      <c r="Z310" s="83"/>
      <c r="AA310" s="83"/>
      <c r="AB310" s="83"/>
      <c r="AC310" s="83"/>
      <c r="AD310" s="83"/>
    </row>
    <row r="311">
      <c r="A311" s="83"/>
      <c r="B311" s="83"/>
      <c r="C311" s="83"/>
      <c r="D311" s="83"/>
      <c r="E311" s="118"/>
      <c r="F311" s="118"/>
      <c r="G311" s="83"/>
      <c r="H311" s="83"/>
      <c r="I311" s="83"/>
      <c r="J311" s="83"/>
      <c r="K311" s="83"/>
      <c r="L311" s="83"/>
      <c r="M311" s="83"/>
      <c r="N311" s="83"/>
      <c r="O311" s="83"/>
      <c r="P311" s="83"/>
      <c r="Q311" s="83"/>
      <c r="R311" s="83"/>
      <c r="S311" s="83"/>
      <c r="T311" s="83"/>
      <c r="U311" s="83"/>
      <c r="V311" s="83"/>
      <c r="W311" s="83"/>
      <c r="X311" s="83"/>
      <c r="Y311" s="83"/>
      <c r="Z311" s="83"/>
      <c r="AA311" s="83"/>
      <c r="AB311" s="83"/>
      <c r="AC311" s="83"/>
      <c r="AD311" s="83"/>
    </row>
    <row r="312">
      <c r="A312" s="83"/>
      <c r="B312" s="83"/>
      <c r="C312" s="83"/>
      <c r="D312" s="83"/>
      <c r="E312" s="118"/>
      <c r="F312" s="118"/>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c r="AD312" s="83"/>
    </row>
    <row r="313">
      <c r="A313" s="83"/>
      <c r="B313" s="83"/>
      <c r="C313" s="83"/>
      <c r="D313" s="83"/>
      <c r="E313" s="118"/>
      <c r="F313" s="118"/>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c r="AD313" s="83"/>
    </row>
    <row r="314">
      <c r="A314" s="83"/>
      <c r="B314" s="83"/>
      <c r="C314" s="83"/>
      <c r="D314" s="83"/>
      <c r="E314" s="118"/>
      <c r="F314" s="118"/>
      <c r="G314" s="83"/>
      <c r="H314" s="83"/>
      <c r="I314" s="83"/>
      <c r="J314" s="83"/>
      <c r="K314" s="83"/>
      <c r="L314" s="83"/>
      <c r="M314" s="83"/>
      <c r="N314" s="83"/>
      <c r="O314" s="83"/>
      <c r="P314" s="83"/>
      <c r="Q314" s="83"/>
      <c r="R314" s="83"/>
      <c r="S314" s="83"/>
      <c r="T314" s="83"/>
      <c r="U314" s="83"/>
      <c r="V314" s="83"/>
      <c r="W314" s="83"/>
      <c r="X314" s="83"/>
      <c r="Y314" s="83"/>
      <c r="Z314" s="83"/>
      <c r="AA314" s="83"/>
      <c r="AB314" s="83"/>
      <c r="AC314" s="83"/>
      <c r="AD314" s="83"/>
    </row>
    <row r="315">
      <c r="A315" s="83"/>
      <c r="B315" s="83"/>
      <c r="C315" s="83"/>
      <c r="D315" s="83"/>
      <c r="E315" s="118"/>
      <c r="F315" s="118"/>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row>
    <row r="316">
      <c r="A316" s="83"/>
      <c r="B316" s="83"/>
      <c r="C316" s="83"/>
      <c r="D316" s="83"/>
      <c r="E316" s="118"/>
      <c r="F316" s="118"/>
      <c r="G316" s="83"/>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row>
    <row r="317">
      <c r="A317" s="83"/>
      <c r="B317" s="83"/>
      <c r="C317" s="83"/>
      <c r="D317" s="83"/>
      <c r="E317" s="118"/>
      <c r="F317" s="118"/>
      <c r="G317" s="83"/>
      <c r="H317" s="83"/>
      <c r="I317" s="83"/>
      <c r="J317" s="83"/>
      <c r="K317" s="83"/>
      <c r="L317" s="83"/>
      <c r="M317" s="83"/>
      <c r="N317" s="83"/>
      <c r="O317" s="83"/>
      <c r="P317" s="83"/>
      <c r="Q317" s="83"/>
      <c r="R317" s="83"/>
      <c r="S317" s="83"/>
      <c r="T317" s="83"/>
      <c r="U317" s="83"/>
      <c r="V317" s="83"/>
      <c r="W317" s="83"/>
      <c r="X317" s="83"/>
      <c r="Y317" s="83"/>
      <c r="Z317" s="83"/>
      <c r="AA317" s="83"/>
      <c r="AB317" s="83"/>
      <c r="AC317" s="83"/>
      <c r="AD317" s="83"/>
    </row>
    <row r="318">
      <c r="A318" s="83"/>
      <c r="B318" s="83"/>
      <c r="C318" s="83"/>
      <c r="D318" s="83"/>
      <c r="E318" s="118"/>
      <c r="F318" s="118"/>
      <c r="G318" s="83"/>
      <c r="H318" s="83"/>
      <c r="I318" s="83"/>
      <c r="J318" s="83"/>
      <c r="K318" s="83"/>
      <c r="L318" s="83"/>
      <c r="M318" s="83"/>
      <c r="N318" s="83"/>
      <c r="O318" s="83"/>
      <c r="P318" s="83"/>
      <c r="Q318" s="83"/>
      <c r="R318" s="83"/>
      <c r="S318" s="83"/>
      <c r="T318" s="83"/>
      <c r="U318" s="83"/>
      <c r="V318" s="83"/>
      <c r="W318" s="83"/>
      <c r="X318" s="83"/>
      <c r="Y318" s="83"/>
      <c r="Z318" s="83"/>
      <c r="AA318" s="83"/>
      <c r="AB318" s="83"/>
      <c r="AC318" s="83"/>
      <c r="AD318" s="83"/>
    </row>
    <row r="319">
      <c r="A319" s="83"/>
      <c r="B319" s="83"/>
      <c r="C319" s="83"/>
      <c r="D319" s="83"/>
      <c r="E319" s="118"/>
      <c r="F319" s="118"/>
      <c r="G319" s="83"/>
      <c r="H319" s="83"/>
      <c r="I319" s="83"/>
      <c r="J319" s="83"/>
      <c r="K319" s="83"/>
      <c r="L319" s="83"/>
      <c r="M319" s="83"/>
      <c r="N319" s="83"/>
      <c r="O319" s="83"/>
      <c r="P319" s="83"/>
      <c r="Q319" s="83"/>
      <c r="R319" s="83"/>
      <c r="S319" s="83"/>
      <c r="T319" s="83"/>
      <c r="U319" s="83"/>
      <c r="V319" s="83"/>
      <c r="W319" s="83"/>
      <c r="X319" s="83"/>
      <c r="Y319" s="83"/>
      <c r="Z319" s="83"/>
      <c r="AA319" s="83"/>
      <c r="AB319" s="83"/>
      <c r="AC319" s="83"/>
      <c r="AD319" s="83"/>
    </row>
    <row r="320">
      <c r="A320" s="83"/>
      <c r="B320" s="83"/>
      <c r="C320" s="83"/>
      <c r="D320" s="83"/>
      <c r="E320" s="118"/>
      <c r="F320" s="118"/>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c r="AD320" s="83"/>
    </row>
    <row r="321">
      <c r="A321" s="83"/>
      <c r="B321" s="83"/>
      <c r="C321" s="83"/>
      <c r="D321" s="83"/>
      <c r="E321" s="118"/>
      <c r="F321" s="118"/>
      <c r="G321" s="83"/>
      <c r="H321" s="83"/>
      <c r="I321" s="83"/>
      <c r="J321" s="83"/>
      <c r="K321" s="83"/>
      <c r="L321" s="83"/>
      <c r="M321" s="83"/>
      <c r="N321" s="83"/>
      <c r="O321" s="83"/>
      <c r="P321" s="83"/>
      <c r="Q321" s="83"/>
      <c r="R321" s="83"/>
      <c r="S321" s="83"/>
      <c r="T321" s="83"/>
      <c r="U321" s="83"/>
      <c r="V321" s="83"/>
      <c r="W321" s="83"/>
      <c r="X321" s="83"/>
      <c r="Y321" s="83"/>
      <c r="Z321" s="83"/>
      <c r="AA321" s="83"/>
      <c r="AB321" s="83"/>
      <c r="AC321" s="83"/>
      <c r="AD321" s="83"/>
    </row>
    <row r="322">
      <c r="A322" s="83"/>
      <c r="B322" s="83"/>
      <c r="C322" s="83"/>
      <c r="D322" s="83"/>
      <c r="E322" s="118"/>
      <c r="F322" s="118"/>
      <c r="G322" s="83"/>
      <c r="H322" s="83"/>
      <c r="I322" s="83"/>
      <c r="J322" s="83"/>
      <c r="K322" s="83"/>
      <c r="L322" s="83"/>
      <c r="M322" s="83"/>
      <c r="N322" s="83"/>
      <c r="O322" s="83"/>
      <c r="P322" s="83"/>
      <c r="Q322" s="83"/>
      <c r="R322" s="83"/>
      <c r="S322" s="83"/>
      <c r="T322" s="83"/>
      <c r="U322" s="83"/>
      <c r="V322" s="83"/>
      <c r="W322" s="83"/>
      <c r="X322" s="83"/>
      <c r="Y322" s="83"/>
      <c r="Z322" s="83"/>
      <c r="AA322" s="83"/>
      <c r="AB322" s="83"/>
      <c r="AC322" s="83"/>
      <c r="AD322" s="83"/>
    </row>
    <row r="323">
      <c r="A323" s="83"/>
      <c r="B323" s="83"/>
      <c r="C323" s="83"/>
      <c r="D323" s="83"/>
      <c r="E323" s="118"/>
      <c r="F323" s="118"/>
      <c r="G323" s="83"/>
      <c r="H323" s="83"/>
      <c r="I323" s="83"/>
      <c r="J323" s="83"/>
      <c r="K323" s="83"/>
      <c r="L323" s="83"/>
      <c r="M323" s="83"/>
      <c r="N323" s="83"/>
      <c r="O323" s="83"/>
      <c r="P323" s="83"/>
      <c r="Q323" s="83"/>
      <c r="R323" s="83"/>
      <c r="S323" s="83"/>
      <c r="T323" s="83"/>
      <c r="U323" s="83"/>
      <c r="V323" s="83"/>
      <c r="W323" s="83"/>
      <c r="X323" s="83"/>
      <c r="Y323" s="83"/>
      <c r="Z323" s="83"/>
      <c r="AA323" s="83"/>
      <c r="AB323" s="83"/>
      <c r="AC323" s="83"/>
      <c r="AD323" s="83"/>
    </row>
    <row r="324">
      <c r="A324" s="83"/>
      <c r="B324" s="83"/>
      <c r="C324" s="83"/>
      <c r="D324" s="83"/>
      <c r="E324" s="118"/>
      <c r="F324" s="118"/>
      <c r="G324" s="83"/>
      <c r="H324" s="83"/>
      <c r="I324" s="83"/>
      <c r="J324" s="83"/>
      <c r="K324" s="83"/>
      <c r="L324" s="83"/>
      <c r="M324" s="83"/>
      <c r="N324" s="83"/>
      <c r="O324" s="83"/>
      <c r="P324" s="83"/>
      <c r="Q324" s="83"/>
      <c r="R324" s="83"/>
      <c r="S324" s="83"/>
      <c r="T324" s="83"/>
      <c r="U324" s="83"/>
      <c r="V324" s="83"/>
      <c r="W324" s="83"/>
      <c r="X324" s="83"/>
      <c r="Y324" s="83"/>
      <c r="Z324" s="83"/>
      <c r="AA324" s="83"/>
      <c r="AB324" s="83"/>
      <c r="AC324" s="83"/>
      <c r="AD324" s="83"/>
    </row>
    <row r="325">
      <c r="A325" s="83"/>
      <c r="B325" s="83"/>
      <c r="C325" s="83"/>
      <c r="D325" s="83"/>
      <c r="E325" s="118"/>
      <c r="F325" s="118"/>
      <c r="G325" s="83"/>
      <c r="H325" s="83"/>
      <c r="I325" s="83"/>
      <c r="J325" s="83"/>
      <c r="K325" s="83"/>
      <c r="L325" s="83"/>
      <c r="M325" s="83"/>
      <c r="N325" s="83"/>
      <c r="O325" s="83"/>
      <c r="P325" s="83"/>
      <c r="Q325" s="83"/>
      <c r="R325" s="83"/>
      <c r="S325" s="83"/>
      <c r="T325" s="83"/>
      <c r="U325" s="83"/>
      <c r="V325" s="83"/>
      <c r="W325" s="83"/>
      <c r="X325" s="83"/>
      <c r="Y325" s="83"/>
      <c r="Z325" s="83"/>
      <c r="AA325" s="83"/>
      <c r="AB325" s="83"/>
      <c r="AC325" s="83"/>
      <c r="AD325" s="83"/>
    </row>
    <row r="326">
      <c r="A326" s="83"/>
      <c r="B326" s="83"/>
      <c r="C326" s="83"/>
      <c r="D326" s="83"/>
      <c r="E326" s="118"/>
      <c r="F326" s="118"/>
      <c r="G326" s="83"/>
      <c r="H326" s="83"/>
      <c r="I326" s="83"/>
      <c r="J326" s="83"/>
      <c r="K326" s="83"/>
      <c r="L326" s="83"/>
      <c r="M326" s="83"/>
      <c r="N326" s="83"/>
      <c r="O326" s="83"/>
      <c r="P326" s="83"/>
      <c r="Q326" s="83"/>
      <c r="R326" s="83"/>
      <c r="S326" s="83"/>
      <c r="T326" s="83"/>
      <c r="U326" s="83"/>
      <c r="V326" s="83"/>
      <c r="W326" s="83"/>
      <c r="X326" s="83"/>
      <c r="Y326" s="83"/>
      <c r="Z326" s="83"/>
      <c r="AA326" s="83"/>
      <c r="AB326" s="83"/>
      <c r="AC326" s="83"/>
      <c r="AD326" s="83"/>
    </row>
    <row r="327">
      <c r="A327" s="83"/>
      <c r="B327" s="83"/>
      <c r="C327" s="83"/>
      <c r="D327" s="83"/>
      <c r="E327" s="118"/>
      <c r="F327" s="118"/>
      <c r="G327" s="83"/>
      <c r="H327" s="83"/>
      <c r="I327" s="83"/>
      <c r="J327" s="83"/>
      <c r="K327" s="83"/>
      <c r="L327" s="83"/>
      <c r="M327" s="83"/>
      <c r="N327" s="83"/>
      <c r="O327" s="83"/>
      <c r="P327" s="83"/>
      <c r="Q327" s="83"/>
      <c r="R327" s="83"/>
      <c r="S327" s="83"/>
      <c r="T327" s="83"/>
      <c r="U327" s="83"/>
      <c r="V327" s="83"/>
      <c r="W327" s="83"/>
      <c r="X327" s="83"/>
      <c r="Y327" s="83"/>
      <c r="Z327" s="83"/>
      <c r="AA327" s="83"/>
      <c r="AB327" s="83"/>
      <c r="AC327" s="83"/>
      <c r="AD327" s="83"/>
    </row>
    <row r="328">
      <c r="A328" s="83"/>
      <c r="B328" s="83"/>
      <c r="C328" s="83"/>
      <c r="D328" s="83"/>
      <c r="E328" s="118"/>
      <c r="F328" s="118"/>
      <c r="G328" s="83"/>
      <c r="H328" s="83"/>
      <c r="I328" s="83"/>
      <c r="J328" s="83"/>
      <c r="K328" s="83"/>
      <c r="L328" s="83"/>
      <c r="M328" s="83"/>
      <c r="N328" s="83"/>
      <c r="O328" s="83"/>
      <c r="P328" s="83"/>
      <c r="Q328" s="83"/>
      <c r="R328" s="83"/>
      <c r="S328" s="83"/>
      <c r="T328" s="83"/>
      <c r="U328" s="83"/>
      <c r="V328" s="83"/>
      <c r="W328" s="83"/>
      <c r="X328" s="83"/>
      <c r="Y328" s="83"/>
      <c r="Z328" s="83"/>
      <c r="AA328" s="83"/>
      <c r="AB328" s="83"/>
      <c r="AC328" s="83"/>
      <c r="AD328" s="83"/>
    </row>
    <row r="329">
      <c r="A329" s="83"/>
      <c r="B329" s="83"/>
      <c r="C329" s="83"/>
      <c r="D329" s="83"/>
      <c r="E329" s="118"/>
      <c r="F329" s="118"/>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c r="AD329" s="83"/>
    </row>
    <row r="330">
      <c r="A330" s="83"/>
      <c r="B330" s="83"/>
      <c r="C330" s="83"/>
      <c r="D330" s="83"/>
      <c r="E330" s="118"/>
      <c r="F330" s="118"/>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c r="AD330" s="83"/>
    </row>
    <row r="331">
      <c r="A331" s="83"/>
      <c r="B331" s="83"/>
      <c r="C331" s="83"/>
      <c r="D331" s="83"/>
      <c r="E331" s="118"/>
      <c r="F331" s="118"/>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row>
    <row r="332">
      <c r="A332" s="83"/>
      <c r="B332" s="83"/>
      <c r="C332" s="83"/>
      <c r="D332" s="83"/>
      <c r="E332" s="118"/>
      <c r="F332" s="118"/>
      <c r="G332" s="83"/>
      <c r="H332" s="83"/>
      <c r="I332" s="83"/>
      <c r="J332" s="83"/>
      <c r="K332" s="83"/>
      <c r="L332" s="83"/>
      <c r="M332" s="83"/>
      <c r="N332" s="83"/>
      <c r="O332" s="83"/>
      <c r="P332" s="83"/>
      <c r="Q332" s="83"/>
      <c r="R332" s="83"/>
      <c r="S332" s="83"/>
      <c r="T332" s="83"/>
      <c r="U332" s="83"/>
      <c r="V332" s="83"/>
      <c r="W332" s="83"/>
      <c r="X332" s="83"/>
      <c r="Y332" s="83"/>
      <c r="Z332" s="83"/>
      <c r="AA332" s="83"/>
      <c r="AB332" s="83"/>
      <c r="AC332" s="83"/>
      <c r="AD332" s="83"/>
    </row>
    <row r="333">
      <c r="A333" s="83"/>
      <c r="B333" s="83"/>
      <c r="C333" s="83"/>
      <c r="D333" s="83"/>
      <c r="E333" s="118"/>
      <c r="F333" s="118"/>
      <c r="G333" s="83"/>
      <c r="H333" s="83"/>
      <c r="I333" s="83"/>
      <c r="J333" s="83"/>
      <c r="K333" s="83"/>
      <c r="L333" s="83"/>
      <c r="M333" s="83"/>
      <c r="N333" s="83"/>
      <c r="O333" s="83"/>
      <c r="P333" s="83"/>
      <c r="Q333" s="83"/>
      <c r="R333" s="83"/>
      <c r="S333" s="83"/>
      <c r="T333" s="83"/>
      <c r="U333" s="83"/>
      <c r="V333" s="83"/>
      <c r="W333" s="83"/>
      <c r="X333" s="83"/>
      <c r="Y333" s="83"/>
      <c r="Z333" s="83"/>
      <c r="AA333" s="83"/>
      <c r="AB333" s="83"/>
      <c r="AC333" s="83"/>
      <c r="AD333" s="83"/>
    </row>
    <row r="334">
      <c r="A334" s="83"/>
      <c r="B334" s="83"/>
      <c r="C334" s="83"/>
      <c r="D334" s="83"/>
      <c r="E334" s="118"/>
      <c r="F334" s="118"/>
      <c r="G334" s="83"/>
      <c r="H334" s="83"/>
      <c r="I334" s="83"/>
      <c r="J334" s="83"/>
      <c r="K334" s="83"/>
      <c r="L334" s="83"/>
      <c r="M334" s="83"/>
      <c r="N334" s="83"/>
      <c r="O334" s="83"/>
      <c r="P334" s="83"/>
      <c r="Q334" s="83"/>
      <c r="R334" s="83"/>
      <c r="S334" s="83"/>
      <c r="T334" s="83"/>
      <c r="U334" s="83"/>
      <c r="V334" s="83"/>
      <c r="W334" s="83"/>
      <c r="X334" s="83"/>
      <c r="Y334" s="83"/>
      <c r="Z334" s="83"/>
      <c r="AA334" s="83"/>
      <c r="AB334" s="83"/>
      <c r="AC334" s="83"/>
      <c r="AD334" s="83"/>
    </row>
    <row r="335">
      <c r="A335" s="83"/>
      <c r="B335" s="83"/>
      <c r="C335" s="83"/>
      <c r="D335" s="83"/>
      <c r="E335" s="118"/>
      <c r="F335" s="118"/>
      <c r="G335" s="83"/>
      <c r="H335" s="83"/>
      <c r="I335" s="83"/>
      <c r="J335" s="83"/>
      <c r="K335" s="83"/>
      <c r="L335" s="83"/>
      <c r="M335" s="83"/>
      <c r="N335" s="83"/>
      <c r="O335" s="83"/>
      <c r="P335" s="83"/>
      <c r="Q335" s="83"/>
      <c r="R335" s="83"/>
      <c r="S335" s="83"/>
      <c r="T335" s="83"/>
      <c r="U335" s="83"/>
      <c r="V335" s="83"/>
      <c r="W335" s="83"/>
      <c r="X335" s="83"/>
      <c r="Y335" s="83"/>
      <c r="Z335" s="83"/>
      <c r="AA335" s="83"/>
      <c r="AB335" s="83"/>
      <c r="AC335" s="83"/>
      <c r="AD335" s="83"/>
    </row>
    <row r="336">
      <c r="A336" s="83"/>
      <c r="B336" s="83"/>
      <c r="C336" s="83"/>
      <c r="D336" s="83"/>
      <c r="E336" s="118"/>
      <c r="F336" s="118"/>
      <c r="G336" s="83"/>
      <c r="H336" s="83"/>
      <c r="I336" s="83"/>
      <c r="J336" s="83"/>
      <c r="K336" s="83"/>
      <c r="L336" s="83"/>
      <c r="M336" s="83"/>
      <c r="N336" s="83"/>
      <c r="O336" s="83"/>
      <c r="P336" s="83"/>
      <c r="Q336" s="83"/>
      <c r="R336" s="83"/>
      <c r="S336" s="83"/>
      <c r="T336" s="83"/>
      <c r="U336" s="83"/>
      <c r="V336" s="83"/>
      <c r="W336" s="83"/>
      <c r="X336" s="83"/>
      <c r="Y336" s="83"/>
      <c r="Z336" s="83"/>
      <c r="AA336" s="83"/>
      <c r="AB336" s="83"/>
      <c r="AC336" s="83"/>
      <c r="AD336" s="83"/>
    </row>
    <row r="337">
      <c r="A337" s="83"/>
      <c r="B337" s="83"/>
      <c r="C337" s="83"/>
      <c r="D337" s="83"/>
      <c r="E337" s="118"/>
      <c r="F337" s="118"/>
      <c r="G337" s="83"/>
      <c r="H337" s="83"/>
      <c r="I337" s="83"/>
      <c r="J337" s="83"/>
      <c r="K337" s="83"/>
      <c r="L337" s="83"/>
      <c r="M337" s="83"/>
      <c r="N337" s="83"/>
      <c r="O337" s="83"/>
      <c r="P337" s="83"/>
      <c r="Q337" s="83"/>
      <c r="R337" s="83"/>
      <c r="S337" s="83"/>
      <c r="T337" s="83"/>
      <c r="U337" s="83"/>
      <c r="V337" s="83"/>
      <c r="W337" s="83"/>
      <c r="X337" s="83"/>
      <c r="Y337" s="83"/>
      <c r="Z337" s="83"/>
      <c r="AA337" s="83"/>
      <c r="AB337" s="83"/>
      <c r="AC337" s="83"/>
      <c r="AD337" s="83"/>
    </row>
    <row r="338">
      <c r="A338" s="83"/>
      <c r="B338" s="83"/>
      <c r="C338" s="83"/>
      <c r="D338" s="83"/>
      <c r="E338" s="118"/>
      <c r="F338" s="118"/>
      <c r="G338" s="83"/>
      <c r="H338" s="83"/>
      <c r="I338" s="83"/>
      <c r="J338" s="83"/>
      <c r="K338" s="83"/>
      <c r="L338" s="83"/>
      <c r="M338" s="83"/>
      <c r="N338" s="83"/>
      <c r="O338" s="83"/>
      <c r="P338" s="83"/>
      <c r="Q338" s="83"/>
      <c r="R338" s="83"/>
      <c r="S338" s="83"/>
      <c r="T338" s="83"/>
      <c r="U338" s="83"/>
      <c r="V338" s="83"/>
      <c r="W338" s="83"/>
      <c r="X338" s="83"/>
      <c r="Y338" s="83"/>
      <c r="Z338" s="83"/>
      <c r="AA338" s="83"/>
      <c r="AB338" s="83"/>
      <c r="AC338" s="83"/>
      <c r="AD338" s="83"/>
    </row>
    <row r="339">
      <c r="A339" s="83"/>
      <c r="B339" s="83"/>
      <c r="C339" s="83"/>
      <c r="D339" s="83"/>
      <c r="E339" s="118"/>
      <c r="F339" s="118"/>
      <c r="G339" s="83"/>
      <c r="H339" s="83"/>
      <c r="I339" s="83"/>
      <c r="J339" s="83"/>
      <c r="K339" s="83"/>
      <c r="L339" s="83"/>
      <c r="M339" s="83"/>
      <c r="N339" s="83"/>
      <c r="O339" s="83"/>
      <c r="P339" s="83"/>
      <c r="Q339" s="83"/>
      <c r="R339" s="83"/>
      <c r="S339" s="83"/>
      <c r="T339" s="83"/>
      <c r="U339" s="83"/>
      <c r="V339" s="83"/>
      <c r="W339" s="83"/>
      <c r="X339" s="83"/>
      <c r="Y339" s="83"/>
      <c r="Z339" s="83"/>
      <c r="AA339" s="83"/>
      <c r="AB339" s="83"/>
      <c r="AC339" s="83"/>
      <c r="AD339" s="83"/>
    </row>
    <row r="340">
      <c r="A340" s="83"/>
      <c r="B340" s="83"/>
      <c r="C340" s="83"/>
      <c r="D340" s="83"/>
      <c r="E340" s="118"/>
      <c r="F340" s="118"/>
      <c r="G340" s="83"/>
      <c r="H340" s="83"/>
      <c r="I340" s="83"/>
      <c r="J340" s="83"/>
      <c r="K340" s="83"/>
      <c r="L340" s="83"/>
      <c r="M340" s="83"/>
      <c r="N340" s="83"/>
      <c r="O340" s="83"/>
      <c r="P340" s="83"/>
      <c r="Q340" s="83"/>
      <c r="R340" s="83"/>
      <c r="S340" s="83"/>
      <c r="T340" s="83"/>
      <c r="U340" s="83"/>
      <c r="V340" s="83"/>
      <c r="W340" s="83"/>
      <c r="X340" s="83"/>
      <c r="Y340" s="83"/>
      <c r="Z340" s="83"/>
      <c r="AA340" s="83"/>
      <c r="AB340" s="83"/>
      <c r="AC340" s="83"/>
      <c r="AD340" s="83"/>
    </row>
    <row r="341">
      <c r="A341" s="83"/>
      <c r="B341" s="83"/>
      <c r="C341" s="83"/>
      <c r="D341" s="83"/>
      <c r="E341" s="118"/>
      <c r="F341" s="118"/>
      <c r="G341" s="83"/>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row>
    <row r="342">
      <c r="A342" s="83"/>
      <c r="B342" s="83"/>
      <c r="C342" s="83"/>
      <c r="D342" s="83"/>
      <c r="E342" s="118"/>
      <c r="F342" s="118"/>
      <c r="G342" s="83"/>
      <c r="H342" s="83"/>
      <c r="I342" s="83"/>
      <c r="J342" s="83"/>
      <c r="K342" s="83"/>
      <c r="L342" s="83"/>
      <c r="M342" s="83"/>
      <c r="N342" s="83"/>
      <c r="O342" s="83"/>
      <c r="P342" s="83"/>
      <c r="Q342" s="83"/>
      <c r="R342" s="83"/>
      <c r="S342" s="83"/>
      <c r="T342" s="83"/>
      <c r="U342" s="83"/>
      <c r="V342" s="83"/>
      <c r="W342" s="83"/>
      <c r="X342" s="83"/>
      <c r="Y342" s="83"/>
      <c r="Z342" s="83"/>
      <c r="AA342" s="83"/>
      <c r="AB342" s="83"/>
      <c r="AC342" s="83"/>
      <c r="AD342" s="83"/>
    </row>
    <row r="343">
      <c r="A343" s="83"/>
      <c r="B343" s="83"/>
      <c r="C343" s="83"/>
      <c r="D343" s="83"/>
      <c r="E343" s="118"/>
      <c r="F343" s="118"/>
      <c r="G343" s="83"/>
      <c r="H343" s="83"/>
      <c r="I343" s="83"/>
      <c r="J343" s="83"/>
      <c r="K343" s="83"/>
      <c r="L343" s="83"/>
      <c r="M343" s="83"/>
      <c r="N343" s="83"/>
      <c r="O343" s="83"/>
      <c r="P343" s="83"/>
      <c r="Q343" s="83"/>
      <c r="R343" s="83"/>
      <c r="S343" s="83"/>
      <c r="T343" s="83"/>
      <c r="U343" s="83"/>
      <c r="V343" s="83"/>
      <c r="W343" s="83"/>
      <c r="X343" s="83"/>
      <c r="Y343" s="83"/>
      <c r="Z343" s="83"/>
      <c r="AA343" s="83"/>
      <c r="AB343" s="83"/>
      <c r="AC343" s="83"/>
      <c r="AD343" s="83"/>
    </row>
    <row r="344">
      <c r="A344" s="83"/>
      <c r="B344" s="83"/>
      <c r="C344" s="83"/>
      <c r="D344" s="83"/>
      <c r="E344" s="118"/>
      <c r="F344" s="118"/>
      <c r="G344" s="83"/>
      <c r="H344" s="83"/>
      <c r="I344" s="83"/>
      <c r="J344" s="83"/>
      <c r="K344" s="83"/>
      <c r="L344" s="83"/>
      <c r="M344" s="83"/>
      <c r="N344" s="83"/>
      <c r="O344" s="83"/>
      <c r="P344" s="83"/>
      <c r="Q344" s="83"/>
      <c r="R344" s="83"/>
      <c r="S344" s="83"/>
      <c r="T344" s="83"/>
      <c r="U344" s="83"/>
      <c r="V344" s="83"/>
      <c r="W344" s="83"/>
      <c r="X344" s="83"/>
      <c r="Y344" s="83"/>
      <c r="Z344" s="83"/>
      <c r="AA344" s="83"/>
      <c r="AB344" s="83"/>
      <c r="AC344" s="83"/>
      <c r="AD344" s="83"/>
    </row>
    <row r="345">
      <c r="A345" s="83"/>
      <c r="B345" s="83"/>
      <c r="C345" s="83"/>
      <c r="D345" s="83"/>
      <c r="E345" s="118"/>
      <c r="F345" s="118"/>
      <c r="G345" s="83"/>
      <c r="H345" s="83"/>
      <c r="I345" s="83"/>
      <c r="J345" s="83"/>
      <c r="K345" s="83"/>
      <c r="L345" s="83"/>
      <c r="M345" s="83"/>
      <c r="N345" s="83"/>
      <c r="O345" s="83"/>
      <c r="P345" s="83"/>
      <c r="Q345" s="83"/>
      <c r="R345" s="83"/>
      <c r="S345" s="83"/>
      <c r="T345" s="83"/>
      <c r="U345" s="83"/>
      <c r="V345" s="83"/>
      <c r="W345" s="83"/>
      <c r="X345" s="83"/>
      <c r="Y345" s="83"/>
      <c r="Z345" s="83"/>
      <c r="AA345" s="83"/>
      <c r="AB345" s="83"/>
      <c r="AC345" s="83"/>
      <c r="AD345" s="83"/>
    </row>
    <row r="346">
      <c r="A346" s="83"/>
      <c r="B346" s="83"/>
      <c r="C346" s="83"/>
      <c r="D346" s="83"/>
      <c r="E346" s="118"/>
      <c r="F346" s="118"/>
      <c r="G346" s="83"/>
      <c r="H346" s="83"/>
      <c r="I346" s="83"/>
      <c r="J346" s="83"/>
      <c r="K346" s="83"/>
      <c r="L346" s="83"/>
      <c r="M346" s="83"/>
      <c r="N346" s="83"/>
      <c r="O346" s="83"/>
      <c r="P346" s="83"/>
      <c r="Q346" s="83"/>
      <c r="R346" s="83"/>
      <c r="S346" s="83"/>
      <c r="T346" s="83"/>
      <c r="U346" s="83"/>
      <c r="V346" s="83"/>
      <c r="W346" s="83"/>
      <c r="X346" s="83"/>
      <c r="Y346" s="83"/>
      <c r="Z346" s="83"/>
      <c r="AA346" s="83"/>
      <c r="AB346" s="83"/>
      <c r="AC346" s="83"/>
      <c r="AD346" s="83"/>
    </row>
    <row r="347">
      <c r="A347" s="83"/>
      <c r="B347" s="83"/>
      <c r="C347" s="83"/>
      <c r="D347" s="83"/>
      <c r="E347" s="118"/>
      <c r="F347" s="118"/>
      <c r="G347" s="83"/>
      <c r="H347" s="83"/>
      <c r="I347" s="83"/>
      <c r="J347" s="83"/>
      <c r="K347" s="83"/>
      <c r="L347" s="83"/>
      <c r="M347" s="83"/>
      <c r="N347" s="83"/>
      <c r="O347" s="83"/>
      <c r="P347" s="83"/>
      <c r="Q347" s="83"/>
      <c r="R347" s="83"/>
      <c r="S347" s="83"/>
      <c r="T347" s="83"/>
      <c r="U347" s="83"/>
      <c r="V347" s="83"/>
      <c r="W347" s="83"/>
      <c r="X347" s="83"/>
      <c r="Y347" s="83"/>
      <c r="Z347" s="83"/>
      <c r="AA347" s="83"/>
      <c r="AB347" s="83"/>
      <c r="AC347" s="83"/>
      <c r="AD347" s="83"/>
    </row>
    <row r="348">
      <c r="A348" s="83"/>
      <c r="B348" s="83"/>
      <c r="C348" s="83"/>
      <c r="D348" s="83"/>
      <c r="E348" s="118"/>
      <c r="F348" s="118"/>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c r="AD348" s="83"/>
    </row>
    <row r="349">
      <c r="A349" s="83"/>
      <c r="B349" s="83"/>
      <c r="C349" s="83"/>
      <c r="D349" s="83"/>
      <c r="E349" s="118"/>
      <c r="F349" s="118"/>
      <c r="G349" s="83"/>
      <c r="H349" s="83"/>
      <c r="I349" s="83"/>
      <c r="J349" s="83"/>
      <c r="K349" s="83"/>
      <c r="L349" s="83"/>
      <c r="M349" s="83"/>
      <c r="N349" s="83"/>
      <c r="O349" s="83"/>
      <c r="P349" s="83"/>
      <c r="Q349" s="83"/>
      <c r="R349" s="83"/>
      <c r="S349" s="83"/>
      <c r="T349" s="83"/>
      <c r="U349" s="83"/>
      <c r="V349" s="83"/>
      <c r="W349" s="83"/>
      <c r="X349" s="83"/>
      <c r="Y349" s="83"/>
      <c r="Z349" s="83"/>
      <c r="AA349" s="83"/>
      <c r="AB349" s="83"/>
      <c r="AC349" s="83"/>
      <c r="AD349" s="83"/>
    </row>
    <row r="350">
      <c r="A350" s="83"/>
      <c r="B350" s="83"/>
      <c r="C350" s="83"/>
      <c r="D350" s="83"/>
      <c r="E350" s="118"/>
      <c r="F350" s="118"/>
      <c r="G350" s="83"/>
      <c r="H350" s="83"/>
      <c r="I350" s="83"/>
      <c r="J350" s="83"/>
      <c r="K350" s="83"/>
      <c r="L350" s="83"/>
      <c r="M350" s="83"/>
      <c r="N350" s="83"/>
      <c r="O350" s="83"/>
      <c r="P350" s="83"/>
      <c r="Q350" s="83"/>
      <c r="R350" s="83"/>
      <c r="S350" s="83"/>
      <c r="T350" s="83"/>
      <c r="U350" s="83"/>
      <c r="V350" s="83"/>
      <c r="W350" s="83"/>
      <c r="X350" s="83"/>
      <c r="Y350" s="83"/>
      <c r="Z350" s="83"/>
      <c r="AA350" s="83"/>
      <c r="AB350" s="83"/>
      <c r="AC350" s="83"/>
      <c r="AD350" s="83"/>
    </row>
    <row r="351">
      <c r="A351" s="83"/>
      <c r="B351" s="83"/>
      <c r="C351" s="83"/>
      <c r="D351" s="83"/>
      <c r="E351" s="118"/>
      <c r="F351" s="118"/>
      <c r="G351" s="83"/>
      <c r="H351" s="83"/>
      <c r="I351" s="83"/>
      <c r="J351" s="83"/>
      <c r="K351" s="83"/>
      <c r="L351" s="83"/>
      <c r="M351" s="83"/>
      <c r="N351" s="83"/>
      <c r="O351" s="83"/>
      <c r="P351" s="83"/>
      <c r="Q351" s="83"/>
      <c r="R351" s="83"/>
      <c r="S351" s="83"/>
      <c r="T351" s="83"/>
      <c r="U351" s="83"/>
      <c r="V351" s="83"/>
      <c r="W351" s="83"/>
      <c r="X351" s="83"/>
      <c r="Y351" s="83"/>
      <c r="Z351" s="83"/>
      <c r="AA351" s="83"/>
      <c r="AB351" s="83"/>
      <c r="AC351" s="83"/>
      <c r="AD351" s="83"/>
    </row>
    <row r="352">
      <c r="A352" s="83"/>
      <c r="B352" s="83"/>
      <c r="C352" s="83"/>
      <c r="D352" s="83"/>
      <c r="E352" s="118"/>
      <c r="F352" s="118"/>
      <c r="G352" s="83"/>
      <c r="H352" s="83"/>
      <c r="I352" s="83"/>
      <c r="J352" s="83"/>
      <c r="K352" s="83"/>
      <c r="L352" s="83"/>
      <c r="M352" s="83"/>
      <c r="N352" s="83"/>
      <c r="O352" s="83"/>
      <c r="P352" s="83"/>
      <c r="Q352" s="83"/>
      <c r="R352" s="83"/>
      <c r="S352" s="83"/>
      <c r="T352" s="83"/>
      <c r="U352" s="83"/>
      <c r="V352" s="83"/>
      <c r="W352" s="83"/>
      <c r="X352" s="83"/>
      <c r="Y352" s="83"/>
      <c r="Z352" s="83"/>
      <c r="AA352" s="83"/>
      <c r="AB352" s="83"/>
      <c r="AC352" s="83"/>
      <c r="AD352" s="83"/>
    </row>
    <row r="353">
      <c r="A353" s="83"/>
      <c r="B353" s="83"/>
      <c r="C353" s="83"/>
      <c r="D353" s="83"/>
      <c r="E353" s="118"/>
      <c r="F353" s="118"/>
      <c r="G353" s="83"/>
      <c r="H353" s="83"/>
      <c r="I353" s="83"/>
      <c r="J353" s="83"/>
      <c r="K353" s="83"/>
      <c r="L353" s="83"/>
      <c r="M353" s="83"/>
      <c r="N353" s="83"/>
      <c r="O353" s="83"/>
      <c r="P353" s="83"/>
      <c r="Q353" s="83"/>
      <c r="R353" s="83"/>
      <c r="S353" s="83"/>
      <c r="T353" s="83"/>
      <c r="U353" s="83"/>
      <c r="V353" s="83"/>
      <c r="W353" s="83"/>
      <c r="X353" s="83"/>
      <c r="Y353" s="83"/>
      <c r="Z353" s="83"/>
      <c r="AA353" s="83"/>
      <c r="AB353" s="83"/>
      <c r="AC353" s="83"/>
      <c r="AD353" s="83"/>
    </row>
    <row r="354">
      <c r="A354" s="83"/>
      <c r="B354" s="83"/>
      <c r="C354" s="83"/>
      <c r="D354" s="83"/>
      <c r="E354" s="118"/>
      <c r="F354" s="118"/>
      <c r="G354" s="83"/>
      <c r="H354" s="83"/>
      <c r="I354" s="83"/>
      <c r="J354" s="83"/>
      <c r="K354" s="83"/>
      <c r="L354" s="83"/>
      <c r="M354" s="83"/>
      <c r="N354" s="83"/>
      <c r="O354" s="83"/>
      <c r="P354" s="83"/>
      <c r="Q354" s="83"/>
      <c r="R354" s="83"/>
      <c r="S354" s="83"/>
      <c r="T354" s="83"/>
      <c r="U354" s="83"/>
      <c r="V354" s="83"/>
      <c r="W354" s="83"/>
      <c r="X354" s="83"/>
      <c r="Y354" s="83"/>
      <c r="Z354" s="83"/>
      <c r="AA354" s="83"/>
      <c r="AB354" s="83"/>
      <c r="AC354" s="83"/>
      <c r="AD354" s="83"/>
    </row>
    <row r="355">
      <c r="A355" s="83"/>
      <c r="B355" s="83"/>
      <c r="C355" s="83"/>
      <c r="D355" s="83"/>
      <c r="E355" s="118"/>
      <c r="F355" s="118"/>
      <c r="G355" s="83"/>
      <c r="H355" s="83"/>
      <c r="I355" s="83"/>
      <c r="J355" s="83"/>
      <c r="K355" s="83"/>
      <c r="L355" s="83"/>
      <c r="M355" s="83"/>
      <c r="N355" s="83"/>
      <c r="O355" s="83"/>
      <c r="P355" s="83"/>
      <c r="Q355" s="83"/>
      <c r="R355" s="83"/>
      <c r="S355" s="83"/>
      <c r="T355" s="83"/>
      <c r="U355" s="83"/>
      <c r="V355" s="83"/>
      <c r="W355" s="83"/>
      <c r="X355" s="83"/>
      <c r="Y355" s="83"/>
      <c r="Z355" s="83"/>
      <c r="AA355" s="83"/>
      <c r="AB355" s="83"/>
      <c r="AC355" s="83"/>
      <c r="AD355" s="83"/>
    </row>
    <row r="356">
      <c r="A356" s="83"/>
      <c r="B356" s="83"/>
      <c r="C356" s="83"/>
      <c r="D356" s="83"/>
      <c r="E356" s="118"/>
      <c r="F356" s="118"/>
      <c r="G356" s="83"/>
      <c r="H356" s="83"/>
      <c r="I356" s="83"/>
      <c r="J356" s="83"/>
      <c r="K356" s="83"/>
      <c r="L356" s="83"/>
      <c r="M356" s="83"/>
      <c r="N356" s="83"/>
      <c r="O356" s="83"/>
      <c r="P356" s="83"/>
      <c r="Q356" s="83"/>
      <c r="R356" s="83"/>
      <c r="S356" s="83"/>
      <c r="T356" s="83"/>
      <c r="U356" s="83"/>
      <c r="V356" s="83"/>
      <c r="W356" s="83"/>
      <c r="X356" s="83"/>
      <c r="Y356" s="83"/>
      <c r="Z356" s="83"/>
      <c r="AA356" s="83"/>
      <c r="AB356" s="83"/>
      <c r="AC356" s="83"/>
      <c r="AD356" s="83"/>
    </row>
    <row r="357">
      <c r="A357" s="83"/>
      <c r="B357" s="83"/>
      <c r="C357" s="83"/>
      <c r="D357" s="83"/>
      <c r="E357" s="118"/>
      <c r="F357" s="118"/>
      <c r="G357" s="83"/>
      <c r="H357" s="83"/>
      <c r="I357" s="83"/>
      <c r="J357" s="83"/>
      <c r="K357" s="83"/>
      <c r="L357" s="83"/>
      <c r="M357" s="83"/>
      <c r="N357" s="83"/>
      <c r="O357" s="83"/>
      <c r="P357" s="83"/>
      <c r="Q357" s="83"/>
      <c r="R357" s="83"/>
      <c r="S357" s="83"/>
      <c r="T357" s="83"/>
      <c r="U357" s="83"/>
      <c r="V357" s="83"/>
      <c r="W357" s="83"/>
      <c r="X357" s="83"/>
      <c r="Y357" s="83"/>
      <c r="Z357" s="83"/>
      <c r="AA357" s="83"/>
      <c r="AB357" s="83"/>
      <c r="AC357" s="83"/>
      <c r="AD357" s="83"/>
    </row>
    <row r="358">
      <c r="A358" s="83"/>
      <c r="B358" s="83"/>
      <c r="C358" s="83"/>
      <c r="D358" s="83"/>
      <c r="E358" s="118"/>
      <c r="F358" s="118"/>
      <c r="G358" s="83"/>
      <c r="H358" s="83"/>
      <c r="I358" s="83"/>
      <c r="J358" s="83"/>
      <c r="K358" s="83"/>
      <c r="L358" s="83"/>
      <c r="M358" s="83"/>
      <c r="N358" s="83"/>
      <c r="O358" s="83"/>
      <c r="P358" s="83"/>
      <c r="Q358" s="83"/>
      <c r="R358" s="83"/>
      <c r="S358" s="83"/>
      <c r="T358" s="83"/>
      <c r="U358" s="83"/>
      <c r="V358" s="83"/>
      <c r="W358" s="83"/>
      <c r="X358" s="83"/>
      <c r="Y358" s="83"/>
      <c r="Z358" s="83"/>
      <c r="AA358" s="83"/>
      <c r="AB358" s="83"/>
      <c r="AC358" s="83"/>
      <c r="AD358" s="83"/>
    </row>
    <row r="359">
      <c r="A359" s="83"/>
      <c r="B359" s="83"/>
      <c r="C359" s="83"/>
      <c r="D359" s="83"/>
      <c r="E359" s="118"/>
      <c r="F359" s="118"/>
      <c r="G359" s="83"/>
      <c r="H359" s="83"/>
      <c r="I359" s="83"/>
      <c r="J359" s="83"/>
      <c r="K359" s="83"/>
      <c r="L359" s="83"/>
      <c r="M359" s="83"/>
      <c r="N359" s="83"/>
      <c r="O359" s="83"/>
      <c r="P359" s="83"/>
      <c r="Q359" s="83"/>
      <c r="R359" s="83"/>
      <c r="S359" s="83"/>
      <c r="T359" s="83"/>
      <c r="U359" s="83"/>
      <c r="V359" s="83"/>
      <c r="W359" s="83"/>
      <c r="X359" s="83"/>
      <c r="Y359" s="83"/>
      <c r="Z359" s="83"/>
      <c r="AA359" s="83"/>
      <c r="AB359" s="83"/>
      <c r="AC359" s="83"/>
      <c r="AD359" s="83"/>
    </row>
    <row r="360">
      <c r="A360" s="83"/>
      <c r="B360" s="83"/>
      <c r="C360" s="83"/>
      <c r="D360" s="83"/>
      <c r="E360" s="118"/>
      <c r="F360" s="118"/>
      <c r="G360" s="83"/>
      <c r="H360" s="83"/>
      <c r="I360" s="83"/>
      <c r="J360" s="83"/>
      <c r="K360" s="83"/>
      <c r="L360" s="83"/>
      <c r="M360" s="83"/>
      <c r="N360" s="83"/>
      <c r="O360" s="83"/>
      <c r="P360" s="83"/>
      <c r="Q360" s="83"/>
      <c r="R360" s="83"/>
      <c r="S360" s="83"/>
      <c r="T360" s="83"/>
      <c r="U360" s="83"/>
      <c r="V360" s="83"/>
      <c r="W360" s="83"/>
      <c r="X360" s="83"/>
      <c r="Y360" s="83"/>
      <c r="Z360" s="83"/>
      <c r="AA360" s="83"/>
      <c r="AB360" s="83"/>
      <c r="AC360" s="83"/>
      <c r="AD360" s="83"/>
    </row>
    <row r="361">
      <c r="A361" s="83"/>
      <c r="B361" s="83"/>
      <c r="C361" s="83"/>
      <c r="D361" s="83"/>
      <c r="E361" s="118"/>
      <c r="F361" s="118"/>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c r="AD361" s="83"/>
    </row>
    <row r="362">
      <c r="A362" s="83"/>
      <c r="B362" s="83"/>
      <c r="C362" s="83"/>
      <c r="D362" s="83"/>
      <c r="E362" s="118"/>
      <c r="F362" s="118"/>
      <c r="G362" s="83"/>
      <c r="H362" s="83"/>
      <c r="I362" s="83"/>
      <c r="J362" s="83"/>
      <c r="K362" s="83"/>
      <c r="L362" s="83"/>
      <c r="M362" s="83"/>
      <c r="N362" s="83"/>
      <c r="O362" s="83"/>
      <c r="P362" s="83"/>
      <c r="Q362" s="83"/>
      <c r="R362" s="83"/>
      <c r="S362" s="83"/>
      <c r="T362" s="83"/>
      <c r="U362" s="83"/>
      <c r="V362" s="83"/>
      <c r="W362" s="83"/>
      <c r="X362" s="83"/>
      <c r="Y362" s="83"/>
      <c r="Z362" s="83"/>
      <c r="AA362" s="83"/>
      <c r="AB362" s="83"/>
      <c r="AC362" s="83"/>
      <c r="AD362" s="83"/>
    </row>
    <row r="363">
      <c r="A363" s="83"/>
      <c r="B363" s="83"/>
      <c r="C363" s="83"/>
      <c r="D363" s="83"/>
      <c r="E363" s="118"/>
      <c r="F363" s="118"/>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c r="AD363" s="83"/>
    </row>
    <row r="364">
      <c r="A364" s="83"/>
      <c r="B364" s="83"/>
      <c r="C364" s="83"/>
      <c r="D364" s="83"/>
      <c r="E364" s="118"/>
      <c r="F364" s="118"/>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c r="AD364" s="83"/>
    </row>
    <row r="365">
      <c r="A365" s="83"/>
      <c r="B365" s="83"/>
      <c r="C365" s="83"/>
      <c r="D365" s="83"/>
      <c r="E365" s="118"/>
      <c r="F365" s="118"/>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c r="AD365" s="83"/>
    </row>
    <row r="366">
      <c r="A366" s="83"/>
      <c r="B366" s="83"/>
      <c r="C366" s="83"/>
      <c r="D366" s="83"/>
      <c r="E366" s="118"/>
      <c r="F366" s="118"/>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c r="AD366" s="83"/>
    </row>
    <row r="367">
      <c r="A367" s="83"/>
      <c r="B367" s="83"/>
      <c r="C367" s="83"/>
      <c r="D367" s="83"/>
      <c r="E367" s="118"/>
      <c r="F367" s="118"/>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c r="AD367" s="83"/>
    </row>
    <row r="368">
      <c r="A368" s="83"/>
      <c r="B368" s="83"/>
      <c r="C368" s="83"/>
      <c r="D368" s="83"/>
      <c r="E368" s="118"/>
      <c r="F368" s="118"/>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c r="AD368" s="83"/>
    </row>
    <row r="369">
      <c r="A369" s="83"/>
      <c r="B369" s="83"/>
      <c r="C369" s="83"/>
      <c r="D369" s="83"/>
      <c r="E369" s="118"/>
      <c r="F369" s="118"/>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c r="AD369" s="83"/>
    </row>
    <row r="370">
      <c r="A370" s="83"/>
      <c r="B370" s="83"/>
      <c r="C370" s="83"/>
      <c r="D370" s="83"/>
      <c r="E370" s="118"/>
      <c r="F370" s="118"/>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c r="AD370" s="83"/>
    </row>
    <row r="371">
      <c r="A371" s="83"/>
      <c r="B371" s="83"/>
      <c r="C371" s="83"/>
      <c r="D371" s="83"/>
      <c r="E371" s="118"/>
      <c r="F371" s="118"/>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c r="AD371" s="83"/>
    </row>
    <row r="372">
      <c r="A372" s="83"/>
      <c r="B372" s="83"/>
      <c r="C372" s="83"/>
      <c r="D372" s="83"/>
      <c r="E372" s="118"/>
      <c r="F372" s="118"/>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c r="AD372" s="83"/>
    </row>
    <row r="373">
      <c r="A373" s="83"/>
      <c r="B373" s="83"/>
      <c r="C373" s="83"/>
      <c r="D373" s="83"/>
      <c r="E373" s="118"/>
      <c r="F373" s="118"/>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c r="AD373" s="83"/>
    </row>
    <row r="374">
      <c r="A374" s="83"/>
      <c r="B374" s="83"/>
      <c r="C374" s="83"/>
      <c r="D374" s="83"/>
      <c r="E374" s="118"/>
      <c r="F374" s="118"/>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c r="AD374" s="83"/>
    </row>
    <row r="375">
      <c r="A375" s="83"/>
      <c r="B375" s="83"/>
      <c r="C375" s="83"/>
      <c r="D375" s="83"/>
      <c r="E375" s="118"/>
      <c r="F375" s="118"/>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c r="AD375" s="83"/>
    </row>
    <row r="376">
      <c r="A376" s="83"/>
      <c r="B376" s="83"/>
      <c r="C376" s="83"/>
      <c r="D376" s="83"/>
      <c r="E376" s="118"/>
      <c r="F376" s="118"/>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c r="AD376" s="83"/>
    </row>
    <row r="377">
      <c r="A377" s="83"/>
      <c r="B377" s="83"/>
      <c r="C377" s="83"/>
      <c r="D377" s="83"/>
      <c r="E377" s="118"/>
      <c r="F377" s="118"/>
      <c r="G377" s="83"/>
      <c r="H377" s="83"/>
      <c r="I377" s="83"/>
      <c r="J377" s="83"/>
      <c r="K377" s="83"/>
      <c r="L377" s="83"/>
      <c r="M377" s="83"/>
      <c r="N377" s="83"/>
      <c r="O377" s="83"/>
      <c r="P377" s="83"/>
      <c r="Q377" s="83"/>
      <c r="R377" s="83"/>
      <c r="S377" s="83"/>
      <c r="T377" s="83"/>
      <c r="U377" s="83"/>
      <c r="V377" s="83"/>
      <c r="W377" s="83"/>
      <c r="X377" s="83"/>
      <c r="Y377" s="83"/>
      <c r="Z377" s="83"/>
      <c r="AA377" s="83"/>
      <c r="AB377" s="83"/>
      <c r="AC377" s="83"/>
      <c r="AD377" s="83"/>
    </row>
    <row r="378">
      <c r="A378" s="83"/>
      <c r="B378" s="83"/>
      <c r="C378" s="83"/>
      <c r="D378" s="83"/>
      <c r="E378" s="118"/>
      <c r="F378" s="118"/>
      <c r="G378" s="83"/>
      <c r="H378" s="83"/>
      <c r="I378" s="83"/>
      <c r="J378" s="83"/>
      <c r="K378" s="83"/>
      <c r="L378" s="83"/>
      <c r="M378" s="83"/>
      <c r="N378" s="83"/>
      <c r="O378" s="83"/>
      <c r="P378" s="83"/>
      <c r="Q378" s="83"/>
      <c r="R378" s="83"/>
      <c r="S378" s="83"/>
      <c r="T378" s="83"/>
      <c r="U378" s="83"/>
      <c r="V378" s="83"/>
      <c r="W378" s="83"/>
      <c r="X378" s="83"/>
      <c r="Y378" s="83"/>
      <c r="Z378" s="83"/>
      <c r="AA378" s="83"/>
      <c r="AB378" s="83"/>
      <c r="AC378" s="83"/>
      <c r="AD378" s="83"/>
    </row>
    <row r="379">
      <c r="A379" s="83"/>
      <c r="B379" s="83"/>
      <c r="C379" s="83"/>
      <c r="D379" s="83"/>
      <c r="E379" s="118"/>
      <c r="F379" s="118"/>
      <c r="G379" s="83"/>
      <c r="H379" s="83"/>
      <c r="I379" s="83"/>
      <c r="J379" s="83"/>
      <c r="K379" s="83"/>
      <c r="L379" s="83"/>
      <c r="M379" s="83"/>
      <c r="N379" s="83"/>
      <c r="O379" s="83"/>
      <c r="P379" s="83"/>
      <c r="Q379" s="83"/>
      <c r="R379" s="83"/>
      <c r="S379" s="83"/>
      <c r="T379" s="83"/>
      <c r="U379" s="83"/>
      <c r="V379" s="83"/>
      <c r="W379" s="83"/>
      <c r="X379" s="83"/>
      <c r="Y379" s="83"/>
      <c r="Z379" s="83"/>
      <c r="AA379" s="83"/>
      <c r="AB379" s="83"/>
      <c r="AC379" s="83"/>
      <c r="AD379" s="83"/>
    </row>
    <row r="380">
      <c r="A380" s="83"/>
      <c r="B380" s="83"/>
      <c r="C380" s="83"/>
      <c r="D380" s="83"/>
      <c r="E380" s="118"/>
      <c r="F380" s="118"/>
      <c r="G380" s="83"/>
      <c r="H380" s="83"/>
      <c r="I380" s="83"/>
      <c r="J380" s="83"/>
      <c r="K380" s="83"/>
      <c r="L380" s="83"/>
      <c r="M380" s="83"/>
      <c r="N380" s="83"/>
      <c r="O380" s="83"/>
      <c r="P380" s="83"/>
      <c r="Q380" s="83"/>
      <c r="R380" s="83"/>
      <c r="S380" s="83"/>
      <c r="T380" s="83"/>
      <c r="U380" s="83"/>
      <c r="V380" s="83"/>
      <c r="W380" s="83"/>
      <c r="X380" s="83"/>
      <c r="Y380" s="83"/>
      <c r="Z380" s="83"/>
      <c r="AA380" s="83"/>
      <c r="AB380" s="83"/>
      <c r="AC380" s="83"/>
      <c r="AD380" s="83"/>
    </row>
    <row r="381">
      <c r="A381" s="83"/>
      <c r="B381" s="83"/>
      <c r="C381" s="83"/>
      <c r="D381" s="83"/>
      <c r="E381" s="118"/>
      <c r="F381" s="118"/>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c r="AD381" s="83"/>
    </row>
    <row r="382">
      <c r="A382" s="83"/>
      <c r="B382" s="83"/>
      <c r="C382" s="83"/>
      <c r="D382" s="83"/>
      <c r="E382" s="118"/>
      <c r="F382" s="118"/>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c r="AD382" s="83"/>
    </row>
    <row r="383">
      <c r="A383" s="83"/>
      <c r="B383" s="83"/>
      <c r="C383" s="83"/>
      <c r="D383" s="83"/>
      <c r="E383" s="118"/>
      <c r="F383" s="118"/>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c r="AD383" s="83"/>
    </row>
    <row r="384">
      <c r="A384" s="83"/>
      <c r="B384" s="83"/>
      <c r="C384" s="83"/>
      <c r="D384" s="83"/>
      <c r="E384" s="118"/>
      <c r="F384" s="118"/>
      <c r="G384" s="83"/>
      <c r="H384" s="83"/>
      <c r="I384" s="83"/>
      <c r="J384" s="83"/>
      <c r="K384" s="83"/>
      <c r="L384" s="83"/>
      <c r="M384" s="83"/>
      <c r="N384" s="83"/>
      <c r="O384" s="83"/>
      <c r="P384" s="83"/>
      <c r="Q384" s="83"/>
      <c r="R384" s="83"/>
      <c r="S384" s="83"/>
      <c r="T384" s="83"/>
      <c r="U384" s="83"/>
      <c r="V384" s="83"/>
      <c r="W384" s="83"/>
      <c r="X384" s="83"/>
      <c r="Y384" s="83"/>
      <c r="Z384" s="83"/>
      <c r="AA384" s="83"/>
      <c r="AB384" s="83"/>
      <c r="AC384" s="83"/>
      <c r="AD384" s="83"/>
    </row>
    <row r="385">
      <c r="A385" s="83"/>
      <c r="B385" s="83"/>
      <c r="C385" s="83"/>
      <c r="D385" s="83"/>
      <c r="E385" s="118"/>
      <c r="F385" s="118"/>
      <c r="G385" s="83"/>
      <c r="H385" s="83"/>
      <c r="I385" s="83"/>
      <c r="J385" s="83"/>
      <c r="K385" s="83"/>
      <c r="L385" s="83"/>
      <c r="M385" s="83"/>
      <c r="N385" s="83"/>
      <c r="O385" s="83"/>
      <c r="P385" s="83"/>
      <c r="Q385" s="83"/>
      <c r="R385" s="83"/>
      <c r="S385" s="83"/>
      <c r="T385" s="83"/>
      <c r="U385" s="83"/>
      <c r="V385" s="83"/>
      <c r="W385" s="83"/>
      <c r="X385" s="83"/>
      <c r="Y385" s="83"/>
      <c r="Z385" s="83"/>
      <c r="AA385" s="83"/>
      <c r="AB385" s="83"/>
      <c r="AC385" s="83"/>
      <c r="AD385" s="83"/>
    </row>
    <row r="386">
      <c r="A386" s="83"/>
      <c r="B386" s="83"/>
      <c r="C386" s="83"/>
      <c r="D386" s="83"/>
      <c r="E386" s="118"/>
      <c r="F386" s="118"/>
      <c r="G386" s="83"/>
      <c r="H386" s="83"/>
      <c r="I386" s="83"/>
      <c r="J386" s="83"/>
      <c r="K386" s="83"/>
      <c r="L386" s="83"/>
      <c r="M386" s="83"/>
      <c r="N386" s="83"/>
      <c r="O386" s="83"/>
      <c r="P386" s="83"/>
      <c r="Q386" s="83"/>
      <c r="R386" s="83"/>
      <c r="S386" s="83"/>
      <c r="T386" s="83"/>
      <c r="U386" s="83"/>
      <c r="V386" s="83"/>
      <c r="W386" s="83"/>
      <c r="X386" s="83"/>
      <c r="Y386" s="83"/>
      <c r="Z386" s="83"/>
      <c r="AA386" s="83"/>
      <c r="AB386" s="83"/>
      <c r="AC386" s="83"/>
      <c r="AD386" s="83"/>
    </row>
    <row r="387">
      <c r="A387" s="83"/>
      <c r="B387" s="83"/>
      <c r="C387" s="83"/>
      <c r="D387" s="83"/>
      <c r="E387" s="118"/>
      <c r="F387" s="118"/>
      <c r="G387" s="83"/>
      <c r="H387" s="83"/>
      <c r="I387" s="83"/>
      <c r="J387" s="83"/>
      <c r="K387" s="83"/>
      <c r="L387" s="83"/>
      <c r="M387" s="83"/>
      <c r="N387" s="83"/>
      <c r="O387" s="83"/>
      <c r="P387" s="83"/>
      <c r="Q387" s="83"/>
      <c r="R387" s="83"/>
      <c r="S387" s="83"/>
      <c r="T387" s="83"/>
      <c r="U387" s="83"/>
      <c r="V387" s="83"/>
      <c r="W387" s="83"/>
      <c r="X387" s="83"/>
      <c r="Y387" s="83"/>
      <c r="Z387" s="83"/>
      <c r="AA387" s="83"/>
      <c r="AB387" s="83"/>
      <c r="AC387" s="83"/>
      <c r="AD387" s="83"/>
    </row>
    <row r="388">
      <c r="A388" s="83"/>
      <c r="B388" s="83"/>
      <c r="C388" s="83"/>
      <c r="D388" s="83"/>
      <c r="E388" s="118"/>
      <c r="F388" s="118"/>
      <c r="G388" s="83"/>
      <c r="H388" s="83"/>
      <c r="I388" s="83"/>
      <c r="J388" s="83"/>
      <c r="K388" s="83"/>
      <c r="L388" s="83"/>
      <c r="M388" s="83"/>
      <c r="N388" s="83"/>
      <c r="O388" s="83"/>
      <c r="P388" s="83"/>
      <c r="Q388" s="83"/>
      <c r="R388" s="83"/>
      <c r="S388" s="83"/>
      <c r="T388" s="83"/>
      <c r="U388" s="83"/>
      <c r="V388" s="83"/>
      <c r="W388" s="83"/>
      <c r="X388" s="83"/>
      <c r="Y388" s="83"/>
      <c r="Z388" s="83"/>
      <c r="AA388" s="83"/>
      <c r="AB388" s="83"/>
      <c r="AC388" s="83"/>
      <c r="AD388" s="83"/>
    </row>
    <row r="389">
      <c r="A389" s="83"/>
      <c r="B389" s="83"/>
      <c r="C389" s="83"/>
      <c r="D389" s="83"/>
      <c r="E389" s="118"/>
      <c r="F389" s="118"/>
      <c r="G389" s="83"/>
      <c r="H389" s="83"/>
      <c r="I389" s="83"/>
      <c r="J389" s="83"/>
      <c r="K389" s="83"/>
      <c r="L389" s="83"/>
      <c r="M389" s="83"/>
      <c r="N389" s="83"/>
      <c r="O389" s="83"/>
      <c r="P389" s="83"/>
      <c r="Q389" s="83"/>
      <c r="R389" s="83"/>
      <c r="S389" s="83"/>
      <c r="T389" s="83"/>
      <c r="U389" s="83"/>
      <c r="V389" s="83"/>
      <c r="W389" s="83"/>
      <c r="X389" s="83"/>
      <c r="Y389" s="83"/>
      <c r="Z389" s="83"/>
      <c r="AA389" s="83"/>
      <c r="AB389" s="83"/>
      <c r="AC389" s="83"/>
      <c r="AD389" s="83"/>
    </row>
    <row r="390">
      <c r="A390" s="83"/>
      <c r="B390" s="83"/>
      <c r="C390" s="83"/>
      <c r="D390" s="83"/>
      <c r="E390" s="118"/>
      <c r="F390" s="118"/>
      <c r="G390" s="83"/>
      <c r="H390" s="83"/>
      <c r="I390" s="83"/>
      <c r="J390" s="83"/>
      <c r="K390" s="83"/>
      <c r="L390" s="83"/>
      <c r="M390" s="83"/>
      <c r="N390" s="83"/>
      <c r="O390" s="83"/>
      <c r="P390" s="83"/>
      <c r="Q390" s="83"/>
      <c r="R390" s="83"/>
      <c r="S390" s="83"/>
      <c r="T390" s="83"/>
      <c r="U390" s="83"/>
      <c r="V390" s="83"/>
      <c r="W390" s="83"/>
      <c r="X390" s="83"/>
      <c r="Y390" s="83"/>
      <c r="Z390" s="83"/>
      <c r="AA390" s="83"/>
      <c r="AB390" s="83"/>
      <c r="AC390" s="83"/>
      <c r="AD390" s="83"/>
    </row>
    <row r="391">
      <c r="A391" s="83"/>
      <c r="B391" s="83"/>
      <c r="C391" s="83"/>
      <c r="D391" s="83"/>
      <c r="E391" s="118"/>
      <c r="F391" s="118"/>
      <c r="G391" s="83"/>
      <c r="H391" s="83"/>
      <c r="I391" s="83"/>
      <c r="J391" s="83"/>
      <c r="K391" s="83"/>
      <c r="L391" s="83"/>
      <c r="M391" s="83"/>
      <c r="N391" s="83"/>
      <c r="O391" s="83"/>
      <c r="P391" s="83"/>
      <c r="Q391" s="83"/>
      <c r="R391" s="83"/>
      <c r="S391" s="83"/>
      <c r="T391" s="83"/>
      <c r="U391" s="83"/>
      <c r="V391" s="83"/>
      <c r="W391" s="83"/>
      <c r="X391" s="83"/>
      <c r="Y391" s="83"/>
      <c r="Z391" s="83"/>
      <c r="AA391" s="83"/>
      <c r="AB391" s="83"/>
      <c r="AC391" s="83"/>
      <c r="AD391" s="83"/>
    </row>
    <row r="392">
      <c r="A392" s="83"/>
      <c r="B392" s="83"/>
      <c r="C392" s="83"/>
      <c r="D392" s="83"/>
      <c r="E392" s="118"/>
      <c r="F392" s="118"/>
      <c r="G392" s="83"/>
      <c r="H392" s="83"/>
      <c r="I392" s="83"/>
      <c r="J392" s="83"/>
      <c r="K392" s="83"/>
      <c r="L392" s="83"/>
      <c r="M392" s="83"/>
      <c r="N392" s="83"/>
      <c r="O392" s="83"/>
      <c r="P392" s="83"/>
      <c r="Q392" s="83"/>
      <c r="R392" s="83"/>
      <c r="S392" s="83"/>
      <c r="T392" s="83"/>
      <c r="U392" s="83"/>
      <c r="V392" s="83"/>
      <c r="W392" s="83"/>
      <c r="X392" s="83"/>
      <c r="Y392" s="83"/>
      <c r="Z392" s="83"/>
      <c r="AA392" s="83"/>
      <c r="AB392" s="83"/>
      <c r="AC392" s="83"/>
      <c r="AD392" s="83"/>
    </row>
    <row r="393">
      <c r="A393" s="83"/>
      <c r="B393" s="83"/>
      <c r="C393" s="83"/>
      <c r="D393" s="83"/>
      <c r="E393" s="118"/>
      <c r="F393" s="118"/>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c r="AD393" s="83"/>
    </row>
    <row r="394">
      <c r="A394" s="83"/>
      <c r="B394" s="83"/>
      <c r="C394" s="83"/>
      <c r="D394" s="83"/>
      <c r="E394" s="118"/>
      <c r="F394" s="118"/>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c r="AD394" s="83"/>
    </row>
    <row r="395">
      <c r="A395" s="83"/>
      <c r="B395" s="83"/>
      <c r="C395" s="83"/>
      <c r="D395" s="83"/>
      <c r="E395" s="118"/>
      <c r="F395" s="118"/>
      <c r="G395" s="83"/>
      <c r="H395" s="83"/>
      <c r="I395" s="83"/>
      <c r="J395" s="83"/>
      <c r="K395" s="83"/>
      <c r="L395" s="83"/>
      <c r="M395" s="83"/>
      <c r="N395" s="83"/>
      <c r="O395" s="83"/>
      <c r="P395" s="83"/>
      <c r="Q395" s="83"/>
      <c r="R395" s="83"/>
      <c r="S395" s="83"/>
      <c r="T395" s="83"/>
      <c r="U395" s="83"/>
      <c r="V395" s="83"/>
      <c r="W395" s="83"/>
      <c r="X395" s="83"/>
      <c r="Y395" s="83"/>
      <c r="Z395" s="83"/>
      <c r="AA395" s="83"/>
      <c r="AB395" s="83"/>
      <c r="AC395" s="83"/>
      <c r="AD395" s="83"/>
    </row>
    <row r="396">
      <c r="A396" s="83"/>
      <c r="B396" s="83"/>
      <c r="C396" s="83"/>
      <c r="D396" s="83"/>
      <c r="E396" s="118"/>
      <c r="F396" s="118"/>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c r="AD396" s="83"/>
    </row>
    <row r="397">
      <c r="A397" s="83"/>
      <c r="B397" s="83"/>
      <c r="C397" s="83"/>
      <c r="D397" s="83"/>
      <c r="E397" s="118"/>
      <c r="F397" s="118"/>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c r="AD397" s="83"/>
    </row>
    <row r="398">
      <c r="A398" s="83"/>
      <c r="B398" s="83"/>
      <c r="C398" s="83"/>
      <c r="D398" s="83"/>
      <c r="E398" s="118"/>
      <c r="F398" s="118"/>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c r="AD398" s="83"/>
    </row>
    <row r="399">
      <c r="A399" s="83"/>
      <c r="B399" s="83"/>
      <c r="C399" s="83"/>
      <c r="D399" s="83"/>
      <c r="E399" s="118"/>
      <c r="F399" s="118"/>
      <c r="G399" s="83"/>
      <c r="H399" s="83"/>
      <c r="I399" s="83"/>
      <c r="J399" s="83"/>
      <c r="K399" s="83"/>
      <c r="L399" s="83"/>
      <c r="M399" s="83"/>
      <c r="N399" s="83"/>
      <c r="O399" s="83"/>
      <c r="P399" s="83"/>
      <c r="Q399" s="83"/>
      <c r="R399" s="83"/>
      <c r="S399" s="83"/>
      <c r="T399" s="83"/>
      <c r="U399" s="83"/>
      <c r="V399" s="83"/>
      <c r="W399" s="83"/>
      <c r="X399" s="83"/>
      <c r="Y399" s="83"/>
      <c r="Z399" s="83"/>
      <c r="AA399" s="83"/>
      <c r="AB399" s="83"/>
      <c r="AC399" s="83"/>
      <c r="AD399" s="83"/>
    </row>
    <row r="400">
      <c r="A400" s="83"/>
      <c r="B400" s="83"/>
      <c r="C400" s="83"/>
      <c r="D400" s="83"/>
      <c r="E400" s="118"/>
      <c r="F400" s="118"/>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c r="AD400" s="83"/>
    </row>
    <row r="401">
      <c r="A401" s="83"/>
      <c r="B401" s="83"/>
      <c r="C401" s="83"/>
      <c r="D401" s="83"/>
      <c r="E401" s="118"/>
      <c r="F401" s="118"/>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c r="AD401" s="83"/>
    </row>
    <row r="402">
      <c r="A402" s="83"/>
      <c r="B402" s="83"/>
      <c r="C402" s="83"/>
      <c r="D402" s="83"/>
      <c r="E402" s="118"/>
      <c r="F402" s="118"/>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c r="AD402" s="83"/>
    </row>
    <row r="403">
      <c r="A403" s="83"/>
      <c r="B403" s="83"/>
      <c r="C403" s="83"/>
      <c r="D403" s="83"/>
      <c r="E403" s="118"/>
      <c r="F403" s="118"/>
      <c r="G403" s="83"/>
      <c r="H403" s="83"/>
      <c r="I403" s="83"/>
      <c r="J403" s="83"/>
      <c r="K403" s="83"/>
      <c r="L403" s="83"/>
      <c r="M403" s="83"/>
      <c r="N403" s="83"/>
      <c r="O403" s="83"/>
      <c r="P403" s="83"/>
      <c r="Q403" s="83"/>
      <c r="R403" s="83"/>
      <c r="S403" s="83"/>
      <c r="T403" s="83"/>
      <c r="U403" s="83"/>
      <c r="V403" s="83"/>
      <c r="W403" s="83"/>
      <c r="X403" s="83"/>
      <c r="Y403" s="83"/>
      <c r="Z403" s="83"/>
      <c r="AA403" s="83"/>
      <c r="AB403" s="83"/>
      <c r="AC403" s="83"/>
      <c r="AD403" s="83"/>
    </row>
    <row r="404">
      <c r="A404" s="83"/>
      <c r="B404" s="83"/>
      <c r="C404" s="83"/>
      <c r="D404" s="83"/>
      <c r="E404" s="118"/>
      <c r="F404" s="118"/>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c r="AD404" s="83"/>
    </row>
    <row r="405">
      <c r="A405" s="83"/>
      <c r="B405" s="83"/>
      <c r="C405" s="83"/>
      <c r="D405" s="83"/>
      <c r="E405" s="118"/>
      <c r="F405" s="118"/>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c r="AD405" s="83"/>
    </row>
    <row r="406">
      <c r="A406" s="83"/>
      <c r="B406" s="83"/>
      <c r="C406" s="83"/>
      <c r="D406" s="83"/>
      <c r="E406" s="118"/>
      <c r="F406" s="118"/>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c r="AD406" s="83"/>
    </row>
    <row r="407">
      <c r="A407" s="83"/>
      <c r="B407" s="83"/>
      <c r="C407" s="83"/>
      <c r="D407" s="83"/>
      <c r="E407" s="118"/>
      <c r="F407" s="118"/>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c r="AD407" s="83"/>
    </row>
    <row r="408">
      <c r="A408" s="83"/>
      <c r="B408" s="83"/>
      <c r="C408" s="83"/>
      <c r="D408" s="83"/>
      <c r="E408" s="118"/>
      <c r="F408" s="118"/>
      <c r="G408" s="83"/>
      <c r="H408" s="83"/>
      <c r="I408" s="83"/>
      <c r="J408" s="83"/>
      <c r="K408" s="83"/>
      <c r="L408" s="83"/>
      <c r="M408" s="83"/>
      <c r="N408" s="83"/>
      <c r="O408" s="83"/>
      <c r="P408" s="83"/>
      <c r="Q408" s="83"/>
      <c r="R408" s="83"/>
      <c r="S408" s="83"/>
      <c r="T408" s="83"/>
      <c r="U408" s="83"/>
      <c r="V408" s="83"/>
      <c r="W408" s="83"/>
      <c r="X408" s="83"/>
      <c r="Y408" s="83"/>
      <c r="Z408" s="83"/>
      <c r="AA408" s="83"/>
      <c r="AB408" s="83"/>
      <c r="AC408" s="83"/>
      <c r="AD408" s="83"/>
    </row>
    <row r="409">
      <c r="A409" s="83"/>
      <c r="B409" s="83"/>
      <c r="C409" s="83"/>
      <c r="D409" s="83"/>
      <c r="E409" s="118"/>
      <c r="F409" s="118"/>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c r="AD409" s="83"/>
    </row>
    <row r="410">
      <c r="A410" s="83"/>
      <c r="B410" s="83"/>
      <c r="C410" s="83"/>
      <c r="D410" s="83"/>
      <c r="E410" s="118"/>
      <c r="F410" s="118"/>
      <c r="G410" s="83"/>
      <c r="H410" s="83"/>
      <c r="I410" s="83"/>
      <c r="J410" s="83"/>
      <c r="K410" s="83"/>
      <c r="L410" s="83"/>
      <c r="M410" s="83"/>
      <c r="N410" s="83"/>
      <c r="O410" s="83"/>
      <c r="P410" s="83"/>
      <c r="Q410" s="83"/>
      <c r="R410" s="83"/>
      <c r="S410" s="83"/>
      <c r="T410" s="83"/>
      <c r="U410" s="83"/>
      <c r="V410" s="83"/>
      <c r="W410" s="83"/>
      <c r="X410" s="83"/>
      <c r="Y410" s="83"/>
      <c r="Z410" s="83"/>
      <c r="AA410" s="83"/>
      <c r="AB410" s="83"/>
      <c r="AC410" s="83"/>
      <c r="AD410" s="83"/>
    </row>
    <row r="411">
      <c r="A411" s="83"/>
      <c r="B411" s="83"/>
      <c r="C411" s="83"/>
      <c r="D411" s="83"/>
      <c r="E411" s="118"/>
      <c r="F411" s="118"/>
      <c r="G411" s="83"/>
      <c r="H411" s="83"/>
      <c r="I411" s="83"/>
      <c r="J411" s="83"/>
      <c r="K411" s="83"/>
      <c r="L411" s="83"/>
      <c r="M411" s="83"/>
      <c r="N411" s="83"/>
      <c r="O411" s="83"/>
      <c r="P411" s="83"/>
      <c r="Q411" s="83"/>
      <c r="R411" s="83"/>
      <c r="S411" s="83"/>
      <c r="T411" s="83"/>
      <c r="U411" s="83"/>
      <c r="V411" s="83"/>
      <c r="W411" s="83"/>
      <c r="X411" s="83"/>
      <c r="Y411" s="83"/>
      <c r="Z411" s="83"/>
      <c r="AA411" s="83"/>
      <c r="AB411" s="83"/>
      <c r="AC411" s="83"/>
      <c r="AD411" s="83"/>
    </row>
    <row r="412">
      <c r="A412" s="83"/>
      <c r="B412" s="83"/>
      <c r="C412" s="83"/>
      <c r="D412" s="83"/>
      <c r="E412" s="118"/>
      <c r="F412" s="118"/>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c r="AD412" s="83"/>
    </row>
    <row r="413">
      <c r="A413" s="83"/>
      <c r="B413" s="83"/>
      <c r="C413" s="83"/>
      <c r="D413" s="83"/>
      <c r="E413" s="118"/>
      <c r="F413" s="118"/>
      <c r="G413" s="83"/>
      <c r="H413" s="83"/>
      <c r="I413" s="83"/>
      <c r="J413" s="83"/>
      <c r="K413" s="83"/>
      <c r="L413" s="83"/>
      <c r="M413" s="83"/>
      <c r="N413" s="83"/>
      <c r="O413" s="83"/>
      <c r="P413" s="83"/>
      <c r="Q413" s="83"/>
      <c r="R413" s="83"/>
      <c r="S413" s="83"/>
      <c r="T413" s="83"/>
      <c r="U413" s="83"/>
      <c r="V413" s="83"/>
      <c r="W413" s="83"/>
      <c r="X413" s="83"/>
      <c r="Y413" s="83"/>
      <c r="Z413" s="83"/>
      <c r="AA413" s="83"/>
      <c r="AB413" s="83"/>
      <c r="AC413" s="83"/>
      <c r="AD413" s="83"/>
    </row>
    <row r="414">
      <c r="A414" s="83"/>
      <c r="B414" s="83"/>
      <c r="C414" s="83"/>
      <c r="D414" s="83"/>
      <c r="E414" s="118"/>
      <c r="F414" s="118"/>
      <c r="G414" s="83"/>
      <c r="H414" s="83"/>
      <c r="I414" s="83"/>
      <c r="J414" s="83"/>
      <c r="K414" s="83"/>
      <c r="L414" s="83"/>
      <c r="M414" s="83"/>
      <c r="N414" s="83"/>
      <c r="O414" s="83"/>
      <c r="P414" s="83"/>
      <c r="Q414" s="83"/>
      <c r="R414" s="83"/>
      <c r="S414" s="83"/>
      <c r="T414" s="83"/>
      <c r="U414" s="83"/>
      <c r="V414" s="83"/>
      <c r="W414" s="83"/>
      <c r="X414" s="83"/>
      <c r="Y414" s="83"/>
      <c r="Z414" s="83"/>
      <c r="AA414" s="83"/>
      <c r="AB414" s="83"/>
      <c r="AC414" s="83"/>
      <c r="AD414" s="83"/>
    </row>
    <row r="415">
      <c r="A415" s="83"/>
      <c r="B415" s="83"/>
      <c r="C415" s="83"/>
      <c r="D415" s="83"/>
      <c r="E415" s="118"/>
      <c r="F415" s="118"/>
      <c r="G415" s="83"/>
      <c r="H415" s="83"/>
      <c r="I415" s="83"/>
      <c r="J415" s="83"/>
      <c r="K415" s="83"/>
      <c r="L415" s="83"/>
      <c r="M415" s="83"/>
      <c r="N415" s="83"/>
      <c r="O415" s="83"/>
      <c r="P415" s="83"/>
      <c r="Q415" s="83"/>
      <c r="R415" s="83"/>
      <c r="S415" s="83"/>
      <c r="T415" s="83"/>
      <c r="U415" s="83"/>
      <c r="V415" s="83"/>
      <c r="W415" s="83"/>
      <c r="X415" s="83"/>
      <c r="Y415" s="83"/>
      <c r="Z415" s="83"/>
      <c r="AA415" s="83"/>
      <c r="AB415" s="83"/>
      <c r="AC415" s="83"/>
      <c r="AD415" s="83"/>
    </row>
    <row r="416">
      <c r="A416" s="83"/>
      <c r="B416" s="83"/>
      <c r="C416" s="83"/>
      <c r="D416" s="83"/>
      <c r="E416" s="118"/>
      <c r="F416" s="118"/>
      <c r="G416" s="83"/>
      <c r="H416" s="83"/>
      <c r="I416" s="83"/>
      <c r="J416" s="83"/>
      <c r="K416" s="83"/>
      <c r="L416" s="83"/>
      <c r="M416" s="83"/>
      <c r="N416" s="83"/>
      <c r="O416" s="83"/>
      <c r="P416" s="83"/>
      <c r="Q416" s="83"/>
      <c r="R416" s="83"/>
      <c r="S416" s="83"/>
      <c r="T416" s="83"/>
      <c r="U416" s="83"/>
      <c r="V416" s="83"/>
      <c r="W416" s="83"/>
      <c r="X416" s="83"/>
      <c r="Y416" s="83"/>
      <c r="Z416" s="83"/>
      <c r="AA416" s="83"/>
      <c r="AB416" s="83"/>
      <c r="AC416" s="83"/>
      <c r="AD416" s="83"/>
    </row>
    <row r="417">
      <c r="A417" s="83"/>
      <c r="B417" s="83"/>
      <c r="C417" s="83"/>
      <c r="D417" s="83"/>
      <c r="E417" s="118"/>
      <c r="F417" s="118"/>
      <c r="G417" s="83"/>
      <c r="H417" s="83"/>
      <c r="I417" s="83"/>
      <c r="J417" s="83"/>
      <c r="K417" s="83"/>
      <c r="L417" s="83"/>
      <c r="M417" s="83"/>
      <c r="N417" s="83"/>
      <c r="O417" s="83"/>
      <c r="P417" s="83"/>
      <c r="Q417" s="83"/>
      <c r="R417" s="83"/>
      <c r="S417" s="83"/>
      <c r="T417" s="83"/>
      <c r="U417" s="83"/>
      <c r="V417" s="83"/>
      <c r="W417" s="83"/>
      <c r="X417" s="83"/>
      <c r="Y417" s="83"/>
      <c r="Z417" s="83"/>
      <c r="AA417" s="83"/>
      <c r="AB417" s="83"/>
      <c r="AC417" s="83"/>
      <c r="AD417" s="83"/>
    </row>
    <row r="418">
      <c r="A418" s="83"/>
      <c r="B418" s="83"/>
      <c r="C418" s="83"/>
      <c r="D418" s="83"/>
      <c r="E418" s="118"/>
      <c r="F418" s="118"/>
      <c r="G418" s="83"/>
      <c r="H418" s="83"/>
      <c r="I418" s="83"/>
      <c r="J418" s="83"/>
      <c r="K418" s="83"/>
      <c r="L418" s="83"/>
      <c r="M418" s="83"/>
      <c r="N418" s="83"/>
      <c r="O418" s="83"/>
      <c r="P418" s="83"/>
      <c r="Q418" s="83"/>
      <c r="R418" s="83"/>
      <c r="S418" s="83"/>
      <c r="T418" s="83"/>
      <c r="U418" s="83"/>
      <c r="V418" s="83"/>
      <c r="W418" s="83"/>
      <c r="X418" s="83"/>
      <c r="Y418" s="83"/>
      <c r="Z418" s="83"/>
      <c r="AA418" s="83"/>
      <c r="AB418" s="83"/>
      <c r="AC418" s="83"/>
      <c r="AD418" s="83"/>
    </row>
    <row r="419">
      <c r="A419" s="83"/>
      <c r="B419" s="83"/>
      <c r="C419" s="83"/>
      <c r="D419" s="83"/>
      <c r="E419" s="118"/>
      <c r="F419" s="118"/>
      <c r="G419" s="83"/>
      <c r="H419" s="83"/>
      <c r="I419" s="83"/>
      <c r="J419" s="83"/>
      <c r="K419" s="83"/>
      <c r="L419" s="83"/>
      <c r="M419" s="83"/>
      <c r="N419" s="83"/>
      <c r="O419" s="83"/>
      <c r="P419" s="83"/>
      <c r="Q419" s="83"/>
      <c r="R419" s="83"/>
      <c r="S419" s="83"/>
      <c r="T419" s="83"/>
      <c r="U419" s="83"/>
      <c r="V419" s="83"/>
      <c r="W419" s="83"/>
      <c r="X419" s="83"/>
      <c r="Y419" s="83"/>
      <c r="Z419" s="83"/>
      <c r="AA419" s="83"/>
      <c r="AB419" s="83"/>
      <c r="AC419" s="83"/>
      <c r="AD419" s="83"/>
    </row>
    <row r="420">
      <c r="A420" s="83"/>
      <c r="B420" s="83"/>
      <c r="C420" s="83"/>
      <c r="D420" s="83"/>
      <c r="E420" s="118"/>
      <c r="F420" s="118"/>
      <c r="G420" s="83"/>
      <c r="H420" s="83"/>
      <c r="I420" s="83"/>
      <c r="J420" s="83"/>
      <c r="K420" s="83"/>
      <c r="L420" s="83"/>
      <c r="M420" s="83"/>
      <c r="N420" s="83"/>
      <c r="O420" s="83"/>
      <c r="P420" s="83"/>
      <c r="Q420" s="83"/>
      <c r="R420" s="83"/>
      <c r="S420" s="83"/>
      <c r="T420" s="83"/>
      <c r="U420" s="83"/>
      <c r="V420" s="83"/>
      <c r="W420" s="83"/>
      <c r="X420" s="83"/>
      <c r="Y420" s="83"/>
      <c r="Z420" s="83"/>
      <c r="AA420" s="83"/>
      <c r="AB420" s="83"/>
      <c r="AC420" s="83"/>
      <c r="AD420" s="83"/>
    </row>
    <row r="421">
      <c r="A421" s="83"/>
      <c r="B421" s="83"/>
      <c r="C421" s="83"/>
      <c r="D421" s="83"/>
      <c r="E421" s="118"/>
      <c r="F421" s="118"/>
      <c r="G421" s="83"/>
      <c r="H421" s="83"/>
      <c r="I421" s="83"/>
      <c r="J421" s="83"/>
      <c r="K421" s="83"/>
      <c r="L421" s="83"/>
      <c r="M421" s="83"/>
      <c r="N421" s="83"/>
      <c r="O421" s="83"/>
      <c r="P421" s="83"/>
      <c r="Q421" s="83"/>
      <c r="R421" s="83"/>
      <c r="S421" s="83"/>
      <c r="T421" s="83"/>
      <c r="U421" s="83"/>
      <c r="V421" s="83"/>
      <c r="W421" s="83"/>
      <c r="X421" s="83"/>
      <c r="Y421" s="83"/>
      <c r="Z421" s="83"/>
      <c r="AA421" s="83"/>
      <c r="AB421" s="83"/>
      <c r="AC421" s="83"/>
      <c r="AD421" s="83"/>
    </row>
    <row r="422">
      <c r="A422" s="83"/>
      <c r="B422" s="83"/>
      <c r="C422" s="83"/>
      <c r="D422" s="83"/>
      <c r="E422" s="118"/>
      <c r="F422" s="118"/>
      <c r="G422" s="83"/>
      <c r="H422" s="83"/>
      <c r="I422" s="83"/>
      <c r="J422" s="83"/>
      <c r="K422" s="83"/>
      <c r="L422" s="83"/>
      <c r="M422" s="83"/>
      <c r="N422" s="83"/>
      <c r="O422" s="83"/>
      <c r="P422" s="83"/>
      <c r="Q422" s="83"/>
      <c r="R422" s="83"/>
      <c r="S422" s="83"/>
      <c r="T422" s="83"/>
      <c r="U422" s="83"/>
      <c r="V422" s="83"/>
      <c r="W422" s="83"/>
      <c r="X422" s="83"/>
      <c r="Y422" s="83"/>
      <c r="Z422" s="83"/>
      <c r="AA422" s="83"/>
      <c r="AB422" s="83"/>
      <c r="AC422" s="83"/>
      <c r="AD422" s="83"/>
    </row>
    <row r="423">
      <c r="A423" s="83"/>
      <c r="B423" s="83"/>
      <c r="C423" s="83"/>
      <c r="D423" s="83"/>
      <c r="E423" s="118"/>
      <c r="F423" s="118"/>
      <c r="G423" s="83"/>
      <c r="H423" s="83"/>
      <c r="I423" s="83"/>
      <c r="J423" s="83"/>
      <c r="K423" s="83"/>
      <c r="L423" s="83"/>
      <c r="M423" s="83"/>
      <c r="N423" s="83"/>
      <c r="O423" s="83"/>
      <c r="P423" s="83"/>
      <c r="Q423" s="83"/>
      <c r="R423" s="83"/>
      <c r="S423" s="83"/>
      <c r="T423" s="83"/>
      <c r="U423" s="83"/>
      <c r="V423" s="83"/>
      <c r="W423" s="83"/>
      <c r="X423" s="83"/>
      <c r="Y423" s="83"/>
      <c r="Z423" s="83"/>
      <c r="AA423" s="83"/>
      <c r="AB423" s="83"/>
      <c r="AC423" s="83"/>
      <c r="AD423" s="83"/>
    </row>
    <row r="424">
      <c r="A424" s="83"/>
      <c r="B424" s="83"/>
      <c r="C424" s="83"/>
      <c r="D424" s="83"/>
      <c r="E424" s="118"/>
      <c r="F424" s="118"/>
      <c r="G424" s="83"/>
      <c r="H424" s="83"/>
      <c r="I424" s="83"/>
      <c r="J424" s="83"/>
      <c r="K424" s="83"/>
      <c r="L424" s="83"/>
      <c r="M424" s="83"/>
      <c r="N424" s="83"/>
      <c r="O424" s="83"/>
      <c r="P424" s="83"/>
      <c r="Q424" s="83"/>
      <c r="R424" s="83"/>
      <c r="S424" s="83"/>
      <c r="T424" s="83"/>
      <c r="U424" s="83"/>
      <c r="V424" s="83"/>
      <c r="W424" s="83"/>
      <c r="X424" s="83"/>
      <c r="Y424" s="83"/>
      <c r="Z424" s="83"/>
      <c r="AA424" s="83"/>
      <c r="AB424" s="83"/>
      <c r="AC424" s="83"/>
      <c r="AD424" s="83"/>
    </row>
    <row r="425">
      <c r="A425" s="83"/>
      <c r="B425" s="83"/>
      <c r="C425" s="83"/>
      <c r="D425" s="83"/>
      <c r="E425" s="118"/>
      <c r="F425" s="118"/>
      <c r="G425" s="83"/>
      <c r="H425" s="83"/>
      <c r="I425" s="83"/>
      <c r="J425" s="83"/>
      <c r="K425" s="83"/>
      <c r="L425" s="83"/>
      <c r="M425" s="83"/>
      <c r="N425" s="83"/>
      <c r="O425" s="83"/>
      <c r="P425" s="83"/>
      <c r="Q425" s="83"/>
      <c r="R425" s="83"/>
      <c r="S425" s="83"/>
      <c r="T425" s="83"/>
      <c r="U425" s="83"/>
      <c r="V425" s="83"/>
      <c r="W425" s="83"/>
      <c r="X425" s="83"/>
      <c r="Y425" s="83"/>
      <c r="Z425" s="83"/>
      <c r="AA425" s="83"/>
      <c r="AB425" s="83"/>
      <c r="AC425" s="83"/>
      <c r="AD425" s="83"/>
    </row>
    <row r="426">
      <c r="A426" s="83"/>
      <c r="B426" s="83"/>
      <c r="C426" s="83"/>
      <c r="D426" s="83"/>
      <c r="E426" s="118"/>
      <c r="F426" s="118"/>
      <c r="G426" s="83"/>
      <c r="H426" s="83"/>
      <c r="I426" s="83"/>
      <c r="J426" s="83"/>
      <c r="K426" s="83"/>
      <c r="L426" s="83"/>
      <c r="M426" s="83"/>
      <c r="N426" s="83"/>
      <c r="O426" s="83"/>
      <c r="P426" s="83"/>
      <c r="Q426" s="83"/>
      <c r="R426" s="83"/>
      <c r="S426" s="83"/>
      <c r="T426" s="83"/>
      <c r="U426" s="83"/>
      <c r="V426" s="83"/>
      <c r="W426" s="83"/>
      <c r="X426" s="83"/>
      <c r="Y426" s="83"/>
      <c r="Z426" s="83"/>
      <c r="AA426" s="83"/>
      <c r="AB426" s="83"/>
      <c r="AC426" s="83"/>
      <c r="AD426" s="83"/>
    </row>
    <row r="427">
      <c r="A427" s="83"/>
      <c r="B427" s="83"/>
      <c r="C427" s="83"/>
      <c r="D427" s="83"/>
      <c r="E427" s="118"/>
      <c r="F427" s="118"/>
      <c r="G427" s="83"/>
      <c r="H427" s="83"/>
      <c r="I427" s="83"/>
      <c r="J427" s="83"/>
      <c r="K427" s="83"/>
      <c r="L427" s="83"/>
      <c r="M427" s="83"/>
      <c r="N427" s="83"/>
      <c r="O427" s="83"/>
      <c r="P427" s="83"/>
      <c r="Q427" s="83"/>
      <c r="R427" s="83"/>
      <c r="S427" s="83"/>
      <c r="T427" s="83"/>
      <c r="U427" s="83"/>
      <c r="V427" s="83"/>
      <c r="W427" s="83"/>
      <c r="X427" s="83"/>
      <c r="Y427" s="83"/>
      <c r="Z427" s="83"/>
      <c r="AA427" s="83"/>
      <c r="AB427" s="83"/>
      <c r="AC427" s="83"/>
      <c r="AD427" s="83"/>
    </row>
    <row r="428">
      <c r="A428" s="83"/>
      <c r="B428" s="83"/>
      <c r="C428" s="83"/>
      <c r="D428" s="83"/>
      <c r="E428" s="118"/>
      <c r="F428" s="118"/>
      <c r="G428" s="83"/>
      <c r="H428" s="83"/>
      <c r="I428" s="83"/>
      <c r="J428" s="83"/>
      <c r="K428" s="83"/>
      <c r="L428" s="83"/>
      <c r="M428" s="83"/>
      <c r="N428" s="83"/>
      <c r="O428" s="83"/>
      <c r="P428" s="83"/>
      <c r="Q428" s="83"/>
      <c r="R428" s="83"/>
      <c r="S428" s="83"/>
      <c r="T428" s="83"/>
      <c r="U428" s="83"/>
      <c r="V428" s="83"/>
      <c r="W428" s="83"/>
      <c r="X428" s="83"/>
      <c r="Y428" s="83"/>
      <c r="Z428" s="83"/>
      <c r="AA428" s="83"/>
      <c r="AB428" s="83"/>
      <c r="AC428" s="83"/>
      <c r="AD428" s="83"/>
    </row>
    <row r="429">
      <c r="A429" s="83"/>
      <c r="B429" s="83"/>
      <c r="C429" s="83"/>
      <c r="D429" s="83"/>
      <c r="E429" s="118"/>
      <c r="F429" s="118"/>
      <c r="G429" s="83"/>
      <c r="H429" s="83"/>
      <c r="I429" s="83"/>
      <c r="J429" s="83"/>
      <c r="K429" s="83"/>
      <c r="L429" s="83"/>
      <c r="M429" s="83"/>
      <c r="N429" s="83"/>
      <c r="O429" s="83"/>
      <c r="P429" s="83"/>
      <c r="Q429" s="83"/>
      <c r="R429" s="83"/>
      <c r="S429" s="83"/>
      <c r="T429" s="83"/>
      <c r="U429" s="83"/>
      <c r="V429" s="83"/>
      <c r="W429" s="83"/>
      <c r="X429" s="83"/>
      <c r="Y429" s="83"/>
      <c r="Z429" s="83"/>
      <c r="AA429" s="83"/>
      <c r="AB429" s="83"/>
      <c r="AC429" s="83"/>
      <c r="AD429" s="83"/>
    </row>
    <row r="430">
      <c r="A430" s="83"/>
      <c r="B430" s="83"/>
      <c r="C430" s="83"/>
      <c r="D430" s="83"/>
      <c r="E430" s="118"/>
      <c r="F430" s="118"/>
      <c r="G430" s="83"/>
      <c r="H430" s="83"/>
      <c r="I430" s="83"/>
      <c r="J430" s="83"/>
      <c r="K430" s="83"/>
      <c r="L430" s="83"/>
      <c r="M430" s="83"/>
      <c r="N430" s="83"/>
      <c r="O430" s="83"/>
      <c r="P430" s="83"/>
      <c r="Q430" s="83"/>
      <c r="R430" s="83"/>
      <c r="S430" s="83"/>
      <c r="T430" s="83"/>
      <c r="U430" s="83"/>
      <c r="V430" s="83"/>
      <c r="W430" s="83"/>
      <c r="X430" s="83"/>
      <c r="Y430" s="83"/>
      <c r="Z430" s="83"/>
      <c r="AA430" s="83"/>
      <c r="AB430" s="83"/>
      <c r="AC430" s="83"/>
      <c r="AD430" s="83"/>
    </row>
    <row r="431">
      <c r="A431" s="83"/>
      <c r="B431" s="83"/>
      <c r="C431" s="83"/>
      <c r="D431" s="83"/>
      <c r="E431" s="118"/>
      <c r="F431" s="118"/>
      <c r="G431" s="83"/>
      <c r="H431" s="83"/>
      <c r="I431" s="83"/>
      <c r="J431" s="83"/>
      <c r="K431" s="83"/>
      <c r="L431" s="83"/>
      <c r="M431" s="83"/>
      <c r="N431" s="83"/>
      <c r="O431" s="83"/>
      <c r="P431" s="83"/>
      <c r="Q431" s="83"/>
      <c r="R431" s="83"/>
      <c r="S431" s="83"/>
      <c r="T431" s="83"/>
      <c r="U431" s="83"/>
      <c r="V431" s="83"/>
      <c r="W431" s="83"/>
      <c r="X431" s="83"/>
      <c r="Y431" s="83"/>
      <c r="Z431" s="83"/>
      <c r="AA431" s="83"/>
      <c r="AB431" s="83"/>
      <c r="AC431" s="83"/>
      <c r="AD431" s="83"/>
    </row>
    <row r="432">
      <c r="A432" s="83"/>
      <c r="B432" s="83"/>
      <c r="C432" s="83"/>
      <c r="D432" s="83"/>
      <c r="E432" s="118"/>
      <c r="F432" s="118"/>
      <c r="G432" s="83"/>
      <c r="H432" s="83"/>
      <c r="I432" s="83"/>
      <c r="J432" s="83"/>
      <c r="K432" s="83"/>
      <c r="L432" s="83"/>
      <c r="M432" s="83"/>
      <c r="N432" s="83"/>
      <c r="O432" s="83"/>
      <c r="P432" s="83"/>
      <c r="Q432" s="83"/>
      <c r="R432" s="83"/>
      <c r="S432" s="83"/>
      <c r="T432" s="83"/>
      <c r="U432" s="83"/>
      <c r="V432" s="83"/>
      <c r="W432" s="83"/>
      <c r="X432" s="83"/>
      <c r="Y432" s="83"/>
      <c r="Z432" s="83"/>
      <c r="AA432" s="83"/>
      <c r="AB432" s="83"/>
      <c r="AC432" s="83"/>
      <c r="AD432" s="83"/>
    </row>
    <row r="433">
      <c r="A433" s="83"/>
      <c r="B433" s="83"/>
      <c r="C433" s="83"/>
      <c r="D433" s="83"/>
      <c r="E433" s="118"/>
      <c r="F433" s="118"/>
      <c r="G433" s="83"/>
      <c r="H433" s="83"/>
      <c r="I433" s="83"/>
      <c r="J433" s="83"/>
      <c r="K433" s="83"/>
      <c r="L433" s="83"/>
      <c r="M433" s="83"/>
      <c r="N433" s="83"/>
      <c r="O433" s="83"/>
      <c r="P433" s="83"/>
      <c r="Q433" s="83"/>
      <c r="R433" s="83"/>
      <c r="S433" s="83"/>
      <c r="T433" s="83"/>
      <c r="U433" s="83"/>
      <c r="V433" s="83"/>
      <c r="W433" s="83"/>
      <c r="X433" s="83"/>
      <c r="Y433" s="83"/>
      <c r="Z433" s="83"/>
      <c r="AA433" s="83"/>
      <c r="AB433" s="83"/>
      <c r="AC433" s="83"/>
      <c r="AD433" s="83"/>
    </row>
    <row r="434">
      <c r="A434" s="83"/>
      <c r="B434" s="83"/>
      <c r="C434" s="83"/>
      <c r="D434" s="83"/>
      <c r="E434" s="118"/>
      <c r="F434" s="118"/>
      <c r="G434" s="83"/>
      <c r="H434" s="83"/>
      <c r="I434" s="83"/>
      <c r="J434" s="83"/>
      <c r="K434" s="83"/>
      <c r="L434" s="83"/>
      <c r="M434" s="83"/>
      <c r="N434" s="83"/>
      <c r="O434" s="83"/>
      <c r="P434" s="83"/>
      <c r="Q434" s="83"/>
      <c r="R434" s="83"/>
      <c r="S434" s="83"/>
      <c r="T434" s="83"/>
      <c r="U434" s="83"/>
      <c r="V434" s="83"/>
      <c r="W434" s="83"/>
      <c r="X434" s="83"/>
      <c r="Y434" s="83"/>
      <c r="Z434" s="83"/>
      <c r="AA434" s="83"/>
      <c r="AB434" s="83"/>
      <c r="AC434" s="83"/>
      <c r="AD434" s="83"/>
    </row>
    <row r="435">
      <c r="A435" s="83"/>
      <c r="B435" s="83"/>
      <c r="C435" s="83"/>
      <c r="D435" s="83"/>
      <c r="E435" s="118"/>
      <c r="F435" s="118"/>
      <c r="G435" s="83"/>
      <c r="H435" s="83"/>
      <c r="I435" s="83"/>
      <c r="J435" s="83"/>
      <c r="K435" s="83"/>
      <c r="L435" s="83"/>
      <c r="M435" s="83"/>
      <c r="N435" s="83"/>
      <c r="O435" s="83"/>
      <c r="P435" s="83"/>
      <c r="Q435" s="83"/>
      <c r="R435" s="83"/>
      <c r="S435" s="83"/>
      <c r="T435" s="83"/>
      <c r="U435" s="83"/>
      <c r="V435" s="83"/>
      <c r="W435" s="83"/>
      <c r="X435" s="83"/>
      <c r="Y435" s="83"/>
      <c r="Z435" s="83"/>
      <c r="AA435" s="83"/>
      <c r="AB435" s="83"/>
      <c r="AC435" s="83"/>
      <c r="AD435" s="83"/>
    </row>
    <row r="436">
      <c r="A436" s="83"/>
      <c r="B436" s="83"/>
      <c r="C436" s="83"/>
      <c r="D436" s="83"/>
      <c r="E436" s="118"/>
      <c r="F436" s="118"/>
      <c r="G436" s="83"/>
      <c r="H436" s="83"/>
      <c r="I436" s="83"/>
      <c r="J436" s="83"/>
      <c r="K436" s="83"/>
      <c r="L436" s="83"/>
      <c r="M436" s="83"/>
      <c r="N436" s="83"/>
      <c r="O436" s="83"/>
      <c r="P436" s="83"/>
      <c r="Q436" s="83"/>
      <c r="R436" s="83"/>
      <c r="S436" s="83"/>
      <c r="T436" s="83"/>
      <c r="U436" s="83"/>
      <c r="V436" s="83"/>
      <c r="W436" s="83"/>
      <c r="X436" s="83"/>
      <c r="Y436" s="83"/>
      <c r="Z436" s="83"/>
      <c r="AA436" s="83"/>
      <c r="AB436" s="83"/>
      <c r="AC436" s="83"/>
      <c r="AD436" s="83"/>
    </row>
    <row r="437">
      <c r="A437" s="83"/>
      <c r="B437" s="83"/>
      <c r="C437" s="83"/>
      <c r="D437" s="83"/>
      <c r="E437" s="118"/>
      <c r="F437" s="118"/>
      <c r="G437" s="83"/>
      <c r="H437" s="83"/>
      <c r="I437" s="83"/>
      <c r="J437" s="83"/>
      <c r="K437" s="83"/>
      <c r="L437" s="83"/>
      <c r="M437" s="83"/>
      <c r="N437" s="83"/>
      <c r="O437" s="83"/>
      <c r="P437" s="83"/>
      <c r="Q437" s="83"/>
      <c r="R437" s="83"/>
      <c r="S437" s="83"/>
      <c r="T437" s="83"/>
      <c r="U437" s="83"/>
      <c r="V437" s="83"/>
      <c r="W437" s="83"/>
      <c r="X437" s="83"/>
      <c r="Y437" s="83"/>
      <c r="Z437" s="83"/>
      <c r="AA437" s="83"/>
      <c r="AB437" s="83"/>
      <c r="AC437" s="83"/>
      <c r="AD437" s="83"/>
    </row>
    <row r="438">
      <c r="A438" s="83"/>
      <c r="B438" s="83"/>
      <c r="C438" s="83"/>
      <c r="D438" s="83"/>
      <c r="E438" s="118"/>
      <c r="F438" s="118"/>
      <c r="G438" s="83"/>
      <c r="H438" s="83"/>
      <c r="I438" s="83"/>
      <c r="J438" s="83"/>
      <c r="K438" s="83"/>
      <c r="L438" s="83"/>
      <c r="M438" s="83"/>
      <c r="N438" s="83"/>
      <c r="O438" s="83"/>
      <c r="P438" s="83"/>
      <c r="Q438" s="83"/>
      <c r="R438" s="83"/>
      <c r="S438" s="83"/>
      <c r="T438" s="83"/>
      <c r="U438" s="83"/>
      <c r="V438" s="83"/>
      <c r="W438" s="83"/>
      <c r="X438" s="83"/>
      <c r="Y438" s="83"/>
      <c r="Z438" s="83"/>
      <c r="AA438" s="83"/>
      <c r="AB438" s="83"/>
      <c r="AC438" s="83"/>
      <c r="AD438" s="83"/>
    </row>
    <row r="439">
      <c r="A439" s="83"/>
      <c r="B439" s="83"/>
      <c r="C439" s="83"/>
      <c r="D439" s="83"/>
      <c r="E439" s="118"/>
      <c r="F439" s="118"/>
      <c r="G439" s="83"/>
      <c r="H439" s="83"/>
      <c r="I439" s="83"/>
      <c r="J439" s="83"/>
      <c r="K439" s="83"/>
      <c r="L439" s="83"/>
      <c r="M439" s="83"/>
      <c r="N439" s="83"/>
      <c r="O439" s="83"/>
      <c r="P439" s="83"/>
      <c r="Q439" s="83"/>
      <c r="R439" s="83"/>
      <c r="S439" s="83"/>
      <c r="T439" s="83"/>
      <c r="U439" s="83"/>
      <c r="V439" s="83"/>
      <c r="W439" s="83"/>
      <c r="X439" s="83"/>
      <c r="Y439" s="83"/>
      <c r="Z439" s="83"/>
      <c r="AA439" s="83"/>
      <c r="AB439" s="83"/>
      <c r="AC439" s="83"/>
      <c r="AD439" s="83"/>
    </row>
    <row r="440">
      <c r="A440" s="83"/>
      <c r="B440" s="83"/>
      <c r="C440" s="83"/>
      <c r="D440" s="83"/>
      <c r="E440" s="118"/>
      <c r="F440" s="118"/>
      <c r="G440" s="83"/>
      <c r="H440" s="83"/>
      <c r="I440" s="83"/>
      <c r="J440" s="83"/>
      <c r="K440" s="83"/>
      <c r="L440" s="83"/>
      <c r="M440" s="83"/>
      <c r="N440" s="83"/>
      <c r="O440" s="83"/>
      <c r="P440" s="83"/>
      <c r="Q440" s="83"/>
      <c r="R440" s="83"/>
      <c r="S440" s="83"/>
      <c r="T440" s="83"/>
      <c r="U440" s="83"/>
      <c r="V440" s="83"/>
      <c r="W440" s="83"/>
      <c r="X440" s="83"/>
      <c r="Y440" s="83"/>
      <c r="Z440" s="83"/>
      <c r="AA440" s="83"/>
      <c r="AB440" s="83"/>
      <c r="AC440" s="83"/>
      <c r="AD440" s="83"/>
    </row>
    <row r="441">
      <c r="A441" s="83"/>
      <c r="B441" s="83"/>
      <c r="C441" s="83"/>
      <c r="D441" s="83"/>
      <c r="E441" s="118"/>
      <c r="F441" s="118"/>
      <c r="G441" s="83"/>
      <c r="H441" s="83"/>
      <c r="I441" s="83"/>
      <c r="J441" s="83"/>
      <c r="K441" s="83"/>
      <c r="L441" s="83"/>
      <c r="M441" s="83"/>
      <c r="N441" s="83"/>
      <c r="O441" s="83"/>
      <c r="P441" s="83"/>
      <c r="Q441" s="83"/>
      <c r="R441" s="83"/>
      <c r="S441" s="83"/>
      <c r="T441" s="83"/>
      <c r="U441" s="83"/>
      <c r="V441" s="83"/>
      <c r="W441" s="83"/>
      <c r="X441" s="83"/>
      <c r="Y441" s="83"/>
      <c r="Z441" s="83"/>
      <c r="AA441" s="83"/>
      <c r="AB441" s="83"/>
      <c r="AC441" s="83"/>
      <c r="AD441" s="83"/>
    </row>
    <row r="442">
      <c r="A442" s="83"/>
      <c r="B442" s="83"/>
      <c r="C442" s="83"/>
      <c r="D442" s="83"/>
      <c r="E442" s="118"/>
      <c r="F442" s="118"/>
      <c r="G442" s="83"/>
      <c r="H442" s="83"/>
      <c r="I442" s="83"/>
      <c r="J442" s="83"/>
      <c r="K442" s="83"/>
      <c r="L442" s="83"/>
      <c r="M442" s="83"/>
      <c r="N442" s="83"/>
      <c r="O442" s="83"/>
      <c r="P442" s="83"/>
      <c r="Q442" s="83"/>
      <c r="R442" s="83"/>
      <c r="S442" s="83"/>
      <c r="T442" s="83"/>
      <c r="U442" s="83"/>
      <c r="V442" s="83"/>
      <c r="W442" s="83"/>
      <c r="X442" s="83"/>
      <c r="Y442" s="83"/>
      <c r="Z442" s="83"/>
      <c r="AA442" s="83"/>
      <c r="AB442" s="83"/>
      <c r="AC442" s="83"/>
      <c r="AD442" s="83"/>
    </row>
    <row r="443">
      <c r="A443" s="83"/>
      <c r="B443" s="83"/>
      <c r="C443" s="83"/>
      <c r="D443" s="83"/>
      <c r="E443" s="118"/>
      <c r="F443" s="118"/>
      <c r="G443" s="83"/>
      <c r="H443" s="83"/>
      <c r="I443" s="83"/>
      <c r="J443" s="83"/>
      <c r="K443" s="83"/>
      <c r="L443" s="83"/>
      <c r="M443" s="83"/>
      <c r="N443" s="83"/>
      <c r="O443" s="83"/>
      <c r="P443" s="83"/>
      <c r="Q443" s="83"/>
      <c r="R443" s="83"/>
      <c r="S443" s="83"/>
      <c r="T443" s="83"/>
      <c r="U443" s="83"/>
      <c r="V443" s="83"/>
      <c r="W443" s="83"/>
      <c r="X443" s="83"/>
      <c r="Y443" s="83"/>
      <c r="Z443" s="83"/>
      <c r="AA443" s="83"/>
      <c r="AB443" s="83"/>
      <c r="AC443" s="83"/>
      <c r="AD443" s="83"/>
    </row>
    <row r="444">
      <c r="A444" s="83"/>
      <c r="B444" s="83"/>
      <c r="C444" s="83"/>
      <c r="D444" s="83"/>
      <c r="E444" s="118"/>
      <c r="F444" s="118"/>
      <c r="G444" s="83"/>
      <c r="H444" s="83"/>
      <c r="I444" s="83"/>
      <c r="J444" s="83"/>
      <c r="K444" s="83"/>
      <c r="L444" s="83"/>
      <c r="M444" s="83"/>
      <c r="N444" s="83"/>
      <c r="O444" s="83"/>
      <c r="P444" s="83"/>
      <c r="Q444" s="83"/>
      <c r="R444" s="83"/>
      <c r="S444" s="83"/>
      <c r="T444" s="83"/>
      <c r="U444" s="83"/>
      <c r="V444" s="83"/>
      <c r="W444" s="83"/>
      <c r="X444" s="83"/>
      <c r="Y444" s="83"/>
      <c r="Z444" s="83"/>
      <c r="AA444" s="83"/>
      <c r="AB444" s="83"/>
      <c r="AC444" s="83"/>
      <c r="AD444" s="83"/>
    </row>
    <row r="445">
      <c r="A445" s="83"/>
      <c r="B445" s="83"/>
      <c r="C445" s="83"/>
      <c r="D445" s="83"/>
      <c r="E445" s="118"/>
      <c r="F445" s="118"/>
      <c r="G445" s="83"/>
      <c r="H445" s="83"/>
      <c r="I445" s="83"/>
      <c r="J445" s="83"/>
      <c r="K445" s="83"/>
      <c r="L445" s="83"/>
      <c r="M445" s="83"/>
      <c r="N445" s="83"/>
      <c r="O445" s="83"/>
      <c r="P445" s="83"/>
      <c r="Q445" s="83"/>
      <c r="R445" s="83"/>
      <c r="S445" s="83"/>
      <c r="T445" s="83"/>
      <c r="U445" s="83"/>
      <c r="V445" s="83"/>
      <c r="W445" s="83"/>
      <c r="X445" s="83"/>
      <c r="Y445" s="83"/>
      <c r="Z445" s="83"/>
      <c r="AA445" s="83"/>
      <c r="AB445" s="83"/>
      <c r="AC445" s="83"/>
      <c r="AD445" s="83"/>
    </row>
    <row r="446">
      <c r="A446" s="83"/>
      <c r="B446" s="83"/>
      <c r="C446" s="83"/>
      <c r="D446" s="83"/>
      <c r="E446" s="118"/>
      <c r="F446" s="118"/>
      <c r="G446" s="83"/>
      <c r="H446" s="83"/>
      <c r="I446" s="83"/>
      <c r="J446" s="83"/>
      <c r="K446" s="83"/>
      <c r="L446" s="83"/>
      <c r="M446" s="83"/>
      <c r="N446" s="83"/>
      <c r="O446" s="83"/>
      <c r="P446" s="83"/>
      <c r="Q446" s="83"/>
      <c r="R446" s="83"/>
      <c r="S446" s="83"/>
      <c r="T446" s="83"/>
      <c r="U446" s="83"/>
      <c r="V446" s="83"/>
      <c r="W446" s="83"/>
      <c r="X446" s="83"/>
      <c r="Y446" s="83"/>
      <c r="Z446" s="83"/>
      <c r="AA446" s="83"/>
      <c r="AB446" s="83"/>
      <c r="AC446" s="83"/>
      <c r="AD446" s="83"/>
    </row>
    <row r="447">
      <c r="A447" s="83"/>
      <c r="B447" s="83"/>
      <c r="C447" s="83"/>
      <c r="D447" s="83"/>
      <c r="E447" s="118"/>
      <c r="F447" s="118"/>
      <c r="G447" s="83"/>
      <c r="H447" s="83"/>
      <c r="I447" s="83"/>
      <c r="J447" s="83"/>
      <c r="K447" s="83"/>
      <c r="L447" s="83"/>
      <c r="M447" s="83"/>
      <c r="N447" s="83"/>
      <c r="O447" s="83"/>
      <c r="P447" s="83"/>
      <c r="Q447" s="83"/>
      <c r="R447" s="83"/>
      <c r="S447" s="83"/>
      <c r="T447" s="83"/>
      <c r="U447" s="83"/>
      <c r="V447" s="83"/>
      <c r="W447" s="83"/>
      <c r="X447" s="83"/>
      <c r="Y447" s="83"/>
      <c r="Z447" s="83"/>
      <c r="AA447" s="83"/>
      <c r="AB447" s="83"/>
      <c r="AC447" s="83"/>
      <c r="AD447" s="83"/>
    </row>
    <row r="448">
      <c r="A448" s="83"/>
      <c r="B448" s="83"/>
      <c r="C448" s="83"/>
      <c r="D448" s="83"/>
      <c r="E448" s="118"/>
      <c r="F448" s="118"/>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c r="AD448" s="83"/>
    </row>
    <row r="449">
      <c r="A449" s="83"/>
      <c r="B449" s="83"/>
      <c r="C449" s="83"/>
      <c r="D449" s="83"/>
      <c r="E449" s="118"/>
      <c r="F449" s="118"/>
      <c r="G449" s="83"/>
      <c r="H449" s="83"/>
      <c r="I449" s="83"/>
      <c r="J449" s="83"/>
      <c r="K449" s="83"/>
      <c r="L449" s="83"/>
      <c r="M449" s="83"/>
      <c r="N449" s="83"/>
      <c r="O449" s="83"/>
      <c r="P449" s="83"/>
      <c r="Q449" s="83"/>
      <c r="R449" s="83"/>
      <c r="S449" s="83"/>
      <c r="T449" s="83"/>
      <c r="U449" s="83"/>
      <c r="V449" s="83"/>
      <c r="W449" s="83"/>
      <c r="X449" s="83"/>
      <c r="Y449" s="83"/>
      <c r="Z449" s="83"/>
      <c r="AA449" s="83"/>
      <c r="AB449" s="83"/>
      <c r="AC449" s="83"/>
      <c r="AD449" s="83"/>
    </row>
    <row r="450">
      <c r="A450" s="83"/>
      <c r="B450" s="83"/>
      <c r="C450" s="83"/>
      <c r="D450" s="83"/>
      <c r="E450" s="118"/>
      <c r="F450" s="118"/>
      <c r="G450" s="83"/>
      <c r="H450" s="83"/>
      <c r="I450" s="83"/>
      <c r="J450" s="83"/>
      <c r="K450" s="83"/>
      <c r="L450" s="83"/>
      <c r="M450" s="83"/>
      <c r="N450" s="83"/>
      <c r="O450" s="83"/>
      <c r="P450" s="83"/>
      <c r="Q450" s="83"/>
      <c r="R450" s="83"/>
      <c r="S450" s="83"/>
      <c r="T450" s="83"/>
      <c r="U450" s="83"/>
      <c r="V450" s="83"/>
      <c r="W450" s="83"/>
      <c r="X450" s="83"/>
      <c r="Y450" s="83"/>
      <c r="Z450" s="83"/>
      <c r="AA450" s="83"/>
      <c r="AB450" s="83"/>
      <c r="AC450" s="83"/>
      <c r="AD450" s="83"/>
    </row>
    <row r="451">
      <c r="A451" s="83"/>
      <c r="B451" s="83"/>
      <c r="C451" s="83"/>
      <c r="D451" s="83"/>
      <c r="E451" s="118"/>
      <c r="F451" s="118"/>
      <c r="G451" s="83"/>
      <c r="H451" s="83"/>
      <c r="I451" s="83"/>
      <c r="J451" s="83"/>
      <c r="K451" s="83"/>
      <c r="L451" s="83"/>
      <c r="M451" s="83"/>
      <c r="N451" s="83"/>
      <c r="O451" s="83"/>
      <c r="P451" s="83"/>
      <c r="Q451" s="83"/>
      <c r="R451" s="83"/>
      <c r="S451" s="83"/>
      <c r="T451" s="83"/>
      <c r="U451" s="83"/>
      <c r="V451" s="83"/>
      <c r="W451" s="83"/>
      <c r="X451" s="83"/>
      <c r="Y451" s="83"/>
      <c r="Z451" s="83"/>
      <c r="AA451" s="83"/>
      <c r="AB451" s="83"/>
      <c r="AC451" s="83"/>
      <c r="AD451" s="83"/>
    </row>
    <row r="452">
      <c r="A452" s="83"/>
      <c r="B452" s="83"/>
      <c r="C452" s="83"/>
      <c r="D452" s="83"/>
      <c r="E452" s="118"/>
      <c r="F452" s="118"/>
      <c r="G452" s="83"/>
      <c r="H452" s="83"/>
      <c r="I452" s="83"/>
      <c r="J452" s="83"/>
      <c r="K452" s="83"/>
      <c r="L452" s="83"/>
      <c r="M452" s="83"/>
      <c r="N452" s="83"/>
      <c r="O452" s="83"/>
      <c r="P452" s="83"/>
      <c r="Q452" s="83"/>
      <c r="R452" s="83"/>
      <c r="S452" s="83"/>
      <c r="T452" s="83"/>
      <c r="U452" s="83"/>
      <c r="V452" s="83"/>
      <c r="W452" s="83"/>
      <c r="X452" s="83"/>
      <c r="Y452" s="83"/>
      <c r="Z452" s="83"/>
      <c r="AA452" s="83"/>
      <c r="AB452" s="83"/>
      <c r="AC452" s="83"/>
      <c r="AD452" s="83"/>
    </row>
    <row r="453">
      <c r="A453" s="83"/>
      <c r="B453" s="83"/>
      <c r="C453" s="83"/>
      <c r="D453" s="83"/>
      <c r="E453" s="118"/>
      <c r="F453" s="118"/>
      <c r="G453" s="83"/>
      <c r="H453" s="83"/>
      <c r="I453" s="83"/>
      <c r="J453" s="83"/>
      <c r="K453" s="83"/>
      <c r="L453" s="83"/>
      <c r="M453" s="83"/>
      <c r="N453" s="83"/>
      <c r="O453" s="83"/>
      <c r="P453" s="83"/>
      <c r="Q453" s="83"/>
      <c r="R453" s="83"/>
      <c r="S453" s="83"/>
      <c r="T453" s="83"/>
      <c r="U453" s="83"/>
      <c r="V453" s="83"/>
      <c r="W453" s="83"/>
      <c r="X453" s="83"/>
      <c r="Y453" s="83"/>
      <c r="Z453" s="83"/>
      <c r="AA453" s="83"/>
      <c r="AB453" s="83"/>
      <c r="AC453" s="83"/>
      <c r="AD453" s="83"/>
    </row>
    <row r="454">
      <c r="A454" s="83"/>
      <c r="B454" s="83"/>
      <c r="C454" s="83"/>
      <c r="D454" s="83"/>
      <c r="E454" s="118"/>
      <c r="F454" s="118"/>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c r="AD454" s="83"/>
    </row>
    <row r="455">
      <c r="A455" s="83"/>
      <c r="B455" s="83"/>
      <c r="C455" s="83"/>
      <c r="D455" s="83"/>
      <c r="E455" s="118"/>
      <c r="F455" s="118"/>
      <c r="G455" s="83"/>
      <c r="H455" s="83"/>
      <c r="I455" s="83"/>
      <c r="J455" s="83"/>
      <c r="K455" s="83"/>
      <c r="L455" s="83"/>
      <c r="M455" s="83"/>
      <c r="N455" s="83"/>
      <c r="O455" s="83"/>
      <c r="P455" s="83"/>
      <c r="Q455" s="83"/>
      <c r="R455" s="83"/>
      <c r="S455" s="83"/>
      <c r="T455" s="83"/>
      <c r="U455" s="83"/>
      <c r="V455" s="83"/>
      <c r="W455" s="83"/>
      <c r="X455" s="83"/>
      <c r="Y455" s="83"/>
      <c r="Z455" s="83"/>
      <c r="AA455" s="83"/>
      <c r="AB455" s="83"/>
      <c r="AC455" s="83"/>
      <c r="AD455" s="83"/>
    </row>
    <row r="456">
      <c r="A456" s="83"/>
      <c r="B456" s="83"/>
      <c r="C456" s="83"/>
      <c r="D456" s="83"/>
      <c r="E456" s="118"/>
      <c r="F456" s="118"/>
      <c r="G456" s="83"/>
      <c r="H456" s="83"/>
      <c r="I456" s="83"/>
      <c r="J456" s="83"/>
      <c r="K456" s="83"/>
      <c r="L456" s="83"/>
      <c r="M456" s="83"/>
      <c r="N456" s="83"/>
      <c r="O456" s="83"/>
      <c r="P456" s="83"/>
      <c r="Q456" s="83"/>
      <c r="R456" s="83"/>
      <c r="S456" s="83"/>
      <c r="T456" s="83"/>
      <c r="U456" s="83"/>
      <c r="V456" s="83"/>
      <c r="W456" s="83"/>
      <c r="X456" s="83"/>
      <c r="Y456" s="83"/>
      <c r="Z456" s="83"/>
      <c r="AA456" s="83"/>
      <c r="AB456" s="83"/>
      <c r="AC456" s="83"/>
      <c r="AD456" s="83"/>
    </row>
    <row r="457">
      <c r="A457" s="83"/>
      <c r="B457" s="83"/>
      <c r="C457" s="83"/>
      <c r="D457" s="83"/>
      <c r="E457" s="118"/>
      <c r="F457" s="118"/>
      <c r="G457" s="83"/>
      <c r="H457" s="83"/>
      <c r="I457" s="83"/>
      <c r="J457" s="83"/>
      <c r="K457" s="83"/>
      <c r="L457" s="83"/>
      <c r="M457" s="83"/>
      <c r="N457" s="83"/>
      <c r="O457" s="83"/>
      <c r="P457" s="83"/>
      <c r="Q457" s="83"/>
      <c r="R457" s="83"/>
      <c r="S457" s="83"/>
      <c r="T457" s="83"/>
      <c r="U457" s="83"/>
      <c r="V457" s="83"/>
      <c r="W457" s="83"/>
      <c r="X457" s="83"/>
      <c r="Y457" s="83"/>
      <c r="Z457" s="83"/>
      <c r="AA457" s="83"/>
      <c r="AB457" s="83"/>
      <c r="AC457" s="83"/>
      <c r="AD457" s="83"/>
    </row>
    <row r="458">
      <c r="A458" s="83"/>
      <c r="B458" s="83"/>
      <c r="C458" s="83"/>
      <c r="D458" s="83"/>
      <c r="E458" s="118"/>
      <c r="F458" s="118"/>
      <c r="G458" s="83"/>
      <c r="H458" s="83"/>
      <c r="I458" s="83"/>
      <c r="J458" s="83"/>
      <c r="K458" s="83"/>
      <c r="L458" s="83"/>
      <c r="M458" s="83"/>
      <c r="N458" s="83"/>
      <c r="O458" s="83"/>
      <c r="P458" s="83"/>
      <c r="Q458" s="83"/>
      <c r="R458" s="83"/>
      <c r="S458" s="83"/>
      <c r="T458" s="83"/>
      <c r="U458" s="83"/>
      <c r="V458" s="83"/>
      <c r="W458" s="83"/>
      <c r="X458" s="83"/>
      <c r="Y458" s="83"/>
      <c r="Z458" s="83"/>
      <c r="AA458" s="83"/>
      <c r="AB458" s="83"/>
      <c r="AC458" s="83"/>
      <c r="AD458" s="83"/>
    </row>
    <row r="459">
      <c r="A459" s="83"/>
      <c r="B459" s="83"/>
      <c r="C459" s="83"/>
      <c r="D459" s="83"/>
      <c r="E459" s="118"/>
      <c r="F459" s="118"/>
      <c r="G459" s="83"/>
      <c r="H459" s="83"/>
      <c r="I459" s="83"/>
      <c r="J459" s="83"/>
      <c r="K459" s="83"/>
      <c r="L459" s="83"/>
      <c r="M459" s="83"/>
      <c r="N459" s="83"/>
      <c r="O459" s="83"/>
      <c r="P459" s="83"/>
      <c r="Q459" s="83"/>
      <c r="R459" s="83"/>
      <c r="S459" s="83"/>
      <c r="T459" s="83"/>
      <c r="U459" s="83"/>
      <c r="V459" s="83"/>
      <c r="W459" s="83"/>
      <c r="X459" s="83"/>
      <c r="Y459" s="83"/>
      <c r="Z459" s="83"/>
      <c r="AA459" s="83"/>
      <c r="AB459" s="83"/>
      <c r="AC459" s="83"/>
      <c r="AD459" s="83"/>
    </row>
    <row r="460">
      <c r="A460" s="83"/>
      <c r="B460" s="83"/>
      <c r="C460" s="83"/>
      <c r="D460" s="83"/>
      <c r="E460" s="118"/>
      <c r="F460" s="118"/>
      <c r="G460" s="83"/>
      <c r="H460" s="83"/>
      <c r="I460" s="83"/>
      <c r="J460" s="83"/>
      <c r="K460" s="83"/>
      <c r="L460" s="83"/>
      <c r="M460" s="83"/>
      <c r="N460" s="83"/>
      <c r="O460" s="83"/>
      <c r="P460" s="83"/>
      <c r="Q460" s="83"/>
      <c r="R460" s="83"/>
      <c r="S460" s="83"/>
      <c r="T460" s="83"/>
      <c r="U460" s="83"/>
      <c r="V460" s="83"/>
      <c r="W460" s="83"/>
      <c r="X460" s="83"/>
      <c r="Y460" s="83"/>
      <c r="Z460" s="83"/>
      <c r="AA460" s="83"/>
      <c r="AB460" s="83"/>
      <c r="AC460" s="83"/>
      <c r="AD460" s="83"/>
    </row>
    <row r="461">
      <c r="A461" s="83"/>
      <c r="B461" s="83"/>
      <c r="C461" s="83"/>
      <c r="D461" s="83"/>
      <c r="E461" s="118"/>
      <c r="F461" s="118"/>
      <c r="G461" s="83"/>
      <c r="H461" s="83"/>
      <c r="I461" s="83"/>
      <c r="J461" s="83"/>
      <c r="K461" s="83"/>
      <c r="L461" s="83"/>
      <c r="M461" s="83"/>
      <c r="N461" s="83"/>
      <c r="O461" s="83"/>
      <c r="P461" s="83"/>
      <c r="Q461" s="83"/>
      <c r="R461" s="83"/>
      <c r="S461" s="83"/>
      <c r="T461" s="83"/>
      <c r="U461" s="83"/>
      <c r="V461" s="83"/>
      <c r="W461" s="83"/>
      <c r="X461" s="83"/>
      <c r="Y461" s="83"/>
      <c r="Z461" s="83"/>
      <c r="AA461" s="83"/>
      <c r="AB461" s="83"/>
      <c r="AC461" s="83"/>
      <c r="AD461" s="83"/>
    </row>
    <row r="462">
      <c r="A462" s="83"/>
      <c r="B462" s="83"/>
      <c r="C462" s="83"/>
      <c r="D462" s="83"/>
      <c r="E462" s="118"/>
      <c r="F462" s="118"/>
      <c r="G462" s="83"/>
      <c r="H462" s="83"/>
      <c r="I462" s="83"/>
      <c r="J462" s="83"/>
      <c r="K462" s="83"/>
      <c r="L462" s="83"/>
      <c r="M462" s="83"/>
      <c r="N462" s="83"/>
      <c r="O462" s="83"/>
      <c r="P462" s="83"/>
      <c r="Q462" s="83"/>
      <c r="R462" s="83"/>
      <c r="S462" s="83"/>
      <c r="T462" s="83"/>
      <c r="U462" s="83"/>
      <c r="V462" s="83"/>
      <c r="W462" s="83"/>
      <c r="X462" s="83"/>
      <c r="Y462" s="83"/>
      <c r="Z462" s="83"/>
      <c r="AA462" s="83"/>
      <c r="AB462" s="83"/>
      <c r="AC462" s="83"/>
      <c r="AD462" s="83"/>
    </row>
    <row r="463">
      <c r="A463" s="83"/>
      <c r="B463" s="83"/>
      <c r="C463" s="83"/>
      <c r="D463" s="83"/>
      <c r="E463" s="118"/>
      <c r="F463" s="118"/>
      <c r="G463" s="83"/>
      <c r="H463" s="83"/>
      <c r="I463" s="83"/>
      <c r="J463" s="83"/>
      <c r="K463" s="83"/>
      <c r="L463" s="83"/>
      <c r="M463" s="83"/>
      <c r="N463" s="83"/>
      <c r="O463" s="83"/>
      <c r="P463" s="83"/>
      <c r="Q463" s="83"/>
      <c r="R463" s="83"/>
      <c r="S463" s="83"/>
      <c r="T463" s="83"/>
      <c r="U463" s="83"/>
      <c r="V463" s="83"/>
      <c r="W463" s="83"/>
      <c r="X463" s="83"/>
      <c r="Y463" s="83"/>
      <c r="Z463" s="83"/>
      <c r="AA463" s="83"/>
      <c r="AB463" s="83"/>
      <c r="AC463" s="83"/>
      <c r="AD463" s="83"/>
    </row>
    <row r="464">
      <c r="A464" s="83"/>
      <c r="B464" s="83"/>
      <c r="C464" s="83"/>
      <c r="D464" s="83"/>
      <c r="E464" s="118"/>
      <c r="F464" s="118"/>
      <c r="G464" s="83"/>
      <c r="H464" s="83"/>
      <c r="I464" s="83"/>
      <c r="J464" s="83"/>
      <c r="K464" s="83"/>
      <c r="L464" s="83"/>
      <c r="M464" s="83"/>
      <c r="N464" s="83"/>
      <c r="O464" s="83"/>
      <c r="P464" s="83"/>
      <c r="Q464" s="83"/>
      <c r="R464" s="83"/>
      <c r="S464" s="83"/>
      <c r="T464" s="83"/>
      <c r="U464" s="83"/>
      <c r="V464" s="83"/>
      <c r="W464" s="83"/>
      <c r="X464" s="83"/>
      <c r="Y464" s="83"/>
      <c r="Z464" s="83"/>
      <c r="AA464" s="83"/>
      <c r="AB464" s="83"/>
      <c r="AC464" s="83"/>
      <c r="AD464" s="83"/>
    </row>
    <row r="465">
      <c r="A465" s="83"/>
      <c r="B465" s="83"/>
      <c r="C465" s="83"/>
      <c r="D465" s="83"/>
      <c r="E465" s="118"/>
      <c r="F465" s="118"/>
      <c r="G465" s="83"/>
      <c r="H465" s="83"/>
      <c r="I465" s="83"/>
      <c r="J465" s="83"/>
      <c r="K465" s="83"/>
      <c r="L465" s="83"/>
      <c r="M465" s="83"/>
      <c r="N465" s="83"/>
      <c r="O465" s="83"/>
      <c r="P465" s="83"/>
      <c r="Q465" s="83"/>
      <c r="R465" s="83"/>
      <c r="S465" s="83"/>
      <c r="T465" s="83"/>
      <c r="U465" s="83"/>
      <c r="V465" s="83"/>
      <c r="W465" s="83"/>
      <c r="X465" s="83"/>
      <c r="Y465" s="83"/>
      <c r="Z465" s="83"/>
      <c r="AA465" s="83"/>
      <c r="AB465" s="83"/>
      <c r="AC465" s="83"/>
      <c r="AD465" s="83"/>
    </row>
    <row r="466">
      <c r="A466" s="83"/>
      <c r="B466" s="83"/>
      <c r="C466" s="83"/>
      <c r="D466" s="83"/>
      <c r="E466" s="118"/>
      <c r="F466" s="118"/>
      <c r="G466" s="83"/>
      <c r="H466" s="83"/>
      <c r="I466" s="83"/>
      <c r="J466" s="83"/>
      <c r="K466" s="83"/>
      <c r="L466" s="83"/>
      <c r="M466" s="83"/>
      <c r="N466" s="83"/>
      <c r="O466" s="83"/>
      <c r="P466" s="83"/>
      <c r="Q466" s="83"/>
      <c r="R466" s="83"/>
      <c r="S466" s="83"/>
      <c r="T466" s="83"/>
      <c r="U466" s="83"/>
      <c r="V466" s="83"/>
      <c r="W466" s="83"/>
      <c r="X466" s="83"/>
      <c r="Y466" s="83"/>
      <c r="Z466" s="83"/>
      <c r="AA466" s="83"/>
      <c r="AB466" s="83"/>
      <c r="AC466" s="83"/>
      <c r="AD466" s="83"/>
    </row>
    <row r="467">
      <c r="A467" s="83"/>
      <c r="B467" s="83"/>
      <c r="C467" s="83"/>
      <c r="D467" s="83"/>
      <c r="E467" s="118"/>
      <c r="F467" s="118"/>
      <c r="G467" s="83"/>
      <c r="H467" s="83"/>
      <c r="I467" s="83"/>
      <c r="J467" s="83"/>
      <c r="K467" s="83"/>
      <c r="L467" s="83"/>
      <c r="M467" s="83"/>
      <c r="N467" s="83"/>
      <c r="O467" s="83"/>
      <c r="P467" s="83"/>
      <c r="Q467" s="83"/>
      <c r="R467" s="83"/>
      <c r="S467" s="83"/>
      <c r="T467" s="83"/>
      <c r="U467" s="83"/>
      <c r="V467" s="83"/>
      <c r="W467" s="83"/>
      <c r="X467" s="83"/>
      <c r="Y467" s="83"/>
      <c r="Z467" s="83"/>
      <c r="AA467" s="83"/>
      <c r="AB467" s="83"/>
      <c r="AC467" s="83"/>
      <c r="AD467" s="83"/>
    </row>
    <row r="468">
      <c r="A468" s="83"/>
      <c r="B468" s="83"/>
      <c r="C468" s="83"/>
      <c r="D468" s="83"/>
      <c r="E468" s="118"/>
      <c r="F468" s="118"/>
      <c r="G468" s="83"/>
      <c r="H468" s="83"/>
      <c r="I468" s="83"/>
      <c r="J468" s="83"/>
      <c r="K468" s="83"/>
      <c r="L468" s="83"/>
      <c r="M468" s="83"/>
      <c r="N468" s="83"/>
      <c r="O468" s="83"/>
      <c r="P468" s="83"/>
      <c r="Q468" s="83"/>
      <c r="R468" s="83"/>
      <c r="S468" s="83"/>
      <c r="T468" s="83"/>
      <c r="U468" s="83"/>
      <c r="V468" s="83"/>
      <c r="W468" s="83"/>
      <c r="X468" s="83"/>
      <c r="Y468" s="83"/>
      <c r="Z468" s="83"/>
      <c r="AA468" s="83"/>
      <c r="AB468" s="83"/>
      <c r="AC468" s="83"/>
      <c r="AD468" s="83"/>
    </row>
    <row r="469">
      <c r="A469" s="83"/>
      <c r="B469" s="83"/>
      <c r="C469" s="83"/>
      <c r="D469" s="83"/>
      <c r="E469" s="118"/>
      <c r="F469" s="118"/>
      <c r="G469" s="83"/>
      <c r="H469" s="83"/>
      <c r="I469" s="83"/>
      <c r="J469" s="83"/>
      <c r="K469" s="83"/>
      <c r="L469" s="83"/>
      <c r="M469" s="83"/>
      <c r="N469" s="83"/>
      <c r="O469" s="83"/>
      <c r="P469" s="83"/>
      <c r="Q469" s="83"/>
      <c r="R469" s="83"/>
      <c r="S469" s="83"/>
      <c r="T469" s="83"/>
      <c r="U469" s="83"/>
      <c r="V469" s="83"/>
      <c r="W469" s="83"/>
      <c r="X469" s="83"/>
      <c r="Y469" s="83"/>
      <c r="Z469" s="83"/>
      <c r="AA469" s="83"/>
      <c r="AB469" s="83"/>
      <c r="AC469" s="83"/>
      <c r="AD469" s="83"/>
    </row>
    <row r="470">
      <c r="A470" s="83"/>
      <c r="B470" s="83"/>
      <c r="C470" s="83"/>
      <c r="D470" s="83"/>
      <c r="E470" s="118"/>
      <c r="F470" s="118"/>
      <c r="G470" s="83"/>
      <c r="H470" s="83"/>
      <c r="I470" s="83"/>
      <c r="J470" s="83"/>
      <c r="K470" s="83"/>
      <c r="L470" s="83"/>
      <c r="M470" s="83"/>
      <c r="N470" s="83"/>
      <c r="O470" s="83"/>
      <c r="P470" s="83"/>
      <c r="Q470" s="83"/>
      <c r="R470" s="83"/>
      <c r="S470" s="83"/>
      <c r="T470" s="83"/>
      <c r="U470" s="83"/>
      <c r="V470" s="83"/>
      <c r="W470" s="83"/>
      <c r="X470" s="83"/>
      <c r="Y470" s="83"/>
      <c r="Z470" s="83"/>
      <c r="AA470" s="83"/>
      <c r="AB470" s="83"/>
      <c r="AC470" s="83"/>
      <c r="AD470" s="83"/>
    </row>
    <row r="471">
      <c r="A471" s="83"/>
      <c r="B471" s="83"/>
      <c r="C471" s="83"/>
      <c r="D471" s="83"/>
      <c r="E471" s="118"/>
      <c r="F471" s="118"/>
      <c r="G471" s="83"/>
      <c r="H471" s="83"/>
      <c r="I471" s="83"/>
      <c r="J471" s="83"/>
      <c r="K471" s="83"/>
      <c r="L471" s="83"/>
      <c r="M471" s="83"/>
      <c r="N471" s="83"/>
      <c r="O471" s="83"/>
      <c r="P471" s="83"/>
      <c r="Q471" s="83"/>
      <c r="R471" s="83"/>
      <c r="S471" s="83"/>
      <c r="T471" s="83"/>
      <c r="U471" s="83"/>
      <c r="V471" s="83"/>
      <c r="W471" s="83"/>
      <c r="X471" s="83"/>
      <c r="Y471" s="83"/>
      <c r="Z471" s="83"/>
      <c r="AA471" s="83"/>
      <c r="AB471" s="83"/>
      <c r="AC471" s="83"/>
      <c r="AD471" s="83"/>
    </row>
    <row r="472">
      <c r="A472" s="83"/>
      <c r="B472" s="83"/>
      <c r="C472" s="83"/>
      <c r="D472" s="83"/>
      <c r="E472" s="118"/>
      <c r="F472" s="118"/>
      <c r="G472" s="83"/>
      <c r="H472" s="83"/>
      <c r="I472" s="83"/>
      <c r="J472" s="83"/>
      <c r="K472" s="83"/>
      <c r="L472" s="83"/>
      <c r="M472" s="83"/>
      <c r="N472" s="83"/>
      <c r="O472" s="83"/>
      <c r="P472" s="83"/>
      <c r="Q472" s="83"/>
      <c r="R472" s="83"/>
      <c r="S472" s="83"/>
      <c r="T472" s="83"/>
      <c r="U472" s="83"/>
      <c r="V472" s="83"/>
      <c r="W472" s="83"/>
      <c r="X472" s="83"/>
      <c r="Y472" s="83"/>
      <c r="Z472" s="83"/>
      <c r="AA472" s="83"/>
      <c r="AB472" s="83"/>
      <c r="AC472" s="83"/>
      <c r="AD472" s="83"/>
    </row>
    <row r="473">
      <c r="A473" s="83"/>
      <c r="B473" s="83"/>
      <c r="C473" s="83"/>
      <c r="D473" s="83"/>
      <c r="E473" s="118"/>
      <c r="F473" s="118"/>
      <c r="G473" s="83"/>
      <c r="H473" s="83"/>
      <c r="I473" s="83"/>
      <c r="J473" s="83"/>
      <c r="K473" s="83"/>
      <c r="L473" s="83"/>
      <c r="M473" s="83"/>
      <c r="N473" s="83"/>
      <c r="O473" s="83"/>
      <c r="P473" s="83"/>
      <c r="Q473" s="83"/>
      <c r="R473" s="83"/>
      <c r="S473" s="83"/>
      <c r="T473" s="83"/>
      <c r="U473" s="83"/>
      <c r="V473" s="83"/>
      <c r="W473" s="83"/>
      <c r="X473" s="83"/>
      <c r="Y473" s="83"/>
      <c r="Z473" s="83"/>
      <c r="AA473" s="83"/>
      <c r="AB473" s="83"/>
      <c r="AC473" s="83"/>
      <c r="AD473" s="83"/>
    </row>
    <row r="474">
      <c r="A474" s="83"/>
      <c r="B474" s="83"/>
      <c r="C474" s="83"/>
      <c r="D474" s="83"/>
      <c r="E474" s="118"/>
      <c r="F474" s="118"/>
      <c r="G474" s="83"/>
      <c r="H474" s="83"/>
      <c r="I474" s="83"/>
      <c r="J474" s="83"/>
      <c r="K474" s="83"/>
      <c r="L474" s="83"/>
      <c r="M474" s="83"/>
      <c r="N474" s="83"/>
      <c r="O474" s="83"/>
      <c r="P474" s="83"/>
      <c r="Q474" s="83"/>
      <c r="R474" s="83"/>
      <c r="S474" s="83"/>
      <c r="T474" s="83"/>
      <c r="U474" s="83"/>
      <c r="V474" s="83"/>
      <c r="W474" s="83"/>
      <c r="X474" s="83"/>
      <c r="Y474" s="83"/>
      <c r="Z474" s="83"/>
      <c r="AA474" s="83"/>
      <c r="AB474" s="83"/>
      <c r="AC474" s="83"/>
      <c r="AD474" s="83"/>
    </row>
    <row r="475">
      <c r="A475" s="83"/>
      <c r="B475" s="83"/>
      <c r="C475" s="83"/>
      <c r="D475" s="83"/>
      <c r="E475" s="118"/>
      <c r="F475" s="118"/>
      <c r="G475" s="83"/>
      <c r="H475" s="83"/>
      <c r="I475" s="83"/>
      <c r="J475" s="83"/>
      <c r="K475" s="83"/>
      <c r="L475" s="83"/>
      <c r="M475" s="83"/>
      <c r="N475" s="83"/>
      <c r="O475" s="83"/>
      <c r="P475" s="83"/>
      <c r="Q475" s="83"/>
      <c r="R475" s="83"/>
      <c r="S475" s="83"/>
      <c r="T475" s="83"/>
      <c r="U475" s="83"/>
      <c r="V475" s="83"/>
      <c r="W475" s="83"/>
      <c r="X475" s="83"/>
      <c r="Y475" s="83"/>
      <c r="Z475" s="83"/>
      <c r="AA475" s="83"/>
      <c r="AB475" s="83"/>
      <c r="AC475" s="83"/>
      <c r="AD475" s="83"/>
    </row>
    <row r="476">
      <c r="A476" s="83"/>
      <c r="B476" s="83"/>
      <c r="C476" s="83"/>
      <c r="D476" s="83"/>
      <c r="E476" s="118"/>
      <c r="F476" s="118"/>
      <c r="G476" s="83"/>
      <c r="H476" s="83"/>
      <c r="I476" s="83"/>
      <c r="J476" s="83"/>
      <c r="K476" s="83"/>
      <c r="L476" s="83"/>
      <c r="M476" s="83"/>
      <c r="N476" s="83"/>
      <c r="O476" s="83"/>
      <c r="P476" s="83"/>
      <c r="Q476" s="83"/>
      <c r="R476" s="83"/>
      <c r="S476" s="83"/>
      <c r="T476" s="83"/>
      <c r="U476" s="83"/>
      <c r="V476" s="83"/>
      <c r="W476" s="83"/>
      <c r="X476" s="83"/>
      <c r="Y476" s="83"/>
      <c r="Z476" s="83"/>
      <c r="AA476" s="83"/>
      <c r="AB476" s="83"/>
      <c r="AC476" s="83"/>
      <c r="AD476" s="83"/>
    </row>
    <row r="477">
      <c r="A477" s="83"/>
      <c r="B477" s="83"/>
      <c r="C477" s="83"/>
      <c r="D477" s="83"/>
      <c r="E477" s="118"/>
      <c r="F477" s="118"/>
      <c r="G477" s="83"/>
      <c r="H477" s="83"/>
      <c r="I477" s="83"/>
      <c r="J477" s="83"/>
      <c r="K477" s="83"/>
      <c r="L477" s="83"/>
      <c r="M477" s="83"/>
      <c r="N477" s="83"/>
      <c r="O477" s="83"/>
      <c r="P477" s="83"/>
      <c r="Q477" s="83"/>
      <c r="R477" s="83"/>
      <c r="S477" s="83"/>
      <c r="T477" s="83"/>
      <c r="U477" s="83"/>
      <c r="V477" s="83"/>
      <c r="W477" s="83"/>
      <c r="X477" s="83"/>
      <c r="Y477" s="83"/>
      <c r="Z477" s="83"/>
      <c r="AA477" s="83"/>
      <c r="AB477" s="83"/>
      <c r="AC477" s="83"/>
      <c r="AD477" s="83"/>
    </row>
    <row r="478">
      <c r="A478" s="83"/>
      <c r="B478" s="83"/>
      <c r="C478" s="83"/>
      <c r="D478" s="83"/>
      <c r="E478" s="118"/>
      <c r="F478" s="118"/>
      <c r="G478" s="83"/>
      <c r="H478" s="83"/>
      <c r="I478" s="83"/>
      <c r="J478" s="83"/>
      <c r="K478" s="83"/>
      <c r="L478" s="83"/>
      <c r="M478" s="83"/>
      <c r="N478" s="83"/>
      <c r="O478" s="83"/>
      <c r="P478" s="83"/>
      <c r="Q478" s="83"/>
      <c r="R478" s="83"/>
      <c r="S478" s="83"/>
      <c r="T478" s="83"/>
      <c r="U478" s="83"/>
      <c r="V478" s="83"/>
      <c r="W478" s="83"/>
      <c r="X478" s="83"/>
      <c r="Y478" s="83"/>
      <c r="Z478" s="83"/>
      <c r="AA478" s="83"/>
      <c r="AB478" s="83"/>
      <c r="AC478" s="83"/>
      <c r="AD478" s="83"/>
    </row>
    <row r="479">
      <c r="A479" s="83"/>
      <c r="B479" s="83"/>
      <c r="C479" s="83"/>
      <c r="D479" s="83"/>
      <c r="E479" s="118"/>
      <c r="F479" s="118"/>
      <c r="G479" s="83"/>
      <c r="H479" s="83"/>
      <c r="I479" s="83"/>
      <c r="J479" s="83"/>
      <c r="K479" s="83"/>
      <c r="L479" s="83"/>
      <c r="M479" s="83"/>
      <c r="N479" s="83"/>
      <c r="O479" s="83"/>
      <c r="P479" s="83"/>
      <c r="Q479" s="83"/>
      <c r="R479" s="83"/>
      <c r="S479" s="83"/>
      <c r="T479" s="83"/>
      <c r="U479" s="83"/>
      <c r="V479" s="83"/>
      <c r="W479" s="83"/>
      <c r="X479" s="83"/>
      <c r="Y479" s="83"/>
      <c r="Z479" s="83"/>
      <c r="AA479" s="83"/>
      <c r="AB479" s="83"/>
      <c r="AC479" s="83"/>
      <c r="AD479" s="83"/>
    </row>
    <row r="480">
      <c r="A480" s="83"/>
      <c r="B480" s="83"/>
      <c r="C480" s="83"/>
      <c r="D480" s="83"/>
      <c r="E480" s="118"/>
      <c r="F480" s="118"/>
      <c r="G480" s="83"/>
      <c r="H480" s="83"/>
      <c r="I480" s="83"/>
      <c r="J480" s="83"/>
      <c r="K480" s="83"/>
      <c r="L480" s="83"/>
      <c r="M480" s="83"/>
      <c r="N480" s="83"/>
      <c r="O480" s="83"/>
      <c r="P480" s="83"/>
      <c r="Q480" s="83"/>
      <c r="R480" s="83"/>
      <c r="S480" s="83"/>
      <c r="T480" s="83"/>
      <c r="U480" s="83"/>
      <c r="V480" s="83"/>
      <c r="W480" s="83"/>
      <c r="X480" s="83"/>
      <c r="Y480" s="83"/>
      <c r="Z480" s="83"/>
      <c r="AA480" s="83"/>
      <c r="AB480" s="83"/>
      <c r="AC480" s="83"/>
      <c r="AD480" s="83"/>
    </row>
    <row r="481">
      <c r="A481" s="83"/>
      <c r="B481" s="83"/>
      <c r="C481" s="83"/>
      <c r="D481" s="83"/>
      <c r="E481" s="118"/>
      <c r="F481" s="118"/>
      <c r="G481" s="83"/>
      <c r="H481" s="83"/>
      <c r="I481" s="83"/>
      <c r="J481" s="83"/>
      <c r="K481" s="83"/>
      <c r="L481" s="83"/>
      <c r="M481" s="83"/>
      <c r="N481" s="83"/>
      <c r="O481" s="83"/>
      <c r="P481" s="83"/>
      <c r="Q481" s="83"/>
      <c r="R481" s="83"/>
      <c r="S481" s="83"/>
      <c r="T481" s="83"/>
      <c r="U481" s="83"/>
      <c r="V481" s="83"/>
      <c r="W481" s="83"/>
      <c r="X481" s="83"/>
      <c r="Y481" s="83"/>
      <c r="Z481" s="83"/>
      <c r="AA481" s="83"/>
      <c r="AB481" s="83"/>
      <c r="AC481" s="83"/>
      <c r="AD481" s="83"/>
    </row>
    <row r="482">
      <c r="A482" s="83"/>
      <c r="B482" s="83"/>
      <c r="C482" s="83"/>
      <c r="D482" s="83"/>
      <c r="E482" s="118"/>
      <c r="F482" s="118"/>
      <c r="G482" s="83"/>
      <c r="H482" s="83"/>
      <c r="I482" s="83"/>
      <c r="J482" s="83"/>
      <c r="K482" s="83"/>
      <c r="L482" s="83"/>
      <c r="M482" s="83"/>
      <c r="N482" s="83"/>
      <c r="O482" s="83"/>
      <c r="P482" s="83"/>
      <c r="Q482" s="83"/>
      <c r="R482" s="83"/>
      <c r="S482" s="83"/>
      <c r="T482" s="83"/>
      <c r="U482" s="83"/>
      <c r="V482" s="83"/>
      <c r="W482" s="83"/>
      <c r="X482" s="83"/>
      <c r="Y482" s="83"/>
      <c r="Z482" s="83"/>
      <c r="AA482" s="83"/>
      <c r="AB482" s="83"/>
      <c r="AC482" s="83"/>
      <c r="AD482" s="83"/>
    </row>
    <row r="483">
      <c r="A483" s="83"/>
      <c r="B483" s="83"/>
      <c r="C483" s="83"/>
      <c r="D483" s="83"/>
      <c r="E483" s="118"/>
      <c r="F483" s="118"/>
      <c r="G483" s="83"/>
      <c r="H483" s="83"/>
      <c r="I483" s="83"/>
      <c r="J483" s="83"/>
      <c r="K483" s="83"/>
      <c r="L483" s="83"/>
      <c r="M483" s="83"/>
      <c r="N483" s="83"/>
      <c r="O483" s="83"/>
      <c r="P483" s="83"/>
      <c r="Q483" s="83"/>
      <c r="R483" s="83"/>
      <c r="S483" s="83"/>
      <c r="T483" s="83"/>
      <c r="U483" s="83"/>
      <c r="V483" s="83"/>
      <c r="W483" s="83"/>
      <c r="X483" s="83"/>
      <c r="Y483" s="83"/>
      <c r="Z483" s="83"/>
      <c r="AA483" s="83"/>
      <c r="AB483" s="83"/>
      <c r="AC483" s="83"/>
      <c r="AD483" s="83"/>
    </row>
    <row r="484">
      <c r="A484" s="83"/>
      <c r="B484" s="83"/>
      <c r="C484" s="83"/>
      <c r="D484" s="83"/>
      <c r="E484" s="118"/>
      <c r="F484" s="118"/>
      <c r="G484" s="83"/>
      <c r="H484" s="83"/>
      <c r="I484" s="83"/>
      <c r="J484" s="83"/>
      <c r="K484" s="83"/>
      <c r="L484" s="83"/>
      <c r="M484" s="83"/>
      <c r="N484" s="83"/>
      <c r="O484" s="83"/>
      <c r="P484" s="83"/>
      <c r="Q484" s="83"/>
      <c r="R484" s="83"/>
      <c r="S484" s="83"/>
      <c r="T484" s="83"/>
      <c r="U484" s="83"/>
      <c r="V484" s="83"/>
      <c r="W484" s="83"/>
      <c r="X484" s="83"/>
      <c r="Y484" s="83"/>
      <c r="Z484" s="83"/>
      <c r="AA484" s="83"/>
      <c r="AB484" s="83"/>
      <c r="AC484" s="83"/>
      <c r="AD484" s="83"/>
    </row>
    <row r="485">
      <c r="A485" s="83"/>
      <c r="B485" s="83"/>
      <c r="C485" s="83"/>
      <c r="D485" s="83"/>
      <c r="E485" s="118"/>
      <c r="F485" s="118"/>
      <c r="G485" s="83"/>
      <c r="H485" s="83"/>
      <c r="I485" s="83"/>
      <c r="J485" s="83"/>
      <c r="K485" s="83"/>
      <c r="L485" s="83"/>
      <c r="M485" s="83"/>
      <c r="N485" s="83"/>
      <c r="O485" s="83"/>
      <c r="P485" s="83"/>
      <c r="Q485" s="83"/>
      <c r="R485" s="83"/>
      <c r="S485" s="83"/>
      <c r="T485" s="83"/>
      <c r="U485" s="83"/>
      <c r="V485" s="83"/>
      <c r="W485" s="83"/>
      <c r="X485" s="83"/>
      <c r="Y485" s="83"/>
      <c r="Z485" s="83"/>
      <c r="AA485" s="83"/>
      <c r="AB485" s="83"/>
      <c r="AC485" s="83"/>
      <c r="AD485" s="83"/>
    </row>
    <row r="486">
      <c r="A486" s="83"/>
      <c r="B486" s="83"/>
      <c r="C486" s="83"/>
      <c r="D486" s="83"/>
      <c r="E486" s="118"/>
      <c r="F486" s="118"/>
      <c r="G486" s="83"/>
      <c r="H486" s="83"/>
      <c r="I486" s="83"/>
      <c r="J486" s="83"/>
      <c r="K486" s="83"/>
      <c r="L486" s="83"/>
      <c r="M486" s="83"/>
      <c r="N486" s="83"/>
      <c r="O486" s="83"/>
      <c r="P486" s="83"/>
      <c r="Q486" s="83"/>
      <c r="R486" s="83"/>
      <c r="S486" s="83"/>
      <c r="T486" s="83"/>
      <c r="U486" s="83"/>
      <c r="V486" s="83"/>
      <c r="W486" s="83"/>
      <c r="X486" s="83"/>
      <c r="Y486" s="83"/>
      <c r="Z486" s="83"/>
      <c r="AA486" s="83"/>
      <c r="AB486" s="83"/>
      <c r="AC486" s="83"/>
      <c r="AD486" s="83"/>
    </row>
    <row r="487">
      <c r="A487" s="83"/>
      <c r="B487" s="83"/>
      <c r="C487" s="83"/>
      <c r="D487" s="83"/>
      <c r="E487" s="118"/>
      <c r="F487" s="118"/>
      <c r="G487" s="83"/>
      <c r="H487" s="83"/>
      <c r="I487" s="83"/>
      <c r="J487" s="83"/>
      <c r="K487" s="83"/>
      <c r="L487" s="83"/>
      <c r="M487" s="83"/>
      <c r="N487" s="83"/>
      <c r="O487" s="83"/>
      <c r="P487" s="83"/>
      <c r="Q487" s="83"/>
      <c r="R487" s="83"/>
      <c r="S487" s="83"/>
      <c r="T487" s="83"/>
      <c r="U487" s="83"/>
      <c r="V487" s="83"/>
      <c r="W487" s="83"/>
      <c r="X487" s="83"/>
      <c r="Y487" s="83"/>
      <c r="Z487" s="83"/>
      <c r="AA487" s="83"/>
      <c r="AB487" s="83"/>
      <c r="AC487" s="83"/>
      <c r="AD487" s="83"/>
    </row>
    <row r="488">
      <c r="A488" s="83"/>
      <c r="B488" s="83"/>
      <c r="C488" s="83"/>
      <c r="D488" s="83"/>
      <c r="E488" s="118"/>
      <c r="F488" s="118"/>
      <c r="G488" s="83"/>
      <c r="H488" s="83"/>
      <c r="I488" s="83"/>
      <c r="J488" s="83"/>
      <c r="K488" s="83"/>
      <c r="L488" s="83"/>
      <c r="M488" s="83"/>
      <c r="N488" s="83"/>
      <c r="O488" s="83"/>
      <c r="P488" s="83"/>
      <c r="Q488" s="83"/>
      <c r="R488" s="83"/>
      <c r="S488" s="83"/>
      <c r="T488" s="83"/>
      <c r="U488" s="83"/>
      <c r="V488" s="83"/>
      <c r="W488" s="83"/>
      <c r="X488" s="83"/>
      <c r="Y488" s="83"/>
      <c r="Z488" s="83"/>
      <c r="AA488" s="83"/>
      <c r="AB488" s="83"/>
      <c r="AC488" s="83"/>
      <c r="AD488" s="83"/>
    </row>
    <row r="489">
      <c r="A489" s="83"/>
      <c r="B489" s="83"/>
      <c r="C489" s="83"/>
      <c r="D489" s="83"/>
      <c r="E489" s="118"/>
      <c r="F489" s="118"/>
      <c r="G489" s="83"/>
      <c r="H489" s="83"/>
      <c r="I489" s="83"/>
      <c r="J489" s="83"/>
      <c r="K489" s="83"/>
      <c r="L489" s="83"/>
      <c r="M489" s="83"/>
      <c r="N489" s="83"/>
      <c r="O489" s="83"/>
      <c r="P489" s="83"/>
      <c r="Q489" s="83"/>
      <c r="R489" s="83"/>
      <c r="S489" s="83"/>
      <c r="T489" s="83"/>
      <c r="U489" s="83"/>
      <c r="V489" s="83"/>
      <c r="W489" s="83"/>
      <c r="X489" s="83"/>
      <c r="Y489" s="83"/>
      <c r="Z489" s="83"/>
      <c r="AA489" s="83"/>
      <c r="AB489" s="83"/>
      <c r="AC489" s="83"/>
      <c r="AD489" s="83"/>
    </row>
    <row r="490">
      <c r="A490" s="83"/>
      <c r="B490" s="83"/>
      <c r="C490" s="83"/>
      <c r="D490" s="83"/>
      <c r="E490" s="118"/>
      <c r="F490" s="118"/>
      <c r="G490" s="83"/>
      <c r="H490" s="83"/>
      <c r="I490" s="83"/>
      <c r="J490" s="83"/>
      <c r="K490" s="83"/>
      <c r="L490" s="83"/>
      <c r="M490" s="83"/>
      <c r="N490" s="83"/>
      <c r="O490" s="83"/>
      <c r="P490" s="83"/>
      <c r="Q490" s="83"/>
      <c r="R490" s="83"/>
      <c r="S490" s="83"/>
      <c r="T490" s="83"/>
      <c r="U490" s="83"/>
      <c r="V490" s="83"/>
      <c r="W490" s="83"/>
      <c r="X490" s="83"/>
      <c r="Y490" s="83"/>
      <c r="Z490" s="83"/>
      <c r="AA490" s="83"/>
      <c r="AB490" s="83"/>
      <c r="AC490" s="83"/>
      <c r="AD490" s="83"/>
    </row>
    <row r="491">
      <c r="A491" s="83"/>
      <c r="B491" s="83"/>
      <c r="C491" s="83"/>
      <c r="D491" s="83"/>
      <c r="E491" s="118"/>
      <c r="F491" s="118"/>
      <c r="G491" s="83"/>
      <c r="H491" s="83"/>
      <c r="I491" s="83"/>
      <c r="J491" s="83"/>
      <c r="K491" s="83"/>
      <c r="L491" s="83"/>
      <c r="M491" s="83"/>
      <c r="N491" s="83"/>
      <c r="O491" s="83"/>
      <c r="P491" s="83"/>
      <c r="Q491" s="83"/>
      <c r="R491" s="83"/>
      <c r="S491" s="83"/>
      <c r="T491" s="83"/>
      <c r="U491" s="83"/>
      <c r="V491" s="83"/>
      <c r="W491" s="83"/>
      <c r="X491" s="83"/>
      <c r="Y491" s="83"/>
      <c r="Z491" s="83"/>
      <c r="AA491" s="83"/>
      <c r="AB491" s="83"/>
      <c r="AC491" s="83"/>
      <c r="AD491" s="83"/>
    </row>
    <row r="492">
      <c r="A492" s="83"/>
      <c r="B492" s="83"/>
      <c r="C492" s="83"/>
      <c r="D492" s="83"/>
      <c r="E492" s="118"/>
      <c r="F492" s="118"/>
      <c r="G492" s="83"/>
      <c r="H492" s="83"/>
      <c r="I492" s="83"/>
      <c r="J492" s="83"/>
      <c r="K492" s="83"/>
      <c r="L492" s="83"/>
      <c r="M492" s="83"/>
      <c r="N492" s="83"/>
      <c r="O492" s="83"/>
      <c r="P492" s="83"/>
      <c r="Q492" s="83"/>
      <c r="R492" s="83"/>
      <c r="S492" s="83"/>
      <c r="T492" s="83"/>
      <c r="U492" s="83"/>
      <c r="V492" s="83"/>
      <c r="W492" s="83"/>
      <c r="X492" s="83"/>
      <c r="Y492" s="83"/>
      <c r="Z492" s="83"/>
      <c r="AA492" s="83"/>
      <c r="AB492" s="83"/>
      <c r="AC492" s="83"/>
      <c r="AD492" s="83"/>
    </row>
    <row r="493">
      <c r="A493" s="83"/>
      <c r="B493" s="83"/>
      <c r="C493" s="83"/>
      <c r="D493" s="83"/>
      <c r="E493" s="118"/>
      <c r="F493" s="118"/>
      <c r="G493" s="83"/>
      <c r="H493" s="83"/>
      <c r="I493" s="83"/>
      <c r="J493" s="83"/>
      <c r="K493" s="83"/>
      <c r="L493" s="83"/>
      <c r="M493" s="83"/>
      <c r="N493" s="83"/>
      <c r="O493" s="83"/>
      <c r="P493" s="83"/>
      <c r="Q493" s="83"/>
      <c r="R493" s="83"/>
      <c r="S493" s="83"/>
      <c r="T493" s="83"/>
      <c r="U493" s="83"/>
      <c r="V493" s="83"/>
      <c r="W493" s="83"/>
      <c r="X493" s="83"/>
      <c r="Y493" s="83"/>
      <c r="Z493" s="83"/>
      <c r="AA493" s="83"/>
      <c r="AB493" s="83"/>
      <c r="AC493" s="83"/>
      <c r="AD493" s="83"/>
    </row>
    <row r="494">
      <c r="A494" s="83"/>
      <c r="B494" s="83"/>
      <c r="C494" s="83"/>
      <c r="D494" s="83"/>
      <c r="E494" s="118"/>
      <c r="F494" s="118"/>
      <c r="G494" s="83"/>
      <c r="H494" s="83"/>
      <c r="I494" s="83"/>
      <c r="J494" s="83"/>
      <c r="K494" s="83"/>
      <c r="L494" s="83"/>
      <c r="M494" s="83"/>
      <c r="N494" s="83"/>
      <c r="O494" s="83"/>
      <c r="P494" s="83"/>
      <c r="Q494" s="83"/>
      <c r="R494" s="83"/>
      <c r="S494" s="83"/>
      <c r="T494" s="83"/>
      <c r="U494" s="83"/>
      <c r="V494" s="83"/>
      <c r="W494" s="83"/>
      <c r="X494" s="83"/>
      <c r="Y494" s="83"/>
      <c r="Z494" s="83"/>
      <c r="AA494" s="83"/>
      <c r="AB494" s="83"/>
      <c r="AC494" s="83"/>
      <c r="AD494" s="83"/>
    </row>
    <row r="495">
      <c r="A495" s="83"/>
      <c r="B495" s="83"/>
      <c r="C495" s="83"/>
      <c r="D495" s="83"/>
      <c r="E495" s="118"/>
      <c r="F495" s="118"/>
      <c r="G495" s="83"/>
      <c r="H495" s="83"/>
      <c r="I495" s="83"/>
      <c r="J495" s="83"/>
      <c r="K495" s="83"/>
      <c r="L495" s="83"/>
      <c r="M495" s="83"/>
      <c r="N495" s="83"/>
      <c r="O495" s="83"/>
      <c r="P495" s="83"/>
      <c r="Q495" s="83"/>
      <c r="R495" s="83"/>
      <c r="S495" s="83"/>
      <c r="T495" s="83"/>
      <c r="U495" s="83"/>
      <c r="V495" s="83"/>
      <c r="W495" s="83"/>
      <c r="X495" s="83"/>
      <c r="Y495" s="83"/>
      <c r="Z495" s="83"/>
      <c r="AA495" s="83"/>
      <c r="AB495" s="83"/>
      <c r="AC495" s="83"/>
      <c r="AD495" s="83"/>
    </row>
    <row r="496">
      <c r="A496" s="83"/>
      <c r="B496" s="83"/>
      <c r="C496" s="83"/>
      <c r="D496" s="83"/>
      <c r="E496" s="118"/>
      <c r="F496" s="118"/>
      <c r="G496" s="83"/>
      <c r="H496" s="83"/>
      <c r="I496" s="83"/>
      <c r="J496" s="83"/>
      <c r="K496" s="83"/>
      <c r="L496" s="83"/>
      <c r="M496" s="83"/>
      <c r="N496" s="83"/>
      <c r="O496" s="83"/>
      <c r="P496" s="83"/>
      <c r="Q496" s="83"/>
      <c r="R496" s="83"/>
      <c r="S496" s="83"/>
      <c r="T496" s="83"/>
      <c r="U496" s="83"/>
      <c r="V496" s="83"/>
      <c r="W496" s="83"/>
      <c r="X496" s="83"/>
      <c r="Y496" s="83"/>
      <c r="Z496" s="83"/>
      <c r="AA496" s="83"/>
      <c r="AB496" s="83"/>
      <c r="AC496" s="83"/>
      <c r="AD496" s="83"/>
    </row>
    <row r="497">
      <c r="A497" s="83"/>
      <c r="B497" s="83"/>
      <c r="C497" s="83"/>
      <c r="D497" s="83"/>
      <c r="E497" s="118"/>
      <c r="F497" s="118"/>
      <c r="G497" s="83"/>
      <c r="H497" s="83"/>
      <c r="I497" s="83"/>
      <c r="J497" s="83"/>
      <c r="K497" s="83"/>
      <c r="L497" s="83"/>
      <c r="M497" s="83"/>
      <c r="N497" s="83"/>
      <c r="O497" s="83"/>
      <c r="P497" s="83"/>
      <c r="Q497" s="83"/>
      <c r="R497" s="83"/>
      <c r="S497" s="83"/>
      <c r="T497" s="83"/>
      <c r="U497" s="83"/>
      <c r="V497" s="83"/>
      <c r="W497" s="83"/>
      <c r="X497" s="83"/>
      <c r="Y497" s="83"/>
      <c r="Z497" s="83"/>
      <c r="AA497" s="83"/>
      <c r="AB497" s="83"/>
      <c r="AC497" s="83"/>
      <c r="AD497" s="83"/>
    </row>
    <row r="498">
      <c r="A498" s="83"/>
      <c r="B498" s="83"/>
      <c r="C498" s="83"/>
      <c r="D498" s="83"/>
      <c r="E498" s="118"/>
      <c r="F498" s="118"/>
      <c r="G498" s="83"/>
      <c r="H498" s="83"/>
      <c r="I498" s="83"/>
      <c r="J498" s="83"/>
      <c r="K498" s="83"/>
      <c r="L498" s="83"/>
      <c r="M498" s="83"/>
      <c r="N498" s="83"/>
      <c r="O498" s="83"/>
      <c r="P498" s="83"/>
      <c r="Q498" s="83"/>
      <c r="R498" s="83"/>
      <c r="S498" s="83"/>
      <c r="T498" s="83"/>
      <c r="U498" s="83"/>
      <c r="V498" s="83"/>
      <c r="W498" s="83"/>
      <c r="X498" s="83"/>
      <c r="Y498" s="83"/>
      <c r="Z498" s="83"/>
      <c r="AA498" s="83"/>
      <c r="AB498" s="83"/>
      <c r="AC498" s="83"/>
      <c r="AD498" s="83"/>
    </row>
    <row r="499">
      <c r="A499" s="83"/>
      <c r="B499" s="83"/>
      <c r="C499" s="83"/>
      <c r="D499" s="83"/>
      <c r="E499" s="118"/>
      <c r="F499" s="118"/>
      <c r="G499" s="83"/>
      <c r="H499" s="83"/>
      <c r="I499" s="83"/>
      <c r="J499" s="83"/>
      <c r="K499" s="83"/>
      <c r="L499" s="83"/>
      <c r="M499" s="83"/>
      <c r="N499" s="83"/>
      <c r="O499" s="83"/>
      <c r="P499" s="83"/>
      <c r="Q499" s="83"/>
      <c r="R499" s="83"/>
      <c r="S499" s="83"/>
      <c r="T499" s="83"/>
      <c r="U499" s="83"/>
      <c r="V499" s="83"/>
      <c r="W499" s="83"/>
      <c r="X499" s="83"/>
      <c r="Y499" s="83"/>
      <c r="Z499" s="83"/>
      <c r="AA499" s="83"/>
      <c r="AB499" s="83"/>
      <c r="AC499" s="83"/>
      <c r="AD499" s="83"/>
    </row>
    <row r="500">
      <c r="A500" s="83"/>
      <c r="B500" s="83"/>
      <c r="C500" s="83"/>
      <c r="D500" s="83"/>
      <c r="E500" s="118"/>
      <c r="F500" s="118"/>
      <c r="G500" s="83"/>
      <c r="H500" s="83"/>
      <c r="I500" s="83"/>
      <c r="J500" s="83"/>
      <c r="K500" s="83"/>
      <c r="L500" s="83"/>
      <c r="M500" s="83"/>
      <c r="N500" s="83"/>
      <c r="O500" s="83"/>
      <c r="P500" s="83"/>
      <c r="Q500" s="83"/>
      <c r="R500" s="83"/>
      <c r="S500" s="83"/>
      <c r="T500" s="83"/>
      <c r="U500" s="83"/>
      <c r="V500" s="83"/>
      <c r="W500" s="83"/>
      <c r="X500" s="83"/>
      <c r="Y500" s="83"/>
      <c r="Z500" s="83"/>
      <c r="AA500" s="83"/>
      <c r="AB500" s="83"/>
      <c r="AC500" s="83"/>
      <c r="AD500" s="83"/>
    </row>
    <row r="501">
      <c r="A501" s="83"/>
      <c r="B501" s="83"/>
      <c r="C501" s="83"/>
      <c r="D501" s="83"/>
      <c r="E501" s="118"/>
      <c r="F501" s="118"/>
      <c r="G501" s="83"/>
      <c r="H501" s="83"/>
      <c r="I501" s="83"/>
      <c r="J501" s="83"/>
      <c r="K501" s="83"/>
      <c r="L501" s="83"/>
      <c r="M501" s="83"/>
      <c r="N501" s="83"/>
      <c r="O501" s="83"/>
      <c r="P501" s="83"/>
      <c r="Q501" s="83"/>
      <c r="R501" s="83"/>
      <c r="S501" s="83"/>
      <c r="T501" s="83"/>
      <c r="U501" s="83"/>
      <c r="V501" s="83"/>
      <c r="W501" s="83"/>
      <c r="X501" s="83"/>
      <c r="Y501" s="83"/>
      <c r="Z501" s="83"/>
      <c r="AA501" s="83"/>
      <c r="AB501" s="83"/>
      <c r="AC501" s="83"/>
      <c r="AD501" s="83"/>
    </row>
    <row r="502">
      <c r="A502" s="83"/>
      <c r="B502" s="83"/>
      <c r="C502" s="83"/>
      <c r="D502" s="83"/>
      <c r="E502" s="118"/>
      <c r="F502" s="118"/>
      <c r="G502" s="83"/>
      <c r="H502" s="83"/>
      <c r="I502" s="83"/>
      <c r="J502" s="83"/>
      <c r="K502" s="83"/>
      <c r="L502" s="83"/>
      <c r="M502" s="83"/>
      <c r="N502" s="83"/>
      <c r="O502" s="83"/>
      <c r="P502" s="83"/>
      <c r="Q502" s="83"/>
      <c r="R502" s="83"/>
      <c r="S502" s="83"/>
      <c r="T502" s="83"/>
      <c r="U502" s="83"/>
      <c r="V502" s="83"/>
      <c r="W502" s="83"/>
      <c r="X502" s="83"/>
      <c r="Y502" s="83"/>
      <c r="Z502" s="83"/>
      <c r="AA502" s="83"/>
      <c r="AB502" s="83"/>
      <c r="AC502" s="83"/>
      <c r="AD502" s="83"/>
    </row>
    <row r="503">
      <c r="A503" s="83"/>
      <c r="B503" s="83"/>
      <c r="C503" s="83"/>
      <c r="D503" s="83"/>
      <c r="E503" s="118"/>
      <c r="F503" s="118"/>
      <c r="G503" s="83"/>
      <c r="H503" s="83"/>
      <c r="I503" s="83"/>
      <c r="J503" s="83"/>
      <c r="K503" s="83"/>
      <c r="L503" s="83"/>
      <c r="M503" s="83"/>
      <c r="N503" s="83"/>
      <c r="O503" s="83"/>
      <c r="P503" s="83"/>
      <c r="Q503" s="83"/>
      <c r="R503" s="83"/>
      <c r="S503" s="83"/>
      <c r="T503" s="83"/>
      <c r="U503" s="83"/>
      <c r="V503" s="83"/>
      <c r="W503" s="83"/>
      <c r="X503" s="83"/>
      <c r="Y503" s="83"/>
      <c r="Z503" s="83"/>
      <c r="AA503" s="83"/>
      <c r="AB503" s="83"/>
      <c r="AC503" s="83"/>
      <c r="AD503" s="83"/>
    </row>
    <row r="504">
      <c r="A504" s="83"/>
      <c r="B504" s="83"/>
      <c r="C504" s="83"/>
      <c r="D504" s="83"/>
      <c r="E504" s="118"/>
      <c r="F504" s="118"/>
      <c r="G504" s="83"/>
      <c r="H504" s="83"/>
      <c r="I504" s="83"/>
      <c r="J504" s="83"/>
      <c r="K504" s="83"/>
      <c r="L504" s="83"/>
      <c r="M504" s="83"/>
      <c r="N504" s="83"/>
      <c r="O504" s="83"/>
      <c r="P504" s="83"/>
      <c r="Q504" s="83"/>
      <c r="R504" s="83"/>
      <c r="S504" s="83"/>
      <c r="T504" s="83"/>
      <c r="U504" s="83"/>
      <c r="V504" s="83"/>
      <c r="W504" s="83"/>
      <c r="X504" s="83"/>
      <c r="Y504" s="83"/>
      <c r="Z504" s="83"/>
      <c r="AA504" s="83"/>
      <c r="AB504" s="83"/>
      <c r="AC504" s="83"/>
      <c r="AD504" s="83"/>
    </row>
    <row r="505">
      <c r="A505" s="83"/>
      <c r="B505" s="83"/>
      <c r="C505" s="83"/>
      <c r="D505" s="83"/>
      <c r="E505" s="118"/>
      <c r="F505" s="118"/>
      <c r="G505" s="83"/>
      <c r="H505" s="83"/>
      <c r="I505" s="83"/>
      <c r="J505" s="83"/>
      <c r="K505" s="83"/>
      <c r="L505" s="83"/>
      <c r="M505" s="83"/>
      <c r="N505" s="83"/>
      <c r="O505" s="83"/>
      <c r="P505" s="83"/>
      <c r="Q505" s="83"/>
      <c r="R505" s="83"/>
      <c r="S505" s="83"/>
      <c r="T505" s="83"/>
      <c r="U505" s="83"/>
      <c r="V505" s="83"/>
      <c r="W505" s="83"/>
      <c r="X505" s="83"/>
      <c r="Y505" s="83"/>
      <c r="Z505" s="83"/>
      <c r="AA505" s="83"/>
      <c r="AB505" s="83"/>
      <c r="AC505" s="83"/>
      <c r="AD505" s="83"/>
    </row>
    <row r="506">
      <c r="A506" s="83"/>
      <c r="B506" s="83"/>
      <c r="C506" s="83"/>
      <c r="D506" s="83"/>
      <c r="E506" s="118"/>
      <c r="F506" s="118"/>
      <c r="G506" s="83"/>
      <c r="H506" s="83"/>
      <c r="I506" s="83"/>
      <c r="J506" s="83"/>
      <c r="K506" s="83"/>
      <c r="L506" s="83"/>
      <c r="M506" s="83"/>
      <c r="N506" s="83"/>
      <c r="O506" s="83"/>
      <c r="P506" s="83"/>
      <c r="Q506" s="83"/>
      <c r="R506" s="83"/>
      <c r="S506" s="83"/>
      <c r="T506" s="83"/>
      <c r="U506" s="83"/>
      <c r="V506" s="83"/>
      <c r="W506" s="83"/>
      <c r="X506" s="83"/>
      <c r="Y506" s="83"/>
      <c r="Z506" s="83"/>
      <c r="AA506" s="83"/>
      <c r="AB506" s="83"/>
      <c r="AC506" s="83"/>
      <c r="AD506" s="83"/>
    </row>
    <row r="507">
      <c r="A507" s="83"/>
      <c r="B507" s="83"/>
      <c r="C507" s="83"/>
      <c r="D507" s="83"/>
      <c r="E507" s="118"/>
      <c r="F507" s="118"/>
      <c r="G507" s="83"/>
      <c r="H507" s="83"/>
      <c r="I507" s="83"/>
      <c r="J507" s="83"/>
      <c r="K507" s="83"/>
      <c r="L507" s="83"/>
      <c r="M507" s="83"/>
      <c r="N507" s="83"/>
      <c r="O507" s="83"/>
      <c r="P507" s="83"/>
      <c r="Q507" s="83"/>
      <c r="R507" s="83"/>
      <c r="S507" s="83"/>
      <c r="T507" s="83"/>
      <c r="U507" s="83"/>
      <c r="V507" s="83"/>
      <c r="W507" s="83"/>
      <c r="X507" s="83"/>
      <c r="Y507" s="83"/>
      <c r="Z507" s="83"/>
      <c r="AA507" s="83"/>
      <c r="AB507" s="83"/>
      <c r="AC507" s="83"/>
      <c r="AD507" s="83"/>
    </row>
    <row r="508">
      <c r="A508" s="83"/>
      <c r="B508" s="83"/>
      <c r="C508" s="83"/>
      <c r="D508" s="83"/>
      <c r="E508" s="118"/>
      <c r="F508" s="118"/>
      <c r="G508" s="83"/>
      <c r="H508" s="83"/>
      <c r="I508" s="83"/>
      <c r="J508" s="83"/>
      <c r="K508" s="83"/>
      <c r="L508" s="83"/>
      <c r="M508" s="83"/>
      <c r="N508" s="83"/>
      <c r="O508" s="83"/>
      <c r="P508" s="83"/>
      <c r="Q508" s="83"/>
      <c r="R508" s="83"/>
      <c r="S508" s="83"/>
      <c r="T508" s="83"/>
      <c r="U508" s="83"/>
      <c r="V508" s="83"/>
      <c r="W508" s="83"/>
      <c r="X508" s="83"/>
      <c r="Y508" s="83"/>
      <c r="Z508" s="83"/>
      <c r="AA508" s="83"/>
      <c r="AB508" s="83"/>
      <c r="AC508" s="83"/>
      <c r="AD508" s="83"/>
    </row>
    <row r="509">
      <c r="A509" s="83"/>
      <c r="B509" s="83"/>
      <c r="C509" s="83"/>
      <c r="D509" s="83"/>
      <c r="E509" s="118"/>
      <c r="F509" s="118"/>
      <c r="G509" s="83"/>
      <c r="H509" s="83"/>
      <c r="I509" s="83"/>
      <c r="J509" s="83"/>
      <c r="K509" s="83"/>
      <c r="L509" s="83"/>
      <c r="M509" s="83"/>
      <c r="N509" s="83"/>
      <c r="O509" s="83"/>
      <c r="P509" s="83"/>
      <c r="Q509" s="83"/>
      <c r="R509" s="83"/>
      <c r="S509" s="83"/>
      <c r="T509" s="83"/>
      <c r="U509" s="83"/>
      <c r="V509" s="83"/>
      <c r="W509" s="83"/>
      <c r="X509" s="83"/>
      <c r="Y509" s="83"/>
      <c r="Z509" s="83"/>
      <c r="AA509" s="83"/>
      <c r="AB509" s="83"/>
      <c r="AC509" s="83"/>
      <c r="AD509" s="83"/>
    </row>
    <row r="510">
      <c r="A510" s="83"/>
      <c r="B510" s="83"/>
      <c r="C510" s="83"/>
      <c r="D510" s="83"/>
      <c r="E510" s="118"/>
      <c r="F510" s="118"/>
      <c r="G510" s="83"/>
      <c r="H510" s="83"/>
      <c r="I510" s="83"/>
      <c r="J510" s="83"/>
      <c r="K510" s="83"/>
      <c r="L510" s="83"/>
      <c r="M510" s="83"/>
      <c r="N510" s="83"/>
      <c r="O510" s="83"/>
      <c r="P510" s="83"/>
      <c r="Q510" s="83"/>
      <c r="R510" s="83"/>
      <c r="S510" s="83"/>
      <c r="T510" s="83"/>
      <c r="U510" s="83"/>
      <c r="V510" s="83"/>
      <c r="W510" s="83"/>
      <c r="X510" s="83"/>
      <c r="Y510" s="83"/>
      <c r="Z510" s="83"/>
      <c r="AA510" s="83"/>
      <c r="AB510" s="83"/>
      <c r="AC510" s="83"/>
      <c r="AD510" s="83"/>
    </row>
    <row r="511">
      <c r="A511" s="83"/>
      <c r="B511" s="83"/>
      <c r="C511" s="83"/>
      <c r="D511" s="83"/>
      <c r="E511" s="118"/>
      <c r="F511" s="118"/>
      <c r="G511" s="83"/>
      <c r="H511" s="83"/>
      <c r="I511" s="83"/>
      <c r="J511" s="83"/>
      <c r="K511" s="83"/>
      <c r="L511" s="83"/>
      <c r="M511" s="83"/>
      <c r="N511" s="83"/>
      <c r="O511" s="83"/>
      <c r="P511" s="83"/>
      <c r="Q511" s="83"/>
      <c r="R511" s="83"/>
      <c r="S511" s="83"/>
      <c r="T511" s="83"/>
      <c r="U511" s="83"/>
      <c r="V511" s="83"/>
      <c r="W511" s="83"/>
      <c r="X511" s="83"/>
      <c r="Y511" s="83"/>
      <c r="Z511" s="83"/>
      <c r="AA511" s="83"/>
      <c r="AB511" s="83"/>
      <c r="AC511" s="83"/>
      <c r="AD511" s="83"/>
    </row>
    <row r="512">
      <c r="A512" s="83"/>
      <c r="B512" s="83"/>
      <c r="C512" s="83"/>
      <c r="D512" s="83"/>
      <c r="E512" s="118"/>
      <c r="F512" s="118"/>
      <c r="G512" s="83"/>
      <c r="H512" s="83"/>
      <c r="I512" s="83"/>
      <c r="J512" s="83"/>
      <c r="K512" s="83"/>
      <c r="L512" s="83"/>
      <c r="M512" s="83"/>
      <c r="N512" s="83"/>
      <c r="O512" s="83"/>
      <c r="P512" s="83"/>
      <c r="Q512" s="83"/>
      <c r="R512" s="83"/>
      <c r="S512" s="83"/>
      <c r="T512" s="83"/>
      <c r="U512" s="83"/>
      <c r="V512" s="83"/>
      <c r="W512" s="83"/>
      <c r="X512" s="83"/>
      <c r="Y512" s="83"/>
      <c r="Z512" s="83"/>
      <c r="AA512" s="83"/>
      <c r="AB512" s="83"/>
      <c r="AC512" s="83"/>
      <c r="AD512" s="83"/>
    </row>
    <row r="513">
      <c r="A513" s="83"/>
      <c r="B513" s="83"/>
      <c r="C513" s="83"/>
      <c r="D513" s="83"/>
      <c r="E513" s="118"/>
      <c r="F513" s="118"/>
      <c r="G513" s="83"/>
      <c r="H513" s="83"/>
      <c r="I513" s="83"/>
      <c r="J513" s="83"/>
      <c r="K513" s="83"/>
      <c r="L513" s="83"/>
      <c r="M513" s="83"/>
      <c r="N513" s="83"/>
      <c r="O513" s="83"/>
      <c r="P513" s="83"/>
      <c r="Q513" s="83"/>
      <c r="R513" s="83"/>
      <c r="S513" s="83"/>
      <c r="T513" s="83"/>
      <c r="U513" s="83"/>
      <c r="V513" s="83"/>
      <c r="W513" s="83"/>
      <c r="X513" s="83"/>
      <c r="Y513" s="83"/>
      <c r="Z513" s="83"/>
      <c r="AA513" s="83"/>
      <c r="AB513" s="83"/>
      <c r="AC513" s="83"/>
      <c r="AD513" s="83"/>
    </row>
    <row r="514">
      <c r="A514" s="83"/>
      <c r="B514" s="83"/>
      <c r="C514" s="83"/>
      <c r="D514" s="83"/>
      <c r="E514" s="118"/>
      <c r="F514" s="118"/>
      <c r="G514" s="83"/>
      <c r="H514" s="83"/>
      <c r="I514" s="83"/>
      <c r="J514" s="83"/>
      <c r="K514" s="83"/>
      <c r="L514" s="83"/>
      <c r="M514" s="83"/>
      <c r="N514" s="83"/>
      <c r="O514" s="83"/>
      <c r="P514" s="83"/>
      <c r="Q514" s="83"/>
      <c r="R514" s="83"/>
      <c r="S514" s="83"/>
      <c r="T514" s="83"/>
      <c r="U514" s="83"/>
      <c r="V514" s="83"/>
      <c r="W514" s="83"/>
      <c r="X514" s="83"/>
      <c r="Y514" s="83"/>
      <c r="Z514" s="83"/>
      <c r="AA514" s="83"/>
      <c r="AB514" s="83"/>
      <c r="AC514" s="83"/>
      <c r="AD514" s="83"/>
    </row>
    <row r="515">
      <c r="A515" s="83"/>
      <c r="B515" s="83"/>
      <c r="C515" s="83"/>
      <c r="D515" s="83"/>
      <c r="E515" s="118"/>
      <c r="F515" s="118"/>
      <c r="G515" s="83"/>
      <c r="H515" s="83"/>
      <c r="I515" s="83"/>
      <c r="J515" s="83"/>
      <c r="K515" s="83"/>
      <c r="L515" s="83"/>
      <c r="M515" s="83"/>
      <c r="N515" s="83"/>
      <c r="O515" s="83"/>
      <c r="P515" s="83"/>
      <c r="Q515" s="83"/>
      <c r="R515" s="83"/>
      <c r="S515" s="83"/>
      <c r="T515" s="83"/>
      <c r="U515" s="83"/>
      <c r="V515" s="83"/>
      <c r="W515" s="83"/>
      <c r="X515" s="83"/>
      <c r="Y515" s="83"/>
      <c r="Z515" s="83"/>
      <c r="AA515" s="83"/>
      <c r="AB515" s="83"/>
      <c r="AC515" s="83"/>
      <c r="AD515" s="83"/>
    </row>
    <row r="516">
      <c r="A516" s="83"/>
      <c r="B516" s="83"/>
      <c r="C516" s="83"/>
      <c r="D516" s="83"/>
      <c r="E516" s="118"/>
      <c r="F516" s="118"/>
      <c r="G516" s="83"/>
      <c r="H516" s="83"/>
      <c r="I516" s="83"/>
      <c r="J516" s="83"/>
      <c r="K516" s="83"/>
      <c r="L516" s="83"/>
      <c r="M516" s="83"/>
      <c r="N516" s="83"/>
      <c r="O516" s="83"/>
      <c r="P516" s="83"/>
      <c r="Q516" s="83"/>
      <c r="R516" s="83"/>
      <c r="S516" s="83"/>
      <c r="T516" s="83"/>
      <c r="U516" s="83"/>
      <c r="V516" s="83"/>
      <c r="W516" s="83"/>
      <c r="X516" s="83"/>
      <c r="Y516" s="83"/>
      <c r="Z516" s="83"/>
      <c r="AA516" s="83"/>
      <c r="AB516" s="83"/>
      <c r="AC516" s="83"/>
      <c r="AD516" s="83"/>
    </row>
    <row r="517">
      <c r="A517" s="83"/>
      <c r="B517" s="83"/>
      <c r="C517" s="83"/>
      <c r="D517" s="83"/>
      <c r="E517" s="118"/>
      <c r="F517" s="118"/>
      <c r="G517" s="83"/>
      <c r="H517" s="83"/>
      <c r="I517" s="83"/>
      <c r="J517" s="83"/>
      <c r="K517" s="83"/>
      <c r="L517" s="83"/>
      <c r="M517" s="83"/>
      <c r="N517" s="83"/>
      <c r="O517" s="83"/>
      <c r="P517" s="83"/>
      <c r="Q517" s="83"/>
      <c r="R517" s="83"/>
      <c r="S517" s="83"/>
      <c r="T517" s="83"/>
      <c r="U517" s="83"/>
      <c r="V517" s="83"/>
      <c r="W517" s="83"/>
      <c r="X517" s="83"/>
      <c r="Y517" s="83"/>
      <c r="Z517" s="83"/>
      <c r="AA517" s="83"/>
      <c r="AB517" s="83"/>
      <c r="AC517" s="83"/>
      <c r="AD517" s="83"/>
    </row>
    <row r="518">
      <c r="A518" s="83"/>
      <c r="B518" s="83"/>
      <c r="C518" s="83"/>
      <c r="D518" s="83"/>
      <c r="E518" s="118"/>
      <c r="F518" s="118"/>
      <c r="G518" s="83"/>
      <c r="H518" s="83"/>
      <c r="I518" s="83"/>
      <c r="J518" s="83"/>
      <c r="K518" s="83"/>
      <c r="L518" s="83"/>
      <c r="M518" s="83"/>
      <c r="N518" s="83"/>
      <c r="O518" s="83"/>
      <c r="P518" s="83"/>
      <c r="Q518" s="83"/>
      <c r="R518" s="83"/>
      <c r="S518" s="83"/>
      <c r="T518" s="83"/>
      <c r="U518" s="83"/>
      <c r="V518" s="83"/>
      <c r="W518" s="83"/>
      <c r="X518" s="83"/>
      <c r="Y518" s="83"/>
      <c r="Z518" s="83"/>
      <c r="AA518" s="83"/>
      <c r="AB518" s="83"/>
      <c r="AC518" s="83"/>
      <c r="AD518" s="83"/>
    </row>
    <row r="519">
      <c r="A519" s="83"/>
      <c r="B519" s="83"/>
      <c r="C519" s="83"/>
      <c r="D519" s="83"/>
      <c r="E519" s="118"/>
      <c r="F519" s="118"/>
      <c r="G519" s="83"/>
      <c r="H519" s="83"/>
      <c r="I519" s="83"/>
      <c r="J519" s="83"/>
      <c r="K519" s="83"/>
      <c r="L519" s="83"/>
      <c r="M519" s="83"/>
      <c r="N519" s="83"/>
      <c r="O519" s="83"/>
      <c r="P519" s="83"/>
      <c r="Q519" s="83"/>
      <c r="R519" s="83"/>
      <c r="S519" s="83"/>
      <c r="T519" s="83"/>
      <c r="U519" s="83"/>
      <c r="V519" s="83"/>
      <c r="W519" s="83"/>
      <c r="X519" s="83"/>
      <c r="Y519" s="83"/>
      <c r="Z519" s="83"/>
      <c r="AA519" s="83"/>
      <c r="AB519" s="83"/>
      <c r="AC519" s="83"/>
      <c r="AD519" s="83"/>
    </row>
    <row r="520">
      <c r="A520" s="83"/>
      <c r="B520" s="83"/>
      <c r="C520" s="83"/>
      <c r="D520" s="83"/>
      <c r="E520" s="118"/>
      <c r="F520" s="118"/>
      <c r="G520" s="83"/>
      <c r="H520" s="83"/>
      <c r="I520" s="83"/>
      <c r="J520" s="83"/>
      <c r="K520" s="83"/>
      <c r="L520" s="83"/>
      <c r="M520" s="83"/>
      <c r="N520" s="83"/>
      <c r="O520" s="83"/>
      <c r="P520" s="83"/>
      <c r="Q520" s="83"/>
      <c r="R520" s="83"/>
      <c r="S520" s="83"/>
      <c r="T520" s="83"/>
      <c r="U520" s="83"/>
      <c r="V520" s="83"/>
      <c r="W520" s="83"/>
      <c r="X520" s="83"/>
      <c r="Y520" s="83"/>
      <c r="Z520" s="83"/>
      <c r="AA520" s="83"/>
      <c r="AB520" s="83"/>
      <c r="AC520" s="83"/>
      <c r="AD520" s="83"/>
    </row>
    <row r="521">
      <c r="A521" s="83"/>
      <c r="B521" s="83"/>
      <c r="C521" s="83"/>
      <c r="D521" s="83"/>
      <c r="E521" s="118"/>
      <c r="F521" s="118"/>
      <c r="G521" s="83"/>
      <c r="H521" s="83"/>
      <c r="I521" s="83"/>
      <c r="J521" s="83"/>
      <c r="K521" s="83"/>
      <c r="L521" s="83"/>
      <c r="M521" s="83"/>
      <c r="N521" s="83"/>
      <c r="O521" s="83"/>
      <c r="P521" s="83"/>
      <c r="Q521" s="83"/>
      <c r="R521" s="83"/>
      <c r="S521" s="83"/>
      <c r="T521" s="83"/>
      <c r="U521" s="83"/>
      <c r="V521" s="83"/>
      <c r="W521" s="83"/>
      <c r="X521" s="83"/>
      <c r="Y521" s="83"/>
      <c r="Z521" s="83"/>
      <c r="AA521" s="83"/>
      <c r="AB521" s="83"/>
      <c r="AC521" s="83"/>
      <c r="AD521" s="83"/>
    </row>
    <row r="522">
      <c r="A522" s="83"/>
      <c r="B522" s="83"/>
      <c r="C522" s="83"/>
      <c r="D522" s="83"/>
      <c r="E522" s="118"/>
      <c r="F522" s="118"/>
      <c r="G522" s="83"/>
      <c r="H522" s="83"/>
      <c r="I522" s="83"/>
      <c r="J522" s="83"/>
      <c r="K522" s="83"/>
      <c r="L522" s="83"/>
      <c r="M522" s="83"/>
      <c r="N522" s="83"/>
      <c r="O522" s="83"/>
      <c r="P522" s="83"/>
      <c r="Q522" s="83"/>
      <c r="R522" s="83"/>
      <c r="S522" s="83"/>
      <c r="T522" s="83"/>
      <c r="U522" s="83"/>
      <c r="V522" s="83"/>
      <c r="W522" s="83"/>
      <c r="X522" s="83"/>
      <c r="Y522" s="83"/>
      <c r="Z522" s="83"/>
      <c r="AA522" s="83"/>
      <c r="AB522" s="83"/>
      <c r="AC522" s="83"/>
      <c r="AD522" s="83"/>
    </row>
    <row r="523">
      <c r="A523" s="83"/>
      <c r="B523" s="83"/>
      <c r="C523" s="83"/>
      <c r="D523" s="83"/>
      <c r="E523" s="118"/>
      <c r="F523" s="118"/>
      <c r="G523" s="83"/>
      <c r="H523" s="83"/>
      <c r="I523" s="83"/>
      <c r="J523" s="83"/>
      <c r="K523" s="83"/>
      <c r="L523" s="83"/>
      <c r="M523" s="83"/>
      <c r="N523" s="83"/>
      <c r="O523" s="83"/>
      <c r="P523" s="83"/>
      <c r="Q523" s="83"/>
      <c r="R523" s="83"/>
      <c r="S523" s="83"/>
      <c r="T523" s="83"/>
      <c r="U523" s="83"/>
      <c r="V523" s="83"/>
      <c r="W523" s="83"/>
      <c r="X523" s="83"/>
      <c r="Y523" s="83"/>
      <c r="Z523" s="83"/>
      <c r="AA523" s="83"/>
      <c r="AB523" s="83"/>
      <c r="AC523" s="83"/>
      <c r="AD523" s="83"/>
    </row>
    <row r="524">
      <c r="A524" s="83"/>
      <c r="B524" s="83"/>
      <c r="C524" s="83"/>
      <c r="D524" s="83"/>
      <c r="E524" s="118"/>
      <c r="F524" s="118"/>
      <c r="G524" s="83"/>
      <c r="H524" s="83"/>
      <c r="I524" s="83"/>
      <c r="J524" s="83"/>
      <c r="K524" s="83"/>
      <c r="L524" s="83"/>
      <c r="M524" s="83"/>
      <c r="N524" s="83"/>
      <c r="O524" s="83"/>
      <c r="P524" s="83"/>
      <c r="Q524" s="83"/>
      <c r="R524" s="83"/>
      <c r="S524" s="83"/>
      <c r="T524" s="83"/>
      <c r="U524" s="83"/>
      <c r="V524" s="83"/>
      <c r="W524" s="83"/>
      <c r="X524" s="83"/>
      <c r="Y524" s="83"/>
      <c r="Z524" s="83"/>
      <c r="AA524" s="83"/>
      <c r="AB524" s="83"/>
      <c r="AC524" s="83"/>
      <c r="AD524" s="83"/>
    </row>
    <row r="525">
      <c r="A525" s="83"/>
      <c r="B525" s="83"/>
      <c r="C525" s="83"/>
      <c r="D525" s="83"/>
      <c r="E525" s="118"/>
      <c r="F525" s="118"/>
      <c r="G525" s="83"/>
      <c r="H525" s="83"/>
      <c r="I525" s="83"/>
      <c r="J525" s="83"/>
      <c r="K525" s="83"/>
      <c r="L525" s="83"/>
      <c r="M525" s="83"/>
      <c r="N525" s="83"/>
      <c r="O525" s="83"/>
      <c r="P525" s="83"/>
      <c r="Q525" s="83"/>
      <c r="R525" s="83"/>
      <c r="S525" s="83"/>
      <c r="T525" s="83"/>
      <c r="U525" s="83"/>
      <c r="V525" s="83"/>
      <c r="W525" s="83"/>
      <c r="X525" s="83"/>
      <c r="Y525" s="83"/>
      <c r="Z525" s="83"/>
      <c r="AA525" s="83"/>
      <c r="AB525" s="83"/>
      <c r="AC525" s="83"/>
      <c r="AD525" s="83"/>
    </row>
    <row r="526">
      <c r="A526" s="83"/>
      <c r="B526" s="83"/>
      <c r="C526" s="83"/>
      <c r="D526" s="83"/>
      <c r="E526" s="118"/>
      <c r="F526" s="118"/>
      <c r="G526" s="83"/>
      <c r="H526" s="83"/>
      <c r="I526" s="83"/>
      <c r="J526" s="83"/>
      <c r="K526" s="83"/>
      <c r="L526" s="83"/>
      <c r="M526" s="83"/>
      <c r="N526" s="83"/>
      <c r="O526" s="83"/>
      <c r="P526" s="83"/>
      <c r="Q526" s="83"/>
      <c r="R526" s="83"/>
      <c r="S526" s="83"/>
      <c r="T526" s="83"/>
      <c r="U526" s="83"/>
      <c r="V526" s="83"/>
      <c r="W526" s="83"/>
      <c r="X526" s="83"/>
      <c r="Y526" s="83"/>
      <c r="Z526" s="83"/>
      <c r="AA526" s="83"/>
      <c r="AB526" s="83"/>
      <c r="AC526" s="83"/>
      <c r="AD526" s="83"/>
    </row>
    <row r="527">
      <c r="A527" s="83"/>
      <c r="B527" s="83"/>
      <c r="C527" s="83"/>
      <c r="D527" s="83"/>
      <c r="E527" s="118"/>
      <c r="F527" s="118"/>
      <c r="G527" s="83"/>
      <c r="H527" s="83"/>
      <c r="I527" s="83"/>
      <c r="J527" s="83"/>
      <c r="K527" s="83"/>
      <c r="L527" s="83"/>
      <c r="M527" s="83"/>
      <c r="N527" s="83"/>
      <c r="O527" s="83"/>
      <c r="P527" s="83"/>
      <c r="Q527" s="83"/>
      <c r="R527" s="83"/>
      <c r="S527" s="83"/>
      <c r="T527" s="83"/>
      <c r="U527" s="83"/>
      <c r="V527" s="83"/>
      <c r="W527" s="83"/>
      <c r="X527" s="83"/>
      <c r="Y527" s="83"/>
      <c r="Z527" s="83"/>
      <c r="AA527" s="83"/>
      <c r="AB527" s="83"/>
      <c r="AC527" s="83"/>
      <c r="AD527" s="83"/>
    </row>
    <row r="528">
      <c r="A528" s="83"/>
      <c r="B528" s="83"/>
      <c r="C528" s="83"/>
      <c r="D528" s="83"/>
      <c r="E528" s="118"/>
      <c r="F528" s="118"/>
      <c r="G528" s="83"/>
      <c r="H528" s="83"/>
      <c r="I528" s="83"/>
      <c r="J528" s="83"/>
      <c r="K528" s="83"/>
      <c r="L528" s="83"/>
      <c r="M528" s="83"/>
      <c r="N528" s="83"/>
      <c r="O528" s="83"/>
      <c r="P528" s="83"/>
      <c r="Q528" s="83"/>
      <c r="R528" s="83"/>
      <c r="S528" s="83"/>
      <c r="T528" s="83"/>
      <c r="U528" s="83"/>
      <c r="V528" s="83"/>
      <c r="W528" s="83"/>
      <c r="X528" s="83"/>
      <c r="Y528" s="83"/>
      <c r="Z528" s="83"/>
      <c r="AA528" s="83"/>
      <c r="AB528" s="83"/>
      <c r="AC528" s="83"/>
      <c r="AD528" s="83"/>
    </row>
    <row r="529">
      <c r="A529" s="83"/>
      <c r="B529" s="83"/>
      <c r="C529" s="83"/>
      <c r="D529" s="83"/>
      <c r="E529" s="118"/>
      <c r="F529" s="118"/>
      <c r="G529" s="83"/>
      <c r="H529" s="83"/>
      <c r="I529" s="83"/>
      <c r="J529" s="83"/>
      <c r="K529" s="83"/>
      <c r="L529" s="83"/>
      <c r="M529" s="83"/>
      <c r="N529" s="83"/>
      <c r="O529" s="83"/>
      <c r="P529" s="83"/>
      <c r="Q529" s="83"/>
      <c r="R529" s="83"/>
      <c r="S529" s="83"/>
      <c r="T529" s="83"/>
      <c r="U529" s="83"/>
      <c r="V529" s="83"/>
      <c r="W529" s="83"/>
      <c r="X529" s="83"/>
      <c r="Y529" s="83"/>
      <c r="Z529" s="83"/>
      <c r="AA529" s="83"/>
      <c r="AB529" s="83"/>
      <c r="AC529" s="83"/>
      <c r="AD529" s="83"/>
    </row>
    <row r="530">
      <c r="A530" s="83"/>
      <c r="B530" s="83"/>
      <c r="C530" s="83"/>
      <c r="D530" s="83"/>
      <c r="E530" s="118"/>
      <c r="F530" s="118"/>
      <c r="G530" s="83"/>
      <c r="H530" s="83"/>
      <c r="I530" s="83"/>
      <c r="J530" s="83"/>
      <c r="K530" s="83"/>
      <c r="L530" s="83"/>
      <c r="M530" s="83"/>
      <c r="N530" s="83"/>
      <c r="O530" s="83"/>
      <c r="P530" s="83"/>
      <c r="Q530" s="83"/>
      <c r="R530" s="83"/>
      <c r="S530" s="83"/>
      <c r="T530" s="83"/>
      <c r="U530" s="83"/>
      <c r="V530" s="83"/>
      <c r="W530" s="83"/>
      <c r="X530" s="83"/>
      <c r="Y530" s="83"/>
      <c r="Z530" s="83"/>
      <c r="AA530" s="83"/>
      <c r="AB530" s="83"/>
      <c r="AC530" s="83"/>
      <c r="AD530" s="83"/>
    </row>
    <row r="531">
      <c r="A531" s="83"/>
      <c r="B531" s="83"/>
      <c r="C531" s="83"/>
      <c r="D531" s="83"/>
      <c r="E531" s="118"/>
      <c r="F531" s="118"/>
      <c r="G531" s="83"/>
      <c r="H531" s="83"/>
      <c r="I531" s="83"/>
      <c r="J531" s="83"/>
      <c r="K531" s="83"/>
      <c r="L531" s="83"/>
      <c r="M531" s="83"/>
      <c r="N531" s="83"/>
      <c r="O531" s="83"/>
      <c r="P531" s="83"/>
      <c r="Q531" s="83"/>
      <c r="R531" s="83"/>
      <c r="S531" s="83"/>
      <c r="T531" s="83"/>
      <c r="U531" s="83"/>
      <c r="V531" s="83"/>
      <c r="W531" s="83"/>
      <c r="X531" s="83"/>
      <c r="Y531" s="83"/>
      <c r="Z531" s="83"/>
      <c r="AA531" s="83"/>
      <c r="AB531" s="83"/>
      <c r="AC531" s="83"/>
      <c r="AD531" s="83"/>
    </row>
    <row r="532">
      <c r="A532" s="83"/>
      <c r="B532" s="83"/>
      <c r="C532" s="83"/>
      <c r="D532" s="83"/>
      <c r="E532" s="118"/>
      <c r="F532" s="118"/>
      <c r="G532" s="83"/>
      <c r="H532" s="83"/>
      <c r="I532" s="83"/>
      <c r="J532" s="83"/>
      <c r="K532" s="83"/>
      <c r="L532" s="83"/>
      <c r="M532" s="83"/>
      <c r="N532" s="83"/>
      <c r="O532" s="83"/>
      <c r="P532" s="83"/>
      <c r="Q532" s="83"/>
      <c r="R532" s="83"/>
      <c r="S532" s="83"/>
      <c r="T532" s="83"/>
      <c r="U532" s="83"/>
      <c r="V532" s="83"/>
      <c r="W532" s="83"/>
      <c r="X532" s="83"/>
      <c r="Y532" s="83"/>
      <c r="Z532" s="83"/>
      <c r="AA532" s="83"/>
      <c r="AB532" s="83"/>
      <c r="AC532" s="83"/>
      <c r="AD532" s="83"/>
    </row>
    <row r="533">
      <c r="A533" s="83"/>
      <c r="B533" s="83"/>
      <c r="C533" s="83"/>
      <c r="D533" s="83"/>
      <c r="E533" s="118"/>
      <c r="F533" s="118"/>
      <c r="G533" s="83"/>
      <c r="H533" s="83"/>
      <c r="I533" s="83"/>
      <c r="J533" s="83"/>
      <c r="K533" s="83"/>
      <c r="L533" s="83"/>
      <c r="M533" s="83"/>
      <c r="N533" s="83"/>
      <c r="O533" s="83"/>
      <c r="P533" s="83"/>
      <c r="Q533" s="83"/>
      <c r="R533" s="83"/>
      <c r="S533" s="83"/>
      <c r="T533" s="83"/>
      <c r="U533" s="83"/>
      <c r="V533" s="83"/>
      <c r="W533" s="83"/>
      <c r="X533" s="83"/>
      <c r="Y533" s="83"/>
      <c r="Z533" s="83"/>
      <c r="AA533" s="83"/>
      <c r="AB533" s="83"/>
      <c r="AC533" s="83"/>
      <c r="AD533" s="83"/>
    </row>
    <row r="534">
      <c r="A534" s="83"/>
      <c r="B534" s="83"/>
      <c r="C534" s="83"/>
      <c r="D534" s="83"/>
      <c r="E534" s="118"/>
      <c r="F534" s="118"/>
      <c r="G534" s="83"/>
      <c r="H534" s="83"/>
      <c r="I534" s="83"/>
      <c r="J534" s="83"/>
      <c r="K534" s="83"/>
      <c r="L534" s="83"/>
      <c r="M534" s="83"/>
      <c r="N534" s="83"/>
      <c r="O534" s="83"/>
      <c r="P534" s="83"/>
      <c r="Q534" s="83"/>
      <c r="R534" s="83"/>
      <c r="S534" s="83"/>
      <c r="T534" s="83"/>
      <c r="U534" s="83"/>
      <c r="V534" s="83"/>
      <c r="W534" s="83"/>
      <c r="X534" s="83"/>
      <c r="Y534" s="83"/>
      <c r="Z534" s="83"/>
      <c r="AA534" s="83"/>
      <c r="AB534" s="83"/>
      <c r="AC534" s="83"/>
      <c r="AD534" s="83"/>
    </row>
    <row r="535">
      <c r="A535" s="83"/>
      <c r="B535" s="83"/>
      <c r="C535" s="83"/>
      <c r="D535" s="83"/>
      <c r="E535" s="118"/>
      <c r="F535" s="118"/>
      <c r="G535" s="83"/>
      <c r="H535" s="83"/>
      <c r="I535" s="83"/>
      <c r="J535" s="83"/>
      <c r="K535" s="83"/>
      <c r="L535" s="83"/>
      <c r="M535" s="83"/>
      <c r="N535" s="83"/>
      <c r="O535" s="83"/>
      <c r="P535" s="83"/>
      <c r="Q535" s="83"/>
      <c r="R535" s="83"/>
      <c r="S535" s="83"/>
      <c r="T535" s="83"/>
      <c r="U535" s="83"/>
      <c r="V535" s="83"/>
      <c r="W535" s="83"/>
      <c r="X535" s="83"/>
      <c r="Y535" s="83"/>
      <c r="Z535" s="83"/>
      <c r="AA535" s="83"/>
      <c r="AB535" s="83"/>
      <c r="AC535" s="83"/>
      <c r="AD535" s="83"/>
    </row>
    <row r="536">
      <c r="A536" s="83"/>
      <c r="B536" s="83"/>
      <c r="C536" s="83"/>
      <c r="D536" s="83"/>
      <c r="E536" s="118"/>
      <c r="F536" s="118"/>
      <c r="G536" s="83"/>
      <c r="H536" s="83"/>
      <c r="I536" s="83"/>
      <c r="J536" s="83"/>
      <c r="K536" s="83"/>
      <c r="L536" s="83"/>
      <c r="M536" s="83"/>
      <c r="N536" s="83"/>
      <c r="O536" s="83"/>
      <c r="P536" s="83"/>
      <c r="Q536" s="83"/>
      <c r="R536" s="83"/>
      <c r="S536" s="83"/>
      <c r="T536" s="83"/>
      <c r="U536" s="83"/>
      <c r="V536" s="83"/>
      <c r="W536" s="83"/>
      <c r="X536" s="83"/>
      <c r="Y536" s="83"/>
      <c r="Z536" s="83"/>
      <c r="AA536" s="83"/>
      <c r="AB536" s="83"/>
      <c r="AC536" s="83"/>
      <c r="AD536" s="83"/>
    </row>
    <row r="537">
      <c r="A537" s="83"/>
      <c r="B537" s="83"/>
      <c r="C537" s="83"/>
      <c r="D537" s="83"/>
      <c r="E537" s="118"/>
      <c r="F537" s="118"/>
      <c r="G537" s="83"/>
      <c r="H537" s="83"/>
      <c r="I537" s="83"/>
      <c r="J537" s="83"/>
      <c r="K537" s="83"/>
      <c r="L537" s="83"/>
      <c r="M537" s="83"/>
      <c r="N537" s="83"/>
      <c r="O537" s="83"/>
      <c r="P537" s="83"/>
      <c r="Q537" s="83"/>
      <c r="R537" s="83"/>
      <c r="S537" s="83"/>
      <c r="T537" s="83"/>
      <c r="U537" s="83"/>
      <c r="V537" s="83"/>
      <c r="W537" s="83"/>
      <c r="X537" s="83"/>
      <c r="Y537" s="83"/>
      <c r="Z537" s="83"/>
      <c r="AA537" s="83"/>
      <c r="AB537" s="83"/>
      <c r="AC537" s="83"/>
      <c r="AD537" s="83"/>
    </row>
    <row r="538">
      <c r="A538" s="83"/>
      <c r="B538" s="83"/>
      <c r="C538" s="83"/>
      <c r="D538" s="83"/>
      <c r="E538" s="118"/>
      <c r="F538" s="118"/>
      <c r="G538" s="83"/>
      <c r="H538" s="83"/>
      <c r="I538" s="83"/>
      <c r="J538" s="83"/>
      <c r="K538" s="83"/>
      <c r="L538" s="83"/>
      <c r="M538" s="83"/>
      <c r="N538" s="83"/>
      <c r="O538" s="83"/>
      <c r="P538" s="83"/>
      <c r="Q538" s="83"/>
      <c r="R538" s="83"/>
      <c r="S538" s="83"/>
      <c r="T538" s="83"/>
      <c r="U538" s="83"/>
      <c r="V538" s="83"/>
      <c r="W538" s="83"/>
      <c r="X538" s="83"/>
      <c r="Y538" s="83"/>
      <c r="Z538" s="83"/>
      <c r="AA538" s="83"/>
      <c r="AB538" s="83"/>
      <c r="AC538" s="83"/>
      <c r="AD538" s="83"/>
    </row>
    <row r="539">
      <c r="A539" s="83"/>
      <c r="B539" s="83"/>
      <c r="C539" s="83"/>
      <c r="D539" s="83"/>
      <c r="E539" s="118"/>
      <c r="F539" s="118"/>
      <c r="G539" s="83"/>
      <c r="H539" s="83"/>
      <c r="I539" s="83"/>
      <c r="J539" s="83"/>
      <c r="K539" s="83"/>
      <c r="L539" s="83"/>
      <c r="M539" s="83"/>
      <c r="N539" s="83"/>
      <c r="O539" s="83"/>
      <c r="P539" s="83"/>
      <c r="Q539" s="83"/>
      <c r="R539" s="83"/>
      <c r="S539" s="83"/>
      <c r="T539" s="83"/>
      <c r="U539" s="83"/>
      <c r="V539" s="83"/>
      <c r="W539" s="83"/>
      <c r="X539" s="83"/>
      <c r="Y539" s="83"/>
      <c r="Z539" s="83"/>
      <c r="AA539" s="83"/>
      <c r="AB539" s="83"/>
      <c r="AC539" s="83"/>
      <c r="AD539" s="83"/>
    </row>
    <row r="540">
      <c r="A540" s="83"/>
      <c r="B540" s="83"/>
      <c r="C540" s="83"/>
      <c r="D540" s="83"/>
      <c r="E540" s="118"/>
      <c r="F540" s="118"/>
      <c r="G540" s="83"/>
      <c r="H540" s="83"/>
      <c r="I540" s="83"/>
      <c r="J540" s="83"/>
      <c r="K540" s="83"/>
      <c r="L540" s="83"/>
      <c r="M540" s="83"/>
      <c r="N540" s="83"/>
      <c r="O540" s="83"/>
      <c r="P540" s="83"/>
      <c r="Q540" s="83"/>
      <c r="R540" s="83"/>
      <c r="S540" s="83"/>
      <c r="T540" s="83"/>
      <c r="U540" s="83"/>
      <c r="V540" s="83"/>
      <c r="W540" s="83"/>
      <c r="X540" s="83"/>
      <c r="Y540" s="83"/>
      <c r="Z540" s="83"/>
      <c r="AA540" s="83"/>
      <c r="AB540" s="83"/>
      <c r="AC540" s="83"/>
      <c r="AD540" s="83"/>
    </row>
    <row r="541">
      <c r="A541" s="83"/>
      <c r="B541" s="83"/>
      <c r="C541" s="83"/>
      <c r="D541" s="83"/>
      <c r="E541" s="118"/>
      <c r="F541" s="118"/>
      <c r="G541" s="83"/>
      <c r="H541" s="83"/>
      <c r="I541" s="83"/>
      <c r="J541" s="83"/>
      <c r="K541" s="83"/>
      <c r="L541" s="83"/>
      <c r="M541" s="83"/>
      <c r="N541" s="83"/>
      <c r="O541" s="83"/>
      <c r="P541" s="83"/>
      <c r="Q541" s="83"/>
      <c r="R541" s="83"/>
      <c r="S541" s="83"/>
      <c r="T541" s="83"/>
      <c r="U541" s="83"/>
      <c r="V541" s="83"/>
      <c r="W541" s="83"/>
      <c r="X541" s="83"/>
      <c r="Y541" s="83"/>
      <c r="Z541" s="83"/>
      <c r="AA541" s="83"/>
      <c r="AB541" s="83"/>
      <c r="AC541" s="83"/>
      <c r="AD541" s="83"/>
    </row>
    <row r="542">
      <c r="A542" s="83"/>
      <c r="B542" s="83"/>
      <c r="C542" s="83"/>
      <c r="D542" s="83"/>
      <c r="E542" s="118"/>
      <c r="F542" s="118"/>
      <c r="G542" s="83"/>
      <c r="H542" s="83"/>
      <c r="I542" s="83"/>
      <c r="J542" s="83"/>
      <c r="K542" s="83"/>
      <c r="L542" s="83"/>
      <c r="M542" s="83"/>
      <c r="N542" s="83"/>
      <c r="O542" s="83"/>
      <c r="P542" s="83"/>
      <c r="Q542" s="83"/>
      <c r="R542" s="83"/>
      <c r="S542" s="83"/>
      <c r="T542" s="83"/>
      <c r="U542" s="83"/>
      <c r="V542" s="83"/>
      <c r="W542" s="83"/>
      <c r="X542" s="83"/>
      <c r="Y542" s="83"/>
      <c r="Z542" s="83"/>
      <c r="AA542" s="83"/>
      <c r="AB542" s="83"/>
      <c r="AC542" s="83"/>
      <c r="AD542" s="83"/>
    </row>
    <row r="543">
      <c r="A543" s="83"/>
      <c r="B543" s="83"/>
      <c r="C543" s="83"/>
      <c r="D543" s="83"/>
      <c r="E543" s="118"/>
      <c r="F543" s="118"/>
      <c r="G543" s="83"/>
      <c r="H543" s="83"/>
      <c r="I543" s="83"/>
      <c r="J543" s="83"/>
      <c r="K543" s="83"/>
      <c r="L543" s="83"/>
      <c r="M543" s="83"/>
      <c r="N543" s="83"/>
      <c r="O543" s="83"/>
      <c r="P543" s="83"/>
      <c r="Q543" s="83"/>
      <c r="R543" s="83"/>
      <c r="S543" s="83"/>
      <c r="T543" s="83"/>
      <c r="U543" s="83"/>
      <c r="V543" s="83"/>
      <c r="W543" s="83"/>
      <c r="X543" s="83"/>
      <c r="Y543" s="83"/>
      <c r="Z543" s="83"/>
      <c r="AA543" s="83"/>
      <c r="AB543" s="83"/>
      <c r="AC543" s="83"/>
      <c r="AD543" s="83"/>
    </row>
    <row r="544">
      <c r="A544" s="83"/>
      <c r="B544" s="83"/>
      <c r="C544" s="83"/>
      <c r="D544" s="83"/>
      <c r="E544" s="118"/>
      <c r="F544" s="118"/>
      <c r="G544" s="83"/>
      <c r="H544" s="83"/>
      <c r="I544" s="83"/>
      <c r="J544" s="83"/>
      <c r="K544" s="83"/>
      <c r="L544" s="83"/>
      <c r="M544" s="83"/>
      <c r="N544" s="83"/>
      <c r="O544" s="83"/>
      <c r="P544" s="83"/>
      <c r="Q544" s="83"/>
      <c r="R544" s="83"/>
      <c r="S544" s="83"/>
      <c r="T544" s="83"/>
      <c r="U544" s="83"/>
      <c r="V544" s="83"/>
      <c r="W544" s="83"/>
      <c r="X544" s="83"/>
      <c r="Y544" s="83"/>
      <c r="Z544" s="83"/>
      <c r="AA544" s="83"/>
      <c r="AB544" s="83"/>
      <c r="AC544" s="83"/>
      <c r="AD544" s="83"/>
    </row>
    <row r="545">
      <c r="A545" s="83"/>
      <c r="B545" s="83"/>
      <c r="C545" s="83"/>
      <c r="D545" s="83"/>
      <c r="E545" s="118"/>
      <c r="F545" s="118"/>
      <c r="G545" s="83"/>
      <c r="H545" s="83"/>
      <c r="I545" s="83"/>
      <c r="J545" s="83"/>
      <c r="K545" s="83"/>
      <c r="L545" s="83"/>
      <c r="M545" s="83"/>
      <c r="N545" s="83"/>
      <c r="O545" s="83"/>
      <c r="P545" s="83"/>
      <c r="Q545" s="83"/>
      <c r="R545" s="83"/>
      <c r="S545" s="83"/>
      <c r="T545" s="83"/>
      <c r="U545" s="83"/>
      <c r="V545" s="83"/>
      <c r="W545" s="83"/>
      <c r="X545" s="83"/>
      <c r="Y545" s="83"/>
      <c r="Z545" s="83"/>
      <c r="AA545" s="83"/>
      <c r="AB545" s="83"/>
      <c r="AC545" s="83"/>
      <c r="AD545" s="83"/>
    </row>
    <row r="546">
      <c r="A546" s="83"/>
      <c r="B546" s="83"/>
      <c r="C546" s="83"/>
      <c r="D546" s="83"/>
      <c r="E546" s="118"/>
      <c r="F546" s="118"/>
      <c r="G546" s="83"/>
      <c r="H546" s="83"/>
      <c r="I546" s="83"/>
      <c r="J546" s="83"/>
      <c r="K546" s="83"/>
      <c r="L546" s="83"/>
      <c r="M546" s="83"/>
      <c r="N546" s="83"/>
      <c r="O546" s="83"/>
      <c r="P546" s="83"/>
      <c r="Q546" s="83"/>
      <c r="R546" s="83"/>
      <c r="S546" s="83"/>
      <c r="T546" s="83"/>
      <c r="U546" s="83"/>
      <c r="V546" s="83"/>
      <c r="W546" s="83"/>
      <c r="X546" s="83"/>
      <c r="Y546" s="83"/>
      <c r="Z546" s="83"/>
      <c r="AA546" s="83"/>
      <c r="AB546" s="83"/>
      <c r="AC546" s="83"/>
      <c r="AD546" s="83"/>
    </row>
    <row r="547">
      <c r="A547" s="83"/>
      <c r="B547" s="83"/>
      <c r="C547" s="83"/>
      <c r="D547" s="83"/>
      <c r="E547" s="118"/>
      <c r="F547" s="118"/>
      <c r="G547" s="83"/>
      <c r="H547" s="83"/>
      <c r="I547" s="83"/>
      <c r="J547" s="83"/>
      <c r="K547" s="83"/>
      <c r="L547" s="83"/>
      <c r="M547" s="83"/>
      <c r="N547" s="83"/>
      <c r="O547" s="83"/>
      <c r="P547" s="83"/>
      <c r="Q547" s="83"/>
      <c r="R547" s="83"/>
      <c r="S547" s="83"/>
      <c r="T547" s="83"/>
      <c r="U547" s="83"/>
      <c r="V547" s="83"/>
      <c r="W547" s="83"/>
      <c r="X547" s="83"/>
      <c r="Y547" s="83"/>
      <c r="Z547" s="83"/>
      <c r="AA547" s="83"/>
      <c r="AB547" s="83"/>
      <c r="AC547" s="83"/>
      <c r="AD547" s="83"/>
    </row>
    <row r="548">
      <c r="A548" s="83"/>
      <c r="B548" s="83"/>
      <c r="C548" s="83"/>
      <c r="D548" s="83"/>
      <c r="E548" s="118"/>
      <c r="F548" s="118"/>
      <c r="G548" s="83"/>
      <c r="H548" s="83"/>
      <c r="I548" s="83"/>
      <c r="J548" s="83"/>
      <c r="K548" s="83"/>
      <c r="L548" s="83"/>
      <c r="M548" s="83"/>
      <c r="N548" s="83"/>
      <c r="O548" s="83"/>
      <c r="P548" s="83"/>
      <c r="Q548" s="83"/>
      <c r="R548" s="83"/>
      <c r="S548" s="83"/>
      <c r="T548" s="83"/>
      <c r="U548" s="83"/>
      <c r="V548" s="83"/>
      <c r="W548" s="83"/>
      <c r="X548" s="83"/>
      <c r="Y548" s="83"/>
      <c r="Z548" s="83"/>
      <c r="AA548" s="83"/>
      <c r="AB548" s="83"/>
      <c r="AC548" s="83"/>
      <c r="AD548" s="83"/>
    </row>
    <row r="549">
      <c r="A549" s="83"/>
      <c r="B549" s="83"/>
      <c r="C549" s="83"/>
      <c r="D549" s="83"/>
      <c r="E549" s="118"/>
      <c r="F549" s="118"/>
      <c r="G549" s="83"/>
      <c r="H549" s="83"/>
      <c r="I549" s="83"/>
      <c r="J549" s="83"/>
      <c r="K549" s="83"/>
      <c r="L549" s="83"/>
      <c r="M549" s="83"/>
      <c r="N549" s="83"/>
      <c r="O549" s="83"/>
      <c r="P549" s="83"/>
      <c r="Q549" s="83"/>
      <c r="R549" s="83"/>
      <c r="S549" s="83"/>
      <c r="T549" s="83"/>
      <c r="U549" s="83"/>
      <c r="V549" s="83"/>
      <c r="W549" s="83"/>
      <c r="X549" s="83"/>
      <c r="Y549" s="83"/>
      <c r="Z549" s="83"/>
      <c r="AA549" s="83"/>
      <c r="AB549" s="83"/>
      <c r="AC549" s="83"/>
      <c r="AD549" s="83"/>
    </row>
    <row r="550">
      <c r="A550" s="83"/>
      <c r="B550" s="83"/>
      <c r="C550" s="83"/>
      <c r="D550" s="83"/>
      <c r="E550" s="118"/>
      <c r="F550" s="118"/>
      <c r="G550" s="83"/>
      <c r="H550" s="83"/>
      <c r="I550" s="83"/>
      <c r="J550" s="83"/>
      <c r="K550" s="83"/>
      <c r="L550" s="83"/>
      <c r="M550" s="83"/>
      <c r="N550" s="83"/>
      <c r="O550" s="83"/>
      <c r="P550" s="83"/>
      <c r="Q550" s="83"/>
      <c r="R550" s="83"/>
      <c r="S550" s="83"/>
      <c r="T550" s="83"/>
      <c r="U550" s="83"/>
      <c r="V550" s="83"/>
      <c r="W550" s="83"/>
      <c r="X550" s="83"/>
      <c r="Y550" s="83"/>
      <c r="Z550" s="83"/>
      <c r="AA550" s="83"/>
      <c r="AB550" s="83"/>
      <c r="AC550" s="83"/>
      <c r="AD550" s="83"/>
    </row>
    <row r="551">
      <c r="A551" s="83"/>
      <c r="B551" s="83"/>
      <c r="C551" s="83"/>
      <c r="D551" s="83"/>
      <c r="E551" s="118"/>
      <c r="F551" s="118"/>
      <c r="G551" s="83"/>
      <c r="H551" s="83"/>
      <c r="I551" s="83"/>
      <c r="J551" s="83"/>
      <c r="K551" s="83"/>
      <c r="L551" s="83"/>
      <c r="M551" s="83"/>
      <c r="N551" s="83"/>
      <c r="O551" s="83"/>
      <c r="P551" s="83"/>
      <c r="Q551" s="83"/>
      <c r="R551" s="83"/>
      <c r="S551" s="83"/>
      <c r="T551" s="83"/>
      <c r="U551" s="83"/>
      <c r="V551" s="83"/>
      <c r="W551" s="83"/>
      <c r="X551" s="83"/>
      <c r="Y551" s="83"/>
      <c r="Z551" s="83"/>
      <c r="AA551" s="83"/>
      <c r="AB551" s="83"/>
      <c r="AC551" s="83"/>
      <c r="AD551" s="83"/>
    </row>
    <row r="552">
      <c r="A552" s="83"/>
      <c r="B552" s="83"/>
      <c r="C552" s="83"/>
      <c r="D552" s="83"/>
      <c r="E552" s="118"/>
      <c r="F552" s="118"/>
      <c r="G552" s="83"/>
      <c r="H552" s="83"/>
      <c r="I552" s="83"/>
      <c r="J552" s="83"/>
      <c r="K552" s="83"/>
      <c r="L552" s="83"/>
      <c r="M552" s="83"/>
      <c r="N552" s="83"/>
      <c r="O552" s="83"/>
      <c r="P552" s="83"/>
      <c r="Q552" s="83"/>
      <c r="R552" s="83"/>
      <c r="S552" s="83"/>
      <c r="T552" s="83"/>
      <c r="U552" s="83"/>
      <c r="V552" s="83"/>
      <c r="W552" s="83"/>
      <c r="X552" s="83"/>
      <c r="Y552" s="83"/>
      <c r="Z552" s="83"/>
      <c r="AA552" s="83"/>
      <c r="AB552" s="83"/>
      <c r="AC552" s="83"/>
      <c r="AD552" s="83"/>
    </row>
    <row r="553">
      <c r="A553" s="83"/>
      <c r="B553" s="83"/>
      <c r="C553" s="83"/>
      <c r="D553" s="83"/>
      <c r="E553" s="118"/>
      <c r="F553" s="118"/>
      <c r="G553" s="83"/>
      <c r="H553" s="83"/>
      <c r="I553" s="83"/>
      <c r="J553" s="83"/>
      <c r="K553" s="83"/>
      <c r="L553" s="83"/>
      <c r="M553" s="83"/>
      <c r="N553" s="83"/>
      <c r="O553" s="83"/>
      <c r="P553" s="83"/>
      <c r="Q553" s="83"/>
      <c r="R553" s="83"/>
      <c r="S553" s="83"/>
      <c r="T553" s="83"/>
      <c r="U553" s="83"/>
      <c r="V553" s="83"/>
      <c r="W553" s="83"/>
      <c r="X553" s="83"/>
      <c r="Y553" s="83"/>
      <c r="Z553" s="83"/>
      <c r="AA553" s="83"/>
      <c r="AB553" s="83"/>
      <c r="AC553" s="83"/>
      <c r="AD553" s="83"/>
    </row>
    <row r="554">
      <c r="A554" s="83"/>
      <c r="B554" s="83"/>
      <c r="C554" s="83"/>
      <c r="D554" s="83"/>
      <c r="E554" s="118"/>
      <c r="F554" s="118"/>
      <c r="G554" s="83"/>
      <c r="H554" s="83"/>
      <c r="I554" s="83"/>
      <c r="J554" s="83"/>
      <c r="K554" s="83"/>
      <c r="L554" s="83"/>
      <c r="M554" s="83"/>
      <c r="N554" s="83"/>
      <c r="O554" s="83"/>
      <c r="P554" s="83"/>
      <c r="Q554" s="83"/>
      <c r="R554" s="83"/>
      <c r="S554" s="83"/>
      <c r="T554" s="83"/>
      <c r="U554" s="83"/>
      <c r="V554" s="83"/>
      <c r="W554" s="83"/>
      <c r="X554" s="83"/>
      <c r="Y554" s="83"/>
      <c r="Z554" s="83"/>
      <c r="AA554" s="83"/>
      <c r="AB554" s="83"/>
      <c r="AC554" s="83"/>
      <c r="AD554" s="83"/>
    </row>
    <row r="555">
      <c r="A555" s="83"/>
      <c r="B555" s="83"/>
      <c r="C555" s="83"/>
      <c r="D555" s="83"/>
      <c r="E555" s="118"/>
      <c r="F555" s="118"/>
      <c r="G555" s="83"/>
      <c r="H555" s="83"/>
      <c r="I555" s="83"/>
      <c r="J555" s="83"/>
      <c r="K555" s="83"/>
      <c r="L555" s="83"/>
      <c r="M555" s="83"/>
      <c r="N555" s="83"/>
      <c r="O555" s="83"/>
      <c r="P555" s="83"/>
      <c r="Q555" s="83"/>
      <c r="R555" s="83"/>
      <c r="S555" s="83"/>
      <c r="T555" s="83"/>
      <c r="U555" s="83"/>
      <c r="V555" s="83"/>
      <c r="W555" s="83"/>
      <c r="X555" s="83"/>
      <c r="Y555" s="83"/>
      <c r="Z555" s="83"/>
      <c r="AA555" s="83"/>
      <c r="AB555" s="83"/>
      <c r="AC555" s="83"/>
      <c r="AD555" s="83"/>
    </row>
    <row r="556">
      <c r="A556" s="83"/>
      <c r="B556" s="83"/>
      <c r="C556" s="83"/>
      <c r="D556" s="83"/>
      <c r="E556" s="118"/>
      <c r="F556" s="118"/>
      <c r="G556" s="83"/>
      <c r="H556" s="83"/>
      <c r="I556" s="83"/>
      <c r="J556" s="83"/>
      <c r="K556" s="83"/>
      <c r="L556" s="83"/>
      <c r="M556" s="83"/>
      <c r="N556" s="83"/>
      <c r="O556" s="83"/>
      <c r="P556" s="83"/>
      <c r="Q556" s="83"/>
      <c r="R556" s="83"/>
      <c r="S556" s="83"/>
      <c r="T556" s="83"/>
      <c r="U556" s="83"/>
      <c r="V556" s="83"/>
      <c r="W556" s="83"/>
      <c r="X556" s="83"/>
      <c r="Y556" s="83"/>
      <c r="Z556" s="83"/>
      <c r="AA556" s="83"/>
      <c r="AB556" s="83"/>
      <c r="AC556" s="83"/>
      <c r="AD556" s="83"/>
    </row>
    <row r="557">
      <c r="A557" s="83"/>
      <c r="B557" s="83"/>
      <c r="C557" s="83"/>
      <c r="D557" s="83"/>
      <c r="E557" s="118"/>
      <c r="F557" s="118"/>
      <c r="G557" s="83"/>
      <c r="H557" s="83"/>
      <c r="I557" s="83"/>
      <c r="J557" s="83"/>
      <c r="K557" s="83"/>
      <c r="L557" s="83"/>
      <c r="M557" s="83"/>
      <c r="N557" s="83"/>
      <c r="O557" s="83"/>
      <c r="P557" s="83"/>
      <c r="Q557" s="83"/>
      <c r="R557" s="83"/>
      <c r="S557" s="83"/>
      <c r="T557" s="83"/>
      <c r="U557" s="83"/>
      <c r="V557" s="83"/>
      <c r="W557" s="83"/>
      <c r="X557" s="83"/>
      <c r="Y557" s="83"/>
      <c r="Z557" s="83"/>
      <c r="AA557" s="83"/>
      <c r="AB557" s="83"/>
      <c r="AC557" s="83"/>
      <c r="AD557" s="83"/>
    </row>
    <row r="558">
      <c r="A558" s="83"/>
      <c r="B558" s="83"/>
      <c r="C558" s="83"/>
      <c r="D558" s="83"/>
      <c r="E558" s="118"/>
      <c r="F558" s="118"/>
      <c r="G558" s="83"/>
      <c r="H558" s="83"/>
      <c r="I558" s="83"/>
      <c r="J558" s="83"/>
      <c r="K558" s="83"/>
      <c r="L558" s="83"/>
      <c r="M558" s="83"/>
      <c r="N558" s="83"/>
      <c r="O558" s="83"/>
      <c r="P558" s="83"/>
      <c r="Q558" s="83"/>
      <c r="R558" s="83"/>
      <c r="S558" s="83"/>
      <c r="T558" s="83"/>
      <c r="U558" s="83"/>
      <c r="V558" s="83"/>
      <c r="W558" s="83"/>
      <c r="X558" s="83"/>
      <c r="Y558" s="83"/>
      <c r="Z558" s="83"/>
      <c r="AA558" s="83"/>
      <c r="AB558" s="83"/>
      <c r="AC558" s="83"/>
      <c r="AD558" s="83"/>
    </row>
    <row r="559">
      <c r="A559" s="83"/>
      <c r="B559" s="83"/>
      <c r="C559" s="83"/>
      <c r="D559" s="83"/>
      <c r="E559" s="118"/>
      <c r="F559" s="118"/>
      <c r="G559" s="83"/>
      <c r="H559" s="83"/>
      <c r="I559" s="83"/>
      <c r="J559" s="83"/>
      <c r="K559" s="83"/>
      <c r="L559" s="83"/>
      <c r="M559" s="83"/>
      <c r="N559" s="83"/>
      <c r="O559" s="83"/>
      <c r="P559" s="83"/>
      <c r="Q559" s="83"/>
      <c r="R559" s="83"/>
      <c r="S559" s="83"/>
      <c r="T559" s="83"/>
      <c r="U559" s="83"/>
      <c r="V559" s="83"/>
      <c r="W559" s="83"/>
      <c r="X559" s="83"/>
      <c r="Y559" s="83"/>
      <c r="Z559" s="83"/>
      <c r="AA559" s="83"/>
      <c r="AB559" s="83"/>
      <c r="AC559" s="83"/>
      <c r="AD559" s="83"/>
    </row>
    <row r="560">
      <c r="A560" s="83"/>
      <c r="B560" s="83"/>
      <c r="C560" s="83"/>
      <c r="D560" s="83"/>
      <c r="E560" s="118"/>
      <c r="F560" s="118"/>
      <c r="G560" s="83"/>
      <c r="H560" s="83"/>
      <c r="I560" s="83"/>
      <c r="J560" s="83"/>
      <c r="K560" s="83"/>
      <c r="L560" s="83"/>
      <c r="M560" s="83"/>
      <c r="N560" s="83"/>
      <c r="O560" s="83"/>
      <c r="P560" s="83"/>
      <c r="Q560" s="83"/>
      <c r="R560" s="83"/>
      <c r="S560" s="83"/>
      <c r="T560" s="83"/>
      <c r="U560" s="83"/>
      <c r="V560" s="83"/>
      <c r="W560" s="83"/>
      <c r="X560" s="83"/>
      <c r="Y560" s="83"/>
      <c r="Z560" s="83"/>
      <c r="AA560" s="83"/>
      <c r="AB560" s="83"/>
      <c r="AC560" s="83"/>
      <c r="AD560" s="83"/>
    </row>
    <row r="561">
      <c r="A561" s="83"/>
      <c r="B561" s="83"/>
      <c r="C561" s="83"/>
      <c r="D561" s="83"/>
      <c r="E561" s="118"/>
      <c r="F561" s="118"/>
      <c r="G561" s="83"/>
      <c r="H561" s="83"/>
      <c r="I561" s="83"/>
      <c r="J561" s="83"/>
      <c r="K561" s="83"/>
      <c r="L561" s="83"/>
      <c r="M561" s="83"/>
      <c r="N561" s="83"/>
      <c r="O561" s="83"/>
      <c r="P561" s="83"/>
      <c r="Q561" s="83"/>
      <c r="R561" s="83"/>
      <c r="S561" s="83"/>
      <c r="T561" s="83"/>
      <c r="U561" s="83"/>
      <c r="V561" s="83"/>
      <c r="W561" s="83"/>
      <c r="X561" s="83"/>
      <c r="Y561" s="83"/>
      <c r="Z561" s="83"/>
      <c r="AA561" s="83"/>
      <c r="AB561" s="83"/>
      <c r="AC561" s="83"/>
      <c r="AD561" s="83"/>
    </row>
    <row r="562">
      <c r="A562" s="83"/>
      <c r="B562" s="83"/>
      <c r="C562" s="83"/>
      <c r="D562" s="83"/>
      <c r="E562" s="118"/>
      <c r="F562" s="118"/>
      <c r="G562" s="83"/>
      <c r="H562" s="83"/>
      <c r="I562" s="83"/>
      <c r="J562" s="83"/>
      <c r="K562" s="83"/>
      <c r="L562" s="83"/>
      <c r="M562" s="83"/>
      <c r="N562" s="83"/>
      <c r="O562" s="83"/>
      <c r="P562" s="83"/>
      <c r="Q562" s="83"/>
      <c r="R562" s="83"/>
      <c r="S562" s="83"/>
      <c r="T562" s="83"/>
      <c r="U562" s="83"/>
      <c r="V562" s="83"/>
      <c r="W562" s="83"/>
      <c r="X562" s="83"/>
      <c r="Y562" s="83"/>
      <c r="Z562" s="83"/>
      <c r="AA562" s="83"/>
      <c r="AB562" s="83"/>
      <c r="AC562" s="83"/>
      <c r="AD562" s="83"/>
    </row>
    <row r="563">
      <c r="A563" s="83"/>
      <c r="B563" s="83"/>
      <c r="C563" s="83"/>
      <c r="D563" s="83"/>
      <c r="E563" s="118"/>
      <c r="F563" s="118"/>
      <c r="G563" s="83"/>
      <c r="H563" s="83"/>
      <c r="I563" s="83"/>
      <c r="J563" s="83"/>
      <c r="K563" s="83"/>
      <c r="L563" s="83"/>
      <c r="M563" s="83"/>
      <c r="N563" s="83"/>
      <c r="O563" s="83"/>
      <c r="P563" s="83"/>
      <c r="Q563" s="83"/>
      <c r="R563" s="83"/>
      <c r="S563" s="83"/>
      <c r="T563" s="83"/>
      <c r="U563" s="83"/>
      <c r="V563" s="83"/>
      <c r="W563" s="83"/>
      <c r="X563" s="83"/>
      <c r="Y563" s="83"/>
      <c r="Z563" s="83"/>
      <c r="AA563" s="83"/>
      <c r="AB563" s="83"/>
      <c r="AC563" s="83"/>
      <c r="AD563" s="83"/>
    </row>
    <row r="564">
      <c r="A564" s="83"/>
      <c r="B564" s="83"/>
      <c r="C564" s="83"/>
      <c r="D564" s="83"/>
      <c r="E564" s="118"/>
      <c r="F564" s="118"/>
      <c r="G564" s="83"/>
      <c r="H564" s="83"/>
      <c r="I564" s="83"/>
      <c r="J564" s="83"/>
      <c r="K564" s="83"/>
      <c r="L564" s="83"/>
      <c r="M564" s="83"/>
      <c r="N564" s="83"/>
      <c r="O564" s="83"/>
      <c r="P564" s="83"/>
      <c r="Q564" s="83"/>
      <c r="R564" s="83"/>
      <c r="S564" s="83"/>
      <c r="T564" s="83"/>
      <c r="U564" s="83"/>
      <c r="V564" s="83"/>
      <c r="W564" s="83"/>
      <c r="X564" s="83"/>
      <c r="Y564" s="83"/>
      <c r="Z564" s="83"/>
      <c r="AA564" s="83"/>
      <c r="AB564" s="83"/>
      <c r="AC564" s="83"/>
      <c r="AD564" s="83"/>
    </row>
    <row r="565">
      <c r="A565" s="83"/>
      <c r="B565" s="83"/>
      <c r="C565" s="83"/>
      <c r="D565" s="83"/>
      <c r="E565" s="118"/>
      <c r="F565" s="118"/>
      <c r="G565" s="83"/>
      <c r="H565" s="83"/>
      <c r="I565" s="83"/>
      <c r="J565" s="83"/>
      <c r="K565" s="83"/>
      <c r="L565" s="83"/>
      <c r="M565" s="83"/>
      <c r="N565" s="83"/>
      <c r="O565" s="83"/>
      <c r="P565" s="83"/>
      <c r="Q565" s="83"/>
      <c r="R565" s="83"/>
      <c r="S565" s="83"/>
      <c r="T565" s="83"/>
      <c r="U565" s="83"/>
      <c r="V565" s="83"/>
      <c r="W565" s="83"/>
      <c r="X565" s="83"/>
      <c r="Y565" s="83"/>
      <c r="Z565" s="83"/>
      <c r="AA565" s="83"/>
      <c r="AB565" s="83"/>
      <c r="AC565" s="83"/>
      <c r="AD565" s="83"/>
    </row>
    <row r="566">
      <c r="A566" s="83"/>
      <c r="B566" s="83"/>
      <c r="C566" s="83"/>
      <c r="D566" s="83"/>
      <c r="E566" s="118"/>
      <c r="F566" s="118"/>
      <c r="G566" s="83"/>
      <c r="H566" s="83"/>
      <c r="I566" s="83"/>
      <c r="J566" s="83"/>
      <c r="K566" s="83"/>
      <c r="L566" s="83"/>
      <c r="M566" s="83"/>
      <c r="N566" s="83"/>
      <c r="O566" s="83"/>
      <c r="P566" s="83"/>
      <c r="Q566" s="83"/>
      <c r="R566" s="83"/>
      <c r="S566" s="83"/>
      <c r="T566" s="83"/>
      <c r="U566" s="83"/>
      <c r="V566" s="83"/>
      <c r="W566" s="83"/>
      <c r="X566" s="83"/>
      <c r="Y566" s="83"/>
      <c r="Z566" s="83"/>
      <c r="AA566" s="83"/>
      <c r="AB566" s="83"/>
      <c r="AC566" s="83"/>
      <c r="AD566" s="83"/>
    </row>
    <row r="567">
      <c r="A567" s="83"/>
      <c r="B567" s="83"/>
      <c r="C567" s="83"/>
      <c r="D567" s="83"/>
      <c r="E567" s="118"/>
      <c r="F567" s="118"/>
      <c r="G567" s="83"/>
      <c r="H567" s="83"/>
      <c r="I567" s="83"/>
      <c r="J567" s="83"/>
      <c r="K567" s="83"/>
      <c r="L567" s="83"/>
      <c r="M567" s="83"/>
      <c r="N567" s="83"/>
      <c r="O567" s="83"/>
      <c r="P567" s="83"/>
      <c r="Q567" s="83"/>
      <c r="R567" s="83"/>
      <c r="S567" s="83"/>
      <c r="T567" s="83"/>
      <c r="U567" s="83"/>
      <c r="V567" s="83"/>
      <c r="W567" s="83"/>
      <c r="X567" s="83"/>
      <c r="Y567" s="83"/>
      <c r="Z567" s="83"/>
      <c r="AA567" s="83"/>
      <c r="AB567" s="83"/>
      <c r="AC567" s="83"/>
      <c r="AD567" s="83"/>
    </row>
    <row r="568">
      <c r="A568" s="83"/>
      <c r="B568" s="83"/>
      <c r="C568" s="83"/>
      <c r="D568" s="83"/>
      <c r="E568" s="118"/>
      <c r="F568" s="118"/>
      <c r="G568" s="83"/>
      <c r="H568" s="83"/>
      <c r="I568" s="83"/>
      <c r="J568" s="83"/>
      <c r="K568" s="83"/>
      <c r="L568" s="83"/>
      <c r="M568" s="83"/>
      <c r="N568" s="83"/>
      <c r="O568" s="83"/>
      <c r="P568" s="83"/>
      <c r="Q568" s="83"/>
      <c r="R568" s="83"/>
      <c r="S568" s="83"/>
      <c r="T568" s="83"/>
      <c r="U568" s="83"/>
      <c r="V568" s="83"/>
      <c r="W568" s="83"/>
      <c r="X568" s="83"/>
      <c r="Y568" s="83"/>
      <c r="Z568" s="83"/>
      <c r="AA568" s="83"/>
      <c r="AB568" s="83"/>
      <c r="AC568" s="83"/>
      <c r="AD568" s="83"/>
    </row>
    <row r="569">
      <c r="A569" s="83"/>
      <c r="B569" s="83"/>
      <c r="C569" s="83"/>
      <c r="D569" s="83"/>
      <c r="E569" s="118"/>
      <c r="F569" s="118"/>
      <c r="G569" s="83"/>
      <c r="H569" s="83"/>
      <c r="I569" s="83"/>
      <c r="J569" s="83"/>
      <c r="K569" s="83"/>
      <c r="L569" s="83"/>
      <c r="M569" s="83"/>
      <c r="N569" s="83"/>
      <c r="O569" s="83"/>
      <c r="P569" s="83"/>
      <c r="Q569" s="83"/>
      <c r="R569" s="83"/>
      <c r="S569" s="83"/>
      <c r="T569" s="83"/>
      <c r="U569" s="83"/>
      <c r="V569" s="83"/>
      <c r="W569" s="83"/>
      <c r="X569" s="83"/>
      <c r="Y569" s="83"/>
      <c r="Z569" s="83"/>
      <c r="AA569" s="83"/>
      <c r="AB569" s="83"/>
      <c r="AC569" s="83"/>
      <c r="AD569" s="83"/>
    </row>
    <row r="570">
      <c r="A570" s="83"/>
      <c r="B570" s="83"/>
      <c r="C570" s="83"/>
      <c r="D570" s="83"/>
      <c r="E570" s="118"/>
      <c r="F570" s="118"/>
      <c r="G570" s="83"/>
      <c r="H570" s="83"/>
      <c r="I570" s="83"/>
      <c r="J570" s="83"/>
      <c r="K570" s="83"/>
      <c r="L570" s="83"/>
      <c r="M570" s="83"/>
      <c r="N570" s="83"/>
      <c r="O570" s="83"/>
      <c r="P570" s="83"/>
      <c r="Q570" s="83"/>
      <c r="R570" s="83"/>
      <c r="S570" s="83"/>
      <c r="T570" s="83"/>
      <c r="U570" s="83"/>
      <c r="V570" s="83"/>
      <c r="W570" s="83"/>
      <c r="X570" s="83"/>
      <c r="Y570" s="83"/>
      <c r="Z570" s="83"/>
      <c r="AA570" s="83"/>
      <c r="AB570" s="83"/>
      <c r="AC570" s="83"/>
      <c r="AD570" s="83"/>
    </row>
    <row r="571">
      <c r="A571" s="83"/>
      <c r="B571" s="83"/>
      <c r="C571" s="83"/>
      <c r="D571" s="83"/>
      <c r="E571" s="118"/>
      <c r="F571" s="118"/>
      <c r="G571" s="83"/>
      <c r="H571" s="83"/>
      <c r="I571" s="83"/>
      <c r="J571" s="83"/>
      <c r="K571" s="83"/>
      <c r="L571" s="83"/>
      <c r="M571" s="83"/>
      <c r="N571" s="83"/>
      <c r="O571" s="83"/>
      <c r="P571" s="83"/>
      <c r="Q571" s="83"/>
      <c r="R571" s="83"/>
      <c r="S571" s="83"/>
      <c r="T571" s="83"/>
      <c r="U571" s="83"/>
      <c r="V571" s="83"/>
      <c r="W571" s="83"/>
      <c r="X571" s="83"/>
      <c r="Y571" s="83"/>
      <c r="Z571" s="83"/>
      <c r="AA571" s="83"/>
      <c r="AB571" s="83"/>
      <c r="AC571" s="83"/>
      <c r="AD571" s="83"/>
    </row>
    <row r="572">
      <c r="A572" s="83"/>
      <c r="B572" s="83"/>
      <c r="C572" s="83"/>
      <c r="D572" s="83"/>
      <c r="E572" s="118"/>
      <c r="F572" s="118"/>
      <c r="G572" s="83"/>
      <c r="H572" s="83"/>
      <c r="I572" s="83"/>
      <c r="J572" s="83"/>
      <c r="K572" s="83"/>
      <c r="L572" s="83"/>
      <c r="M572" s="83"/>
      <c r="N572" s="83"/>
      <c r="O572" s="83"/>
      <c r="P572" s="83"/>
      <c r="Q572" s="83"/>
      <c r="R572" s="83"/>
      <c r="S572" s="83"/>
      <c r="T572" s="83"/>
      <c r="U572" s="83"/>
      <c r="V572" s="83"/>
      <c r="W572" s="83"/>
      <c r="X572" s="83"/>
      <c r="Y572" s="83"/>
      <c r="Z572" s="83"/>
      <c r="AA572" s="83"/>
      <c r="AB572" s="83"/>
      <c r="AC572" s="83"/>
      <c r="AD572" s="83"/>
    </row>
    <row r="573">
      <c r="A573" s="83"/>
      <c r="B573" s="83"/>
      <c r="C573" s="83"/>
      <c r="D573" s="83"/>
      <c r="E573" s="118"/>
      <c r="F573" s="118"/>
      <c r="G573" s="83"/>
      <c r="H573" s="83"/>
      <c r="I573" s="83"/>
      <c r="J573" s="83"/>
      <c r="K573" s="83"/>
      <c r="L573" s="83"/>
      <c r="M573" s="83"/>
      <c r="N573" s="83"/>
      <c r="O573" s="83"/>
      <c r="P573" s="83"/>
      <c r="Q573" s="83"/>
      <c r="R573" s="83"/>
      <c r="S573" s="83"/>
      <c r="T573" s="83"/>
      <c r="U573" s="83"/>
      <c r="V573" s="83"/>
      <c r="W573" s="83"/>
      <c r="X573" s="83"/>
      <c r="Y573" s="83"/>
      <c r="Z573" s="83"/>
      <c r="AA573" s="83"/>
      <c r="AB573" s="83"/>
      <c r="AC573" s="83"/>
      <c r="AD573" s="83"/>
    </row>
    <row r="574">
      <c r="A574" s="83"/>
      <c r="B574" s="83"/>
      <c r="C574" s="83"/>
      <c r="D574" s="83"/>
      <c r="E574" s="118"/>
      <c r="F574" s="118"/>
      <c r="G574" s="83"/>
      <c r="H574" s="83"/>
      <c r="I574" s="83"/>
      <c r="J574" s="83"/>
      <c r="K574" s="83"/>
      <c r="L574" s="83"/>
      <c r="M574" s="83"/>
      <c r="N574" s="83"/>
      <c r="O574" s="83"/>
      <c r="P574" s="83"/>
      <c r="Q574" s="83"/>
      <c r="R574" s="83"/>
      <c r="S574" s="83"/>
      <c r="T574" s="83"/>
      <c r="U574" s="83"/>
      <c r="V574" s="83"/>
      <c r="W574" s="83"/>
      <c r="X574" s="83"/>
      <c r="Y574" s="83"/>
      <c r="Z574" s="83"/>
      <c r="AA574" s="83"/>
      <c r="AB574" s="83"/>
      <c r="AC574" s="83"/>
      <c r="AD574" s="83"/>
    </row>
    <row r="575">
      <c r="A575" s="83"/>
      <c r="B575" s="83"/>
      <c r="C575" s="83"/>
      <c r="D575" s="83"/>
      <c r="E575" s="118"/>
      <c r="F575" s="118"/>
      <c r="G575" s="83"/>
      <c r="H575" s="83"/>
      <c r="I575" s="83"/>
      <c r="J575" s="83"/>
      <c r="K575" s="83"/>
      <c r="L575" s="83"/>
      <c r="M575" s="83"/>
      <c r="N575" s="83"/>
      <c r="O575" s="83"/>
      <c r="P575" s="83"/>
      <c r="Q575" s="83"/>
      <c r="R575" s="83"/>
      <c r="S575" s="83"/>
      <c r="T575" s="83"/>
      <c r="U575" s="83"/>
      <c r="V575" s="83"/>
      <c r="W575" s="83"/>
      <c r="X575" s="83"/>
      <c r="Y575" s="83"/>
      <c r="Z575" s="83"/>
      <c r="AA575" s="83"/>
      <c r="AB575" s="83"/>
      <c r="AC575" s="83"/>
      <c r="AD575" s="83"/>
    </row>
    <row r="576">
      <c r="A576" s="83"/>
      <c r="B576" s="83"/>
      <c r="C576" s="83"/>
      <c r="D576" s="83"/>
      <c r="E576" s="118"/>
      <c r="F576" s="118"/>
      <c r="G576" s="83"/>
      <c r="H576" s="83"/>
      <c r="I576" s="83"/>
      <c r="J576" s="83"/>
      <c r="K576" s="83"/>
      <c r="L576" s="83"/>
      <c r="M576" s="83"/>
      <c r="N576" s="83"/>
      <c r="O576" s="83"/>
      <c r="P576" s="83"/>
      <c r="Q576" s="83"/>
      <c r="R576" s="83"/>
      <c r="S576" s="83"/>
      <c r="T576" s="83"/>
      <c r="U576" s="83"/>
      <c r="V576" s="83"/>
      <c r="W576" s="83"/>
      <c r="X576" s="83"/>
      <c r="Y576" s="83"/>
      <c r="Z576" s="83"/>
      <c r="AA576" s="83"/>
      <c r="AB576" s="83"/>
      <c r="AC576" s="83"/>
      <c r="AD576" s="83"/>
    </row>
    <row r="577">
      <c r="A577" s="83"/>
      <c r="B577" s="83"/>
      <c r="C577" s="83"/>
      <c r="D577" s="83"/>
      <c r="E577" s="118"/>
      <c r="F577" s="118"/>
      <c r="G577" s="83"/>
      <c r="H577" s="83"/>
      <c r="I577" s="83"/>
      <c r="J577" s="83"/>
      <c r="K577" s="83"/>
      <c r="L577" s="83"/>
      <c r="M577" s="83"/>
      <c r="N577" s="83"/>
      <c r="O577" s="83"/>
      <c r="P577" s="83"/>
      <c r="Q577" s="83"/>
      <c r="R577" s="83"/>
      <c r="S577" s="83"/>
      <c r="T577" s="83"/>
      <c r="U577" s="83"/>
      <c r="V577" s="83"/>
      <c r="W577" s="83"/>
      <c r="X577" s="83"/>
      <c r="Y577" s="83"/>
      <c r="Z577" s="83"/>
      <c r="AA577" s="83"/>
      <c r="AB577" s="83"/>
      <c r="AC577" s="83"/>
      <c r="AD577" s="83"/>
    </row>
    <row r="578">
      <c r="A578" s="83"/>
      <c r="B578" s="83"/>
      <c r="C578" s="83"/>
      <c r="D578" s="83"/>
      <c r="E578" s="118"/>
      <c r="F578" s="118"/>
      <c r="G578" s="83"/>
      <c r="H578" s="83"/>
      <c r="I578" s="83"/>
      <c r="J578" s="83"/>
      <c r="K578" s="83"/>
      <c r="L578" s="83"/>
      <c r="M578" s="83"/>
      <c r="N578" s="83"/>
      <c r="O578" s="83"/>
      <c r="P578" s="83"/>
      <c r="Q578" s="83"/>
      <c r="R578" s="83"/>
      <c r="S578" s="83"/>
      <c r="T578" s="83"/>
      <c r="U578" s="83"/>
      <c r="V578" s="83"/>
      <c r="W578" s="83"/>
      <c r="X578" s="83"/>
      <c r="Y578" s="83"/>
      <c r="Z578" s="83"/>
      <c r="AA578" s="83"/>
      <c r="AB578" s="83"/>
      <c r="AC578" s="83"/>
      <c r="AD578" s="83"/>
    </row>
    <row r="579">
      <c r="A579" s="83"/>
      <c r="B579" s="83"/>
      <c r="C579" s="83"/>
      <c r="D579" s="83"/>
      <c r="E579" s="118"/>
      <c r="F579" s="118"/>
      <c r="G579" s="83"/>
      <c r="H579" s="83"/>
      <c r="I579" s="83"/>
      <c r="J579" s="83"/>
      <c r="K579" s="83"/>
      <c r="L579" s="83"/>
      <c r="M579" s="83"/>
      <c r="N579" s="83"/>
      <c r="O579" s="83"/>
      <c r="P579" s="83"/>
      <c r="Q579" s="83"/>
      <c r="R579" s="83"/>
      <c r="S579" s="83"/>
      <c r="T579" s="83"/>
      <c r="U579" s="83"/>
      <c r="V579" s="83"/>
      <c r="W579" s="83"/>
      <c r="X579" s="83"/>
      <c r="Y579" s="83"/>
      <c r="Z579" s="83"/>
      <c r="AA579" s="83"/>
      <c r="AB579" s="83"/>
      <c r="AC579" s="83"/>
      <c r="AD579" s="83"/>
    </row>
    <row r="580">
      <c r="A580" s="83"/>
      <c r="B580" s="83"/>
      <c r="C580" s="83"/>
      <c r="D580" s="83"/>
      <c r="E580" s="118"/>
      <c r="F580" s="118"/>
      <c r="G580" s="83"/>
      <c r="H580" s="83"/>
      <c r="I580" s="83"/>
      <c r="J580" s="83"/>
      <c r="K580" s="83"/>
      <c r="L580" s="83"/>
      <c r="M580" s="83"/>
      <c r="N580" s="83"/>
      <c r="O580" s="83"/>
      <c r="P580" s="83"/>
      <c r="Q580" s="83"/>
      <c r="R580" s="83"/>
      <c r="S580" s="83"/>
      <c r="T580" s="83"/>
      <c r="U580" s="83"/>
      <c r="V580" s="83"/>
      <c r="W580" s="83"/>
      <c r="X580" s="83"/>
      <c r="Y580" s="83"/>
      <c r="Z580" s="83"/>
      <c r="AA580" s="83"/>
      <c r="AB580" s="83"/>
      <c r="AC580" s="83"/>
      <c r="AD580" s="83"/>
    </row>
    <row r="581">
      <c r="A581" s="83"/>
      <c r="B581" s="83"/>
      <c r="C581" s="83"/>
      <c r="D581" s="83"/>
      <c r="E581" s="118"/>
      <c r="F581" s="118"/>
      <c r="G581" s="83"/>
      <c r="H581" s="83"/>
      <c r="I581" s="83"/>
      <c r="J581" s="83"/>
      <c r="K581" s="83"/>
      <c r="L581" s="83"/>
      <c r="M581" s="83"/>
      <c r="N581" s="83"/>
      <c r="O581" s="83"/>
      <c r="P581" s="83"/>
      <c r="Q581" s="83"/>
      <c r="R581" s="83"/>
      <c r="S581" s="83"/>
      <c r="T581" s="83"/>
      <c r="U581" s="83"/>
      <c r="V581" s="83"/>
      <c r="W581" s="83"/>
      <c r="X581" s="83"/>
      <c r="Y581" s="83"/>
      <c r="Z581" s="83"/>
      <c r="AA581" s="83"/>
      <c r="AB581" s="83"/>
      <c r="AC581" s="83"/>
      <c r="AD581" s="83"/>
    </row>
    <row r="582">
      <c r="A582" s="83"/>
      <c r="B582" s="83"/>
      <c r="C582" s="83"/>
      <c r="D582" s="83"/>
      <c r="E582" s="118"/>
      <c r="F582" s="118"/>
      <c r="G582" s="83"/>
      <c r="H582" s="83"/>
      <c r="I582" s="83"/>
      <c r="J582" s="83"/>
      <c r="K582" s="83"/>
      <c r="L582" s="83"/>
      <c r="M582" s="83"/>
      <c r="N582" s="83"/>
      <c r="O582" s="83"/>
      <c r="P582" s="83"/>
      <c r="Q582" s="83"/>
      <c r="R582" s="83"/>
      <c r="S582" s="83"/>
      <c r="T582" s="83"/>
      <c r="U582" s="83"/>
      <c r="V582" s="83"/>
      <c r="W582" s="83"/>
      <c r="X582" s="83"/>
      <c r="Y582" s="83"/>
      <c r="Z582" s="83"/>
      <c r="AA582" s="83"/>
      <c r="AB582" s="83"/>
      <c r="AC582" s="83"/>
      <c r="AD582" s="83"/>
    </row>
    <row r="583">
      <c r="A583" s="83"/>
      <c r="B583" s="83"/>
      <c r="C583" s="83"/>
      <c r="D583" s="83"/>
      <c r="E583" s="118"/>
      <c r="F583" s="118"/>
      <c r="G583" s="83"/>
      <c r="H583" s="83"/>
      <c r="I583" s="83"/>
      <c r="J583" s="83"/>
      <c r="K583" s="83"/>
      <c r="L583" s="83"/>
      <c r="M583" s="83"/>
      <c r="N583" s="83"/>
      <c r="O583" s="83"/>
      <c r="P583" s="83"/>
      <c r="Q583" s="83"/>
      <c r="R583" s="83"/>
      <c r="S583" s="83"/>
      <c r="T583" s="83"/>
      <c r="U583" s="83"/>
      <c r="V583" s="83"/>
      <c r="W583" s="83"/>
      <c r="X583" s="83"/>
      <c r="Y583" s="83"/>
      <c r="Z583" s="83"/>
      <c r="AA583" s="83"/>
      <c r="AB583" s="83"/>
      <c r="AC583" s="83"/>
      <c r="AD583" s="83"/>
    </row>
    <row r="584">
      <c r="A584" s="83"/>
      <c r="B584" s="83"/>
      <c r="C584" s="83"/>
      <c r="D584" s="83"/>
      <c r="E584" s="118"/>
      <c r="F584" s="118"/>
      <c r="G584" s="83"/>
      <c r="H584" s="83"/>
      <c r="I584" s="83"/>
      <c r="J584" s="83"/>
      <c r="K584" s="83"/>
      <c r="L584" s="83"/>
      <c r="M584" s="83"/>
      <c r="N584" s="83"/>
      <c r="O584" s="83"/>
      <c r="P584" s="83"/>
      <c r="Q584" s="83"/>
      <c r="R584" s="83"/>
      <c r="S584" s="83"/>
      <c r="T584" s="83"/>
      <c r="U584" s="83"/>
      <c r="V584" s="83"/>
      <c r="W584" s="83"/>
      <c r="X584" s="83"/>
      <c r="Y584" s="83"/>
      <c r="Z584" s="83"/>
      <c r="AA584" s="83"/>
      <c r="AB584" s="83"/>
      <c r="AC584" s="83"/>
      <c r="AD584" s="83"/>
    </row>
    <row r="585">
      <c r="A585" s="83"/>
      <c r="B585" s="83"/>
      <c r="C585" s="83"/>
      <c r="D585" s="83"/>
      <c r="E585" s="118"/>
      <c r="F585" s="118"/>
      <c r="G585" s="83"/>
      <c r="H585" s="83"/>
      <c r="I585" s="83"/>
      <c r="J585" s="83"/>
      <c r="K585" s="83"/>
      <c r="L585" s="83"/>
      <c r="M585" s="83"/>
      <c r="N585" s="83"/>
      <c r="O585" s="83"/>
      <c r="P585" s="83"/>
      <c r="Q585" s="83"/>
      <c r="R585" s="83"/>
      <c r="S585" s="83"/>
      <c r="T585" s="83"/>
      <c r="U585" s="83"/>
      <c r="V585" s="83"/>
      <c r="W585" s="83"/>
      <c r="X585" s="83"/>
      <c r="Y585" s="83"/>
      <c r="Z585" s="83"/>
      <c r="AA585" s="83"/>
      <c r="AB585" s="83"/>
      <c r="AC585" s="83"/>
      <c r="AD585" s="83"/>
    </row>
    <row r="586">
      <c r="A586" s="83"/>
      <c r="B586" s="83"/>
      <c r="C586" s="83"/>
      <c r="D586" s="83"/>
      <c r="E586" s="118"/>
      <c r="F586" s="118"/>
      <c r="G586" s="83"/>
      <c r="H586" s="83"/>
      <c r="I586" s="83"/>
      <c r="J586" s="83"/>
      <c r="K586" s="83"/>
      <c r="L586" s="83"/>
      <c r="M586" s="83"/>
      <c r="N586" s="83"/>
      <c r="O586" s="83"/>
      <c r="P586" s="83"/>
      <c r="Q586" s="83"/>
      <c r="R586" s="83"/>
      <c r="S586" s="83"/>
      <c r="T586" s="83"/>
      <c r="U586" s="83"/>
      <c r="V586" s="83"/>
      <c r="W586" s="83"/>
      <c r="X586" s="83"/>
      <c r="Y586" s="83"/>
      <c r="Z586" s="83"/>
      <c r="AA586" s="83"/>
      <c r="AB586" s="83"/>
      <c r="AC586" s="83"/>
      <c r="AD586" s="83"/>
    </row>
    <row r="587">
      <c r="A587" s="83"/>
      <c r="B587" s="83"/>
      <c r="C587" s="83"/>
      <c r="D587" s="83"/>
      <c r="E587" s="118"/>
      <c r="F587" s="118"/>
      <c r="G587" s="83"/>
      <c r="H587" s="83"/>
      <c r="I587" s="83"/>
      <c r="J587" s="83"/>
      <c r="K587" s="83"/>
      <c r="L587" s="83"/>
      <c r="M587" s="83"/>
      <c r="N587" s="83"/>
      <c r="O587" s="83"/>
      <c r="P587" s="83"/>
      <c r="Q587" s="83"/>
      <c r="R587" s="83"/>
      <c r="S587" s="83"/>
      <c r="T587" s="83"/>
      <c r="U587" s="83"/>
      <c r="V587" s="83"/>
      <c r="W587" s="83"/>
      <c r="X587" s="83"/>
      <c r="Y587" s="83"/>
      <c r="Z587" s="83"/>
      <c r="AA587" s="83"/>
      <c r="AB587" s="83"/>
      <c r="AC587" s="83"/>
      <c r="AD587" s="83"/>
    </row>
    <row r="588">
      <c r="A588" s="83"/>
      <c r="B588" s="83"/>
      <c r="C588" s="83"/>
      <c r="D588" s="83"/>
      <c r="E588" s="118"/>
      <c r="F588" s="118"/>
      <c r="G588" s="83"/>
      <c r="H588" s="83"/>
      <c r="I588" s="83"/>
      <c r="J588" s="83"/>
      <c r="K588" s="83"/>
      <c r="L588" s="83"/>
      <c r="M588" s="83"/>
      <c r="N588" s="83"/>
      <c r="O588" s="83"/>
      <c r="P588" s="83"/>
      <c r="Q588" s="83"/>
      <c r="R588" s="83"/>
      <c r="S588" s="83"/>
      <c r="T588" s="83"/>
      <c r="U588" s="83"/>
      <c r="V588" s="83"/>
      <c r="W588" s="83"/>
      <c r="X588" s="83"/>
      <c r="Y588" s="83"/>
      <c r="Z588" s="83"/>
      <c r="AA588" s="83"/>
      <c r="AB588" s="83"/>
      <c r="AC588" s="83"/>
      <c r="AD588" s="83"/>
    </row>
    <row r="589">
      <c r="A589" s="83"/>
      <c r="B589" s="83"/>
      <c r="C589" s="83"/>
      <c r="D589" s="83"/>
      <c r="E589" s="118"/>
      <c r="F589" s="118"/>
      <c r="G589" s="83"/>
      <c r="H589" s="83"/>
      <c r="I589" s="83"/>
      <c r="J589" s="83"/>
      <c r="K589" s="83"/>
      <c r="L589" s="83"/>
      <c r="M589" s="83"/>
      <c r="N589" s="83"/>
      <c r="O589" s="83"/>
      <c r="P589" s="83"/>
      <c r="Q589" s="83"/>
      <c r="R589" s="83"/>
      <c r="S589" s="83"/>
      <c r="T589" s="83"/>
      <c r="U589" s="83"/>
      <c r="V589" s="83"/>
      <c r="W589" s="83"/>
      <c r="X589" s="83"/>
      <c r="Y589" s="83"/>
      <c r="Z589" s="83"/>
      <c r="AA589" s="83"/>
      <c r="AB589" s="83"/>
      <c r="AC589" s="83"/>
      <c r="AD589" s="83"/>
    </row>
    <row r="590">
      <c r="A590" s="83"/>
      <c r="B590" s="83"/>
      <c r="C590" s="83"/>
      <c r="D590" s="83"/>
      <c r="E590" s="118"/>
      <c r="F590" s="118"/>
      <c r="G590" s="83"/>
      <c r="H590" s="83"/>
      <c r="I590" s="83"/>
      <c r="J590" s="83"/>
      <c r="K590" s="83"/>
      <c r="L590" s="83"/>
      <c r="M590" s="83"/>
      <c r="N590" s="83"/>
      <c r="O590" s="83"/>
      <c r="P590" s="83"/>
      <c r="Q590" s="83"/>
      <c r="R590" s="83"/>
      <c r="S590" s="83"/>
      <c r="T590" s="83"/>
      <c r="U590" s="83"/>
      <c r="V590" s="83"/>
      <c r="W590" s="83"/>
      <c r="X590" s="83"/>
      <c r="Y590" s="83"/>
      <c r="Z590" s="83"/>
      <c r="AA590" s="83"/>
      <c r="AB590" s="83"/>
      <c r="AC590" s="83"/>
      <c r="AD590" s="83"/>
    </row>
    <row r="591">
      <c r="A591" s="83"/>
      <c r="B591" s="83"/>
      <c r="C591" s="83"/>
      <c r="D591" s="83"/>
      <c r="E591" s="118"/>
      <c r="F591" s="118"/>
      <c r="G591" s="83"/>
      <c r="H591" s="83"/>
      <c r="I591" s="83"/>
      <c r="J591" s="83"/>
      <c r="K591" s="83"/>
      <c r="L591" s="83"/>
      <c r="M591" s="83"/>
      <c r="N591" s="83"/>
      <c r="O591" s="83"/>
      <c r="P591" s="83"/>
      <c r="Q591" s="83"/>
      <c r="R591" s="83"/>
      <c r="S591" s="83"/>
      <c r="T591" s="83"/>
      <c r="U591" s="83"/>
      <c r="V591" s="83"/>
      <c r="W591" s="83"/>
      <c r="X591" s="83"/>
      <c r="Y591" s="83"/>
      <c r="Z591" s="83"/>
      <c r="AA591" s="83"/>
      <c r="AB591" s="83"/>
      <c r="AC591" s="83"/>
      <c r="AD591" s="83"/>
    </row>
    <row r="592">
      <c r="A592" s="83"/>
      <c r="B592" s="83"/>
      <c r="C592" s="83"/>
      <c r="D592" s="83"/>
      <c r="E592" s="118"/>
      <c r="F592" s="118"/>
      <c r="G592" s="83"/>
      <c r="H592" s="83"/>
      <c r="I592" s="83"/>
      <c r="J592" s="83"/>
      <c r="K592" s="83"/>
      <c r="L592" s="83"/>
      <c r="M592" s="83"/>
      <c r="N592" s="83"/>
      <c r="O592" s="83"/>
      <c r="P592" s="83"/>
      <c r="Q592" s="83"/>
      <c r="R592" s="83"/>
      <c r="S592" s="83"/>
      <c r="T592" s="83"/>
      <c r="U592" s="83"/>
      <c r="V592" s="83"/>
      <c r="W592" s="83"/>
      <c r="X592" s="83"/>
      <c r="Y592" s="83"/>
      <c r="Z592" s="83"/>
      <c r="AA592" s="83"/>
      <c r="AB592" s="83"/>
      <c r="AC592" s="83"/>
      <c r="AD592" s="83"/>
    </row>
    <row r="593">
      <c r="A593" s="83"/>
      <c r="B593" s="83"/>
      <c r="C593" s="83"/>
      <c r="D593" s="83"/>
      <c r="E593" s="118"/>
      <c r="F593" s="118"/>
      <c r="G593" s="83"/>
      <c r="H593" s="83"/>
      <c r="I593" s="83"/>
      <c r="J593" s="83"/>
      <c r="K593" s="83"/>
      <c r="L593" s="83"/>
      <c r="M593" s="83"/>
      <c r="N593" s="83"/>
      <c r="O593" s="83"/>
      <c r="P593" s="83"/>
      <c r="Q593" s="83"/>
      <c r="R593" s="83"/>
      <c r="S593" s="83"/>
      <c r="T593" s="83"/>
      <c r="U593" s="83"/>
      <c r="V593" s="83"/>
      <c r="W593" s="83"/>
      <c r="X593" s="83"/>
      <c r="Y593" s="83"/>
      <c r="Z593" s="83"/>
      <c r="AA593" s="83"/>
      <c r="AB593" s="83"/>
      <c r="AC593" s="83"/>
      <c r="AD593" s="83"/>
    </row>
    <row r="594">
      <c r="A594" s="83"/>
      <c r="B594" s="83"/>
      <c r="C594" s="83"/>
      <c r="D594" s="83"/>
      <c r="E594" s="118"/>
      <c r="F594" s="118"/>
      <c r="G594" s="83"/>
      <c r="H594" s="83"/>
      <c r="I594" s="83"/>
      <c r="J594" s="83"/>
      <c r="K594" s="83"/>
      <c r="L594" s="83"/>
      <c r="M594" s="83"/>
      <c r="N594" s="83"/>
      <c r="O594" s="83"/>
      <c r="P594" s="83"/>
      <c r="Q594" s="83"/>
      <c r="R594" s="83"/>
      <c r="S594" s="83"/>
      <c r="T594" s="83"/>
      <c r="U594" s="83"/>
      <c r="V594" s="83"/>
      <c r="W594" s="83"/>
      <c r="X594" s="83"/>
      <c r="Y594" s="83"/>
      <c r="Z594" s="83"/>
      <c r="AA594" s="83"/>
      <c r="AB594" s="83"/>
      <c r="AC594" s="83"/>
      <c r="AD594" s="83"/>
    </row>
    <row r="595">
      <c r="A595" s="83"/>
      <c r="B595" s="83"/>
      <c r="C595" s="83"/>
      <c r="D595" s="83"/>
      <c r="E595" s="118"/>
      <c r="F595" s="118"/>
      <c r="G595" s="83"/>
      <c r="H595" s="83"/>
      <c r="I595" s="83"/>
      <c r="J595" s="83"/>
      <c r="K595" s="83"/>
      <c r="L595" s="83"/>
      <c r="M595" s="83"/>
      <c r="N595" s="83"/>
      <c r="O595" s="83"/>
      <c r="P595" s="83"/>
      <c r="Q595" s="83"/>
      <c r="R595" s="83"/>
      <c r="S595" s="83"/>
      <c r="T595" s="83"/>
      <c r="U595" s="83"/>
      <c r="V595" s="83"/>
      <c r="W595" s="83"/>
      <c r="X595" s="83"/>
      <c r="Y595" s="83"/>
      <c r="Z595" s="83"/>
      <c r="AA595" s="83"/>
      <c r="AB595" s="83"/>
      <c r="AC595" s="83"/>
      <c r="AD595" s="83"/>
    </row>
    <row r="596">
      <c r="A596" s="83"/>
      <c r="B596" s="83"/>
      <c r="C596" s="83"/>
      <c r="D596" s="83"/>
      <c r="E596" s="118"/>
      <c r="F596" s="118"/>
      <c r="G596" s="83"/>
      <c r="H596" s="83"/>
      <c r="I596" s="83"/>
      <c r="J596" s="83"/>
      <c r="K596" s="83"/>
      <c r="L596" s="83"/>
      <c r="M596" s="83"/>
      <c r="N596" s="83"/>
      <c r="O596" s="83"/>
      <c r="P596" s="83"/>
      <c r="Q596" s="83"/>
      <c r="R596" s="83"/>
      <c r="S596" s="83"/>
      <c r="T596" s="83"/>
      <c r="U596" s="83"/>
      <c r="V596" s="83"/>
      <c r="W596" s="83"/>
      <c r="X596" s="83"/>
      <c r="Y596" s="83"/>
      <c r="Z596" s="83"/>
      <c r="AA596" s="83"/>
      <c r="AB596" s="83"/>
      <c r="AC596" s="83"/>
      <c r="AD596" s="83"/>
    </row>
    <row r="597">
      <c r="A597" s="83"/>
      <c r="B597" s="83"/>
      <c r="C597" s="83"/>
      <c r="D597" s="83"/>
      <c r="E597" s="118"/>
      <c r="F597" s="118"/>
      <c r="G597" s="83"/>
      <c r="H597" s="83"/>
      <c r="I597" s="83"/>
      <c r="J597" s="83"/>
      <c r="K597" s="83"/>
      <c r="L597" s="83"/>
      <c r="M597" s="83"/>
      <c r="N597" s="83"/>
      <c r="O597" s="83"/>
      <c r="P597" s="83"/>
      <c r="Q597" s="83"/>
      <c r="R597" s="83"/>
      <c r="S597" s="83"/>
      <c r="T597" s="83"/>
      <c r="U597" s="83"/>
      <c r="V597" s="83"/>
      <c r="W597" s="83"/>
      <c r="X597" s="83"/>
      <c r="Y597" s="83"/>
      <c r="Z597" s="83"/>
      <c r="AA597" s="83"/>
      <c r="AB597" s="83"/>
      <c r="AC597" s="83"/>
      <c r="AD597" s="83"/>
    </row>
    <row r="598">
      <c r="A598" s="83"/>
      <c r="B598" s="83"/>
      <c r="C598" s="83"/>
      <c r="D598" s="83"/>
      <c r="E598" s="118"/>
      <c r="F598" s="118"/>
      <c r="G598" s="83"/>
      <c r="H598" s="83"/>
      <c r="I598" s="83"/>
      <c r="J598" s="83"/>
      <c r="K598" s="83"/>
      <c r="L598" s="83"/>
      <c r="M598" s="83"/>
      <c r="N598" s="83"/>
      <c r="O598" s="83"/>
      <c r="P598" s="83"/>
      <c r="Q598" s="83"/>
      <c r="R598" s="83"/>
      <c r="S598" s="83"/>
      <c r="T598" s="83"/>
      <c r="U598" s="83"/>
      <c r="V598" s="83"/>
      <c r="W598" s="83"/>
      <c r="X598" s="83"/>
      <c r="Y598" s="83"/>
      <c r="Z598" s="83"/>
      <c r="AA598" s="83"/>
      <c r="AB598" s="83"/>
      <c r="AC598" s="83"/>
      <c r="AD598" s="83"/>
    </row>
    <row r="599">
      <c r="A599" s="83"/>
      <c r="B599" s="83"/>
      <c r="C599" s="83"/>
      <c r="D599" s="83"/>
      <c r="E599" s="118"/>
      <c r="F599" s="118"/>
      <c r="G599" s="83"/>
      <c r="H599" s="83"/>
      <c r="I599" s="83"/>
      <c r="J599" s="83"/>
      <c r="K599" s="83"/>
      <c r="L599" s="83"/>
      <c r="M599" s="83"/>
      <c r="N599" s="83"/>
      <c r="O599" s="83"/>
      <c r="P599" s="83"/>
      <c r="Q599" s="83"/>
      <c r="R599" s="83"/>
      <c r="S599" s="83"/>
      <c r="T599" s="83"/>
      <c r="U599" s="83"/>
      <c r="V599" s="83"/>
      <c r="W599" s="83"/>
      <c r="X599" s="83"/>
      <c r="Y599" s="83"/>
      <c r="Z599" s="83"/>
      <c r="AA599" s="83"/>
      <c r="AB599" s="83"/>
      <c r="AC599" s="83"/>
      <c r="AD599" s="83"/>
    </row>
    <row r="600">
      <c r="A600" s="83"/>
      <c r="B600" s="83"/>
      <c r="C600" s="83"/>
      <c r="D600" s="83"/>
      <c r="E600" s="118"/>
      <c r="F600" s="118"/>
      <c r="G600" s="83"/>
      <c r="H600" s="83"/>
      <c r="I600" s="83"/>
      <c r="J600" s="83"/>
      <c r="K600" s="83"/>
      <c r="L600" s="83"/>
      <c r="M600" s="83"/>
      <c r="N600" s="83"/>
      <c r="O600" s="83"/>
      <c r="P600" s="83"/>
      <c r="Q600" s="83"/>
      <c r="R600" s="83"/>
      <c r="S600" s="83"/>
      <c r="T600" s="83"/>
      <c r="U600" s="83"/>
      <c r="V600" s="83"/>
      <c r="W600" s="83"/>
      <c r="X600" s="83"/>
      <c r="Y600" s="83"/>
      <c r="Z600" s="83"/>
      <c r="AA600" s="83"/>
      <c r="AB600" s="83"/>
      <c r="AC600" s="83"/>
      <c r="AD600" s="83"/>
    </row>
    <row r="601">
      <c r="A601" s="83"/>
      <c r="B601" s="83"/>
      <c r="C601" s="83"/>
      <c r="D601" s="83"/>
      <c r="E601" s="118"/>
      <c r="F601" s="118"/>
      <c r="G601" s="83"/>
      <c r="H601" s="83"/>
      <c r="I601" s="83"/>
      <c r="J601" s="83"/>
      <c r="K601" s="83"/>
      <c r="L601" s="83"/>
      <c r="M601" s="83"/>
      <c r="N601" s="83"/>
      <c r="O601" s="83"/>
      <c r="P601" s="83"/>
      <c r="Q601" s="83"/>
      <c r="R601" s="83"/>
      <c r="S601" s="83"/>
      <c r="T601" s="83"/>
      <c r="U601" s="83"/>
      <c r="V601" s="83"/>
      <c r="W601" s="83"/>
      <c r="X601" s="83"/>
      <c r="Y601" s="83"/>
      <c r="Z601" s="83"/>
      <c r="AA601" s="83"/>
      <c r="AB601" s="83"/>
      <c r="AC601" s="83"/>
      <c r="AD601" s="83"/>
    </row>
    <row r="602">
      <c r="A602" s="83"/>
      <c r="B602" s="83"/>
      <c r="C602" s="83"/>
      <c r="D602" s="83"/>
      <c r="E602" s="118"/>
      <c r="F602" s="118"/>
      <c r="G602" s="83"/>
      <c r="H602" s="83"/>
      <c r="I602" s="83"/>
      <c r="J602" s="83"/>
      <c r="K602" s="83"/>
      <c r="L602" s="83"/>
      <c r="M602" s="83"/>
      <c r="N602" s="83"/>
      <c r="O602" s="83"/>
      <c r="P602" s="83"/>
      <c r="Q602" s="83"/>
      <c r="R602" s="83"/>
      <c r="S602" s="83"/>
      <c r="T602" s="83"/>
      <c r="U602" s="83"/>
      <c r="V602" s="83"/>
      <c r="W602" s="83"/>
      <c r="X602" s="83"/>
      <c r="Y602" s="83"/>
      <c r="Z602" s="83"/>
      <c r="AA602" s="83"/>
      <c r="AB602" s="83"/>
      <c r="AC602" s="83"/>
      <c r="AD602" s="83"/>
    </row>
    <row r="603">
      <c r="A603" s="83"/>
      <c r="B603" s="83"/>
      <c r="C603" s="83"/>
      <c r="D603" s="83"/>
      <c r="E603" s="118"/>
      <c r="F603" s="118"/>
      <c r="G603" s="83"/>
      <c r="H603" s="83"/>
      <c r="I603" s="83"/>
      <c r="J603" s="83"/>
      <c r="K603" s="83"/>
      <c r="L603" s="83"/>
      <c r="M603" s="83"/>
      <c r="N603" s="83"/>
      <c r="O603" s="83"/>
      <c r="P603" s="83"/>
      <c r="Q603" s="83"/>
      <c r="R603" s="83"/>
      <c r="S603" s="83"/>
      <c r="T603" s="83"/>
      <c r="U603" s="83"/>
      <c r="V603" s="83"/>
      <c r="W603" s="83"/>
      <c r="X603" s="83"/>
      <c r="Y603" s="83"/>
      <c r="Z603" s="83"/>
      <c r="AA603" s="83"/>
      <c r="AB603" s="83"/>
      <c r="AC603" s="83"/>
      <c r="AD603" s="83"/>
    </row>
    <row r="604">
      <c r="A604" s="83"/>
      <c r="B604" s="83"/>
      <c r="C604" s="83"/>
      <c r="D604" s="83"/>
      <c r="E604" s="118"/>
      <c r="F604" s="118"/>
      <c r="G604" s="83"/>
      <c r="H604" s="83"/>
      <c r="I604" s="83"/>
      <c r="J604" s="83"/>
      <c r="K604" s="83"/>
      <c r="L604" s="83"/>
      <c r="M604" s="83"/>
      <c r="N604" s="83"/>
      <c r="O604" s="83"/>
      <c r="P604" s="83"/>
      <c r="Q604" s="83"/>
      <c r="R604" s="83"/>
      <c r="S604" s="83"/>
      <c r="T604" s="83"/>
      <c r="U604" s="83"/>
      <c r="V604" s="83"/>
      <c r="W604" s="83"/>
      <c r="X604" s="83"/>
      <c r="Y604" s="83"/>
      <c r="Z604" s="83"/>
      <c r="AA604" s="83"/>
      <c r="AB604" s="83"/>
      <c r="AC604" s="83"/>
      <c r="AD604" s="83"/>
    </row>
    <row r="605">
      <c r="A605" s="83"/>
      <c r="B605" s="83"/>
      <c r="C605" s="83"/>
      <c r="D605" s="83"/>
      <c r="E605" s="118"/>
      <c r="F605" s="118"/>
      <c r="G605" s="83"/>
      <c r="H605" s="83"/>
      <c r="I605" s="83"/>
      <c r="J605" s="83"/>
      <c r="K605" s="83"/>
      <c r="L605" s="83"/>
      <c r="M605" s="83"/>
      <c r="N605" s="83"/>
      <c r="O605" s="83"/>
      <c r="P605" s="83"/>
      <c r="Q605" s="83"/>
      <c r="R605" s="83"/>
      <c r="S605" s="83"/>
      <c r="T605" s="83"/>
      <c r="U605" s="83"/>
      <c r="V605" s="83"/>
      <c r="W605" s="83"/>
      <c r="X605" s="83"/>
      <c r="Y605" s="83"/>
      <c r="Z605" s="83"/>
      <c r="AA605" s="83"/>
      <c r="AB605" s="83"/>
      <c r="AC605" s="83"/>
      <c r="AD605" s="83"/>
    </row>
    <row r="606">
      <c r="A606" s="83"/>
      <c r="B606" s="83"/>
      <c r="C606" s="83"/>
      <c r="D606" s="83"/>
      <c r="E606" s="118"/>
      <c r="F606" s="118"/>
      <c r="G606" s="83"/>
      <c r="H606" s="83"/>
      <c r="I606" s="83"/>
      <c r="J606" s="83"/>
      <c r="K606" s="83"/>
      <c r="L606" s="83"/>
      <c r="M606" s="83"/>
      <c r="N606" s="83"/>
      <c r="O606" s="83"/>
      <c r="P606" s="83"/>
      <c r="Q606" s="83"/>
      <c r="R606" s="83"/>
      <c r="S606" s="83"/>
      <c r="T606" s="83"/>
      <c r="U606" s="83"/>
      <c r="V606" s="83"/>
      <c r="W606" s="83"/>
      <c r="X606" s="83"/>
      <c r="Y606" s="83"/>
      <c r="Z606" s="83"/>
      <c r="AA606" s="83"/>
      <c r="AB606" s="83"/>
      <c r="AC606" s="83"/>
      <c r="AD606" s="83"/>
    </row>
    <row r="607">
      <c r="A607" s="83"/>
      <c r="B607" s="83"/>
      <c r="C607" s="83"/>
      <c r="D607" s="83"/>
      <c r="E607" s="118"/>
      <c r="F607" s="118"/>
      <c r="G607" s="83"/>
      <c r="H607" s="83"/>
      <c r="I607" s="83"/>
      <c r="J607" s="83"/>
      <c r="K607" s="83"/>
      <c r="L607" s="83"/>
      <c r="M607" s="83"/>
      <c r="N607" s="83"/>
      <c r="O607" s="83"/>
      <c r="P607" s="83"/>
      <c r="Q607" s="83"/>
      <c r="R607" s="83"/>
      <c r="S607" s="83"/>
      <c r="T607" s="83"/>
      <c r="U607" s="83"/>
      <c r="V607" s="83"/>
      <c r="W607" s="83"/>
      <c r="X607" s="83"/>
      <c r="Y607" s="83"/>
      <c r="Z607" s="83"/>
      <c r="AA607" s="83"/>
      <c r="AB607" s="83"/>
      <c r="AC607" s="83"/>
      <c r="AD607" s="83"/>
    </row>
    <row r="608">
      <c r="A608" s="83"/>
      <c r="B608" s="83"/>
      <c r="C608" s="83"/>
      <c r="D608" s="83"/>
      <c r="E608" s="118"/>
      <c r="F608" s="118"/>
      <c r="G608" s="83"/>
      <c r="H608" s="83"/>
      <c r="I608" s="83"/>
      <c r="J608" s="83"/>
      <c r="K608" s="83"/>
      <c r="L608" s="83"/>
      <c r="M608" s="83"/>
      <c r="N608" s="83"/>
      <c r="O608" s="83"/>
      <c r="P608" s="83"/>
      <c r="Q608" s="83"/>
      <c r="R608" s="83"/>
      <c r="S608" s="83"/>
      <c r="T608" s="83"/>
      <c r="U608" s="83"/>
      <c r="V608" s="83"/>
      <c r="W608" s="83"/>
      <c r="X608" s="83"/>
      <c r="Y608" s="83"/>
      <c r="Z608" s="83"/>
      <c r="AA608" s="83"/>
      <c r="AB608" s="83"/>
      <c r="AC608" s="83"/>
      <c r="AD608" s="83"/>
    </row>
    <row r="609">
      <c r="A609" s="83"/>
      <c r="B609" s="83"/>
      <c r="C609" s="83"/>
      <c r="D609" s="83"/>
      <c r="E609" s="118"/>
      <c r="F609" s="118"/>
      <c r="G609" s="83"/>
      <c r="H609" s="83"/>
      <c r="I609" s="83"/>
      <c r="J609" s="83"/>
      <c r="K609" s="83"/>
      <c r="L609" s="83"/>
      <c r="M609" s="83"/>
      <c r="N609" s="83"/>
      <c r="O609" s="83"/>
      <c r="P609" s="83"/>
      <c r="Q609" s="83"/>
      <c r="R609" s="83"/>
      <c r="S609" s="83"/>
      <c r="T609" s="83"/>
      <c r="U609" s="83"/>
      <c r="V609" s="83"/>
      <c r="W609" s="83"/>
      <c r="X609" s="83"/>
      <c r="Y609" s="83"/>
      <c r="Z609" s="83"/>
      <c r="AA609" s="83"/>
      <c r="AB609" s="83"/>
      <c r="AC609" s="83"/>
      <c r="AD609" s="83"/>
    </row>
    <row r="610">
      <c r="A610" s="83"/>
      <c r="B610" s="83"/>
      <c r="C610" s="83"/>
      <c r="D610" s="83"/>
      <c r="E610" s="118"/>
      <c r="F610" s="118"/>
      <c r="G610" s="83"/>
      <c r="H610" s="83"/>
      <c r="I610" s="83"/>
      <c r="J610" s="83"/>
      <c r="K610" s="83"/>
      <c r="L610" s="83"/>
      <c r="M610" s="83"/>
      <c r="N610" s="83"/>
      <c r="O610" s="83"/>
      <c r="P610" s="83"/>
      <c r="Q610" s="83"/>
      <c r="R610" s="83"/>
      <c r="S610" s="83"/>
      <c r="T610" s="83"/>
      <c r="U610" s="83"/>
      <c r="V610" s="83"/>
      <c r="W610" s="83"/>
      <c r="X610" s="83"/>
      <c r="Y610" s="83"/>
      <c r="Z610" s="83"/>
      <c r="AA610" s="83"/>
      <c r="AB610" s="83"/>
      <c r="AC610" s="83"/>
      <c r="AD610" s="83"/>
    </row>
    <row r="611">
      <c r="A611" s="83"/>
      <c r="B611" s="83"/>
      <c r="C611" s="83"/>
      <c r="D611" s="83"/>
      <c r="E611" s="118"/>
      <c r="F611" s="118"/>
      <c r="G611" s="83"/>
      <c r="H611" s="83"/>
      <c r="I611" s="83"/>
      <c r="J611" s="83"/>
      <c r="K611" s="83"/>
      <c r="L611" s="83"/>
      <c r="M611" s="83"/>
      <c r="N611" s="83"/>
      <c r="O611" s="83"/>
      <c r="P611" s="83"/>
      <c r="Q611" s="83"/>
      <c r="R611" s="83"/>
      <c r="S611" s="83"/>
      <c r="T611" s="83"/>
      <c r="U611" s="83"/>
      <c r="V611" s="83"/>
      <c r="W611" s="83"/>
      <c r="X611" s="83"/>
      <c r="Y611" s="83"/>
      <c r="Z611" s="83"/>
      <c r="AA611" s="83"/>
      <c r="AB611" s="83"/>
      <c r="AC611" s="83"/>
      <c r="AD611" s="83"/>
    </row>
    <row r="612">
      <c r="A612" s="83"/>
      <c r="B612" s="83"/>
      <c r="C612" s="83"/>
      <c r="D612" s="83"/>
      <c r="E612" s="118"/>
      <c r="F612" s="118"/>
      <c r="G612" s="83"/>
      <c r="H612" s="83"/>
      <c r="I612" s="83"/>
      <c r="J612" s="83"/>
      <c r="K612" s="83"/>
      <c r="L612" s="83"/>
      <c r="M612" s="83"/>
      <c r="N612" s="83"/>
      <c r="O612" s="83"/>
      <c r="P612" s="83"/>
      <c r="Q612" s="83"/>
      <c r="R612" s="83"/>
      <c r="S612" s="83"/>
      <c r="T612" s="83"/>
      <c r="U612" s="83"/>
      <c r="V612" s="83"/>
      <c r="W612" s="83"/>
      <c r="X612" s="83"/>
      <c r="Y612" s="83"/>
      <c r="Z612" s="83"/>
      <c r="AA612" s="83"/>
      <c r="AB612" s="83"/>
      <c r="AC612" s="83"/>
      <c r="AD612" s="83"/>
    </row>
    <row r="613">
      <c r="A613" s="83"/>
      <c r="B613" s="83"/>
      <c r="C613" s="83"/>
      <c r="D613" s="83"/>
      <c r="E613" s="118"/>
      <c r="F613" s="118"/>
      <c r="G613" s="83"/>
      <c r="H613" s="83"/>
      <c r="I613" s="83"/>
      <c r="J613" s="83"/>
      <c r="K613" s="83"/>
      <c r="L613" s="83"/>
      <c r="M613" s="83"/>
      <c r="N613" s="83"/>
      <c r="O613" s="83"/>
      <c r="P613" s="83"/>
      <c r="Q613" s="83"/>
      <c r="R613" s="83"/>
      <c r="S613" s="83"/>
      <c r="T613" s="83"/>
      <c r="U613" s="83"/>
      <c r="V613" s="83"/>
      <c r="W613" s="83"/>
      <c r="X613" s="83"/>
      <c r="Y613" s="83"/>
      <c r="Z613" s="83"/>
      <c r="AA613" s="83"/>
      <c r="AB613" s="83"/>
      <c r="AC613" s="83"/>
      <c r="AD613" s="83"/>
    </row>
    <row r="614">
      <c r="A614" s="83"/>
      <c r="B614" s="83"/>
      <c r="C614" s="83"/>
      <c r="D614" s="83"/>
      <c r="E614" s="118"/>
      <c r="F614" s="118"/>
      <c r="G614" s="83"/>
      <c r="H614" s="83"/>
      <c r="I614" s="83"/>
      <c r="J614" s="83"/>
      <c r="K614" s="83"/>
      <c r="L614" s="83"/>
      <c r="M614" s="83"/>
      <c r="N614" s="83"/>
      <c r="O614" s="83"/>
      <c r="P614" s="83"/>
      <c r="Q614" s="83"/>
      <c r="R614" s="83"/>
      <c r="S614" s="83"/>
      <c r="T614" s="83"/>
      <c r="U614" s="83"/>
      <c r="V614" s="83"/>
      <c r="W614" s="83"/>
      <c r="X614" s="83"/>
      <c r="Y614" s="83"/>
      <c r="Z614" s="83"/>
      <c r="AA614" s="83"/>
      <c r="AB614" s="83"/>
      <c r="AC614" s="83"/>
      <c r="AD614" s="83"/>
    </row>
    <row r="615">
      <c r="A615" s="83"/>
      <c r="B615" s="83"/>
      <c r="C615" s="83"/>
      <c r="D615" s="83"/>
      <c r="E615" s="118"/>
      <c r="F615" s="118"/>
      <c r="G615" s="83"/>
      <c r="H615" s="83"/>
      <c r="I615" s="83"/>
      <c r="J615" s="83"/>
      <c r="K615" s="83"/>
      <c r="L615" s="83"/>
      <c r="M615" s="83"/>
      <c r="N615" s="83"/>
      <c r="O615" s="83"/>
      <c r="P615" s="83"/>
      <c r="Q615" s="83"/>
      <c r="R615" s="83"/>
      <c r="S615" s="83"/>
      <c r="T615" s="83"/>
      <c r="U615" s="83"/>
      <c r="V615" s="83"/>
      <c r="W615" s="83"/>
      <c r="X615" s="83"/>
      <c r="Y615" s="83"/>
      <c r="Z615" s="83"/>
      <c r="AA615" s="83"/>
      <c r="AB615" s="83"/>
      <c r="AC615" s="83"/>
      <c r="AD615" s="83"/>
    </row>
    <row r="616">
      <c r="A616" s="83"/>
      <c r="B616" s="83"/>
      <c r="C616" s="83"/>
      <c r="D616" s="83"/>
      <c r="E616" s="118"/>
      <c r="F616" s="118"/>
      <c r="G616" s="83"/>
      <c r="H616" s="83"/>
      <c r="I616" s="83"/>
      <c r="J616" s="83"/>
      <c r="K616" s="83"/>
      <c r="L616" s="83"/>
      <c r="M616" s="83"/>
      <c r="N616" s="83"/>
      <c r="O616" s="83"/>
      <c r="P616" s="83"/>
      <c r="Q616" s="83"/>
      <c r="R616" s="83"/>
      <c r="S616" s="83"/>
      <c r="T616" s="83"/>
      <c r="U616" s="83"/>
      <c r="V616" s="83"/>
      <c r="W616" s="83"/>
      <c r="X616" s="83"/>
      <c r="Y616" s="83"/>
      <c r="Z616" s="83"/>
      <c r="AA616" s="83"/>
      <c r="AB616" s="83"/>
      <c r="AC616" s="83"/>
      <c r="AD616" s="83"/>
    </row>
    <row r="617">
      <c r="A617" s="83"/>
      <c r="B617" s="83"/>
      <c r="C617" s="83"/>
      <c r="D617" s="83"/>
      <c r="E617" s="118"/>
      <c r="F617" s="118"/>
      <c r="G617" s="83"/>
      <c r="H617" s="83"/>
      <c r="I617" s="83"/>
      <c r="J617" s="83"/>
      <c r="K617" s="83"/>
      <c r="L617" s="83"/>
      <c r="M617" s="83"/>
      <c r="N617" s="83"/>
      <c r="O617" s="83"/>
      <c r="P617" s="83"/>
      <c r="Q617" s="83"/>
      <c r="R617" s="83"/>
      <c r="S617" s="83"/>
      <c r="T617" s="83"/>
      <c r="U617" s="83"/>
      <c r="V617" s="83"/>
      <c r="W617" s="83"/>
      <c r="X617" s="83"/>
      <c r="Y617" s="83"/>
      <c r="Z617" s="83"/>
      <c r="AA617" s="83"/>
      <c r="AB617" s="83"/>
      <c r="AC617" s="83"/>
      <c r="AD617" s="83"/>
    </row>
    <row r="618">
      <c r="A618" s="83"/>
      <c r="B618" s="83"/>
      <c r="C618" s="83"/>
      <c r="D618" s="83"/>
      <c r="E618" s="118"/>
      <c r="F618" s="118"/>
      <c r="G618" s="83"/>
      <c r="H618" s="83"/>
      <c r="I618" s="83"/>
      <c r="J618" s="83"/>
      <c r="K618" s="83"/>
      <c r="L618" s="83"/>
      <c r="M618" s="83"/>
      <c r="N618" s="83"/>
      <c r="O618" s="83"/>
      <c r="P618" s="83"/>
      <c r="Q618" s="83"/>
      <c r="R618" s="83"/>
      <c r="S618" s="83"/>
      <c r="T618" s="83"/>
      <c r="U618" s="83"/>
      <c r="V618" s="83"/>
      <c r="W618" s="83"/>
      <c r="X618" s="83"/>
      <c r="Y618" s="83"/>
      <c r="Z618" s="83"/>
      <c r="AA618" s="83"/>
      <c r="AB618" s="83"/>
      <c r="AC618" s="83"/>
      <c r="AD618" s="83"/>
    </row>
    <row r="619">
      <c r="A619" s="83"/>
      <c r="B619" s="83"/>
      <c r="C619" s="83"/>
      <c r="D619" s="83"/>
      <c r="E619" s="118"/>
      <c r="F619" s="118"/>
      <c r="G619" s="83"/>
      <c r="H619" s="83"/>
      <c r="I619" s="83"/>
      <c r="J619" s="83"/>
      <c r="K619" s="83"/>
      <c r="L619" s="83"/>
      <c r="M619" s="83"/>
      <c r="N619" s="83"/>
      <c r="O619" s="83"/>
      <c r="P619" s="83"/>
      <c r="Q619" s="83"/>
      <c r="R619" s="83"/>
      <c r="S619" s="83"/>
      <c r="T619" s="83"/>
      <c r="U619" s="83"/>
      <c r="V619" s="83"/>
      <c r="W619" s="83"/>
      <c r="X619" s="83"/>
      <c r="Y619" s="83"/>
      <c r="Z619" s="83"/>
      <c r="AA619" s="83"/>
      <c r="AB619" s="83"/>
      <c r="AC619" s="83"/>
      <c r="AD619" s="83"/>
    </row>
    <row r="620">
      <c r="A620" s="83"/>
      <c r="B620" s="83"/>
      <c r="C620" s="83"/>
      <c r="D620" s="83"/>
      <c r="E620" s="118"/>
      <c r="F620" s="118"/>
      <c r="G620" s="83"/>
      <c r="H620" s="83"/>
      <c r="I620" s="83"/>
      <c r="J620" s="83"/>
      <c r="K620" s="83"/>
      <c r="L620" s="83"/>
      <c r="M620" s="83"/>
      <c r="N620" s="83"/>
      <c r="O620" s="83"/>
      <c r="P620" s="83"/>
      <c r="Q620" s="83"/>
      <c r="R620" s="83"/>
      <c r="S620" s="83"/>
      <c r="T620" s="83"/>
      <c r="U620" s="83"/>
      <c r="V620" s="83"/>
      <c r="W620" s="83"/>
      <c r="X620" s="83"/>
      <c r="Y620" s="83"/>
      <c r="Z620" s="83"/>
      <c r="AA620" s="83"/>
      <c r="AB620" s="83"/>
      <c r="AC620" s="83"/>
      <c r="AD620" s="83"/>
    </row>
    <row r="621">
      <c r="A621" s="83"/>
      <c r="B621" s="83"/>
      <c r="C621" s="83"/>
      <c r="D621" s="83"/>
      <c r="E621" s="118"/>
      <c r="F621" s="118"/>
      <c r="G621" s="83"/>
      <c r="H621" s="83"/>
      <c r="I621" s="83"/>
      <c r="J621" s="83"/>
      <c r="K621" s="83"/>
      <c r="L621" s="83"/>
      <c r="M621" s="83"/>
      <c r="N621" s="83"/>
      <c r="O621" s="83"/>
      <c r="P621" s="83"/>
      <c r="Q621" s="83"/>
      <c r="R621" s="83"/>
      <c r="S621" s="83"/>
      <c r="T621" s="83"/>
      <c r="U621" s="83"/>
      <c r="V621" s="83"/>
      <c r="W621" s="83"/>
      <c r="X621" s="83"/>
      <c r="Y621" s="83"/>
      <c r="Z621" s="83"/>
      <c r="AA621" s="83"/>
      <c r="AB621" s="83"/>
      <c r="AC621" s="83"/>
      <c r="AD621" s="83"/>
    </row>
    <row r="622">
      <c r="A622" s="83"/>
      <c r="B622" s="83"/>
      <c r="C622" s="83"/>
      <c r="D622" s="83"/>
      <c r="E622" s="118"/>
      <c r="F622" s="118"/>
      <c r="G622" s="83"/>
      <c r="H622" s="83"/>
      <c r="I622" s="83"/>
      <c r="J622" s="83"/>
      <c r="K622" s="83"/>
      <c r="L622" s="83"/>
      <c r="M622" s="83"/>
      <c r="N622" s="83"/>
      <c r="O622" s="83"/>
      <c r="P622" s="83"/>
      <c r="Q622" s="83"/>
      <c r="R622" s="83"/>
      <c r="S622" s="83"/>
      <c r="T622" s="83"/>
      <c r="U622" s="83"/>
      <c r="V622" s="83"/>
      <c r="W622" s="83"/>
      <c r="X622" s="83"/>
      <c r="Y622" s="83"/>
      <c r="Z622" s="83"/>
      <c r="AA622" s="83"/>
      <c r="AB622" s="83"/>
      <c r="AC622" s="83"/>
      <c r="AD622" s="83"/>
    </row>
    <row r="623">
      <c r="A623" s="83"/>
      <c r="B623" s="83"/>
      <c r="C623" s="83"/>
      <c r="D623" s="83"/>
      <c r="E623" s="118"/>
      <c r="F623" s="118"/>
      <c r="G623" s="83"/>
      <c r="H623" s="83"/>
      <c r="I623" s="83"/>
      <c r="J623" s="83"/>
      <c r="K623" s="83"/>
      <c r="L623" s="83"/>
      <c r="M623" s="83"/>
      <c r="N623" s="83"/>
      <c r="O623" s="83"/>
      <c r="P623" s="83"/>
      <c r="Q623" s="83"/>
      <c r="R623" s="83"/>
      <c r="S623" s="83"/>
      <c r="T623" s="83"/>
      <c r="U623" s="83"/>
      <c r="V623" s="83"/>
      <c r="W623" s="83"/>
      <c r="X623" s="83"/>
      <c r="Y623" s="83"/>
      <c r="Z623" s="83"/>
      <c r="AA623" s="83"/>
      <c r="AB623" s="83"/>
      <c r="AC623" s="83"/>
      <c r="AD623" s="83"/>
    </row>
    <row r="624">
      <c r="A624" s="83"/>
      <c r="B624" s="83"/>
      <c r="C624" s="83"/>
      <c r="D624" s="83"/>
      <c r="E624" s="118"/>
      <c r="F624" s="118"/>
      <c r="G624" s="83"/>
      <c r="H624" s="83"/>
      <c r="I624" s="83"/>
      <c r="J624" s="83"/>
      <c r="K624" s="83"/>
      <c r="L624" s="83"/>
      <c r="M624" s="83"/>
      <c r="N624" s="83"/>
      <c r="O624" s="83"/>
      <c r="P624" s="83"/>
      <c r="Q624" s="83"/>
      <c r="R624" s="83"/>
      <c r="S624" s="83"/>
      <c r="T624" s="83"/>
      <c r="U624" s="83"/>
      <c r="V624" s="83"/>
      <c r="W624" s="83"/>
      <c r="X624" s="83"/>
      <c r="Y624" s="83"/>
      <c r="Z624" s="83"/>
      <c r="AA624" s="83"/>
      <c r="AB624" s="83"/>
      <c r="AC624" s="83"/>
      <c r="AD624" s="83"/>
    </row>
    <row r="625">
      <c r="A625" s="83"/>
      <c r="B625" s="83"/>
      <c r="C625" s="83"/>
      <c r="D625" s="83"/>
      <c r="E625" s="118"/>
      <c r="F625" s="118"/>
      <c r="G625" s="83"/>
      <c r="H625" s="83"/>
      <c r="I625" s="83"/>
      <c r="J625" s="83"/>
      <c r="K625" s="83"/>
      <c r="L625" s="83"/>
      <c r="M625" s="83"/>
      <c r="N625" s="83"/>
      <c r="O625" s="83"/>
      <c r="P625" s="83"/>
      <c r="Q625" s="83"/>
      <c r="R625" s="83"/>
      <c r="S625" s="83"/>
      <c r="T625" s="83"/>
      <c r="U625" s="83"/>
      <c r="V625" s="83"/>
      <c r="W625" s="83"/>
      <c r="X625" s="83"/>
      <c r="Y625" s="83"/>
      <c r="Z625" s="83"/>
      <c r="AA625" s="83"/>
      <c r="AB625" s="83"/>
      <c r="AC625" s="83"/>
      <c r="AD625" s="83"/>
    </row>
    <row r="626">
      <c r="A626" s="83"/>
      <c r="B626" s="83"/>
      <c r="C626" s="83"/>
      <c r="D626" s="83"/>
      <c r="E626" s="118"/>
      <c r="F626" s="118"/>
      <c r="G626" s="83"/>
      <c r="H626" s="83"/>
      <c r="I626" s="83"/>
      <c r="J626" s="83"/>
      <c r="K626" s="83"/>
      <c r="L626" s="83"/>
      <c r="M626" s="83"/>
      <c r="N626" s="83"/>
      <c r="O626" s="83"/>
      <c r="P626" s="83"/>
      <c r="Q626" s="83"/>
      <c r="R626" s="83"/>
      <c r="S626" s="83"/>
      <c r="T626" s="83"/>
      <c r="U626" s="83"/>
      <c r="V626" s="83"/>
      <c r="W626" s="83"/>
      <c r="X626" s="83"/>
      <c r="Y626" s="83"/>
      <c r="Z626" s="83"/>
      <c r="AA626" s="83"/>
      <c r="AB626" s="83"/>
      <c r="AC626" s="83"/>
      <c r="AD626" s="83"/>
    </row>
    <row r="627">
      <c r="A627" s="83"/>
      <c r="B627" s="83"/>
      <c r="C627" s="83"/>
      <c r="D627" s="83"/>
      <c r="E627" s="118"/>
      <c r="F627" s="118"/>
      <c r="G627" s="83"/>
      <c r="H627" s="83"/>
      <c r="I627" s="83"/>
      <c r="J627" s="83"/>
      <c r="K627" s="83"/>
      <c r="L627" s="83"/>
      <c r="M627" s="83"/>
      <c r="N627" s="83"/>
      <c r="O627" s="83"/>
      <c r="P627" s="83"/>
      <c r="Q627" s="83"/>
      <c r="R627" s="83"/>
      <c r="S627" s="83"/>
      <c r="T627" s="83"/>
      <c r="U627" s="83"/>
      <c r="V627" s="83"/>
      <c r="W627" s="83"/>
      <c r="X627" s="83"/>
      <c r="Y627" s="83"/>
      <c r="Z627" s="83"/>
      <c r="AA627" s="83"/>
      <c r="AB627" s="83"/>
      <c r="AC627" s="83"/>
      <c r="AD627" s="83"/>
    </row>
    <row r="628">
      <c r="A628" s="83"/>
      <c r="B628" s="83"/>
      <c r="C628" s="83"/>
      <c r="D628" s="83"/>
      <c r="E628" s="118"/>
      <c r="F628" s="118"/>
      <c r="G628" s="83"/>
      <c r="H628" s="83"/>
      <c r="I628" s="83"/>
      <c r="J628" s="83"/>
      <c r="K628" s="83"/>
      <c r="L628" s="83"/>
      <c r="M628" s="83"/>
      <c r="N628" s="83"/>
      <c r="O628" s="83"/>
      <c r="P628" s="83"/>
      <c r="Q628" s="83"/>
      <c r="R628" s="83"/>
      <c r="S628" s="83"/>
      <c r="T628" s="83"/>
      <c r="U628" s="83"/>
      <c r="V628" s="83"/>
      <c r="W628" s="83"/>
      <c r="X628" s="83"/>
      <c r="Y628" s="83"/>
      <c r="Z628" s="83"/>
      <c r="AA628" s="83"/>
      <c r="AB628" s="83"/>
      <c r="AC628" s="83"/>
      <c r="AD628" s="83"/>
    </row>
    <row r="629">
      <c r="A629" s="83"/>
      <c r="B629" s="83"/>
      <c r="C629" s="83"/>
      <c r="D629" s="83"/>
      <c r="E629" s="118"/>
      <c r="F629" s="118"/>
      <c r="G629" s="83"/>
      <c r="H629" s="83"/>
      <c r="I629" s="83"/>
      <c r="J629" s="83"/>
      <c r="K629" s="83"/>
      <c r="L629" s="83"/>
      <c r="M629" s="83"/>
      <c r="N629" s="83"/>
      <c r="O629" s="83"/>
      <c r="P629" s="83"/>
      <c r="Q629" s="83"/>
      <c r="R629" s="83"/>
      <c r="S629" s="83"/>
      <c r="T629" s="83"/>
      <c r="U629" s="83"/>
      <c r="V629" s="83"/>
      <c r="W629" s="83"/>
      <c r="X629" s="83"/>
      <c r="Y629" s="83"/>
      <c r="Z629" s="83"/>
      <c r="AA629" s="83"/>
      <c r="AB629" s="83"/>
      <c r="AC629" s="83"/>
      <c r="AD629" s="83"/>
    </row>
    <row r="630">
      <c r="A630" s="83"/>
      <c r="B630" s="83"/>
      <c r="C630" s="83"/>
      <c r="D630" s="83"/>
      <c r="E630" s="118"/>
      <c r="F630" s="118"/>
      <c r="G630" s="83"/>
      <c r="H630" s="83"/>
      <c r="I630" s="83"/>
      <c r="J630" s="83"/>
      <c r="K630" s="83"/>
      <c r="L630" s="83"/>
      <c r="M630" s="83"/>
      <c r="N630" s="83"/>
      <c r="O630" s="83"/>
      <c r="P630" s="83"/>
      <c r="Q630" s="83"/>
      <c r="R630" s="83"/>
      <c r="S630" s="83"/>
      <c r="T630" s="83"/>
      <c r="U630" s="83"/>
      <c r="V630" s="83"/>
      <c r="W630" s="83"/>
      <c r="X630" s="83"/>
      <c r="Y630" s="83"/>
      <c r="Z630" s="83"/>
      <c r="AA630" s="83"/>
      <c r="AB630" s="83"/>
      <c r="AC630" s="83"/>
      <c r="AD630" s="83"/>
    </row>
    <row r="631">
      <c r="A631" s="83"/>
      <c r="B631" s="83"/>
      <c r="C631" s="83"/>
      <c r="D631" s="83"/>
      <c r="E631" s="118"/>
      <c r="F631" s="118"/>
      <c r="G631" s="83"/>
      <c r="H631" s="83"/>
      <c r="I631" s="83"/>
      <c r="J631" s="83"/>
      <c r="K631" s="83"/>
      <c r="L631" s="83"/>
      <c r="M631" s="83"/>
      <c r="N631" s="83"/>
      <c r="O631" s="83"/>
      <c r="P631" s="83"/>
      <c r="Q631" s="83"/>
      <c r="R631" s="83"/>
      <c r="S631" s="83"/>
      <c r="T631" s="83"/>
      <c r="U631" s="83"/>
      <c r="V631" s="83"/>
      <c r="W631" s="83"/>
      <c r="X631" s="83"/>
      <c r="Y631" s="83"/>
      <c r="Z631" s="83"/>
      <c r="AA631" s="83"/>
      <c r="AB631" s="83"/>
      <c r="AC631" s="83"/>
      <c r="AD631" s="83"/>
    </row>
    <row r="632">
      <c r="A632" s="83"/>
      <c r="B632" s="83"/>
      <c r="C632" s="83"/>
      <c r="D632" s="83"/>
      <c r="E632" s="118"/>
      <c r="F632" s="118"/>
      <c r="G632" s="83"/>
      <c r="H632" s="83"/>
      <c r="I632" s="83"/>
      <c r="J632" s="83"/>
      <c r="K632" s="83"/>
      <c r="L632" s="83"/>
      <c r="M632" s="83"/>
      <c r="N632" s="83"/>
      <c r="O632" s="83"/>
      <c r="P632" s="83"/>
      <c r="Q632" s="83"/>
      <c r="R632" s="83"/>
      <c r="S632" s="83"/>
      <c r="T632" s="83"/>
      <c r="U632" s="83"/>
      <c r="V632" s="83"/>
      <c r="W632" s="83"/>
      <c r="X632" s="83"/>
      <c r="Y632" s="83"/>
      <c r="Z632" s="83"/>
      <c r="AA632" s="83"/>
      <c r="AB632" s="83"/>
      <c r="AC632" s="83"/>
      <c r="AD632" s="83"/>
    </row>
    <row r="633">
      <c r="A633" s="83"/>
      <c r="B633" s="83"/>
      <c r="C633" s="83"/>
      <c r="D633" s="83"/>
      <c r="E633" s="118"/>
      <c r="F633" s="118"/>
      <c r="G633" s="83"/>
      <c r="H633" s="83"/>
      <c r="I633" s="83"/>
      <c r="J633" s="83"/>
      <c r="K633" s="83"/>
      <c r="L633" s="83"/>
      <c r="M633" s="83"/>
      <c r="N633" s="83"/>
      <c r="O633" s="83"/>
      <c r="P633" s="83"/>
      <c r="Q633" s="83"/>
      <c r="R633" s="83"/>
      <c r="S633" s="83"/>
      <c r="T633" s="83"/>
      <c r="U633" s="83"/>
      <c r="V633" s="83"/>
      <c r="W633" s="83"/>
      <c r="X633" s="83"/>
      <c r="Y633" s="83"/>
      <c r="Z633" s="83"/>
      <c r="AA633" s="83"/>
      <c r="AB633" s="83"/>
      <c r="AC633" s="83"/>
      <c r="AD633" s="83"/>
    </row>
    <row r="634">
      <c r="A634" s="83"/>
      <c r="B634" s="83"/>
      <c r="C634" s="83"/>
      <c r="D634" s="83"/>
      <c r="E634" s="118"/>
      <c r="F634" s="118"/>
      <c r="G634" s="83"/>
      <c r="H634" s="83"/>
      <c r="I634" s="83"/>
      <c r="J634" s="83"/>
      <c r="K634" s="83"/>
      <c r="L634" s="83"/>
      <c r="M634" s="83"/>
      <c r="N634" s="83"/>
      <c r="O634" s="83"/>
      <c r="P634" s="83"/>
      <c r="Q634" s="83"/>
      <c r="R634" s="83"/>
      <c r="S634" s="83"/>
      <c r="T634" s="83"/>
      <c r="U634" s="83"/>
      <c r="V634" s="83"/>
      <c r="W634" s="83"/>
      <c r="X634" s="83"/>
      <c r="Y634" s="83"/>
      <c r="Z634" s="83"/>
      <c r="AA634" s="83"/>
      <c r="AB634" s="83"/>
      <c r="AC634" s="83"/>
      <c r="AD634" s="83"/>
    </row>
    <row r="635">
      <c r="A635" s="83"/>
      <c r="B635" s="83"/>
      <c r="C635" s="83"/>
      <c r="D635" s="83"/>
      <c r="E635" s="118"/>
      <c r="F635" s="118"/>
      <c r="G635" s="83"/>
      <c r="H635" s="83"/>
      <c r="I635" s="83"/>
      <c r="J635" s="83"/>
      <c r="K635" s="83"/>
      <c r="L635" s="83"/>
      <c r="M635" s="83"/>
      <c r="N635" s="83"/>
      <c r="O635" s="83"/>
      <c r="P635" s="83"/>
      <c r="Q635" s="83"/>
      <c r="R635" s="83"/>
      <c r="S635" s="83"/>
      <c r="T635" s="83"/>
      <c r="U635" s="83"/>
      <c r="V635" s="83"/>
      <c r="W635" s="83"/>
      <c r="X635" s="83"/>
      <c r="Y635" s="83"/>
      <c r="Z635" s="83"/>
      <c r="AA635" s="83"/>
      <c r="AB635" s="83"/>
      <c r="AC635" s="83"/>
      <c r="AD635" s="83"/>
    </row>
    <row r="636">
      <c r="A636" s="83"/>
      <c r="B636" s="83"/>
      <c r="C636" s="83"/>
      <c r="D636" s="83"/>
      <c r="E636" s="118"/>
      <c r="F636" s="118"/>
      <c r="G636" s="83"/>
      <c r="H636" s="83"/>
      <c r="I636" s="83"/>
      <c r="J636" s="83"/>
      <c r="K636" s="83"/>
      <c r="L636" s="83"/>
      <c r="M636" s="83"/>
      <c r="N636" s="83"/>
      <c r="O636" s="83"/>
      <c r="P636" s="83"/>
      <c r="Q636" s="83"/>
      <c r="R636" s="83"/>
      <c r="S636" s="83"/>
      <c r="T636" s="83"/>
      <c r="U636" s="83"/>
      <c r="V636" s="83"/>
      <c r="W636" s="83"/>
      <c r="X636" s="83"/>
      <c r="Y636" s="83"/>
      <c r="Z636" s="83"/>
      <c r="AA636" s="83"/>
      <c r="AB636" s="83"/>
      <c r="AC636" s="83"/>
      <c r="AD636" s="83"/>
    </row>
    <row r="637">
      <c r="A637" s="83"/>
      <c r="B637" s="83"/>
      <c r="C637" s="83"/>
      <c r="D637" s="83"/>
      <c r="E637" s="118"/>
      <c r="F637" s="118"/>
      <c r="G637" s="83"/>
      <c r="H637" s="83"/>
      <c r="I637" s="83"/>
      <c r="J637" s="83"/>
      <c r="K637" s="83"/>
      <c r="L637" s="83"/>
      <c r="M637" s="83"/>
      <c r="N637" s="83"/>
      <c r="O637" s="83"/>
      <c r="P637" s="83"/>
      <c r="Q637" s="83"/>
      <c r="R637" s="83"/>
      <c r="S637" s="83"/>
      <c r="T637" s="83"/>
      <c r="U637" s="83"/>
      <c r="V637" s="83"/>
      <c r="W637" s="83"/>
      <c r="X637" s="83"/>
      <c r="Y637" s="83"/>
      <c r="Z637" s="83"/>
      <c r="AA637" s="83"/>
      <c r="AB637" s="83"/>
      <c r="AC637" s="83"/>
      <c r="AD637" s="83"/>
    </row>
    <row r="638">
      <c r="A638" s="83"/>
      <c r="B638" s="83"/>
      <c r="C638" s="83"/>
      <c r="D638" s="83"/>
      <c r="E638" s="118"/>
      <c r="F638" s="118"/>
      <c r="G638" s="83"/>
      <c r="H638" s="83"/>
      <c r="I638" s="83"/>
      <c r="J638" s="83"/>
      <c r="K638" s="83"/>
      <c r="L638" s="83"/>
      <c r="M638" s="83"/>
      <c r="N638" s="83"/>
      <c r="O638" s="83"/>
      <c r="P638" s="83"/>
      <c r="Q638" s="83"/>
      <c r="R638" s="83"/>
      <c r="S638" s="83"/>
      <c r="T638" s="83"/>
      <c r="U638" s="83"/>
      <c r="V638" s="83"/>
      <c r="W638" s="83"/>
      <c r="X638" s="83"/>
      <c r="Y638" s="83"/>
      <c r="Z638" s="83"/>
      <c r="AA638" s="83"/>
      <c r="AB638" s="83"/>
      <c r="AC638" s="83"/>
      <c r="AD638" s="83"/>
    </row>
    <row r="639">
      <c r="A639" s="83"/>
      <c r="B639" s="83"/>
      <c r="C639" s="83"/>
      <c r="D639" s="83"/>
      <c r="E639" s="118"/>
      <c r="F639" s="118"/>
      <c r="G639" s="83"/>
      <c r="H639" s="83"/>
      <c r="I639" s="83"/>
      <c r="J639" s="83"/>
      <c r="K639" s="83"/>
      <c r="L639" s="83"/>
      <c r="M639" s="83"/>
      <c r="N639" s="83"/>
      <c r="O639" s="83"/>
      <c r="P639" s="83"/>
      <c r="Q639" s="83"/>
      <c r="R639" s="83"/>
      <c r="S639" s="83"/>
      <c r="T639" s="83"/>
      <c r="U639" s="83"/>
      <c r="V639" s="83"/>
      <c r="W639" s="83"/>
      <c r="X639" s="83"/>
      <c r="Y639" s="83"/>
      <c r="Z639" s="83"/>
      <c r="AA639" s="83"/>
      <c r="AB639" s="83"/>
      <c r="AC639" s="83"/>
      <c r="AD639" s="83"/>
    </row>
    <row r="640">
      <c r="A640" s="83"/>
      <c r="B640" s="83"/>
      <c r="C640" s="83"/>
      <c r="D640" s="83"/>
      <c r="E640" s="118"/>
      <c r="F640" s="118"/>
      <c r="G640" s="83"/>
      <c r="H640" s="83"/>
      <c r="I640" s="83"/>
      <c r="J640" s="83"/>
      <c r="K640" s="83"/>
      <c r="L640" s="83"/>
      <c r="M640" s="83"/>
      <c r="N640" s="83"/>
      <c r="O640" s="83"/>
      <c r="P640" s="83"/>
      <c r="Q640" s="83"/>
      <c r="R640" s="83"/>
      <c r="S640" s="83"/>
      <c r="T640" s="83"/>
      <c r="U640" s="83"/>
      <c r="V640" s="83"/>
      <c r="W640" s="83"/>
      <c r="X640" s="83"/>
      <c r="Y640" s="83"/>
      <c r="Z640" s="83"/>
      <c r="AA640" s="83"/>
      <c r="AB640" s="83"/>
      <c r="AC640" s="83"/>
      <c r="AD640" s="83"/>
    </row>
    <row r="641">
      <c r="A641" s="83"/>
      <c r="B641" s="83"/>
      <c r="C641" s="83"/>
      <c r="D641" s="83"/>
      <c r="E641" s="118"/>
      <c r="F641" s="118"/>
      <c r="G641" s="83"/>
      <c r="H641" s="83"/>
      <c r="I641" s="83"/>
      <c r="J641" s="83"/>
      <c r="K641" s="83"/>
      <c r="L641" s="83"/>
      <c r="M641" s="83"/>
      <c r="N641" s="83"/>
      <c r="O641" s="83"/>
      <c r="P641" s="83"/>
      <c r="Q641" s="83"/>
      <c r="R641" s="83"/>
      <c r="S641" s="83"/>
      <c r="T641" s="83"/>
      <c r="U641" s="83"/>
      <c r="V641" s="83"/>
      <c r="W641" s="83"/>
      <c r="X641" s="83"/>
      <c r="Y641" s="83"/>
      <c r="Z641" s="83"/>
      <c r="AA641" s="83"/>
      <c r="AB641" s="83"/>
      <c r="AC641" s="83"/>
      <c r="AD641" s="83"/>
    </row>
    <row r="642">
      <c r="A642" s="83"/>
      <c r="B642" s="83"/>
      <c r="C642" s="83"/>
      <c r="D642" s="83"/>
      <c r="E642" s="118"/>
      <c r="F642" s="118"/>
      <c r="G642" s="83"/>
      <c r="H642" s="83"/>
      <c r="I642" s="83"/>
      <c r="J642" s="83"/>
      <c r="K642" s="83"/>
      <c r="L642" s="83"/>
      <c r="M642" s="83"/>
      <c r="N642" s="83"/>
      <c r="O642" s="83"/>
      <c r="P642" s="83"/>
      <c r="Q642" s="83"/>
      <c r="R642" s="83"/>
      <c r="S642" s="83"/>
      <c r="T642" s="83"/>
      <c r="U642" s="83"/>
      <c r="V642" s="83"/>
      <c r="W642" s="83"/>
      <c r="X642" s="83"/>
      <c r="Y642" s="83"/>
      <c r="Z642" s="83"/>
      <c r="AA642" s="83"/>
      <c r="AB642" s="83"/>
      <c r="AC642" s="83"/>
      <c r="AD642" s="83"/>
    </row>
    <row r="643">
      <c r="A643" s="83"/>
      <c r="B643" s="83"/>
      <c r="C643" s="83"/>
      <c r="D643" s="83"/>
      <c r="E643" s="118"/>
      <c r="F643" s="118"/>
      <c r="G643" s="83"/>
      <c r="H643" s="83"/>
      <c r="I643" s="83"/>
      <c r="J643" s="83"/>
      <c r="K643" s="83"/>
      <c r="L643" s="83"/>
      <c r="M643" s="83"/>
      <c r="N643" s="83"/>
      <c r="O643" s="83"/>
      <c r="P643" s="83"/>
      <c r="Q643" s="83"/>
      <c r="R643" s="83"/>
      <c r="S643" s="83"/>
      <c r="T643" s="83"/>
      <c r="U643" s="83"/>
      <c r="V643" s="83"/>
      <c r="W643" s="83"/>
      <c r="X643" s="83"/>
      <c r="Y643" s="83"/>
      <c r="Z643" s="83"/>
      <c r="AA643" s="83"/>
      <c r="AB643" s="83"/>
      <c r="AC643" s="83"/>
      <c r="AD643" s="83"/>
    </row>
    <row r="644">
      <c r="A644" s="83"/>
      <c r="B644" s="83"/>
      <c r="C644" s="83"/>
      <c r="D644" s="83"/>
      <c r="E644" s="118"/>
      <c r="F644" s="118"/>
      <c r="G644" s="83"/>
      <c r="H644" s="83"/>
      <c r="I644" s="83"/>
      <c r="J644" s="83"/>
      <c r="K644" s="83"/>
      <c r="L644" s="83"/>
      <c r="M644" s="83"/>
      <c r="N644" s="83"/>
      <c r="O644" s="83"/>
      <c r="P644" s="83"/>
      <c r="Q644" s="83"/>
      <c r="R644" s="83"/>
      <c r="S644" s="83"/>
      <c r="T644" s="83"/>
      <c r="U644" s="83"/>
      <c r="V644" s="83"/>
      <c r="W644" s="83"/>
      <c r="X644" s="83"/>
      <c r="Y644" s="83"/>
      <c r="Z644" s="83"/>
      <c r="AA644" s="83"/>
      <c r="AB644" s="83"/>
      <c r="AC644" s="83"/>
      <c r="AD644" s="83"/>
    </row>
    <row r="645">
      <c r="A645" s="83"/>
      <c r="B645" s="83"/>
      <c r="C645" s="83"/>
      <c r="D645" s="83"/>
      <c r="E645" s="118"/>
      <c r="F645" s="118"/>
      <c r="G645" s="83"/>
      <c r="H645" s="83"/>
      <c r="I645" s="83"/>
      <c r="J645" s="83"/>
      <c r="K645" s="83"/>
      <c r="L645" s="83"/>
      <c r="M645" s="83"/>
      <c r="N645" s="83"/>
      <c r="O645" s="83"/>
      <c r="P645" s="83"/>
      <c r="Q645" s="83"/>
      <c r="R645" s="83"/>
      <c r="S645" s="83"/>
      <c r="T645" s="83"/>
      <c r="U645" s="83"/>
      <c r="V645" s="83"/>
      <c r="W645" s="83"/>
      <c r="X645" s="83"/>
      <c r="Y645" s="83"/>
      <c r="Z645" s="83"/>
      <c r="AA645" s="83"/>
      <c r="AB645" s="83"/>
      <c r="AC645" s="83"/>
      <c r="AD645" s="83"/>
    </row>
    <row r="646">
      <c r="A646" s="83"/>
      <c r="B646" s="83"/>
      <c r="C646" s="83"/>
      <c r="D646" s="83"/>
      <c r="E646" s="118"/>
      <c r="F646" s="118"/>
      <c r="G646" s="83"/>
      <c r="H646" s="83"/>
      <c r="I646" s="83"/>
      <c r="J646" s="83"/>
      <c r="K646" s="83"/>
      <c r="L646" s="83"/>
      <c r="M646" s="83"/>
      <c r="N646" s="83"/>
      <c r="O646" s="83"/>
      <c r="P646" s="83"/>
      <c r="Q646" s="83"/>
      <c r="R646" s="83"/>
      <c r="S646" s="83"/>
      <c r="T646" s="83"/>
      <c r="U646" s="83"/>
      <c r="V646" s="83"/>
      <c r="W646" s="83"/>
      <c r="X646" s="83"/>
      <c r="Y646" s="83"/>
      <c r="Z646" s="83"/>
      <c r="AA646" s="83"/>
      <c r="AB646" s="83"/>
      <c r="AC646" s="83"/>
      <c r="AD646" s="83"/>
    </row>
    <row r="647">
      <c r="A647" s="83"/>
      <c r="B647" s="83"/>
      <c r="C647" s="83"/>
      <c r="D647" s="83"/>
      <c r="E647" s="118"/>
      <c r="F647" s="118"/>
      <c r="G647" s="83"/>
      <c r="H647" s="83"/>
      <c r="I647" s="83"/>
      <c r="J647" s="83"/>
      <c r="K647" s="83"/>
      <c r="L647" s="83"/>
      <c r="M647" s="83"/>
      <c r="N647" s="83"/>
      <c r="O647" s="83"/>
      <c r="P647" s="83"/>
      <c r="Q647" s="83"/>
      <c r="R647" s="83"/>
      <c r="S647" s="83"/>
      <c r="T647" s="83"/>
      <c r="U647" s="83"/>
      <c r="V647" s="83"/>
      <c r="W647" s="83"/>
      <c r="X647" s="83"/>
      <c r="Y647" s="83"/>
      <c r="Z647" s="83"/>
      <c r="AA647" s="83"/>
      <c r="AB647" s="83"/>
      <c r="AC647" s="83"/>
      <c r="AD647" s="83"/>
    </row>
    <row r="648">
      <c r="A648" s="83"/>
      <c r="B648" s="83"/>
      <c r="C648" s="83"/>
      <c r="D648" s="83"/>
      <c r="E648" s="118"/>
      <c r="F648" s="118"/>
      <c r="G648" s="83"/>
      <c r="H648" s="83"/>
      <c r="I648" s="83"/>
      <c r="J648" s="83"/>
      <c r="K648" s="83"/>
      <c r="L648" s="83"/>
      <c r="M648" s="83"/>
      <c r="N648" s="83"/>
      <c r="O648" s="83"/>
      <c r="P648" s="83"/>
      <c r="Q648" s="83"/>
      <c r="R648" s="83"/>
      <c r="S648" s="83"/>
      <c r="T648" s="83"/>
      <c r="U648" s="83"/>
      <c r="V648" s="83"/>
      <c r="W648" s="83"/>
      <c r="X648" s="83"/>
      <c r="Y648" s="83"/>
      <c r="Z648" s="83"/>
      <c r="AA648" s="83"/>
      <c r="AB648" s="83"/>
      <c r="AC648" s="83"/>
      <c r="AD648" s="83"/>
    </row>
    <row r="649">
      <c r="A649" s="83"/>
      <c r="B649" s="83"/>
      <c r="C649" s="83"/>
      <c r="D649" s="83"/>
      <c r="E649" s="118"/>
      <c r="F649" s="118"/>
      <c r="G649" s="83"/>
      <c r="H649" s="83"/>
      <c r="I649" s="83"/>
      <c r="J649" s="83"/>
      <c r="K649" s="83"/>
      <c r="L649" s="83"/>
      <c r="M649" s="83"/>
      <c r="N649" s="83"/>
      <c r="O649" s="83"/>
      <c r="P649" s="83"/>
      <c r="Q649" s="83"/>
      <c r="R649" s="83"/>
      <c r="S649" s="83"/>
      <c r="T649" s="83"/>
      <c r="U649" s="83"/>
      <c r="V649" s="83"/>
      <c r="W649" s="83"/>
      <c r="X649" s="83"/>
      <c r="Y649" s="83"/>
      <c r="Z649" s="83"/>
      <c r="AA649" s="83"/>
      <c r="AB649" s="83"/>
      <c r="AC649" s="83"/>
      <c r="AD649" s="83"/>
    </row>
    <row r="650">
      <c r="A650" s="83"/>
      <c r="B650" s="83"/>
      <c r="C650" s="83"/>
      <c r="D650" s="83"/>
      <c r="E650" s="118"/>
      <c r="F650" s="118"/>
      <c r="G650" s="83"/>
      <c r="H650" s="83"/>
      <c r="I650" s="83"/>
      <c r="J650" s="83"/>
      <c r="K650" s="83"/>
      <c r="L650" s="83"/>
      <c r="M650" s="83"/>
      <c r="N650" s="83"/>
      <c r="O650" s="83"/>
      <c r="P650" s="83"/>
      <c r="Q650" s="83"/>
      <c r="R650" s="83"/>
      <c r="S650" s="83"/>
      <c r="T650" s="83"/>
      <c r="U650" s="83"/>
      <c r="V650" s="83"/>
      <c r="W650" s="83"/>
      <c r="X650" s="83"/>
      <c r="Y650" s="83"/>
      <c r="Z650" s="83"/>
      <c r="AA650" s="83"/>
      <c r="AB650" s="83"/>
      <c r="AC650" s="83"/>
      <c r="AD650" s="83"/>
    </row>
    <row r="651">
      <c r="A651" s="83"/>
      <c r="B651" s="83"/>
      <c r="C651" s="83"/>
      <c r="D651" s="83"/>
      <c r="E651" s="118"/>
      <c r="F651" s="118"/>
      <c r="G651" s="83"/>
      <c r="H651" s="83"/>
      <c r="I651" s="83"/>
      <c r="J651" s="83"/>
      <c r="K651" s="83"/>
      <c r="L651" s="83"/>
      <c r="M651" s="83"/>
      <c r="N651" s="83"/>
      <c r="O651" s="83"/>
      <c r="P651" s="83"/>
      <c r="Q651" s="83"/>
      <c r="R651" s="83"/>
      <c r="S651" s="83"/>
      <c r="T651" s="83"/>
      <c r="U651" s="83"/>
      <c r="V651" s="83"/>
      <c r="W651" s="83"/>
      <c r="X651" s="83"/>
      <c r="Y651" s="83"/>
      <c r="Z651" s="83"/>
      <c r="AA651" s="83"/>
      <c r="AB651" s="83"/>
      <c r="AC651" s="83"/>
      <c r="AD651" s="83"/>
    </row>
    <row r="652">
      <c r="A652" s="83"/>
      <c r="B652" s="83"/>
      <c r="C652" s="83"/>
      <c r="D652" s="83"/>
      <c r="E652" s="118"/>
      <c r="F652" s="118"/>
      <c r="G652" s="83"/>
      <c r="H652" s="83"/>
      <c r="I652" s="83"/>
      <c r="J652" s="83"/>
      <c r="K652" s="83"/>
      <c r="L652" s="83"/>
      <c r="M652" s="83"/>
      <c r="N652" s="83"/>
      <c r="O652" s="83"/>
      <c r="P652" s="83"/>
      <c r="Q652" s="83"/>
      <c r="R652" s="83"/>
      <c r="S652" s="83"/>
      <c r="T652" s="83"/>
      <c r="U652" s="83"/>
      <c r="V652" s="83"/>
      <c r="W652" s="83"/>
      <c r="X652" s="83"/>
      <c r="Y652" s="83"/>
      <c r="Z652" s="83"/>
      <c r="AA652" s="83"/>
      <c r="AB652" s="83"/>
      <c r="AC652" s="83"/>
      <c r="AD652" s="83"/>
    </row>
    <row r="653">
      <c r="A653" s="83"/>
      <c r="B653" s="83"/>
      <c r="C653" s="83"/>
      <c r="D653" s="83"/>
      <c r="E653" s="118"/>
      <c r="F653" s="118"/>
      <c r="G653" s="83"/>
      <c r="H653" s="83"/>
      <c r="I653" s="83"/>
      <c r="J653" s="83"/>
      <c r="K653" s="83"/>
      <c r="L653" s="83"/>
      <c r="M653" s="83"/>
      <c r="N653" s="83"/>
      <c r="O653" s="83"/>
      <c r="P653" s="83"/>
      <c r="Q653" s="83"/>
      <c r="R653" s="83"/>
      <c r="S653" s="83"/>
      <c r="T653" s="83"/>
      <c r="U653" s="83"/>
      <c r="V653" s="83"/>
      <c r="W653" s="83"/>
      <c r="X653" s="83"/>
      <c r="Y653" s="83"/>
      <c r="Z653" s="83"/>
      <c r="AA653" s="83"/>
      <c r="AB653" s="83"/>
      <c r="AC653" s="83"/>
      <c r="AD653" s="83"/>
    </row>
    <row r="654">
      <c r="A654" s="83"/>
      <c r="B654" s="83"/>
      <c r="C654" s="83"/>
      <c r="D654" s="83"/>
      <c r="E654" s="118"/>
      <c r="F654" s="118"/>
      <c r="G654" s="83"/>
      <c r="H654" s="83"/>
      <c r="I654" s="83"/>
      <c r="J654" s="83"/>
      <c r="K654" s="83"/>
      <c r="L654" s="83"/>
      <c r="M654" s="83"/>
      <c r="N654" s="83"/>
      <c r="O654" s="83"/>
      <c r="P654" s="83"/>
      <c r="Q654" s="83"/>
      <c r="R654" s="83"/>
      <c r="S654" s="83"/>
      <c r="T654" s="83"/>
      <c r="U654" s="83"/>
      <c r="V654" s="83"/>
      <c r="W654" s="83"/>
      <c r="X654" s="83"/>
      <c r="Y654" s="83"/>
      <c r="Z654" s="83"/>
      <c r="AA654" s="83"/>
      <c r="AB654" s="83"/>
      <c r="AC654" s="83"/>
      <c r="AD654" s="83"/>
    </row>
    <row r="655">
      <c r="A655" s="83"/>
      <c r="B655" s="83"/>
      <c r="C655" s="83"/>
      <c r="D655" s="83"/>
      <c r="E655" s="118"/>
      <c r="F655" s="118"/>
      <c r="G655" s="83"/>
      <c r="H655" s="83"/>
      <c r="I655" s="83"/>
      <c r="J655" s="83"/>
      <c r="K655" s="83"/>
      <c r="L655" s="83"/>
      <c r="M655" s="83"/>
      <c r="N655" s="83"/>
      <c r="O655" s="83"/>
      <c r="P655" s="83"/>
      <c r="Q655" s="83"/>
      <c r="R655" s="83"/>
      <c r="S655" s="83"/>
      <c r="T655" s="83"/>
      <c r="U655" s="83"/>
      <c r="V655" s="83"/>
      <c r="W655" s="83"/>
      <c r="X655" s="83"/>
      <c r="Y655" s="83"/>
      <c r="Z655" s="83"/>
      <c r="AA655" s="83"/>
      <c r="AB655" s="83"/>
      <c r="AC655" s="83"/>
      <c r="AD655" s="83"/>
    </row>
    <row r="656">
      <c r="A656" s="83"/>
      <c r="B656" s="83"/>
      <c r="C656" s="83"/>
      <c r="D656" s="83"/>
      <c r="E656" s="118"/>
      <c r="F656" s="118"/>
      <c r="G656" s="83"/>
      <c r="H656" s="83"/>
      <c r="I656" s="83"/>
      <c r="J656" s="83"/>
      <c r="K656" s="83"/>
      <c r="L656" s="83"/>
      <c r="M656" s="83"/>
      <c r="N656" s="83"/>
      <c r="O656" s="83"/>
      <c r="P656" s="83"/>
      <c r="Q656" s="83"/>
      <c r="R656" s="83"/>
      <c r="S656" s="83"/>
      <c r="T656" s="83"/>
      <c r="U656" s="83"/>
      <c r="V656" s="83"/>
      <c r="W656" s="83"/>
      <c r="X656" s="83"/>
      <c r="Y656" s="83"/>
      <c r="Z656" s="83"/>
      <c r="AA656" s="83"/>
      <c r="AB656" s="83"/>
      <c r="AC656" s="83"/>
      <c r="AD656" s="83"/>
    </row>
    <row r="657">
      <c r="A657" s="83"/>
      <c r="B657" s="83"/>
      <c r="C657" s="83"/>
      <c r="D657" s="83"/>
      <c r="E657" s="118"/>
      <c r="F657" s="118"/>
      <c r="G657" s="83"/>
      <c r="H657" s="83"/>
      <c r="I657" s="83"/>
      <c r="J657" s="83"/>
      <c r="K657" s="83"/>
      <c r="L657" s="83"/>
      <c r="M657" s="83"/>
      <c r="N657" s="83"/>
      <c r="O657" s="83"/>
      <c r="P657" s="83"/>
      <c r="Q657" s="83"/>
      <c r="R657" s="83"/>
      <c r="S657" s="83"/>
      <c r="T657" s="83"/>
      <c r="U657" s="83"/>
      <c r="V657" s="83"/>
      <c r="W657" s="83"/>
      <c r="X657" s="83"/>
      <c r="Y657" s="83"/>
      <c r="Z657" s="83"/>
      <c r="AA657" s="83"/>
      <c r="AB657" s="83"/>
      <c r="AC657" s="83"/>
      <c r="AD657" s="83"/>
    </row>
    <row r="658">
      <c r="A658" s="83"/>
      <c r="B658" s="83"/>
      <c r="C658" s="83"/>
      <c r="D658" s="83"/>
      <c r="E658" s="118"/>
      <c r="F658" s="118"/>
      <c r="G658" s="83"/>
      <c r="H658" s="83"/>
      <c r="I658" s="83"/>
      <c r="J658" s="83"/>
      <c r="K658" s="83"/>
      <c r="L658" s="83"/>
      <c r="M658" s="83"/>
      <c r="N658" s="83"/>
      <c r="O658" s="83"/>
      <c r="P658" s="83"/>
      <c r="Q658" s="83"/>
      <c r="R658" s="83"/>
      <c r="S658" s="83"/>
      <c r="T658" s="83"/>
      <c r="U658" s="83"/>
      <c r="V658" s="83"/>
      <c r="W658" s="83"/>
      <c r="X658" s="83"/>
      <c r="Y658" s="83"/>
      <c r="Z658" s="83"/>
      <c r="AA658" s="83"/>
      <c r="AB658" s="83"/>
      <c r="AC658" s="83"/>
      <c r="AD658" s="83"/>
    </row>
    <row r="659">
      <c r="A659" s="83"/>
      <c r="B659" s="83"/>
      <c r="C659" s="83"/>
      <c r="D659" s="83"/>
      <c r="E659" s="118"/>
      <c r="F659" s="118"/>
      <c r="G659" s="83"/>
      <c r="H659" s="83"/>
      <c r="I659" s="83"/>
      <c r="J659" s="83"/>
      <c r="K659" s="83"/>
      <c r="L659" s="83"/>
      <c r="M659" s="83"/>
      <c r="N659" s="83"/>
      <c r="O659" s="83"/>
      <c r="P659" s="83"/>
      <c r="Q659" s="83"/>
      <c r="R659" s="83"/>
      <c r="S659" s="83"/>
      <c r="T659" s="83"/>
      <c r="U659" s="83"/>
      <c r="V659" s="83"/>
      <c r="W659" s="83"/>
      <c r="X659" s="83"/>
      <c r="Y659" s="83"/>
      <c r="Z659" s="83"/>
      <c r="AA659" s="83"/>
      <c r="AB659" s="83"/>
      <c r="AC659" s="83"/>
      <c r="AD659" s="83"/>
    </row>
    <row r="660">
      <c r="A660" s="83"/>
      <c r="B660" s="83"/>
      <c r="C660" s="83"/>
      <c r="D660" s="83"/>
      <c r="E660" s="118"/>
      <c r="F660" s="118"/>
      <c r="G660" s="83"/>
      <c r="H660" s="83"/>
      <c r="I660" s="83"/>
      <c r="J660" s="83"/>
      <c r="K660" s="83"/>
      <c r="L660" s="83"/>
      <c r="M660" s="83"/>
      <c r="N660" s="83"/>
      <c r="O660" s="83"/>
      <c r="P660" s="83"/>
      <c r="Q660" s="83"/>
      <c r="R660" s="83"/>
      <c r="S660" s="83"/>
      <c r="T660" s="83"/>
      <c r="U660" s="83"/>
      <c r="V660" s="83"/>
      <c r="W660" s="83"/>
      <c r="X660" s="83"/>
      <c r="Y660" s="83"/>
      <c r="Z660" s="83"/>
      <c r="AA660" s="83"/>
      <c r="AB660" s="83"/>
      <c r="AC660" s="83"/>
      <c r="AD660" s="83"/>
    </row>
    <row r="661">
      <c r="A661" s="83"/>
      <c r="B661" s="83"/>
      <c r="C661" s="83"/>
      <c r="D661" s="83"/>
      <c r="E661" s="118"/>
      <c r="F661" s="118"/>
      <c r="G661" s="83"/>
      <c r="H661" s="83"/>
      <c r="I661" s="83"/>
      <c r="J661" s="83"/>
      <c r="K661" s="83"/>
      <c r="L661" s="83"/>
      <c r="M661" s="83"/>
      <c r="N661" s="83"/>
      <c r="O661" s="83"/>
      <c r="P661" s="83"/>
      <c r="Q661" s="83"/>
      <c r="R661" s="83"/>
      <c r="S661" s="83"/>
      <c r="T661" s="83"/>
      <c r="U661" s="83"/>
      <c r="V661" s="83"/>
      <c r="W661" s="83"/>
      <c r="X661" s="83"/>
      <c r="Y661" s="83"/>
      <c r="Z661" s="83"/>
      <c r="AA661" s="83"/>
      <c r="AB661" s="83"/>
      <c r="AC661" s="83"/>
      <c r="AD661" s="83"/>
    </row>
    <row r="662">
      <c r="A662" s="83"/>
      <c r="B662" s="83"/>
      <c r="C662" s="83"/>
      <c r="D662" s="83"/>
      <c r="E662" s="118"/>
      <c r="F662" s="118"/>
      <c r="G662" s="83"/>
      <c r="H662" s="83"/>
      <c r="I662" s="83"/>
      <c r="J662" s="83"/>
      <c r="K662" s="83"/>
      <c r="L662" s="83"/>
      <c r="M662" s="83"/>
      <c r="N662" s="83"/>
      <c r="O662" s="83"/>
      <c r="P662" s="83"/>
      <c r="Q662" s="83"/>
      <c r="R662" s="83"/>
      <c r="S662" s="83"/>
      <c r="T662" s="83"/>
      <c r="U662" s="83"/>
      <c r="V662" s="83"/>
      <c r="W662" s="83"/>
      <c r="X662" s="83"/>
      <c r="Y662" s="83"/>
      <c r="Z662" s="83"/>
      <c r="AA662" s="83"/>
      <c r="AB662" s="83"/>
      <c r="AC662" s="83"/>
      <c r="AD662" s="83"/>
    </row>
    <row r="663">
      <c r="A663" s="83"/>
      <c r="B663" s="83"/>
      <c r="C663" s="83"/>
      <c r="D663" s="83"/>
      <c r="E663" s="118"/>
      <c r="F663" s="118"/>
      <c r="G663" s="83"/>
      <c r="H663" s="83"/>
      <c r="I663" s="83"/>
      <c r="J663" s="83"/>
      <c r="K663" s="83"/>
      <c r="L663" s="83"/>
      <c r="M663" s="83"/>
      <c r="N663" s="83"/>
      <c r="O663" s="83"/>
      <c r="P663" s="83"/>
      <c r="Q663" s="83"/>
      <c r="R663" s="83"/>
      <c r="S663" s="83"/>
      <c r="T663" s="83"/>
      <c r="U663" s="83"/>
      <c r="V663" s="83"/>
      <c r="W663" s="83"/>
      <c r="X663" s="83"/>
      <c r="Y663" s="83"/>
      <c r="Z663" s="83"/>
      <c r="AA663" s="83"/>
      <c r="AB663" s="83"/>
      <c r="AC663" s="83"/>
      <c r="AD663" s="83"/>
    </row>
    <row r="664">
      <c r="A664" s="83"/>
      <c r="B664" s="83"/>
      <c r="C664" s="83"/>
      <c r="D664" s="83"/>
      <c r="E664" s="118"/>
      <c r="F664" s="118"/>
      <c r="G664" s="83"/>
      <c r="H664" s="83"/>
      <c r="I664" s="83"/>
      <c r="J664" s="83"/>
      <c r="K664" s="83"/>
      <c r="L664" s="83"/>
      <c r="M664" s="83"/>
      <c r="N664" s="83"/>
      <c r="O664" s="83"/>
      <c r="P664" s="83"/>
      <c r="Q664" s="83"/>
      <c r="R664" s="83"/>
      <c r="S664" s="83"/>
      <c r="T664" s="83"/>
      <c r="U664" s="83"/>
      <c r="V664" s="83"/>
      <c r="W664" s="83"/>
      <c r="X664" s="83"/>
      <c r="Y664" s="83"/>
      <c r="Z664" s="83"/>
      <c r="AA664" s="83"/>
      <c r="AB664" s="83"/>
      <c r="AC664" s="83"/>
      <c r="AD664" s="83"/>
    </row>
    <row r="665">
      <c r="A665" s="83"/>
      <c r="B665" s="83"/>
      <c r="C665" s="83"/>
      <c r="D665" s="83"/>
      <c r="E665" s="118"/>
      <c r="F665" s="118"/>
      <c r="G665" s="83"/>
      <c r="H665" s="83"/>
      <c r="I665" s="83"/>
      <c r="J665" s="83"/>
      <c r="K665" s="83"/>
      <c r="L665" s="83"/>
      <c r="M665" s="83"/>
      <c r="N665" s="83"/>
      <c r="O665" s="83"/>
      <c r="P665" s="83"/>
      <c r="Q665" s="83"/>
      <c r="R665" s="83"/>
      <c r="S665" s="83"/>
      <c r="T665" s="83"/>
      <c r="U665" s="83"/>
      <c r="V665" s="83"/>
      <c r="W665" s="83"/>
      <c r="X665" s="83"/>
      <c r="Y665" s="83"/>
      <c r="Z665" s="83"/>
      <c r="AA665" s="83"/>
      <c r="AB665" s="83"/>
      <c r="AC665" s="83"/>
      <c r="AD665" s="83"/>
    </row>
    <row r="666">
      <c r="A666" s="83"/>
      <c r="B666" s="83"/>
      <c r="C666" s="83"/>
      <c r="D666" s="83"/>
      <c r="E666" s="118"/>
      <c r="F666" s="118"/>
      <c r="G666" s="83"/>
      <c r="H666" s="83"/>
      <c r="I666" s="83"/>
      <c r="J666" s="83"/>
      <c r="K666" s="83"/>
      <c r="L666" s="83"/>
      <c r="M666" s="83"/>
      <c r="N666" s="83"/>
      <c r="O666" s="83"/>
      <c r="P666" s="83"/>
      <c r="Q666" s="83"/>
      <c r="R666" s="83"/>
      <c r="S666" s="83"/>
      <c r="T666" s="83"/>
      <c r="U666" s="83"/>
      <c r="V666" s="83"/>
      <c r="W666" s="83"/>
      <c r="X666" s="83"/>
      <c r="Y666" s="83"/>
      <c r="Z666" s="83"/>
      <c r="AA666" s="83"/>
      <c r="AB666" s="83"/>
      <c r="AC666" s="83"/>
      <c r="AD666" s="83"/>
    </row>
    <row r="667">
      <c r="A667" s="83"/>
      <c r="B667" s="83"/>
      <c r="C667" s="83"/>
      <c r="D667" s="83"/>
      <c r="E667" s="118"/>
      <c r="F667" s="118"/>
      <c r="G667" s="83"/>
      <c r="H667" s="83"/>
      <c r="I667" s="83"/>
      <c r="J667" s="83"/>
      <c r="K667" s="83"/>
      <c r="L667" s="83"/>
      <c r="M667" s="83"/>
      <c r="N667" s="83"/>
      <c r="O667" s="83"/>
      <c r="P667" s="83"/>
      <c r="Q667" s="83"/>
      <c r="R667" s="83"/>
      <c r="S667" s="83"/>
      <c r="T667" s="83"/>
      <c r="U667" s="83"/>
      <c r="V667" s="83"/>
      <c r="W667" s="83"/>
      <c r="X667" s="83"/>
      <c r="Y667" s="83"/>
      <c r="Z667" s="83"/>
      <c r="AA667" s="83"/>
      <c r="AB667" s="83"/>
      <c r="AC667" s="83"/>
      <c r="AD667" s="83"/>
    </row>
    <row r="668">
      <c r="A668" s="83"/>
      <c r="B668" s="83"/>
      <c r="C668" s="83"/>
      <c r="D668" s="83"/>
      <c r="E668" s="118"/>
      <c r="F668" s="118"/>
      <c r="G668" s="83"/>
      <c r="H668" s="83"/>
      <c r="I668" s="83"/>
      <c r="J668" s="83"/>
      <c r="K668" s="83"/>
      <c r="L668" s="83"/>
      <c r="M668" s="83"/>
      <c r="N668" s="83"/>
      <c r="O668" s="83"/>
      <c r="P668" s="83"/>
      <c r="Q668" s="83"/>
      <c r="R668" s="83"/>
      <c r="S668" s="83"/>
      <c r="T668" s="83"/>
      <c r="U668" s="83"/>
      <c r="V668" s="83"/>
      <c r="W668" s="83"/>
      <c r="X668" s="83"/>
      <c r="Y668" s="83"/>
      <c r="Z668" s="83"/>
      <c r="AA668" s="83"/>
      <c r="AB668" s="83"/>
      <c r="AC668" s="83"/>
      <c r="AD668" s="83"/>
    </row>
    <row r="669">
      <c r="A669" s="83"/>
      <c r="B669" s="83"/>
      <c r="C669" s="83"/>
      <c r="D669" s="83"/>
      <c r="E669" s="118"/>
      <c r="F669" s="118"/>
      <c r="G669" s="83"/>
      <c r="H669" s="83"/>
      <c r="I669" s="83"/>
      <c r="J669" s="83"/>
      <c r="K669" s="83"/>
      <c r="L669" s="83"/>
      <c r="M669" s="83"/>
      <c r="N669" s="83"/>
      <c r="O669" s="83"/>
      <c r="P669" s="83"/>
      <c r="Q669" s="83"/>
      <c r="R669" s="83"/>
      <c r="S669" s="83"/>
      <c r="T669" s="83"/>
      <c r="U669" s="83"/>
      <c r="V669" s="83"/>
      <c r="W669" s="83"/>
      <c r="X669" s="83"/>
      <c r="Y669" s="83"/>
      <c r="Z669" s="83"/>
      <c r="AA669" s="83"/>
      <c r="AB669" s="83"/>
      <c r="AC669" s="83"/>
      <c r="AD669" s="83"/>
    </row>
    <row r="670">
      <c r="A670" s="83"/>
      <c r="B670" s="83"/>
      <c r="C670" s="83"/>
      <c r="D670" s="83"/>
      <c r="E670" s="118"/>
      <c r="F670" s="118"/>
      <c r="G670" s="83"/>
      <c r="H670" s="83"/>
      <c r="I670" s="83"/>
      <c r="J670" s="83"/>
      <c r="K670" s="83"/>
      <c r="L670" s="83"/>
      <c r="M670" s="83"/>
      <c r="N670" s="83"/>
      <c r="O670" s="83"/>
      <c r="P670" s="83"/>
      <c r="Q670" s="83"/>
      <c r="R670" s="83"/>
      <c r="S670" s="83"/>
      <c r="T670" s="83"/>
      <c r="U670" s="83"/>
      <c r="V670" s="83"/>
      <c r="W670" s="83"/>
      <c r="X670" s="83"/>
      <c r="Y670" s="83"/>
      <c r="Z670" s="83"/>
      <c r="AA670" s="83"/>
      <c r="AB670" s="83"/>
      <c r="AC670" s="83"/>
      <c r="AD670" s="83"/>
    </row>
    <row r="671">
      <c r="A671" s="83"/>
      <c r="B671" s="83"/>
      <c r="C671" s="83"/>
      <c r="D671" s="83"/>
      <c r="E671" s="118"/>
      <c r="F671" s="118"/>
      <c r="G671" s="83"/>
      <c r="H671" s="83"/>
      <c r="I671" s="83"/>
      <c r="J671" s="83"/>
      <c r="K671" s="83"/>
      <c r="L671" s="83"/>
      <c r="M671" s="83"/>
      <c r="N671" s="83"/>
      <c r="O671" s="83"/>
      <c r="P671" s="83"/>
      <c r="Q671" s="83"/>
      <c r="R671" s="83"/>
      <c r="S671" s="83"/>
      <c r="T671" s="83"/>
      <c r="U671" s="83"/>
      <c r="V671" s="83"/>
      <c r="W671" s="83"/>
      <c r="X671" s="83"/>
      <c r="Y671" s="83"/>
      <c r="Z671" s="83"/>
      <c r="AA671" s="83"/>
      <c r="AB671" s="83"/>
      <c r="AC671" s="83"/>
      <c r="AD671" s="83"/>
    </row>
    <row r="672">
      <c r="A672" s="83"/>
      <c r="B672" s="83"/>
      <c r="C672" s="83"/>
      <c r="D672" s="83"/>
      <c r="E672" s="118"/>
      <c r="F672" s="118"/>
      <c r="G672" s="83"/>
      <c r="H672" s="83"/>
      <c r="I672" s="83"/>
      <c r="J672" s="83"/>
      <c r="K672" s="83"/>
      <c r="L672" s="83"/>
      <c r="M672" s="83"/>
      <c r="N672" s="83"/>
      <c r="O672" s="83"/>
      <c r="P672" s="83"/>
      <c r="Q672" s="83"/>
      <c r="R672" s="83"/>
      <c r="S672" s="83"/>
      <c r="T672" s="83"/>
      <c r="U672" s="83"/>
      <c r="V672" s="83"/>
      <c r="W672" s="83"/>
      <c r="X672" s="83"/>
      <c r="Y672" s="83"/>
      <c r="Z672" s="83"/>
      <c r="AA672" s="83"/>
      <c r="AB672" s="83"/>
      <c r="AC672" s="83"/>
      <c r="AD672" s="83"/>
    </row>
    <row r="673">
      <c r="A673" s="83"/>
      <c r="B673" s="83"/>
      <c r="C673" s="83"/>
      <c r="D673" s="83"/>
      <c r="E673" s="118"/>
      <c r="F673" s="118"/>
      <c r="G673" s="83"/>
      <c r="H673" s="83"/>
      <c r="I673" s="83"/>
      <c r="J673" s="83"/>
      <c r="K673" s="83"/>
      <c r="L673" s="83"/>
      <c r="M673" s="83"/>
      <c r="N673" s="83"/>
      <c r="O673" s="83"/>
      <c r="P673" s="83"/>
      <c r="Q673" s="83"/>
      <c r="R673" s="83"/>
      <c r="S673" s="83"/>
      <c r="T673" s="83"/>
      <c r="U673" s="83"/>
      <c r="V673" s="83"/>
      <c r="W673" s="83"/>
      <c r="X673" s="83"/>
      <c r="Y673" s="83"/>
      <c r="Z673" s="83"/>
      <c r="AA673" s="83"/>
      <c r="AB673" s="83"/>
      <c r="AC673" s="83"/>
      <c r="AD673" s="83"/>
    </row>
    <row r="674">
      <c r="A674" s="83"/>
      <c r="B674" s="83"/>
      <c r="C674" s="83"/>
      <c r="D674" s="83"/>
      <c r="E674" s="118"/>
      <c r="F674" s="118"/>
      <c r="G674" s="83"/>
      <c r="H674" s="83"/>
      <c r="I674" s="83"/>
      <c r="J674" s="83"/>
      <c r="K674" s="83"/>
      <c r="L674" s="83"/>
      <c r="M674" s="83"/>
      <c r="N674" s="83"/>
      <c r="O674" s="83"/>
      <c r="P674" s="83"/>
      <c r="Q674" s="83"/>
      <c r="R674" s="83"/>
      <c r="S674" s="83"/>
      <c r="T674" s="83"/>
      <c r="U674" s="83"/>
      <c r="V674" s="83"/>
      <c r="W674" s="83"/>
      <c r="X674" s="83"/>
      <c r="Y674" s="83"/>
      <c r="Z674" s="83"/>
      <c r="AA674" s="83"/>
      <c r="AB674" s="83"/>
      <c r="AC674" s="83"/>
      <c r="AD674" s="83"/>
    </row>
    <row r="675">
      <c r="A675" s="83"/>
      <c r="B675" s="83"/>
      <c r="C675" s="83"/>
      <c r="D675" s="83"/>
      <c r="E675" s="118"/>
      <c r="F675" s="118"/>
      <c r="G675" s="83"/>
      <c r="H675" s="83"/>
      <c r="I675" s="83"/>
      <c r="J675" s="83"/>
      <c r="K675" s="83"/>
      <c r="L675" s="83"/>
      <c r="M675" s="83"/>
      <c r="N675" s="83"/>
      <c r="O675" s="83"/>
      <c r="P675" s="83"/>
      <c r="Q675" s="83"/>
      <c r="R675" s="83"/>
      <c r="S675" s="83"/>
      <c r="T675" s="83"/>
      <c r="U675" s="83"/>
      <c r="V675" s="83"/>
      <c r="W675" s="83"/>
      <c r="X675" s="83"/>
      <c r="Y675" s="83"/>
      <c r="Z675" s="83"/>
      <c r="AA675" s="83"/>
      <c r="AB675" s="83"/>
      <c r="AC675" s="83"/>
      <c r="AD675" s="83"/>
    </row>
    <row r="676">
      <c r="A676" s="83"/>
      <c r="B676" s="83"/>
      <c r="C676" s="83"/>
      <c r="D676" s="83"/>
      <c r="E676" s="118"/>
      <c r="F676" s="118"/>
      <c r="G676" s="83"/>
      <c r="H676" s="83"/>
      <c r="I676" s="83"/>
      <c r="J676" s="83"/>
      <c r="K676" s="83"/>
      <c r="L676" s="83"/>
      <c r="M676" s="83"/>
      <c r="N676" s="83"/>
      <c r="O676" s="83"/>
      <c r="P676" s="83"/>
      <c r="Q676" s="83"/>
      <c r="R676" s="83"/>
      <c r="S676" s="83"/>
      <c r="T676" s="83"/>
      <c r="U676" s="83"/>
      <c r="V676" s="83"/>
      <c r="W676" s="83"/>
      <c r="X676" s="83"/>
      <c r="Y676" s="83"/>
      <c r="Z676" s="83"/>
      <c r="AA676" s="83"/>
      <c r="AB676" s="83"/>
      <c r="AC676" s="83"/>
      <c r="AD676" s="83"/>
    </row>
    <row r="677">
      <c r="A677" s="83"/>
      <c r="B677" s="83"/>
      <c r="C677" s="83"/>
      <c r="D677" s="83"/>
      <c r="E677" s="118"/>
      <c r="F677" s="118"/>
      <c r="G677" s="83"/>
      <c r="H677" s="83"/>
      <c r="I677" s="83"/>
      <c r="J677" s="83"/>
      <c r="K677" s="83"/>
      <c r="L677" s="83"/>
      <c r="M677" s="83"/>
      <c r="N677" s="83"/>
      <c r="O677" s="83"/>
      <c r="P677" s="83"/>
      <c r="Q677" s="83"/>
      <c r="R677" s="83"/>
      <c r="S677" s="83"/>
      <c r="T677" s="83"/>
      <c r="U677" s="83"/>
      <c r="V677" s="83"/>
      <c r="W677" s="83"/>
      <c r="X677" s="83"/>
      <c r="Y677" s="83"/>
      <c r="Z677" s="83"/>
      <c r="AA677" s="83"/>
      <c r="AB677" s="83"/>
      <c r="AC677" s="83"/>
      <c r="AD677" s="83"/>
    </row>
    <row r="678">
      <c r="A678" s="83"/>
      <c r="B678" s="83"/>
      <c r="C678" s="83"/>
      <c r="D678" s="83"/>
      <c r="E678" s="118"/>
      <c r="F678" s="118"/>
      <c r="G678" s="83"/>
      <c r="H678" s="83"/>
      <c r="I678" s="83"/>
      <c r="J678" s="83"/>
      <c r="K678" s="83"/>
      <c r="L678" s="83"/>
      <c r="M678" s="83"/>
      <c r="N678" s="83"/>
      <c r="O678" s="83"/>
      <c r="P678" s="83"/>
      <c r="Q678" s="83"/>
      <c r="R678" s="83"/>
      <c r="S678" s="83"/>
      <c r="T678" s="83"/>
      <c r="U678" s="83"/>
      <c r="V678" s="83"/>
      <c r="W678" s="83"/>
      <c r="X678" s="83"/>
      <c r="Y678" s="83"/>
      <c r="Z678" s="83"/>
      <c r="AA678" s="83"/>
      <c r="AB678" s="83"/>
      <c r="AC678" s="83"/>
      <c r="AD678" s="83"/>
    </row>
    <row r="679">
      <c r="A679" s="83"/>
      <c r="B679" s="83"/>
      <c r="C679" s="83"/>
      <c r="D679" s="83"/>
      <c r="E679" s="118"/>
      <c r="F679" s="118"/>
      <c r="G679" s="83"/>
      <c r="H679" s="83"/>
      <c r="I679" s="83"/>
      <c r="J679" s="83"/>
      <c r="K679" s="83"/>
      <c r="L679" s="83"/>
      <c r="M679" s="83"/>
      <c r="N679" s="83"/>
      <c r="O679" s="83"/>
      <c r="P679" s="83"/>
      <c r="Q679" s="83"/>
      <c r="R679" s="83"/>
      <c r="S679" s="83"/>
      <c r="T679" s="83"/>
      <c r="U679" s="83"/>
      <c r="V679" s="83"/>
      <c r="W679" s="83"/>
      <c r="X679" s="83"/>
      <c r="Y679" s="83"/>
      <c r="Z679" s="83"/>
      <c r="AA679" s="83"/>
      <c r="AB679" s="83"/>
      <c r="AC679" s="83"/>
      <c r="AD679" s="83"/>
    </row>
    <row r="680">
      <c r="A680" s="83"/>
      <c r="B680" s="83"/>
      <c r="C680" s="83"/>
      <c r="D680" s="83"/>
      <c r="E680" s="118"/>
      <c r="F680" s="118"/>
      <c r="G680" s="83"/>
      <c r="H680" s="83"/>
      <c r="I680" s="83"/>
      <c r="J680" s="83"/>
      <c r="K680" s="83"/>
      <c r="L680" s="83"/>
      <c r="M680" s="83"/>
      <c r="N680" s="83"/>
      <c r="O680" s="83"/>
      <c r="P680" s="83"/>
      <c r="Q680" s="83"/>
      <c r="R680" s="83"/>
      <c r="S680" s="83"/>
      <c r="T680" s="83"/>
      <c r="U680" s="83"/>
      <c r="V680" s="83"/>
      <c r="W680" s="83"/>
      <c r="X680" s="83"/>
      <c r="Y680" s="83"/>
      <c r="Z680" s="83"/>
      <c r="AA680" s="83"/>
      <c r="AB680" s="83"/>
      <c r="AC680" s="83"/>
      <c r="AD680" s="83"/>
    </row>
    <row r="681">
      <c r="A681" s="83"/>
      <c r="B681" s="83"/>
      <c r="C681" s="83"/>
      <c r="D681" s="83"/>
      <c r="E681" s="118"/>
      <c r="F681" s="118"/>
      <c r="G681" s="83"/>
      <c r="H681" s="83"/>
      <c r="I681" s="83"/>
      <c r="J681" s="83"/>
      <c r="K681" s="83"/>
      <c r="L681" s="83"/>
      <c r="M681" s="83"/>
      <c r="N681" s="83"/>
      <c r="O681" s="83"/>
      <c r="P681" s="83"/>
      <c r="Q681" s="83"/>
      <c r="R681" s="83"/>
      <c r="S681" s="83"/>
      <c r="T681" s="83"/>
      <c r="U681" s="83"/>
      <c r="V681" s="83"/>
      <c r="W681" s="83"/>
      <c r="X681" s="83"/>
      <c r="Y681" s="83"/>
      <c r="Z681" s="83"/>
      <c r="AA681" s="83"/>
      <c r="AB681" s="83"/>
      <c r="AC681" s="83"/>
      <c r="AD681" s="83"/>
    </row>
    <row r="682">
      <c r="A682" s="83"/>
      <c r="B682" s="83"/>
      <c r="C682" s="83"/>
      <c r="D682" s="83"/>
      <c r="E682" s="118"/>
      <c r="F682" s="118"/>
      <c r="G682" s="83"/>
      <c r="H682" s="83"/>
      <c r="I682" s="83"/>
      <c r="J682" s="83"/>
      <c r="K682" s="83"/>
      <c r="L682" s="83"/>
      <c r="M682" s="83"/>
      <c r="N682" s="83"/>
      <c r="O682" s="83"/>
      <c r="P682" s="83"/>
      <c r="Q682" s="83"/>
      <c r="R682" s="83"/>
      <c r="S682" s="83"/>
      <c r="T682" s="83"/>
      <c r="U682" s="83"/>
      <c r="V682" s="83"/>
      <c r="W682" s="83"/>
      <c r="X682" s="83"/>
      <c r="Y682" s="83"/>
      <c r="Z682" s="83"/>
      <c r="AA682" s="83"/>
      <c r="AB682" s="83"/>
      <c r="AC682" s="83"/>
      <c r="AD682" s="83"/>
    </row>
    <row r="683">
      <c r="A683" s="83"/>
      <c r="B683" s="83"/>
      <c r="C683" s="83"/>
      <c r="D683" s="83"/>
      <c r="E683" s="118"/>
      <c r="F683" s="118"/>
      <c r="G683" s="83"/>
      <c r="H683" s="83"/>
      <c r="I683" s="83"/>
      <c r="J683" s="83"/>
      <c r="K683" s="83"/>
      <c r="L683" s="83"/>
      <c r="M683" s="83"/>
      <c r="N683" s="83"/>
      <c r="O683" s="83"/>
      <c r="P683" s="83"/>
      <c r="Q683" s="83"/>
      <c r="R683" s="83"/>
      <c r="S683" s="83"/>
      <c r="T683" s="83"/>
      <c r="U683" s="83"/>
      <c r="V683" s="83"/>
      <c r="W683" s="83"/>
      <c r="X683" s="83"/>
      <c r="Y683" s="83"/>
      <c r="Z683" s="83"/>
      <c r="AA683" s="83"/>
      <c r="AB683" s="83"/>
      <c r="AC683" s="83"/>
      <c r="AD683" s="83"/>
    </row>
    <row r="684">
      <c r="A684" s="83"/>
      <c r="B684" s="83"/>
      <c r="C684" s="83"/>
      <c r="D684" s="83"/>
      <c r="E684" s="118"/>
      <c r="F684" s="118"/>
      <c r="G684" s="83"/>
      <c r="H684" s="83"/>
      <c r="I684" s="83"/>
      <c r="J684" s="83"/>
      <c r="K684" s="83"/>
      <c r="L684" s="83"/>
      <c r="M684" s="83"/>
      <c r="N684" s="83"/>
      <c r="O684" s="83"/>
      <c r="P684" s="83"/>
      <c r="Q684" s="83"/>
      <c r="R684" s="83"/>
      <c r="S684" s="83"/>
      <c r="T684" s="83"/>
      <c r="U684" s="83"/>
      <c r="V684" s="83"/>
      <c r="W684" s="83"/>
      <c r="X684" s="83"/>
      <c r="Y684" s="83"/>
      <c r="Z684" s="83"/>
      <c r="AA684" s="83"/>
      <c r="AB684" s="83"/>
      <c r="AC684" s="83"/>
      <c r="AD684" s="83"/>
    </row>
    <row r="685">
      <c r="A685" s="83"/>
      <c r="B685" s="83"/>
      <c r="C685" s="83"/>
      <c r="D685" s="83"/>
      <c r="E685" s="118"/>
      <c r="F685" s="118"/>
      <c r="G685" s="83"/>
      <c r="H685" s="83"/>
      <c r="I685" s="83"/>
      <c r="J685" s="83"/>
      <c r="K685" s="83"/>
      <c r="L685" s="83"/>
      <c r="M685" s="83"/>
      <c r="N685" s="83"/>
      <c r="O685" s="83"/>
      <c r="P685" s="83"/>
      <c r="Q685" s="83"/>
      <c r="R685" s="83"/>
      <c r="S685" s="83"/>
      <c r="T685" s="83"/>
      <c r="U685" s="83"/>
      <c r="V685" s="83"/>
      <c r="W685" s="83"/>
      <c r="X685" s="83"/>
      <c r="Y685" s="83"/>
      <c r="Z685" s="83"/>
      <c r="AA685" s="83"/>
      <c r="AB685" s="83"/>
      <c r="AC685" s="83"/>
      <c r="AD685" s="83"/>
    </row>
    <row r="686">
      <c r="A686" s="83"/>
      <c r="B686" s="83"/>
      <c r="C686" s="83"/>
      <c r="D686" s="83"/>
      <c r="E686" s="118"/>
      <c r="F686" s="118"/>
      <c r="G686" s="83"/>
      <c r="H686" s="83"/>
      <c r="I686" s="83"/>
      <c r="J686" s="83"/>
      <c r="K686" s="83"/>
      <c r="L686" s="83"/>
      <c r="M686" s="83"/>
      <c r="N686" s="83"/>
      <c r="O686" s="83"/>
      <c r="P686" s="83"/>
      <c r="Q686" s="83"/>
      <c r="R686" s="83"/>
      <c r="S686" s="83"/>
      <c r="T686" s="83"/>
      <c r="U686" s="83"/>
      <c r="V686" s="83"/>
      <c r="W686" s="83"/>
      <c r="X686" s="83"/>
      <c r="Y686" s="83"/>
      <c r="Z686" s="83"/>
      <c r="AA686" s="83"/>
      <c r="AB686" s="83"/>
      <c r="AC686" s="83"/>
      <c r="AD686" s="83"/>
    </row>
    <row r="687">
      <c r="A687" s="83"/>
      <c r="B687" s="83"/>
      <c r="C687" s="83"/>
      <c r="D687" s="83"/>
      <c r="E687" s="118"/>
      <c r="F687" s="118"/>
      <c r="G687" s="83"/>
      <c r="H687" s="83"/>
      <c r="I687" s="83"/>
      <c r="J687" s="83"/>
      <c r="K687" s="83"/>
      <c r="L687" s="83"/>
      <c r="M687" s="83"/>
      <c r="N687" s="83"/>
      <c r="O687" s="83"/>
      <c r="P687" s="83"/>
      <c r="Q687" s="83"/>
      <c r="R687" s="83"/>
      <c r="S687" s="83"/>
      <c r="T687" s="83"/>
      <c r="U687" s="83"/>
      <c r="V687" s="83"/>
      <c r="W687" s="83"/>
      <c r="X687" s="83"/>
      <c r="Y687" s="83"/>
      <c r="Z687" s="83"/>
      <c r="AA687" s="83"/>
      <c r="AB687" s="83"/>
      <c r="AC687" s="83"/>
      <c r="AD687" s="83"/>
    </row>
    <row r="688">
      <c r="A688" s="83"/>
      <c r="B688" s="83"/>
      <c r="C688" s="83"/>
      <c r="D688" s="83"/>
      <c r="E688" s="118"/>
      <c r="F688" s="118"/>
      <c r="G688" s="83"/>
      <c r="H688" s="83"/>
      <c r="I688" s="83"/>
      <c r="J688" s="83"/>
      <c r="K688" s="83"/>
      <c r="L688" s="83"/>
      <c r="M688" s="83"/>
      <c r="N688" s="83"/>
      <c r="O688" s="83"/>
      <c r="P688" s="83"/>
      <c r="Q688" s="83"/>
      <c r="R688" s="83"/>
      <c r="S688" s="83"/>
      <c r="T688" s="83"/>
      <c r="U688" s="83"/>
      <c r="V688" s="83"/>
      <c r="W688" s="83"/>
      <c r="X688" s="83"/>
      <c r="Y688" s="83"/>
      <c r="Z688" s="83"/>
      <c r="AA688" s="83"/>
      <c r="AB688" s="83"/>
      <c r="AC688" s="83"/>
      <c r="AD688" s="83"/>
    </row>
    <row r="689">
      <c r="A689" s="83"/>
      <c r="B689" s="83"/>
      <c r="C689" s="83"/>
      <c r="D689" s="83"/>
      <c r="E689" s="118"/>
      <c r="F689" s="118"/>
      <c r="G689" s="83"/>
      <c r="H689" s="83"/>
      <c r="I689" s="83"/>
      <c r="J689" s="83"/>
      <c r="K689" s="83"/>
      <c r="L689" s="83"/>
      <c r="M689" s="83"/>
      <c r="N689" s="83"/>
      <c r="O689" s="83"/>
      <c r="P689" s="83"/>
      <c r="Q689" s="83"/>
      <c r="R689" s="83"/>
      <c r="S689" s="83"/>
      <c r="T689" s="83"/>
      <c r="U689" s="83"/>
      <c r="V689" s="83"/>
      <c r="W689" s="83"/>
      <c r="X689" s="83"/>
      <c r="Y689" s="83"/>
      <c r="Z689" s="83"/>
      <c r="AA689" s="83"/>
      <c r="AB689" s="83"/>
      <c r="AC689" s="83"/>
      <c r="AD689" s="83"/>
    </row>
    <row r="690">
      <c r="A690" s="83"/>
      <c r="B690" s="83"/>
      <c r="C690" s="83"/>
      <c r="D690" s="83"/>
      <c r="E690" s="118"/>
      <c r="F690" s="118"/>
      <c r="G690" s="83"/>
      <c r="H690" s="83"/>
      <c r="I690" s="83"/>
      <c r="J690" s="83"/>
      <c r="K690" s="83"/>
      <c r="L690" s="83"/>
      <c r="M690" s="83"/>
      <c r="N690" s="83"/>
      <c r="O690" s="83"/>
      <c r="P690" s="83"/>
      <c r="Q690" s="83"/>
      <c r="R690" s="83"/>
      <c r="S690" s="83"/>
      <c r="T690" s="83"/>
      <c r="U690" s="83"/>
      <c r="V690" s="83"/>
      <c r="W690" s="83"/>
      <c r="X690" s="83"/>
      <c r="Y690" s="83"/>
      <c r="Z690" s="83"/>
      <c r="AA690" s="83"/>
      <c r="AB690" s="83"/>
      <c r="AC690" s="83"/>
      <c r="AD690" s="83"/>
    </row>
    <row r="691">
      <c r="A691" s="83"/>
      <c r="B691" s="83"/>
      <c r="C691" s="83"/>
      <c r="D691" s="83"/>
      <c r="E691" s="118"/>
      <c r="F691" s="118"/>
      <c r="G691" s="83"/>
      <c r="H691" s="83"/>
      <c r="I691" s="83"/>
      <c r="J691" s="83"/>
      <c r="K691" s="83"/>
      <c r="L691" s="83"/>
      <c r="M691" s="83"/>
      <c r="N691" s="83"/>
      <c r="O691" s="83"/>
      <c r="P691" s="83"/>
      <c r="Q691" s="83"/>
      <c r="R691" s="83"/>
      <c r="S691" s="83"/>
      <c r="T691" s="83"/>
      <c r="U691" s="83"/>
      <c r="V691" s="83"/>
      <c r="W691" s="83"/>
      <c r="X691" s="83"/>
      <c r="Y691" s="83"/>
      <c r="Z691" s="83"/>
      <c r="AA691" s="83"/>
      <c r="AB691" s="83"/>
      <c r="AC691" s="83"/>
      <c r="AD691" s="83"/>
    </row>
    <row r="692">
      <c r="A692" s="83"/>
      <c r="B692" s="83"/>
      <c r="C692" s="83"/>
      <c r="D692" s="83"/>
      <c r="E692" s="118"/>
      <c r="F692" s="118"/>
      <c r="G692" s="83"/>
      <c r="H692" s="83"/>
      <c r="I692" s="83"/>
      <c r="J692" s="83"/>
      <c r="K692" s="83"/>
      <c r="L692" s="83"/>
      <c r="M692" s="83"/>
      <c r="N692" s="83"/>
      <c r="O692" s="83"/>
      <c r="P692" s="83"/>
      <c r="Q692" s="83"/>
      <c r="R692" s="83"/>
      <c r="S692" s="83"/>
      <c r="T692" s="83"/>
      <c r="U692" s="83"/>
      <c r="V692" s="83"/>
      <c r="W692" s="83"/>
      <c r="X692" s="83"/>
      <c r="Y692" s="83"/>
      <c r="Z692" s="83"/>
      <c r="AA692" s="83"/>
      <c r="AB692" s="83"/>
      <c r="AC692" s="83"/>
      <c r="AD692" s="83"/>
    </row>
    <row r="693">
      <c r="A693" s="83"/>
      <c r="B693" s="83"/>
      <c r="C693" s="83"/>
      <c r="D693" s="83"/>
      <c r="E693" s="118"/>
      <c r="F693" s="118"/>
      <c r="G693" s="83"/>
      <c r="H693" s="83"/>
      <c r="I693" s="83"/>
      <c r="J693" s="83"/>
      <c r="K693" s="83"/>
      <c r="L693" s="83"/>
      <c r="M693" s="83"/>
      <c r="N693" s="83"/>
      <c r="O693" s="83"/>
      <c r="P693" s="83"/>
      <c r="Q693" s="83"/>
      <c r="R693" s="83"/>
      <c r="S693" s="83"/>
      <c r="T693" s="83"/>
      <c r="U693" s="83"/>
      <c r="V693" s="83"/>
      <c r="W693" s="83"/>
      <c r="X693" s="83"/>
      <c r="Y693" s="83"/>
      <c r="Z693" s="83"/>
      <c r="AA693" s="83"/>
      <c r="AB693" s="83"/>
      <c r="AC693" s="83"/>
      <c r="AD693" s="83"/>
    </row>
    <row r="694">
      <c r="A694" s="83"/>
      <c r="B694" s="83"/>
      <c r="C694" s="83"/>
      <c r="D694" s="83"/>
      <c r="E694" s="118"/>
      <c r="F694" s="118"/>
      <c r="G694" s="83"/>
      <c r="H694" s="83"/>
      <c r="I694" s="83"/>
      <c r="J694" s="83"/>
      <c r="K694" s="83"/>
      <c r="L694" s="83"/>
      <c r="M694" s="83"/>
      <c r="N694" s="83"/>
      <c r="O694" s="83"/>
      <c r="P694" s="83"/>
      <c r="Q694" s="83"/>
      <c r="R694" s="83"/>
      <c r="S694" s="83"/>
      <c r="T694" s="83"/>
      <c r="U694" s="83"/>
      <c r="V694" s="83"/>
      <c r="W694" s="83"/>
      <c r="X694" s="83"/>
      <c r="Y694" s="83"/>
      <c r="Z694" s="83"/>
      <c r="AA694" s="83"/>
      <c r="AB694" s="83"/>
      <c r="AC694" s="83"/>
      <c r="AD694" s="83"/>
    </row>
    <row r="695">
      <c r="A695" s="83"/>
      <c r="B695" s="83"/>
      <c r="C695" s="83"/>
      <c r="D695" s="83"/>
      <c r="E695" s="118"/>
      <c r="F695" s="118"/>
      <c r="G695" s="83"/>
      <c r="H695" s="83"/>
      <c r="I695" s="83"/>
      <c r="J695" s="83"/>
      <c r="K695" s="83"/>
      <c r="L695" s="83"/>
      <c r="M695" s="83"/>
      <c r="N695" s="83"/>
      <c r="O695" s="83"/>
      <c r="P695" s="83"/>
      <c r="Q695" s="83"/>
      <c r="R695" s="83"/>
      <c r="S695" s="83"/>
      <c r="T695" s="83"/>
      <c r="U695" s="83"/>
      <c r="V695" s="83"/>
      <c r="W695" s="83"/>
      <c r="X695" s="83"/>
      <c r="Y695" s="83"/>
      <c r="Z695" s="83"/>
      <c r="AA695" s="83"/>
      <c r="AB695" s="83"/>
      <c r="AC695" s="83"/>
      <c r="AD695" s="83"/>
    </row>
    <row r="696">
      <c r="A696" s="83"/>
      <c r="B696" s="83"/>
      <c r="C696" s="83"/>
      <c r="D696" s="83"/>
      <c r="E696" s="118"/>
      <c r="F696" s="118"/>
      <c r="G696" s="83"/>
      <c r="H696" s="83"/>
      <c r="I696" s="83"/>
      <c r="J696" s="83"/>
      <c r="K696" s="83"/>
      <c r="L696" s="83"/>
      <c r="M696" s="83"/>
      <c r="N696" s="83"/>
      <c r="O696" s="83"/>
      <c r="P696" s="83"/>
      <c r="Q696" s="83"/>
      <c r="R696" s="83"/>
      <c r="S696" s="83"/>
      <c r="T696" s="83"/>
      <c r="U696" s="83"/>
      <c r="V696" s="83"/>
      <c r="W696" s="83"/>
      <c r="X696" s="83"/>
      <c r="Y696" s="83"/>
      <c r="Z696" s="83"/>
      <c r="AA696" s="83"/>
      <c r="AB696" s="83"/>
      <c r="AC696" s="83"/>
      <c r="AD696" s="83"/>
    </row>
    <row r="697">
      <c r="A697" s="83"/>
      <c r="B697" s="83"/>
      <c r="C697" s="83"/>
      <c r="D697" s="83"/>
      <c r="E697" s="118"/>
      <c r="F697" s="118"/>
      <c r="G697" s="83"/>
      <c r="H697" s="83"/>
      <c r="I697" s="83"/>
      <c r="J697" s="83"/>
      <c r="K697" s="83"/>
      <c r="L697" s="83"/>
      <c r="M697" s="83"/>
      <c r="N697" s="83"/>
      <c r="O697" s="83"/>
      <c r="P697" s="83"/>
      <c r="Q697" s="83"/>
      <c r="R697" s="83"/>
      <c r="S697" s="83"/>
      <c r="T697" s="83"/>
      <c r="U697" s="83"/>
      <c r="V697" s="83"/>
      <c r="W697" s="83"/>
      <c r="X697" s="83"/>
      <c r="Y697" s="83"/>
      <c r="Z697" s="83"/>
      <c r="AA697" s="83"/>
      <c r="AB697" s="83"/>
      <c r="AC697" s="83"/>
      <c r="AD697" s="83"/>
    </row>
    <row r="698">
      <c r="A698" s="83"/>
      <c r="B698" s="83"/>
      <c r="C698" s="83"/>
      <c r="D698" s="83"/>
      <c r="E698" s="118"/>
      <c r="F698" s="118"/>
      <c r="G698" s="83"/>
      <c r="H698" s="83"/>
      <c r="I698" s="83"/>
      <c r="J698" s="83"/>
      <c r="K698" s="83"/>
      <c r="L698" s="83"/>
      <c r="M698" s="83"/>
      <c r="N698" s="83"/>
      <c r="O698" s="83"/>
      <c r="P698" s="83"/>
      <c r="Q698" s="83"/>
      <c r="R698" s="83"/>
      <c r="S698" s="83"/>
      <c r="T698" s="83"/>
      <c r="U698" s="83"/>
      <c r="V698" s="83"/>
      <c r="W698" s="83"/>
      <c r="X698" s="83"/>
      <c r="Y698" s="83"/>
      <c r="Z698" s="83"/>
      <c r="AA698" s="83"/>
      <c r="AB698" s="83"/>
      <c r="AC698" s="83"/>
      <c r="AD698" s="83"/>
    </row>
    <row r="699">
      <c r="A699" s="83"/>
      <c r="B699" s="83"/>
      <c r="C699" s="83"/>
      <c r="D699" s="83"/>
      <c r="E699" s="118"/>
      <c r="F699" s="118"/>
      <c r="G699" s="83"/>
      <c r="H699" s="83"/>
      <c r="I699" s="83"/>
      <c r="J699" s="83"/>
      <c r="K699" s="83"/>
      <c r="L699" s="83"/>
      <c r="M699" s="83"/>
      <c r="N699" s="83"/>
      <c r="O699" s="83"/>
      <c r="P699" s="83"/>
      <c r="Q699" s="83"/>
      <c r="R699" s="83"/>
      <c r="S699" s="83"/>
      <c r="T699" s="83"/>
      <c r="U699" s="83"/>
      <c r="V699" s="83"/>
      <c r="W699" s="83"/>
      <c r="X699" s="83"/>
      <c r="Y699" s="83"/>
      <c r="Z699" s="83"/>
      <c r="AA699" s="83"/>
      <c r="AB699" s="83"/>
      <c r="AC699" s="83"/>
      <c r="AD699" s="83"/>
    </row>
    <row r="700">
      <c r="A700" s="83"/>
      <c r="B700" s="83"/>
      <c r="C700" s="83"/>
      <c r="D700" s="83"/>
      <c r="E700" s="118"/>
      <c r="F700" s="118"/>
      <c r="G700" s="83"/>
      <c r="H700" s="83"/>
      <c r="I700" s="83"/>
      <c r="J700" s="83"/>
      <c r="K700" s="83"/>
      <c r="L700" s="83"/>
      <c r="M700" s="83"/>
      <c r="N700" s="83"/>
      <c r="O700" s="83"/>
      <c r="P700" s="83"/>
      <c r="Q700" s="83"/>
      <c r="R700" s="83"/>
      <c r="S700" s="83"/>
      <c r="T700" s="83"/>
      <c r="U700" s="83"/>
      <c r="V700" s="83"/>
      <c r="W700" s="83"/>
      <c r="X700" s="83"/>
      <c r="Y700" s="83"/>
      <c r="Z700" s="83"/>
      <c r="AA700" s="83"/>
      <c r="AB700" s="83"/>
      <c r="AC700" s="83"/>
      <c r="AD700" s="83"/>
    </row>
    <row r="701">
      <c r="A701" s="83"/>
      <c r="B701" s="83"/>
      <c r="C701" s="83"/>
      <c r="D701" s="83"/>
      <c r="E701" s="118"/>
      <c r="F701" s="118"/>
      <c r="G701" s="83"/>
      <c r="H701" s="83"/>
      <c r="I701" s="83"/>
      <c r="J701" s="83"/>
      <c r="K701" s="83"/>
      <c r="L701" s="83"/>
      <c r="M701" s="83"/>
      <c r="N701" s="83"/>
      <c r="O701" s="83"/>
      <c r="P701" s="83"/>
      <c r="Q701" s="83"/>
      <c r="R701" s="83"/>
      <c r="S701" s="83"/>
      <c r="T701" s="83"/>
      <c r="U701" s="83"/>
      <c r="V701" s="83"/>
      <c r="W701" s="83"/>
      <c r="X701" s="83"/>
      <c r="Y701" s="83"/>
      <c r="Z701" s="83"/>
      <c r="AA701" s="83"/>
      <c r="AB701" s="83"/>
      <c r="AC701" s="83"/>
      <c r="AD701" s="83"/>
    </row>
    <row r="702">
      <c r="A702" s="83"/>
      <c r="B702" s="83"/>
      <c r="C702" s="83"/>
      <c r="D702" s="83"/>
      <c r="E702" s="118"/>
      <c r="F702" s="118"/>
      <c r="G702" s="83"/>
      <c r="H702" s="83"/>
      <c r="I702" s="83"/>
      <c r="J702" s="83"/>
      <c r="K702" s="83"/>
      <c r="L702" s="83"/>
      <c r="M702" s="83"/>
      <c r="N702" s="83"/>
      <c r="O702" s="83"/>
      <c r="P702" s="83"/>
      <c r="Q702" s="83"/>
      <c r="R702" s="83"/>
      <c r="S702" s="83"/>
      <c r="T702" s="83"/>
      <c r="U702" s="83"/>
      <c r="V702" s="83"/>
      <c r="W702" s="83"/>
      <c r="X702" s="83"/>
      <c r="Y702" s="83"/>
      <c r="Z702" s="83"/>
      <c r="AA702" s="83"/>
      <c r="AB702" s="83"/>
      <c r="AC702" s="83"/>
      <c r="AD702" s="83"/>
    </row>
    <row r="703">
      <c r="A703" s="83"/>
      <c r="B703" s="83"/>
      <c r="C703" s="83"/>
      <c r="D703" s="83"/>
      <c r="E703" s="118"/>
      <c r="F703" s="118"/>
      <c r="G703" s="83"/>
      <c r="H703" s="83"/>
      <c r="I703" s="83"/>
      <c r="J703" s="83"/>
      <c r="K703" s="83"/>
      <c r="L703" s="83"/>
      <c r="M703" s="83"/>
      <c r="N703" s="83"/>
      <c r="O703" s="83"/>
      <c r="P703" s="83"/>
      <c r="Q703" s="83"/>
      <c r="R703" s="83"/>
      <c r="S703" s="83"/>
      <c r="T703" s="83"/>
      <c r="U703" s="83"/>
      <c r="V703" s="83"/>
      <c r="W703" s="83"/>
      <c r="X703" s="83"/>
      <c r="Y703" s="83"/>
      <c r="Z703" s="83"/>
      <c r="AA703" s="83"/>
      <c r="AB703" s="83"/>
      <c r="AC703" s="83"/>
      <c r="AD703" s="83"/>
    </row>
    <row r="704">
      <c r="A704" s="83"/>
      <c r="B704" s="83"/>
      <c r="C704" s="83"/>
      <c r="D704" s="83"/>
      <c r="E704" s="118"/>
      <c r="F704" s="118"/>
      <c r="G704" s="83"/>
      <c r="H704" s="83"/>
      <c r="I704" s="83"/>
      <c r="J704" s="83"/>
      <c r="K704" s="83"/>
      <c r="L704" s="83"/>
      <c r="M704" s="83"/>
      <c r="N704" s="83"/>
      <c r="O704" s="83"/>
      <c r="P704" s="83"/>
      <c r="Q704" s="83"/>
      <c r="R704" s="83"/>
      <c r="S704" s="83"/>
      <c r="T704" s="83"/>
      <c r="U704" s="83"/>
      <c r="V704" s="83"/>
      <c r="W704" s="83"/>
      <c r="X704" s="83"/>
      <c r="Y704" s="83"/>
      <c r="Z704" s="83"/>
      <c r="AA704" s="83"/>
      <c r="AB704" s="83"/>
      <c r="AC704" s="83"/>
      <c r="AD704" s="83"/>
    </row>
    <row r="705">
      <c r="A705" s="83"/>
      <c r="B705" s="83"/>
      <c r="C705" s="83"/>
      <c r="D705" s="83"/>
      <c r="E705" s="118"/>
      <c r="F705" s="118"/>
      <c r="G705" s="83"/>
      <c r="H705" s="83"/>
      <c r="I705" s="83"/>
      <c r="J705" s="83"/>
      <c r="K705" s="83"/>
      <c r="L705" s="83"/>
      <c r="M705" s="83"/>
      <c r="N705" s="83"/>
      <c r="O705" s="83"/>
      <c r="P705" s="83"/>
      <c r="Q705" s="83"/>
      <c r="R705" s="83"/>
      <c r="S705" s="83"/>
      <c r="T705" s="83"/>
      <c r="U705" s="83"/>
      <c r="V705" s="83"/>
      <c r="W705" s="83"/>
      <c r="X705" s="83"/>
      <c r="Y705" s="83"/>
      <c r="Z705" s="83"/>
      <c r="AA705" s="83"/>
      <c r="AB705" s="83"/>
      <c r="AC705" s="83"/>
      <c r="AD705" s="83"/>
    </row>
    <row r="706">
      <c r="A706" s="83"/>
      <c r="B706" s="83"/>
      <c r="C706" s="83"/>
      <c r="D706" s="83"/>
      <c r="E706" s="118"/>
      <c r="F706" s="118"/>
      <c r="G706" s="83"/>
      <c r="H706" s="83"/>
      <c r="I706" s="83"/>
      <c r="J706" s="83"/>
      <c r="K706" s="83"/>
      <c r="L706" s="83"/>
      <c r="M706" s="83"/>
      <c r="N706" s="83"/>
      <c r="O706" s="83"/>
      <c r="P706" s="83"/>
      <c r="Q706" s="83"/>
      <c r="R706" s="83"/>
      <c r="S706" s="83"/>
      <c r="T706" s="83"/>
      <c r="U706" s="83"/>
      <c r="V706" s="83"/>
      <c r="W706" s="83"/>
      <c r="X706" s="83"/>
      <c r="Y706" s="83"/>
      <c r="Z706" s="83"/>
      <c r="AA706" s="83"/>
      <c r="AB706" s="83"/>
      <c r="AC706" s="83"/>
      <c r="AD706" s="83"/>
    </row>
    <row r="707">
      <c r="A707" s="83"/>
      <c r="B707" s="83"/>
      <c r="C707" s="83"/>
      <c r="D707" s="83"/>
      <c r="E707" s="118"/>
      <c r="F707" s="118"/>
      <c r="G707" s="83"/>
      <c r="H707" s="83"/>
      <c r="I707" s="83"/>
      <c r="J707" s="83"/>
      <c r="K707" s="83"/>
      <c r="L707" s="83"/>
      <c r="M707" s="83"/>
      <c r="N707" s="83"/>
      <c r="O707" s="83"/>
      <c r="P707" s="83"/>
      <c r="Q707" s="83"/>
      <c r="R707" s="83"/>
      <c r="S707" s="83"/>
      <c r="T707" s="83"/>
      <c r="U707" s="83"/>
      <c r="V707" s="83"/>
      <c r="W707" s="83"/>
      <c r="X707" s="83"/>
      <c r="Y707" s="83"/>
      <c r="Z707" s="83"/>
      <c r="AA707" s="83"/>
      <c r="AB707" s="83"/>
      <c r="AC707" s="83"/>
      <c r="AD707" s="83"/>
    </row>
    <row r="708">
      <c r="A708" s="83"/>
      <c r="B708" s="83"/>
      <c r="C708" s="83"/>
      <c r="D708" s="83"/>
      <c r="E708" s="118"/>
      <c r="F708" s="118"/>
      <c r="G708" s="83"/>
      <c r="H708" s="83"/>
      <c r="I708" s="83"/>
      <c r="J708" s="83"/>
      <c r="K708" s="83"/>
      <c r="L708" s="83"/>
      <c r="M708" s="83"/>
      <c r="N708" s="83"/>
      <c r="O708" s="83"/>
      <c r="P708" s="83"/>
      <c r="Q708" s="83"/>
      <c r="R708" s="83"/>
      <c r="S708" s="83"/>
      <c r="T708" s="83"/>
      <c r="U708" s="83"/>
      <c r="V708" s="83"/>
      <c r="W708" s="83"/>
      <c r="X708" s="83"/>
      <c r="Y708" s="83"/>
      <c r="Z708" s="83"/>
      <c r="AA708" s="83"/>
      <c r="AB708" s="83"/>
      <c r="AC708" s="83"/>
      <c r="AD708" s="83"/>
    </row>
    <row r="709">
      <c r="A709" s="83"/>
      <c r="B709" s="83"/>
      <c r="C709" s="83"/>
      <c r="D709" s="83"/>
      <c r="E709" s="118"/>
      <c r="F709" s="118"/>
      <c r="G709" s="83"/>
      <c r="H709" s="83"/>
      <c r="I709" s="83"/>
      <c r="J709" s="83"/>
      <c r="K709" s="83"/>
      <c r="L709" s="83"/>
      <c r="M709" s="83"/>
      <c r="N709" s="83"/>
      <c r="O709" s="83"/>
      <c r="P709" s="83"/>
      <c r="Q709" s="83"/>
      <c r="R709" s="83"/>
      <c r="S709" s="83"/>
      <c r="T709" s="83"/>
      <c r="U709" s="83"/>
      <c r="V709" s="83"/>
      <c r="W709" s="83"/>
      <c r="X709" s="83"/>
      <c r="Y709" s="83"/>
      <c r="Z709" s="83"/>
      <c r="AA709" s="83"/>
      <c r="AB709" s="83"/>
      <c r="AC709" s="83"/>
      <c r="AD709" s="83"/>
    </row>
    <row r="710">
      <c r="A710" s="83"/>
      <c r="B710" s="83"/>
      <c r="C710" s="83"/>
      <c r="D710" s="83"/>
      <c r="E710" s="118"/>
      <c r="F710" s="118"/>
      <c r="G710" s="83"/>
      <c r="H710" s="83"/>
      <c r="I710" s="83"/>
      <c r="J710" s="83"/>
      <c r="K710" s="83"/>
      <c r="L710" s="83"/>
      <c r="M710" s="83"/>
      <c r="N710" s="83"/>
      <c r="O710" s="83"/>
      <c r="P710" s="83"/>
      <c r="Q710" s="83"/>
      <c r="R710" s="83"/>
      <c r="S710" s="83"/>
      <c r="T710" s="83"/>
      <c r="U710" s="83"/>
      <c r="V710" s="83"/>
      <c r="W710" s="83"/>
      <c r="X710" s="83"/>
      <c r="Y710" s="83"/>
      <c r="Z710" s="83"/>
      <c r="AA710" s="83"/>
      <c r="AB710" s="83"/>
      <c r="AC710" s="83"/>
      <c r="AD710" s="83"/>
    </row>
    <row r="711">
      <c r="A711" s="83"/>
      <c r="B711" s="83"/>
      <c r="C711" s="83"/>
      <c r="D711" s="83"/>
      <c r="E711" s="118"/>
      <c r="F711" s="118"/>
      <c r="G711" s="83"/>
      <c r="H711" s="83"/>
      <c r="I711" s="83"/>
      <c r="J711" s="83"/>
      <c r="K711" s="83"/>
      <c r="L711" s="83"/>
      <c r="M711" s="83"/>
      <c r="N711" s="83"/>
      <c r="O711" s="83"/>
      <c r="P711" s="83"/>
      <c r="Q711" s="83"/>
      <c r="R711" s="83"/>
      <c r="S711" s="83"/>
      <c r="T711" s="83"/>
      <c r="U711" s="83"/>
      <c r="V711" s="83"/>
      <c r="W711" s="83"/>
      <c r="X711" s="83"/>
      <c r="Y711" s="83"/>
      <c r="Z711" s="83"/>
      <c r="AA711" s="83"/>
      <c r="AB711" s="83"/>
      <c r="AC711" s="83"/>
      <c r="AD711" s="83"/>
    </row>
    <row r="712">
      <c r="A712" s="83"/>
      <c r="B712" s="83"/>
      <c r="C712" s="83"/>
      <c r="D712" s="83"/>
      <c r="E712" s="118"/>
      <c r="F712" s="118"/>
      <c r="G712" s="83"/>
      <c r="H712" s="83"/>
      <c r="I712" s="83"/>
      <c r="J712" s="83"/>
      <c r="K712" s="83"/>
      <c r="L712" s="83"/>
      <c r="M712" s="83"/>
      <c r="N712" s="83"/>
      <c r="O712" s="83"/>
      <c r="P712" s="83"/>
      <c r="Q712" s="83"/>
      <c r="R712" s="83"/>
      <c r="S712" s="83"/>
      <c r="T712" s="83"/>
      <c r="U712" s="83"/>
      <c r="V712" s="83"/>
      <c r="W712" s="83"/>
      <c r="X712" s="83"/>
      <c r="Y712" s="83"/>
      <c r="Z712" s="83"/>
      <c r="AA712" s="83"/>
      <c r="AB712" s="83"/>
      <c r="AC712" s="83"/>
      <c r="AD712" s="83"/>
    </row>
    <row r="713">
      <c r="A713" s="83"/>
      <c r="B713" s="83"/>
      <c r="C713" s="83"/>
      <c r="D713" s="83"/>
      <c r="E713" s="118"/>
      <c r="F713" s="118"/>
      <c r="G713" s="83"/>
      <c r="H713" s="83"/>
      <c r="I713" s="83"/>
      <c r="J713" s="83"/>
      <c r="K713" s="83"/>
      <c r="L713" s="83"/>
      <c r="M713" s="83"/>
      <c r="N713" s="83"/>
      <c r="O713" s="83"/>
      <c r="P713" s="83"/>
      <c r="Q713" s="83"/>
      <c r="R713" s="83"/>
      <c r="S713" s="83"/>
      <c r="T713" s="83"/>
      <c r="U713" s="83"/>
      <c r="V713" s="83"/>
      <c r="W713" s="83"/>
      <c r="X713" s="83"/>
      <c r="Y713" s="83"/>
      <c r="Z713" s="83"/>
      <c r="AA713" s="83"/>
      <c r="AB713" s="83"/>
      <c r="AC713" s="83"/>
      <c r="AD713" s="83"/>
    </row>
    <row r="714">
      <c r="A714" s="83"/>
      <c r="B714" s="83"/>
      <c r="C714" s="83"/>
      <c r="D714" s="83"/>
      <c r="E714" s="118"/>
      <c r="F714" s="118"/>
      <c r="G714" s="83"/>
      <c r="H714" s="83"/>
      <c r="I714" s="83"/>
      <c r="J714" s="83"/>
      <c r="K714" s="83"/>
      <c r="L714" s="83"/>
      <c r="M714" s="83"/>
      <c r="N714" s="83"/>
      <c r="O714" s="83"/>
      <c r="P714" s="83"/>
      <c r="Q714" s="83"/>
      <c r="R714" s="83"/>
      <c r="S714" s="83"/>
      <c r="T714" s="83"/>
      <c r="U714" s="83"/>
      <c r="V714" s="83"/>
      <c r="W714" s="83"/>
      <c r="X714" s="83"/>
      <c r="Y714" s="83"/>
      <c r="Z714" s="83"/>
      <c r="AA714" s="83"/>
      <c r="AB714" s="83"/>
      <c r="AC714" s="83"/>
      <c r="AD714" s="83"/>
    </row>
    <row r="715">
      <c r="A715" s="83"/>
      <c r="B715" s="83"/>
      <c r="C715" s="83"/>
      <c r="D715" s="83"/>
      <c r="E715" s="118"/>
      <c r="F715" s="118"/>
      <c r="G715" s="83"/>
      <c r="H715" s="83"/>
      <c r="I715" s="83"/>
      <c r="J715" s="83"/>
      <c r="K715" s="83"/>
      <c r="L715" s="83"/>
      <c r="M715" s="83"/>
      <c r="N715" s="83"/>
      <c r="O715" s="83"/>
      <c r="P715" s="83"/>
      <c r="Q715" s="83"/>
      <c r="R715" s="83"/>
      <c r="S715" s="83"/>
      <c r="T715" s="83"/>
      <c r="U715" s="83"/>
      <c r="V715" s="83"/>
      <c r="W715" s="83"/>
      <c r="X715" s="83"/>
      <c r="Y715" s="83"/>
      <c r="Z715" s="83"/>
      <c r="AA715" s="83"/>
      <c r="AB715" s="83"/>
      <c r="AC715" s="83"/>
      <c r="AD715" s="83"/>
    </row>
    <row r="716">
      <c r="A716" s="83"/>
      <c r="B716" s="83"/>
      <c r="C716" s="83"/>
      <c r="D716" s="83"/>
      <c r="E716" s="118"/>
      <c r="F716" s="118"/>
      <c r="G716" s="83"/>
      <c r="H716" s="83"/>
      <c r="I716" s="83"/>
      <c r="J716" s="83"/>
      <c r="K716" s="83"/>
      <c r="L716" s="83"/>
      <c r="M716" s="83"/>
      <c r="N716" s="83"/>
      <c r="O716" s="83"/>
      <c r="P716" s="83"/>
      <c r="Q716" s="83"/>
      <c r="R716" s="83"/>
      <c r="S716" s="83"/>
      <c r="T716" s="83"/>
      <c r="U716" s="83"/>
      <c r="V716" s="83"/>
      <c r="W716" s="83"/>
      <c r="X716" s="83"/>
      <c r="Y716" s="83"/>
      <c r="Z716" s="83"/>
      <c r="AA716" s="83"/>
      <c r="AB716" s="83"/>
      <c r="AC716" s="83"/>
      <c r="AD716" s="83"/>
    </row>
    <row r="717">
      <c r="A717" s="83"/>
      <c r="B717" s="83"/>
      <c r="C717" s="83"/>
      <c r="D717" s="83"/>
      <c r="E717" s="118"/>
      <c r="F717" s="118"/>
      <c r="G717" s="83"/>
      <c r="H717" s="83"/>
      <c r="I717" s="83"/>
      <c r="J717" s="83"/>
      <c r="K717" s="83"/>
      <c r="L717" s="83"/>
      <c r="M717" s="83"/>
      <c r="N717" s="83"/>
      <c r="O717" s="83"/>
      <c r="P717" s="83"/>
      <c r="Q717" s="83"/>
      <c r="R717" s="83"/>
      <c r="S717" s="83"/>
      <c r="T717" s="83"/>
      <c r="U717" s="83"/>
      <c r="V717" s="83"/>
      <c r="W717" s="83"/>
      <c r="X717" s="83"/>
      <c r="Y717" s="83"/>
      <c r="Z717" s="83"/>
      <c r="AA717" s="83"/>
      <c r="AB717" s="83"/>
      <c r="AC717" s="83"/>
      <c r="AD717" s="83"/>
    </row>
    <row r="718">
      <c r="A718" s="83"/>
      <c r="B718" s="83"/>
      <c r="C718" s="83"/>
      <c r="D718" s="83"/>
      <c r="E718" s="118"/>
      <c r="F718" s="118"/>
      <c r="G718" s="83"/>
      <c r="H718" s="83"/>
      <c r="I718" s="83"/>
      <c r="J718" s="83"/>
      <c r="K718" s="83"/>
      <c r="L718" s="83"/>
      <c r="M718" s="83"/>
      <c r="N718" s="83"/>
      <c r="O718" s="83"/>
      <c r="P718" s="83"/>
      <c r="Q718" s="83"/>
      <c r="R718" s="83"/>
      <c r="S718" s="83"/>
      <c r="T718" s="83"/>
      <c r="U718" s="83"/>
      <c r="V718" s="83"/>
      <c r="W718" s="83"/>
      <c r="X718" s="83"/>
      <c r="Y718" s="83"/>
      <c r="Z718" s="83"/>
      <c r="AA718" s="83"/>
      <c r="AB718" s="83"/>
      <c r="AC718" s="83"/>
      <c r="AD718" s="83"/>
    </row>
    <row r="719">
      <c r="A719" s="83"/>
      <c r="B719" s="83"/>
      <c r="C719" s="83"/>
      <c r="D719" s="83"/>
      <c r="E719" s="118"/>
      <c r="F719" s="118"/>
      <c r="G719" s="83"/>
      <c r="H719" s="83"/>
      <c r="I719" s="83"/>
      <c r="J719" s="83"/>
      <c r="K719" s="83"/>
      <c r="L719" s="83"/>
      <c r="M719" s="83"/>
      <c r="N719" s="83"/>
      <c r="O719" s="83"/>
      <c r="P719" s="83"/>
      <c r="Q719" s="83"/>
      <c r="R719" s="83"/>
      <c r="S719" s="83"/>
      <c r="T719" s="83"/>
      <c r="U719" s="83"/>
      <c r="V719" s="83"/>
      <c r="W719" s="83"/>
      <c r="X719" s="83"/>
      <c r="Y719" s="83"/>
      <c r="Z719" s="83"/>
      <c r="AA719" s="83"/>
      <c r="AB719" s="83"/>
      <c r="AC719" s="83"/>
      <c r="AD719" s="83"/>
    </row>
    <row r="720">
      <c r="A720" s="83"/>
      <c r="B720" s="83"/>
      <c r="C720" s="83"/>
      <c r="D720" s="83"/>
      <c r="E720" s="118"/>
      <c r="F720" s="118"/>
      <c r="G720" s="83"/>
      <c r="H720" s="83"/>
      <c r="I720" s="83"/>
      <c r="J720" s="83"/>
      <c r="K720" s="83"/>
      <c r="L720" s="83"/>
      <c r="M720" s="83"/>
      <c r="N720" s="83"/>
      <c r="O720" s="83"/>
      <c r="P720" s="83"/>
      <c r="Q720" s="83"/>
      <c r="R720" s="83"/>
      <c r="S720" s="83"/>
      <c r="T720" s="83"/>
      <c r="U720" s="83"/>
      <c r="V720" s="83"/>
      <c r="W720" s="83"/>
      <c r="X720" s="83"/>
      <c r="Y720" s="83"/>
      <c r="Z720" s="83"/>
      <c r="AA720" s="83"/>
      <c r="AB720" s="83"/>
      <c r="AC720" s="83"/>
      <c r="AD720" s="83"/>
    </row>
    <row r="721">
      <c r="A721" s="83"/>
      <c r="B721" s="83"/>
      <c r="C721" s="83"/>
      <c r="D721" s="83"/>
      <c r="E721" s="118"/>
      <c r="F721" s="118"/>
      <c r="G721" s="83"/>
      <c r="H721" s="83"/>
      <c r="I721" s="83"/>
      <c r="J721" s="83"/>
      <c r="K721" s="83"/>
      <c r="L721" s="83"/>
      <c r="M721" s="83"/>
      <c r="N721" s="83"/>
      <c r="O721" s="83"/>
      <c r="P721" s="83"/>
      <c r="Q721" s="83"/>
      <c r="R721" s="83"/>
      <c r="S721" s="83"/>
      <c r="T721" s="83"/>
      <c r="U721" s="83"/>
      <c r="V721" s="83"/>
      <c r="W721" s="83"/>
      <c r="X721" s="83"/>
      <c r="Y721" s="83"/>
      <c r="Z721" s="83"/>
      <c r="AA721" s="83"/>
      <c r="AB721" s="83"/>
      <c r="AC721" s="83"/>
      <c r="AD721" s="83"/>
    </row>
    <row r="722">
      <c r="A722" s="83"/>
      <c r="B722" s="83"/>
      <c r="C722" s="83"/>
      <c r="D722" s="83"/>
      <c r="E722" s="118"/>
      <c r="F722" s="118"/>
      <c r="G722" s="83"/>
      <c r="H722" s="83"/>
      <c r="I722" s="83"/>
      <c r="J722" s="83"/>
      <c r="K722" s="83"/>
      <c r="L722" s="83"/>
      <c r="M722" s="83"/>
      <c r="N722" s="83"/>
      <c r="O722" s="83"/>
      <c r="P722" s="83"/>
      <c r="Q722" s="83"/>
      <c r="R722" s="83"/>
      <c r="S722" s="83"/>
      <c r="T722" s="83"/>
      <c r="U722" s="83"/>
      <c r="V722" s="83"/>
      <c r="W722" s="83"/>
      <c r="X722" s="83"/>
      <c r="Y722" s="83"/>
      <c r="Z722" s="83"/>
      <c r="AA722" s="83"/>
      <c r="AB722" s="83"/>
      <c r="AC722" s="83"/>
      <c r="AD722" s="83"/>
    </row>
    <row r="723">
      <c r="A723" s="83"/>
      <c r="B723" s="83"/>
      <c r="C723" s="83"/>
      <c r="D723" s="83"/>
      <c r="E723" s="118"/>
      <c r="F723" s="118"/>
      <c r="G723" s="83"/>
      <c r="H723" s="83"/>
      <c r="I723" s="83"/>
      <c r="J723" s="83"/>
      <c r="K723" s="83"/>
      <c r="L723" s="83"/>
      <c r="M723" s="83"/>
      <c r="N723" s="83"/>
      <c r="O723" s="83"/>
      <c r="P723" s="83"/>
      <c r="Q723" s="83"/>
      <c r="R723" s="83"/>
      <c r="S723" s="83"/>
      <c r="T723" s="83"/>
      <c r="U723" s="83"/>
      <c r="V723" s="83"/>
      <c r="W723" s="83"/>
      <c r="X723" s="83"/>
      <c r="Y723" s="83"/>
      <c r="Z723" s="83"/>
      <c r="AA723" s="83"/>
      <c r="AB723" s="83"/>
      <c r="AC723" s="83"/>
      <c r="AD723" s="83"/>
    </row>
    <row r="724">
      <c r="A724" s="83"/>
      <c r="B724" s="83"/>
      <c r="C724" s="83"/>
      <c r="D724" s="83"/>
      <c r="E724" s="118"/>
      <c r="F724" s="118"/>
      <c r="G724" s="83"/>
      <c r="H724" s="83"/>
      <c r="I724" s="83"/>
      <c r="J724" s="83"/>
      <c r="K724" s="83"/>
      <c r="L724" s="83"/>
      <c r="M724" s="83"/>
      <c r="N724" s="83"/>
      <c r="O724" s="83"/>
      <c r="P724" s="83"/>
      <c r="Q724" s="83"/>
      <c r="R724" s="83"/>
      <c r="S724" s="83"/>
      <c r="T724" s="83"/>
      <c r="U724" s="83"/>
      <c r="V724" s="83"/>
      <c r="W724" s="83"/>
      <c r="X724" s="83"/>
      <c r="Y724" s="83"/>
      <c r="Z724" s="83"/>
      <c r="AA724" s="83"/>
      <c r="AB724" s="83"/>
      <c r="AC724" s="83"/>
      <c r="AD724" s="83"/>
    </row>
    <row r="725">
      <c r="A725" s="83"/>
      <c r="B725" s="83"/>
      <c r="C725" s="83"/>
      <c r="D725" s="83"/>
      <c r="E725" s="118"/>
      <c r="F725" s="118"/>
      <c r="G725" s="83"/>
      <c r="H725" s="83"/>
      <c r="I725" s="83"/>
      <c r="J725" s="83"/>
      <c r="K725" s="83"/>
      <c r="L725" s="83"/>
      <c r="M725" s="83"/>
      <c r="N725" s="83"/>
      <c r="O725" s="83"/>
      <c r="P725" s="83"/>
      <c r="Q725" s="83"/>
      <c r="R725" s="83"/>
      <c r="S725" s="83"/>
      <c r="T725" s="83"/>
      <c r="U725" s="83"/>
      <c r="V725" s="83"/>
      <c r="W725" s="83"/>
      <c r="X725" s="83"/>
      <c r="Y725" s="83"/>
      <c r="Z725" s="83"/>
      <c r="AA725" s="83"/>
      <c r="AB725" s="83"/>
      <c r="AC725" s="83"/>
      <c r="AD725" s="83"/>
    </row>
    <row r="726">
      <c r="A726" s="83"/>
      <c r="B726" s="83"/>
      <c r="C726" s="83"/>
      <c r="D726" s="83"/>
      <c r="E726" s="118"/>
      <c r="F726" s="118"/>
      <c r="G726" s="83"/>
      <c r="H726" s="83"/>
      <c r="I726" s="83"/>
      <c r="J726" s="83"/>
      <c r="K726" s="83"/>
      <c r="L726" s="83"/>
      <c r="M726" s="83"/>
      <c r="N726" s="83"/>
      <c r="O726" s="83"/>
      <c r="P726" s="83"/>
      <c r="Q726" s="83"/>
      <c r="R726" s="83"/>
      <c r="S726" s="83"/>
      <c r="T726" s="83"/>
      <c r="U726" s="83"/>
      <c r="V726" s="83"/>
      <c r="W726" s="83"/>
      <c r="X726" s="83"/>
      <c r="Y726" s="83"/>
      <c r="Z726" s="83"/>
      <c r="AA726" s="83"/>
      <c r="AB726" s="83"/>
      <c r="AC726" s="83"/>
      <c r="AD726" s="83"/>
    </row>
    <row r="727">
      <c r="A727" s="83"/>
      <c r="B727" s="83"/>
      <c r="C727" s="83"/>
      <c r="D727" s="83"/>
      <c r="E727" s="118"/>
      <c r="F727" s="118"/>
      <c r="G727" s="83"/>
      <c r="H727" s="83"/>
      <c r="I727" s="83"/>
      <c r="J727" s="83"/>
      <c r="K727" s="83"/>
      <c r="L727" s="83"/>
      <c r="M727" s="83"/>
      <c r="N727" s="83"/>
      <c r="O727" s="83"/>
      <c r="P727" s="83"/>
      <c r="Q727" s="83"/>
      <c r="R727" s="83"/>
      <c r="S727" s="83"/>
      <c r="T727" s="83"/>
      <c r="U727" s="83"/>
      <c r="V727" s="83"/>
      <c r="W727" s="83"/>
      <c r="X727" s="83"/>
      <c r="Y727" s="83"/>
      <c r="Z727" s="83"/>
      <c r="AA727" s="83"/>
      <c r="AB727" s="83"/>
      <c r="AC727" s="83"/>
      <c r="AD727" s="83"/>
    </row>
    <row r="728">
      <c r="A728" s="83"/>
      <c r="B728" s="83"/>
      <c r="C728" s="83"/>
      <c r="D728" s="83"/>
      <c r="E728" s="118"/>
      <c r="F728" s="118"/>
      <c r="G728" s="83"/>
      <c r="H728" s="83"/>
      <c r="I728" s="83"/>
      <c r="J728" s="83"/>
      <c r="K728" s="83"/>
      <c r="L728" s="83"/>
      <c r="M728" s="83"/>
      <c r="N728" s="83"/>
      <c r="O728" s="83"/>
      <c r="P728" s="83"/>
      <c r="Q728" s="83"/>
      <c r="R728" s="83"/>
      <c r="S728" s="83"/>
      <c r="T728" s="83"/>
      <c r="U728" s="83"/>
      <c r="V728" s="83"/>
      <c r="W728" s="83"/>
      <c r="X728" s="83"/>
      <c r="Y728" s="83"/>
      <c r="Z728" s="83"/>
      <c r="AA728" s="83"/>
      <c r="AB728" s="83"/>
      <c r="AC728" s="83"/>
      <c r="AD728" s="83"/>
    </row>
    <row r="729">
      <c r="A729" s="83"/>
      <c r="B729" s="83"/>
      <c r="C729" s="83"/>
      <c r="D729" s="83"/>
      <c r="E729" s="118"/>
      <c r="F729" s="118"/>
      <c r="G729" s="83"/>
      <c r="H729" s="83"/>
      <c r="I729" s="83"/>
      <c r="J729" s="83"/>
      <c r="K729" s="83"/>
      <c r="L729" s="83"/>
      <c r="M729" s="83"/>
      <c r="N729" s="83"/>
      <c r="O729" s="83"/>
      <c r="P729" s="83"/>
      <c r="Q729" s="83"/>
      <c r="R729" s="83"/>
      <c r="S729" s="83"/>
      <c r="T729" s="83"/>
      <c r="U729" s="83"/>
      <c r="V729" s="83"/>
      <c r="W729" s="83"/>
      <c r="X729" s="83"/>
      <c r="Y729" s="83"/>
      <c r="Z729" s="83"/>
      <c r="AA729" s="83"/>
      <c r="AB729" s="83"/>
      <c r="AC729" s="83"/>
      <c r="AD729" s="83"/>
    </row>
    <row r="730">
      <c r="A730" s="83"/>
      <c r="B730" s="83"/>
      <c r="C730" s="83"/>
      <c r="D730" s="83"/>
      <c r="E730" s="118"/>
      <c r="F730" s="118"/>
      <c r="G730" s="83"/>
      <c r="H730" s="83"/>
      <c r="I730" s="83"/>
      <c r="J730" s="83"/>
      <c r="K730" s="83"/>
      <c r="L730" s="83"/>
      <c r="M730" s="83"/>
      <c r="N730" s="83"/>
      <c r="O730" s="83"/>
      <c r="P730" s="83"/>
      <c r="Q730" s="83"/>
      <c r="R730" s="83"/>
      <c r="S730" s="83"/>
      <c r="T730" s="83"/>
      <c r="U730" s="83"/>
      <c r="V730" s="83"/>
      <c r="W730" s="83"/>
      <c r="X730" s="83"/>
      <c r="Y730" s="83"/>
      <c r="Z730" s="83"/>
      <c r="AA730" s="83"/>
      <c r="AB730" s="83"/>
      <c r="AC730" s="83"/>
      <c r="AD730" s="83"/>
    </row>
    <row r="731">
      <c r="A731" s="83"/>
      <c r="B731" s="83"/>
      <c r="C731" s="83"/>
      <c r="D731" s="83"/>
      <c r="E731" s="118"/>
      <c r="F731" s="118"/>
      <c r="G731" s="83"/>
      <c r="H731" s="83"/>
      <c r="I731" s="83"/>
      <c r="J731" s="83"/>
      <c r="K731" s="83"/>
      <c r="L731" s="83"/>
      <c r="M731" s="83"/>
      <c r="N731" s="83"/>
      <c r="O731" s="83"/>
      <c r="P731" s="83"/>
      <c r="Q731" s="83"/>
      <c r="R731" s="83"/>
      <c r="S731" s="83"/>
      <c r="T731" s="83"/>
      <c r="U731" s="83"/>
      <c r="V731" s="83"/>
      <c r="W731" s="83"/>
      <c r="X731" s="83"/>
      <c r="Y731" s="83"/>
      <c r="Z731" s="83"/>
      <c r="AA731" s="83"/>
      <c r="AB731" s="83"/>
      <c r="AC731" s="83"/>
      <c r="AD731" s="83"/>
    </row>
    <row r="732">
      <c r="A732" s="83"/>
      <c r="B732" s="83"/>
      <c r="C732" s="83"/>
      <c r="D732" s="83"/>
      <c r="E732" s="118"/>
      <c r="F732" s="118"/>
      <c r="G732" s="83"/>
      <c r="H732" s="83"/>
      <c r="I732" s="83"/>
      <c r="J732" s="83"/>
      <c r="K732" s="83"/>
      <c r="L732" s="83"/>
      <c r="M732" s="83"/>
      <c r="N732" s="83"/>
      <c r="O732" s="83"/>
      <c r="P732" s="83"/>
      <c r="Q732" s="83"/>
      <c r="R732" s="83"/>
      <c r="S732" s="83"/>
      <c r="T732" s="83"/>
      <c r="U732" s="83"/>
      <c r="V732" s="83"/>
      <c r="W732" s="83"/>
      <c r="X732" s="83"/>
      <c r="Y732" s="83"/>
      <c r="Z732" s="83"/>
      <c r="AA732" s="83"/>
      <c r="AB732" s="83"/>
      <c r="AC732" s="83"/>
      <c r="AD732" s="83"/>
    </row>
    <row r="733">
      <c r="A733" s="83"/>
      <c r="B733" s="83"/>
      <c r="C733" s="83"/>
      <c r="D733" s="83"/>
      <c r="E733" s="118"/>
      <c r="F733" s="118"/>
      <c r="G733" s="83"/>
      <c r="H733" s="83"/>
      <c r="I733" s="83"/>
      <c r="J733" s="83"/>
      <c r="K733" s="83"/>
      <c r="L733" s="83"/>
      <c r="M733" s="83"/>
      <c r="N733" s="83"/>
      <c r="O733" s="83"/>
      <c r="P733" s="83"/>
      <c r="Q733" s="83"/>
      <c r="R733" s="83"/>
      <c r="S733" s="83"/>
      <c r="T733" s="83"/>
      <c r="U733" s="83"/>
      <c r="V733" s="83"/>
      <c r="W733" s="83"/>
      <c r="X733" s="83"/>
      <c r="Y733" s="83"/>
      <c r="Z733" s="83"/>
      <c r="AA733" s="83"/>
      <c r="AB733" s="83"/>
      <c r="AC733" s="83"/>
      <c r="AD733" s="83"/>
    </row>
    <row r="734">
      <c r="A734" s="83"/>
      <c r="B734" s="83"/>
      <c r="C734" s="83"/>
      <c r="D734" s="83"/>
      <c r="E734" s="118"/>
      <c r="F734" s="118"/>
      <c r="G734" s="83"/>
      <c r="H734" s="83"/>
      <c r="I734" s="83"/>
      <c r="J734" s="83"/>
      <c r="K734" s="83"/>
      <c r="L734" s="83"/>
      <c r="M734" s="83"/>
      <c r="N734" s="83"/>
      <c r="O734" s="83"/>
      <c r="P734" s="83"/>
      <c r="Q734" s="83"/>
      <c r="R734" s="83"/>
      <c r="S734" s="83"/>
      <c r="T734" s="83"/>
      <c r="U734" s="83"/>
      <c r="V734" s="83"/>
      <c r="W734" s="83"/>
      <c r="X734" s="83"/>
      <c r="Y734" s="83"/>
      <c r="Z734" s="83"/>
      <c r="AA734" s="83"/>
      <c r="AB734" s="83"/>
      <c r="AC734" s="83"/>
      <c r="AD734" s="83"/>
    </row>
    <row r="735">
      <c r="A735" s="83"/>
      <c r="B735" s="83"/>
      <c r="C735" s="83"/>
      <c r="D735" s="83"/>
      <c r="E735" s="118"/>
      <c r="F735" s="118"/>
      <c r="G735" s="83"/>
      <c r="H735" s="83"/>
      <c r="I735" s="83"/>
      <c r="J735" s="83"/>
      <c r="K735" s="83"/>
      <c r="L735" s="83"/>
      <c r="M735" s="83"/>
      <c r="N735" s="83"/>
      <c r="O735" s="83"/>
      <c r="P735" s="83"/>
      <c r="Q735" s="83"/>
      <c r="R735" s="83"/>
      <c r="S735" s="83"/>
      <c r="T735" s="83"/>
      <c r="U735" s="83"/>
      <c r="V735" s="83"/>
      <c r="W735" s="83"/>
      <c r="X735" s="83"/>
      <c r="Y735" s="83"/>
      <c r="Z735" s="83"/>
      <c r="AA735" s="83"/>
      <c r="AB735" s="83"/>
      <c r="AC735" s="83"/>
      <c r="AD735" s="83"/>
    </row>
    <row r="736">
      <c r="A736" s="83"/>
      <c r="B736" s="83"/>
      <c r="C736" s="83"/>
      <c r="D736" s="83"/>
      <c r="E736" s="118"/>
      <c r="F736" s="118"/>
      <c r="G736" s="83"/>
      <c r="H736" s="83"/>
      <c r="I736" s="83"/>
      <c r="J736" s="83"/>
      <c r="K736" s="83"/>
      <c r="L736" s="83"/>
      <c r="M736" s="83"/>
      <c r="N736" s="83"/>
      <c r="O736" s="83"/>
      <c r="P736" s="83"/>
      <c r="Q736" s="83"/>
      <c r="R736" s="83"/>
      <c r="S736" s="83"/>
      <c r="T736" s="83"/>
      <c r="U736" s="83"/>
      <c r="V736" s="83"/>
      <c r="W736" s="83"/>
      <c r="X736" s="83"/>
      <c r="Y736" s="83"/>
      <c r="Z736" s="83"/>
      <c r="AA736" s="83"/>
      <c r="AB736" s="83"/>
      <c r="AC736" s="83"/>
      <c r="AD736" s="83"/>
    </row>
    <row r="737">
      <c r="A737" s="83"/>
      <c r="B737" s="83"/>
      <c r="C737" s="83"/>
      <c r="D737" s="83"/>
      <c r="E737" s="118"/>
      <c r="F737" s="118"/>
      <c r="G737" s="83"/>
      <c r="H737" s="83"/>
      <c r="I737" s="83"/>
      <c r="J737" s="83"/>
      <c r="K737" s="83"/>
      <c r="L737" s="83"/>
      <c r="M737" s="83"/>
      <c r="N737" s="83"/>
      <c r="O737" s="83"/>
      <c r="P737" s="83"/>
      <c r="Q737" s="83"/>
      <c r="R737" s="83"/>
      <c r="S737" s="83"/>
      <c r="T737" s="83"/>
      <c r="U737" s="83"/>
      <c r="V737" s="83"/>
      <c r="W737" s="83"/>
      <c r="X737" s="83"/>
      <c r="Y737" s="83"/>
      <c r="Z737" s="83"/>
      <c r="AA737" s="83"/>
      <c r="AB737" s="83"/>
      <c r="AC737" s="83"/>
      <c r="AD737" s="83"/>
    </row>
    <row r="738">
      <c r="A738" s="83"/>
      <c r="B738" s="83"/>
      <c r="C738" s="83"/>
      <c r="D738" s="83"/>
      <c r="E738" s="118"/>
      <c r="F738" s="118"/>
      <c r="G738" s="83"/>
      <c r="H738" s="83"/>
      <c r="I738" s="83"/>
      <c r="J738" s="83"/>
      <c r="K738" s="83"/>
      <c r="L738" s="83"/>
      <c r="M738" s="83"/>
      <c r="N738" s="83"/>
      <c r="O738" s="83"/>
      <c r="P738" s="83"/>
      <c r="Q738" s="83"/>
      <c r="R738" s="83"/>
      <c r="S738" s="83"/>
      <c r="T738" s="83"/>
      <c r="U738" s="83"/>
      <c r="V738" s="83"/>
      <c r="W738" s="83"/>
      <c r="X738" s="83"/>
      <c r="Y738" s="83"/>
      <c r="Z738" s="83"/>
      <c r="AA738" s="83"/>
      <c r="AB738" s="83"/>
      <c r="AC738" s="83"/>
      <c r="AD738" s="83"/>
    </row>
    <row r="739">
      <c r="A739" s="83"/>
      <c r="B739" s="83"/>
      <c r="C739" s="83"/>
      <c r="D739" s="83"/>
      <c r="E739" s="118"/>
      <c r="F739" s="118"/>
      <c r="G739" s="83"/>
      <c r="H739" s="83"/>
      <c r="I739" s="83"/>
      <c r="J739" s="83"/>
      <c r="K739" s="83"/>
      <c r="L739" s="83"/>
      <c r="M739" s="83"/>
      <c r="N739" s="83"/>
      <c r="O739" s="83"/>
      <c r="P739" s="83"/>
      <c r="Q739" s="83"/>
      <c r="R739" s="83"/>
      <c r="S739" s="83"/>
      <c r="T739" s="83"/>
      <c r="U739" s="83"/>
      <c r="V739" s="83"/>
      <c r="W739" s="83"/>
      <c r="X739" s="83"/>
      <c r="Y739" s="83"/>
      <c r="Z739" s="83"/>
      <c r="AA739" s="83"/>
      <c r="AB739" s="83"/>
      <c r="AC739" s="83"/>
      <c r="AD739" s="83"/>
    </row>
    <row r="740">
      <c r="A740" s="83"/>
      <c r="B740" s="83"/>
      <c r="C740" s="83"/>
      <c r="D740" s="83"/>
      <c r="E740" s="118"/>
      <c r="F740" s="118"/>
      <c r="G740" s="83"/>
      <c r="H740" s="83"/>
      <c r="I740" s="83"/>
      <c r="J740" s="83"/>
      <c r="K740" s="83"/>
      <c r="L740" s="83"/>
      <c r="M740" s="83"/>
      <c r="N740" s="83"/>
      <c r="O740" s="83"/>
      <c r="P740" s="83"/>
      <c r="Q740" s="83"/>
      <c r="R740" s="83"/>
      <c r="S740" s="83"/>
      <c r="T740" s="83"/>
      <c r="U740" s="83"/>
      <c r="V740" s="83"/>
      <c r="W740" s="83"/>
      <c r="X740" s="83"/>
      <c r="Y740" s="83"/>
      <c r="Z740" s="83"/>
      <c r="AA740" s="83"/>
      <c r="AB740" s="83"/>
      <c r="AC740" s="83"/>
      <c r="AD740" s="83"/>
    </row>
    <row r="741">
      <c r="A741" s="83"/>
      <c r="B741" s="83"/>
      <c r="C741" s="83"/>
      <c r="D741" s="83"/>
      <c r="E741" s="118"/>
      <c r="F741" s="118"/>
      <c r="G741" s="83"/>
      <c r="H741" s="83"/>
      <c r="I741" s="83"/>
      <c r="J741" s="83"/>
      <c r="K741" s="83"/>
      <c r="L741" s="83"/>
      <c r="M741" s="83"/>
      <c r="N741" s="83"/>
      <c r="O741" s="83"/>
      <c r="P741" s="83"/>
      <c r="Q741" s="83"/>
      <c r="R741" s="83"/>
      <c r="S741" s="83"/>
      <c r="T741" s="83"/>
      <c r="U741" s="83"/>
      <c r="V741" s="83"/>
      <c r="W741" s="83"/>
      <c r="X741" s="83"/>
      <c r="Y741" s="83"/>
      <c r="Z741" s="83"/>
      <c r="AA741" s="83"/>
      <c r="AB741" s="83"/>
      <c r="AC741" s="83"/>
      <c r="AD741" s="83"/>
    </row>
    <row r="742">
      <c r="A742" s="83"/>
      <c r="B742" s="83"/>
      <c r="C742" s="83"/>
      <c r="D742" s="83"/>
      <c r="E742" s="118"/>
      <c r="F742" s="118"/>
      <c r="G742" s="83"/>
      <c r="H742" s="83"/>
      <c r="I742" s="83"/>
      <c r="J742" s="83"/>
      <c r="K742" s="83"/>
      <c r="L742" s="83"/>
      <c r="M742" s="83"/>
      <c r="N742" s="83"/>
      <c r="O742" s="83"/>
      <c r="P742" s="83"/>
      <c r="Q742" s="83"/>
      <c r="R742" s="83"/>
      <c r="S742" s="83"/>
      <c r="T742" s="83"/>
      <c r="U742" s="83"/>
      <c r="V742" s="83"/>
      <c r="W742" s="83"/>
      <c r="X742" s="83"/>
      <c r="Y742" s="83"/>
      <c r="Z742" s="83"/>
      <c r="AA742" s="83"/>
      <c r="AB742" s="83"/>
      <c r="AC742" s="83"/>
      <c r="AD742" s="83"/>
    </row>
    <row r="743">
      <c r="A743" s="83"/>
      <c r="B743" s="83"/>
      <c r="C743" s="83"/>
      <c r="D743" s="83"/>
      <c r="E743" s="118"/>
      <c r="F743" s="118"/>
      <c r="G743" s="83"/>
      <c r="H743" s="83"/>
      <c r="I743" s="83"/>
      <c r="J743" s="83"/>
      <c r="K743" s="83"/>
      <c r="L743" s="83"/>
      <c r="M743" s="83"/>
      <c r="N743" s="83"/>
      <c r="O743" s="83"/>
      <c r="P743" s="83"/>
      <c r="Q743" s="83"/>
      <c r="R743" s="83"/>
      <c r="S743" s="83"/>
      <c r="T743" s="83"/>
      <c r="U743" s="83"/>
      <c r="V743" s="83"/>
      <c r="W743" s="83"/>
      <c r="X743" s="83"/>
      <c r="Y743" s="83"/>
      <c r="Z743" s="83"/>
      <c r="AA743" s="83"/>
      <c r="AB743" s="83"/>
      <c r="AC743" s="83"/>
      <c r="AD743" s="83"/>
    </row>
    <row r="744">
      <c r="A744" s="83"/>
      <c r="B744" s="83"/>
      <c r="C744" s="83"/>
      <c r="D744" s="83"/>
      <c r="E744" s="118"/>
      <c r="F744" s="118"/>
      <c r="G744" s="83"/>
      <c r="H744" s="83"/>
      <c r="I744" s="83"/>
      <c r="J744" s="83"/>
      <c r="K744" s="83"/>
      <c r="L744" s="83"/>
      <c r="M744" s="83"/>
      <c r="N744" s="83"/>
      <c r="O744" s="83"/>
      <c r="P744" s="83"/>
      <c r="Q744" s="83"/>
      <c r="R744" s="83"/>
      <c r="S744" s="83"/>
      <c r="T744" s="83"/>
      <c r="U744" s="83"/>
      <c r="V744" s="83"/>
      <c r="W744" s="83"/>
      <c r="X744" s="83"/>
      <c r="Y744" s="83"/>
      <c r="Z744" s="83"/>
      <c r="AA744" s="83"/>
      <c r="AB744" s="83"/>
      <c r="AC744" s="83"/>
      <c r="AD744" s="83"/>
    </row>
    <row r="745">
      <c r="A745" s="83"/>
      <c r="B745" s="83"/>
      <c r="C745" s="83"/>
      <c r="D745" s="83"/>
      <c r="E745" s="118"/>
      <c r="F745" s="118"/>
      <c r="G745" s="83"/>
      <c r="H745" s="83"/>
      <c r="I745" s="83"/>
      <c r="J745" s="83"/>
      <c r="K745" s="83"/>
      <c r="L745" s="83"/>
      <c r="M745" s="83"/>
      <c r="N745" s="83"/>
      <c r="O745" s="83"/>
      <c r="P745" s="83"/>
      <c r="Q745" s="83"/>
      <c r="R745" s="83"/>
      <c r="S745" s="83"/>
      <c r="T745" s="83"/>
      <c r="U745" s="83"/>
      <c r="V745" s="83"/>
      <c r="W745" s="83"/>
      <c r="X745" s="83"/>
      <c r="Y745" s="83"/>
      <c r="Z745" s="83"/>
      <c r="AA745" s="83"/>
      <c r="AB745" s="83"/>
      <c r="AC745" s="83"/>
      <c r="AD745" s="83"/>
    </row>
    <row r="746">
      <c r="A746" s="83"/>
      <c r="B746" s="83"/>
      <c r="C746" s="83"/>
      <c r="D746" s="83"/>
      <c r="E746" s="118"/>
      <c r="F746" s="118"/>
      <c r="G746" s="83"/>
      <c r="H746" s="83"/>
      <c r="I746" s="83"/>
      <c r="J746" s="83"/>
      <c r="K746" s="83"/>
      <c r="L746" s="83"/>
      <c r="M746" s="83"/>
      <c r="N746" s="83"/>
      <c r="O746" s="83"/>
      <c r="P746" s="83"/>
      <c r="Q746" s="83"/>
      <c r="R746" s="83"/>
      <c r="S746" s="83"/>
      <c r="T746" s="83"/>
      <c r="U746" s="83"/>
      <c r="V746" s="83"/>
      <c r="W746" s="83"/>
      <c r="X746" s="83"/>
      <c r="Y746" s="83"/>
      <c r="Z746" s="83"/>
      <c r="AA746" s="83"/>
      <c r="AB746" s="83"/>
      <c r="AC746" s="83"/>
      <c r="AD746" s="83"/>
    </row>
    <row r="747">
      <c r="A747" s="83"/>
      <c r="B747" s="83"/>
      <c r="C747" s="83"/>
      <c r="D747" s="83"/>
      <c r="E747" s="118"/>
      <c r="F747" s="118"/>
      <c r="G747" s="83"/>
      <c r="H747" s="83"/>
      <c r="I747" s="83"/>
      <c r="J747" s="83"/>
      <c r="K747" s="83"/>
      <c r="L747" s="83"/>
      <c r="M747" s="83"/>
      <c r="N747" s="83"/>
      <c r="O747" s="83"/>
      <c r="P747" s="83"/>
      <c r="Q747" s="83"/>
      <c r="R747" s="83"/>
      <c r="S747" s="83"/>
      <c r="T747" s="83"/>
      <c r="U747" s="83"/>
      <c r="V747" s="83"/>
      <c r="W747" s="83"/>
      <c r="X747" s="83"/>
      <c r="Y747" s="83"/>
      <c r="Z747" s="83"/>
      <c r="AA747" s="83"/>
      <c r="AB747" s="83"/>
      <c r="AC747" s="83"/>
      <c r="AD747" s="83"/>
    </row>
    <row r="748">
      <c r="A748" s="83"/>
      <c r="B748" s="83"/>
      <c r="C748" s="83"/>
      <c r="D748" s="83"/>
      <c r="E748" s="118"/>
      <c r="F748" s="118"/>
      <c r="G748" s="83"/>
      <c r="H748" s="83"/>
      <c r="I748" s="83"/>
      <c r="J748" s="83"/>
      <c r="K748" s="83"/>
      <c r="L748" s="83"/>
      <c r="M748" s="83"/>
      <c r="N748" s="83"/>
      <c r="O748" s="83"/>
      <c r="P748" s="83"/>
      <c r="Q748" s="83"/>
      <c r="R748" s="83"/>
      <c r="S748" s="83"/>
      <c r="T748" s="83"/>
      <c r="U748" s="83"/>
      <c r="V748" s="83"/>
      <c r="W748" s="83"/>
      <c r="X748" s="83"/>
      <c r="Y748" s="83"/>
      <c r="Z748" s="83"/>
      <c r="AA748" s="83"/>
      <c r="AB748" s="83"/>
      <c r="AC748" s="83"/>
      <c r="AD748" s="83"/>
    </row>
    <row r="749">
      <c r="A749" s="83"/>
      <c r="B749" s="83"/>
      <c r="C749" s="83"/>
      <c r="D749" s="83"/>
      <c r="E749" s="118"/>
      <c r="F749" s="118"/>
      <c r="G749" s="83"/>
      <c r="H749" s="83"/>
      <c r="I749" s="83"/>
      <c r="J749" s="83"/>
      <c r="K749" s="83"/>
      <c r="L749" s="83"/>
      <c r="M749" s="83"/>
      <c r="N749" s="83"/>
      <c r="O749" s="83"/>
      <c r="P749" s="83"/>
      <c r="Q749" s="83"/>
      <c r="R749" s="83"/>
      <c r="S749" s="83"/>
      <c r="T749" s="83"/>
      <c r="U749" s="83"/>
      <c r="V749" s="83"/>
      <c r="W749" s="83"/>
      <c r="X749" s="83"/>
      <c r="Y749" s="83"/>
      <c r="Z749" s="83"/>
      <c r="AA749" s="83"/>
      <c r="AB749" s="83"/>
      <c r="AC749" s="83"/>
      <c r="AD749" s="83"/>
    </row>
    <row r="750">
      <c r="A750" s="83"/>
      <c r="B750" s="83"/>
      <c r="C750" s="83"/>
      <c r="D750" s="83"/>
      <c r="E750" s="118"/>
      <c r="F750" s="118"/>
      <c r="G750" s="83"/>
      <c r="H750" s="83"/>
      <c r="I750" s="83"/>
      <c r="J750" s="83"/>
      <c r="K750" s="83"/>
      <c r="L750" s="83"/>
      <c r="M750" s="83"/>
      <c r="N750" s="83"/>
      <c r="O750" s="83"/>
      <c r="P750" s="83"/>
      <c r="Q750" s="83"/>
      <c r="R750" s="83"/>
      <c r="S750" s="83"/>
      <c r="T750" s="83"/>
      <c r="U750" s="83"/>
      <c r="V750" s="83"/>
      <c r="W750" s="83"/>
      <c r="X750" s="83"/>
      <c r="Y750" s="83"/>
      <c r="Z750" s="83"/>
      <c r="AA750" s="83"/>
      <c r="AB750" s="83"/>
      <c r="AC750" s="83"/>
      <c r="AD750" s="83"/>
    </row>
    <row r="751">
      <c r="A751" s="83"/>
      <c r="B751" s="83"/>
      <c r="C751" s="83"/>
      <c r="D751" s="83"/>
      <c r="E751" s="118"/>
      <c r="F751" s="118"/>
      <c r="G751" s="83"/>
      <c r="H751" s="83"/>
      <c r="I751" s="83"/>
      <c r="J751" s="83"/>
      <c r="K751" s="83"/>
      <c r="L751" s="83"/>
      <c r="M751" s="83"/>
      <c r="N751" s="83"/>
      <c r="O751" s="83"/>
      <c r="P751" s="83"/>
      <c r="Q751" s="83"/>
      <c r="R751" s="83"/>
      <c r="S751" s="83"/>
      <c r="T751" s="83"/>
      <c r="U751" s="83"/>
      <c r="V751" s="83"/>
      <c r="W751" s="83"/>
      <c r="X751" s="83"/>
      <c r="Y751" s="83"/>
      <c r="Z751" s="83"/>
      <c r="AA751" s="83"/>
      <c r="AB751" s="83"/>
      <c r="AC751" s="83"/>
      <c r="AD751" s="83"/>
    </row>
    <row r="752">
      <c r="A752" s="83"/>
      <c r="B752" s="83"/>
      <c r="C752" s="83"/>
      <c r="D752" s="83"/>
      <c r="E752" s="118"/>
      <c r="F752" s="118"/>
      <c r="G752" s="83"/>
      <c r="H752" s="83"/>
      <c r="I752" s="83"/>
      <c r="J752" s="83"/>
      <c r="K752" s="83"/>
      <c r="L752" s="83"/>
      <c r="M752" s="83"/>
      <c r="N752" s="83"/>
      <c r="O752" s="83"/>
      <c r="P752" s="83"/>
      <c r="Q752" s="83"/>
      <c r="R752" s="83"/>
      <c r="S752" s="83"/>
      <c r="T752" s="83"/>
      <c r="U752" s="83"/>
      <c r="V752" s="83"/>
      <c r="W752" s="83"/>
      <c r="X752" s="83"/>
      <c r="Y752" s="83"/>
      <c r="Z752" s="83"/>
      <c r="AA752" s="83"/>
      <c r="AB752" s="83"/>
      <c r="AC752" s="83"/>
      <c r="AD752" s="83"/>
    </row>
    <row r="753">
      <c r="A753" s="83"/>
      <c r="B753" s="83"/>
      <c r="C753" s="83"/>
      <c r="D753" s="83"/>
      <c r="E753" s="118"/>
      <c r="F753" s="118"/>
      <c r="G753" s="83"/>
      <c r="H753" s="83"/>
      <c r="I753" s="83"/>
      <c r="J753" s="83"/>
      <c r="K753" s="83"/>
      <c r="L753" s="83"/>
      <c r="M753" s="83"/>
      <c r="N753" s="83"/>
      <c r="O753" s="83"/>
      <c r="P753" s="83"/>
      <c r="Q753" s="83"/>
      <c r="R753" s="83"/>
      <c r="S753" s="83"/>
      <c r="T753" s="83"/>
      <c r="U753" s="83"/>
      <c r="V753" s="83"/>
      <c r="W753" s="83"/>
      <c r="X753" s="83"/>
      <c r="Y753" s="83"/>
      <c r="Z753" s="83"/>
      <c r="AA753" s="83"/>
      <c r="AB753" s="83"/>
      <c r="AC753" s="83"/>
      <c r="AD753" s="83"/>
    </row>
    <row r="754">
      <c r="A754" s="83"/>
      <c r="B754" s="83"/>
      <c r="C754" s="83"/>
      <c r="D754" s="83"/>
      <c r="E754" s="118"/>
      <c r="F754" s="118"/>
      <c r="G754" s="83"/>
      <c r="H754" s="83"/>
      <c r="I754" s="83"/>
      <c r="J754" s="83"/>
      <c r="K754" s="83"/>
      <c r="L754" s="83"/>
      <c r="M754" s="83"/>
      <c r="N754" s="83"/>
      <c r="O754" s="83"/>
      <c r="P754" s="83"/>
      <c r="Q754" s="83"/>
      <c r="R754" s="83"/>
      <c r="S754" s="83"/>
      <c r="T754" s="83"/>
      <c r="U754" s="83"/>
      <c r="V754" s="83"/>
      <c r="W754" s="83"/>
      <c r="X754" s="83"/>
      <c r="Y754" s="83"/>
      <c r="Z754" s="83"/>
      <c r="AA754" s="83"/>
      <c r="AB754" s="83"/>
      <c r="AC754" s="83"/>
      <c r="AD754" s="83"/>
    </row>
    <row r="755">
      <c r="A755" s="83"/>
      <c r="B755" s="83"/>
      <c r="C755" s="83"/>
      <c r="D755" s="83"/>
      <c r="E755" s="118"/>
      <c r="F755" s="118"/>
      <c r="G755" s="83"/>
      <c r="H755" s="83"/>
      <c r="I755" s="83"/>
      <c r="J755" s="83"/>
      <c r="K755" s="83"/>
      <c r="L755" s="83"/>
      <c r="M755" s="83"/>
      <c r="N755" s="83"/>
      <c r="O755" s="83"/>
      <c r="P755" s="83"/>
      <c r="Q755" s="83"/>
      <c r="R755" s="83"/>
      <c r="S755" s="83"/>
      <c r="T755" s="83"/>
      <c r="U755" s="83"/>
      <c r="V755" s="83"/>
      <c r="W755" s="83"/>
      <c r="X755" s="83"/>
      <c r="Y755" s="83"/>
      <c r="Z755" s="83"/>
      <c r="AA755" s="83"/>
      <c r="AB755" s="83"/>
      <c r="AC755" s="83"/>
      <c r="AD755" s="83"/>
    </row>
    <row r="756">
      <c r="A756" s="83"/>
      <c r="B756" s="83"/>
      <c r="C756" s="83"/>
      <c r="D756" s="83"/>
      <c r="E756" s="118"/>
      <c r="F756" s="118"/>
      <c r="G756" s="83"/>
      <c r="H756" s="83"/>
      <c r="I756" s="83"/>
      <c r="J756" s="83"/>
      <c r="K756" s="83"/>
      <c r="L756" s="83"/>
      <c r="M756" s="83"/>
      <c r="N756" s="83"/>
      <c r="O756" s="83"/>
      <c r="P756" s="83"/>
      <c r="Q756" s="83"/>
      <c r="R756" s="83"/>
      <c r="S756" s="83"/>
      <c r="T756" s="83"/>
      <c r="U756" s="83"/>
      <c r="V756" s="83"/>
      <c r="W756" s="83"/>
      <c r="X756" s="83"/>
      <c r="Y756" s="83"/>
      <c r="Z756" s="83"/>
      <c r="AA756" s="83"/>
      <c r="AB756" s="83"/>
      <c r="AC756" s="83"/>
      <c r="AD756" s="83"/>
    </row>
    <row r="757">
      <c r="A757" s="83"/>
      <c r="B757" s="83"/>
      <c r="C757" s="83"/>
      <c r="D757" s="83"/>
      <c r="E757" s="118"/>
      <c r="F757" s="118"/>
      <c r="G757" s="83"/>
      <c r="H757" s="83"/>
      <c r="I757" s="83"/>
      <c r="J757" s="83"/>
      <c r="K757" s="83"/>
      <c r="L757" s="83"/>
      <c r="M757" s="83"/>
      <c r="N757" s="83"/>
      <c r="O757" s="83"/>
      <c r="P757" s="83"/>
      <c r="Q757" s="83"/>
      <c r="R757" s="83"/>
      <c r="S757" s="83"/>
      <c r="T757" s="83"/>
      <c r="U757" s="83"/>
      <c r="V757" s="83"/>
      <c r="W757" s="83"/>
      <c r="X757" s="83"/>
      <c r="Y757" s="83"/>
      <c r="Z757" s="83"/>
      <c r="AA757" s="83"/>
      <c r="AB757" s="83"/>
      <c r="AC757" s="83"/>
      <c r="AD757" s="83"/>
    </row>
    <row r="758">
      <c r="A758" s="83"/>
      <c r="B758" s="83"/>
      <c r="C758" s="83"/>
      <c r="D758" s="83"/>
      <c r="E758" s="118"/>
      <c r="F758" s="118"/>
      <c r="G758" s="83"/>
      <c r="H758" s="83"/>
      <c r="I758" s="83"/>
      <c r="J758" s="83"/>
      <c r="K758" s="83"/>
      <c r="L758" s="83"/>
      <c r="M758" s="83"/>
      <c r="N758" s="83"/>
      <c r="O758" s="83"/>
      <c r="P758" s="83"/>
      <c r="Q758" s="83"/>
      <c r="R758" s="83"/>
      <c r="S758" s="83"/>
      <c r="T758" s="83"/>
      <c r="U758" s="83"/>
      <c r="V758" s="83"/>
      <c r="W758" s="83"/>
      <c r="X758" s="83"/>
      <c r="Y758" s="83"/>
      <c r="Z758" s="83"/>
      <c r="AA758" s="83"/>
      <c r="AB758" s="83"/>
      <c r="AC758" s="83"/>
      <c r="AD758" s="83"/>
    </row>
    <row r="759">
      <c r="A759" s="83"/>
      <c r="B759" s="83"/>
      <c r="C759" s="83"/>
      <c r="D759" s="83"/>
      <c r="E759" s="118"/>
      <c r="F759" s="118"/>
      <c r="G759" s="83"/>
      <c r="H759" s="83"/>
      <c r="I759" s="83"/>
      <c r="J759" s="83"/>
      <c r="K759" s="83"/>
      <c r="L759" s="83"/>
      <c r="M759" s="83"/>
      <c r="N759" s="83"/>
      <c r="O759" s="83"/>
      <c r="P759" s="83"/>
      <c r="Q759" s="83"/>
      <c r="R759" s="83"/>
      <c r="S759" s="83"/>
      <c r="T759" s="83"/>
      <c r="U759" s="83"/>
      <c r="V759" s="83"/>
      <c r="W759" s="83"/>
      <c r="X759" s="83"/>
      <c r="Y759" s="83"/>
      <c r="Z759" s="83"/>
      <c r="AA759" s="83"/>
      <c r="AB759" s="83"/>
      <c r="AC759" s="83"/>
      <c r="AD759" s="83"/>
    </row>
    <row r="760">
      <c r="A760" s="83"/>
      <c r="B760" s="83"/>
      <c r="C760" s="83"/>
      <c r="D760" s="83"/>
      <c r="E760" s="118"/>
      <c r="F760" s="118"/>
      <c r="G760" s="83"/>
      <c r="H760" s="83"/>
      <c r="I760" s="83"/>
      <c r="J760" s="83"/>
      <c r="K760" s="83"/>
      <c r="L760" s="83"/>
      <c r="M760" s="83"/>
      <c r="N760" s="83"/>
      <c r="O760" s="83"/>
      <c r="P760" s="83"/>
      <c r="Q760" s="83"/>
      <c r="R760" s="83"/>
      <c r="S760" s="83"/>
      <c r="T760" s="83"/>
      <c r="U760" s="83"/>
      <c r="V760" s="83"/>
      <c r="W760" s="83"/>
      <c r="X760" s="83"/>
      <c r="Y760" s="83"/>
      <c r="Z760" s="83"/>
      <c r="AA760" s="83"/>
      <c r="AB760" s="83"/>
      <c r="AC760" s="83"/>
      <c r="AD760" s="83"/>
    </row>
    <row r="761">
      <c r="A761" s="83"/>
      <c r="B761" s="83"/>
      <c r="C761" s="83"/>
      <c r="D761" s="83"/>
      <c r="E761" s="118"/>
      <c r="F761" s="118"/>
      <c r="G761" s="83"/>
      <c r="H761" s="83"/>
      <c r="I761" s="83"/>
      <c r="J761" s="83"/>
      <c r="K761" s="83"/>
      <c r="L761" s="83"/>
      <c r="M761" s="83"/>
      <c r="N761" s="83"/>
      <c r="O761" s="83"/>
      <c r="P761" s="83"/>
      <c r="Q761" s="83"/>
      <c r="R761" s="83"/>
      <c r="S761" s="83"/>
      <c r="T761" s="83"/>
      <c r="U761" s="83"/>
      <c r="V761" s="83"/>
      <c r="W761" s="83"/>
      <c r="X761" s="83"/>
      <c r="Y761" s="83"/>
      <c r="Z761" s="83"/>
      <c r="AA761" s="83"/>
      <c r="AB761" s="83"/>
      <c r="AC761" s="83"/>
      <c r="AD761" s="83"/>
    </row>
    <row r="762">
      <c r="A762" s="83"/>
      <c r="B762" s="83"/>
      <c r="C762" s="83"/>
      <c r="D762" s="83"/>
      <c r="E762" s="118"/>
      <c r="F762" s="118"/>
      <c r="G762" s="83"/>
      <c r="H762" s="83"/>
      <c r="I762" s="83"/>
      <c r="J762" s="83"/>
      <c r="K762" s="83"/>
      <c r="L762" s="83"/>
      <c r="M762" s="83"/>
      <c r="N762" s="83"/>
      <c r="O762" s="83"/>
      <c r="P762" s="83"/>
      <c r="Q762" s="83"/>
      <c r="R762" s="83"/>
      <c r="S762" s="83"/>
      <c r="T762" s="83"/>
      <c r="U762" s="83"/>
      <c r="V762" s="83"/>
      <c r="W762" s="83"/>
      <c r="X762" s="83"/>
      <c r="Y762" s="83"/>
      <c r="Z762" s="83"/>
      <c r="AA762" s="83"/>
      <c r="AB762" s="83"/>
      <c r="AC762" s="83"/>
      <c r="AD762" s="83"/>
    </row>
    <row r="763">
      <c r="A763" s="83"/>
      <c r="B763" s="83"/>
      <c r="C763" s="83"/>
      <c r="D763" s="83"/>
      <c r="E763" s="118"/>
      <c r="F763" s="118"/>
      <c r="G763" s="83"/>
      <c r="H763" s="83"/>
      <c r="I763" s="83"/>
      <c r="J763" s="83"/>
      <c r="K763" s="83"/>
      <c r="L763" s="83"/>
      <c r="M763" s="83"/>
      <c r="N763" s="83"/>
      <c r="O763" s="83"/>
      <c r="P763" s="83"/>
      <c r="Q763" s="83"/>
      <c r="R763" s="83"/>
      <c r="S763" s="83"/>
      <c r="T763" s="83"/>
      <c r="U763" s="83"/>
      <c r="V763" s="83"/>
      <c r="W763" s="83"/>
      <c r="X763" s="83"/>
      <c r="Y763" s="83"/>
      <c r="Z763" s="83"/>
      <c r="AA763" s="83"/>
      <c r="AB763" s="83"/>
      <c r="AC763" s="83"/>
      <c r="AD763" s="83"/>
    </row>
    <row r="764">
      <c r="A764" s="83"/>
      <c r="B764" s="83"/>
      <c r="C764" s="83"/>
      <c r="D764" s="83"/>
      <c r="E764" s="118"/>
      <c r="F764" s="118"/>
      <c r="G764" s="83"/>
      <c r="H764" s="83"/>
      <c r="I764" s="83"/>
      <c r="J764" s="83"/>
      <c r="K764" s="83"/>
      <c r="L764" s="83"/>
      <c r="M764" s="83"/>
      <c r="N764" s="83"/>
      <c r="O764" s="83"/>
      <c r="P764" s="83"/>
      <c r="Q764" s="83"/>
      <c r="R764" s="83"/>
      <c r="S764" s="83"/>
      <c r="T764" s="83"/>
      <c r="U764" s="83"/>
      <c r="V764" s="83"/>
      <c r="W764" s="83"/>
      <c r="X764" s="83"/>
      <c r="Y764" s="83"/>
      <c r="Z764" s="83"/>
      <c r="AA764" s="83"/>
      <c r="AB764" s="83"/>
      <c r="AC764" s="83"/>
      <c r="AD764" s="83"/>
    </row>
    <row r="765">
      <c r="A765" s="83"/>
      <c r="B765" s="83"/>
      <c r="C765" s="83"/>
      <c r="D765" s="83"/>
      <c r="E765" s="118"/>
      <c r="F765" s="118"/>
      <c r="G765" s="83"/>
      <c r="H765" s="83"/>
      <c r="I765" s="83"/>
      <c r="J765" s="83"/>
      <c r="K765" s="83"/>
      <c r="L765" s="83"/>
      <c r="M765" s="83"/>
      <c r="N765" s="83"/>
      <c r="O765" s="83"/>
      <c r="P765" s="83"/>
      <c r="Q765" s="83"/>
      <c r="R765" s="83"/>
      <c r="S765" s="83"/>
      <c r="T765" s="83"/>
      <c r="U765" s="83"/>
      <c r="V765" s="83"/>
      <c r="W765" s="83"/>
      <c r="X765" s="83"/>
      <c r="Y765" s="83"/>
      <c r="Z765" s="83"/>
      <c r="AA765" s="83"/>
      <c r="AB765" s="83"/>
      <c r="AC765" s="83"/>
      <c r="AD765" s="83"/>
    </row>
    <row r="766">
      <c r="A766" s="83"/>
      <c r="B766" s="83"/>
      <c r="C766" s="83"/>
      <c r="D766" s="83"/>
      <c r="E766" s="118"/>
      <c r="F766" s="118"/>
      <c r="G766" s="83"/>
      <c r="H766" s="83"/>
      <c r="I766" s="83"/>
      <c r="J766" s="83"/>
      <c r="K766" s="83"/>
      <c r="L766" s="83"/>
      <c r="M766" s="83"/>
      <c r="N766" s="83"/>
      <c r="O766" s="83"/>
      <c r="P766" s="83"/>
      <c r="Q766" s="83"/>
      <c r="R766" s="83"/>
      <c r="S766" s="83"/>
      <c r="T766" s="83"/>
      <c r="U766" s="83"/>
      <c r="V766" s="83"/>
      <c r="W766" s="83"/>
      <c r="X766" s="83"/>
      <c r="Y766" s="83"/>
      <c r="Z766" s="83"/>
      <c r="AA766" s="83"/>
      <c r="AB766" s="83"/>
      <c r="AC766" s="83"/>
      <c r="AD766" s="83"/>
    </row>
    <row r="767">
      <c r="A767" s="83"/>
      <c r="B767" s="83"/>
      <c r="C767" s="83"/>
      <c r="D767" s="83"/>
      <c r="E767" s="118"/>
      <c r="F767" s="118"/>
      <c r="G767" s="83"/>
      <c r="H767" s="83"/>
      <c r="I767" s="83"/>
      <c r="J767" s="83"/>
      <c r="K767" s="83"/>
      <c r="L767" s="83"/>
      <c r="M767" s="83"/>
      <c r="N767" s="83"/>
      <c r="O767" s="83"/>
      <c r="P767" s="83"/>
      <c r="Q767" s="83"/>
      <c r="R767" s="83"/>
      <c r="S767" s="83"/>
      <c r="T767" s="83"/>
      <c r="U767" s="83"/>
      <c r="V767" s="83"/>
      <c r="W767" s="83"/>
      <c r="X767" s="83"/>
      <c r="Y767" s="83"/>
      <c r="Z767" s="83"/>
      <c r="AA767" s="83"/>
      <c r="AB767" s="83"/>
      <c r="AC767" s="83"/>
      <c r="AD767" s="83"/>
    </row>
    <row r="768">
      <c r="A768" s="83"/>
      <c r="B768" s="83"/>
      <c r="C768" s="83"/>
      <c r="D768" s="83"/>
      <c r="E768" s="118"/>
      <c r="F768" s="118"/>
      <c r="G768" s="83"/>
      <c r="H768" s="83"/>
      <c r="I768" s="83"/>
      <c r="J768" s="83"/>
      <c r="K768" s="83"/>
      <c r="L768" s="83"/>
      <c r="M768" s="83"/>
      <c r="N768" s="83"/>
      <c r="O768" s="83"/>
      <c r="P768" s="83"/>
      <c r="Q768" s="83"/>
      <c r="R768" s="83"/>
      <c r="S768" s="83"/>
      <c r="T768" s="83"/>
      <c r="U768" s="83"/>
      <c r="V768" s="83"/>
      <c r="W768" s="83"/>
      <c r="X768" s="83"/>
      <c r="Y768" s="83"/>
      <c r="Z768" s="83"/>
      <c r="AA768" s="83"/>
      <c r="AB768" s="83"/>
      <c r="AC768" s="83"/>
      <c r="AD768" s="83"/>
    </row>
    <row r="769">
      <c r="A769" s="83"/>
      <c r="B769" s="83"/>
      <c r="C769" s="83"/>
      <c r="D769" s="83"/>
      <c r="E769" s="118"/>
      <c r="F769" s="118"/>
      <c r="G769" s="83"/>
      <c r="H769" s="83"/>
      <c r="I769" s="83"/>
      <c r="J769" s="83"/>
      <c r="K769" s="83"/>
      <c r="L769" s="83"/>
      <c r="M769" s="83"/>
      <c r="N769" s="83"/>
      <c r="O769" s="83"/>
      <c r="P769" s="83"/>
      <c r="Q769" s="83"/>
      <c r="R769" s="83"/>
      <c r="S769" s="83"/>
      <c r="T769" s="83"/>
      <c r="U769" s="83"/>
      <c r="V769" s="83"/>
      <c r="W769" s="83"/>
      <c r="X769" s="83"/>
      <c r="Y769" s="83"/>
      <c r="Z769" s="83"/>
      <c r="AA769" s="83"/>
      <c r="AB769" s="83"/>
      <c r="AC769" s="83"/>
      <c r="AD769" s="83"/>
    </row>
    <row r="770">
      <c r="A770" s="83"/>
      <c r="B770" s="83"/>
      <c r="C770" s="83"/>
      <c r="D770" s="83"/>
      <c r="E770" s="118"/>
      <c r="F770" s="118"/>
      <c r="G770" s="83"/>
      <c r="H770" s="83"/>
      <c r="I770" s="83"/>
      <c r="J770" s="83"/>
      <c r="K770" s="83"/>
      <c r="L770" s="83"/>
      <c r="M770" s="83"/>
      <c r="N770" s="83"/>
      <c r="O770" s="83"/>
      <c r="P770" s="83"/>
      <c r="Q770" s="83"/>
      <c r="R770" s="83"/>
      <c r="S770" s="83"/>
      <c r="T770" s="83"/>
      <c r="U770" s="83"/>
      <c r="V770" s="83"/>
      <c r="W770" s="83"/>
      <c r="X770" s="83"/>
      <c r="Y770" s="83"/>
      <c r="Z770" s="83"/>
      <c r="AA770" s="83"/>
      <c r="AB770" s="83"/>
      <c r="AC770" s="83"/>
      <c r="AD770" s="83"/>
    </row>
    <row r="771">
      <c r="A771" s="83"/>
      <c r="B771" s="83"/>
      <c r="C771" s="83"/>
      <c r="D771" s="83"/>
      <c r="E771" s="118"/>
      <c r="F771" s="118"/>
      <c r="G771" s="83"/>
      <c r="H771" s="83"/>
      <c r="I771" s="83"/>
      <c r="J771" s="83"/>
      <c r="K771" s="83"/>
      <c r="L771" s="83"/>
      <c r="M771" s="83"/>
      <c r="N771" s="83"/>
      <c r="O771" s="83"/>
      <c r="P771" s="83"/>
      <c r="Q771" s="83"/>
      <c r="R771" s="83"/>
      <c r="S771" s="83"/>
      <c r="T771" s="83"/>
      <c r="U771" s="83"/>
      <c r="V771" s="83"/>
      <c r="W771" s="83"/>
      <c r="X771" s="83"/>
      <c r="Y771" s="83"/>
      <c r="Z771" s="83"/>
      <c r="AA771" s="83"/>
      <c r="AB771" s="83"/>
      <c r="AC771" s="83"/>
      <c r="AD771" s="83"/>
    </row>
    <row r="772">
      <c r="A772" s="83"/>
      <c r="B772" s="83"/>
      <c r="C772" s="83"/>
      <c r="D772" s="83"/>
      <c r="E772" s="118"/>
      <c r="F772" s="118"/>
      <c r="G772" s="83"/>
      <c r="H772" s="83"/>
      <c r="I772" s="83"/>
      <c r="J772" s="83"/>
      <c r="K772" s="83"/>
      <c r="L772" s="83"/>
      <c r="M772" s="83"/>
      <c r="N772" s="83"/>
      <c r="O772" s="83"/>
      <c r="P772" s="83"/>
      <c r="Q772" s="83"/>
      <c r="R772" s="83"/>
      <c r="S772" s="83"/>
      <c r="T772" s="83"/>
      <c r="U772" s="83"/>
      <c r="V772" s="83"/>
      <c r="W772" s="83"/>
      <c r="X772" s="83"/>
      <c r="Y772" s="83"/>
      <c r="Z772" s="83"/>
      <c r="AA772" s="83"/>
      <c r="AB772" s="83"/>
      <c r="AC772" s="83"/>
      <c r="AD772" s="83"/>
    </row>
    <row r="773">
      <c r="A773" s="83"/>
      <c r="B773" s="83"/>
      <c r="C773" s="83"/>
      <c r="D773" s="83"/>
      <c r="E773" s="118"/>
      <c r="F773" s="118"/>
      <c r="G773" s="83"/>
      <c r="H773" s="83"/>
      <c r="I773" s="83"/>
      <c r="J773" s="83"/>
      <c r="K773" s="83"/>
      <c r="L773" s="83"/>
      <c r="M773" s="83"/>
      <c r="N773" s="83"/>
      <c r="O773" s="83"/>
      <c r="P773" s="83"/>
      <c r="Q773" s="83"/>
      <c r="R773" s="83"/>
      <c r="S773" s="83"/>
      <c r="T773" s="83"/>
      <c r="U773" s="83"/>
      <c r="V773" s="83"/>
      <c r="W773" s="83"/>
      <c r="X773" s="83"/>
      <c r="Y773" s="83"/>
      <c r="Z773" s="83"/>
      <c r="AA773" s="83"/>
      <c r="AB773" s="83"/>
      <c r="AC773" s="83"/>
      <c r="AD773" s="83"/>
    </row>
    <row r="774">
      <c r="A774" s="83"/>
      <c r="B774" s="83"/>
      <c r="C774" s="83"/>
      <c r="D774" s="83"/>
      <c r="E774" s="118"/>
      <c r="F774" s="118"/>
      <c r="G774" s="83"/>
      <c r="H774" s="83"/>
      <c r="I774" s="83"/>
      <c r="J774" s="83"/>
      <c r="K774" s="83"/>
      <c r="L774" s="83"/>
      <c r="M774" s="83"/>
      <c r="N774" s="83"/>
      <c r="O774" s="83"/>
      <c r="P774" s="83"/>
      <c r="Q774" s="83"/>
      <c r="R774" s="83"/>
      <c r="S774" s="83"/>
      <c r="T774" s="83"/>
      <c r="U774" s="83"/>
      <c r="V774" s="83"/>
      <c r="W774" s="83"/>
      <c r="X774" s="83"/>
      <c r="Y774" s="83"/>
      <c r="Z774" s="83"/>
      <c r="AA774" s="83"/>
      <c r="AB774" s="83"/>
      <c r="AC774" s="83"/>
      <c r="AD774" s="83"/>
    </row>
    <row r="775">
      <c r="A775" s="83"/>
      <c r="B775" s="83"/>
      <c r="C775" s="83"/>
      <c r="D775" s="83"/>
      <c r="E775" s="118"/>
      <c r="F775" s="118"/>
      <c r="G775" s="83"/>
      <c r="H775" s="83"/>
      <c r="I775" s="83"/>
      <c r="J775" s="83"/>
      <c r="K775" s="83"/>
      <c r="L775" s="83"/>
      <c r="M775" s="83"/>
      <c r="N775" s="83"/>
      <c r="O775" s="83"/>
      <c r="P775" s="83"/>
      <c r="Q775" s="83"/>
      <c r="R775" s="83"/>
      <c r="S775" s="83"/>
      <c r="T775" s="83"/>
      <c r="U775" s="83"/>
      <c r="V775" s="83"/>
      <c r="W775" s="83"/>
      <c r="X775" s="83"/>
      <c r="Y775" s="83"/>
      <c r="Z775" s="83"/>
      <c r="AA775" s="83"/>
      <c r="AB775" s="83"/>
      <c r="AC775" s="83"/>
      <c r="AD775" s="83"/>
    </row>
    <row r="776">
      <c r="A776" s="83"/>
      <c r="B776" s="83"/>
      <c r="C776" s="83"/>
      <c r="D776" s="83"/>
      <c r="E776" s="118"/>
      <c r="F776" s="118"/>
      <c r="G776" s="83"/>
      <c r="H776" s="83"/>
      <c r="I776" s="83"/>
      <c r="J776" s="83"/>
      <c r="K776" s="83"/>
      <c r="L776" s="83"/>
      <c r="M776" s="83"/>
      <c r="N776" s="83"/>
      <c r="O776" s="83"/>
      <c r="P776" s="83"/>
      <c r="Q776" s="83"/>
      <c r="R776" s="83"/>
      <c r="S776" s="83"/>
      <c r="T776" s="83"/>
      <c r="U776" s="83"/>
      <c r="V776" s="83"/>
      <c r="W776" s="83"/>
      <c r="X776" s="83"/>
      <c r="Y776" s="83"/>
      <c r="Z776" s="83"/>
      <c r="AA776" s="83"/>
      <c r="AB776" s="83"/>
      <c r="AC776" s="83"/>
      <c r="AD776" s="83"/>
    </row>
    <row r="777">
      <c r="A777" s="83"/>
      <c r="B777" s="83"/>
      <c r="C777" s="83"/>
      <c r="D777" s="83"/>
      <c r="E777" s="118"/>
      <c r="F777" s="118"/>
      <c r="G777" s="83"/>
      <c r="H777" s="83"/>
      <c r="I777" s="83"/>
      <c r="J777" s="83"/>
      <c r="K777" s="83"/>
      <c r="L777" s="83"/>
      <c r="M777" s="83"/>
      <c r="N777" s="83"/>
      <c r="O777" s="83"/>
      <c r="P777" s="83"/>
      <c r="Q777" s="83"/>
      <c r="R777" s="83"/>
      <c r="S777" s="83"/>
      <c r="T777" s="83"/>
      <c r="U777" s="83"/>
      <c r="V777" s="83"/>
      <c r="W777" s="83"/>
      <c r="X777" s="83"/>
      <c r="Y777" s="83"/>
      <c r="Z777" s="83"/>
      <c r="AA777" s="83"/>
      <c r="AB777" s="83"/>
      <c r="AC777" s="83"/>
      <c r="AD777" s="83"/>
    </row>
    <row r="778">
      <c r="A778" s="83"/>
      <c r="B778" s="83"/>
      <c r="C778" s="83"/>
      <c r="D778" s="83"/>
      <c r="E778" s="118"/>
      <c r="F778" s="118"/>
      <c r="G778" s="83"/>
      <c r="H778" s="83"/>
      <c r="I778" s="83"/>
      <c r="J778" s="83"/>
      <c r="K778" s="83"/>
      <c r="L778" s="83"/>
      <c r="M778" s="83"/>
      <c r="N778" s="83"/>
      <c r="O778" s="83"/>
      <c r="P778" s="83"/>
      <c r="Q778" s="83"/>
      <c r="R778" s="83"/>
      <c r="S778" s="83"/>
      <c r="T778" s="83"/>
      <c r="U778" s="83"/>
      <c r="V778" s="83"/>
      <c r="W778" s="83"/>
      <c r="X778" s="83"/>
      <c r="Y778" s="83"/>
      <c r="Z778" s="83"/>
      <c r="AA778" s="83"/>
      <c r="AB778" s="83"/>
      <c r="AC778" s="83"/>
      <c r="AD778" s="83"/>
    </row>
    <row r="779">
      <c r="A779" s="83"/>
      <c r="B779" s="83"/>
      <c r="C779" s="83"/>
      <c r="D779" s="83"/>
      <c r="E779" s="118"/>
      <c r="F779" s="118"/>
      <c r="G779" s="83"/>
      <c r="H779" s="83"/>
      <c r="I779" s="83"/>
      <c r="J779" s="83"/>
      <c r="K779" s="83"/>
      <c r="L779" s="83"/>
      <c r="M779" s="83"/>
      <c r="N779" s="83"/>
      <c r="O779" s="83"/>
      <c r="P779" s="83"/>
      <c r="Q779" s="83"/>
      <c r="R779" s="83"/>
      <c r="S779" s="83"/>
      <c r="T779" s="83"/>
      <c r="U779" s="83"/>
      <c r="V779" s="83"/>
      <c r="W779" s="83"/>
      <c r="X779" s="83"/>
      <c r="Y779" s="83"/>
      <c r="Z779" s="83"/>
      <c r="AA779" s="83"/>
      <c r="AB779" s="83"/>
      <c r="AC779" s="83"/>
      <c r="AD779" s="83"/>
    </row>
    <row r="780">
      <c r="A780" s="83"/>
      <c r="B780" s="83"/>
      <c r="C780" s="83"/>
      <c r="D780" s="83"/>
      <c r="E780" s="118"/>
      <c r="F780" s="118"/>
      <c r="G780" s="83"/>
      <c r="H780" s="83"/>
      <c r="I780" s="83"/>
      <c r="J780" s="83"/>
      <c r="K780" s="83"/>
      <c r="L780" s="83"/>
      <c r="M780" s="83"/>
      <c r="N780" s="83"/>
      <c r="O780" s="83"/>
      <c r="P780" s="83"/>
      <c r="Q780" s="83"/>
      <c r="R780" s="83"/>
      <c r="S780" s="83"/>
      <c r="T780" s="83"/>
      <c r="U780" s="83"/>
      <c r="V780" s="83"/>
      <c r="W780" s="83"/>
      <c r="X780" s="83"/>
      <c r="Y780" s="83"/>
      <c r="Z780" s="83"/>
      <c r="AA780" s="83"/>
      <c r="AB780" s="83"/>
      <c r="AC780" s="83"/>
      <c r="AD780" s="83"/>
    </row>
    <row r="781">
      <c r="A781" s="83"/>
      <c r="B781" s="83"/>
      <c r="C781" s="83"/>
      <c r="D781" s="83"/>
      <c r="E781" s="118"/>
      <c r="F781" s="118"/>
      <c r="G781" s="83"/>
      <c r="H781" s="83"/>
      <c r="I781" s="83"/>
      <c r="J781" s="83"/>
      <c r="K781" s="83"/>
      <c r="L781" s="83"/>
      <c r="M781" s="83"/>
      <c r="N781" s="83"/>
      <c r="O781" s="83"/>
      <c r="P781" s="83"/>
      <c r="Q781" s="83"/>
      <c r="R781" s="83"/>
      <c r="S781" s="83"/>
      <c r="T781" s="83"/>
      <c r="U781" s="83"/>
      <c r="V781" s="83"/>
      <c r="W781" s="83"/>
      <c r="X781" s="83"/>
      <c r="Y781" s="83"/>
      <c r="Z781" s="83"/>
      <c r="AA781" s="83"/>
      <c r="AB781" s="83"/>
      <c r="AC781" s="83"/>
      <c r="AD781" s="83"/>
    </row>
    <row r="782">
      <c r="A782" s="83"/>
      <c r="B782" s="83"/>
      <c r="C782" s="83"/>
      <c r="D782" s="83"/>
      <c r="E782" s="118"/>
      <c r="F782" s="118"/>
      <c r="G782" s="83"/>
      <c r="H782" s="83"/>
      <c r="I782" s="83"/>
      <c r="J782" s="83"/>
      <c r="K782" s="83"/>
      <c r="L782" s="83"/>
      <c r="M782" s="83"/>
      <c r="N782" s="83"/>
      <c r="O782" s="83"/>
      <c r="P782" s="83"/>
      <c r="Q782" s="83"/>
      <c r="R782" s="83"/>
      <c r="S782" s="83"/>
      <c r="T782" s="83"/>
      <c r="U782" s="83"/>
      <c r="V782" s="83"/>
      <c r="W782" s="83"/>
      <c r="X782" s="83"/>
      <c r="Y782" s="83"/>
      <c r="Z782" s="83"/>
      <c r="AA782" s="83"/>
      <c r="AB782" s="83"/>
      <c r="AC782" s="83"/>
      <c r="AD782" s="83"/>
    </row>
    <row r="783">
      <c r="A783" s="83"/>
      <c r="B783" s="83"/>
      <c r="C783" s="83"/>
      <c r="D783" s="83"/>
      <c r="E783" s="118"/>
      <c r="F783" s="118"/>
      <c r="G783" s="83"/>
      <c r="H783" s="83"/>
      <c r="I783" s="83"/>
      <c r="J783" s="83"/>
      <c r="K783" s="83"/>
      <c r="L783" s="83"/>
      <c r="M783" s="83"/>
      <c r="N783" s="83"/>
      <c r="O783" s="83"/>
      <c r="P783" s="83"/>
      <c r="Q783" s="83"/>
      <c r="R783" s="83"/>
      <c r="S783" s="83"/>
      <c r="T783" s="83"/>
      <c r="U783" s="83"/>
      <c r="V783" s="83"/>
      <c r="W783" s="83"/>
      <c r="X783" s="83"/>
      <c r="Y783" s="83"/>
      <c r="Z783" s="83"/>
      <c r="AA783" s="83"/>
      <c r="AB783" s="83"/>
      <c r="AC783" s="83"/>
      <c r="AD783" s="83"/>
    </row>
    <row r="784">
      <c r="A784" s="83"/>
      <c r="B784" s="83"/>
      <c r="C784" s="83"/>
      <c r="D784" s="83"/>
      <c r="E784" s="118"/>
      <c r="F784" s="118"/>
      <c r="G784" s="83"/>
      <c r="H784" s="83"/>
      <c r="I784" s="83"/>
      <c r="J784" s="83"/>
      <c r="K784" s="83"/>
      <c r="L784" s="83"/>
      <c r="M784" s="83"/>
      <c r="N784" s="83"/>
      <c r="O784" s="83"/>
      <c r="P784" s="83"/>
      <c r="Q784" s="83"/>
      <c r="R784" s="83"/>
      <c r="S784" s="83"/>
      <c r="T784" s="83"/>
      <c r="U784" s="83"/>
      <c r="V784" s="83"/>
      <c r="W784" s="83"/>
      <c r="X784" s="83"/>
      <c r="Y784" s="83"/>
      <c r="Z784" s="83"/>
      <c r="AA784" s="83"/>
      <c r="AB784" s="83"/>
      <c r="AC784" s="83"/>
      <c r="AD784" s="83"/>
    </row>
    <row r="785">
      <c r="A785" s="83"/>
      <c r="B785" s="83"/>
      <c r="C785" s="83"/>
      <c r="D785" s="83"/>
      <c r="E785" s="118"/>
      <c r="F785" s="118"/>
      <c r="G785" s="83"/>
      <c r="H785" s="83"/>
      <c r="I785" s="83"/>
      <c r="J785" s="83"/>
      <c r="K785" s="83"/>
      <c r="L785" s="83"/>
      <c r="M785" s="83"/>
      <c r="N785" s="83"/>
      <c r="O785" s="83"/>
      <c r="P785" s="83"/>
      <c r="Q785" s="83"/>
      <c r="R785" s="83"/>
      <c r="S785" s="83"/>
      <c r="T785" s="83"/>
      <c r="U785" s="83"/>
      <c r="V785" s="83"/>
      <c r="W785" s="83"/>
      <c r="X785" s="83"/>
      <c r="Y785" s="83"/>
      <c r="Z785" s="83"/>
      <c r="AA785" s="83"/>
      <c r="AB785" s="83"/>
      <c r="AC785" s="83"/>
      <c r="AD785" s="83"/>
    </row>
    <row r="786">
      <c r="A786" s="83"/>
      <c r="B786" s="83"/>
      <c r="C786" s="83"/>
      <c r="D786" s="83"/>
      <c r="E786" s="118"/>
      <c r="F786" s="118"/>
      <c r="G786" s="83"/>
      <c r="H786" s="83"/>
      <c r="I786" s="83"/>
      <c r="J786" s="83"/>
      <c r="K786" s="83"/>
      <c r="L786" s="83"/>
      <c r="M786" s="83"/>
      <c r="N786" s="83"/>
      <c r="O786" s="83"/>
      <c r="P786" s="83"/>
      <c r="Q786" s="83"/>
      <c r="R786" s="83"/>
      <c r="S786" s="83"/>
      <c r="T786" s="83"/>
      <c r="U786" s="83"/>
      <c r="V786" s="83"/>
      <c r="W786" s="83"/>
      <c r="X786" s="83"/>
      <c r="Y786" s="83"/>
      <c r="Z786" s="83"/>
      <c r="AA786" s="83"/>
      <c r="AB786" s="83"/>
      <c r="AC786" s="83"/>
      <c r="AD786" s="83"/>
    </row>
    <row r="787">
      <c r="A787" s="83"/>
      <c r="B787" s="83"/>
      <c r="C787" s="83"/>
      <c r="D787" s="83"/>
      <c r="E787" s="118"/>
      <c r="F787" s="118"/>
      <c r="G787" s="83"/>
      <c r="H787" s="83"/>
      <c r="I787" s="83"/>
      <c r="J787" s="83"/>
      <c r="K787" s="83"/>
      <c r="L787" s="83"/>
      <c r="M787" s="83"/>
      <c r="N787" s="83"/>
      <c r="O787" s="83"/>
      <c r="P787" s="83"/>
      <c r="Q787" s="83"/>
      <c r="R787" s="83"/>
      <c r="S787" s="83"/>
      <c r="T787" s="83"/>
      <c r="U787" s="83"/>
      <c r="V787" s="83"/>
      <c r="W787" s="83"/>
      <c r="X787" s="83"/>
      <c r="Y787" s="83"/>
      <c r="Z787" s="83"/>
      <c r="AA787" s="83"/>
      <c r="AB787" s="83"/>
      <c r="AC787" s="83"/>
      <c r="AD787" s="83"/>
    </row>
    <row r="788">
      <c r="A788" s="83"/>
      <c r="B788" s="83"/>
      <c r="C788" s="83"/>
      <c r="D788" s="83"/>
      <c r="E788" s="118"/>
      <c r="F788" s="118"/>
      <c r="G788" s="83"/>
      <c r="H788" s="83"/>
      <c r="I788" s="83"/>
      <c r="J788" s="83"/>
      <c r="K788" s="83"/>
      <c r="L788" s="83"/>
      <c r="M788" s="83"/>
      <c r="N788" s="83"/>
      <c r="O788" s="83"/>
      <c r="P788" s="83"/>
      <c r="Q788" s="83"/>
      <c r="R788" s="83"/>
      <c r="S788" s="83"/>
      <c r="T788" s="83"/>
      <c r="U788" s="83"/>
      <c r="V788" s="83"/>
      <c r="W788" s="83"/>
      <c r="X788" s="83"/>
      <c r="Y788" s="83"/>
      <c r="Z788" s="83"/>
      <c r="AA788" s="83"/>
      <c r="AB788" s="83"/>
      <c r="AC788" s="83"/>
      <c r="AD788" s="83"/>
    </row>
    <row r="789">
      <c r="A789" s="83"/>
      <c r="B789" s="83"/>
      <c r="C789" s="83"/>
      <c r="D789" s="83"/>
      <c r="E789" s="118"/>
      <c r="F789" s="118"/>
      <c r="G789" s="83"/>
      <c r="H789" s="83"/>
      <c r="I789" s="83"/>
      <c r="J789" s="83"/>
      <c r="K789" s="83"/>
      <c r="L789" s="83"/>
      <c r="M789" s="83"/>
      <c r="N789" s="83"/>
      <c r="O789" s="83"/>
      <c r="P789" s="83"/>
      <c r="Q789" s="83"/>
      <c r="R789" s="83"/>
      <c r="S789" s="83"/>
      <c r="T789" s="83"/>
      <c r="U789" s="83"/>
      <c r="V789" s="83"/>
      <c r="W789" s="83"/>
      <c r="X789" s="83"/>
      <c r="Y789" s="83"/>
      <c r="Z789" s="83"/>
      <c r="AA789" s="83"/>
      <c r="AB789" s="83"/>
      <c r="AC789" s="83"/>
      <c r="AD789" s="83"/>
    </row>
    <row r="790">
      <c r="A790" s="83"/>
      <c r="B790" s="83"/>
      <c r="C790" s="83"/>
      <c r="D790" s="83"/>
      <c r="E790" s="118"/>
      <c r="F790" s="118"/>
      <c r="G790" s="83"/>
      <c r="H790" s="83"/>
      <c r="I790" s="83"/>
      <c r="J790" s="83"/>
      <c r="K790" s="83"/>
      <c r="L790" s="83"/>
      <c r="M790" s="83"/>
      <c r="N790" s="83"/>
      <c r="O790" s="83"/>
      <c r="P790" s="83"/>
      <c r="Q790" s="83"/>
      <c r="R790" s="83"/>
      <c r="S790" s="83"/>
      <c r="T790" s="83"/>
      <c r="U790" s="83"/>
      <c r="V790" s="83"/>
      <c r="W790" s="83"/>
      <c r="X790" s="83"/>
      <c r="Y790" s="83"/>
      <c r="Z790" s="83"/>
      <c r="AA790" s="83"/>
      <c r="AB790" s="83"/>
      <c r="AC790" s="83"/>
      <c r="AD790" s="83"/>
    </row>
    <row r="791">
      <c r="A791" s="83"/>
      <c r="B791" s="83"/>
      <c r="C791" s="83"/>
      <c r="D791" s="83"/>
      <c r="E791" s="118"/>
      <c r="F791" s="118"/>
      <c r="G791" s="83"/>
      <c r="H791" s="83"/>
      <c r="I791" s="83"/>
      <c r="J791" s="83"/>
      <c r="K791" s="83"/>
      <c r="L791" s="83"/>
      <c r="M791" s="83"/>
      <c r="N791" s="83"/>
      <c r="O791" s="83"/>
      <c r="P791" s="83"/>
      <c r="Q791" s="83"/>
      <c r="R791" s="83"/>
      <c r="S791" s="83"/>
      <c r="T791" s="83"/>
      <c r="U791" s="83"/>
      <c r="V791" s="83"/>
      <c r="W791" s="83"/>
      <c r="X791" s="83"/>
      <c r="Y791" s="83"/>
      <c r="Z791" s="83"/>
      <c r="AA791" s="83"/>
      <c r="AB791" s="83"/>
      <c r="AC791" s="83"/>
      <c r="AD791" s="83"/>
    </row>
    <row r="792">
      <c r="A792" s="83"/>
      <c r="B792" s="83"/>
      <c r="C792" s="83"/>
      <c r="D792" s="83"/>
      <c r="E792" s="118"/>
      <c r="F792" s="118"/>
      <c r="G792" s="83"/>
      <c r="H792" s="83"/>
      <c r="I792" s="83"/>
      <c r="J792" s="83"/>
      <c r="K792" s="83"/>
      <c r="L792" s="83"/>
      <c r="M792" s="83"/>
      <c r="N792" s="83"/>
      <c r="O792" s="83"/>
      <c r="P792" s="83"/>
      <c r="Q792" s="83"/>
      <c r="R792" s="83"/>
      <c r="S792" s="83"/>
      <c r="T792" s="83"/>
      <c r="U792" s="83"/>
      <c r="V792" s="83"/>
      <c r="W792" s="83"/>
      <c r="X792" s="83"/>
      <c r="Y792" s="83"/>
      <c r="Z792" s="83"/>
      <c r="AA792" s="83"/>
      <c r="AB792" s="83"/>
      <c r="AC792" s="83"/>
      <c r="AD792" s="83"/>
    </row>
    <row r="793">
      <c r="A793" s="83"/>
      <c r="B793" s="83"/>
      <c r="C793" s="83"/>
      <c r="D793" s="83"/>
      <c r="E793" s="118"/>
      <c r="F793" s="118"/>
      <c r="G793" s="83"/>
      <c r="H793" s="83"/>
      <c r="I793" s="83"/>
      <c r="J793" s="83"/>
      <c r="K793" s="83"/>
      <c r="L793" s="83"/>
      <c r="M793" s="83"/>
      <c r="N793" s="83"/>
      <c r="O793" s="83"/>
      <c r="P793" s="83"/>
      <c r="Q793" s="83"/>
      <c r="R793" s="83"/>
      <c r="S793" s="83"/>
      <c r="T793" s="83"/>
      <c r="U793" s="83"/>
      <c r="V793" s="83"/>
      <c r="W793" s="83"/>
      <c r="X793" s="83"/>
      <c r="Y793" s="83"/>
      <c r="Z793" s="83"/>
      <c r="AA793" s="83"/>
      <c r="AB793" s="83"/>
      <c r="AC793" s="83"/>
      <c r="AD793" s="83"/>
    </row>
    <row r="794">
      <c r="A794" s="83"/>
      <c r="B794" s="83"/>
      <c r="C794" s="83"/>
      <c r="D794" s="83"/>
      <c r="E794" s="118"/>
      <c r="F794" s="118"/>
      <c r="G794" s="83"/>
      <c r="H794" s="83"/>
      <c r="I794" s="83"/>
      <c r="J794" s="83"/>
      <c r="K794" s="83"/>
      <c r="L794" s="83"/>
      <c r="M794" s="83"/>
      <c r="N794" s="83"/>
      <c r="O794" s="83"/>
      <c r="P794" s="83"/>
      <c r="Q794" s="83"/>
      <c r="R794" s="83"/>
      <c r="S794" s="83"/>
      <c r="T794" s="83"/>
      <c r="U794" s="83"/>
      <c r="V794" s="83"/>
      <c r="W794" s="83"/>
      <c r="X794" s="83"/>
      <c r="Y794" s="83"/>
      <c r="Z794" s="83"/>
      <c r="AA794" s="83"/>
      <c r="AB794" s="83"/>
      <c r="AC794" s="83"/>
      <c r="AD794" s="83"/>
    </row>
    <row r="795">
      <c r="A795" s="83"/>
      <c r="B795" s="83"/>
      <c r="C795" s="83"/>
      <c r="D795" s="83"/>
      <c r="E795" s="118"/>
      <c r="F795" s="118"/>
      <c r="G795" s="83"/>
      <c r="H795" s="83"/>
      <c r="I795" s="83"/>
      <c r="J795" s="83"/>
      <c r="K795" s="83"/>
      <c r="L795" s="83"/>
      <c r="M795" s="83"/>
      <c r="N795" s="83"/>
      <c r="O795" s="83"/>
      <c r="P795" s="83"/>
      <c r="Q795" s="83"/>
      <c r="R795" s="83"/>
      <c r="S795" s="83"/>
      <c r="T795" s="83"/>
      <c r="U795" s="83"/>
      <c r="V795" s="83"/>
      <c r="W795" s="83"/>
      <c r="X795" s="83"/>
      <c r="Y795" s="83"/>
      <c r="Z795" s="83"/>
      <c r="AA795" s="83"/>
      <c r="AB795" s="83"/>
      <c r="AC795" s="83"/>
      <c r="AD795" s="83"/>
    </row>
    <row r="796">
      <c r="A796" s="83"/>
      <c r="B796" s="83"/>
      <c r="C796" s="83"/>
      <c r="D796" s="83"/>
      <c r="E796" s="118"/>
      <c r="F796" s="118"/>
      <c r="G796" s="83"/>
      <c r="H796" s="83"/>
      <c r="I796" s="83"/>
      <c r="J796" s="83"/>
      <c r="K796" s="83"/>
      <c r="L796" s="83"/>
      <c r="M796" s="83"/>
      <c r="N796" s="83"/>
      <c r="O796" s="83"/>
      <c r="P796" s="83"/>
      <c r="Q796" s="83"/>
      <c r="R796" s="83"/>
      <c r="S796" s="83"/>
      <c r="T796" s="83"/>
      <c r="U796" s="83"/>
      <c r="V796" s="83"/>
      <c r="W796" s="83"/>
      <c r="X796" s="83"/>
      <c r="Y796" s="83"/>
      <c r="Z796" s="83"/>
      <c r="AA796" s="83"/>
      <c r="AB796" s="83"/>
      <c r="AC796" s="83"/>
      <c r="AD796" s="83"/>
    </row>
    <row r="797">
      <c r="A797" s="83"/>
      <c r="B797" s="83"/>
      <c r="C797" s="83"/>
      <c r="D797" s="83"/>
      <c r="E797" s="118"/>
      <c r="F797" s="118"/>
      <c r="G797" s="83"/>
      <c r="H797" s="83"/>
      <c r="I797" s="83"/>
      <c r="J797" s="83"/>
      <c r="K797" s="83"/>
      <c r="L797" s="83"/>
      <c r="M797" s="83"/>
      <c r="N797" s="83"/>
      <c r="O797" s="83"/>
      <c r="P797" s="83"/>
      <c r="Q797" s="83"/>
      <c r="R797" s="83"/>
      <c r="S797" s="83"/>
      <c r="T797" s="83"/>
      <c r="U797" s="83"/>
      <c r="V797" s="83"/>
      <c r="W797" s="83"/>
      <c r="X797" s="83"/>
      <c r="Y797" s="83"/>
      <c r="Z797" s="83"/>
      <c r="AA797" s="83"/>
      <c r="AB797" s="83"/>
      <c r="AC797" s="83"/>
      <c r="AD797" s="83"/>
    </row>
    <row r="798">
      <c r="A798" s="83"/>
      <c r="B798" s="83"/>
      <c r="C798" s="83"/>
      <c r="D798" s="83"/>
      <c r="E798" s="118"/>
      <c r="F798" s="118"/>
      <c r="G798" s="83"/>
      <c r="H798" s="83"/>
      <c r="I798" s="83"/>
      <c r="J798" s="83"/>
      <c r="K798" s="83"/>
      <c r="L798" s="83"/>
      <c r="M798" s="83"/>
      <c r="N798" s="83"/>
      <c r="O798" s="83"/>
      <c r="P798" s="83"/>
      <c r="Q798" s="83"/>
      <c r="R798" s="83"/>
      <c r="S798" s="83"/>
      <c r="T798" s="83"/>
      <c r="U798" s="83"/>
      <c r="V798" s="83"/>
      <c r="W798" s="83"/>
      <c r="X798" s="83"/>
      <c r="Y798" s="83"/>
      <c r="Z798" s="83"/>
      <c r="AA798" s="83"/>
      <c r="AB798" s="83"/>
      <c r="AC798" s="83"/>
      <c r="AD798" s="83"/>
    </row>
    <row r="799">
      <c r="A799" s="83"/>
      <c r="B799" s="83"/>
      <c r="C799" s="83"/>
      <c r="D799" s="83"/>
      <c r="E799" s="118"/>
      <c r="F799" s="118"/>
      <c r="G799" s="83"/>
      <c r="H799" s="83"/>
      <c r="I799" s="83"/>
      <c r="J799" s="83"/>
      <c r="K799" s="83"/>
      <c r="L799" s="83"/>
      <c r="M799" s="83"/>
      <c r="N799" s="83"/>
      <c r="O799" s="83"/>
      <c r="P799" s="83"/>
      <c r="Q799" s="83"/>
      <c r="R799" s="83"/>
      <c r="S799" s="83"/>
      <c r="T799" s="83"/>
      <c r="U799" s="83"/>
      <c r="V799" s="83"/>
      <c r="W799" s="83"/>
      <c r="X799" s="83"/>
      <c r="Y799" s="83"/>
      <c r="Z799" s="83"/>
      <c r="AA799" s="83"/>
      <c r="AB799" s="83"/>
      <c r="AC799" s="83"/>
      <c r="AD799" s="83"/>
    </row>
    <row r="800">
      <c r="A800" s="83"/>
      <c r="B800" s="83"/>
      <c r="C800" s="83"/>
      <c r="D800" s="83"/>
      <c r="E800" s="118"/>
      <c r="F800" s="118"/>
      <c r="G800" s="83"/>
      <c r="H800" s="83"/>
      <c r="I800" s="83"/>
      <c r="J800" s="83"/>
      <c r="K800" s="83"/>
      <c r="L800" s="83"/>
      <c r="M800" s="83"/>
      <c r="N800" s="83"/>
      <c r="O800" s="83"/>
      <c r="P800" s="83"/>
      <c r="Q800" s="83"/>
      <c r="R800" s="83"/>
      <c r="S800" s="83"/>
      <c r="T800" s="83"/>
      <c r="U800" s="83"/>
      <c r="V800" s="83"/>
      <c r="W800" s="83"/>
      <c r="X800" s="83"/>
      <c r="Y800" s="83"/>
      <c r="Z800" s="83"/>
      <c r="AA800" s="83"/>
      <c r="AB800" s="83"/>
      <c r="AC800" s="83"/>
      <c r="AD800" s="83"/>
    </row>
    <row r="801">
      <c r="A801" s="83"/>
      <c r="B801" s="83"/>
      <c r="C801" s="83"/>
      <c r="D801" s="83"/>
      <c r="E801" s="118"/>
      <c r="F801" s="118"/>
      <c r="G801" s="83"/>
      <c r="H801" s="83"/>
      <c r="I801" s="83"/>
      <c r="J801" s="83"/>
      <c r="K801" s="83"/>
      <c r="L801" s="83"/>
      <c r="M801" s="83"/>
      <c r="N801" s="83"/>
      <c r="O801" s="83"/>
      <c r="P801" s="83"/>
      <c r="Q801" s="83"/>
      <c r="R801" s="83"/>
      <c r="S801" s="83"/>
      <c r="T801" s="83"/>
      <c r="U801" s="83"/>
      <c r="V801" s="83"/>
      <c r="W801" s="83"/>
      <c r="X801" s="83"/>
      <c r="Y801" s="83"/>
      <c r="Z801" s="83"/>
      <c r="AA801" s="83"/>
      <c r="AB801" s="83"/>
      <c r="AC801" s="83"/>
      <c r="AD801" s="83"/>
    </row>
    <row r="802">
      <c r="A802" s="83"/>
      <c r="B802" s="83"/>
      <c r="C802" s="83"/>
      <c r="D802" s="83"/>
      <c r="E802" s="118"/>
      <c r="F802" s="118"/>
      <c r="G802" s="83"/>
      <c r="H802" s="83"/>
      <c r="I802" s="83"/>
      <c r="J802" s="83"/>
      <c r="K802" s="83"/>
      <c r="L802" s="83"/>
      <c r="M802" s="83"/>
      <c r="N802" s="83"/>
      <c r="O802" s="83"/>
      <c r="P802" s="83"/>
      <c r="Q802" s="83"/>
      <c r="R802" s="83"/>
      <c r="S802" s="83"/>
      <c r="T802" s="83"/>
      <c r="U802" s="83"/>
      <c r="V802" s="83"/>
      <c r="W802" s="83"/>
      <c r="X802" s="83"/>
      <c r="Y802" s="83"/>
      <c r="Z802" s="83"/>
      <c r="AA802" s="83"/>
      <c r="AB802" s="83"/>
      <c r="AC802" s="83"/>
      <c r="AD802" s="83"/>
    </row>
    <row r="803">
      <c r="A803" s="83"/>
      <c r="B803" s="83"/>
      <c r="C803" s="83"/>
      <c r="D803" s="83"/>
      <c r="E803" s="118"/>
      <c r="F803" s="118"/>
      <c r="G803" s="83"/>
      <c r="H803" s="83"/>
      <c r="I803" s="83"/>
      <c r="J803" s="83"/>
      <c r="K803" s="83"/>
      <c r="L803" s="83"/>
      <c r="M803" s="83"/>
      <c r="N803" s="83"/>
      <c r="O803" s="83"/>
      <c r="P803" s="83"/>
      <c r="Q803" s="83"/>
      <c r="R803" s="83"/>
      <c r="S803" s="83"/>
      <c r="T803" s="83"/>
      <c r="U803" s="83"/>
      <c r="V803" s="83"/>
      <c r="W803" s="83"/>
      <c r="X803" s="83"/>
      <c r="Y803" s="83"/>
      <c r="Z803" s="83"/>
      <c r="AA803" s="83"/>
      <c r="AB803" s="83"/>
      <c r="AC803" s="83"/>
      <c r="AD803" s="83"/>
    </row>
    <row r="804">
      <c r="A804" s="83"/>
      <c r="B804" s="83"/>
      <c r="C804" s="83"/>
      <c r="D804" s="83"/>
      <c r="E804" s="118"/>
      <c r="F804" s="118"/>
      <c r="G804" s="83"/>
      <c r="H804" s="83"/>
      <c r="I804" s="83"/>
      <c r="J804" s="83"/>
      <c r="K804" s="83"/>
      <c r="L804" s="83"/>
      <c r="M804" s="83"/>
      <c r="N804" s="83"/>
      <c r="O804" s="83"/>
      <c r="P804" s="83"/>
      <c r="Q804" s="83"/>
      <c r="R804" s="83"/>
      <c r="S804" s="83"/>
      <c r="T804" s="83"/>
      <c r="U804" s="83"/>
      <c r="V804" s="83"/>
      <c r="W804" s="83"/>
      <c r="X804" s="83"/>
      <c r="Y804" s="83"/>
      <c r="Z804" s="83"/>
      <c r="AA804" s="83"/>
      <c r="AB804" s="83"/>
      <c r="AC804" s="83"/>
      <c r="AD804" s="83"/>
    </row>
    <row r="805">
      <c r="A805" s="83"/>
      <c r="B805" s="83"/>
      <c r="C805" s="83"/>
      <c r="D805" s="83"/>
      <c r="E805" s="118"/>
      <c r="F805" s="118"/>
      <c r="G805" s="83"/>
      <c r="H805" s="83"/>
      <c r="I805" s="83"/>
      <c r="J805" s="83"/>
      <c r="K805" s="83"/>
      <c r="L805" s="83"/>
      <c r="M805" s="83"/>
      <c r="N805" s="83"/>
      <c r="O805" s="83"/>
      <c r="P805" s="83"/>
      <c r="Q805" s="83"/>
      <c r="R805" s="83"/>
      <c r="S805" s="83"/>
      <c r="T805" s="83"/>
      <c r="U805" s="83"/>
      <c r="V805" s="83"/>
      <c r="W805" s="83"/>
      <c r="X805" s="83"/>
      <c r="Y805" s="83"/>
      <c r="Z805" s="83"/>
      <c r="AA805" s="83"/>
      <c r="AB805" s="83"/>
      <c r="AC805" s="83"/>
      <c r="AD805" s="83"/>
    </row>
    <row r="806">
      <c r="A806" s="83"/>
      <c r="B806" s="83"/>
      <c r="C806" s="83"/>
      <c r="D806" s="83"/>
      <c r="E806" s="118"/>
      <c r="F806" s="118"/>
      <c r="G806" s="83"/>
      <c r="H806" s="83"/>
      <c r="I806" s="83"/>
      <c r="J806" s="83"/>
      <c r="K806" s="83"/>
      <c r="L806" s="83"/>
      <c r="M806" s="83"/>
      <c r="N806" s="83"/>
      <c r="O806" s="83"/>
      <c r="P806" s="83"/>
      <c r="Q806" s="83"/>
      <c r="R806" s="83"/>
      <c r="S806" s="83"/>
      <c r="T806" s="83"/>
      <c r="U806" s="83"/>
      <c r="V806" s="83"/>
      <c r="W806" s="83"/>
      <c r="X806" s="83"/>
      <c r="Y806" s="83"/>
      <c r="Z806" s="83"/>
      <c r="AA806" s="83"/>
      <c r="AB806" s="83"/>
      <c r="AC806" s="83"/>
      <c r="AD806" s="83"/>
    </row>
    <row r="807">
      <c r="A807" s="83"/>
      <c r="B807" s="83"/>
      <c r="C807" s="83"/>
      <c r="D807" s="83"/>
      <c r="E807" s="118"/>
      <c r="F807" s="118"/>
      <c r="G807" s="83"/>
      <c r="H807" s="83"/>
      <c r="I807" s="83"/>
      <c r="J807" s="83"/>
      <c r="K807" s="83"/>
      <c r="L807" s="83"/>
      <c r="M807" s="83"/>
      <c r="N807" s="83"/>
      <c r="O807" s="83"/>
      <c r="P807" s="83"/>
      <c r="Q807" s="83"/>
      <c r="R807" s="83"/>
      <c r="S807" s="83"/>
      <c r="T807" s="83"/>
      <c r="U807" s="83"/>
      <c r="V807" s="83"/>
      <c r="W807" s="83"/>
      <c r="X807" s="83"/>
      <c r="Y807" s="83"/>
      <c r="Z807" s="83"/>
      <c r="AA807" s="83"/>
      <c r="AB807" s="83"/>
      <c r="AC807" s="83"/>
      <c r="AD807" s="83"/>
    </row>
    <row r="808">
      <c r="A808" s="83"/>
      <c r="B808" s="83"/>
      <c r="C808" s="83"/>
      <c r="D808" s="83"/>
      <c r="E808" s="118"/>
      <c r="F808" s="118"/>
      <c r="G808" s="83"/>
      <c r="H808" s="83"/>
      <c r="I808" s="83"/>
      <c r="J808" s="83"/>
      <c r="K808" s="83"/>
      <c r="L808" s="83"/>
      <c r="M808" s="83"/>
      <c r="N808" s="83"/>
      <c r="O808" s="83"/>
      <c r="P808" s="83"/>
      <c r="Q808" s="83"/>
      <c r="R808" s="83"/>
      <c r="S808" s="83"/>
      <c r="T808" s="83"/>
      <c r="U808" s="83"/>
      <c r="V808" s="83"/>
      <c r="W808" s="83"/>
      <c r="X808" s="83"/>
      <c r="Y808" s="83"/>
      <c r="Z808" s="83"/>
      <c r="AA808" s="83"/>
      <c r="AB808" s="83"/>
      <c r="AC808" s="83"/>
      <c r="AD808" s="83"/>
    </row>
    <row r="809">
      <c r="A809" s="83"/>
      <c r="B809" s="83"/>
      <c r="C809" s="83"/>
      <c r="D809" s="83"/>
      <c r="E809" s="118"/>
      <c r="F809" s="118"/>
      <c r="G809" s="83"/>
      <c r="H809" s="83"/>
      <c r="I809" s="83"/>
      <c r="J809" s="83"/>
      <c r="K809" s="83"/>
      <c r="L809" s="83"/>
      <c r="M809" s="83"/>
      <c r="N809" s="83"/>
      <c r="O809" s="83"/>
      <c r="P809" s="83"/>
      <c r="Q809" s="83"/>
      <c r="R809" s="83"/>
      <c r="S809" s="83"/>
      <c r="T809" s="83"/>
      <c r="U809" s="83"/>
      <c r="V809" s="83"/>
      <c r="W809" s="83"/>
      <c r="X809" s="83"/>
      <c r="Y809" s="83"/>
      <c r="Z809" s="83"/>
      <c r="AA809" s="83"/>
      <c r="AB809" s="83"/>
      <c r="AC809" s="83"/>
      <c r="AD809" s="83"/>
    </row>
    <row r="810">
      <c r="A810" s="83"/>
      <c r="B810" s="83"/>
      <c r="C810" s="83"/>
      <c r="D810" s="83"/>
      <c r="E810" s="118"/>
      <c r="F810" s="118"/>
      <c r="G810" s="83"/>
      <c r="H810" s="83"/>
      <c r="I810" s="83"/>
      <c r="J810" s="83"/>
      <c r="K810" s="83"/>
      <c r="L810" s="83"/>
      <c r="M810" s="83"/>
      <c r="N810" s="83"/>
      <c r="O810" s="83"/>
      <c r="P810" s="83"/>
      <c r="Q810" s="83"/>
      <c r="R810" s="83"/>
      <c r="S810" s="83"/>
      <c r="T810" s="83"/>
      <c r="U810" s="83"/>
      <c r="V810" s="83"/>
      <c r="W810" s="83"/>
      <c r="X810" s="83"/>
      <c r="Y810" s="83"/>
      <c r="Z810" s="83"/>
      <c r="AA810" s="83"/>
      <c r="AB810" s="83"/>
      <c r="AC810" s="83"/>
      <c r="AD810" s="83"/>
    </row>
    <row r="811">
      <c r="A811" s="83"/>
      <c r="B811" s="83"/>
      <c r="C811" s="83"/>
      <c r="D811" s="83"/>
      <c r="E811" s="118"/>
      <c r="F811" s="118"/>
      <c r="G811" s="83"/>
      <c r="H811" s="83"/>
      <c r="I811" s="83"/>
      <c r="J811" s="83"/>
      <c r="K811" s="83"/>
      <c r="L811" s="83"/>
      <c r="M811" s="83"/>
      <c r="N811" s="83"/>
      <c r="O811" s="83"/>
      <c r="P811" s="83"/>
      <c r="Q811" s="83"/>
      <c r="R811" s="83"/>
      <c r="S811" s="83"/>
      <c r="T811" s="83"/>
      <c r="U811" s="83"/>
      <c r="V811" s="83"/>
      <c r="W811" s="83"/>
      <c r="X811" s="83"/>
      <c r="Y811" s="83"/>
      <c r="Z811" s="83"/>
      <c r="AA811" s="83"/>
      <c r="AB811" s="83"/>
      <c r="AC811" s="83"/>
      <c r="AD811" s="83"/>
    </row>
    <row r="812">
      <c r="A812" s="83"/>
      <c r="B812" s="83"/>
      <c r="C812" s="83"/>
      <c r="D812" s="83"/>
      <c r="E812" s="118"/>
      <c r="F812" s="118"/>
      <c r="G812" s="83"/>
      <c r="H812" s="83"/>
      <c r="I812" s="83"/>
      <c r="J812" s="83"/>
      <c r="K812" s="83"/>
      <c r="L812" s="83"/>
      <c r="M812" s="83"/>
      <c r="N812" s="83"/>
      <c r="O812" s="83"/>
      <c r="P812" s="83"/>
      <c r="Q812" s="83"/>
      <c r="R812" s="83"/>
      <c r="S812" s="83"/>
      <c r="T812" s="83"/>
      <c r="U812" s="83"/>
      <c r="V812" s="83"/>
      <c r="W812" s="83"/>
      <c r="X812" s="83"/>
      <c r="Y812" s="83"/>
      <c r="Z812" s="83"/>
      <c r="AA812" s="83"/>
      <c r="AB812" s="83"/>
      <c r="AC812" s="83"/>
      <c r="AD812" s="83"/>
    </row>
    <row r="813">
      <c r="A813" s="83"/>
      <c r="B813" s="83"/>
      <c r="C813" s="83"/>
      <c r="D813" s="83"/>
      <c r="E813" s="118"/>
      <c r="F813" s="118"/>
      <c r="G813" s="83"/>
      <c r="H813" s="83"/>
      <c r="I813" s="83"/>
      <c r="J813" s="83"/>
      <c r="K813" s="83"/>
      <c r="L813" s="83"/>
      <c r="M813" s="83"/>
      <c r="N813" s="83"/>
      <c r="O813" s="83"/>
      <c r="P813" s="83"/>
      <c r="Q813" s="83"/>
      <c r="R813" s="83"/>
      <c r="S813" s="83"/>
      <c r="T813" s="83"/>
      <c r="U813" s="83"/>
      <c r="V813" s="83"/>
      <c r="W813" s="83"/>
      <c r="X813" s="83"/>
      <c r="Y813" s="83"/>
      <c r="Z813" s="83"/>
      <c r="AA813" s="83"/>
      <c r="AB813" s="83"/>
      <c r="AC813" s="83"/>
      <c r="AD813" s="83"/>
    </row>
    <row r="814">
      <c r="A814" s="83"/>
      <c r="B814" s="83"/>
      <c r="C814" s="83"/>
      <c r="D814" s="83"/>
      <c r="E814" s="118"/>
      <c r="F814" s="118"/>
      <c r="G814" s="83"/>
      <c r="H814" s="83"/>
      <c r="I814" s="83"/>
      <c r="J814" s="83"/>
      <c r="K814" s="83"/>
      <c r="L814" s="83"/>
      <c r="M814" s="83"/>
      <c r="N814" s="83"/>
      <c r="O814" s="83"/>
      <c r="P814" s="83"/>
      <c r="Q814" s="83"/>
      <c r="R814" s="83"/>
      <c r="S814" s="83"/>
      <c r="T814" s="83"/>
      <c r="U814" s="83"/>
      <c r="V814" s="83"/>
      <c r="W814" s="83"/>
      <c r="X814" s="83"/>
      <c r="Y814" s="83"/>
      <c r="Z814" s="83"/>
      <c r="AA814" s="83"/>
      <c r="AB814" s="83"/>
      <c r="AC814" s="83"/>
      <c r="AD814" s="83"/>
    </row>
    <row r="815">
      <c r="A815" s="83"/>
      <c r="B815" s="83"/>
      <c r="C815" s="83"/>
      <c r="D815" s="83"/>
      <c r="E815" s="118"/>
      <c r="F815" s="118"/>
      <c r="G815" s="83"/>
      <c r="H815" s="83"/>
      <c r="I815" s="83"/>
      <c r="J815" s="83"/>
      <c r="K815" s="83"/>
      <c r="L815" s="83"/>
      <c r="M815" s="83"/>
      <c r="N815" s="83"/>
      <c r="O815" s="83"/>
      <c r="P815" s="83"/>
      <c r="Q815" s="83"/>
      <c r="R815" s="83"/>
      <c r="S815" s="83"/>
      <c r="T815" s="83"/>
      <c r="U815" s="83"/>
      <c r="V815" s="83"/>
      <c r="W815" s="83"/>
      <c r="X815" s="83"/>
      <c r="Y815" s="83"/>
      <c r="Z815" s="83"/>
      <c r="AA815" s="83"/>
      <c r="AB815" s="83"/>
      <c r="AC815" s="83"/>
      <c r="AD815" s="83"/>
    </row>
    <row r="816">
      <c r="A816" s="83"/>
      <c r="B816" s="83"/>
      <c r="C816" s="83"/>
      <c r="D816" s="83"/>
      <c r="E816" s="118"/>
      <c r="F816" s="118"/>
      <c r="G816" s="83"/>
      <c r="H816" s="83"/>
      <c r="I816" s="83"/>
      <c r="J816" s="83"/>
      <c r="K816" s="83"/>
      <c r="L816" s="83"/>
      <c r="M816" s="83"/>
      <c r="N816" s="83"/>
      <c r="O816" s="83"/>
      <c r="P816" s="83"/>
      <c r="Q816" s="83"/>
      <c r="R816" s="83"/>
      <c r="S816" s="83"/>
      <c r="T816" s="83"/>
      <c r="U816" s="83"/>
      <c r="V816" s="83"/>
      <c r="W816" s="83"/>
      <c r="X816" s="83"/>
      <c r="Y816" s="83"/>
      <c r="Z816" s="83"/>
      <c r="AA816" s="83"/>
      <c r="AB816" s="83"/>
      <c r="AC816" s="83"/>
      <c r="AD816" s="83"/>
    </row>
    <row r="817">
      <c r="A817" s="83"/>
      <c r="B817" s="83"/>
      <c r="C817" s="83"/>
      <c r="D817" s="83"/>
      <c r="E817" s="118"/>
      <c r="F817" s="118"/>
      <c r="G817" s="83"/>
      <c r="H817" s="83"/>
      <c r="I817" s="83"/>
      <c r="J817" s="83"/>
      <c r="K817" s="83"/>
      <c r="L817" s="83"/>
      <c r="M817" s="83"/>
      <c r="N817" s="83"/>
      <c r="O817" s="83"/>
      <c r="P817" s="83"/>
      <c r="Q817" s="83"/>
      <c r="R817" s="83"/>
      <c r="S817" s="83"/>
      <c r="T817" s="83"/>
      <c r="U817" s="83"/>
      <c r="V817" s="83"/>
      <c r="W817" s="83"/>
      <c r="X817" s="83"/>
      <c r="Y817" s="83"/>
      <c r="Z817" s="83"/>
      <c r="AA817" s="83"/>
      <c r="AB817" s="83"/>
      <c r="AC817" s="83"/>
      <c r="AD817" s="83"/>
    </row>
    <row r="818">
      <c r="A818" s="83"/>
      <c r="B818" s="83"/>
      <c r="C818" s="83"/>
      <c r="D818" s="83"/>
      <c r="E818" s="118"/>
      <c r="F818" s="118"/>
      <c r="G818" s="83"/>
      <c r="H818" s="83"/>
      <c r="I818" s="83"/>
      <c r="J818" s="83"/>
      <c r="K818" s="83"/>
      <c r="L818" s="83"/>
      <c r="M818" s="83"/>
      <c r="N818" s="83"/>
      <c r="O818" s="83"/>
      <c r="P818" s="83"/>
      <c r="Q818" s="83"/>
      <c r="R818" s="83"/>
      <c r="S818" s="83"/>
      <c r="T818" s="83"/>
      <c r="U818" s="83"/>
      <c r="V818" s="83"/>
      <c r="W818" s="83"/>
      <c r="X818" s="83"/>
      <c r="Y818" s="83"/>
      <c r="Z818" s="83"/>
      <c r="AA818" s="83"/>
      <c r="AB818" s="83"/>
      <c r="AC818" s="83"/>
      <c r="AD818" s="83"/>
    </row>
    <row r="819">
      <c r="A819" s="83"/>
      <c r="B819" s="83"/>
      <c r="C819" s="83"/>
      <c r="D819" s="83"/>
      <c r="E819" s="118"/>
      <c r="F819" s="118"/>
      <c r="G819" s="83"/>
      <c r="H819" s="83"/>
      <c r="I819" s="83"/>
      <c r="J819" s="83"/>
      <c r="K819" s="83"/>
      <c r="L819" s="83"/>
      <c r="M819" s="83"/>
      <c r="N819" s="83"/>
      <c r="O819" s="83"/>
      <c r="P819" s="83"/>
      <c r="Q819" s="83"/>
      <c r="R819" s="83"/>
      <c r="S819" s="83"/>
      <c r="T819" s="83"/>
      <c r="U819" s="83"/>
      <c r="V819" s="83"/>
      <c r="W819" s="83"/>
      <c r="X819" s="83"/>
      <c r="Y819" s="83"/>
      <c r="Z819" s="83"/>
      <c r="AA819" s="83"/>
      <c r="AB819" s="83"/>
      <c r="AC819" s="83"/>
      <c r="AD819" s="83"/>
    </row>
    <row r="820">
      <c r="A820" s="83"/>
      <c r="B820" s="83"/>
      <c r="C820" s="83"/>
      <c r="D820" s="83"/>
      <c r="E820" s="118"/>
      <c r="F820" s="118"/>
      <c r="G820" s="83"/>
      <c r="H820" s="83"/>
      <c r="I820" s="83"/>
      <c r="J820" s="83"/>
      <c r="K820" s="83"/>
      <c r="L820" s="83"/>
      <c r="M820" s="83"/>
      <c r="N820" s="83"/>
      <c r="O820" s="83"/>
      <c r="P820" s="83"/>
      <c r="Q820" s="83"/>
      <c r="R820" s="83"/>
      <c r="S820" s="83"/>
      <c r="T820" s="83"/>
      <c r="U820" s="83"/>
      <c r="V820" s="83"/>
      <c r="W820" s="83"/>
      <c r="X820" s="83"/>
      <c r="Y820" s="83"/>
      <c r="Z820" s="83"/>
      <c r="AA820" s="83"/>
      <c r="AB820" s="83"/>
      <c r="AC820" s="83"/>
      <c r="AD820" s="83"/>
    </row>
    <row r="821">
      <c r="A821" s="83"/>
      <c r="B821" s="83"/>
      <c r="C821" s="83"/>
      <c r="D821" s="83"/>
      <c r="E821" s="118"/>
      <c r="F821" s="118"/>
      <c r="G821" s="83"/>
      <c r="H821" s="83"/>
      <c r="I821" s="83"/>
      <c r="J821" s="83"/>
      <c r="K821" s="83"/>
      <c r="L821" s="83"/>
      <c r="M821" s="83"/>
      <c r="N821" s="83"/>
      <c r="O821" s="83"/>
      <c r="P821" s="83"/>
      <c r="Q821" s="83"/>
      <c r="R821" s="83"/>
      <c r="S821" s="83"/>
      <c r="T821" s="83"/>
      <c r="U821" s="83"/>
      <c r="V821" s="83"/>
      <c r="W821" s="83"/>
      <c r="X821" s="83"/>
      <c r="Y821" s="83"/>
      <c r="Z821" s="83"/>
      <c r="AA821" s="83"/>
      <c r="AB821" s="83"/>
      <c r="AC821" s="83"/>
      <c r="AD821" s="83"/>
    </row>
    <row r="822">
      <c r="A822" s="83"/>
      <c r="B822" s="83"/>
      <c r="C822" s="83"/>
      <c r="D822" s="83"/>
      <c r="E822" s="118"/>
      <c r="F822" s="118"/>
      <c r="G822" s="83"/>
      <c r="H822" s="83"/>
      <c r="I822" s="83"/>
      <c r="J822" s="83"/>
      <c r="K822" s="83"/>
      <c r="L822" s="83"/>
      <c r="M822" s="83"/>
      <c r="N822" s="83"/>
      <c r="O822" s="83"/>
      <c r="P822" s="83"/>
      <c r="Q822" s="83"/>
      <c r="R822" s="83"/>
      <c r="S822" s="83"/>
      <c r="T822" s="83"/>
      <c r="U822" s="83"/>
      <c r="V822" s="83"/>
      <c r="W822" s="83"/>
      <c r="X822" s="83"/>
      <c r="Y822" s="83"/>
      <c r="Z822" s="83"/>
      <c r="AA822" s="83"/>
      <c r="AB822" s="83"/>
      <c r="AC822" s="83"/>
      <c r="AD822" s="83"/>
    </row>
    <row r="823">
      <c r="A823" s="83"/>
      <c r="B823" s="83"/>
      <c r="C823" s="83"/>
      <c r="D823" s="83"/>
      <c r="E823" s="118"/>
      <c r="F823" s="118"/>
      <c r="G823" s="83"/>
      <c r="H823" s="83"/>
      <c r="I823" s="83"/>
      <c r="J823" s="83"/>
      <c r="K823" s="83"/>
      <c r="L823" s="83"/>
      <c r="M823" s="83"/>
      <c r="N823" s="83"/>
      <c r="O823" s="83"/>
      <c r="P823" s="83"/>
      <c r="Q823" s="83"/>
      <c r="R823" s="83"/>
      <c r="S823" s="83"/>
      <c r="T823" s="83"/>
      <c r="U823" s="83"/>
      <c r="V823" s="83"/>
      <c r="W823" s="83"/>
      <c r="X823" s="83"/>
      <c r="Y823" s="83"/>
      <c r="Z823" s="83"/>
      <c r="AA823" s="83"/>
      <c r="AB823" s="83"/>
      <c r="AC823" s="83"/>
      <c r="AD823" s="83"/>
    </row>
    <row r="824">
      <c r="A824" s="83"/>
      <c r="B824" s="83"/>
      <c r="C824" s="83"/>
      <c r="D824" s="83"/>
      <c r="E824" s="118"/>
      <c r="F824" s="118"/>
      <c r="G824" s="83"/>
      <c r="H824" s="83"/>
      <c r="I824" s="83"/>
      <c r="J824" s="83"/>
      <c r="K824" s="83"/>
      <c r="L824" s="83"/>
      <c r="M824" s="83"/>
      <c r="N824" s="83"/>
      <c r="O824" s="83"/>
      <c r="P824" s="83"/>
      <c r="Q824" s="83"/>
      <c r="R824" s="83"/>
      <c r="S824" s="83"/>
      <c r="T824" s="83"/>
      <c r="U824" s="83"/>
      <c r="V824" s="83"/>
      <c r="W824" s="83"/>
      <c r="X824" s="83"/>
      <c r="Y824" s="83"/>
      <c r="Z824" s="83"/>
      <c r="AA824" s="83"/>
      <c r="AB824" s="83"/>
      <c r="AC824" s="83"/>
      <c r="AD824" s="83"/>
    </row>
    <row r="825">
      <c r="A825" s="83"/>
      <c r="B825" s="83"/>
      <c r="C825" s="83"/>
      <c r="D825" s="83"/>
      <c r="E825" s="118"/>
      <c r="F825" s="118"/>
      <c r="G825" s="83"/>
      <c r="H825" s="83"/>
      <c r="I825" s="83"/>
      <c r="J825" s="83"/>
      <c r="K825" s="83"/>
      <c r="L825" s="83"/>
      <c r="M825" s="83"/>
      <c r="N825" s="83"/>
      <c r="O825" s="83"/>
      <c r="P825" s="83"/>
      <c r="Q825" s="83"/>
      <c r="R825" s="83"/>
      <c r="S825" s="83"/>
      <c r="T825" s="83"/>
      <c r="U825" s="83"/>
      <c r="V825" s="83"/>
      <c r="W825" s="83"/>
      <c r="X825" s="83"/>
      <c r="Y825" s="83"/>
      <c r="Z825" s="83"/>
      <c r="AA825" s="83"/>
      <c r="AB825" s="83"/>
      <c r="AC825" s="83"/>
      <c r="AD825" s="83"/>
    </row>
    <row r="826">
      <c r="A826" s="83"/>
      <c r="B826" s="83"/>
      <c r="C826" s="83"/>
      <c r="D826" s="83"/>
      <c r="E826" s="118"/>
      <c r="F826" s="118"/>
      <c r="G826" s="83"/>
      <c r="H826" s="83"/>
      <c r="I826" s="83"/>
      <c r="J826" s="83"/>
      <c r="K826" s="83"/>
      <c r="L826" s="83"/>
      <c r="M826" s="83"/>
      <c r="N826" s="83"/>
      <c r="O826" s="83"/>
      <c r="P826" s="83"/>
      <c r="Q826" s="83"/>
      <c r="R826" s="83"/>
      <c r="S826" s="83"/>
      <c r="T826" s="83"/>
      <c r="U826" s="83"/>
      <c r="V826" s="83"/>
      <c r="W826" s="83"/>
      <c r="X826" s="83"/>
      <c r="Y826" s="83"/>
      <c r="Z826" s="83"/>
      <c r="AA826" s="83"/>
      <c r="AB826" s="83"/>
      <c r="AC826" s="83"/>
      <c r="AD826" s="83"/>
    </row>
    <row r="827">
      <c r="A827" s="83"/>
      <c r="B827" s="83"/>
      <c r="C827" s="83"/>
      <c r="D827" s="83"/>
      <c r="E827" s="118"/>
      <c r="F827" s="118"/>
      <c r="G827" s="83"/>
      <c r="H827" s="83"/>
      <c r="I827" s="83"/>
      <c r="J827" s="83"/>
      <c r="K827" s="83"/>
      <c r="L827" s="83"/>
      <c r="M827" s="83"/>
      <c r="N827" s="83"/>
      <c r="O827" s="83"/>
      <c r="P827" s="83"/>
      <c r="Q827" s="83"/>
      <c r="R827" s="83"/>
      <c r="S827" s="83"/>
      <c r="T827" s="83"/>
      <c r="U827" s="83"/>
      <c r="V827" s="83"/>
      <c r="W827" s="83"/>
      <c r="X827" s="83"/>
      <c r="Y827" s="83"/>
      <c r="Z827" s="83"/>
      <c r="AA827" s="83"/>
      <c r="AB827" s="83"/>
      <c r="AC827" s="83"/>
      <c r="AD827" s="83"/>
    </row>
    <row r="828">
      <c r="A828" s="83"/>
      <c r="B828" s="83"/>
      <c r="C828" s="83"/>
      <c r="D828" s="83"/>
      <c r="E828" s="118"/>
      <c r="F828" s="118"/>
      <c r="G828" s="83"/>
      <c r="H828" s="83"/>
      <c r="I828" s="83"/>
      <c r="J828" s="83"/>
      <c r="K828" s="83"/>
      <c r="L828" s="83"/>
      <c r="M828" s="83"/>
      <c r="N828" s="83"/>
      <c r="O828" s="83"/>
      <c r="P828" s="83"/>
      <c r="Q828" s="83"/>
      <c r="R828" s="83"/>
      <c r="S828" s="83"/>
      <c r="T828" s="83"/>
      <c r="U828" s="83"/>
      <c r="V828" s="83"/>
      <c r="W828" s="83"/>
      <c r="X828" s="83"/>
      <c r="Y828" s="83"/>
      <c r="Z828" s="83"/>
      <c r="AA828" s="83"/>
      <c r="AB828" s="83"/>
      <c r="AC828" s="83"/>
      <c r="AD828" s="83"/>
    </row>
    <row r="829">
      <c r="A829" s="83"/>
      <c r="B829" s="83"/>
      <c r="C829" s="83"/>
      <c r="D829" s="83"/>
      <c r="E829" s="118"/>
      <c r="F829" s="118"/>
      <c r="G829" s="83"/>
      <c r="H829" s="83"/>
      <c r="I829" s="83"/>
      <c r="J829" s="83"/>
      <c r="K829" s="83"/>
      <c r="L829" s="83"/>
      <c r="M829" s="83"/>
      <c r="N829" s="83"/>
      <c r="O829" s="83"/>
      <c r="P829" s="83"/>
      <c r="Q829" s="83"/>
      <c r="R829" s="83"/>
      <c r="S829" s="83"/>
      <c r="T829" s="83"/>
      <c r="U829" s="83"/>
      <c r="V829" s="83"/>
      <c r="W829" s="83"/>
      <c r="X829" s="83"/>
      <c r="Y829" s="83"/>
      <c r="Z829" s="83"/>
      <c r="AA829" s="83"/>
      <c r="AB829" s="83"/>
      <c r="AC829" s="83"/>
      <c r="AD829" s="83"/>
    </row>
    <row r="830">
      <c r="A830" s="83"/>
      <c r="B830" s="83"/>
      <c r="C830" s="83"/>
      <c r="D830" s="83"/>
      <c r="E830" s="118"/>
      <c r="F830" s="118"/>
      <c r="G830" s="83"/>
      <c r="H830" s="83"/>
      <c r="I830" s="83"/>
      <c r="J830" s="83"/>
      <c r="K830" s="83"/>
      <c r="L830" s="83"/>
      <c r="M830" s="83"/>
      <c r="N830" s="83"/>
      <c r="O830" s="83"/>
      <c r="P830" s="83"/>
      <c r="Q830" s="83"/>
      <c r="R830" s="83"/>
      <c r="S830" s="83"/>
      <c r="T830" s="83"/>
      <c r="U830" s="83"/>
      <c r="V830" s="83"/>
      <c r="W830" s="83"/>
      <c r="X830" s="83"/>
      <c r="Y830" s="83"/>
      <c r="Z830" s="83"/>
      <c r="AA830" s="83"/>
      <c r="AB830" s="83"/>
      <c r="AC830" s="83"/>
      <c r="AD830" s="83"/>
    </row>
    <row r="831">
      <c r="A831" s="83"/>
      <c r="B831" s="83"/>
      <c r="C831" s="83"/>
      <c r="D831" s="83"/>
      <c r="E831" s="118"/>
      <c r="F831" s="118"/>
      <c r="G831" s="83"/>
      <c r="H831" s="83"/>
      <c r="I831" s="83"/>
      <c r="J831" s="83"/>
      <c r="K831" s="83"/>
      <c r="L831" s="83"/>
      <c r="M831" s="83"/>
      <c r="N831" s="83"/>
      <c r="O831" s="83"/>
      <c r="P831" s="83"/>
      <c r="Q831" s="83"/>
      <c r="R831" s="83"/>
      <c r="S831" s="83"/>
      <c r="T831" s="83"/>
      <c r="U831" s="83"/>
      <c r="V831" s="83"/>
      <c r="W831" s="83"/>
      <c r="X831" s="83"/>
      <c r="Y831" s="83"/>
      <c r="Z831" s="83"/>
      <c r="AA831" s="83"/>
      <c r="AB831" s="83"/>
      <c r="AC831" s="83"/>
      <c r="AD831" s="83"/>
    </row>
    <row r="832">
      <c r="A832" s="83"/>
      <c r="B832" s="83"/>
      <c r="C832" s="83"/>
      <c r="D832" s="83"/>
      <c r="E832" s="118"/>
      <c r="F832" s="118"/>
      <c r="G832" s="83"/>
      <c r="H832" s="83"/>
      <c r="I832" s="83"/>
      <c r="J832" s="83"/>
      <c r="K832" s="83"/>
      <c r="L832" s="83"/>
      <c r="M832" s="83"/>
      <c r="N832" s="83"/>
      <c r="O832" s="83"/>
      <c r="P832" s="83"/>
      <c r="Q832" s="83"/>
      <c r="R832" s="83"/>
      <c r="S832" s="83"/>
      <c r="T832" s="83"/>
      <c r="U832" s="83"/>
      <c r="V832" s="83"/>
      <c r="W832" s="83"/>
      <c r="X832" s="83"/>
      <c r="Y832" s="83"/>
      <c r="Z832" s="83"/>
      <c r="AA832" s="83"/>
      <c r="AB832" s="83"/>
      <c r="AC832" s="83"/>
      <c r="AD832" s="83"/>
    </row>
    <row r="833">
      <c r="A833" s="83"/>
      <c r="B833" s="83"/>
      <c r="C833" s="83"/>
      <c r="D833" s="83"/>
      <c r="E833" s="118"/>
      <c r="F833" s="118"/>
      <c r="G833" s="83"/>
      <c r="H833" s="83"/>
      <c r="I833" s="83"/>
      <c r="J833" s="83"/>
      <c r="K833" s="83"/>
      <c r="L833" s="83"/>
      <c r="M833" s="83"/>
      <c r="N833" s="83"/>
      <c r="O833" s="83"/>
      <c r="P833" s="83"/>
      <c r="Q833" s="83"/>
      <c r="R833" s="83"/>
      <c r="S833" s="83"/>
      <c r="T833" s="83"/>
      <c r="U833" s="83"/>
      <c r="V833" s="83"/>
      <c r="W833" s="83"/>
      <c r="X833" s="83"/>
      <c r="Y833" s="83"/>
      <c r="Z833" s="83"/>
      <c r="AA833" s="83"/>
      <c r="AB833" s="83"/>
      <c r="AC833" s="83"/>
      <c r="AD833" s="83"/>
    </row>
    <row r="834">
      <c r="A834" s="83"/>
      <c r="B834" s="83"/>
      <c r="C834" s="83"/>
      <c r="D834" s="83"/>
      <c r="E834" s="118"/>
      <c r="F834" s="118"/>
      <c r="G834" s="83"/>
      <c r="H834" s="83"/>
      <c r="I834" s="83"/>
      <c r="J834" s="83"/>
      <c r="K834" s="83"/>
      <c r="L834" s="83"/>
      <c r="M834" s="83"/>
      <c r="N834" s="83"/>
      <c r="O834" s="83"/>
      <c r="P834" s="83"/>
      <c r="Q834" s="83"/>
      <c r="R834" s="83"/>
      <c r="S834" s="83"/>
      <c r="T834" s="83"/>
      <c r="U834" s="83"/>
      <c r="V834" s="83"/>
      <c r="W834" s="83"/>
      <c r="X834" s="83"/>
      <c r="Y834" s="83"/>
      <c r="Z834" s="83"/>
      <c r="AA834" s="83"/>
      <c r="AB834" s="83"/>
      <c r="AC834" s="83"/>
      <c r="AD834" s="83"/>
    </row>
    <row r="835">
      <c r="A835" s="83"/>
      <c r="B835" s="83"/>
      <c r="C835" s="83"/>
      <c r="D835" s="83"/>
      <c r="E835" s="118"/>
      <c r="F835" s="118"/>
      <c r="G835" s="83"/>
      <c r="H835" s="83"/>
      <c r="I835" s="83"/>
      <c r="J835" s="83"/>
      <c r="K835" s="83"/>
      <c r="L835" s="83"/>
      <c r="M835" s="83"/>
      <c r="N835" s="83"/>
      <c r="O835" s="83"/>
      <c r="P835" s="83"/>
      <c r="Q835" s="83"/>
      <c r="R835" s="83"/>
      <c r="S835" s="83"/>
      <c r="T835" s="83"/>
      <c r="U835" s="83"/>
      <c r="V835" s="83"/>
      <c r="W835" s="83"/>
      <c r="X835" s="83"/>
      <c r="Y835" s="83"/>
      <c r="Z835" s="83"/>
      <c r="AA835" s="83"/>
      <c r="AB835" s="83"/>
      <c r="AC835" s="83"/>
      <c r="AD835" s="83"/>
    </row>
    <row r="836">
      <c r="A836" s="83"/>
      <c r="B836" s="83"/>
      <c r="C836" s="83"/>
      <c r="D836" s="83"/>
      <c r="E836" s="118"/>
      <c r="F836" s="118"/>
      <c r="G836" s="83"/>
      <c r="H836" s="83"/>
      <c r="I836" s="83"/>
      <c r="J836" s="83"/>
      <c r="K836" s="83"/>
      <c r="L836" s="83"/>
      <c r="M836" s="83"/>
      <c r="N836" s="83"/>
      <c r="O836" s="83"/>
      <c r="P836" s="83"/>
      <c r="Q836" s="83"/>
      <c r="R836" s="83"/>
      <c r="S836" s="83"/>
      <c r="T836" s="83"/>
      <c r="U836" s="83"/>
      <c r="V836" s="83"/>
      <c r="W836" s="83"/>
      <c r="X836" s="83"/>
      <c r="Y836" s="83"/>
      <c r="Z836" s="83"/>
      <c r="AA836" s="83"/>
      <c r="AB836" s="83"/>
      <c r="AC836" s="83"/>
      <c r="AD836" s="83"/>
    </row>
    <row r="837">
      <c r="A837" s="83"/>
      <c r="B837" s="83"/>
      <c r="C837" s="83"/>
      <c r="D837" s="83"/>
      <c r="E837" s="118"/>
      <c r="F837" s="118"/>
      <c r="G837" s="83"/>
      <c r="H837" s="83"/>
      <c r="I837" s="83"/>
      <c r="J837" s="83"/>
      <c r="K837" s="83"/>
      <c r="L837" s="83"/>
      <c r="M837" s="83"/>
      <c r="N837" s="83"/>
      <c r="O837" s="83"/>
      <c r="P837" s="83"/>
      <c r="Q837" s="83"/>
      <c r="R837" s="83"/>
      <c r="S837" s="83"/>
      <c r="T837" s="83"/>
      <c r="U837" s="83"/>
      <c r="V837" s="83"/>
      <c r="W837" s="83"/>
      <c r="X837" s="83"/>
      <c r="Y837" s="83"/>
      <c r="Z837" s="83"/>
      <c r="AA837" s="83"/>
      <c r="AB837" s="83"/>
      <c r="AC837" s="83"/>
      <c r="AD837" s="83"/>
    </row>
    <row r="838">
      <c r="A838" s="83"/>
      <c r="B838" s="83"/>
      <c r="C838" s="83"/>
      <c r="D838" s="83"/>
      <c r="E838" s="118"/>
      <c r="F838" s="118"/>
      <c r="G838" s="83"/>
      <c r="H838" s="83"/>
      <c r="I838" s="83"/>
      <c r="J838" s="83"/>
      <c r="K838" s="83"/>
      <c r="L838" s="83"/>
      <c r="M838" s="83"/>
      <c r="N838" s="83"/>
      <c r="O838" s="83"/>
      <c r="P838" s="83"/>
      <c r="Q838" s="83"/>
      <c r="R838" s="83"/>
      <c r="S838" s="83"/>
      <c r="T838" s="83"/>
      <c r="U838" s="83"/>
      <c r="V838" s="83"/>
      <c r="W838" s="83"/>
      <c r="X838" s="83"/>
      <c r="Y838" s="83"/>
      <c r="Z838" s="83"/>
      <c r="AA838" s="83"/>
      <c r="AB838" s="83"/>
      <c r="AC838" s="83"/>
      <c r="AD838" s="83"/>
    </row>
    <row r="839">
      <c r="A839" s="83"/>
      <c r="B839" s="83"/>
      <c r="C839" s="83"/>
      <c r="D839" s="83"/>
      <c r="E839" s="118"/>
      <c r="F839" s="118"/>
      <c r="G839" s="83"/>
      <c r="H839" s="83"/>
      <c r="I839" s="83"/>
      <c r="J839" s="83"/>
      <c r="K839" s="83"/>
      <c r="L839" s="83"/>
      <c r="M839" s="83"/>
      <c r="N839" s="83"/>
      <c r="O839" s="83"/>
      <c r="P839" s="83"/>
      <c r="Q839" s="83"/>
      <c r="R839" s="83"/>
      <c r="S839" s="83"/>
      <c r="T839" s="83"/>
      <c r="U839" s="83"/>
      <c r="V839" s="83"/>
      <c r="W839" s="83"/>
      <c r="X839" s="83"/>
      <c r="Y839" s="83"/>
      <c r="Z839" s="83"/>
      <c r="AA839" s="83"/>
      <c r="AB839" s="83"/>
      <c r="AC839" s="83"/>
      <c r="AD839" s="83"/>
    </row>
    <row r="840">
      <c r="A840" s="83"/>
      <c r="B840" s="83"/>
      <c r="C840" s="83"/>
      <c r="D840" s="83"/>
      <c r="E840" s="118"/>
      <c r="F840" s="118"/>
      <c r="G840" s="83"/>
      <c r="H840" s="83"/>
      <c r="I840" s="83"/>
      <c r="J840" s="83"/>
      <c r="K840" s="83"/>
      <c r="L840" s="83"/>
      <c r="M840" s="83"/>
      <c r="N840" s="83"/>
      <c r="O840" s="83"/>
      <c r="P840" s="83"/>
      <c r="Q840" s="83"/>
      <c r="R840" s="83"/>
      <c r="S840" s="83"/>
      <c r="T840" s="83"/>
      <c r="U840" s="83"/>
      <c r="V840" s="83"/>
      <c r="W840" s="83"/>
      <c r="X840" s="83"/>
      <c r="Y840" s="83"/>
      <c r="Z840" s="83"/>
      <c r="AA840" s="83"/>
      <c r="AB840" s="83"/>
      <c r="AC840" s="83"/>
      <c r="AD840" s="83"/>
    </row>
    <row r="841">
      <c r="A841" s="83"/>
      <c r="B841" s="83"/>
      <c r="C841" s="83"/>
      <c r="D841" s="83"/>
      <c r="E841" s="118"/>
      <c r="F841" s="118"/>
      <c r="G841" s="83"/>
      <c r="H841" s="83"/>
      <c r="I841" s="83"/>
      <c r="J841" s="83"/>
      <c r="K841" s="83"/>
      <c r="L841" s="83"/>
      <c r="M841" s="83"/>
      <c r="N841" s="83"/>
      <c r="O841" s="83"/>
      <c r="P841" s="83"/>
      <c r="Q841" s="83"/>
      <c r="R841" s="83"/>
      <c r="S841" s="83"/>
      <c r="T841" s="83"/>
      <c r="U841" s="83"/>
      <c r="V841" s="83"/>
      <c r="W841" s="83"/>
      <c r="X841" s="83"/>
      <c r="Y841" s="83"/>
      <c r="Z841" s="83"/>
      <c r="AA841" s="83"/>
      <c r="AB841" s="83"/>
      <c r="AC841" s="83"/>
      <c r="AD841" s="83"/>
    </row>
    <row r="842">
      <c r="A842" s="83"/>
      <c r="B842" s="83"/>
      <c r="C842" s="83"/>
      <c r="D842" s="83"/>
      <c r="E842" s="118"/>
      <c r="F842" s="118"/>
      <c r="G842" s="83"/>
      <c r="H842" s="83"/>
      <c r="I842" s="83"/>
      <c r="J842" s="83"/>
      <c r="K842" s="83"/>
      <c r="L842" s="83"/>
      <c r="M842" s="83"/>
      <c r="N842" s="83"/>
      <c r="O842" s="83"/>
      <c r="P842" s="83"/>
      <c r="Q842" s="83"/>
      <c r="R842" s="83"/>
      <c r="S842" s="83"/>
      <c r="T842" s="83"/>
      <c r="U842" s="83"/>
      <c r="V842" s="83"/>
      <c r="W842" s="83"/>
      <c r="X842" s="83"/>
      <c r="Y842" s="83"/>
      <c r="Z842" s="83"/>
      <c r="AA842" s="83"/>
      <c r="AB842" s="83"/>
      <c r="AC842" s="83"/>
      <c r="AD842" s="83"/>
    </row>
    <row r="843">
      <c r="A843" s="83"/>
      <c r="B843" s="83"/>
      <c r="C843" s="83"/>
      <c r="D843" s="83"/>
      <c r="E843" s="118"/>
      <c r="F843" s="118"/>
      <c r="G843" s="83"/>
      <c r="H843" s="83"/>
      <c r="I843" s="83"/>
      <c r="J843" s="83"/>
      <c r="K843" s="83"/>
      <c r="L843" s="83"/>
      <c r="M843" s="83"/>
      <c r="N843" s="83"/>
      <c r="O843" s="83"/>
      <c r="P843" s="83"/>
      <c r="Q843" s="83"/>
      <c r="R843" s="83"/>
      <c r="S843" s="83"/>
      <c r="T843" s="83"/>
      <c r="U843" s="83"/>
      <c r="V843" s="83"/>
      <c r="W843" s="83"/>
      <c r="X843" s="83"/>
      <c r="Y843" s="83"/>
      <c r="Z843" s="83"/>
      <c r="AA843" s="83"/>
      <c r="AB843" s="83"/>
      <c r="AC843" s="83"/>
      <c r="AD843" s="83"/>
    </row>
    <row r="844">
      <c r="A844" s="83"/>
      <c r="B844" s="83"/>
      <c r="C844" s="83"/>
      <c r="D844" s="83"/>
      <c r="E844" s="118"/>
      <c r="F844" s="118"/>
      <c r="G844" s="83"/>
      <c r="H844" s="83"/>
      <c r="I844" s="83"/>
      <c r="J844" s="83"/>
      <c r="K844" s="83"/>
      <c r="L844" s="83"/>
      <c r="M844" s="83"/>
      <c r="N844" s="83"/>
      <c r="O844" s="83"/>
      <c r="P844" s="83"/>
      <c r="Q844" s="83"/>
      <c r="R844" s="83"/>
      <c r="S844" s="83"/>
      <c r="T844" s="83"/>
      <c r="U844" s="83"/>
      <c r="V844" s="83"/>
      <c r="W844" s="83"/>
      <c r="X844" s="83"/>
      <c r="Y844" s="83"/>
      <c r="Z844" s="83"/>
      <c r="AA844" s="83"/>
      <c r="AB844" s="83"/>
      <c r="AC844" s="83"/>
      <c r="AD844" s="83"/>
    </row>
    <row r="845">
      <c r="A845" s="83"/>
      <c r="B845" s="83"/>
      <c r="C845" s="83"/>
      <c r="D845" s="83"/>
      <c r="E845" s="118"/>
      <c r="F845" s="118"/>
      <c r="G845" s="83"/>
      <c r="H845" s="83"/>
      <c r="I845" s="83"/>
      <c r="J845" s="83"/>
      <c r="K845" s="83"/>
      <c r="L845" s="83"/>
      <c r="M845" s="83"/>
      <c r="N845" s="83"/>
      <c r="O845" s="83"/>
      <c r="P845" s="83"/>
      <c r="Q845" s="83"/>
      <c r="R845" s="83"/>
      <c r="S845" s="83"/>
      <c r="T845" s="83"/>
      <c r="U845" s="83"/>
      <c r="V845" s="83"/>
      <c r="W845" s="83"/>
      <c r="X845" s="83"/>
      <c r="Y845" s="83"/>
      <c r="Z845" s="83"/>
      <c r="AA845" s="83"/>
      <c r="AB845" s="83"/>
      <c r="AC845" s="83"/>
      <c r="AD845" s="83"/>
    </row>
    <row r="846">
      <c r="A846" s="83"/>
      <c r="B846" s="83"/>
      <c r="C846" s="83"/>
      <c r="D846" s="83"/>
      <c r="E846" s="118"/>
      <c r="F846" s="118"/>
      <c r="G846" s="83"/>
      <c r="H846" s="83"/>
      <c r="I846" s="83"/>
      <c r="J846" s="83"/>
      <c r="K846" s="83"/>
      <c r="L846" s="83"/>
      <c r="M846" s="83"/>
      <c r="N846" s="83"/>
      <c r="O846" s="83"/>
      <c r="P846" s="83"/>
      <c r="Q846" s="83"/>
      <c r="R846" s="83"/>
      <c r="S846" s="83"/>
      <c r="T846" s="83"/>
      <c r="U846" s="83"/>
      <c r="V846" s="83"/>
      <c r="W846" s="83"/>
      <c r="X846" s="83"/>
      <c r="Y846" s="83"/>
      <c r="Z846" s="83"/>
      <c r="AA846" s="83"/>
      <c r="AB846" s="83"/>
      <c r="AC846" s="83"/>
      <c r="AD846" s="83"/>
    </row>
    <row r="847">
      <c r="A847" s="83"/>
      <c r="B847" s="83"/>
      <c r="C847" s="83"/>
      <c r="D847" s="83"/>
      <c r="E847" s="118"/>
      <c r="F847" s="118"/>
      <c r="G847" s="83"/>
      <c r="H847" s="83"/>
      <c r="I847" s="83"/>
      <c r="J847" s="83"/>
      <c r="K847" s="83"/>
      <c r="L847" s="83"/>
      <c r="M847" s="83"/>
      <c r="N847" s="83"/>
      <c r="O847" s="83"/>
      <c r="P847" s="83"/>
      <c r="Q847" s="83"/>
      <c r="R847" s="83"/>
      <c r="S847" s="83"/>
      <c r="T847" s="83"/>
      <c r="U847" s="83"/>
      <c r="V847" s="83"/>
      <c r="W847" s="83"/>
      <c r="X847" s="83"/>
      <c r="Y847" s="83"/>
      <c r="Z847" s="83"/>
      <c r="AA847" s="83"/>
      <c r="AB847" s="83"/>
      <c r="AC847" s="83"/>
      <c r="AD847" s="83"/>
    </row>
    <row r="848">
      <c r="A848" s="83"/>
      <c r="B848" s="83"/>
      <c r="C848" s="83"/>
      <c r="D848" s="83"/>
      <c r="E848" s="118"/>
      <c r="F848" s="118"/>
      <c r="G848" s="83"/>
      <c r="H848" s="83"/>
      <c r="I848" s="83"/>
      <c r="J848" s="83"/>
      <c r="K848" s="83"/>
      <c r="L848" s="83"/>
      <c r="M848" s="83"/>
      <c r="N848" s="83"/>
      <c r="O848" s="83"/>
      <c r="P848" s="83"/>
      <c r="Q848" s="83"/>
      <c r="R848" s="83"/>
      <c r="S848" s="83"/>
      <c r="T848" s="83"/>
      <c r="U848" s="83"/>
      <c r="V848" s="83"/>
      <c r="W848" s="83"/>
      <c r="X848" s="83"/>
      <c r="Y848" s="83"/>
      <c r="Z848" s="83"/>
      <c r="AA848" s="83"/>
      <c r="AB848" s="83"/>
      <c r="AC848" s="83"/>
      <c r="AD848" s="83"/>
    </row>
    <row r="849">
      <c r="A849" s="83"/>
      <c r="B849" s="83"/>
      <c r="C849" s="83"/>
      <c r="D849" s="83"/>
      <c r="E849" s="118"/>
      <c r="F849" s="118"/>
      <c r="G849" s="83"/>
      <c r="H849" s="83"/>
      <c r="I849" s="83"/>
      <c r="J849" s="83"/>
      <c r="K849" s="83"/>
      <c r="L849" s="83"/>
      <c r="M849" s="83"/>
      <c r="N849" s="83"/>
      <c r="O849" s="83"/>
      <c r="P849" s="83"/>
      <c r="Q849" s="83"/>
      <c r="R849" s="83"/>
      <c r="S849" s="83"/>
      <c r="T849" s="83"/>
      <c r="U849" s="83"/>
      <c r="V849" s="83"/>
      <c r="W849" s="83"/>
      <c r="X849" s="83"/>
      <c r="Y849" s="83"/>
      <c r="Z849" s="83"/>
      <c r="AA849" s="83"/>
      <c r="AB849" s="83"/>
      <c r="AC849" s="83"/>
      <c r="AD849" s="83"/>
    </row>
    <row r="850">
      <c r="A850" s="83"/>
      <c r="B850" s="83"/>
      <c r="C850" s="83"/>
      <c r="D850" s="83"/>
      <c r="E850" s="118"/>
      <c r="F850" s="118"/>
      <c r="G850" s="83"/>
      <c r="H850" s="83"/>
      <c r="I850" s="83"/>
      <c r="J850" s="83"/>
      <c r="K850" s="83"/>
      <c r="L850" s="83"/>
      <c r="M850" s="83"/>
      <c r="N850" s="83"/>
      <c r="O850" s="83"/>
      <c r="P850" s="83"/>
      <c r="Q850" s="83"/>
      <c r="R850" s="83"/>
      <c r="S850" s="83"/>
      <c r="T850" s="83"/>
      <c r="U850" s="83"/>
      <c r="V850" s="83"/>
      <c r="W850" s="83"/>
      <c r="X850" s="83"/>
      <c r="Y850" s="83"/>
      <c r="Z850" s="83"/>
      <c r="AA850" s="83"/>
      <c r="AB850" s="83"/>
      <c r="AC850" s="83"/>
      <c r="AD850" s="83"/>
    </row>
    <row r="851">
      <c r="A851" s="83"/>
      <c r="B851" s="83"/>
      <c r="C851" s="83"/>
      <c r="D851" s="83"/>
      <c r="E851" s="118"/>
      <c r="F851" s="118"/>
      <c r="G851" s="83"/>
      <c r="H851" s="83"/>
      <c r="I851" s="83"/>
      <c r="J851" s="83"/>
      <c r="K851" s="83"/>
      <c r="L851" s="83"/>
      <c r="M851" s="83"/>
      <c r="N851" s="83"/>
      <c r="O851" s="83"/>
      <c r="P851" s="83"/>
      <c r="Q851" s="83"/>
      <c r="R851" s="83"/>
      <c r="S851" s="83"/>
      <c r="T851" s="83"/>
      <c r="U851" s="83"/>
      <c r="V851" s="83"/>
      <c r="W851" s="83"/>
      <c r="X851" s="83"/>
      <c r="Y851" s="83"/>
      <c r="Z851" s="83"/>
      <c r="AA851" s="83"/>
      <c r="AB851" s="83"/>
      <c r="AC851" s="83"/>
      <c r="AD851" s="83"/>
    </row>
    <row r="852">
      <c r="A852" s="83"/>
      <c r="B852" s="83"/>
      <c r="C852" s="83"/>
      <c r="D852" s="83"/>
      <c r="E852" s="118"/>
      <c r="F852" s="118"/>
      <c r="G852" s="83"/>
      <c r="H852" s="83"/>
      <c r="I852" s="83"/>
      <c r="J852" s="83"/>
      <c r="K852" s="83"/>
      <c r="L852" s="83"/>
      <c r="M852" s="83"/>
      <c r="N852" s="83"/>
      <c r="O852" s="83"/>
      <c r="P852" s="83"/>
      <c r="Q852" s="83"/>
      <c r="R852" s="83"/>
      <c r="S852" s="83"/>
      <c r="T852" s="83"/>
      <c r="U852" s="83"/>
      <c r="V852" s="83"/>
      <c r="W852" s="83"/>
      <c r="X852" s="83"/>
      <c r="Y852" s="83"/>
      <c r="Z852" s="83"/>
      <c r="AA852" s="83"/>
      <c r="AB852" s="83"/>
      <c r="AC852" s="83"/>
      <c r="AD852" s="83"/>
    </row>
    <row r="853">
      <c r="A853" s="83"/>
      <c r="B853" s="83"/>
      <c r="C853" s="83"/>
      <c r="D853" s="83"/>
      <c r="E853" s="118"/>
      <c r="F853" s="118"/>
      <c r="G853" s="83"/>
      <c r="H853" s="83"/>
      <c r="I853" s="83"/>
      <c r="J853" s="83"/>
      <c r="K853" s="83"/>
      <c r="L853" s="83"/>
      <c r="M853" s="83"/>
      <c r="N853" s="83"/>
      <c r="O853" s="83"/>
      <c r="P853" s="83"/>
      <c r="Q853" s="83"/>
      <c r="R853" s="83"/>
      <c r="S853" s="83"/>
      <c r="T853" s="83"/>
      <c r="U853" s="83"/>
      <c r="V853" s="83"/>
      <c r="W853" s="83"/>
      <c r="X853" s="83"/>
      <c r="Y853" s="83"/>
      <c r="Z853" s="83"/>
      <c r="AA853" s="83"/>
      <c r="AB853" s="83"/>
      <c r="AC853" s="83"/>
      <c r="AD853" s="83"/>
    </row>
    <row r="854">
      <c r="A854" s="83"/>
      <c r="B854" s="83"/>
      <c r="C854" s="83"/>
      <c r="D854" s="83"/>
      <c r="E854" s="118"/>
      <c r="F854" s="118"/>
      <c r="G854" s="83"/>
      <c r="H854" s="83"/>
      <c r="I854" s="83"/>
      <c r="J854" s="83"/>
      <c r="K854" s="83"/>
      <c r="L854" s="83"/>
      <c r="M854" s="83"/>
      <c r="N854" s="83"/>
      <c r="O854" s="83"/>
      <c r="P854" s="83"/>
      <c r="Q854" s="83"/>
      <c r="R854" s="83"/>
      <c r="S854" s="83"/>
      <c r="T854" s="83"/>
      <c r="U854" s="83"/>
      <c r="V854" s="83"/>
      <c r="W854" s="83"/>
      <c r="X854" s="83"/>
      <c r="Y854" s="83"/>
      <c r="Z854" s="83"/>
      <c r="AA854" s="83"/>
      <c r="AB854" s="83"/>
      <c r="AC854" s="83"/>
      <c r="AD854" s="83"/>
    </row>
    <row r="855">
      <c r="A855" s="83"/>
      <c r="B855" s="83"/>
      <c r="C855" s="83"/>
      <c r="D855" s="83"/>
      <c r="E855" s="118"/>
      <c r="F855" s="118"/>
      <c r="G855" s="83"/>
      <c r="H855" s="83"/>
      <c r="I855" s="83"/>
      <c r="J855" s="83"/>
      <c r="K855" s="83"/>
      <c r="L855" s="83"/>
      <c r="M855" s="83"/>
      <c r="N855" s="83"/>
      <c r="O855" s="83"/>
      <c r="P855" s="83"/>
      <c r="Q855" s="83"/>
      <c r="R855" s="83"/>
      <c r="S855" s="83"/>
      <c r="T855" s="83"/>
      <c r="U855" s="83"/>
      <c r="V855" s="83"/>
      <c r="W855" s="83"/>
      <c r="X855" s="83"/>
      <c r="Y855" s="83"/>
      <c r="Z855" s="83"/>
      <c r="AA855" s="83"/>
      <c r="AB855" s="83"/>
      <c r="AC855" s="83"/>
      <c r="AD855" s="83"/>
    </row>
    <row r="856">
      <c r="A856" s="83"/>
      <c r="B856" s="83"/>
      <c r="C856" s="83"/>
      <c r="D856" s="83"/>
      <c r="E856" s="118"/>
      <c r="F856" s="118"/>
      <c r="G856" s="83"/>
      <c r="H856" s="83"/>
      <c r="I856" s="83"/>
      <c r="J856" s="83"/>
      <c r="K856" s="83"/>
      <c r="L856" s="83"/>
      <c r="M856" s="83"/>
      <c r="N856" s="83"/>
      <c r="O856" s="83"/>
      <c r="P856" s="83"/>
      <c r="Q856" s="83"/>
      <c r="R856" s="83"/>
      <c r="S856" s="83"/>
      <c r="T856" s="83"/>
      <c r="U856" s="83"/>
      <c r="V856" s="83"/>
      <c r="W856" s="83"/>
      <c r="X856" s="83"/>
      <c r="Y856" s="83"/>
      <c r="Z856" s="83"/>
      <c r="AA856" s="83"/>
      <c r="AB856" s="83"/>
      <c r="AC856" s="83"/>
      <c r="AD856" s="83"/>
    </row>
    <row r="857">
      <c r="A857" s="83"/>
      <c r="B857" s="83"/>
      <c r="C857" s="83"/>
      <c r="D857" s="83"/>
      <c r="E857" s="118"/>
      <c r="F857" s="118"/>
      <c r="G857" s="83"/>
      <c r="H857" s="83"/>
      <c r="I857" s="83"/>
      <c r="J857" s="83"/>
      <c r="K857" s="83"/>
      <c r="L857" s="83"/>
      <c r="M857" s="83"/>
      <c r="N857" s="83"/>
      <c r="O857" s="83"/>
      <c r="P857" s="83"/>
      <c r="Q857" s="83"/>
      <c r="R857" s="83"/>
      <c r="S857" s="83"/>
      <c r="T857" s="83"/>
      <c r="U857" s="83"/>
      <c r="V857" s="83"/>
      <c r="W857" s="83"/>
      <c r="X857" s="83"/>
      <c r="Y857" s="83"/>
      <c r="Z857" s="83"/>
      <c r="AA857" s="83"/>
      <c r="AB857" s="83"/>
      <c r="AC857" s="83"/>
      <c r="AD857" s="83"/>
    </row>
    <row r="858">
      <c r="A858" s="83"/>
      <c r="B858" s="83"/>
      <c r="C858" s="83"/>
      <c r="D858" s="83"/>
      <c r="E858" s="118"/>
      <c r="F858" s="118"/>
      <c r="G858" s="83"/>
      <c r="H858" s="83"/>
      <c r="I858" s="83"/>
      <c r="J858" s="83"/>
      <c r="K858" s="83"/>
      <c r="L858" s="83"/>
      <c r="M858" s="83"/>
      <c r="N858" s="83"/>
      <c r="O858" s="83"/>
      <c r="P858" s="83"/>
      <c r="Q858" s="83"/>
      <c r="R858" s="83"/>
      <c r="S858" s="83"/>
      <c r="T858" s="83"/>
      <c r="U858" s="83"/>
      <c r="V858" s="83"/>
      <c r="W858" s="83"/>
      <c r="X858" s="83"/>
      <c r="Y858" s="83"/>
      <c r="Z858" s="83"/>
      <c r="AA858" s="83"/>
      <c r="AB858" s="83"/>
      <c r="AC858" s="83"/>
      <c r="AD858" s="83"/>
    </row>
    <row r="859">
      <c r="A859" s="83"/>
      <c r="B859" s="83"/>
      <c r="C859" s="83"/>
      <c r="D859" s="83"/>
      <c r="E859" s="118"/>
      <c r="F859" s="118"/>
      <c r="G859" s="83"/>
      <c r="H859" s="83"/>
      <c r="I859" s="83"/>
      <c r="J859" s="83"/>
      <c r="K859" s="83"/>
      <c r="L859" s="83"/>
      <c r="M859" s="83"/>
      <c r="N859" s="83"/>
      <c r="O859" s="83"/>
      <c r="P859" s="83"/>
      <c r="Q859" s="83"/>
      <c r="R859" s="83"/>
      <c r="S859" s="83"/>
      <c r="T859" s="83"/>
      <c r="U859" s="83"/>
      <c r="V859" s="83"/>
      <c r="W859" s="83"/>
      <c r="X859" s="83"/>
      <c r="Y859" s="83"/>
      <c r="Z859" s="83"/>
      <c r="AA859" s="83"/>
      <c r="AB859" s="83"/>
      <c r="AC859" s="83"/>
      <c r="AD859" s="83"/>
    </row>
    <row r="860">
      <c r="A860" s="83"/>
      <c r="B860" s="83"/>
      <c r="C860" s="83"/>
      <c r="D860" s="83"/>
      <c r="E860" s="118"/>
      <c r="F860" s="118"/>
      <c r="G860" s="83"/>
      <c r="H860" s="83"/>
      <c r="I860" s="83"/>
      <c r="J860" s="83"/>
      <c r="K860" s="83"/>
      <c r="L860" s="83"/>
      <c r="M860" s="83"/>
      <c r="N860" s="83"/>
      <c r="O860" s="83"/>
      <c r="P860" s="83"/>
      <c r="Q860" s="83"/>
      <c r="R860" s="83"/>
      <c r="S860" s="83"/>
      <c r="T860" s="83"/>
      <c r="U860" s="83"/>
      <c r="V860" s="83"/>
      <c r="W860" s="83"/>
      <c r="X860" s="83"/>
      <c r="Y860" s="83"/>
      <c r="Z860" s="83"/>
      <c r="AA860" s="83"/>
      <c r="AB860" s="83"/>
      <c r="AC860" s="83"/>
      <c r="AD860" s="83"/>
    </row>
    <row r="861">
      <c r="A861" s="83"/>
      <c r="B861" s="83"/>
      <c r="C861" s="83"/>
      <c r="D861" s="83"/>
      <c r="E861" s="118"/>
      <c r="F861" s="118"/>
      <c r="G861" s="83"/>
      <c r="H861" s="83"/>
      <c r="I861" s="83"/>
      <c r="J861" s="83"/>
      <c r="K861" s="83"/>
      <c r="L861" s="83"/>
      <c r="M861" s="83"/>
      <c r="N861" s="83"/>
      <c r="O861" s="83"/>
      <c r="P861" s="83"/>
      <c r="Q861" s="83"/>
      <c r="R861" s="83"/>
      <c r="S861" s="83"/>
      <c r="T861" s="83"/>
      <c r="U861" s="83"/>
      <c r="V861" s="83"/>
      <c r="W861" s="83"/>
      <c r="X861" s="83"/>
      <c r="Y861" s="83"/>
      <c r="Z861" s="83"/>
      <c r="AA861" s="83"/>
      <c r="AB861" s="83"/>
      <c r="AC861" s="83"/>
      <c r="AD861" s="83"/>
    </row>
    <row r="862">
      <c r="A862" s="83"/>
      <c r="B862" s="83"/>
      <c r="C862" s="83"/>
      <c r="D862" s="83"/>
      <c r="E862" s="118"/>
      <c r="F862" s="118"/>
      <c r="G862" s="83"/>
      <c r="H862" s="83"/>
      <c r="I862" s="83"/>
      <c r="J862" s="83"/>
      <c r="K862" s="83"/>
      <c r="L862" s="83"/>
      <c r="M862" s="83"/>
      <c r="N862" s="83"/>
      <c r="O862" s="83"/>
      <c r="P862" s="83"/>
      <c r="Q862" s="83"/>
      <c r="R862" s="83"/>
      <c r="S862" s="83"/>
      <c r="T862" s="83"/>
      <c r="U862" s="83"/>
      <c r="V862" s="83"/>
      <c r="W862" s="83"/>
      <c r="X862" s="83"/>
      <c r="Y862" s="83"/>
      <c r="Z862" s="83"/>
      <c r="AA862" s="83"/>
      <c r="AB862" s="83"/>
      <c r="AC862" s="83"/>
      <c r="AD862" s="83"/>
    </row>
    <row r="863">
      <c r="A863" s="83"/>
      <c r="B863" s="83"/>
      <c r="C863" s="83"/>
      <c r="D863" s="83"/>
      <c r="E863" s="118"/>
      <c r="F863" s="118"/>
      <c r="G863" s="83"/>
      <c r="H863" s="83"/>
      <c r="I863" s="83"/>
      <c r="J863" s="83"/>
      <c r="K863" s="83"/>
      <c r="L863" s="83"/>
      <c r="M863" s="83"/>
      <c r="N863" s="83"/>
      <c r="O863" s="83"/>
      <c r="P863" s="83"/>
      <c r="Q863" s="83"/>
      <c r="R863" s="83"/>
      <c r="S863" s="83"/>
      <c r="T863" s="83"/>
      <c r="U863" s="83"/>
      <c r="V863" s="83"/>
      <c r="W863" s="83"/>
      <c r="X863" s="83"/>
      <c r="Y863" s="83"/>
      <c r="Z863" s="83"/>
      <c r="AA863" s="83"/>
      <c r="AB863" s="83"/>
      <c r="AC863" s="83"/>
      <c r="AD863" s="83"/>
    </row>
    <row r="864">
      <c r="A864" s="83"/>
      <c r="B864" s="83"/>
      <c r="C864" s="83"/>
      <c r="D864" s="83"/>
      <c r="E864" s="118"/>
      <c r="F864" s="118"/>
      <c r="G864" s="83"/>
      <c r="H864" s="83"/>
      <c r="I864" s="83"/>
      <c r="J864" s="83"/>
      <c r="K864" s="83"/>
      <c r="L864" s="83"/>
      <c r="M864" s="83"/>
      <c r="N864" s="83"/>
      <c r="O864" s="83"/>
      <c r="P864" s="83"/>
      <c r="Q864" s="83"/>
      <c r="R864" s="83"/>
      <c r="S864" s="83"/>
      <c r="T864" s="83"/>
      <c r="U864" s="83"/>
      <c r="V864" s="83"/>
      <c r="W864" s="83"/>
      <c r="X864" s="83"/>
      <c r="Y864" s="83"/>
      <c r="Z864" s="83"/>
      <c r="AA864" s="83"/>
      <c r="AB864" s="83"/>
      <c r="AC864" s="83"/>
      <c r="AD864" s="83"/>
    </row>
    <row r="865">
      <c r="A865" s="83"/>
      <c r="B865" s="83"/>
      <c r="C865" s="83"/>
      <c r="D865" s="83"/>
      <c r="E865" s="118"/>
      <c r="F865" s="118"/>
      <c r="G865" s="83"/>
      <c r="H865" s="83"/>
      <c r="I865" s="83"/>
      <c r="J865" s="83"/>
      <c r="K865" s="83"/>
      <c r="L865" s="83"/>
      <c r="M865" s="83"/>
      <c r="N865" s="83"/>
      <c r="O865" s="83"/>
      <c r="P865" s="83"/>
      <c r="Q865" s="83"/>
      <c r="R865" s="83"/>
      <c r="S865" s="83"/>
      <c r="T865" s="83"/>
      <c r="U865" s="83"/>
      <c r="V865" s="83"/>
      <c r="W865" s="83"/>
      <c r="X865" s="83"/>
      <c r="Y865" s="83"/>
      <c r="Z865" s="83"/>
      <c r="AA865" s="83"/>
      <c r="AB865" s="83"/>
      <c r="AC865" s="83"/>
      <c r="AD865" s="83"/>
    </row>
    <row r="866">
      <c r="A866" s="83"/>
      <c r="B866" s="83"/>
      <c r="C866" s="83"/>
      <c r="D866" s="83"/>
      <c r="E866" s="118"/>
      <c r="F866" s="118"/>
      <c r="G866" s="83"/>
      <c r="H866" s="83"/>
      <c r="I866" s="83"/>
      <c r="J866" s="83"/>
      <c r="K866" s="83"/>
      <c r="L866" s="83"/>
      <c r="M866" s="83"/>
      <c r="N866" s="83"/>
      <c r="O866" s="83"/>
      <c r="P866" s="83"/>
      <c r="Q866" s="83"/>
      <c r="R866" s="83"/>
      <c r="S866" s="83"/>
      <c r="T866" s="83"/>
      <c r="U866" s="83"/>
      <c r="V866" s="83"/>
      <c r="W866" s="83"/>
      <c r="X866" s="83"/>
      <c r="Y866" s="83"/>
      <c r="Z866" s="83"/>
      <c r="AA866" s="83"/>
      <c r="AB866" s="83"/>
      <c r="AC866" s="83"/>
      <c r="AD866" s="83"/>
    </row>
    <row r="867">
      <c r="A867" s="83"/>
      <c r="B867" s="83"/>
      <c r="C867" s="83"/>
      <c r="D867" s="83"/>
      <c r="E867" s="118"/>
      <c r="F867" s="118"/>
      <c r="G867" s="83"/>
      <c r="H867" s="83"/>
      <c r="I867" s="83"/>
      <c r="J867" s="83"/>
      <c r="K867" s="83"/>
      <c r="L867" s="83"/>
      <c r="M867" s="83"/>
      <c r="N867" s="83"/>
      <c r="O867" s="83"/>
      <c r="P867" s="83"/>
      <c r="Q867" s="83"/>
      <c r="R867" s="83"/>
      <c r="S867" s="83"/>
      <c r="T867" s="83"/>
      <c r="U867" s="83"/>
      <c r="V867" s="83"/>
      <c r="W867" s="83"/>
      <c r="X867" s="83"/>
      <c r="Y867" s="83"/>
      <c r="Z867" s="83"/>
      <c r="AA867" s="83"/>
      <c r="AB867" s="83"/>
      <c r="AC867" s="83"/>
      <c r="AD867" s="83"/>
    </row>
    <row r="868">
      <c r="A868" s="83"/>
      <c r="B868" s="83"/>
      <c r="C868" s="83"/>
      <c r="D868" s="83"/>
      <c r="E868" s="118"/>
      <c r="F868" s="118"/>
      <c r="G868" s="83"/>
      <c r="H868" s="83"/>
      <c r="I868" s="83"/>
      <c r="J868" s="83"/>
      <c r="K868" s="83"/>
      <c r="L868" s="83"/>
      <c r="M868" s="83"/>
      <c r="N868" s="83"/>
      <c r="O868" s="83"/>
      <c r="P868" s="83"/>
      <c r="Q868" s="83"/>
      <c r="R868" s="83"/>
      <c r="S868" s="83"/>
      <c r="T868" s="83"/>
      <c r="U868" s="83"/>
      <c r="V868" s="83"/>
      <c r="W868" s="83"/>
      <c r="X868" s="83"/>
      <c r="Y868" s="83"/>
      <c r="Z868" s="83"/>
      <c r="AA868" s="83"/>
      <c r="AB868" s="83"/>
      <c r="AC868" s="83"/>
      <c r="AD868" s="83"/>
    </row>
    <row r="869">
      <c r="A869" s="83"/>
      <c r="B869" s="83"/>
      <c r="C869" s="83"/>
      <c r="D869" s="83"/>
      <c r="E869" s="118"/>
      <c r="F869" s="118"/>
      <c r="G869" s="83"/>
      <c r="H869" s="83"/>
      <c r="I869" s="83"/>
      <c r="J869" s="83"/>
      <c r="K869" s="83"/>
      <c r="L869" s="83"/>
      <c r="M869" s="83"/>
      <c r="N869" s="83"/>
      <c r="O869" s="83"/>
      <c r="P869" s="83"/>
      <c r="Q869" s="83"/>
      <c r="R869" s="83"/>
      <c r="S869" s="83"/>
      <c r="T869" s="83"/>
      <c r="U869" s="83"/>
      <c r="V869" s="83"/>
      <c r="W869" s="83"/>
      <c r="X869" s="83"/>
      <c r="Y869" s="83"/>
      <c r="Z869" s="83"/>
      <c r="AA869" s="83"/>
      <c r="AB869" s="83"/>
      <c r="AC869" s="83"/>
      <c r="AD869" s="83"/>
    </row>
    <row r="870">
      <c r="A870" s="83"/>
      <c r="B870" s="83"/>
      <c r="C870" s="83"/>
      <c r="D870" s="83"/>
      <c r="E870" s="118"/>
      <c r="F870" s="118"/>
      <c r="G870" s="83"/>
      <c r="H870" s="83"/>
      <c r="I870" s="83"/>
      <c r="J870" s="83"/>
      <c r="K870" s="83"/>
      <c r="L870" s="83"/>
      <c r="M870" s="83"/>
      <c r="N870" s="83"/>
      <c r="O870" s="83"/>
      <c r="P870" s="83"/>
      <c r="Q870" s="83"/>
      <c r="R870" s="83"/>
      <c r="S870" s="83"/>
      <c r="T870" s="83"/>
      <c r="U870" s="83"/>
      <c r="V870" s="83"/>
      <c r="W870" s="83"/>
      <c r="X870" s="83"/>
      <c r="Y870" s="83"/>
      <c r="Z870" s="83"/>
      <c r="AA870" s="83"/>
      <c r="AB870" s="83"/>
      <c r="AC870" s="83"/>
      <c r="AD870" s="83"/>
    </row>
    <row r="871">
      <c r="A871" s="83"/>
      <c r="B871" s="83"/>
      <c r="C871" s="83"/>
      <c r="D871" s="83"/>
      <c r="E871" s="118"/>
      <c r="F871" s="118"/>
      <c r="G871" s="83"/>
      <c r="H871" s="83"/>
      <c r="I871" s="83"/>
      <c r="J871" s="83"/>
      <c r="K871" s="83"/>
      <c r="L871" s="83"/>
      <c r="M871" s="83"/>
      <c r="N871" s="83"/>
      <c r="O871" s="83"/>
      <c r="P871" s="83"/>
      <c r="Q871" s="83"/>
      <c r="R871" s="83"/>
      <c r="S871" s="83"/>
      <c r="T871" s="83"/>
      <c r="U871" s="83"/>
      <c r="V871" s="83"/>
      <c r="W871" s="83"/>
      <c r="X871" s="83"/>
      <c r="Y871" s="83"/>
      <c r="Z871" s="83"/>
      <c r="AA871" s="83"/>
      <c r="AB871" s="83"/>
      <c r="AC871" s="83"/>
      <c r="AD871" s="83"/>
    </row>
    <row r="872">
      <c r="A872" s="83"/>
      <c r="B872" s="83"/>
      <c r="C872" s="83"/>
      <c r="D872" s="83"/>
      <c r="E872" s="118"/>
      <c r="F872" s="118"/>
      <c r="G872" s="83"/>
      <c r="H872" s="83"/>
      <c r="I872" s="83"/>
      <c r="J872" s="83"/>
      <c r="K872" s="83"/>
      <c r="L872" s="83"/>
      <c r="M872" s="83"/>
      <c r="N872" s="83"/>
      <c r="O872" s="83"/>
      <c r="P872" s="83"/>
      <c r="Q872" s="83"/>
      <c r="R872" s="83"/>
      <c r="S872" s="83"/>
      <c r="T872" s="83"/>
      <c r="U872" s="83"/>
      <c r="V872" s="83"/>
      <c r="W872" s="83"/>
      <c r="X872" s="83"/>
      <c r="Y872" s="83"/>
      <c r="Z872" s="83"/>
      <c r="AA872" s="83"/>
      <c r="AB872" s="83"/>
      <c r="AC872" s="83"/>
      <c r="AD872" s="83"/>
    </row>
    <row r="873">
      <c r="A873" s="83"/>
      <c r="B873" s="83"/>
      <c r="C873" s="83"/>
      <c r="D873" s="83"/>
      <c r="E873" s="118"/>
      <c r="F873" s="118"/>
      <c r="G873" s="83"/>
      <c r="H873" s="83"/>
      <c r="I873" s="83"/>
      <c r="J873" s="83"/>
      <c r="K873" s="83"/>
      <c r="L873" s="83"/>
      <c r="M873" s="83"/>
      <c r="N873" s="83"/>
      <c r="O873" s="83"/>
      <c r="P873" s="83"/>
      <c r="Q873" s="83"/>
      <c r="R873" s="83"/>
      <c r="S873" s="83"/>
      <c r="T873" s="83"/>
      <c r="U873" s="83"/>
      <c r="V873" s="83"/>
      <c r="W873" s="83"/>
      <c r="X873" s="83"/>
      <c r="Y873" s="83"/>
      <c r="Z873" s="83"/>
      <c r="AA873" s="83"/>
      <c r="AB873" s="83"/>
      <c r="AC873" s="83"/>
      <c r="AD873" s="83"/>
    </row>
    <row r="874">
      <c r="A874" s="83"/>
      <c r="B874" s="83"/>
      <c r="C874" s="83"/>
      <c r="D874" s="83"/>
      <c r="E874" s="118"/>
      <c r="F874" s="118"/>
      <c r="G874" s="83"/>
      <c r="H874" s="83"/>
      <c r="I874" s="83"/>
      <c r="J874" s="83"/>
      <c r="K874" s="83"/>
      <c r="L874" s="83"/>
      <c r="M874" s="83"/>
      <c r="N874" s="83"/>
      <c r="O874" s="83"/>
      <c r="P874" s="83"/>
      <c r="Q874" s="83"/>
      <c r="R874" s="83"/>
      <c r="S874" s="83"/>
      <c r="T874" s="83"/>
      <c r="U874" s="83"/>
      <c r="V874" s="83"/>
      <c r="W874" s="83"/>
      <c r="X874" s="83"/>
      <c r="Y874" s="83"/>
      <c r="Z874" s="83"/>
      <c r="AA874" s="83"/>
      <c r="AB874" s="83"/>
      <c r="AC874" s="83"/>
      <c r="AD874" s="83"/>
    </row>
    <row r="875">
      <c r="A875" s="83"/>
      <c r="B875" s="83"/>
      <c r="C875" s="83"/>
      <c r="D875" s="83"/>
      <c r="E875" s="118"/>
      <c r="F875" s="118"/>
      <c r="G875" s="83"/>
      <c r="H875" s="83"/>
      <c r="I875" s="83"/>
      <c r="J875" s="83"/>
      <c r="K875" s="83"/>
      <c r="L875" s="83"/>
      <c r="M875" s="83"/>
      <c r="N875" s="83"/>
      <c r="O875" s="83"/>
      <c r="P875" s="83"/>
      <c r="Q875" s="83"/>
      <c r="R875" s="83"/>
      <c r="S875" s="83"/>
      <c r="T875" s="83"/>
      <c r="U875" s="83"/>
      <c r="V875" s="83"/>
      <c r="W875" s="83"/>
      <c r="X875" s="83"/>
      <c r="Y875" s="83"/>
      <c r="Z875" s="83"/>
      <c r="AA875" s="83"/>
      <c r="AB875" s="83"/>
      <c r="AC875" s="83"/>
      <c r="AD875" s="83"/>
    </row>
    <row r="876">
      <c r="A876" s="83"/>
      <c r="B876" s="83"/>
      <c r="C876" s="83"/>
      <c r="D876" s="83"/>
      <c r="E876" s="118"/>
      <c r="F876" s="118"/>
      <c r="G876" s="83"/>
      <c r="H876" s="83"/>
      <c r="I876" s="83"/>
      <c r="J876" s="83"/>
      <c r="K876" s="83"/>
      <c r="L876" s="83"/>
      <c r="M876" s="83"/>
      <c r="N876" s="83"/>
      <c r="O876" s="83"/>
      <c r="P876" s="83"/>
      <c r="Q876" s="83"/>
      <c r="R876" s="83"/>
      <c r="S876" s="83"/>
      <c r="T876" s="83"/>
      <c r="U876" s="83"/>
      <c r="V876" s="83"/>
      <c r="W876" s="83"/>
      <c r="X876" s="83"/>
      <c r="Y876" s="83"/>
      <c r="Z876" s="83"/>
      <c r="AA876" s="83"/>
      <c r="AB876" s="83"/>
      <c r="AC876" s="83"/>
      <c r="AD876" s="83"/>
    </row>
    <row r="877">
      <c r="A877" s="83"/>
      <c r="B877" s="83"/>
      <c r="C877" s="83"/>
      <c r="D877" s="83"/>
      <c r="E877" s="118"/>
      <c r="F877" s="118"/>
      <c r="G877" s="83"/>
      <c r="H877" s="83"/>
      <c r="I877" s="83"/>
      <c r="J877" s="83"/>
      <c r="K877" s="83"/>
      <c r="L877" s="83"/>
      <c r="M877" s="83"/>
      <c r="N877" s="83"/>
      <c r="O877" s="83"/>
      <c r="P877" s="83"/>
      <c r="Q877" s="83"/>
      <c r="R877" s="83"/>
      <c r="S877" s="83"/>
      <c r="T877" s="83"/>
      <c r="U877" s="83"/>
      <c r="V877" s="83"/>
      <c r="W877" s="83"/>
      <c r="X877" s="83"/>
      <c r="Y877" s="83"/>
      <c r="Z877" s="83"/>
      <c r="AA877" s="83"/>
      <c r="AB877" s="83"/>
      <c r="AC877" s="83"/>
      <c r="AD877" s="83"/>
    </row>
    <row r="878">
      <c r="A878" s="83"/>
      <c r="B878" s="83"/>
      <c r="C878" s="83"/>
      <c r="D878" s="83"/>
      <c r="E878" s="118"/>
      <c r="F878" s="118"/>
      <c r="G878" s="83"/>
      <c r="H878" s="83"/>
      <c r="I878" s="83"/>
      <c r="J878" s="83"/>
      <c r="K878" s="83"/>
      <c r="L878" s="83"/>
      <c r="M878" s="83"/>
      <c r="N878" s="83"/>
      <c r="O878" s="83"/>
      <c r="P878" s="83"/>
      <c r="Q878" s="83"/>
      <c r="R878" s="83"/>
      <c r="S878" s="83"/>
      <c r="T878" s="83"/>
      <c r="U878" s="83"/>
      <c r="V878" s="83"/>
      <c r="W878" s="83"/>
      <c r="X878" s="83"/>
      <c r="Y878" s="83"/>
      <c r="Z878" s="83"/>
      <c r="AA878" s="83"/>
      <c r="AB878" s="83"/>
      <c r="AC878" s="83"/>
      <c r="AD878" s="83"/>
    </row>
    <row r="879">
      <c r="A879" s="83"/>
      <c r="B879" s="83"/>
      <c r="C879" s="83"/>
      <c r="D879" s="83"/>
      <c r="E879" s="118"/>
      <c r="F879" s="118"/>
      <c r="G879" s="83"/>
      <c r="H879" s="83"/>
      <c r="I879" s="83"/>
      <c r="J879" s="83"/>
      <c r="K879" s="83"/>
      <c r="L879" s="83"/>
      <c r="M879" s="83"/>
      <c r="N879" s="83"/>
      <c r="O879" s="83"/>
      <c r="P879" s="83"/>
      <c r="Q879" s="83"/>
      <c r="R879" s="83"/>
      <c r="S879" s="83"/>
      <c r="T879" s="83"/>
      <c r="U879" s="83"/>
      <c r="V879" s="83"/>
      <c r="W879" s="83"/>
      <c r="X879" s="83"/>
      <c r="Y879" s="83"/>
      <c r="Z879" s="83"/>
      <c r="AA879" s="83"/>
      <c r="AB879" s="83"/>
      <c r="AC879" s="83"/>
      <c r="AD879" s="83"/>
    </row>
    <row r="880">
      <c r="A880" s="83"/>
      <c r="B880" s="83"/>
      <c r="C880" s="83"/>
      <c r="D880" s="83"/>
      <c r="E880" s="118"/>
      <c r="F880" s="118"/>
      <c r="G880" s="83"/>
      <c r="H880" s="83"/>
      <c r="I880" s="83"/>
      <c r="J880" s="83"/>
      <c r="K880" s="83"/>
      <c r="L880" s="83"/>
      <c r="M880" s="83"/>
      <c r="N880" s="83"/>
      <c r="O880" s="83"/>
      <c r="P880" s="83"/>
      <c r="Q880" s="83"/>
      <c r="R880" s="83"/>
      <c r="S880" s="83"/>
      <c r="T880" s="83"/>
      <c r="U880" s="83"/>
      <c r="V880" s="83"/>
      <c r="W880" s="83"/>
      <c r="X880" s="83"/>
      <c r="Y880" s="83"/>
      <c r="Z880" s="83"/>
      <c r="AA880" s="83"/>
      <c r="AB880" s="83"/>
      <c r="AC880" s="83"/>
      <c r="AD880" s="83"/>
    </row>
    <row r="881">
      <c r="A881" s="83"/>
      <c r="B881" s="83"/>
      <c r="C881" s="83"/>
      <c r="D881" s="83"/>
      <c r="E881" s="118"/>
      <c r="F881" s="118"/>
      <c r="G881" s="83"/>
      <c r="H881" s="83"/>
      <c r="I881" s="83"/>
      <c r="J881" s="83"/>
      <c r="K881" s="83"/>
      <c r="L881" s="83"/>
      <c r="M881" s="83"/>
      <c r="N881" s="83"/>
      <c r="O881" s="83"/>
      <c r="P881" s="83"/>
      <c r="Q881" s="83"/>
      <c r="R881" s="83"/>
      <c r="S881" s="83"/>
      <c r="T881" s="83"/>
      <c r="U881" s="83"/>
      <c r="V881" s="83"/>
      <c r="W881" s="83"/>
      <c r="X881" s="83"/>
      <c r="Y881" s="83"/>
      <c r="Z881" s="83"/>
      <c r="AA881" s="83"/>
      <c r="AB881" s="83"/>
      <c r="AC881" s="83"/>
      <c r="AD881" s="83"/>
    </row>
    <row r="882">
      <c r="A882" s="83"/>
      <c r="B882" s="83"/>
      <c r="C882" s="83"/>
      <c r="D882" s="83"/>
      <c r="E882" s="118"/>
      <c r="F882" s="118"/>
      <c r="G882" s="83"/>
      <c r="H882" s="83"/>
      <c r="I882" s="83"/>
      <c r="J882" s="83"/>
      <c r="K882" s="83"/>
      <c r="L882" s="83"/>
      <c r="M882" s="83"/>
      <c r="N882" s="83"/>
      <c r="O882" s="83"/>
      <c r="P882" s="83"/>
      <c r="Q882" s="83"/>
      <c r="R882" s="83"/>
      <c r="S882" s="83"/>
      <c r="T882" s="83"/>
      <c r="U882" s="83"/>
      <c r="V882" s="83"/>
      <c r="W882" s="83"/>
      <c r="X882" s="83"/>
      <c r="Y882" s="83"/>
      <c r="Z882" s="83"/>
      <c r="AA882" s="83"/>
      <c r="AB882" s="83"/>
      <c r="AC882" s="83"/>
      <c r="AD882" s="83"/>
    </row>
    <row r="883">
      <c r="A883" s="83"/>
      <c r="B883" s="83"/>
      <c r="C883" s="83"/>
      <c r="D883" s="83"/>
      <c r="E883" s="118"/>
      <c r="F883" s="118"/>
      <c r="G883" s="83"/>
      <c r="H883" s="83"/>
      <c r="I883" s="83"/>
      <c r="J883" s="83"/>
      <c r="K883" s="83"/>
      <c r="L883" s="83"/>
      <c r="M883" s="83"/>
      <c r="N883" s="83"/>
      <c r="O883" s="83"/>
      <c r="P883" s="83"/>
      <c r="Q883" s="83"/>
      <c r="R883" s="83"/>
      <c r="S883" s="83"/>
      <c r="T883" s="83"/>
      <c r="U883" s="83"/>
      <c r="V883" s="83"/>
      <c r="W883" s="83"/>
      <c r="X883" s="83"/>
      <c r="Y883" s="83"/>
      <c r="Z883" s="83"/>
      <c r="AA883" s="83"/>
      <c r="AB883" s="83"/>
      <c r="AC883" s="83"/>
      <c r="AD883" s="83"/>
    </row>
    <row r="884">
      <c r="A884" s="83"/>
      <c r="B884" s="83"/>
      <c r="C884" s="83"/>
      <c r="D884" s="83"/>
      <c r="E884" s="118"/>
      <c r="F884" s="118"/>
      <c r="G884" s="83"/>
      <c r="H884" s="83"/>
      <c r="I884" s="83"/>
      <c r="J884" s="83"/>
      <c r="K884" s="83"/>
      <c r="L884" s="83"/>
      <c r="M884" s="83"/>
      <c r="N884" s="83"/>
      <c r="O884" s="83"/>
      <c r="P884" s="83"/>
      <c r="Q884" s="83"/>
      <c r="R884" s="83"/>
      <c r="S884" s="83"/>
      <c r="T884" s="83"/>
      <c r="U884" s="83"/>
      <c r="V884" s="83"/>
      <c r="W884" s="83"/>
      <c r="X884" s="83"/>
      <c r="Y884" s="83"/>
      <c r="Z884" s="83"/>
      <c r="AA884" s="83"/>
      <c r="AB884" s="83"/>
      <c r="AC884" s="83"/>
      <c r="AD884" s="83"/>
    </row>
    <row r="885">
      <c r="A885" s="83"/>
      <c r="B885" s="83"/>
      <c r="C885" s="83"/>
      <c r="D885" s="83"/>
      <c r="E885" s="118"/>
      <c r="F885" s="118"/>
      <c r="G885" s="83"/>
      <c r="H885" s="83"/>
      <c r="I885" s="83"/>
      <c r="J885" s="83"/>
      <c r="K885" s="83"/>
      <c r="L885" s="83"/>
      <c r="M885" s="83"/>
      <c r="N885" s="83"/>
      <c r="O885" s="83"/>
      <c r="P885" s="83"/>
      <c r="Q885" s="83"/>
      <c r="R885" s="83"/>
      <c r="S885" s="83"/>
      <c r="T885" s="83"/>
      <c r="U885" s="83"/>
      <c r="V885" s="83"/>
      <c r="W885" s="83"/>
      <c r="X885" s="83"/>
      <c r="Y885" s="83"/>
      <c r="Z885" s="83"/>
      <c r="AA885" s="83"/>
      <c r="AB885" s="83"/>
      <c r="AC885" s="83"/>
      <c r="AD885" s="83"/>
    </row>
    <row r="886">
      <c r="A886" s="83"/>
      <c r="B886" s="83"/>
      <c r="C886" s="83"/>
      <c r="D886" s="83"/>
      <c r="E886" s="118"/>
      <c r="F886" s="118"/>
      <c r="G886" s="83"/>
      <c r="H886" s="83"/>
      <c r="I886" s="83"/>
      <c r="J886" s="83"/>
      <c r="K886" s="83"/>
      <c r="L886" s="83"/>
      <c r="M886" s="83"/>
      <c r="N886" s="83"/>
      <c r="O886" s="83"/>
      <c r="P886" s="83"/>
      <c r="Q886" s="83"/>
      <c r="R886" s="83"/>
      <c r="S886" s="83"/>
      <c r="T886" s="83"/>
      <c r="U886" s="83"/>
      <c r="V886" s="83"/>
      <c r="W886" s="83"/>
      <c r="X886" s="83"/>
      <c r="Y886" s="83"/>
      <c r="Z886" s="83"/>
      <c r="AA886" s="83"/>
      <c r="AB886" s="83"/>
      <c r="AC886" s="83"/>
      <c r="AD886" s="83"/>
    </row>
    <row r="887">
      <c r="A887" s="83"/>
      <c r="B887" s="83"/>
      <c r="C887" s="83"/>
      <c r="D887" s="83"/>
      <c r="E887" s="118"/>
      <c r="F887" s="118"/>
      <c r="G887" s="83"/>
      <c r="H887" s="83"/>
      <c r="I887" s="83"/>
      <c r="J887" s="83"/>
      <c r="K887" s="83"/>
      <c r="L887" s="83"/>
      <c r="M887" s="83"/>
      <c r="N887" s="83"/>
      <c r="O887" s="83"/>
      <c r="P887" s="83"/>
      <c r="Q887" s="83"/>
      <c r="R887" s="83"/>
      <c r="S887" s="83"/>
      <c r="T887" s="83"/>
      <c r="U887" s="83"/>
      <c r="V887" s="83"/>
      <c r="W887" s="83"/>
      <c r="X887" s="83"/>
      <c r="Y887" s="83"/>
      <c r="Z887" s="83"/>
      <c r="AA887" s="83"/>
      <c r="AB887" s="83"/>
      <c r="AC887" s="83"/>
      <c r="AD887" s="83"/>
    </row>
    <row r="888">
      <c r="A888" s="83"/>
      <c r="B888" s="83"/>
      <c r="C888" s="83"/>
      <c r="D888" s="83"/>
      <c r="E888" s="118"/>
      <c r="F888" s="118"/>
      <c r="G888" s="83"/>
      <c r="H888" s="83"/>
      <c r="I888" s="83"/>
      <c r="J888" s="83"/>
      <c r="K888" s="83"/>
      <c r="L888" s="83"/>
      <c r="M888" s="83"/>
      <c r="N888" s="83"/>
      <c r="O888" s="83"/>
      <c r="P888" s="83"/>
      <c r="Q888" s="83"/>
      <c r="R888" s="83"/>
      <c r="S888" s="83"/>
      <c r="T888" s="83"/>
      <c r="U888" s="83"/>
      <c r="V888" s="83"/>
      <c r="W888" s="83"/>
      <c r="X888" s="83"/>
      <c r="Y888" s="83"/>
      <c r="Z888" s="83"/>
      <c r="AA888" s="83"/>
      <c r="AB888" s="83"/>
      <c r="AC888" s="83"/>
      <c r="AD888" s="83"/>
    </row>
    <row r="889">
      <c r="A889" s="83"/>
      <c r="B889" s="83"/>
      <c r="C889" s="83"/>
      <c r="D889" s="83"/>
      <c r="E889" s="118"/>
      <c r="F889" s="118"/>
      <c r="G889" s="83"/>
      <c r="H889" s="83"/>
      <c r="I889" s="83"/>
      <c r="J889" s="83"/>
      <c r="K889" s="83"/>
      <c r="L889" s="83"/>
      <c r="M889" s="83"/>
      <c r="N889" s="83"/>
      <c r="O889" s="83"/>
      <c r="P889" s="83"/>
      <c r="Q889" s="83"/>
      <c r="R889" s="83"/>
      <c r="S889" s="83"/>
      <c r="T889" s="83"/>
      <c r="U889" s="83"/>
      <c r="V889" s="83"/>
      <c r="W889" s="83"/>
      <c r="X889" s="83"/>
      <c r="Y889" s="83"/>
      <c r="Z889" s="83"/>
      <c r="AA889" s="83"/>
      <c r="AB889" s="83"/>
      <c r="AC889" s="83"/>
      <c r="AD889" s="83"/>
    </row>
    <row r="890">
      <c r="A890" s="83"/>
      <c r="B890" s="83"/>
      <c r="C890" s="83"/>
      <c r="D890" s="83"/>
      <c r="E890" s="118"/>
      <c r="F890" s="118"/>
      <c r="G890" s="83"/>
      <c r="H890" s="83"/>
      <c r="I890" s="83"/>
      <c r="J890" s="83"/>
      <c r="K890" s="83"/>
      <c r="L890" s="83"/>
      <c r="M890" s="83"/>
      <c r="N890" s="83"/>
      <c r="O890" s="83"/>
      <c r="P890" s="83"/>
      <c r="Q890" s="83"/>
      <c r="R890" s="83"/>
      <c r="S890" s="83"/>
      <c r="T890" s="83"/>
      <c r="U890" s="83"/>
      <c r="V890" s="83"/>
      <c r="W890" s="83"/>
      <c r="X890" s="83"/>
      <c r="Y890" s="83"/>
      <c r="Z890" s="83"/>
      <c r="AA890" s="83"/>
      <c r="AB890" s="83"/>
      <c r="AC890" s="83"/>
      <c r="AD890" s="83"/>
    </row>
    <row r="891">
      <c r="A891" s="83"/>
      <c r="B891" s="83"/>
      <c r="C891" s="83"/>
      <c r="D891" s="83"/>
      <c r="E891" s="118"/>
      <c r="F891" s="118"/>
      <c r="G891" s="83"/>
      <c r="H891" s="83"/>
      <c r="I891" s="83"/>
      <c r="J891" s="83"/>
      <c r="K891" s="83"/>
      <c r="L891" s="83"/>
      <c r="M891" s="83"/>
      <c r="N891" s="83"/>
      <c r="O891" s="83"/>
      <c r="P891" s="83"/>
      <c r="Q891" s="83"/>
      <c r="R891" s="83"/>
      <c r="S891" s="83"/>
      <c r="T891" s="83"/>
      <c r="U891" s="83"/>
      <c r="V891" s="83"/>
      <c r="W891" s="83"/>
      <c r="X891" s="83"/>
      <c r="Y891" s="83"/>
      <c r="Z891" s="83"/>
      <c r="AA891" s="83"/>
      <c r="AB891" s="83"/>
      <c r="AC891" s="83"/>
      <c r="AD891" s="83"/>
    </row>
    <row r="892">
      <c r="A892" s="83"/>
      <c r="B892" s="83"/>
      <c r="C892" s="83"/>
      <c r="D892" s="83"/>
      <c r="E892" s="118"/>
      <c r="F892" s="118"/>
      <c r="G892" s="83"/>
      <c r="H892" s="83"/>
      <c r="I892" s="83"/>
      <c r="J892" s="83"/>
      <c r="K892" s="83"/>
      <c r="L892" s="83"/>
      <c r="M892" s="83"/>
      <c r="N892" s="83"/>
      <c r="O892" s="83"/>
      <c r="P892" s="83"/>
      <c r="Q892" s="83"/>
      <c r="R892" s="83"/>
      <c r="S892" s="83"/>
      <c r="T892" s="83"/>
      <c r="U892" s="83"/>
      <c r="V892" s="83"/>
      <c r="W892" s="83"/>
      <c r="X892" s="83"/>
      <c r="Y892" s="83"/>
      <c r="Z892" s="83"/>
      <c r="AA892" s="83"/>
      <c r="AB892" s="83"/>
      <c r="AC892" s="83"/>
      <c r="AD892" s="83"/>
    </row>
    <row r="893">
      <c r="A893" s="83"/>
      <c r="B893" s="83"/>
      <c r="C893" s="83"/>
      <c r="D893" s="83"/>
      <c r="E893" s="118"/>
      <c r="F893" s="118"/>
      <c r="G893" s="83"/>
      <c r="H893" s="83"/>
      <c r="I893" s="83"/>
      <c r="J893" s="83"/>
      <c r="K893" s="83"/>
      <c r="L893" s="83"/>
      <c r="M893" s="83"/>
      <c r="N893" s="83"/>
      <c r="O893" s="83"/>
      <c r="P893" s="83"/>
      <c r="Q893" s="83"/>
      <c r="R893" s="83"/>
      <c r="S893" s="83"/>
      <c r="T893" s="83"/>
      <c r="U893" s="83"/>
      <c r="V893" s="83"/>
      <c r="W893" s="83"/>
      <c r="X893" s="83"/>
      <c r="Y893" s="83"/>
      <c r="Z893" s="83"/>
      <c r="AA893" s="83"/>
      <c r="AB893" s="83"/>
      <c r="AC893" s="83"/>
      <c r="AD893" s="83"/>
    </row>
    <row r="894">
      <c r="A894" s="83"/>
      <c r="B894" s="83"/>
      <c r="C894" s="83"/>
      <c r="D894" s="83"/>
      <c r="E894" s="118"/>
      <c r="F894" s="118"/>
      <c r="G894" s="83"/>
      <c r="H894" s="83"/>
      <c r="I894" s="83"/>
      <c r="J894" s="83"/>
      <c r="K894" s="83"/>
      <c r="L894" s="83"/>
      <c r="M894" s="83"/>
      <c r="N894" s="83"/>
      <c r="O894" s="83"/>
      <c r="P894" s="83"/>
      <c r="Q894" s="83"/>
      <c r="R894" s="83"/>
      <c r="S894" s="83"/>
      <c r="T894" s="83"/>
      <c r="U894" s="83"/>
      <c r="V894" s="83"/>
      <c r="W894" s="83"/>
      <c r="X894" s="83"/>
      <c r="Y894" s="83"/>
      <c r="Z894" s="83"/>
      <c r="AA894" s="83"/>
      <c r="AB894" s="83"/>
      <c r="AC894" s="83"/>
      <c r="AD894" s="83"/>
    </row>
    <row r="895">
      <c r="A895" s="83"/>
      <c r="B895" s="83"/>
      <c r="C895" s="83"/>
      <c r="D895" s="83"/>
      <c r="E895" s="118"/>
      <c r="F895" s="118"/>
      <c r="G895" s="83"/>
      <c r="H895" s="83"/>
      <c r="I895" s="83"/>
      <c r="J895" s="83"/>
      <c r="K895" s="83"/>
      <c r="L895" s="83"/>
      <c r="M895" s="83"/>
      <c r="N895" s="83"/>
      <c r="O895" s="83"/>
      <c r="P895" s="83"/>
      <c r="Q895" s="83"/>
      <c r="R895" s="83"/>
      <c r="S895" s="83"/>
      <c r="T895" s="83"/>
      <c r="U895" s="83"/>
      <c r="V895" s="83"/>
      <c r="W895" s="83"/>
      <c r="X895" s="83"/>
      <c r="Y895" s="83"/>
      <c r="Z895" s="83"/>
      <c r="AA895" s="83"/>
      <c r="AB895" s="83"/>
      <c r="AC895" s="83"/>
      <c r="AD895" s="83"/>
    </row>
    <row r="896">
      <c r="A896" s="83"/>
      <c r="B896" s="83"/>
      <c r="C896" s="83"/>
      <c r="D896" s="83"/>
      <c r="E896" s="118"/>
      <c r="F896" s="118"/>
      <c r="G896" s="83"/>
      <c r="H896" s="83"/>
      <c r="I896" s="83"/>
      <c r="J896" s="83"/>
      <c r="K896" s="83"/>
      <c r="L896" s="83"/>
      <c r="M896" s="83"/>
      <c r="N896" s="83"/>
      <c r="O896" s="83"/>
      <c r="P896" s="83"/>
      <c r="Q896" s="83"/>
      <c r="R896" s="83"/>
      <c r="S896" s="83"/>
      <c r="T896" s="83"/>
      <c r="U896" s="83"/>
      <c r="V896" s="83"/>
      <c r="W896" s="83"/>
      <c r="X896" s="83"/>
      <c r="Y896" s="83"/>
      <c r="Z896" s="83"/>
      <c r="AA896" s="83"/>
      <c r="AB896" s="83"/>
      <c r="AC896" s="83"/>
      <c r="AD896" s="83"/>
    </row>
    <row r="897">
      <c r="A897" s="83"/>
      <c r="B897" s="83"/>
      <c r="C897" s="83"/>
      <c r="D897" s="83"/>
      <c r="E897" s="118"/>
      <c r="F897" s="118"/>
      <c r="G897" s="83"/>
      <c r="H897" s="83"/>
      <c r="I897" s="83"/>
      <c r="J897" s="83"/>
      <c r="K897" s="83"/>
      <c r="L897" s="83"/>
      <c r="M897" s="83"/>
      <c r="N897" s="83"/>
      <c r="O897" s="83"/>
      <c r="P897" s="83"/>
      <c r="Q897" s="83"/>
      <c r="R897" s="83"/>
      <c r="S897" s="83"/>
      <c r="T897" s="83"/>
      <c r="U897" s="83"/>
      <c r="V897" s="83"/>
      <c r="W897" s="83"/>
      <c r="X897" s="83"/>
      <c r="Y897" s="83"/>
      <c r="Z897" s="83"/>
      <c r="AA897" s="83"/>
      <c r="AB897" s="83"/>
      <c r="AC897" s="83"/>
      <c r="AD897" s="83"/>
    </row>
    <row r="898">
      <c r="A898" s="83"/>
      <c r="B898" s="83"/>
      <c r="C898" s="83"/>
      <c r="D898" s="83"/>
      <c r="E898" s="118"/>
      <c r="F898" s="118"/>
      <c r="G898" s="83"/>
      <c r="H898" s="83"/>
      <c r="I898" s="83"/>
      <c r="J898" s="83"/>
      <c r="K898" s="83"/>
      <c r="L898" s="83"/>
      <c r="M898" s="83"/>
      <c r="N898" s="83"/>
      <c r="O898" s="83"/>
      <c r="P898" s="83"/>
      <c r="Q898" s="83"/>
      <c r="R898" s="83"/>
      <c r="S898" s="83"/>
      <c r="T898" s="83"/>
      <c r="U898" s="83"/>
      <c r="V898" s="83"/>
      <c r="W898" s="83"/>
      <c r="X898" s="83"/>
      <c r="Y898" s="83"/>
      <c r="Z898" s="83"/>
      <c r="AA898" s="83"/>
      <c r="AB898" s="83"/>
      <c r="AC898" s="83"/>
      <c r="AD898" s="83"/>
    </row>
    <row r="899">
      <c r="A899" s="83"/>
      <c r="B899" s="83"/>
      <c r="C899" s="83"/>
      <c r="D899" s="83"/>
      <c r="E899" s="118"/>
      <c r="F899" s="118"/>
      <c r="G899" s="83"/>
      <c r="H899" s="83"/>
      <c r="I899" s="83"/>
      <c r="J899" s="83"/>
      <c r="K899" s="83"/>
      <c r="L899" s="83"/>
      <c r="M899" s="83"/>
      <c r="N899" s="83"/>
      <c r="O899" s="83"/>
      <c r="P899" s="83"/>
      <c r="Q899" s="83"/>
      <c r="R899" s="83"/>
      <c r="S899" s="83"/>
      <c r="T899" s="83"/>
      <c r="U899" s="83"/>
      <c r="V899" s="83"/>
      <c r="W899" s="83"/>
      <c r="X899" s="83"/>
      <c r="Y899" s="83"/>
      <c r="Z899" s="83"/>
      <c r="AA899" s="83"/>
      <c r="AB899" s="83"/>
      <c r="AC899" s="83"/>
      <c r="AD899" s="83"/>
    </row>
    <row r="900">
      <c r="A900" s="83"/>
      <c r="B900" s="83"/>
      <c r="C900" s="83"/>
      <c r="D900" s="83"/>
      <c r="E900" s="118"/>
      <c r="F900" s="118"/>
      <c r="G900" s="83"/>
      <c r="H900" s="83"/>
      <c r="I900" s="83"/>
      <c r="J900" s="83"/>
      <c r="K900" s="83"/>
      <c r="L900" s="83"/>
      <c r="M900" s="83"/>
      <c r="N900" s="83"/>
      <c r="O900" s="83"/>
      <c r="P900" s="83"/>
      <c r="Q900" s="83"/>
      <c r="R900" s="83"/>
      <c r="S900" s="83"/>
      <c r="T900" s="83"/>
      <c r="U900" s="83"/>
      <c r="V900" s="83"/>
      <c r="W900" s="83"/>
      <c r="X900" s="83"/>
      <c r="Y900" s="83"/>
      <c r="Z900" s="83"/>
      <c r="AA900" s="83"/>
      <c r="AB900" s="83"/>
      <c r="AC900" s="83"/>
      <c r="AD900" s="83"/>
    </row>
    <row r="901">
      <c r="A901" s="83"/>
      <c r="B901" s="83"/>
      <c r="C901" s="83"/>
      <c r="D901" s="83"/>
      <c r="E901" s="118"/>
      <c r="F901" s="118"/>
      <c r="G901" s="83"/>
      <c r="H901" s="83"/>
      <c r="I901" s="83"/>
      <c r="J901" s="83"/>
      <c r="K901" s="83"/>
      <c r="L901" s="83"/>
      <c r="M901" s="83"/>
      <c r="N901" s="83"/>
      <c r="O901" s="83"/>
      <c r="P901" s="83"/>
      <c r="Q901" s="83"/>
      <c r="R901" s="83"/>
      <c r="S901" s="83"/>
      <c r="T901" s="83"/>
      <c r="U901" s="83"/>
      <c r="V901" s="83"/>
      <c r="W901" s="83"/>
      <c r="X901" s="83"/>
      <c r="Y901" s="83"/>
      <c r="Z901" s="83"/>
      <c r="AA901" s="83"/>
      <c r="AB901" s="83"/>
      <c r="AC901" s="83"/>
      <c r="AD901" s="83"/>
    </row>
    <row r="902">
      <c r="A902" s="83"/>
      <c r="B902" s="83"/>
      <c r="C902" s="83"/>
      <c r="D902" s="83"/>
      <c r="E902" s="118"/>
      <c r="F902" s="118"/>
      <c r="G902" s="83"/>
      <c r="H902" s="83"/>
      <c r="I902" s="83"/>
      <c r="J902" s="83"/>
      <c r="K902" s="83"/>
      <c r="L902" s="83"/>
      <c r="M902" s="83"/>
      <c r="N902" s="83"/>
      <c r="O902" s="83"/>
      <c r="P902" s="83"/>
      <c r="Q902" s="83"/>
      <c r="R902" s="83"/>
      <c r="S902" s="83"/>
      <c r="T902" s="83"/>
      <c r="U902" s="83"/>
      <c r="V902" s="83"/>
      <c r="W902" s="83"/>
      <c r="X902" s="83"/>
      <c r="Y902" s="83"/>
      <c r="Z902" s="83"/>
      <c r="AA902" s="83"/>
      <c r="AB902" s="83"/>
      <c r="AC902" s="83"/>
      <c r="AD902" s="83"/>
    </row>
    <row r="903">
      <c r="A903" s="83"/>
      <c r="B903" s="83"/>
      <c r="C903" s="83"/>
      <c r="D903" s="83"/>
      <c r="E903" s="118"/>
      <c r="F903" s="118"/>
      <c r="G903" s="83"/>
      <c r="H903" s="83"/>
      <c r="I903" s="83"/>
      <c r="J903" s="83"/>
      <c r="K903" s="83"/>
      <c r="L903" s="83"/>
      <c r="M903" s="83"/>
      <c r="N903" s="83"/>
      <c r="O903" s="83"/>
      <c r="P903" s="83"/>
      <c r="Q903" s="83"/>
      <c r="R903" s="83"/>
      <c r="S903" s="83"/>
      <c r="T903" s="83"/>
      <c r="U903" s="83"/>
      <c r="V903" s="83"/>
      <c r="W903" s="83"/>
      <c r="X903" s="83"/>
      <c r="Y903" s="83"/>
      <c r="Z903" s="83"/>
      <c r="AA903" s="83"/>
      <c r="AB903" s="83"/>
      <c r="AC903" s="83"/>
      <c r="AD903" s="83"/>
    </row>
    <row r="904">
      <c r="A904" s="83"/>
      <c r="B904" s="83"/>
      <c r="C904" s="83"/>
      <c r="D904" s="83"/>
      <c r="E904" s="118"/>
      <c r="F904" s="118"/>
      <c r="G904" s="83"/>
      <c r="H904" s="83"/>
      <c r="I904" s="83"/>
      <c r="J904" s="83"/>
      <c r="K904" s="83"/>
      <c r="L904" s="83"/>
      <c r="M904" s="83"/>
      <c r="N904" s="83"/>
      <c r="O904" s="83"/>
      <c r="P904" s="83"/>
      <c r="Q904" s="83"/>
      <c r="R904" s="83"/>
      <c r="S904" s="83"/>
      <c r="T904" s="83"/>
      <c r="U904" s="83"/>
      <c r="V904" s="83"/>
      <c r="W904" s="83"/>
      <c r="X904" s="83"/>
      <c r="Y904" s="83"/>
      <c r="Z904" s="83"/>
      <c r="AA904" s="83"/>
      <c r="AB904" s="83"/>
      <c r="AC904" s="83"/>
      <c r="AD904" s="83"/>
    </row>
    <row r="905">
      <c r="A905" s="83"/>
      <c r="B905" s="83"/>
      <c r="C905" s="83"/>
      <c r="D905" s="83"/>
      <c r="E905" s="118"/>
      <c r="F905" s="118"/>
      <c r="G905" s="83"/>
      <c r="H905" s="83"/>
      <c r="I905" s="83"/>
      <c r="J905" s="83"/>
      <c r="K905" s="83"/>
      <c r="L905" s="83"/>
      <c r="M905" s="83"/>
      <c r="N905" s="83"/>
      <c r="O905" s="83"/>
      <c r="P905" s="83"/>
      <c r="Q905" s="83"/>
      <c r="R905" s="83"/>
      <c r="S905" s="83"/>
      <c r="T905" s="83"/>
      <c r="U905" s="83"/>
      <c r="V905" s="83"/>
      <c r="W905" s="83"/>
      <c r="X905" s="83"/>
      <c r="Y905" s="83"/>
      <c r="Z905" s="83"/>
      <c r="AA905" s="83"/>
      <c r="AB905" s="83"/>
      <c r="AC905" s="83"/>
      <c r="AD905" s="83"/>
    </row>
    <row r="906">
      <c r="A906" s="83"/>
      <c r="B906" s="83"/>
      <c r="C906" s="83"/>
      <c r="D906" s="83"/>
      <c r="E906" s="118"/>
      <c r="F906" s="118"/>
      <c r="G906" s="83"/>
      <c r="H906" s="83"/>
      <c r="I906" s="83"/>
      <c r="J906" s="83"/>
      <c r="K906" s="83"/>
      <c r="L906" s="83"/>
      <c r="M906" s="83"/>
      <c r="N906" s="83"/>
      <c r="O906" s="83"/>
      <c r="P906" s="83"/>
      <c r="Q906" s="83"/>
      <c r="R906" s="83"/>
      <c r="S906" s="83"/>
      <c r="T906" s="83"/>
      <c r="U906" s="83"/>
      <c r="V906" s="83"/>
      <c r="W906" s="83"/>
      <c r="X906" s="83"/>
      <c r="Y906" s="83"/>
      <c r="Z906" s="83"/>
      <c r="AA906" s="83"/>
      <c r="AB906" s="83"/>
      <c r="AC906" s="83"/>
      <c r="AD906" s="83"/>
    </row>
    <row r="907">
      <c r="A907" s="83"/>
      <c r="B907" s="83"/>
      <c r="C907" s="83"/>
      <c r="D907" s="83"/>
      <c r="E907" s="118"/>
      <c r="F907" s="118"/>
      <c r="G907" s="83"/>
      <c r="H907" s="83"/>
      <c r="I907" s="83"/>
      <c r="J907" s="83"/>
      <c r="K907" s="83"/>
      <c r="L907" s="83"/>
      <c r="M907" s="83"/>
      <c r="N907" s="83"/>
      <c r="O907" s="83"/>
      <c r="P907" s="83"/>
      <c r="Q907" s="83"/>
      <c r="R907" s="83"/>
      <c r="S907" s="83"/>
      <c r="T907" s="83"/>
      <c r="U907" s="83"/>
      <c r="V907" s="83"/>
      <c r="W907" s="83"/>
      <c r="X907" s="83"/>
      <c r="Y907" s="83"/>
      <c r="Z907" s="83"/>
      <c r="AA907" s="83"/>
      <c r="AB907" s="83"/>
      <c r="AC907" s="83"/>
      <c r="AD907" s="83"/>
    </row>
    <row r="908">
      <c r="A908" s="83"/>
      <c r="B908" s="83"/>
      <c r="C908" s="83"/>
      <c r="D908" s="83"/>
      <c r="E908" s="118"/>
      <c r="F908" s="118"/>
      <c r="G908" s="83"/>
      <c r="H908" s="83"/>
      <c r="I908" s="83"/>
      <c r="J908" s="83"/>
      <c r="K908" s="83"/>
      <c r="L908" s="83"/>
      <c r="M908" s="83"/>
      <c r="N908" s="83"/>
      <c r="O908" s="83"/>
      <c r="P908" s="83"/>
      <c r="Q908" s="83"/>
      <c r="R908" s="83"/>
      <c r="S908" s="83"/>
      <c r="T908" s="83"/>
      <c r="U908" s="83"/>
      <c r="V908" s="83"/>
      <c r="W908" s="83"/>
      <c r="X908" s="83"/>
      <c r="Y908" s="83"/>
      <c r="Z908" s="83"/>
      <c r="AA908" s="83"/>
      <c r="AB908" s="83"/>
      <c r="AC908" s="83"/>
      <c r="AD908" s="83"/>
    </row>
    <row r="909">
      <c r="A909" s="83"/>
      <c r="B909" s="83"/>
      <c r="C909" s="83"/>
      <c r="D909" s="83"/>
      <c r="E909" s="118"/>
      <c r="F909" s="118"/>
      <c r="G909" s="83"/>
      <c r="H909" s="83"/>
      <c r="I909" s="83"/>
      <c r="J909" s="83"/>
      <c r="K909" s="83"/>
      <c r="L909" s="83"/>
      <c r="M909" s="83"/>
      <c r="N909" s="83"/>
      <c r="O909" s="83"/>
      <c r="P909" s="83"/>
      <c r="Q909" s="83"/>
      <c r="R909" s="83"/>
      <c r="S909" s="83"/>
      <c r="T909" s="83"/>
      <c r="U909" s="83"/>
      <c r="V909" s="83"/>
      <c r="W909" s="83"/>
      <c r="X909" s="83"/>
      <c r="Y909" s="83"/>
      <c r="Z909" s="83"/>
      <c r="AA909" s="83"/>
      <c r="AB909" s="83"/>
      <c r="AC909" s="83"/>
      <c r="AD909" s="83"/>
    </row>
    <row r="910">
      <c r="A910" s="83"/>
      <c r="B910" s="83"/>
      <c r="C910" s="83"/>
      <c r="D910" s="83"/>
      <c r="E910" s="118"/>
      <c r="F910" s="118"/>
      <c r="G910" s="83"/>
      <c r="H910" s="83"/>
      <c r="I910" s="83"/>
      <c r="J910" s="83"/>
      <c r="K910" s="83"/>
      <c r="L910" s="83"/>
      <c r="M910" s="83"/>
      <c r="N910" s="83"/>
      <c r="O910" s="83"/>
      <c r="P910" s="83"/>
      <c r="Q910" s="83"/>
      <c r="R910" s="83"/>
      <c r="S910" s="83"/>
      <c r="T910" s="83"/>
      <c r="U910" s="83"/>
      <c r="V910" s="83"/>
      <c r="W910" s="83"/>
      <c r="X910" s="83"/>
      <c r="Y910" s="83"/>
      <c r="Z910" s="83"/>
      <c r="AA910" s="83"/>
      <c r="AB910" s="83"/>
      <c r="AC910" s="83"/>
      <c r="AD910" s="83"/>
    </row>
    <row r="911">
      <c r="A911" s="83"/>
      <c r="B911" s="83"/>
      <c r="C911" s="83"/>
      <c r="D911" s="83"/>
      <c r="E911" s="118"/>
      <c r="F911" s="118"/>
      <c r="G911" s="83"/>
      <c r="H911" s="83"/>
      <c r="I911" s="83"/>
      <c r="J911" s="83"/>
      <c r="K911" s="83"/>
      <c r="L911" s="83"/>
      <c r="M911" s="83"/>
      <c r="N911" s="83"/>
      <c r="O911" s="83"/>
      <c r="P911" s="83"/>
      <c r="Q911" s="83"/>
      <c r="R911" s="83"/>
      <c r="S911" s="83"/>
      <c r="T911" s="83"/>
      <c r="U911" s="83"/>
      <c r="V911" s="83"/>
      <c r="W911" s="83"/>
      <c r="X911" s="83"/>
      <c r="Y911" s="83"/>
      <c r="Z911" s="83"/>
      <c r="AA911" s="83"/>
      <c r="AB911" s="83"/>
      <c r="AC911" s="83"/>
      <c r="AD911" s="83"/>
    </row>
    <row r="912">
      <c r="A912" s="83"/>
      <c r="B912" s="83"/>
      <c r="C912" s="83"/>
      <c r="D912" s="83"/>
      <c r="E912" s="118"/>
      <c r="F912" s="118"/>
      <c r="G912" s="83"/>
      <c r="H912" s="83"/>
      <c r="I912" s="83"/>
      <c r="J912" s="83"/>
      <c r="K912" s="83"/>
      <c r="L912" s="83"/>
      <c r="M912" s="83"/>
      <c r="N912" s="83"/>
      <c r="O912" s="83"/>
      <c r="P912" s="83"/>
      <c r="Q912" s="83"/>
      <c r="R912" s="83"/>
      <c r="S912" s="83"/>
      <c r="T912" s="83"/>
      <c r="U912" s="83"/>
      <c r="V912" s="83"/>
      <c r="W912" s="83"/>
      <c r="X912" s="83"/>
      <c r="Y912" s="83"/>
      <c r="Z912" s="83"/>
      <c r="AA912" s="83"/>
      <c r="AB912" s="83"/>
      <c r="AC912" s="83"/>
      <c r="AD912" s="83"/>
    </row>
    <row r="913">
      <c r="A913" s="83"/>
      <c r="B913" s="83"/>
      <c r="C913" s="83"/>
      <c r="D913" s="83"/>
      <c r="E913" s="118"/>
      <c r="F913" s="118"/>
      <c r="G913" s="83"/>
      <c r="H913" s="83"/>
      <c r="I913" s="83"/>
      <c r="J913" s="83"/>
      <c r="K913" s="83"/>
      <c r="L913" s="83"/>
      <c r="M913" s="83"/>
      <c r="N913" s="83"/>
      <c r="O913" s="83"/>
      <c r="P913" s="83"/>
      <c r="Q913" s="83"/>
      <c r="R913" s="83"/>
      <c r="S913" s="83"/>
      <c r="T913" s="83"/>
      <c r="U913" s="83"/>
      <c r="V913" s="83"/>
      <c r="W913" s="83"/>
      <c r="X913" s="83"/>
      <c r="Y913" s="83"/>
      <c r="Z913" s="83"/>
      <c r="AA913" s="83"/>
      <c r="AB913" s="83"/>
      <c r="AC913" s="83"/>
      <c r="AD913" s="83"/>
    </row>
    <row r="914">
      <c r="A914" s="83"/>
      <c r="B914" s="83"/>
      <c r="C914" s="83"/>
      <c r="D914" s="83"/>
      <c r="E914" s="118"/>
      <c r="F914" s="118"/>
      <c r="G914" s="83"/>
      <c r="H914" s="83"/>
      <c r="I914" s="83"/>
      <c r="J914" s="83"/>
      <c r="K914" s="83"/>
      <c r="L914" s="83"/>
      <c r="M914" s="83"/>
      <c r="N914" s="83"/>
      <c r="O914" s="83"/>
      <c r="P914" s="83"/>
      <c r="Q914" s="83"/>
      <c r="R914" s="83"/>
      <c r="S914" s="83"/>
      <c r="T914" s="83"/>
      <c r="U914" s="83"/>
      <c r="V914" s="83"/>
      <c r="W914" s="83"/>
      <c r="X914" s="83"/>
      <c r="Y914" s="83"/>
      <c r="Z914" s="83"/>
      <c r="AA914" s="83"/>
      <c r="AB914" s="83"/>
      <c r="AC914" s="83"/>
      <c r="AD914" s="83"/>
    </row>
    <row r="915">
      <c r="A915" s="83"/>
      <c r="B915" s="83"/>
      <c r="C915" s="83"/>
      <c r="D915" s="83"/>
      <c r="E915" s="118"/>
      <c r="F915" s="118"/>
      <c r="G915" s="83"/>
      <c r="H915" s="83"/>
      <c r="I915" s="83"/>
      <c r="J915" s="83"/>
      <c r="K915" s="83"/>
      <c r="L915" s="83"/>
      <c r="M915" s="83"/>
      <c r="N915" s="83"/>
      <c r="O915" s="83"/>
      <c r="P915" s="83"/>
      <c r="Q915" s="83"/>
      <c r="R915" s="83"/>
      <c r="S915" s="83"/>
      <c r="T915" s="83"/>
      <c r="U915" s="83"/>
      <c r="V915" s="83"/>
      <c r="W915" s="83"/>
      <c r="X915" s="83"/>
      <c r="Y915" s="83"/>
      <c r="Z915" s="83"/>
      <c r="AA915" s="83"/>
      <c r="AB915" s="83"/>
      <c r="AC915" s="83"/>
      <c r="AD915" s="83"/>
    </row>
    <row r="916">
      <c r="A916" s="83"/>
      <c r="B916" s="83"/>
      <c r="C916" s="83"/>
      <c r="D916" s="83"/>
      <c r="E916" s="118"/>
      <c r="F916" s="118"/>
      <c r="G916" s="83"/>
      <c r="H916" s="83"/>
      <c r="I916" s="83"/>
      <c r="J916" s="83"/>
      <c r="K916" s="83"/>
      <c r="L916" s="83"/>
      <c r="M916" s="83"/>
      <c r="N916" s="83"/>
      <c r="O916" s="83"/>
      <c r="P916" s="83"/>
      <c r="Q916" s="83"/>
      <c r="R916" s="83"/>
      <c r="S916" s="83"/>
      <c r="T916" s="83"/>
      <c r="U916" s="83"/>
      <c r="V916" s="83"/>
      <c r="W916" s="83"/>
      <c r="X916" s="83"/>
      <c r="Y916" s="83"/>
      <c r="Z916" s="83"/>
      <c r="AA916" s="83"/>
      <c r="AB916" s="83"/>
      <c r="AC916" s="83"/>
      <c r="AD916" s="83"/>
    </row>
    <row r="917">
      <c r="A917" s="83"/>
      <c r="B917" s="83"/>
      <c r="C917" s="83"/>
      <c r="D917" s="83"/>
      <c r="E917" s="118"/>
      <c r="F917" s="118"/>
      <c r="G917" s="83"/>
      <c r="H917" s="83"/>
      <c r="I917" s="83"/>
      <c r="J917" s="83"/>
      <c r="K917" s="83"/>
      <c r="L917" s="83"/>
      <c r="M917" s="83"/>
      <c r="N917" s="83"/>
      <c r="O917" s="83"/>
      <c r="P917" s="83"/>
      <c r="Q917" s="83"/>
      <c r="R917" s="83"/>
      <c r="S917" s="83"/>
      <c r="T917" s="83"/>
      <c r="U917" s="83"/>
      <c r="V917" s="83"/>
      <c r="W917" s="83"/>
      <c r="X917" s="83"/>
      <c r="Y917" s="83"/>
      <c r="Z917" s="83"/>
      <c r="AA917" s="83"/>
      <c r="AB917" s="83"/>
      <c r="AC917" s="83"/>
      <c r="AD917" s="83"/>
    </row>
    <row r="918">
      <c r="A918" s="83"/>
      <c r="B918" s="83"/>
      <c r="C918" s="83"/>
      <c r="D918" s="83"/>
      <c r="E918" s="118"/>
      <c r="F918" s="118"/>
      <c r="G918" s="83"/>
      <c r="H918" s="83"/>
      <c r="I918" s="83"/>
      <c r="J918" s="83"/>
      <c r="K918" s="83"/>
      <c r="L918" s="83"/>
      <c r="M918" s="83"/>
      <c r="N918" s="83"/>
      <c r="O918" s="83"/>
      <c r="P918" s="83"/>
      <c r="Q918" s="83"/>
      <c r="R918" s="83"/>
      <c r="S918" s="83"/>
      <c r="T918" s="83"/>
      <c r="U918" s="83"/>
      <c r="V918" s="83"/>
      <c r="W918" s="83"/>
      <c r="X918" s="83"/>
      <c r="Y918" s="83"/>
      <c r="Z918" s="83"/>
      <c r="AA918" s="83"/>
      <c r="AB918" s="83"/>
      <c r="AC918" s="83"/>
      <c r="AD918" s="83"/>
    </row>
    <row r="919">
      <c r="A919" s="83"/>
      <c r="B919" s="83"/>
      <c r="C919" s="83"/>
      <c r="D919" s="83"/>
      <c r="E919" s="118"/>
      <c r="F919" s="118"/>
      <c r="G919" s="83"/>
      <c r="H919" s="83"/>
      <c r="I919" s="83"/>
      <c r="J919" s="83"/>
      <c r="K919" s="83"/>
      <c r="L919" s="83"/>
      <c r="M919" s="83"/>
      <c r="N919" s="83"/>
      <c r="O919" s="83"/>
      <c r="P919" s="83"/>
      <c r="Q919" s="83"/>
      <c r="R919" s="83"/>
      <c r="S919" s="83"/>
      <c r="T919" s="83"/>
      <c r="U919" s="83"/>
      <c r="V919" s="83"/>
      <c r="W919" s="83"/>
      <c r="X919" s="83"/>
      <c r="Y919" s="83"/>
      <c r="Z919" s="83"/>
      <c r="AA919" s="83"/>
      <c r="AB919" s="83"/>
      <c r="AC919" s="83"/>
      <c r="AD919" s="83"/>
    </row>
    <row r="920">
      <c r="A920" s="83"/>
      <c r="B920" s="83"/>
      <c r="C920" s="83"/>
      <c r="D920" s="83"/>
      <c r="E920" s="118"/>
      <c r="F920" s="118"/>
      <c r="G920" s="83"/>
      <c r="H920" s="83"/>
      <c r="I920" s="83"/>
      <c r="J920" s="83"/>
      <c r="K920" s="83"/>
      <c r="L920" s="83"/>
      <c r="M920" s="83"/>
      <c r="N920" s="83"/>
      <c r="O920" s="83"/>
      <c r="P920" s="83"/>
      <c r="Q920" s="83"/>
      <c r="R920" s="83"/>
      <c r="S920" s="83"/>
      <c r="T920" s="83"/>
      <c r="U920" s="83"/>
      <c r="V920" s="83"/>
      <c r="W920" s="83"/>
      <c r="X920" s="83"/>
      <c r="Y920" s="83"/>
      <c r="Z920" s="83"/>
      <c r="AA920" s="83"/>
      <c r="AB920" s="83"/>
      <c r="AC920" s="83"/>
      <c r="AD920" s="83"/>
    </row>
    <row r="921">
      <c r="A921" s="83"/>
      <c r="B921" s="83"/>
      <c r="C921" s="83"/>
      <c r="D921" s="83"/>
      <c r="E921" s="118"/>
      <c r="F921" s="118"/>
      <c r="G921" s="83"/>
      <c r="H921" s="83"/>
      <c r="I921" s="83"/>
      <c r="J921" s="83"/>
      <c r="K921" s="83"/>
      <c r="L921" s="83"/>
      <c r="M921" s="83"/>
      <c r="N921" s="83"/>
      <c r="O921" s="83"/>
      <c r="P921" s="83"/>
      <c r="Q921" s="83"/>
      <c r="R921" s="83"/>
      <c r="S921" s="83"/>
      <c r="T921" s="83"/>
      <c r="U921" s="83"/>
      <c r="V921" s="83"/>
      <c r="W921" s="83"/>
      <c r="X921" s="83"/>
      <c r="Y921" s="83"/>
      <c r="Z921" s="83"/>
      <c r="AA921" s="83"/>
      <c r="AB921" s="83"/>
      <c r="AC921" s="83"/>
      <c r="AD921" s="83"/>
    </row>
    <row r="922">
      <c r="A922" s="83"/>
      <c r="B922" s="83"/>
      <c r="C922" s="83"/>
      <c r="D922" s="83"/>
      <c r="E922" s="118"/>
      <c r="F922" s="118"/>
      <c r="G922" s="83"/>
      <c r="H922" s="83"/>
      <c r="I922" s="83"/>
      <c r="J922" s="83"/>
      <c r="K922" s="83"/>
      <c r="L922" s="83"/>
      <c r="M922" s="83"/>
      <c r="N922" s="83"/>
      <c r="O922" s="83"/>
      <c r="P922" s="83"/>
      <c r="Q922" s="83"/>
      <c r="R922" s="83"/>
      <c r="S922" s="83"/>
      <c r="T922" s="83"/>
      <c r="U922" s="83"/>
      <c r="V922" s="83"/>
      <c r="W922" s="83"/>
      <c r="X922" s="83"/>
      <c r="Y922" s="83"/>
      <c r="Z922" s="83"/>
      <c r="AA922" s="83"/>
      <c r="AB922" s="83"/>
      <c r="AC922" s="83"/>
      <c r="AD922" s="83"/>
    </row>
    <row r="923">
      <c r="A923" s="83"/>
      <c r="B923" s="83"/>
      <c r="C923" s="83"/>
      <c r="D923" s="83"/>
      <c r="E923" s="118"/>
      <c r="F923" s="118"/>
      <c r="G923" s="83"/>
      <c r="H923" s="83"/>
      <c r="I923" s="83"/>
      <c r="J923" s="83"/>
      <c r="K923" s="83"/>
      <c r="L923" s="83"/>
      <c r="M923" s="83"/>
      <c r="N923" s="83"/>
      <c r="O923" s="83"/>
      <c r="P923" s="83"/>
      <c r="Q923" s="83"/>
      <c r="R923" s="83"/>
      <c r="S923" s="83"/>
      <c r="T923" s="83"/>
      <c r="U923" s="83"/>
      <c r="V923" s="83"/>
      <c r="W923" s="83"/>
      <c r="X923" s="83"/>
      <c r="Y923" s="83"/>
      <c r="Z923" s="83"/>
      <c r="AA923" s="83"/>
      <c r="AB923" s="83"/>
      <c r="AC923" s="83"/>
      <c r="AD923" s="83"/>
    </row>
    <row r="924">
      <c r="A924" s="83"/>
      <c r="B924" s="83"/>
      <c r="C924" s="83"/>
      <c r="D924" s="83"/>
      <c r="E924" s="118"/>
      <c r="F924" s="118"/>
      <c r="G924" s="83"/>
      <c r="H924" s="83"/>
      <c r="I924" s="83"/>
      <c r="J924" s="83"/>
      <c r="K924" s="83"/>
      <c r="L924" s="83"/>
      <c r="M924" s="83"/>
      <c r="N924" s="83"/>
      <c r="O924" s="83"/>
      <c r="P924" s="83"/>
      <c r="Q924" s="83"/>
      <c r="R924" s="83"/>
      <c r="S924" s="83"/>
      <c r="T924" s="83"/>
      <c r="U924" s="83"/>
      <c r="V924" s="83"/>
      <c r="W924" s="83"/>
      <c r="X924" s="83"/>
      <c r="Y924" s="83"/>
      <c r="Z924" s="83"/>
      <c r="AA924" s="83"/>
      <c r="AB924" s="83"/>
      <c r="AC924" s="83"/>
      <c r="AD924" s="83"/>
    </row>
    <row r="925">
      <c r="A925" s="83"/>
      <c r="B925" s="83"/>
      <c r="C925" s="83"/>
      <c r="D925" s="83"/>
      <c r="E925" s="118"/>
      <c r="F925" s="118"/>
      <c r="G925" s="83"/>
      <c r="H925" s="83"/>
      <c r="I925" s="83"/>
      <c r="J925" s="83"/>
      <c r="K925" s="83"/>
      <c r="L925" s="83"/>
      <c r="M925" s="83"/>
      <c r="N925" s="83"/>
      <c r="O925" s="83"/>
      <c r="P925" s="83"/>
      <c r="Q925" s="83"/>
      <c r="R925" s="83"/>
      <c r="S925" s="83"/>
      <c r="T925" s="83"/>
      <c r="U925" s="83"/>
      <c r="V925" s="83"/>
      <c r="W925" s="83"/>
      <c r="X925" s="83"/>
      <c r="Y925" s="83"/>
      <c r="Z925" s="83"/>
      <c r="AA925" s="83"/>
      <c r="AB925" s="83"/>
      <c r="AC925" s="83"/>
      <c r="AD925" s="83"/>
    </row>
    <row r="926">
      <c r="A926" s="83"/>
      <c r="B926" s="83"/>
      <c r="C926" s="83"/>
      <c r="D926" s="83"/>
      <c r="E926" s="118"/>
      <c r="F926" s="118"/>
      <c r="G926" s="83"/>
      <c r="H926" s="83"/>
      <c r="I926" s="83"/>
      <c r="J926" s="83"/>
      <c r="K926" s="83"/>
      <c r="L926" s="83"/>
      <c r="M926" s="83"/>
      <c r="N926" s="83"/>
      <c r="O926" s="83"/>
      <c r="P926" s="83"/>
      <c r="Q926" s="83"/>
      <c r="R926" s="83"/>
      <c r="S926" s="83"/>
      <c r="T926" s="83"/>
      <c r="U926" s="83"/>
      <c r="V926" s="83"/>
      <c r="W926" s="83"/>
      <c r="X926" s="83"/>
      <c r="Y926" s="83"/>
      <c r="Z926" s="83"/>
      <c r="AA926" s="83"/>
      <c r="AB926" s="83"/>
      <c r="AC926" s="83"/>
      <c r="AD926" s="83"/>
    </row>
    <row r="927">
      <c r="A927" s="83"/>
      <c r="B927" s="83"/>
      <c r="C927" s="83"/>
      <c r="D927" s="83"/>
      <c r="E927" s="118"/>
      <c r="F927" s="118"/>
      <c r="G927" s="83"/>
      <c r="H927" s="83"/>
      <c r="I927" s="83"/>
      <c r="J927" s="83"/>
      <c r="K927" s="83"/>
      <c r="L927" s="83"/>
      <c r="M927" s="83"/>
      <c r="N927" s="83"/>
      <c r="O927" s="83"/>
      <c r="P927" s="83"/>
      <c r="Q927" s="83"/>
      <c r="R927" s="83"/>
      <c r="S927" s="83"/>
      <c r="T927" s="83"/>
      <c r="U927" s="83"/>
      <c r="V927" s="83"/>
      <c r="W927" s="83"/>
      <c r="X927" s="83"/>
      <c r="Y927" s="83"/>
      <c r="Z927" s="83"/>
      <c r="AA927" s="83"/>
      <c r="AB927" s="83"/>
      <c r="AC927" s="83"/>
      <c r="AD927" s="83"/>
    </row>
    <row r="928">
      <c r="A928" s="83"/>
      <c r="B928" s="83"/>
      <c r="C928" s="83"/>
      <c r="D928" s="83"/>
      <c r="E928" s="118"/>
      <c r="F928" s="118"/>
      <c r="G928" s="83"/>
      <c r="H928" s="83"/>
      <c r="I928" s="83"/>
      <c r="J928" s="83"/>
      <c r="K928" s="83"/>
      <c r="L928" s="83"/>
      <c r="M928" s="83"/>
      <c r="N928" s="83"/>
      <c r="O928" s="83"/>
      <c r="P928" s="83"/>
      <c r="Q928" s="83"/>
      <c r="R928" s="83"/>
      <c r="S928" s="83"/>
      <c r="T928" s="83"/>
      <c r="U928" s="83"/>
      <c r="V928" s="83"/>
      <c r="W928" s="83"/>
      <c r="X928" s="83"/>
      <c r="Y928" s="83"/>
      <c r="Z928" s="83"/>
      <c r="AA928" s="83"/>
      <c r="AB928" s="83"/>
      <c r="AC928" s="83"/>
      <c r="AD928" s="83"/>
    </row>
    <row r="929">
      <c r="A929" s="83"/>
      <c r="B929" s="83"/>
      <c r="C929" s="83"/>
      <c r="D929" s="83"/>
      <c r="E929" s="118"/>
      <c r="F929" s="118"/>
      <c r="G929" s="83"/>
      <c r="H929" s="83"/>
      <c r="I929" s="83"/>
      <c r="J929" s="83"/>
      <c r="K929" s="83"/>
      <c r="L929" s="83"/>
      <c r="M929" s="83"/>
      <c r="N929" s="83"/>
      <c r="O929" s="83"/>
      <c r="P929" s="83"/>
      <c r="Q929" s="83"/>
      <c r="R929" s="83"/>
      <c r="S929" s="83"/>
      <c r="T929" s="83"/>
      <c r="U929" s="83"/>
      <c r="V929" s="83"/>
      <c r="W929" s="83"/>
      <c r="X929" s="83"/>
      <c r="Y929" s="83"/>
      <c r="Z929" s="83"/>
      <c r="AA929" s="83"/>
      <c r="AB929" s="83"/>
      <c r="AC929" s="83"/>
      <c r="AD929" s="83"/>
    </row>
    <row r="930">
      <c r="A930" s="83"/>
      <c r="B930" s="83"/>
      <c r="C930" s="83"/>
      <c r="D930" s="83"/>
      <c r="E930" s="118"/>
      <c r="F930" s="118"/>
      <c r="G930" s="83"/>
      <c r="H930" s="83"/>
      <c r="I930" s="83"/>
      <c r="J930" s="83"/>
      <c r="K930" s="83"/>
      <c r="L930" s="83"/>
      <c r="M930" s="83"/>
      <c r="N930" s="83"/>
      <c r="O930" s="83"/>
      <c r="P930" s="83"/>
      <c r="Q930" s="83"/>
      <c r="R930" s="83"/>
      <c r="S930" s="83"/>
      <c r="T930" s="83"/>
      <c r="U930" s="83"/>
      <c r="V930" s="83"/>
      <c r="W930" s="83"/>
      <c r="X930" s="83"/>
      <c r="Y930" s="83"/>
      <c r="Z930" s="83"/>
      <c r="AA930" s="83"/>
      <c r="AB930" s="83"/>
      <c r="AC930" s="83"/>
      <c r="AD930" s="83"/>
    </row>
    <row r="931">
      <c r="A931" s="83"/>
      <c r="B931" s="83"/>
      <c r="C931" s="83"/>
      <c r="D931" s="83"/>
      <c r="E931" s="118"/>
      <c r="F931" s="118"/>
      <c r="G931" s="83"/>
      <c r="H931" s="83"/>
      <c r="I931" s="83"/>
      <c r="J931" s="83"/>
      <c r="K931" s="83"/>
      <c r="L931" s="83"/>
      <c r="M931" s="83"/>
      <c r="N931" s="83"/>
      <c r="O931" s="83"/>
      <c r="P931" s="83"/>
      <c r="Q931" s="83"/>
      <c r="R931" s="83"/>
      <c r="S931" s="83"/>
      <c r="T931" s="83"/>
      <c r="U931" s="83"/>
      <c r="V931" s="83"/>
      <c r="W931" s="83"/>
      <c r="X931" s="83"/>
      <c r="Y931" s="83"/>
      <c r="Z931" s="83"/>
      <c r="AA931" s="83"/>
      <c r="AB931" s="83"/>
      <c r="AC931" s="83"/>
      <c r="AD931" s="83"/>
    </row>
    <row r="932">
      <c r="A932" s="83"/>
      <c r="B932" s="83"/>
      <c r="C932" s="83"/>
      <c r="D932" s="83"/>
      <c r="E932" s="118"/>
      <c r="F932" s="118"/>
      <c r="G932" s="83"/>
      <c r="H932" s="83"/>
      <c r="I932" s="83"/>
      <c r="J932" s="83"/>
      <c r="K932" s="83"/>
      <c r="L932" s="83"/>
      <c r="M932" s="83"/>
      <c r="N932" s="83"/>
      <c r="O932" s="83"/>
      <c r="P932" s="83"/>
      <c r="Q932" s="83"/>
      <c r="R932" s="83"/>
      <c r="S932" s="83"/>
      <c r="T932" s="83"/>
      <c r="U932" s="83"/>
      <c r="V932" s="83"/>
      <c r="W932" s="83"/>
      <c r="X932" s="83"/>
      <c r="Y932" s="83"/>
      <c r="Z932" s="83"/>
      <c r="AA932" s="83"/>
      <c r="AB932" s="83"/>
      <c r="AC932" s="83"/>
      <c r="AD932" s="83"/>
    </row>
    <row r="933">
      <c r="A933" s="83"/>
      <c r="B933" s="83"/>
      <c r="C933" s="83"/>
      <c r="D933" s="83"/>
      <c r="E933" s="118"/>
      <c r="F933" s="118"/>
      <c r="G933" s="83"/>
      <c r="H933" s="83"/>
      <c r="I933" s="83"/>
      <c r="J933" s="83"/>
      <c r="K933" s="83"/>
      <c r="L933" s="83"/>
      <c r="M933" s="83"/>
      <c r="N933" s="83"/>
      <c r="O933" s="83"/>
      <c r="P933" s="83"/>
      <c r="Q933" s="83"/>
      <c r="R933" s="83"/>
      <c r="S933" s="83"/>
      <c r="T933" s="83"/>
      <c r="U933" s="83"/>
      <c r="V933" s="83"/>
      <c r="W933" s="83"/>
      <c r="X933" s="83"/>
      <c r="Y933" s="83"/>
      <c r="Z933" s="83"/>
      <c r="AA933" s="83"/>
      <c r="AB933" s="83"/>
      <c r="AC933" s="83"/>
      <c r="AD933" s="83"/>
    </row>
    <row r="934">
      <c r="A934" s="83"/>
      <c r="B934" s="83"/>
      <c r="C934" s="83"/>
      <c r="D934" s="83"/>
      <c r="E934" s="118"/>
      <c r="F934" s="118"/>
      <c r="G934" s="83"/>
      <c r="H934" s="83"/>
      <c r="I934" s="83"/>
      <c r="J934" s="83"/>
      <c r="K934" s="83"/>
      <c r="L934" s="83"/>
      <c r="M934" s="83"/>
      <c r="N934" s="83"/>
      <c r="O934" s="83"/>
      <c r="P934" s="83"/>
      <c r="Q934" s="83"/>
      <c r="R934" s="83"/>
      <c r="S934" s="83"/>
      <c r="T934" s="83"/>
      <c r="U934" s="83"/>
      <c r="V934" s="83"/>
      <c r="W934" s="83"/>
      <c r="X934" s="83"/>
      <c r="Y934" s="83"/>
      <c r="Z934" s="83"/>
      <c r="AA934" s="83"/>
      <c r="AB934" s="83"/>
      <c r="AC934" s="83"/>
      <c r="AD934" s="83"/>
    </row>
    <row r="935">
      <c r="A935" s="83"/>
      <c r="B935" s="83"/>
      <c r="C935" s="83"/>
      <c r="D935" s="83"/>
      <c r="E935" s="118"/>
      <c r="F935" s="118"/>
      <c r="G935" s="83"/>
      <c r="H935" s="83"/>
      <c r="I935" s="83"/>
      <c r="J935" s="83"/>
      <c r="K935" s="83"/>
      <c r="L935" s="83"/>
      <c r="M935" s="83"/>
      <c r="N935" s="83"/>
      <c r="O935" s="83"/>
      <c r="P935" s="83"/>
      <c r="Q935" s="83"/>
      <c r="R935" s="83"/>
      <c r="S935" s="83"/>
      <c r="T935" s="83"/>
      <c r="U935" s="83"/>
      <c r="V935" s="83"/>
      <c r="W935" s="83"/>
      <c r="X935" s="83"/>
      <c r="Y935" s="83"/>
      <c r="Z935" s="83"/>
      <c r="AA935" s="83"/>
      <c r="AB935" s="83"/>
      <c r="AC935" s="83"/>
      <c r="AD935" s="83"/>
    </row>
    <row r="936">
      <c r="A936" s="83"/>
      <c r="B936" s="83"/>
      <c r="C936" s="83"/>
      <c r="D936" s="83"/>
      <c r="E936" s="118"/>
      <c r="F936" s="118"/>
      <c r="G936" s="83"/>
      <c r="H936" s="83"/>
      <c r="I936" s="83"/>
      <c r="J936" s="83"/>
      <c r="K936" s="83"/>
      <c r="L936" s="83"/>
      <c r="M936" s="83"/>
      <c r="N936" s="83"/>
      <c r="O936" s="83"/>
      <c r="P936" s="83"/>
      <c r="Q936" s="83"/>
      <c r="R936" s="83"/>
      <c r="S936" s="83"/>
      <c r="T936" s="83"/>
      <c r="U936" s="83"/>
      <c r="V936" s="83"/>
      <c r="W936" s="83"/>
      <c r="X936" s="83"/>
      <c r="Y936" s="83"/>
      <c r="Z936" s="83"/>
      <c r="AA936" s="83"/>
      <c r="AB936" s="83"/>
      <c r="AC936" s="83"/>
      <c r="AD936" s="83"/>
    </row>
    <row r="937">
      <c r="A937" s="83"/>
      <c r="B937" s="83"/>
      <c r="C937" s="83"/>
      <c r="D937" s="83"/>
      <c r="E937" s="118"/>
      <c r="F937" s="118"/>
      <c r="G937" s="83"/>
      <c r="H937" s="83"/>
      <c r="I937" s="83"/>
      <c r="J937" s="83"/>
      <c r="K937" s="83"/>
      <c r="L937" s="83"/>
      <c r="M937" s="83"/>
      <c r="N937" s="83"/>
      <c r="O937" s="83"/>
      <c r="P937" s="83"/>
      <c r="Q937" s="83"/>
      <c r="R937" s="83"/>
      <c r="S937" s="83"/>
      <c r="T937" s="83"/>
      <c r="U937" s="83"/>
      <c r="V937" s="83"/>
      <c r="W937" s="83"/>
      <c r="X937" s="83"/>
      <c r="Y937" s="83"/>
      <c r="Z937" s="83"/>
      <c r="AA937" s="83"/>
      <c r="AB937" s="83"/>
      <c r="AC937" s="83"/>
      <c r="AD937" s="83"/>
    </row>
    <row r="938">
      <c r="A938" s="83"/>
      <c r="B938" s="83"/>
      <c r="C938" s="83"/>
      <c r="D938" s="83"/>
      <c r="E938" s="118"/>
      <c r="F938" s="118"/>
      <c r="G938" s="83"/>
      <c r="H938" s="83"/>
      <c r="I938" s="83"/>
      <c r="J938" s="83"/>
      <c r="K938" s="83"/>
      <c r="L938" s="83"/>
      <c r="M938" s="83"/>
      <c r="N938" s="83"/>
      <c r="O938" s="83"/>
      <c r="P938" s="83"/>
      <c r="Q938" s="83"/>
      <c r="R938" s="83"/>
      <c r="S938" s="83"/>
      <c r="T938" s="83"/>
      <c r="U938" s="83"/>
      <c r="V938" s="83"/>
      <c r="W938" s="83"/>
      <c r="X938" s="83"/>
      <c r="Y938" s="83"/>
      <c r="Z938" s="83"/>
      <c r="AA938" s="83"/>
      <c r="AB938" s="83"/>
      <c r="AC938" s="83"/>
      <c r="AD938" s="83"/>
    </row>
    <row r="939">
      <c r="A939" s="83"/>
      <c r="B939" s="83"/>
      <c r="C939" s="83"/>
      <c r="D939" s="83"/>
      <c r="E939" s="118"/>
      <c r="F939" s="118"/>
      <c r="G939" s="83"/>
      <c r="H939" s="83"/>
      <c r="I939" s="83"/>
      <c r="J939" s="83"/>
      <c r="K939" s="83"/>
      <c r="L939" s="83"/>
      <c r="M939" s="83"/>
      <c r="N939" s="83"/>
      <c r="O939" s="83"/>
      <c r="P939" s="83"/>
      <c r="Q939" s="83"/>
      <c r="R939" s="83"/>
      <c r="S939" s="83"/>
      <c r="T939" s="83"/>
      <c r="U939" s="83"/>
      <c r="V939" s="83"/>
      <c r="W939" s="83"/>
      <c r="X939" s="83"/>
      <c r="Y939" s="83"/>
      <c r="Z939" s="83"/>
      <c r="AA939" s="83"/>
      <c r="AB939" s="83"/>
      <c r="AC939" s="83"/>
      <c r="AD939" s="83"/>
    </row>
    <row r="940">
      <c r="A940" s="83"/>
      <c r="B940" s="83"/>
      <c r="C940" s="83"/>
      <c r="D940" s="83"/>
      <c r="E940" s="118"/>
      <c r="F940" s="118"/>
      <c r="G940" s="83"/>
      <c r="H940" s="83"/>
      <c r="I940" s="83"/>
      <c r="J940" s="83"/>
      <c r="K940" s="83"/>
      <c r="L940" s="83"/>
      <c r="M940" s="83"/>
      <c r="N940" s="83"/>
      <c r="O940" s="83"/>
      <c r="P940" s="83"/>
      <c r="Q940" s="83"/>
      <c r="R940" s="83"/>
      <c r="S940" s="83"/>
      <c r="T940" s="83"/>
      <c r="U940" s="83"/>
      <c r="V940" s="83"/>
      <c r="W940" s="83"/>
      <c r="X940" s="83"/>
      <c r="Y940" s="83"/>
      <c r="Z940" s="83"/>
      <c r="AA940" s="83"/>
      <c r="AB940" s="83"/>
      <c r="AC940" s="83"/>
      <c r="AD940" s="83"/>
    </row>
    <row r="941">
      <c r="A941" s="83"/>
      <c r="B941" s="83"/>
      <c r="C941" s="83"/>
      <c r="D941" s="83"/>
      <c r="E941" s="118"/>
      <c r="F941" s="118"/>
      <c r="G941" s="83"/>
      <c r="H941" s="83"/>
      <c r="I941" s="83"/>
      <c r="J941" s="83"/>
      <c r="K941" s="83"/>
      <c r="L941" s="83"/>
      <c r="M941" s="83"/>
      <c r="N941" s="83"/>
      <c r="O941" s="83"/>
      <c r="P941" s="83"/>
      <c r="Q941" s="83"/>
      <c r="R941" s="83"/>
      <c r="S941" s="83"/>
      <c r="T941" s="83"/>
      <c r="U941" s="83"/>
      <c r="V941" s="83"/>
      <c r="W941" s="83"/>
      <c r="X941" s="83"/>
      <c r="Y941" s="83"/>
      <c r="Z941" s="83"/>
      <c r="AA941" s="83"/>
      <c r="AB941" s="83"/>
      <c r="AC941" s="83"/>
      <c r="AD941" s="83"/>
    </row>
    <row r="942">
      <c r="A942" s="83"/>
      <c r="B942" s="83"/>
      <c r="C942" s="83"/>
      <c r="D942" s="83"/>
      <c r="E942" s="118"/>
      <c r="F942" s="118"/>
      <c r="G942" s="83"/>
      <c r="H942" s="83"/>
      <c r="I942" s="83"/>
      <c r="J942" s="83"/>
      <c r="K942" s="83"/>
      <c r="L942" s="83"/>
      <c r="M942" s="83"/>
      <c r="N942" s="83"/>
      <c r="O942" s="83"/>
      <c r="P942" s="83"/>
      <c r="Q942" s="83"/>
      <c r="R942" s="83"/>
      <c r="S942" s="83"/>
      <c r="T942" s="83"/>
      <c r="U942" s="83"/>
      <c r="V942" s="83"/>
      <c r="W942" s="83"/>
      <c r="X942" s="83"/>
      <c r="Y942" s="83"/>
      <c r="Z942" s="83"/>
      <c r="AA942" s="83"/>
      <c r="AB942" s="83"/>
      <c r="AC942" s="83"/>
      <c r="AD942" s="83"/>
    </row>
    <row r="943">
      <c r="A943" s="83"/>
      <c r="B943" s="83"/>
      <c r="C943" s="83"/>
      <c r="D943" s="83"/>
      <c r="E943" s="118"/>
      <c r="F943" s="118"/>
      <c r="G943" s="83"/>
      <c r="H943" s="83"/>
      <c r="I943" s="83"/>
      <c r="J943" s="83"/>
      <c r="K943" s="83"/>
      <c r="L943" s="83"/>
      <c r="M943" s="83"/>
      <c r="N943" s="83"/>
      <c r="O943" s="83"/>
      <c r="P943" s="83"/>
      <c r="Q943" s="83"/>
      <c r="R943" s="83"/>
      <c r="S943" s="83"/>
      <c r="T943" s="83"/>
      <c r="U943" s="83"/>
      <c r="V943" s="83"/>
      <c r="W943" s="83"/>
      <c r="X943" s="83"/>
      <c r="Y943" s="83"/>
      <c r="Z943" s="83"/>
      <c r="AA943" s="83"/>
      <c r="AB943" s="83"/>
      <c r="AC943" s="83"/>
      <c r="AD943" s="83"/>
    </row>
    <row r="944">
      <c r="A944" s="83"/>
      <c r="B944" s="83"/>
      <c r="C944" s="83"/>
      <c r="D944" s="83"/>
      <c r="E944" s="118"/>
      <c r="F944" s="118"/>
      <c r="G944" s="83"/>
      <c r="H944" s="83"/>
      <c r="I944" s="83"/>
      <c r="J944" s="83"/>
      <c r="K944" s="83"/>
      <c r="L944" s="83"/>
      <c r="M944" s="83"/>
      <c r="N944" s="83"/>
      <c r="O944" s="83"/>
      <c r="P944" s="83"/>
      <c r="Q944" s="83"/>
      <c r="R944" s="83"/>
      <c r="S944" s="83"/>
      <c r="T944" s="83"/>
      <c r="U944" s="83"/>
      <c r="V944" s="83"/>
      <c r="W944" s="83"/>
      <c r="X944" s="83"/>
      <c r="Y944" s="83"/>
      <c r="Z944" s="83"/>
      <c r="AA944" s="83"/>
      <c r="AB944" s="83"/>
      <c r="AC944" s="83"/>
      <c r="AD944" s="83"/>
    </row>
    <row r="945">
      <c r="A945" s="83"/>
      <c r="B945" s="83"/>
      <c r="C945" s="83"/>
      <c r="D945" s="83"/>
      <c r="E945" s="118"/>
      <c r="F945" s="118"/>
      <c r="G945" s="83"/>
      <c r="H945" s="83"/>
      <c r="I945" s="83"/>
      <c r="J945" s="83"/>
      <c r="K945" s="83"/>
      <c r="L945" s="83"/>
      <c r="M945" s="83"/>
      <c r="N945" s="83"/>
      <c r="O945" s="83"/>
      <c r="P945" s="83"/>
      <c r="Q945" s="83"/>
      <c r="R945" s="83"/>
      <c r="S945" s="83"/>
      <c r="T945" s="83"/>
      <c r="U945" s="83"/>
      <c r="V945" s="83"/>
      <c r="W945" s="83"/>
      <c r="X945" s="83"/>
      <c r="Y945" s="83"/>
      <c r="Z945" s="83"/>
      <c r="AA945" s="83"/>
      <c r="AB945" s="83"/>
      <c r="AC945" s="83"/>
      <c r="AD945" s="83"/>
    </row>
    <row r="946">
      <c r="A946" s="83"/>
      <c r="B946" s="83"/>
      <c r="C946" s="83"/>
      <c r="D946" s="83"/>
      <c r="E946" s="118"/>
      <c r="F946" s="118"/>
      <c r="G946" s="83"/>
      <c r="H946" s="83"/>
      <c r="I946" s="83"/>
      <c r="J946" s="83"/>
      <c r="K946" s="83"/>
      <c r="L946" s="83"/>
      <c r="M946" s="83"/>
      <c r="N946" s="83"/>
      <c r="O946" s="83"/>
      <c r="P946" s="83"/>
      <c r="Q946" s="83"/>
      <c r="R946" s="83"/>
      <c r="S946" s="83"/>
      <c r="T946" s="83"/>
      <c r="U946" s="83"/>
      <c r="V946" s="83"/>
      <c r="W946" s="83"/>
      <c r="X946" s="83"/>
      <c r="Y946" s="83"/>
      <c r="Z946" s="83"/>
      <c r="AA946" s="83"/>
      <c r="AB946" s="83"/>
      <c r="AC946" s="83"/>
      <c r="AD946" s="83"/>
    </row>
    <row r="947">
      <c r="A947" s="83"/>
      <c r="B947" s="83"/>
      <c r="C947" s="83"/>
      <c r="D947" s="83"/>
      <c r="E947" s="118"/>
      <c r="F947" s="118"/>
      <c r="G947" s="83"/>
      <c r="H947" s="83"/>
      <c r="I947" s="83"/>
      <c r="J947" s="83"/>
      <c r="K947" s="83"/>
      <c r="L947" s="83"/>
      <c r="M947" s="83"/>
      <c r="N947" s="83"/>
      <c r="O947" s="83"/>
      <c r="P947" s="83"/>
      <c r="Q947" s="83"/>
      <c r="R947" s="83"/>
      <c r="S947" s="83"/>
      <c r="T947" s="83"/>
      <c r="U947" s="83"/>
      <c r="V947" s="83"/>
      <c r="W947" s="83"/>
      <c r="X947" s="83"/>
      <c r="Y947" s="83"/>
      <c r="Z947" s="83"/>
      <c r="AA947" s="83"/>
      <c r="AB947" s="83"/>
      <c r="AC947" s="83"/>
      <c r="AD947" s="83"/>
    </row>
    <row r="948">
      <c r="A948" s="83"/>
      <c r="B948" s="83"/>
      <c r="C948" s="83"/>
      <c r="D948" s="83"/>
      <c r="E948" s="118"/>
      <c r="F948" s="118"/>
      <c r="G948" s="83"/>
      <c r="H948" s="83"/>
      <c r="I948" s="83"/>
      <c r="J948" s="83"/>
      <c r="K948" s="83"/>
      <c r="L948" s="83"/>
      <c r="M948" s="83"/>
      <c r="N948" s="83"/>
      <c r="O948" s="83"/>
      <c r="P948" s="83"/>
      <c r="Q948" s="83"/>
      <c r="R948" s="83"/>
      <c r="S948" s="83"/>
      <c r="T948" s="83"/>
      <c r="U948" s="83"/>
      <c r="V948" s="83"/>
      <c r="W948" s="83"/>
      <c r="X948" s="83"/>
      <c r="Y948" s="83"/>
      <c r="Z948" s="83"/>
      <c r="AA948" s="83"/>
      <c r="AB948" s="83"/>
      <c r="AC948" s="83"/>
      <c r="AD948" s="83"/>
    </row>
    <row r="949">
      <c r="A949" s="83"/>
      <c r="B949" s="83"/>
      <c r="C949" s="83"/>
      <c r="D949" s="83"/>
      <c r="E949" s="118"/>
      <c r="F949" s="118"/>
      <c r="G949" s="83"/>
      <c r="H949" s="83"/>
      <c r="I949" s="83"/>
      <c r="J949" s="83"/>
      <c r="K949" s="83"/>
      <c r="L949" s="83"/>
      <c r="M949" s="83"/>
      <c r="N949" s="83"/>
      <c r="O949" s="83"/>
      <c r="P949" s="83"/>
      <c r="Q949" s="83"/>
      <c r="R949" s="83"/>
      <c r="S949" s="83"/>
      <c r="T949" s="83"/>
      <c r="U949" s="83"/>
      <c r="V949" s="83"/>
      <c r="W949" s="83"/>
      <c r="X949" s="83"/>
      <c r="Y949" s="83"/>
      <c r="Z949" s="83"/>
      <c r="AA949" s="83"/>
      <c r="AB949" s="83"/>
      <c r="AC949" s="83"/>
      <c r="AD949" s="83"/>
    </row>
    <row r="950">
      <c r="A950" s="83"/>
      <c r="B950" s="83"/>
      <c r="C950" s="83"/>
      <c r="D950" s="83"/>
      <c r="E950" s="118"/>
      <c r="F950" s="118"/>
      <c r="G950" s="83"/>
      <c r="H950" s="83"/>
      <c r="I950" s="83"/>
      <c r="J950" s="83"/>
      <c r="K950" s="83"/>
      <c r="L950" s="83"/>
      <c r="M950" s="83"/>
      <c r="N950" s="83"/>
      <c r="O950" s="83"/>
      <c r="P950" s="83"/>
      <c r="Q950" s="83"/>
      <c r="R950" s="83"/>
      <c r="S950" s="83"/>
      <c r="T950" s="83"/>
      <c r="U950" s="83"/>
      <c r="V950" s="83"/>
      <c r="W950" s="83"/>
      <c r="X950" s="83"/>
      <c r="Y950" s="83"/>
      <c r="Z950" s="83"/>
      <c r="AA950" s="83"/>
      <c r="AB950" s="83"/>
      <c r="AC950" s="83"/>
      <c r="AD950" s="83"/>
    </row>
    <row r="951">
      <c r="A951" s="83"/>
      <c r="B951" s="83"/>
      <c r="C951" s="83"/>
      <c r="D951" s="83"/>
      <c r="E951" s="118"/>
      <c r="F951" s="118"/>
      <c r="G951" s="83"/>
      <c r="H951" s="83"/>
      <c r="I951" s="83"/>
      <c r="J951" s="83"/>
      <c r="K951" s="83"/>
      <c r="L951" s="83"/>
      <c r="M951" s="83"/>
      <c r="N951" s="83"/>
      <c r="O951" s="83"/>
      <c r="P951" s="83"/>
      <c r="Q951" s="83"/>
      <c r="R951" s="83"/>
      <c r="S951" s="83"/>
      <c r="T951" s="83"/>
      <c r="U951" s="83"/>
      <c r="V951" s="83"/>
      <c r="W951" s="83"/>
      <c r="X951" s="83"/>
      <c r="Y951" s="83"/>
      <c r="Z951" s="83"/>
      <c r="AA951" s="83"/>
      <c r="AB951" s="83"/>
      <c r="AC951" s="83"/>
      <c r="AD951" s="83"/>
    </row>
    <row r="952">
      <c r="A952" s="83"/>
      <c r="B952" s="83"/>
      <c r="C952" s="83"/>
      <c r="D952" s="83"/>
      <c r="E952" s="118"/>
      <c r="F952" s="118"/>
      <c r="G952" s="83"/>
      <c r="H952" s="83"/>
      <c r="I952" s="83"/>
      <c r="J952" s="83"/>
      <c r="K952" s="83"/>
      <c r="L952" s="83"/>
      <c r="M952" s="83"/>
      <c r="N952" s="83"/>
      <c r="O952" s="83"/>
      <c r="P952" s="83"/>
      <c r="Q952" s="83"/>
      <c r="R952" s="83"/>
      <c r="S952" s="83"/>
      <c r="T952" s="83"/>
      <c r="U952" s="83"/>
      <c r="V952" s="83"/>
      <c r="W952" s="83"/>
      <c r="X952" s="83"/>
      <c r="Y952" s="83"/>
      <c r="Z952" s="83"/>
      <c r="AA952" s="83"/>
      <c r="AB952" s="83"/>
      <c r="AC952" s="83"/>
      <c r="AD952" s="83"/>
    </row>
    <row r="953">
      <c r="A953" s="83"/>
      <c r="B953" s="83"/>
      <c r="C953" s="83"/>
      <c r="D953" s="83"/>
      <c r="E953" s="118"/>
      <c r="F953" s="118"/>
      <c r="G953" s="83"/>
      <c r="H953" s="83"/>
      <c r="I953" s="83"/>
      <c r="J953" s="83"/>
      <c r="K953" s="83"/>
      <c r="L953" s="83"/>
      <c r="M953" s="83"/>
      <c r="N953" s="83"/>
      <c r="O953" s="83"/>
      <c r="P953" s="83"/>
      <c r="Q953" s="83"/>
      <c r="R953" s="83"/>
      <c r="S953" s="83"/>
      <c r="T953" s="83"/>
      <c r="U953" s="83"/>
      <c r="V953" s="83"/>
      <c r="W953" s="83"/>
      <c r="X953" s="83"/>
      <c r="Y953" s="83"/>
      <c r="Z953" s="83"/>
      <c r="AA953" s="83"/>
      <c r="AB953" s="83"/>
      <c r="AC953" s="83"/>
      <c r="AD953" s="83"/>
    </row>
    <row r="954">
      <c r="A954" s="83"/>
      <c r="B954" s="83"/>
      <c r="C954" s="83"/>
      <c r="D954" s="83"/>
      <c r="E954" s="118"/>
      <c r="F954" s="118"/>
      <c r="G954" s="83"/>
      <c r="H954" s="83"/>
      <c r="I954" s="83"/>
      <c r="J954" s="83"/>
      <c r="K954" s="83"/>
      <c r="L954" s="83"/>
      <c r="M954" s="83"/>
      <c r="N954" s="83"/>
      <c r="O954" s="83"/>
      <c r="P954" s="83"/>
      <c r="Q954" s="83"/>
      <c r="R954" s="83"/>
      <c r="S954" s="83"/>
      <c r="T954" s="83"/>
      <c r="U954" s="83"/>
      <c r="V954" s="83"/>
      <c r="W954" s="83"/>
      <c r="X954" s="83"/>
      <c r="Y954" s="83"/>
      <c r="Z954" s="83"/>
      <c r="AA954" s="83"/>
      <c r="AB954" s="83"/>
      <c r="AC954" s="83"/>
      <c r="AD954" s="83"/>
    </row>
    <row r="955">
      <c r="A955" s="83"/>
      <c r="B955" s="83"/>
      <c r="C955" s="83"/>
      <c r="D955" s="83"/>
      <c r="E955" s="118"/>
      <c r="F955" s="118"/>
      <c r="G955" s="83"/>
      <c r="H955" s="83"/>
      <c r="I955" s="83"/>
      <c r="J955" s="83"/>
      <c r="K955" s="83"/>
      <c r="L955" s="83"/>
      <c r="M955" s="83"/>
      <c r="N955" s="83"/>
      <c r="O955" s="83"/>
      <c r="P955" s="83"/>
      <c r="Q955" s="83"/>
      <c r="R955" s="83"/>
      <c r="S955" s="83"/>
      <c r="T955" s="83"/>
      <c r="U955" s="83"/>
      <c r="V955" s="83"/>
      <c r="W955" s="83"/>
      <c r="X955" s="83"/>
      <c r="Y955" s="83"/>
      <c r="Z955" s="83"/>
      <c r="AA955" s="83"/>
      <c r="AB955" s="83"/>
      <c r="AC955" s="83"/>
      <c r="AD955" s="83"/>
    </row>
    <row r="956">
      <c r="A956" s="83"/>
      <c r="B956" s="83"/>
      <c r="C956" s="83"/>
      <c r="D956" s="83"/>
      <c r="E956" s="118"/>
      <c r="F956" s="118"/>
      <c r="G956" s="83"/>
      <c r="H956" s="83"/>
      <c r="I956" s="83"/>
      <c r="J956" s="83"/>
      <c r="K956" s="83"/>
      <c r="L956" s="83"/>
      <c r="M956" s="83"/>
      <c r="N956" s="83"/>
      <c r="O956" s="83"/>
      <c r="P956" s="83"/>
      <c r="Q956" s="83"/>
      <c r="R956" s="83"/>
      <c r="S956" s="83"/>
      <c r="T956" s="83"/>
      <c r="U956" s="83"/>
      <c r="V956" s="83"/>
      <c r="W956" s="83"/>
      <c r="X956" s="83"/>
      <c r="Y956" s="83"/>
      <c r="Z956" s="83"/>
      <c r="AA956" s="83"/>
      <c r="AB956" s="83"/>
      <c r="AC956" s="83"/>
      <c r="AD956" s="83"/>
    </row>
    <row r="957">
      <c r="A957" s="83"/>
      <c r="B957" s="83"/>
      <c r="C957" s="83"/>
      <c r="D957" s="83"/>
      <c r="E957" s="118"/>
      <c r="F957" s="118"/>
      <c r="G957" s="83"/>
      <c r="H957" s="83"/>
      <c r="I957" s="83"/>
      <c r="J957" s="83"/>
      <c r="K957" s="83"/>
      <c r="L957" s="83"/>
      <c r="M957" s="83"/>
      <c r="N957" s="83"/>
      <c r="O957" s="83"/>
      <c r="P957" s="83"/>
      <c r="Q957" s="83"/>
      <c r="R957" s="83"/>
      <c r="S957" s="83"/>
      <c r="T957" s="83"/>
      <c r="U957" s="83"/>
      <c r="V957" s="83"/>
      <c r="W957" s="83"/>
      <c r="X957" s="83"/>
      <c r="Y957" s="83"/>
      <c r="Z957" s="83"/>
      <c r="AA957" s="83"/>
      <c r="AB957" s="83"/>
      <c r="AC957" s="83"/>
      <c r="AD957" s="83"/>
    </row>
    <row r="958">
      <c r="A958" s="83"/>
      <c r="B958" s="83"/>
      <c r="C958" s="83"/>
      <c r="D958" s="83"/>
      <c r="E958" s="118"/>
      <c r="F958" s="118"/>
      <c r="G958" s="83"/>
      <c r="H958" s="83"/>
      <c r="I958" s="83"/>
      <c r="J958" s="83"/>
      <c r="K958" s="83"/>
      <c r="L958" s="83"/>
      <c r="M958" s="83"/>
      <c r="N958" s="83"/>
      <c r="O958" s="83"/>
      <c r="P958" s="83"/>
      <c r="Q958" s="83"/>
      <c r="R958" s="83"/>
      <c r="S958" s="83"/>
      <c r="T958" s="83"/>
      <c r="U958" s="83"/>
      <c r="V958" s="83"/>
      <c r="W958" s="83"/>
      <c r="X958" s="83"/>
      <c r="Y958" s="83"/>
      <c r="Z958" s="83"/>
      <c r="AA958" s="83"/>
      <c r="AB958" s="83"/>
      <c r="AC958" s="83"/>
      <c r="AD958" s="83"/>
    </row>
    <row r="959">
      <c r="A959" s="83"/>
      <c r="B959" s="83"/>
      <c r="C959" s="83"/>
      <c r="D959" s="83"/>
      <c r="E959" s="118"/>
      <c r="F959" s="118"/>
      <c r="G959" s="83"/>
      <c r="H959" s="83"/>
      <c r="I959" s="83"/>
      <c r="J959" s="83"/>
      <c r="K959" s="83"/>
      <c r="L959" s="83"/>
      <c r="M959" s="83"/>
      <c r="N959" s="83"/>
      <c r="O959" s="83"/>
      <c r="P959" s="83"/>
      <c r="Q959" s="83"/>
      <c r="R959" s="83"/>
      <c r="S959" s="83"/>
      <c r="T959" s="83"/>
      <c r="U959" s="83"/>
      <c r="V959" s="83"/>
      <c r="W959" s="83"/>
      <c r="X959" s="83"/>
      <c r="Y959" s="83"/>
      <c r="Z959" s="83"/>
      <c r="AA959" s="83"/>
      <c r="AB959" s="83"/>
      <c r="AC959" s="83"/>
      <c r="AD959" s="83"/>
    </row>
    <row r="960">
      <c r="A960" s="83"/>
      <c r="B960" s="83"/>
      <c r="C960" s="83"/>
      <c r="D960" s="83"/>
      <c r="E960" s="118"/>
      <c r="F960" s="118"/>
      <c r="G960" s="83"/>
      <c r="H960" s="83"/>
      <c r="I960" s="83"/>
      <c r="J960" s="83"/>
      <c r="K960" s="83"/>
      <c r="L960" s="83"/>
      <c r="M960" s="83"/>
      <c r="N960" s="83"/>
      <c r="O960" s="83"/>
      <c r="P960" s="83"/>
      <c r="Q960" s="83"/>
      <c r="R960" s="83"/>
      <c r="S960" s="83"/>
      <c r="T960" s="83"/>
      <c r="U960" s="83"/>
      <c r="V960" s="83"/>
      <c r="W960" s="83"/>
      <c r="X960" s="83"/>
      <c r="Y960" s="83"/>
      <c r="Z960" s="83"/>
      <c r="AA960" s="83"/>
      <c r="AB960" s="83"/>
      <c r="AC960" s="83"/>
      <c r="AD960" s="83"/>
    </row>
    <row r="961">
      <c r="A961" s="83"/>
      <c r="B961" s="83"/>
      <c r="C961" s="83"/>
      <c r="D961" s="83"/>
      <c r="E961" s="118"/>
      <c r="F961" s="118"/>
      <c r="G961" s="83"/>
      <c r="H961" s="83"/>
      <c r="I961" s="83"/>
      <c r="J961" s="83"/>
      <c r="K961" s="83"/>
      <c r="L961" s="83"/>
      <c r="M961" s="83"/>
      <c r="N961" s="83"/>
      <c r="O961" s="83"/>
      <c r="P961" s="83"/>
      <c r="Q961" s="83"/>
      <c r="R961" s="83"/>
      <c r="S961" s="83"/>
      <c r="T961" s="83"/>
      <c r="U961" s="83"/>
      <c r="V961" s="83"/>
      <c r="W961" s="83"/>
      <c r="X961" s="83"/>
      <c r="Y961" s="83"/>
      <c r="Z961" s="83"/>
      <c r="AA961" s="83"/>
      <c r="AB961" s="83"/>
      <c r="AC961" s="83"/>
      <c r="AD961" s="83"/>
    </row>
    <row r="962">
      <c r="A962" s="83"/>
      <c r="B962" s="83"/>
      <c r="C962" s="83"/>
      <c r="D962" s="83"/>
      <c r="E962" s="118"/>
      <c r="F962" s="118"/>
      <c r="G962" s="83"/>
      <c r="H962" s="83"/>
      <c r="I962" s="83"/>
      <c r="J962" s="83"/>
      <c r="K962" s="83"/>
      <c r="L962" s="83"/>
      <c r="M962" s="83"/>
      <c r="N962" s="83"/>
      <c r="O962" s="83"/>
      <c r="P962" s="83"/>
      <c r="Q962" s="83"/>
      <c r="R962" s="83"/>
      <c r="S962" s="83"/>
      <c r="T962" s="83"/>
      <c r="U962" s="83"/>
      <c r="V962" s="83"/>
      <c r="W962" s="83"/>
      <c r="X962" s="83"/>
      <c r="Y962" s="83"/>
      <c r="Z962" s="83"/>
      <c r="AA962" s="83"/>
      <c r="AB962" s="83"/>
      <c r="AC962" s="83"/>
      <c r="AD962" s="83"/>
    </row>
    <row r="963">
      <c r="A963" s="83"/>
      <c r="B963" s="83"/>
      <c r="C963" s="83"/>
      <c r="D963" s="83"/>
      <c r="E963" s="118"/>
      <c r="F963" s="118"/>
      <c r="G963" s="83"/>
      <c r="H963" s="83"/>
      <c r="I963" s="83"/>
      <c r="J963" s="83"/>
      <c r="K963" s="83"/>
      <c r="L963" s="83"/>
      <c r="M963" s="83"/>
      <c r="N963" s="83"/>
      <c r="O963" s="83"/>
      <c r="P963" s="83"/>
      <c r="Q963" s="83"/>
      <c r="R963" s="83"/>
      <c r="S963" s="83"/>
      <c r="T963" s="83"/>
      <c r="U963" s="83"/>
      <c r="V963" s="83"/>
      <c r="W963" s="83"/>
      <c r="X963" s="83"/>
      <c r="Y963" s="83"/>
      <c r="Z963" s="83"/>
      <c r="AA963" s="83"/>
      <c r="AB963" s="83"/>
      <c r="AC963" s="83"/>
      <c r="AD963" s="83"/>
    </row>
    <row r="964">
      <c r="A964" s="83"/>
      <c r="B964" s="83"/>
      <c r="C964" s="83"/>
      <c r="D964" s="83"/>
      <c r="E964" s="118"/>
      <c r="F964" s="118"/>
      <c r="G964" s="83"/>
      <c r="H964" s="83"/>
      <c r="I964" s="83"/>
      <c r="J964" s="83"/>
      <c r="K964" s="83"/>
      <c r="L964" s="83"/>
      <c r="M964" s="83"/>
      <c r="N964" s="83"/>
      <c r="O964" s="83"/>
      <c r="P964" s="83"/>
      <c r="Q964" s="83"/>
      <c r="R964" s="83"/>
      <c r="S964" s="83"/>
      <c r="T964" s="83"/>
      <c r="U964" s="83"/>
      <c r="V964" s="83"/>
      <c r="W964" s="83"/>
      <c r="X964" s="83"/>
      <c r="Y964" s="83"/>
      <c r="Z964" s="83"/>
      <c r="AA964" s="83"/>
      <c r="AB964" s="83"/>
      <c r="AC964" s="83"/>
      <c r="AD964" s="83"/>
    </row>
    <row r="965">
      <c r="A965" s="83"/>
      <c r="B965" s="83"/>
      <c r="C965" s="83"/>
      <c r="D965" s="83"/>
      <c r="E965" s="118"/>
      <c r="F965" s="118"/>
      <c r="G965" s="83"/>
      <c r="H965" s="83"/>
      <c r="I965" s="83"/>
      <c r="J965" s="83"/>
      <c r="K965" s="83"/>
      <c r="L965" s="83"/>
      <c r="M965" s="83"/>
      <c r="N965" s="83"/>
      <c r="O965" s="83"/>
      <c r="P965" s="83"/>
      <c r="Q965" s="83"/>
      <c r="R965" s="83"/>
      <c r="S965" s="83"/>
      <c r="T965" s="83"/>
      <c r="U965" s="83"/>
      <c r="V965" s="83"/>
      <c r="W965" s="83"/>
      <c r="X965" s="83"/>
      <c r="Y965" s="83"/>
      <c r="Z965" s="83"/>
      <c r="AA965" s="83"/>
      <c r="AB965" s="83"/>
      <c r="AC965" s="83"/>
      <c r="AD965" s="83"/>
    </row>
    <row r="966">
      <c r="A966" s="83"/>
      <c r="B966" s="83"/>
      <c r="C966" s="83"/>
      <c r="D966" s="83"/>
      <c r="E966" s="118"/>
      <c r="F966" s="118"/>
      <c r="G966" s="83"/>
      <c r="H966" s="83"/>
      <c r="I966" s="83"/>
      <c r="J966" s="83"/>
      <c r="K966" s="83"/>
      <c r="L966" s="83"/>
      <c r="M966" s="83"/>
      <c r="N966" s="83"/>
      <c r="O966" s="83"/>
      <c r="P966" s="83"/>
      <c r="Q966" s="83"/>
      <c r="R966" s="83"/>
      <c r="S966" s="83"/>
      <c r="T966" s="83"/>
      <c r="U966" s="83"/>
      <c r="V966" s="83"/>
      <c r="W966" s="83"/>
      <c r="X966" s="83"/>
      <c r="Y966" s="83"/>
      <c r="Z966" s="83"/>
      <c r="AA966" s="83"/>
      <c r="AB966" s="83"/>
      <c r="AC966" s="83"/>
      <c r="AD966" s="83"/>
    </row>
    <row r="967">
      <c r="A967" s="83"/>
      <c r="B967" s="83"/>
      <c r="C967" s="83"/>
      <c r="D967" s="83"/>
      <c r="E967" s="118"/>
      <c r="F967" s="118"/>
      <c r="G967" s="83"/>
      <c r="H967" s="83"/>
      <c r="I967" s="83"/>
      <c r="J967" s="83"/>
      <c r="K967" s="83"/>
      <c r="L967" s="83"/>
      <c r="M967" s="83"/>
      <c r="N967" s="83"/>
      <c r="O967" s="83"/>
      <c r="P967" s="83"/>
      <c r="Q967" s="83"/>
      <c r="R967" s="83"/>
      <c r="S967" s="83"/>
      <c r="T967" s="83"/>
      <c r="U967" s="83"/>
      <c r="V967" s="83"/>
      <c r="W967" s="83"/>
      <c r="X967" s="83"/>
      <c r="Y967" s="83"/>
      <c r="Z967" s="83"/>
      <c r="AA967" s="83"/>
      <c r="AB967" s="83"/>
      <c r="AC967" s="83"/>
      <c r="AD967" s="83"/>
    </row>
    <row r="968">
      <c r="A968" s="83"/>
      <c r="B968" s="83"/>
      <c r="C968" s="83"/>
      <c r="D968" s="83"/>
      <c r="E968" s="118"/>
      <c r="F968" s="118"/>
      <c r="G968" s="83"/>
      <c r="H968" s="83"/>
      <c r="I968" s="83"/>
      <c r="J968" s="83"/>
      <c r="K968" s="83"/>
      <c r="L968" s="83"/>
      <c r="M968" s="83"/>
      <c r="N968" s="83"/>
      <c r="O968" s="83"/>
      <c r="P968" s="83"/>
      <c r="Q968" s="83"/>
      <c r="R968" s="83"/>
      <c r="S968" s="83"/>
      <c r="T968" s="83"/>
      <c r="U968" s="83"/>
      <c r="V968" s="83"/>
      <c r="W968" s="83"/>
      <c r="X968" s="83"/>
      <c r="Y968" s="83"/>
      <c r="Z968" s="83"/>
      <c r="AA968" s="83"/>
      <c r="AB968" s="83"/>
      <c r="AC968" s="83"/>
      <c r="AD968" s="83"/>
    </row>
    <row r="969">
      <c r="A969" s="83"/>
      <c r="B969" s="83"/>
      <c r="C969" s="83"/>
      <c r="D969" s="83"/>
      <c r="E969" s="118"/>
      <c r="F969" s="118"/>
      <c r="G969" s="83"/>
      <c r="H969" s="83"/>
      <c r="I969" s="83"/>
      <c r="J969" s="83"/>
      <c r="K969" s="83"/>
      <c r="L969" s="83"/>
      <c r="M969" s="83"/>
      <c r="N969" s="83"/>
      <c r="O969" s="83"/>
      <c r="P969" s="83"/>
      <c r="Q969" s="83"/>
      <c r="R969" s="83"/>
      <c r="S969" s="83"/>
      <c r="T969" s="83"/>
      <c r="U969" s="83"/>
      <c r="V969" s="83"/>
      <c r="W969" s="83"/>
      <c r="X969" s="83"/>
      <c r="Y969" s="83"/>
      <c r="Z969" s="83"/>
      <c r="AA969" s="83"/>
      <c r="AB969" s="83"/>
      <c r="AC969" s="83"/>
      <c r="AD969" s="83"/>
    </row>
    <row r="970">
      <c r="A970" s="83"/>
      <c r="B970" s="83"/>
      <c r="C970" s="83"/>
      <c r="D970" s="83"/>
      <c r="E970" s="118"/>
      <c r="F970" s="118"/>
      <c r="G970" s="83"/>
      <c r="H970" s="83"/>
      <c r="I970" s="83"/>
      <c r="J970" s="83"/>
      <c r="K970" s="83"/>
      <c r="L970" s="83"/>
      <c r="M970" s="83"/>
      <c r="N970" s="83"/>
      <c r="O970" s="83"/>
      <c r="P970" s="83"/>
      <c r="Q970" s="83"/>
      <c r="R970" s="83"/>
      <c r="S970" s="83"/>
      <c r="T970" s="83"/>
      <c r="U970" s="83"/>
      <c r="V970" s="83"/>
      <c r="W970" s="83"/>
      <c r="X970" s="83"/>
      <c r="Y970" s="83"/>
      <c r="Z970" s="83"/>
      <c r="AA970" s="83"/>
      <c r="AB970" s="83"/>
      <c r="AC970" s="83"/>
      <c r="AD970" s="83"/>
    </row>
    <row r="971">
      <c r="A971" s="83"/>
      <c r="B971" s="83"/>
      <c r="C971" s="83"/>
      <c r="D971" s="83"/>
      <c r="E971" s="118"/>
      <c r="F971" s="118"/>
      <c r="G971" s="83"/>
      <c r="H971" s="83"/>
      <c r="I971" s="83"/>
      <c r="J971" s="83"/>
      <c r="K971" s="83"/>
      <c r="L971" s="83"/>
      <c r="M971" s="83"/>
      <c r="N971" s="83"/>
      <c r="O971" s="83"/>
      <c r="P971" s="83"/>
      <c r="Q971" s="83"/>
      <c r="R971" s="83"/>
      <c r="S971" s="83"/>
      <c r="T971" s="83"/>
      <c r="U971" s="83"/>
      <c r="V971" s="83"/>
      <c r="W971" s="83"/>
      <c r="X971" s="83"/>
      <c r="Y971" s="83"/>
      <c r="Z971" s="83"/>
      <c r="AA971" s="83"/>
      <c r="AB971" s="83"/>
      <c r="AC971" s="83"/>
      <c r="AD971" s="83"/>
    </row>
    <row r="972">
      <c r="A972" s="83"/>
      <c r="B972" s="83"/>
      <c r="C972" s="83"/>
      <c r="D972" s="83"/>
      <c r="E972" s="118"/>
      <c r="F972" s="118"/>
      <c r="G972" s="83"/>
      <c r="H972" s="83"/>
      <c r="I972" s="83"/>
      <c r="J972" s="83"/>
      <c r="K972" s="83"/>
      <c r="L972" s="83"/>
      <c r="M972" s="83"/>
      <c r="N972" s="83"/>
      <c r="O972" s="83"/>
      <c r="P972" s="83"/>
      <c r="Q972" s="83"/>
      <c r="R972" s="83"/>
      <c r="S972" s="83"/>
      <c r="T972" s="83"/>
      <c r="U972" s="83"/>
      <c r="V972" s="83"/>
      <c r="W972" s="83"/>
      <c r="X972" s="83"/>
      <c r="Y972" s="83"/>
      <c r="Z972" s="83"/>
      <c r="AA972" s="83"/>
      <c r="AB972" s="83"/>
      <c r="AC972" s="83"/>
      <c r="AD972" s="83"/>
    </row>
    <row r="973">
      <c r="A973" s="83"/>
      <c r="B973" s="83"/>
      <c r="C973" s="83"/>
      <c r="D973" s="83"/>
      <c r="E973" s="118"/>
      <c r="F973" s="118"/>
      <c r="G973" s="83"/>
      <c r="H973" s="83"/>
      <c r="I973" s="83"/>
      <c r="J973" s="83"/>
      <c r="K973" s="83"/>
      <c r="L973" s="83"/>
      <c r="M973" s="83"/>
      <c r="N973" s="83"/>
      <c r="O973" s="83"/>
      <c r="P973" s="83"/>
      <c r="Q973" s="83"/>
      <c r="R973" s="83"/>
      <c r="S973" s="83"/>
      <c r="T973" s="83"/>
      <c r="U973" s="83"/>
      <c r="V973" s="83"/>
      <c r="W973" s="83"/>
      <c r="X973" s="83"/>
      <c r="Y973" s="83"/>
      <c r="Z973" s="83"/>
      <c r="AA973" s="83"/>
      <c r="AB973" s="83"/>
      <c r="AC973" s="83"/>
      <c r="AD973" s="83"/>
    </row>
    <row r="974">
      <c r="A974" s="83"/>
      <c r="B974" s="83"/>
      <c r="C974" s="83"/>
      <c r="D974" s="83"/>
      <c r="E974" s="118"/>
      <c r="F974" s="118"/>
      <c r="G974" s="83"/>
      <c r="H974" s="83"/>
      <c r="I974" s="83"/>
      <c r="J974" s="83"/>
      <c r="K974" s="83"/>
      <c r="L974" s="83"/>
      <c r="M974" s="83"/>
      <c r="N974" s="83"/>
      <c r="O974" s="83"/>
      <c r="P974" s="83"/>
      <c r="Q974" s="83"/>
      <c r="R974" s="83"/>
      <c r="S974" s="83"/>
      <c r="T974" s="83"/>
      <c r="U974" s="83"/>
      <c r="V974" s="83"/>
      <c r="W974" s="83"/>
      <c r="X974" s="83"/>
      <c r="Y974" s="83"/>
      <c r="Z974" s="83"/>
      <c r="AA974" s="83"/>
      <c r="AB974" s="83"/>
      <c r="AC974" s="83"/>
      <c r="AD974" s="83"/>
    </row>
    <row r="975">
      <c r="A975" s="83"/>
      <c r="B975" s="83"/>
      <c r="C975" s="83"/>
      <c r="D975" s="83"/>
      <c r="E975" s="118"/>
      <c r="F975" s="118"/>
      <c r="G975" s="83"/>
      <c r="H975" s="83"/>
      <c r="I975" s="83"/>
      <c r="J975" s="83"/>
      <c r="K975" s="83"/>
      <c r="L975" s="83"/>
      <c r="M975" s="83"/>
      <c r="N975" s="83"/>
      <c r="O975" s="83"/>
      <c r="P975" s="83"/>
      <c r="Q975" s="83"/>
      <c r="R975" s="83"/>
      <c r="S975" s="83"/>
      <c r="T975" s="83"/>
      <c r="U975" s="83"/>
      <c r="V975" s="83"/>
      <c r="W975" s="83"/>
      <c r="X975" s="83"/>
      <c r="Y975" s="83"/>
      <c r="Z975" s="83"/>
      <c r="AA975" s="83"/>
      <c r="AB975" s="83"/>
      <c r="AC975" s="83"/>
      <c r="AD975" s="83"/>
    </row>
    <row r="976">
      <c r="A976" s="83"/>
      <c r="B976" s="83"/>
      <c r="C976" s="83"/>
      <c r="D976" s="83"/>
      <c r="E976" s="118"/>
      <c r="F976" s="118"/>
      <c r="G976" s="83"/>
      <c r="H976" s="83"/>
      <c r="I976" s="83"/>
      <c r="J976" s="83"/>
      <c r="K976" s="83"/>
      <c r="L976" s="83"/>
      <c r="M976" s="83"/>
      <c r="N976" s="83"/>
      <c r="O976" s="83"/>
      <c r="P976" s="83"/>
      <c r="Q976" s="83"/>
      <c r="R976" s="83"/>
      <c r="S976" s="83"/>
      <c r="T976" s="83"/>
      <c r="U976" s="83"/>
      <c r="V976" s="83"/>
      <c r="W976" s="83"/>
      <c r="X976" s="83"/>
      <c r="Y976" s="83"/>
      <c r="Z976" s="83"/>
      <c r="AA976" s="83"/>
      <c r="AB976" s="83"/>
      <c r="AC976" s="83"/>
      <c r="AD976" s="83"/>
    </row>
    <row r="977">
      <c r="A977" s="83"/>
      <c r="B977" s="83"/>
      <c r="C977" s="83"/>
      <c r="D977" s="83"/>
      <c r="E977" s="118"/>
      <c r="F977" s="118"/>
      <c r="G977" s="83"/>
      <c r="H977" s="83"/>
      <c r="I977" s="83"/>
      <c r="J977" s="83"/>
      <c r="K977" s="83"/>
      <c r="L977" s="83"/>
      <c r="M977" s="83"/>
      <c r="N977" s="83"/>
      <c r="O977" s="83"/>
      <c r="P977" s="83"/>
      <c r="Q977" s="83"/>
      <c r="R977" s="83"/>
      <c r="S977" s="83"/>
      <c r="T977" s="83"/>
      <c r="U977" s="83"/>
      <c r="V977" s="83"/>
      <c r="W977" s="83"/>
      <c r="X977" s="83"/>
      <c r="Y977" s="83"/>
      <c r="Z977" s="83"/>
      <c r="AA977" s="83"/>
      <c r="AB977" s="83"/>
      <c r="AC977" s="83"/>
      <c r="AD977" s="83"/>
    </row>
    <row r="978">
      <c r="A978" s="83"/>
      <c r="B978" s="83"/>
      <c r="C978" s="83"/>
      <c r="D978" s="83"/>
      <c r="E978" s="118"/>
      <c r="F978" s="118"/>
      <c r="G978" s="83"/>
      <c r="H978" s="83"/>
      <c r="I978" s="83"/>
      <c r="J978" s="83"/>
      <c r="K978" s="83"/>
      <c r="L978" s="83"/>
      <c r="M978" s="83"/>
      <c r="N978" s="83"/>
      <c r="O978" s="83"/>
      <c r="P978" s="83"/>
      <c r="Q978" s="83"/>
      <c r="R978" s="83"/>
      <c r="S978" s="83"/>
      <c r="T978" s="83"/>
      <c r="U978" s="83"/>
      <c r="V978" s="83"/>
      <c r="W978" s="83"/>
      <c r="X978" s="83"/>
      <c r="Y978" s="83"/>
      <c r="Z978" s="83"/>
      <c r="AA978" s="83"/>
      <c r="AB978" s="83"/>
      <c r="AC978" s="83"/>
      <c r="AD978" s="83"/>
    </row>
    <row r="979">
      <c r="A979" s="83"/>
      <c r="B979" s="83"/>
      <c r="C979" s="83"/>
      <c r="D979" s="83"/>
      <c r="E979" s="118"/>
      <c r="F979" s="118"/>
      <c r="G979" s="83"/>
      <c r="H979" s="83"/>
      <c r="I979" s="83"/>
      <c r="J979" s="83"/>
      <c r="K979" s="83"/>
      <c r="L979" s="83"/>
      <c r="M979" s="83"/>
      <c r="N979" s="83"/>
      <c r="O979" s="83"/>
      <c r="P979" s="83"/>
      <c r="Q979" s="83"/>
      <c r="R979" s="83"/>
      <c r="S979" s="83"/>
      <c r="T979" s="83"/>
      <c r="U979" s="83"/>
      <c r="V979" s="83"/>
      <c r="W979" s="83"/>
      <c r="X979" s="83"/>
      <c r="Y979" s="83"/>
      <c r="Z979" s="83"/>
      <c r="AA979" s="83"/>
      <c r="AB979" s="83"/>
      <c r="AC979" s="83"/>
      <c r="AD979" s="83"/>
    </row>
    <row r="980">
      <c r="A980" s="83"/>
      <c r="B980" s="83"/>
      <c r="C980" s="83"/>
      <c r="D980" s="83"/>
      <c r="E980" s="118"/>
      <c r="F980" s="118"/>
      <c r="G980" s="83"/>
      <c r="H980" s="83"/>
      <c r="I980" s="83"/>
      <c r="J980" s="83"/>
      <c r="K980" s="83"/>
      <c r="L980" s="83"/>
      <c r="M980" s="83"/>
      <c r="N980" s="83"/>
      <c r="O980" s="83"/>
      <c r="P980" s="83"/>
      <c r="Q980" s="83"/>
      <c r="R980" s="83"/>
      <c r="S980" s="83"/>
      <c r="T980" s="83"/>
      <c r="U980" s="83"/>
      <c r="V980" s="83"/>
      <c r="W980" s="83"/>
      <c r="X980" s="83"/>
      <c r="Y980" s="83"/>
      <c r="Z980" s="83"/>
      <c r="AA980" s="83"/>
      <c r="AB980" s="83"/>
      <c r="AC980" s="83"/>
      <c r="AD980" s="83"/>
    </row>
    <row r="981">
      <c r="A981" s="83"/>
      <c r="B981" s="83"/>
      <c r="C981" s="83"/>
      <c r="D981" s="83"/>
      <c r="E981" s="118"/>
      <c r="F981" s="118"/>
      <c r="G981" s="83"/>
      <c r="H981" s="83"/>
      <c r="I981" s="83"/>
      <c r="J981" s="83"/>
      <c r="K981" s="83"/>
      <c r="L981" s="83"/>
      <c r="M981" s="83"/>
      <c r="N981" s="83"/>
      <c r="O981" s="83"/>
      <c r="P981" s="83"/>
      <c r="Q981" s="83"/>
      <c r="R981" s="83"/>
      <c r="S981" s="83"/>
      <c r="T981" s="83"/>
      <c r="U981" s="83"/>
      <c r="V981" s="83"/>
      <c r="W981" s="83"/>
      <c r="X981" s="83"/>
      <c r="Y981" s="83"/>
      <c r="Z981" s="83"/>
      <c r="AA981" s="83"/>
      <c r="AB981" s="83"/>
      <c r="AC981" s="83"/>
      <c r="AD981" s="83"/>
    </row>
    <row r="982">
      <c r="A982" s="83"/>
      <c r="B982" s="83"/>
      <c r="C982" s="83"/>
      <c r="D982" s="83"/>
      <c r="E982" s="118"/>
      <c r="F982" s="118"/>
      <c r="G982" s="83"/>
      <c r="H982" s="83"/>
      <c r="I982" s="83"/>
      <c r="J982" s="83"/>
      <c r="K982" s="83"/>
      <c r="L982" s="83"/>
      <c r="M982" s="83"/>
      <c r="N982" s="83"/>
      <c r="O982" s="83"/>
      <c r="P982" s="83"/>
      <c r="Q982" s="83"/>
      <c r="R982" s="83"/>
      <c r="S982" s="83"/>
      <c r="T982" s="83"/>
      <c r="U982" s="83"/>
      <c r="V982" s="83"/>
      <c r="W982" s="83"/>
      <c r="X982" s="83"/>
      <c r="Y982" s="83"/>
      <c r="Z982" s="83"/>
      <c r="AA982" s="83"/>
      <c r="AB982" s="83"/>
      <c r="AC982" s="83"/>
      <c r="AD982" s="83"/>
    </row>
    <row r="983">
      <c r="A983" s="83"/>
      <c r="B983" s="83"/>
      <c r="C983" s="83"/>
      <c r="D983" s="83"/>
      <c r="E983" s="118"/>
      <c r="F983" s="118"/>
      <c r="G983" s="83"/>
      <c r="H983" s="83"/>
      <c r="I983" s="83"/>
      <c r="J983" s="83"/>
      <c r="K983" s="83"/>
      <c r="L983" s="83"/>
      <c r="M983" s="83"/>
      <c r="N983" s="83"/>
      <c r="O983" s="83"/>
      <c r="P983" s="83"/>
      <c r="Q983" s="83"/>
      <c r="R983" s="83"/>
      <c r="S983" s="83"/>
      <c r="T983" s="83"/>
      <c r="U983" s="83"/>
      <c r="V983" s="83"/>
      <c r="W983" s="83"/>
      <c r="X983" s="83"/>
      <c r="Y983" s="83"/>
      <c r="Z983" s="83"/>
      <c r="AA983" s="83"/>
      <c r="AB983" s="83"/>
      <c r="AC983" s="83"/>
      <c r="AD983" s="83"/>
    </row>
    <row r="984">
      <c r="A984" s="83"/>
      <c r="B984" s="83"/>
      <c r="C984" s="83"/>
      <c r="D984" s="83"/>
      <c r="E984" s="118"/>
      <c r="F984" s="118"/>
      <c r="G984" s="83"/>
      <c r="H984" s="83"/>
      <c r="I984" s="83"/>
      <c r="J984" s="83"/>
      <c r="K984" s="83"/>
      <c r="L984" s="83"/>
      <c r="M984" s="83"/>
      <c r="N984" s="83"/>
      <c r="O984" s="83"/>
      <c r="P984" s="83"/>
      <c r="Q984" s="83"/>
      <c r="R984" s="83"/>
      <c r="S984" s="83"/>
      <c r="T984" s="83"/>
      <c r="U984" s="83"/>
      <c r="V984" s="83"/>
      <c r="W984" s="83"/>
      <c r="X984" s="83"/>
      <c r="Y984" s="83"/>
      <c r="Z984" s="83"/>
      <c r="AA984" s="83"/>
      <c r="AB984" s="83"/>
      <c r="AC984" s="83"/>
      <c r="AD984" s="83"/>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0"/>
  <cols>
    <col customWidth="1" min="1" max="1" width="14.38"/>
    <col customWidth="1" min="2" max="2" width="22.75"/>
    <col customWidth="1" min="3" max="4" width="3.13"/>
    <col customWidth="1" min="5" max="5" width="20.88"/>
    <col customWidth="1" min="6" max="6" width="3.0"/>
    <col customWidth="1" min="7" max="7" width="12.38"/>
    <col customWidth="1" min="8" max="8" width="14.75"/>
    <col customWidth="1" min="9" max="9" width="21.75"/>
    <col customWidth="1" min="10" max="10" width="3.0"/>
    <col customWidth="1" min="11" max="11" width="16.13"/>
    <col customWidth="1" min="12" max="13" width="16.88"/>
    <col customWidth="1" min="14" max="24" width="3.13"/>
  </cols>
  <sheetData>
    <row r="1" ht="27.75" customHeight="1">
      <c r="A1" s="190"/>
      <c r="O1" s="546"/>
      <c r="P1" s="547"/>
      <c r="Q1" s="547"/>
      <c r="R1" s="547"/>
      <c r="S1" s="547"/>
      <c r="T1" s="547"/>
      <c r="U1" s="547"/>
      <c r="V1" s="547"/>
      <c r="W1" s="547"/>
      <c r="X1" s="548"/>
      <c r="Y1" s="549"/>
      <c r="Z1" s="549"/>
      <c r="AA1" s="549"/>
      <c r="AB1" s="549"/>
      <c r="AC1" s="549"/>
      <c r="AD1" s="549"/>
      <c r="AE1" s="549"/>
      <c r="AF1" s="549"/>
      <c r="AG1" s="549"/>
      <c r="AH1" s="549"/>
      <c r="AI1" s="549"/>
      <c r="AJ1" s="549"/>
      <c r="AK1" s="549"/>
    </row>
    <row r="2" ht="62.25" customHeight="1">
      <c r="A2" s="190" t="s">
        <v>1403</v>
      </c>
      <c r="B2" s="190" t="s">
        <v>1414</v>
      </c>
      <c r="C2" s="550" t="s">
        <v>1415</v>
      </c>
      <c r="D2" s="184" t="s">
        <v>1413</v>
      </c>
      <c r="E2" s="309" t="s">
        <v>2815</v>
      </c>
      <c r="H2" s="309" t="s">
        <v>2816</v>
      </c>
      <c r="I2" s="309" t="s">
        <v>2817</v>
      </c>
      <c r="K2" s="309" t="s">
        <v>2818</v>
      </c>
      <c r="L2" s="309" t="s">
        <v>1420</v>
      </c>
      <c r="M2" s="309" t="s">
        <v>2793</v>
      </c>
      <c r="N2" s="184" t="s">
        <v>1419</v>
      </c>
      <c r="O2" s="551" t="s">
        <v>2555</v>
      </c>
      <c r="P2" s="184" t="s">
        <v>2556</v>
      </c>
      <c r="Q2" s="184" t="s">
        <v>2557</v>
      </c>
      <c r="R2" s="184" t="s">
        <v>2558</v>
      </c>
      <c r="S2" s="184" t="s">
        <v>1930</v>
      </c>
      <c r="T2" s="184" t="s">
        <v>2559</v>
      </c>
      <c r="U2" s="184" t="s">
        <v>2560</v>
      </c>
      <c r="V2" s="184" t="s">
        <v>2561</v>
      </c>
      <c r="W2" s="184" t="s">
        <v>1393</v>
      </c>
      <c r="X2" s="552" t="s">
        <v>2562</v>
      </c>
      <c r="Y2" s="549"/>
      <c r="Z2" s="549"/>
      <c r="AA2" s="549"/>
      <c r="AB2" s="549"/>
      <c r="AC2" s="549"/>
      <c r="AD2" s="549"/>
      <c r="AE2" s="549"/>
      <c r="AF2" s="549"/>
      <c r="AG2" s="549"/>
      <c r="AH2" s="549"/>
      <c r="AI2" s="549"/>
      <c r="AJ2" s="549"/>
      <c r="AK2" s="549"/>
    </row>
    <row r="3">
      <c r="E3" s="309" t="s">
        <v>1421</v>
      </c>
      <c r="F3" s="309" t="s">
        <v>436</v>
      </c>
      <c r="G3" s="309" t="s">
        <v>1484</v>
      </c>
      <c r="H3" s="309" t="s">
        <v>436</v>
      </c>
      <c r="I3" s="309" t="s">
        <v>1421</v>
      </c>
      <c r="J3" s="309" t="s">
        <v>436</v>
      </c>
      <c r="K3" s="309" t="s">
        <v>436</v>
      </c>
      <c r="L3" s="309"/>
      <c r="M3" s="309"/>
      <c r="N3" s="184"/>
      <c r="O3" s="551"/>
      <c r="P3" s="184"/>
      <c r="Q3" s="184"/>
      <c r="R3" s="184"/>
      <c r="S3" s="184"/>
      <c r="T3" s="184"/>
      <c r="U3" s="184"/>
      <c r="V3" s="184"/>
      <c r="W3" s="184"/>
      <c r="X3" s="552"/>
      <c r="Y3" s="549"/>
      <c r="Z3" s="549"/>
      <c r="AA3" s="549"/>
      <c r="AB3" s="549"/>
      <c r="AC3" s="549"/>
      <c r="AD3" s="549"/>
      <c r="AE3" s="549"/>
      <c r="AF3" s="549"/>
      <c r="AG3" s="549"/>
      <c r="AH3" s="549"/>
      <c r="AI3" s="549"/>
      <c r="AJ3" s="549"/>
      <c r="AK3" s="549"/>
    </row>
    <row r="4">
      <c r="A4" s="65" t="s">
        <v>908</v>
      </c>
      <c r="B4" s="65" t="s">
        <v>2771</v>
      </c>
      <c r="C4" s="65">
        <v>1.0</v>
      </c>
      <c r="D4" s="65">
        <v>1.0</v>
      </c>
      <c r="E4" s="134"/>
      <c r="F4" s="134">
        <v>1.0</v>
      </c>
      <c r="G4" s="134"/>
      <c r="H4" s="134">
        <v>1.0</v>
      </c>
      <c r="I4" s="134"/>
      <c r="J4" s="134">
        <v>1.0</v>
      </c>
      <c r="K4" s="134">
        <v>1.0</v>
      </c>
      <c r="L4" s="134"/>
      <c r="M4" s="134" t="s">
        <v>2794</v>
      </c>
      <c r="N4" s="65">
        <v>0.0</v>
      </c>
      <c r="O4" s="219"/>
      <c r="P4" s="83"/>
      <c r="Q4" s="83"/>
      <c r="R4" s="83"/>
      <c r="S4" s="83"/>
      <c r="T4" s="83"/>
      <c r="U4" s="83"/>
      <c r="V4" s="83"/>
      <c r="W4" s="83"/>
      <c r="X4" s="261"/>
      <c r="Y4" s="83"/>
      <c r="Z4" s="83"/>
      <c r="AA4" s="83"/>
      <c r="AB4" s="83"/>
      <c r="AC4" s="83"/>
      <c r="AD4" s="83"/>
      <c r="AE4" s="83"/>
      <c r="AF4" s="83"/>
      <c r="AG4" s="83"/>
      <c r="AH4" s="83"/>
      <c r="AI4" s="83"/>
      <c r="AJ4" s="83"/>
      <c r="AK4" s="83"/>
    </row>
    <row r="5">
      <c r="A5" s="65" t="s">
        <v>908</v>
      </c>
      <c r="B5" s="65" t="s">
        <v>2795</v>
      </c>
      <c r="C5" s="65">
        <v>1.0</v>
      </c>
      <c r="D5" s="65">
        <v>1.0</v>
      </c>
      <c r="E5" s="553"/>
      <c r="F5" s="553"/>
      <c r="G5" s="553"/>
      <c r="H5" s="553"/>
      <c r="I5" s="553"/>
      <c r="J5" s="553"/>
      <c r="K5" s="553"/>
      <c r="L5" s="553"/>
      <c r="M5" s="134" t="s">
        <v>1462</v>
      </c>
      <c r="N5" s="65">
        <v>1.0</v>
      </c>
      <c r="O5" s="219"/>
      <c r="P5" s="83"/>
      <c r="Q5" s="65" t="s">
        <v>2572</v>
      </c>
      <c r="R5" s="83"/>
      <c r="S5" s="83"/>
      <c r="T5" s="83"/>
      <c r="U5" s="83"/>
      <c r="V5" s="83"/>
      <c r="W5" s="83"/>
      <c r="X5" s="261"/>
      <c r="Y5" s="83"/>
      <c r="Z5" s="83"/>
      <c r="AA5" s="83"/>
      <c r="AB5" s="83"/>
      <c r="AC5" s="83"/>
      <c r="AD5" s="83"/>
      <c r="AE5" s="83"/>
      <c r="AF5" s="83"/>
      <c r="AG5" s="83"/>
      <c r="AH5" s="83"/>
      <c r="AI5" s="83"/>
      <c r="AJ5" s="83"/>
      <c r="AK5" s="83"/>
    </row>
    <row r="6">
      <c r="A6" s="65" t="s">
        <v>908</v>
      </c>
      <c r="B6" s="65" t="s">
        <v>2795</v>
      </c>
      <c r="C6" s="65">
        <v>2.0</v>
      </c>
      <c r="D6" s="65">
        <v>1.0</v>
      </c>
      <c r="E6" s="134"/>
      <c r="F6" s="134">
        <v>1.0</v>
      </c>
      <c r="G6" s="134" t="s">
        <v>2819</v>
      </c>
      <c r="H6" s="134">
        <v>1.0</v>
      </c>
      <c r="I6" s="134"/>
      <c r="J6" s="134">
        <v>2.0</v>
      </c>
      <c r="K6" s="134">
        <v>1.0</v>
      </c>
      <c r="L6" s="554" t="s">
        <v>2717</v>
      </c>
      <c r="M6" s="134" t="s">
        <v>2796</v>
      </c>
      <c r="N6" s="65">
        <v>1.0</v>
      </c>
      <c r="O6" s="68" t="s">
        <v>2572</v>
      </c>
      <c r="P6" s="65" t="s">
        <v>2572</v>
      </c>
      <c r="Q6" s="83"/>
      <c r="R6" s="83"/>
      <c r="S6" s="83"/>
      <c r="T6" s="83"/>
      <c r="U6" s="83"/>
      <c r="V6" s="83"/>
      <c r="W6" s="83"/>
      <c r="X6" s="261"/>
      <c r="Y6" s="83"/>
      <c r="Z6" s="83"/>
      <c r="AA6" s="83"/>
      <c r="AB6" s="83"/>
      <c r="AC6" s="83"/>
      <c r="AD6" s="83"/>
      <c r="AE6" s="83"/>
      <c r="AF6" s="83"/>
      <c r="AG6" s="83"/>
      <c r="AH6" s="83"/>
      <c r="AI6" s="83"/>
      <c r="AJ6" s="83"/>
      <c r="AK6" s="83"/>
    </row>
    <row r="7">
      <c r="A7" s="65" t="s">
        <v>908</v>
      </c>
      <c r="B7" s="65" t="s">
        <v>2776</v>
      </c>
      <c r="C7" s="65">
        <v>1.0</v>
      </c>
      <c r="D7" s="65">
        <v>1.0</v>
      </c>
      <c r="E7" s="554"/>
      <c r="F7" s="554"/>
      <c r="G7" s="554"/>
      <c r="H7" s="554"/>
      <c r="I7" s="554"/>
      <c r="J7" s="554"/>
      <c r="K7" s="554"/>
      <c r="L7" s="554"/>
      <c r="M7" s="134"/>
      <c r="N7" s="65">
        <v>2.0</v>
      </c>
      <c r="O7" s="219"/>
      <c r="P7" s="83"/>
      <c r="Q7" s="65" t="s">
        <v>2572</v>
      </c>
      <c r="R7" s="83"/>
      <c r="S7" s="83"/>
      <c r="T7" s="65" t="s">
        <v>2572</v>
      </c>
      <c r="U7" s="83"/>
      <c r="V7" s="83"/>
      <c r="W7" s="65" t="s">
        <v>2572</v>
      </c>
      <c r="X7" s="261"/>
      <c r="Y7" s="83"/>
      <c r="Z7" s="83"/>
      <c r="AA7" s="83"/>
      <c r="AB7" s="83"/>
      <c r="AC7" s="83"/>
      <c r="AD7" s="83"/>
      <c r="AE7" s="83"/>
      <c r="AF7" s="83"/>
      <c r="AG7" s="83"/>
      <c r="AH7" s="83"/>
      <c r="AI7" s="83"/>
      <c r="AJ7" s="83"/>
      <c r="AK7" s="83"/>
    </row>
    <row r="8">
      <c r="A8" s="65" t="s">
        <v>908</v>
      </c>
      <c r="B8" s="65" t="s">
        <v>2776</v>
      </c>
      <c r="C8" s="65">
        <v>2.0</v>
      </c>
      <c r="D8" s="65">
        <v>1.0</v>
      </c>
      <c r="E8" s="134"/>
      <c r="F8" s="134">
        <v>1.0</v>
      </c>
      <c r="G8" s="134" t="s">
        <v>2819</v>
      </c>
      <c r="H8" s="134">
        <v>1.0</v>
      </c>
      <c r="I8" s="134"/>
      <c r="J8" s="134">
        <v>2.0</v>
      </c>
      <c r="K8" s="134">
        <v>1.0</v>
      </c>
      <c r="L8" s="554" t="s">
        <v>2709</v>
      </c>
      <c r="M8" s="134" t="s">
        <v>1444</v>
      </c>
      <c r="N8" s="65">
        <v>1.0</v>
      </c>
      <c r="O8" s="68" t="s">
        <v>2572</v>
      </c>
      <c r="P8" s="83"/>
      <c r="Q8" s="65" t="s">
        <v>2572</v>
      </c>
      <c r="R8" s="83"/>
      <c r="S8" s="83"/>
      <c r="T8" s="83"/>
      <c r="U8" s="83"/>
      <c r="V8" s="83"/>
      <c r="W8" s="83"/>
      <c r="X8" s="261"/>
      <c r="Y8" s="83"/>
      <c r="Z8" s="83"/>
      <c r="AA8" s="83"/>
      <c r="AB8" s="83"/>
      <c r="AC8" s="83"/>
      <c r="AD8" s="83"/>
      <c r="AE8" s="83"/>
      <c r="AF8" s="83"/>
      <c r="AG8" s="83"/>
      <c r="AH8" s="83"/>
      <c r="AI8" s="83"/>
      <c r="AJ8" s="83"/>
      <c r="AK8" s="83"/>
    </row>
    <row r="9">
      <c r="A9" s="65" t="s">
        <v>908</v>
      </c>
      <c r="B9" s="65" t="s">
        <v>2774</v>
      </c>
      <c r="C9" s="65">
        <v>1.0</v>
      </c>
      <c r="D9" s="65">
        <v>1.0</v>
      </c>
      <c r="E9" s="554"/>
      <c r="F9" s="554"/>
      <c r="G9" s="554"/>
      <c r="H9" s="554"/>
      <c r="I9" s="554"/>
      <c r="J9" s="554"/>
      <c r="K9" s="554"/>
      <c r="L9" s="554" t="s">
        <v>2696</v>
      </c>
      <c r="M9" s="134" t="s">
        <v>2797</v>
      </c>
      <c r="N9" s="65">
        <v>1.0</v>
      </c>
      <c r="O9" s="219"/>
      <c r="P9" s="83"/>
      <c r="Q9" s="65" t="s">
        <v>2572</v>
      </c>
      <c r="R9" s="83"/>
      <c r="S9" s="65" t="s">
        <v>2572</v>
      </c>
      <c r="T9" s="65" t="s">
        <v>2572</v>
      </c>
      <c r="U9" s="83"/>
      <c r="V9" s="83"/>
      <c r="W9" s="83"/>
      <c r="X9" s="220" t="s">
        <v>2572</v>
      </c>
      <c r="Y9" s="83"/>
      <c r="Z9" s="83"/>
      <c r="AA9" s="83"/>
      <c r="AB9" s="83"/>
      <c r="AC9" s="83"/>
      <c r="AD9" s="83"/>
      <c r="AE9" s="83"/>
      <c r="AF9" s="83"/>
      <c r="AG9" s="83"/>
      <c r="AH9" s="83"/>
      <c r="AI9" s="83"/>
      <c r="AJ9" s="83"/>
      <c r="AK9" s="83"/>
    </row>
    <row r="10">
      <c r="A10" s="65" t="s">
        <v>908</v>
      </c>
      <c r="B10" s="65" t="s">
        <v>2774</v>
      </c>
      <c r="C10" s="65">
        <v>2.0</v>
      </c>
      <c r="D10" s="65">
        <v>1.0</v>
      </c>
      <c r="E10" s="134" t="s">
        <v>886</v>
      </c>
      <c r="F10" s="134">
        <v>1.0</v>
      </c>
      <c r="G10" s="134"/>
      <c r="H10" s="134">
        <v>1.0</v>
      </c>
      <c r="I10" s="134" t="s">
        <v>888</v>
      </c>
      <c r="J10" s="134">
        <v>1.0</v>
      </c>
      <c r="K10" s="134">
        <v>1.0</v>
      </c>
      <c r="L10" s="554" t="s">
        <v>2696</v>
      </c>
      <c r="M10" s="134" t="s">
        <v>1475</v>
      </c>
      <c r="N10" s="65">
        <v>3.0</v>
      </c>
      <c r="O10" s="68" t="s">
        <v>2572</v>
      </c>
      <c r="P10" s="83"/>
      <c r="Q10" s="65" t="s">
        <v>2572</v>
      </c>
      <c r="R10" s="83"/>
      <c r="S10" s="65" t="s">
        <v>2572</v>
      </c>
      <c r="T10" s="65" t="s">
        <v>2572</v>
      </c>
      <c r="U10" s="83"/>
      <c r="V10" s="83"/>
      <c r="W10" s="83"/>
      <c r="X10" s="261"/>
      <c r="Y10" s="83"/>
      <c r="Z10" s="83"/>
      <c r="AA10" s="83"/>
      <c r="AB10" s="83"/>
      <c r="AC10" s="83"/>
      <c r="AD10" s="83"/>
      <c r="AE10" s="83"/>
      <c r="AF10" s="83"/>
      <c r="AG10" s="83"/>
      <c r="AH10" s="83"/>
      <c r="AI10" s="83"/>
      <c r="AJ10" s="83"/>
      <c r="AK10" s="83"/>
    </row>
    <row r="11">
      <c r="A11" s="65" t="s">
        <v>908</v>
      </c>
      <c r="B11" s="65" t="s">
        <v>2798</v>
      </c>
      <c r="C11" s="65">
        <v>1.0</v>
      </c>
      <c r="D11" s="65">
        <v>1.0</v>
      </c>
      <c r="E11" s="554"/>
      <c r="F11" s="554"/>
      <c r="G11" s="554"/>
      <c r="H11" s="554"/>
      <c r="I11" s="554"/>
      <c r="J11" s="554"/>
      <c r="K11" s="554"/>
      <c r="L11" s="554" t="s">
        <v>2691</v>
      </c>
      <c r="M11" s="134" t="s">
        <v>1463</v>
      </c>
      <c r="N11" s="65">
        <v>2.0</v>
      </c>
      <c r="O11" s="68" t="s">
        <v>2572</v>
      </c>
      <c r="P11" s="83"/>
      <c r="Q11" s="65" t="s">
        <v>2572</v>
      </c>
      <c r="R11" s="83"/>
      <c r="S11" s="65" t="s">
        <v>2572</v>
      </c>
      <c r="T11" s="83"/>
      <c r="U11" s="83"/>
      <c r="V11" s="83"/>
      <c r="W11" s="83"/>
      <c r="X11" s="261"/>
      <c r="Y11" s="83"/>
      <c r="Z11" s="83"/>
      <c r="AA11" s="83"/>
      <c r="AB11" s="83"/>
      <c r="AC11" s="83"/>
      <c r="AD11" s="83"/>
      <c r="AE11" s="83"/>
      <c r="AF11" s="83"/>
      <c r="AG11" s="83"/>
      <c r="AH11" s="83"/>
      <c r="AI11" s="83"/>
      <c r="AJ11" s="83"/>
      <c r="AK11" s="83"/>
    </row>
    <row r="12">
      <c r="A12" s="65" t="s">
        <v>908</v>
      </c>
      <c r="B12" s="65" t="s">
        <v>2798</v>
      </c>
      <c r="C12" s="65">
        <v>2.0</v>
      </c>
      <c r="D12" s="65">
        <v>1.0</v>
      </c>
      <c r="E12" s="134" t="s">
        <v>751</v>
      </c>
      <c r="F12" s="134">
        <v>1.0</v>
      </c>
      <c r="G12" s="134"/>
      <c r="H12" s="134">
        <v>1.0</v>
      </c>
      <c r="I12" s="134" t="s">
        <v>981</v>
      </c>
      <c r="J12" s="134">
        <v>1.0</v>
      </c>
      <c r="K12" s="134">
        <v>1.0</v>
      </c>
      <c r="L12" s="554" t="s">
        <v>2691</v>
      </c>
      <c r="M12" s="134" t="s">
        <v>1461</v>
      </c>
      <c r="N12" s="65">
        <v>2.0</v>
      </c>
      <c r="O12" s="219"/>
      <c r="P12" s="65" t="s">
        <v>2572</v>
      </c>
      <c r="Q12" s="65" t="s">
        <v>2572</v>
      </c>
      <c r="R12" s="83"/>
      <c r="S12" s="65" t="s">
        <v>2572</v>
      </c>
      <c r="T12" s="65" t="s">
        <v>2572</v>
      </c>
      <c r="U12" s="83"/>
      <c r="V12" s="83"/>
      <c r="W12" s="83"/>
      <c r="X12" s="261"/>
      <c r="Y12" s="83"/>
      <c r="Z12" s="83"/>
      <c r="AA12" s="83"/>
      <c r="AB12" s="83"/>
      <c r="AC12" s="83"/>
      <c r="AD12" s="83"/>
      <c r="AE12" s="83"/>
      <c r="AF12" s="83"/>
      <c r="AG12" s="83"/>
      <c r="AH12" s="83"/>
      <c r="AI12" s="83"/>
      <c r="AJ12" s="83"/>
      <c r="AK12" s="83"/>
    </row>
    <row r="13">
      <c r="A13" s="65" t="s">
        <v>908</v>
      </c>
      <c r="B13" s="65" t="s">
        <v>2772</v>
      </c>
      <c r="C13" s="65">
        <v>1.0</v>
      </c>
      <c r="D13" s="65">
        <v>1.0</v>
      </c>
      <c r="E13" s="554"/>
      <c r="F13" s="554"/>
      <c r="G13" s="554"/>
      <c r="H13" s="554"/>
      <c r="I13" s="554"/>
      <c r="J13" s="554"/>
      <c r="K13" s="554"/>
      <c r="L13" s="554"/>
      <c r="M13" s="134" t="s">
        <v>1461</v>
      </c>
      <c r="N13" s="65">
        <v>1.0</v>
      </c>
      <c r="O13" s="555"/>
      <c r="Q13" s="240" t="s">
        <v>2572</v>
      </c>
      <c r="V13" s="240" t="s">
        <v>2572</v>
      </c>
      <c r="X13" s="556" t="s">
        <v>2572</v>
      </c>
      <c r="Z13" s="83"/>
      <c r="AA13" s="83"/>
      <c r="AB13" s="83"/>
      <c r="AC13" s="83"/>
      <c r="AD13" s="83"/>
      <c r="AE13" s="83"/>
      <c r="AF13" s="83"/>
      <c r="AG13" s="83"/>
      <c r="AH13" s="83"/>
      <c r="AI13" s="83"/>
      <c r="AJ13" s="83"/>
      <c r="AK13" s="83"/>
    </row>
    <row r="14">
      <c r="A14" s="65" t="s">
        <v>908</v>
      </c>
      <c r="B14" s="65" t="s">
        <v>2772</v>
      </c>
      <c r="C14" s="65">
        <v>2.0</v>
      </c>
      <c r="D14" s="65">
        <v>1.0</v>
      </c>
      <c r="E14" s="134" t="s">
        <v>872</v>
      </c>
      <c r="F14" s="134">
        <v>1.0</v>
      </c>
      <c r="G14" s="134"/>
      <c r="H14" s="134">
        <v>1.0</v>
      </c>
      <c r="I14" s="134" t="s">
        <v>1128</v>
      </c>
      <c r="J14" s="134">
        <v>1.0</v>
      </c>
      <c r="K14" s="134">
        <v>1.0</v>
      </c>
      <c r="L14" s="554" t="s">
        <v>2674</v>
      </c>
      <c r="M14" s="557" t="s">
        <v>2799</v>
      </c>
      <c r="N14" s="65">
        <v>1.0</v>
      </c>
      <c r="O14" s="558" t="s">
        <v>2572</v>
      </c>
      <c r="Q14" s="240" t="s">
        <v>2572</v>
      </c>
      <c r="V14" s="240" t="s">
        <v>2572</v>
      </c>
      <c r="X14" s="556" t="s">
        <v>2572</v>
      </c>
      <c r="Z14" s="83"/>
      <c r="AA14" s="83"/>
      <c r="AB14" s="83"/>
      <c r="AC14" s="83"/>
      <c r="AD14" s="83"/>
      <c r="AE14" s="83"/>
      <c r="AF14" s="83"/>
      <c r="AG14" s="83"/>
      <c r="AH14" s="83"/>
      <c r="AI14" s="83"/>
      <c r="AJ14" s="83"/>
      <c r="AK14" s="83"/>
    </row>
    <row r="15">
      <c r="A15" s="65" t="s">
        <v>908</v>
      </c>
      <c r="B15" s="65" t="s">
        <v>2800</v>
      </c>
      <c r="C15" s="65">
        <v>1.0</v>
      </c>
      <c r="D15" s="65">
        <v>1.0</v>
      </c>
      <c r="E15" s="134" t="s">
        <v>908</v>
      </c>
      <c r="F15" s="134">
        <v>1.0</v>
      </c>
      <c r="G15" s="134"/>
      <c r="H15" s="134">
        <v>1.0</v>
      </c>
      <c r="I15" s="134" t="s">
        <v>908</v>
      </c>
      <c r="J15" s="134">
        <v>1.0</v>
      </c>
      <c r="K15" s="134">
        <v>1.0</v>
      </c>
      <c r="L15" s="554" t="s">
        <v>2668</v>
      </c>
      <c r="M15" s="134"/>
      <c r="N15" s="65">
        <v>3.0</v>
      </c>
      <c r="O15" s="555"/>
      <c r="P15" s="240" t="s">
        <v>2572</v>
      </c>
      <c r="S15" s="240" t="s">
        <v>2572</v>
      </c>
      <c r="T15" s="240" t="s">
        <v>2572</v>
      </c>
      <c r="W15" s="240" t="s">
        <v>2572</v>
      </c>
      <c r="X15" s="556" t="s">
        <v>2572</v>
      </c>
      <c r="Z15" s="83"/>
      <c r="AA15" s="83"/>
      <c r="AB15" s="83"/>
      <c r="AC15" s="83"/>
      <c r="AD15" s="83"/>
      <c r="AE15" s="83"/>
      <c r="AF15" s="83"/>
      <c r="AG15" s="83"/>
      <c r="AH15" s="83"/>
      <c r="AI15" s="83"/>
      <c r="AJ15" s="83"/>
      <c r="AK15" s="83"/>
    </row>
    <row r="16">
      <c r="A16" s="65" t="s">
        <v>908</v>
      </c>
      <c r="B16" s="65" t="s">
        <v>1496</v>
      </c>
      <c r="C16" s="65">
        <v>1.0</v>
      </c>
      <c r="D16" s="65">
        <v>1.0</v>
      </c>
      <c r="E16" s="134" t="s">
        <v>908</v>
      </c>
      <c r="F16" s="134">
        <v>1.0</v>
      </c>
      <c r="G16" s="134"/>
      <c r="H16" s="134">
        <v>1.0</v>
      </c>
      <c r="I16" s="134" t="s">
        <v>908</v>
      </c>
      <c r="J16" s="134">
        <v>1.0</v>
      </c>
      <c r="K16" s="134">
        <v>1.0</v>
      </c>
      <c r="L16" s="554" t="s">
        <v>2668</v>
      </c>
      <c r="M16" s="134"/>
      <c r="N16" s="65">
        <v>3.0</v>
      </c>
      <c r="O16" s="558" t="s">
        <v>2572</v>
      </c>
      <c r="P16" s="240" t="s">
        <v>2572</v>
      </c>
      <c r="Q16" s="83"/>
      <c r="R16" s="83"/>
      <c r="S16" s="240" t="s">
        <v>2572</v>
      </c>
      <c r="T16" s="240" t="s">
        <v>2572</v>
      </c>
      <c r="U16" s="83"/>
      <c r="V16" s="83"/>
      <c r="W16" s="83"/>
      <c r="X16" s="261"/>
      <c r="Y16" s="83"/>
      <c r="Z16" s="83"/>
      <c r="AA16" s="83"/>
      <c r="AB16" s="83"/>
      <c r="AC16" s="83"/>
      <c r="AD16" s="83"/>
      <c r="AE16" s="83"/>
      <c r="AF16" s="83"/>
      <c r="AG16" s="83"/>
      <c r="AH16" s="83"/>
      <c r="AI16" s="83"/>
      <c r="AJ16" s="83"/>
      <c r="AK16" s="83"/>
    </row>
    <row r="17">
      <c r="A17" s="65" t="s">
        <v>908</v>
      </c>
      <c r="B17" s="65" t="s">
        <v>2801</v>
      </c>
      <c r="C17" s="65">
        <v>1.0</v>
      </c>
      <c r="D17" s="65">
        <v>2.0</v>
      </c>
      <c r="E17" s="554"/>
      <c r="F17" s="554"/>
      <c r="G17" s="554"/>
      <c r="H17" s="554"/>
      <c r="I17" s="554"/>
      <c r="J17" s="554"/>
      <c r="K17" s="554"/>
      <c r="L17" s="554"/>
      <c r="M17" s="134" t="s">
        <v>2802</v>
      </c>
      <c r="N17" s="65">
        <v>1.0</v>
      </c>
      <c r="O17" s="219"/>
      <c r="Q17" s="83"/>
      <c r="R17" s="83"/>
      <c r="S17" s="83"/>
      <c r="T17" s="83"/>
      <c r="U17" s="83"/>
      <c r="V17" s="240" t="s">
        <v>2572</v>
      </c>
      <c r="W17" s="240" t="s">
        <v>2572</v>
      </c>
      <c r="X17" s="556" t="s">
        <v>2572</v>
      </c>
      <c r="Y17" s="83"/>
      <c r="Z17" s="83"/>
      <c r="AA17" s="83"/>
      <c r="AB17" s="83"/>
      <c r="AC17" s="83"/>
      <c r="AD17" s="83"/>
      <c r="AE17" s="83"/>
      <c r="AF17" s="83"/>
      <c r="AG17" s="83"/>
      <c r="AH17" s="83"/>
      <c r="AI17" s="83"/>
      <c r="AJ17" s="83"/>
      <c r="AK17" s="83"/>
    </row>
    <row r="18">
      <c r="A18" s="65" t="s">
        <v>908</v>
      </c>
      <c r="B18" s="65" t="s">
        <v>2801</v>
      </c>
      <c r="C18" s="65">
        <v>2.0</v>
      </c>
      <c r="D18" s="65">
        <v>2.0</v>
      </c>
      <c r="E18" s="134" t="s">
        <v>1281</v>
      </c>
      <c r="F18" s="134">
        <v>1.0</v>
      </c>
      <c r="G18" s="134"/>
      <c r="H18" s="134">
        <v>1.0</v>
      </c>
      <c r="I18" s="134" t="s">
        <v>856</v>
      </c>
      <c r="J18" s="134">
        <v>1.0</v>
      </c>
      <c r="K18" s="134">
        <v>1.0</v>
      </c>
      <c r="L18" s="554"/>
      <c r="M18" s="134" t="s">
        <v>1462</v>
      </c>
      <c r="N18" s="65">
        <v>2.0</v>
      </c>
      <c r="O18" s="219"/>
      <c r="P18" s="240" t="s">
        <v>2572</v>
      </c>
      <c r="Q18" s="83"/>
      <c r="R18" s="83"/>
      <c r="S18" s="83"/>
      <c r="T18" s="83"/>
      <c r="U18" s="240" t="s">
        <v>2572</v>
      </c>
      <c r="V18" s="240" t="s">
        <v>2572</v>
      </c>
      <c r="W18" s="83"/>
      <c r="X18" s="261"/>
      <c r="Y18" s="83"/>
      <c r="Z18" s="83"/>
      <c r="AA18" s="83"/>
      <c r="AB18" s="83"/>
      <c r="AC18" s="83"/>
      <c r="AD18" s="83"/>
      <c r="AE18" s="83"/>
      <c r="AF18" s="83"/>
      <c r="AG18" s="83"/>
      <c r="AH18" s="83"/>
      <c r="AI18" s="83"/>
      <c r="AJ18" s="83"/>
      <c r="AK18" s="83"/>
    </row>
    <row r="19">
      <c r="A19" s="65" t="s">
        <v>908</v>
      </c>
      <c r="B19" s="65" t="s">
        <v>2803</v>
      </c>
      <c r="C19" s="65">
        <v>1.0</v>
      </c>
      <c r="D19" s="65">
        <v>2.0</v>
      </c>
      <c r="E19" s="554"/>
      <c r="F19" s="554"/>
      <c r="G19" s="554"/>
      <c r="H19" s="554"/>
      <c r="I19" s="554"/>
      <c r="J19" s="554"/>
      <c r="K19" s="554"/>
      <c r="L19" s="554"/>
      <c r="M19" s="134" t="s">
        <v>2638</v>
      </c>
      <c r="N19" s="65">
        <v>2.0</v>
      </c>
      <c r="O19" s="219"/>
      <c r="P19" s="83"/>
      <c r="Q19" s="83"/>
      <c r="R19" s="65" t="s">
        <v>2572</v>
      </c>
      <c r="S19" s="83"/>
      <c r="T19" s="83"/>
      <c r="U19" s="83"/>
      <c r="V19" s="65" t="s">
        <v>2572</v>
      </c>
      <c r="W19" s="240" t="s">
        <v>2572</v>
      </c>
      <c r="X19" s="261"/>
      <c r="Y19" s="83"/>
      <c r="Z19" s="83"/>
      <c r="AA19" s="83"/>
      <c r="AB19" s="83"/>
      <c r="AC19" s="83"/>
      <c r="AD19" s="83"/>
      <c r="AE19" s="83"/>
      <c r="AF19" s="83"/>
      <c r="AG19" s="83"/>
      <c r="AH19" s="83"/>
      <c r="AI19" s="83"/>
      <c r="AJ19" s="83"/>
      <c r="AK19" s="83"/>
    </row>
    <row r="20">
      <c r="A20" s="65" t="s">
        <v>908</v>
      </c>
      <c r="B20" s="65" t="s">
        <v>2803</v>
      </c>
      <c r="C20" s="65">
        <v>2.0</v>
      </c>
      <c r="D20" s="65">
        <v>2.0</v>
      </c>
      <c r="E20" s="554"/>
      <c r="F20" s="554">
        <v>2.0</v>
      </c>
      <c r="G20" s="554"/>
      <c r="H20" s="554">
        <v>1.0</v>
      </c>
      <c r="I20" s="554"/>
      <c r="J20" s="554">
        <v>3.0</v>
      </c>
      <c r="K20" s="554">
        <v>1.0</v>
      </c>
      <c r="L20" s="554"/>
      <c r="M20" s="134"/>
      <c r="N20" s="65">
        <v>3.0</v>
      </c>
      <c r="O20" s="219"/>
      <c r="P20" s="240" t="s">
        <v>2572</v>
      </c>
      <c r="Q20" s="83"/>
      <c r="R20" s="65" t="s">
        <v>2572</v>
      </c>
      <c r="S20" s="83"/>
      <c r="T20" s="83"/>
      <c r="U20" s="83"/>
      <c r="V20" s="65" t="s">
        <v>2572</v>
      </c>
      <c r="W20" s="83"/>
      <c r="X20" s="261"/>
      <c r="Y20" s="83"/>
      <c r="Z20" s="83"/>
      <c r="AA20" s="83"/>
      <c r="AB20" s="83"/>
      <c r="AC20" s="83"/>
      <c r="AD20" s="83"/>
      <c r="AE20" s="83"/>
      <c r="AF20" s="83"/>
      <c r="AG20" s="83"/>
      <c r="AH20" s="83"/>
      <c r="AI20" s="83"/>
      <c r="AJ20" s="83"/>
      <c r="AK20" s="83"/>
    </row>
    <row r="21">
      <c r="A21" s="65" t="s">
        <v>908</v>
      </c>
      <c r="B21" s="65" t="s">
        <v>2804</v>
      </c>
      <c r="C21" s="65">
        <v>1.0</v>
      </c>
      <c r="D21" s="65">
        <v>2.0</v>
      </c>
      <c r="E21" s="554"/>
      <c r="F21" s="554"/>
      <c r="G21" s="554"/>
      <c r="H21" s="554"/>
      <c r="I21" s="554"/>
      <c r="J21" s="554"/>
      <c r="K21" s="554"/>
      <c r="L21" s="554"/>
      <c r="M21" s="134"/>
      <c r="N21" s="65">
        <v>3.0</v>
      </c>
      <c r="O21" s="219"/>
      <c r="P21" s="240" t="s">
        <v>2572</v>
      </c>
      <c r="Q21" s="83"/>
      <c r="R21" s="83"/>
      <c r="S21" s="83"/>
      <c r="T21" s="83"/>
      <c r="U21" s="83"/>
      <c r="V21" s="83"/>
      <c r="W21" s="240" t="s">
        <v>2572</v>
      </c>
      <c r="X21" s="261"/>
      <c r="Y21" s="83"/>
      <c r="Z21" s="83"/>
      <c r="AA21" s="83"/>
      <c r="AB21" s="83"/>
      <c r="AC21" s="83"/>
      <c r="AD21" s="83"/>
      <c r="AE21" s="83"/>
      <c r="AF21" s="83"/>
      <c r="AG21" s="83"/>
      <c r="AH21" s="83"/>
      <c r="AI21" s="83"/>
      <c r="AJ21" s="83"/>
      <c r="AK21" s="83"/>
    </row>
    <row r="22">
      <c r="A22" s="65" t="s">
        <v>908</v>
      </c>
      <c r="B22" s="65" t="s">
        <v>2804</v>
      </c>
      <c r="C22" s="65">
        <v>2.0</v>
      </c>
      <c r="D22" s="65">
        <v>2.0</v>
      </c>
      <c r="E22" s="554" t="s">
        <v>1212</v>
      </c>
      <c r="F22" s="554">
        <v>1.0</v>
      </c>
      <c r="G22" s="554"/>
      <c r="H22" s="554">
        <v>1.0</v>
      </c>
      <c r="I22" s="554" t="s">
        <v>2820</v>
      </c>
      <c r="J22" s="554">
        <v>1.0</v>
      </c>
      <c r="K22" s="554">
        <v>1.0</v>
      </c>
      <c r="L22" s="554" t="s">
        <v>2709</v>
      </c>
      <c r="M22" s="134" t="s">
        <v>2638</v>
      </c>
      <c r="N22" s="65">
        <v>2.0</v>
      </c>
      <c r="O22" s="219"/>
      <c r="P22" s="240" t="s">
        <v>2572</v>
      </c>
      <c r="Q22" s="83"/>
      <c r="R22" s="83"/>
      <c r="S22" s="83"/>
      <c r="T22" s="240" t="s">
        <v>2572</v>
      </c>
      <c r="U22" s="83"/>
      <c r="V22" s="240" t="s">
        <v>2572</v>
      </c>
      <c r="W22" s="83"/>
      <c r="X22" s="261"/>
      <c r="Y22" s="83"/>
      <c r="Z22" s="83"/>
      <c r="AA22" s="83"/>
      <c r="AB22" s="83"/>
      <c r="AC22" s="83"/>
      <c r="AD22" s="83"/>
      <c r="AE22" s="83"/>
      <c r="AF22" s="83"/>
      <c r="AG22" s="83"/>
      <c r="AH22" s="83"/>
      <c r="AI22" s="83"/>
      <c r="AJ22" s="83"/>
      <c r="AK22" s="83"/>
    </row>
    <row r="23">
      <c r="A23" s="65" t="s">
        <v>908</v>
      </c>
      <c r="B23" s="65" t="s">
        <v>2805</v>
      </c>
      <c r="C23" s="65">
        <v>1.0</v>
      </c>
      <c r="D23" s="65">
        <v>2.0</v>
      </c>
      <c r="E23" s="554"/>
      <c r="F23" s="554"/>
      <c r="G23" s="554"/>
      <c r="H23" s="554"/>
      <c r="I23" s="554"/>
      <c r="J23" s="554"/>
      <c r="K23" s="554"/>
      <c r="L23" s="554"/>
      <c r="M23" s="134" t="s">
        <v>1475</v>
      </c>
      <c r="N23" s="65">
        <v>1.0</v>
      </c>
      <c r="O23" s="558" t="s">
        <v>2572</v>
      </c>
      <c r="P23" s="83"/>
      <c r="Q23" s="240" t="s">
        <v>2572</v>
      </c>
      <c r="R23" s="83"/>
      <c r="S23" s="240" t="s">
        <v>2572</v>
      </c>
      <c r="T23" s="240" t="s">
        <v>2572</v>
      </c>
      <c r="U23" s="83"/>
      <c r="V23" s="83"/>
      <c r="W23" s="83"/>
      <c r="X23" s="261"/>
      <c r="Y23" s="83"/>
      <c r="Z23" s="83"/>
      <c r="AA23" s="83"/>
      <c r="AB23" s="83"/>
      <c r="AC23" s="83"/>
      <c r="AD23" s="83"/>
      <c r="AE23" s="83"/>
      <c r="AF23" s="83"/>
      <c r="AG23" s="83"/>
      <c r="AH23" s="83"/>
      <c r="AI23" s="83"/>
      <c r="AJ23" s="83"/>
      <c r="AK23" s="83"/>
    </row>
    <row r="24">
      <c r="A24" s="65" t="s">
        <v>908</v>
      </c>
      <c r="B24" s="65" t="s">
        <v>2805</v>
      </c>
      <c r="C24" s="65">
        <v>2.0</v>
      </c>
      <c r="D24" s="65">
        <v>2.0</v>
      </c>
      <c r="E24" s="554" t="s">
        <v>1212</v>
      </c>
      <c r="F24" s="554">
        <v>1.0</v>
      </c>
      <c r="G24" s="554"/>
      <c r="H24" s="554">
        <v>1.0</v>
      </c>
      <c r="I24" s="554" t="s">
        <v>2820</v>
      </c>
      <c r="J24" s="554">
        <v>1.0</v>
      </c>
      <c r="K24" s="554">
        <v>1.0</v>
      </c>
      <c r="L24" s="554" t="s">
        <v>2709</v>
      </c>
      <c r="M24" s="134" t="s">
        <v>2638</v>
      </c>
      <c r="N24" s="65">
        <v>1.0</v>
      </c>
      <c r="O24" s="219"/>
      <c r="P24" s="240" t="s">
        <v>2572</v>
      </c>
      <c r="Q24" s="83"/>
      <c r="R24" s="240" t="s">
        <v>2572</v>
      </c>
      <c r="S24" s="83"/>
      <c r="T24" s="240" t="s">
        <v>2572</v>
      </c>
      <c r="U24" s="83"/>
      <c r="V24" s="83"/>
      <c r="W24" s="83"/>
      <c r="X24" s="556" t="s">
        <v>2572</v>
      </c>
      <c r="Y24" s="83"/>
      <c r="Z24" s="83"/>
      <c r="AA24" s="83"/>
      <c r="AB24" s="83"/>
      <c r="AC24" s="83"/>
      <c r="AD24" s="83"/>
      <c r="AE24" s="83"/>
      <c r="AF24" s="83"/>
      <c r="AG24" s="83"/>
      <c r="AH24" s="83"/>
      <c r="AI24" s="83"/>
      <c r="AJ24" s="83"/>
      <c r="AK24" s="83"/>
    </row>
    <row r="25">
      <c r="A25" s="65" t="s">
        <v>908</v>
      </c>
      <c r="B25" s="65" t="s">
        <v>2806</v>
      </c>
      <c r="C25" s="65">
        <v>1.0</v>
      </c>
      <c r="D25" s="65">
        <v>2.0</v>
      </c>
      <c r="E25" s="554"/>
      <c r="F25" s="554"/>
      <c r="G25" s="554"/>
      <c r="H25" s="554"/>
      <c r="I25" s="554"/>
      <c r="J25" s="554"/>
      <c r="K25" s="554"/>
      <c r="L25" s="554" t="s">
        <v>2696</v>
      </c>
      <c r="M25" s="134"/>
      <c r="N25" s="65">
        <v>2.0</v>
      </c>
      <c r="O25" s="219"/>
      <c r="P25" s="240" t="s">
        <v>2572</v>
      </c>
      <c r="Q25" s="83"/>
      <c r="R25" s="240" t="s">
        <v>2572</v>
      </c>
      <c r="S25" s="83"/>
      <c r="T25" s="83"/>
      <c r="U25" s="240" t="s">
        <v>2572</v>
      </c>
      <c r="V25" s="83"/>
      <c r="W25" s="83"/>
      <c r="X25" s="261"/>
      <c r="Y25" s="83"/>
      <c r="Z25" s="83"/>
      <c r="AA25" s="83"/>
      <c r="AB25" s="83"/>
      <c r="AC25" s="83"/>
      <c r="AD25" s="83"/>
      <c r="AE25" s="83"/>
      <c r="AF25" s="83"/>
      <c r="AG25" s="83"/>
      <c r="AH25" s="83"/>
      <c r="AI25" s="83"/>
      <c r="AJ25" s="83"/>
      <c r="AK25" s="83"/>
    </row>
    <row r="26">
      <c r="A26" s="65" t="s">
        <v>908</v>
      </c>
      <c r="B26" s="65" t="s">
        <v>2806</v>
      </c>
      <c r="C26" s="65">
        <v>2.0</v>
      </c>
      <c r="D26" s="65">
        <v>2.0</v>
      </c>
      <c r="E26" s="554"/>
      <c r="F26" s="554">
        <v>1.0</v>
      </c>
      <c r="G26" s="134" t="s">
        <v>2819</v>
      </c>
      <c r="H26" s="554">
        <v>1.0</v>
      </c>
      <c r="I26" s="554"/>
      <c r="J26" s="554">
        <v>2.0</v>
      </c>
      <c r="K26" s="554">
        <v>1.0</v>
      </c>
      <c r="L26" s="554" t="s">
        <v>2696</v>
      </c>
      <c r="M26" s="134" t="s">
        <v>2799</v>
      </c>
      <c r="N26" s="65">
        <v>1.0</v>
      </c>
      <c r="O26" s="558" t="s">
        <v>2572</v>
      </c>
      <c r="P26" s="240" t="s">
        <v>2572</v>
      </c>
      <c r="Q26" s="83"/>
      <c r="R26" s="240" t="s">
        <v>2572</v>
      </c>
      <c r="S26" s="83"/>
      <c r="T26" s="83"/>
      <c r="U26" s="240" t="s">
        <v>2572</v>
      </c>
      <c r="V26" s="83"/>
      <c r="W26" s="83"/>
      <c r="X26" s="261"/>
      <c r="Y26" s="83"/>
      <c r="Z26" s="83"/>
      <c r="AA26" s="83"/>
      <c r="AB26" s="83"/>
      <c r="AC26" s="83"/>
      <c r="AD26" s="83"/>
      <c r="AE26" s="83"/>
      <c r="AF26" s="83"/>
      <c r="AG26" s="83"/>
      <c r="AH26" s="83"/>
      <c r="AI26" s="83"/>
      <c r="AJ26" s="83"/>
      <c r="AK26" s="83"/>
    </row>
    <row r="27">
      <c r="A27" s="65" t="s">
        <v>908</v>
      </c>
      <c r="B27" s="65" t="s">
        <v>2807</v>
      </c>
      <c r="C27" s="65">
        <v>1.0</v>
      </c>
      <c r="D27" s="65">
        <v>2.0</v>
      </c>
      <c r="E27" s="554"/>
      <c r="F27" s="554"/>
      <c r="G27" s="554"/>
      <c r="H27" s="554"/>
      <c r="I27" s="554"/>
      <c r="J27" s="554"/>
      <c r="K27" s="554"/>
      <c r="L27" s="554" t="s">
        <v>2696</v>
      </c>
      <c r="M27" s="134" t="s">
        <v>1463</v>
      </c>
      <c r="N27" s="65">
        <v>2.0</v>
      </c>
      <c r="O27" s="219"/>
      <c r="P27" s="240" t="s">
        <v>2572</v>
      </c>
      <c r="Q27" s="83"/>
      <c r="R27" s="83"/>
      <c r="S27" s="240" t="s">
        <v>2572</v>
      </c>
      <c r="T27" s="240" t="s">
        <v>2572</v>
      </c>
      <c r="U27" s="83"/>
      <c r="V27" s="83"/>
      <c r="W27" s="83"/>
      <c r="X27" s="261"/>
      <c r="Y27" s="83"/>
      <c r="Z27" s="83"/>
      <c r="AA27" s="83"/>
      <c r="AB27" s="83"/>
      <c r="AC27" s="83"/>
      <c r="AD27" s="83"/>
      <c r="AE27" s="83"/>
      <c r="AF27" s="83"/>
      <c r="AG27" s="83"/>
      <c r="AH27" s="83"/>
      <c r="AI27" s="83"/>
      <c r="AJ27" s="83"/>
      <c r="AK27" s="83"/>
    </row>
    <row r="28">
      <c r="A28" s="65" t="s">
        <v>908</v>
      </c>
      <c r="B28" s="65" t="s">
        <v>2807</v>
      </c>
      <c r="C28" s="65">
        <v>2.0</v>
      </c>
      <c r="D28" s="65">
        <v>2.0</v>
      </c>
      <c r="E28" s="554" t="s">
        <v>886</v>
      </c>
      <c r="F28" s="554">
        <v>1.0</v>
      </c>
      <c r="G28" s="134" t="s">
        <v>2819</v>
      </c>
      <c r="H28" s="554">
        <v>1.0</v>
      </c>
      <c r="I28" s="554"/>
      <c r="J28" s="554">
        <v>2.0</v>
      </c>
      <c r="K28" s="554">
        <v>1.0</v>
      </c>
      <c r="L28" s="554" t="s">
        <v>2696</v>
      </c>
      <c r="M28" s="134" t="s">
        <v>1463</v>
      </c>
      <c r="N28" s="65">
        <v>2.0</v>
      </c>
      <c r="O28" s="219"/>
      <c r="P28" s="240" t="s">
        <v>2572</v>
      </c>
      <c r="Q28" s="83"/>
      <c r="R28" s="83"/>
      <c r="S28" s="240" t="s">
        <v>2572</v>
      </c>
      <c r="T28" s="240" t="s">
        <v>2572</v>
      </c>
      <c r="U28" s="83"/>
      <c r="V28" s="83"/>
      <c r="W28" s="83"/>
      <c r="X28" s="261"/>
      <c r="Y28" s="83"/>
      <c r="Z28" s="83"/>
      <c r="AA28" s="83"/>
      <c r="AB28" s="83"/>
      <c r="AC28" s="83"/>
      <c r="AD28" s="83"/>
      <c r="AE28" s="83"/>
      <c r="AF28" s="83"/>
      <c r="AG28" s="83"/>
      <c r="AH28" s="83"/>
      <c r="AI28" s="83"/>
      <c r="AJ28" s="83"/>
      <c r="AK28" s="83"/>
    </row>
    <row r="29">
      <c r="A29" s="65" t="s">
        <v>908</v>
      </c>
      <c r="B29" s="65" t="s">
        <v>2808</v>
      </c>
      <c r="C29" s="65">
        <v>1.0</v>
      </c>
      <c r="D29" s="65">
        <v>2.0</v>
      </c>
      <c r="E29" s="554"/>
      <c r="F29" s="554"/>
      <c r="G29" s="554"/>
      <c r="H29" s="554"/>
      <c r="I29" s="554"/>
      <c r="J29" s="554"/>
      <c r="K29" s="554"/>
      <c r="L29" s="554"/>
      <c r="M29" s="134" t="s">
        <v>1462</v>
      </c>
      <c r="N29" s="65">
        <v>1.0</v>
      </c>
      <c r="O29" s="558" t="s">
        <v>2572</v>
      </c>
      <c r="P29" s="83"/>
      <c r="Q29" s="83"/>
      <c r="R29" s="83"/>
      <c r="S29" s="83"/>
      <c r="T29" s="83"/>
      <c r="U29" s="83"/>
      <c r="V29" s="240" t="s">
        <v>2572</v>
      </c>
      <c r="W29" s="83"/>
      <c r="X29" s="556" t="s">
        <v>2572</v>
      </c>
      <c r="Y29" s="83"/>
      <c r="Z29" s="83"/>
      <c r="AA29" s="83"/>
      <c r="AB29" s="83"/>
      <c r="AC29" s="83"/>
      <c r="AD29" s="83"/>
      <c r="AE29" s="83"/>
      <c r="AF29" s="83"/>
      <c r="AG29" s="83"/>
      <c r="AH29" s="83"/>
      <c r="AI29" s="83"/>
      <c r="AJ29" s="83"/>
      <c r="AK29" s="83"/>
    </row>
    <row r="30">
      <c r="A30" s="65" t="s">
        <v>908</v>
      </c>
      <c r="B30" s="65" t="s">
        <v>2808</v>
      </c>
      <c r="C30" s="65">
        <v>2.0</v>
      </c>
      <c r="D30" s="65">
        <v>2.0</v>
      </c>
      <c r="E30" s="554"/>
      <c r="F30" s="554">
        <v>2.0</v>
      </c>
      <c r="G30" s="554"/>
      <c r="H30" s="554">
        <v>1.0</v>
      </c>
      <c r="I30" s="554"/>
      <c r="J30" s="554">
        <v>3.0</v>
      </c>
      <c r="K30" s="554">
        <v>1.0</v>
      </c>
      <c r="L30" s="554" t="s">
        <v>2691</v>
      </c>
      <c r="M30" s="134" t="s">
        <v>1463</v>
      </c>
      <c r="N30" s="65">
        <v>0.0</v>
      </c>
      <c r="O30" s="219"/>
      <c r="P30" s="83"/>
      <c r="Q30" s="83"/>
      <c r="R30" s="83"/>
      <c r="S30" s="83"/>
      <c r="T30" s="83"/>
      <c r="U30" s="83"/>
      <c r="V30" s="83"/>
      <c r="W30" s="83"/>
      <c r="X30" s="261"/>
      <c r="Y30" s="83"/>
      <c r="Z30" s="83"/>
      <c r="AA30" s="83"/>
      <c r="AB30" s="83"/>
      <c r="AC30" s="83"/>
      <c r="AD30" s="83"/>
      <c r="AE30" s="83"/>
      <c r="AF30" s="83"/>
      <c r="AG30" s="83"/>
      <c r="AH30" s="83"/>
      <c r="AI30" s="83"/>
      <c r="AJ30" s="83"/>
      <c r="AK30" s="83"/>
    </row>
    <row r="31">
      <c r="A31" s="65" t="s">
        <v>908</v>
      </c>
      <c r="B31" s="65" t="s">
        <v>2809</v>
      </c>
      <c r="C31" s="65">
        <v>1.0</v>
      </c>
      <c r="D31" s="65">
        <v>2.0</v>
      </c>
      <c r="E31" s="554"/>
      <c r="F31" s="554"/>
      <c r="G31" s="554"/>
      <c r="H31" s="554"/>
      <c r="I31" s="554"/>
      <c r="J31" s="554"/>
      <c r="K31" s="554"/>
      <c r="L31" s="554"/>
      <c r="M31" s="134" t="s">
        <v>1444</v>
      </c>
      <c r="N31" s="65">
        <v>1.0</v>
      </c>
      <c r="O31" s="219"/>
      <c r="P31" s="240" t="s">
        <v>2572</v>
      </c>
      <c r="Q31" s="83"/>
      <c r="R31" s="83"/>
      <c r="S31" s="83"/>
      <c r="T31" s="240" t="s">
        <v>2572</v>
      </c>
      <c r="U31" s="83"/>
      <c r="V31" s="240" t="s">
        <v>2572</v>
      </c>
      <c r="W31" s="83"/>
      <c r="X31" s="261"/>
      <c r="Y31" s="83"/>
      <c r="Z31" s="83"/>
      <c r="AA31" s="83"/>
      <c r="AB31" s="83"/>
      <c r="AC31" s="83"/>
      <c r="AD31" s="83"/>
      <c r="AE31" s="83"/>
      <c r="AF31" s="83"/>
      <c r="AG31" s="83"/>
      <c r="AH31" s="83"/>
      <c r="AI31" s="83"/>
      <c r="AJ31" s="83"/>
      <c r="AK31" s="83"/>
    </row>
    <row r="32">
      <c r="A32" s="65" t="s">
        <v>908</v>
      </c>
      <c r="B32" s="65" t="s">
        <v>2809</v>
      </c>
      <c r="C32" s="65">
        <v>2.0</v>
      </c>
      <c r="D32" s="65">
        <v>2.0</v>
      </c>
      <c r="E32" s="554"/>
      <c r="F32" s="554">
        <v>2.0</v>
      </c>
      <c r="G32" s="554"/>
      <c r="H32" s="554">
        <v>1.0</v>
      </c>
      <c r="I32" s="554"/>
      <c r="J32" s="554">
        <v>3.0</v>
      </c>
      <c r="K32" s="554">
        <v>1.0</v>
      </c>
      <c r="L32" s="554" t="s">
        <v>2691</v>
      </c>
      <c r="M32" s="134" t="s">
        <v>1475</v>
      </c>
      <c r="N32" s="65">
        <v>1.0</v>
      </c>
      <c r="O32" s="219"/>
      <c r="P32" s="83"/>
      <c r="Q32" s="83"/>
      <c r="R32" s="83"/>
      <c r="S32" s="240" t="s">
        <v>2572</v>
      </c>
      <c r="T32" s="83"/>
      <c r="U32" s="83"/>
      <c r="V32" s="240" t="s">
        <v>2572</v>
      </c>
      <c r="W32" s="83"/>
      <c r="X32" s="261"/>
      <c r="Y32" s="83"/>
      <c r="Z32" s="83"/>
      <c r="AA32" s="83"/>
      <c r="AB32" s="83"/>
      <c r="AC32" s="83"/>
      <c r="AD32" s="83"/>
      <c r="AE32" s="83"/>
      <c r="AF32" s="83"/>
      <c r="AG32" s="83"/>
      <c r="AH32" s="83"/>
      <c r="AI32" s="83"/>
      <c r="AJ32" s="83"/>
      <c r="AK32" s="83"/>
    </row>
    <row r="33">
      <c r="A33" s="65" t="s">
        <v>908</v>
      </c>
      <c r="B33" s="65" t="s">
        <v>2810</v>
      </c>
      <c r="C33" s="65">
        <v>1.0</v>
      </c>
      <c r="D33" s="65">
        <v>2.0</v>
      </c>
      <c r="E33" s="554"/>
      <c r="F33" s="554"/>
      <c r="G33" s="554"/>
      <c r="H33" s="554"/>
      <c r="I33" s="554"/>
      <c r="J33" s="554"/>
      <c r="K33" s="554"/>
      <c r="L33" s="554"/>
      <c r="M33" s="134" t="s">
        <v>1461</v>
      </c>
      <c r="N33" s="65">
        <v>2.0</v>
      </c>
      <c r="O33" s="219"/>
      <c r="P33" s="83"/>
      <c r="Q33" s="83"/>
      <c r="R33" s="83"/>
      <c r="S33" s="83"/>
      <c r="T33" s="240" t="s">
        <v>2572</v>
      </c>
      <c r="U33" s="240" t="s">
        <v>2572</v>
      </c>
      <c r="V33" s="83"/>
      <c r="W33" s="83"/>
      <c r="X33" s="261"/>
      <c r="Y33" s="83"/>
      <c r="Z33" s="83"/>
      <c r="AA33" s="83"/>
      <c r="AB33" s="83"/>
      <c r="AC33" s="83"/>
      <c r="AD33" s="83"/>
      <c r="AE33" s="83"/>
      <c r="AF33" s="83"/>
      <c r="AG33" s="83"/>
      <c r="AH33" s="83"/>
      <c r="AI33" s="83"/>
      <c r="AJ33" s="83"/>
      <c r="AK33" s="83"/>
    </row>
    <row r="34">
      <c r="A34" s="65" t="s">
        <v>908</v>
      </c>
      <c r="B34" s="65" t="s">
        <v>2810</v>
      </c>
      <c r="C34" s="65">
        <v>2.0</v>
      </c>
      <c r="D34" s="65">
        <v>2.0</v>
      </c>
      <c r="E34" s="554"/>
      <c r="F34" s="554">
        <v>2.0</v>
      </c>
      <c r="G34" s="554"/>
      <c r="H34" s="554">
        <v>1.0</v>
      </c>
      <c r="I34" s="554"/>
      <c r="J34" s="554">
        <v>3.0</v>
      </c>
      <c r="K34" s="554">
        <v>1.0</v>
      </c>
      <c r="L34" s="554" t="s">
        <v>2674</v>
      </c>
      <c r="M34" s="134"/>
      <c r="N34" s="65">
        <v>3.0</v>
      </c>
      <c r="O34" s="219"/>
      <c r="P34" s="83"/>
      <c r="Q34" s="83"/>
      <c r="R34" s="83"/>
      <c r="S34" s="83"/>
      <c r="T34" s="83"/>
      <c r="U34" s="240" t="s">
        <v>2572</v>
      </c>
      <c r="V34" s="240" t="s">
        <v>2572</v>
      </c>
      <c r="W34" s="83"/>
      <c r="X34" s="556" t="s">
        <v>2572</v>
      </c>
      <c r="Y34" s="83"/>
      <c r="Z34" s="83"/>
      <c r="AA34" s="83"/>
      <c r="AB34" s="83"/>
      <c r="AC34" s="83"/>
      <c r="AD34" s="83"/>
      <c r="AE34" s="83"/>
      <c r="AF34" s="83"/>
      <c r="AG34" s="83"/>
      <c r="AH34" s="83"/>
      <c r="AI34" s="83"/>
      <c r="AJ34" s="83"/>
      <c r="AK34" s="83"/>
    </row>
    <row r="35">
      <c r="A35" s="65" t="s">
        <v>908</v>
      </c>
      <c r="B35" s="65" t="s">
        <v>1416</v>
      </c>
      <c r="C35" s="65">
        <v>1.0</v>
      </c>
      <c r="D35" s="65">
        <v>2.0</v>
      </c>
      <c r="E35" s="554"/>
      <c r="F35" s="554"/>
      <c r="G35" s="554"/>
      <c r="H35" s="554"/>
      <c r="I35" s="554"/>
      <c r="J35" s="554"/>
      <c r="K35" s="554"/>
      <c r="L35" s="554"/>
      <c r="M35" s="134"/>
      <c r="N35" s="65">
        <v>4.0</v>
      </c>
      <c r="O35" s="219"/>
      <c r="P35" s="240" t="s">
        <v>2572</v>
      </c>
      <c r="Q35" s="83"/>
      <c r="R35" s="83"/>
      <c r="S35" s="240" t="s">
        <v>2572</v>
      </c>
      <c r="T35" s="83"/>
      <c r="U35" s="83"/>
      <c r="V35" s="240" t="s">
        <v>2572</v>
      </c>
      <c r="W35" s="83"/>
      <c r="X35" s="261"/>
      <c r="Y35" s="83"/>
      <c r="Z35" s="83"/>
      <c r="AA35" s="83"/>
      <c r="AB35" s="83"/>
      <c r="AC35" s="83"/>
      <c r="AD35" s="83"/>
      <c r="AE35" s="83"/>
      <c r="AF35" s="83"/>
      <c r="AG35" s="83"/>
      <c r="AH35" s="83"/>
      <c r="AI35" s="83"/>
      <c r="AJ35" s="83"/>
      <c r="AK35" s="83"/>
    </row>
    <row r="36">
      <c r="A36" s="65" t="s">
        <v>908</v>
      </c>
      <c r="B36" s="65" t="s">
        <v>1416</v>
      </c>
      <c r="C36" s="65">
        <v>2.0</v>
      </c>
      <c r="D36" s="65">
        <v>2.0</v>
      </c>
      <c r="E36" s="554"/>
      <c r="F36" s="554">
        <v>1.0</v>
      </c>
      <c r="G36" s="134" t="s">
        <v>2819</v>
      </c>
      <c r="H36" s="554">
        <v>1.0</v>
      </c>
      <c r="I36" s="554"/>
      <c r="J36" s="554">
        <v>2.0</v>
      </c>
      <c r="K36" s="554">
        <v>1.0</v>
      </c>
      <c r="L36" s="554" t="s">
        <v>2674</v>
      </c>
      <c r="M36" s="134" t="s">
        <v>2638</v>
      </c>
      <c r="N36" s="65">
        <v>1.0</v>
      </c>
      <c r="O36" s="219"/>
      <c r="P36" s="240" t="s">
        <v>2572</v>
      </c>
      <c r="Q36" s="83"/>
      <c r="R36" s="83"/>
      <c r="S36" s="240" t="s">
        <v>2572</v>
      </c>
      <c r="T36" s="83"/>
      <c r="U36" s="83"/>
      <c r="V36" s="83"/>
      <c r="W36" s="83"/>
      <c r="X36" s="261"/>
      <c r="Y36" s="83"/>
      <c r="Z36" s="83"/>
      <c r="AA36" s="83"/>
      <c r="AB36" s="83"/>
      <c r="AC36" s="83"/>
      <c r="AD36" s="83"/>
      <c r="AE36" s="83"/>
      <c r="AF36" s="83"/>
      <c r="AG36" s="83"/>
      <c r="AH36" s="83"/>
      <c r="AI36" s="83"/>
      <c r="AJ36" s="83"/>
      <c r="AK36" s="83"/>
    </row>
    <row r="37">
      <c r="A37" s="65" t="s">
        <v>908</v>
      </c>
      <c r="B37" s="65" t="s">
        <v>2811</v>
      </c>
      <c r="C37" s="65">
        <v>1.0</v>
      </c>
      <c r="D37" s="65">
        <v>2.0</v>
      </c>
      <c r="E37" s="554"/>
      <c r="F37" s="554"/>
      <c r="G37" s="554"/>
      <c r="H37" s="554"/>
      <c r="I37" s="554"/>
      <c r="J37" s="554"/>
      <c r="K37" s="554"/>
      <c r="L37" s="554" t="s">
        <v>2812</v>
      </c>
      <c r="M37" s="134"/>
      <c r="N37" s="65">
        <v>1.0</v>
      </c>
      <c r="O37" s="558" t="s">
        <v>2572</v>
      </c>
      <c r="P37" s="240" t="s">
        <v>2572</v>
      </c>
      <c r="Q37" s="240" t="s">
        <v>2572</v>
      </c>
      <c r="R37" s="240" t="s">
        <v>2572</v>
      </c>
      <c r="S37" s="240" t="s">
        <v>2572</v>
      </c>
      <c r="T37" s="240" t="s">
        <v>2572</v>
      </c>
      <c r="U37" s="240" t="s">
        <v>2572</v>
      </c>
      <c r="V37" s="240" t="s">
        <v>2572</v>
      </c>
      <c r="W37" s="240" t="s">
        <v>2572</v>
      </c>
      <c r="X37" s="556" t="s">
        <v>2572</v>
      </c>
      <c r="Y37" s="83"/>
      <c r="Z37" s="83"/>
      <c r="AA37" s="83"/>
      <c r="AB37" s="83"/>
      <c r="AC37" s="83"/>
      <c r="AD37" s="83"/>
      <c r="AE37" s="83"/>
      <c r="AF37" s="83"/>
      <c r="AG37" s="83"/>
      <c r="AH37" s="83"/>
      <c r="AI37" s="83"/>
      <c r="AJ37" s="83"/>
      <c r="AK37" s="83"/>
    </row>
    <row r="38">
      <c r="A38" s="65" t="s">
        <v>908</v>
      </c>
      <c r="B38" s="65" t="s">
        <v>2811</v>
      </c>
      <c r="C38" s="65">
        <v>2.0</v>
      </c>
      <c r="D38" s="65">
        <v>2.0</v>
      </c>
      <c r="E38" s="554"/>
      <c r="F38" s="554"/>
      <c r="G38" s="554"/>
      <c r="H38" s="554"/>
      <c r="I38" s="554"/>
      <c r="J38" s="554"/>
      <c r="K38" s="554"/>
      <c r="L38" s="554" t="s">
        <v>2668</v>
      </c>
      <c r="M38" s="134" t="s">
        <v>2638</v>
      </c>
      <c r="N38" s="65">
        <v>0.0</v>
      </c>
      <c r="O38" s="219"/>
      <c r="P38" s="83"/>
      <c r="Q38" s="83"/>
      <c r="R38" s="83"/>
      <c r="S38" s="83"/>
      <c r="T38" s="83"/>
      <c r="U38" s="83"/>
      <c r="V38" s="83"/>
      <c r="W38" s="83"/>
      <c r="X38" s="261"/>
      <c r="Y38" s="83"/>
      <c r="Z38" s="83"/>
      <c r="AA38" s="83"/>
      <c r="AB38" s="83"/>
      <c r="AC38" s="83"/>
      <c r="AD38" s="83"/>
      <c r="AE38" s="83"/>
      <c r="AF38" s="83"/>
      <c r="AG38" s="83"/>
      <c r="AH38" s="83"/>
      <c r="AI38" s="83"/>
      <c r="AJ38" s="83"/>
      <c r="AK38" s="83"/>
    </row>
    <row r="39">
      <c r="A39" s="65" t="s">
        <v>908</v>
      </c>
      <c r="B39" s="65" t="s">
        <v>2813</v>
      </c>
      <c r="C39" s="65">
        <v>1.0</v>
      </c>
      <c r="D39" s="65">
        <v>2.0</v>
      </c>
      <c r="E39" s="554"/>
      <c r="F39" s="554"/>
      <c r="G39" s="554"/>
      <c r="H39" s="554"/>
      <c r="I39" s="554"/>
      <c r="J39" s="554"/>
      <c r="K39" s="554"/>
      <c r="L39" s="554" t="s">
        <v>2812</v>
      </c>
      <c r="M39" s="134"/>
      <c r="N39" s="65">
        <v>2.0</v>
      </c>
      <c r="O39" s="558" t="s">
        <v>2572</v>
      </c>
      <c r="P39" s="240" t="s">
        <v>2572</v>
      </c>
      <c r="Q39" s="240" t="s">
        <v>2572</v>
      </c>
      <c r="R39" s="240" t="s">
        <v>2572</v>
      </c>
      <c r="S39" s="240" t="s">
        <v>2572</v>
      </c>
      <c r="T39" s="240" t="s">
        <v>2572</v>
      </c>
      <c r="U39" s="240" t="s">
        <v>2572</v>
      </c>
      <c r="V39" s="240" t="s">
        <v>2572</v>
      </c>
      <c r="W39" s="240" t="s">
        <v>2572</v>
      </c>
      <c r="X39" s="556" t="s">
        <v>2572</v>
      </c>
      <c r="Y39" s="83"/>
      <c r="Z39" s="83"/>
      <c r="AA39" s="83"/>
      <c r="AB39" s="83"/>
      <c r="AC39" s="83"/>
      <c r="AD39" s="83"/>
      <c r="AE39" s="83"/>
      <c r="AF39" s="83"/>
      <c r="AG39" s="83"/>
      <c r="AH39" s="83"/>
      <c r="AI39" s="83"/>
      <c r="AJ39" s="83"/>
      <c r="AK39" s="83"/>
    </row>
    <row r="40">
      <c r="A40" s="66" t="s">
        <v>908</v>
      </c>
      <c r="B40" s="66" t="s">
        <v>2813</v>
      </c>
      <c r="C40" s="66">
        <v>2.0</v>
      </c>
      <c r="D40" s="66">
        <v>2.0</v>
      </c>
      <c r="E40" s="559"/>
      <c r="F40" s="559"/>
      <c r="G40" s="559"/>
      <c r="H40" s="559"/>
      <c r="I40" s="559"/>
      <c r="J40" s="559"/>
      <c r="K40" s="559"/>
      <c r="L40" s="559" t="s">
        <v>2814</v>
      </c>
      <c r="M40" s="287" t="s">
        <v>1475</v>
      </c>
      <c r="N40" s="66">
        <v>1.0</v>
      </c>
      <c r="O40" s="560" t="s">
        <v>2572</v>
      </c>
      <c r="P40" s="561" t="s">
        <v>2572</v>
      </c>
      <c r="Q40" s="561" t="s">
        <v>2572</v>
      </c>
      <c r="R40" s="561" t="s">
        <v>2572</v>
      </c>
      <c r="S40" s="561" t="s">
        <v>2572</v>
      </c>
      <c r="T40" s="561" t="s">
        <v>2572</v>
      </c>
      <c r="U40" s="561" t="s">
        <v>2572</v>
      </c>
      <c r="V40" s="561" t="s">
        <v>2572</v>
      </c>
      <c r="W40" s="561" t="s">
        <v>2572</v>
      </c>
      <c r="X40" s="562" t="s">
        <v>2572</v>
      </c>
      <c r="Y40" s="83"/>
      <c r="Z40" s="83"/>
      <c r="AA40" s="83"/>
      <c r="AB40" s="83"/>
      <c r="AC40" s="83"/>
      <c r="AD40" s="83"/>
      <c r="AE40" s="83"/>
      <c r="AF40" s="83"/>
      <c r="AG40" s="83"/>
      <c r="AH40" s="83"/>
      <c r="AI40" s="83"/>
      <c r="AJ40" s="83"/>
      <c r="AK40" s="83"/>
    </row>
    <row r="41">
      <c r="A41" s="83"/>
      <c r="B41" s="83"/>
      <c r="C41" s="83"/>
      <c r="D41" s="83"/>
      <c r="E41" s="118"/>
      <c r="F41" s="118"/>
      <c r="G41" s="118"/>
      <c r="H41" s="118"/>
      <c r="I41" s="118"/>
      <c r="J41" s="118"/>
      <c r="K41" s="118"/>
      <c r="L41" s="118"/>
      <c r="M41" s="134"/>
      <c r="N41" s="83"/>
      <c r="O41" s="83"/>
      <c r="P41" s="83"/>
      <c r="Q41" s="83"/>
      <c r="R41" s="83"/>
      <c r="S41" s="83"/>
      <c r="T41" s="83"/>
      <c r="U41" s="83"/>
      <c r="V41" s="83"/>
      <c r="W41" s="83"/>
      <c r="X41" s="83"/>
      <c r="Y41" s="83"/>
      <c r="Z41" s="83"/>
      <c r="AA41" s="83"/>
      <c r="AB41" s="83"/>
      <c r="AC41" s="83"/>
      <c r="AD41" s="83"/>
      <c r="AE41" s="83"/>
      <c r="AF41" s="83"/>
      <c r="AG41" s="83"/>
      <c r="AH41" s="83"/>
      <c r="AI41" s="83"/>
      <c r="AJ41" s="83"/>
      <c r="AK41" s="83"/>
    </row>
    <row r="42">
      <c r="A42" s="83"/>
      <c r="B42" s="83"/>
      <c r="C42" s="83"/>
      <c r="D42" s="83"/>
      <c r="E42" s="118"/>
      <c r="F42" s="118"/>
      <c r="G42" s="118"/>
      <c r="H42" s="118"/>
      <c r="I42" s="118"/>
      <c r="J42" s="118"/>
      <c r="K42" s="118"/>
      <c r="L42" s="118"/>
      <c r="M42" s="134"/>
      <c r="N42" s="83"/>
      <c r="O42" s="83"/>
      <c r="P42" s="83"/>
      <c r="Q42" s="83"/>
      <c r="R42" s="83"/>
      <c r="S42" s="83"/>
      <c r="T42" s="83"/>
      <c r="U42" s="83"/>
      <c r="V42" s="83"/>
      <c r="W42" s="83"/>
      <c r="X42" s="83"/>
      <c r="Y42" s="83"/>
      <c r="Z42" s="83"/>
      <c r="AA42" s="83"/>
      <c r="AB42" s="83"/>
      <c r="AC42" s="83"/>
      <c r="AD42" s="83"/>
      <c r="AE42" s="83"/>
      <c r="AF42" s="83"/>
      <c r="AG42" s="83"/>
      <c r="AH42" s="83"/>
      <c r="AI42" s="83"/>
      <c r="AJ42" s="83"/>
      <c r="AK42" s="83"/>
    </row>
    <row r="43">
      <c r="A43" s="83"/>
      <c r="B43" s="83"/>
      <c r="C43" s="83"/>
      <c r="D43" s="83"/>
      <c r="E43" s="118"/>
      <c r="F43" s="118"/>
      <c r="G43" s="118"/>
      <c r="H43" s="118"/>
      <c r="I43" s="118"/>
      <c r="J43" s="118"/>
      <c r="K43" s="118"/>
      <c r="L43" s="118"/>
      <c r="M43" s="134"/>
      <c r="N43" s="83"/>
      <c r="O43" s="83"/>
      <c r="P43" s="83"/>
      <c r="Q43" s="83"/>
      <c r="R43" s="83"/>
      <c r="S43" s="83"/>
      <c r="T43" s="83"/>
      <c r="U43" s="83"/>
      <c r="V43" s="83"/>
      <c r="W43" s="83"/>
      <c r="X43" s="83"/>
      <c r="Y43" s="83"/>
      <c r="Z43" s="83"/>
      <c r="AA43" s="83"/>
      <c r="AB43" s="83"/>
      <c r="AC43" s="83"/>
      <c r="AD43" s="83"/>
      <c r="AE43" s="83"/>
      <c r="AF43" s="83"/>
      <c r="AG43" s="83"/>
      <c r="AH43" s="83"/>
      <c r="AI43" s="83"/>
      <c r="AJ43" s="83"/>
      <c r="AK43" s="83"/>
    </row>
    <row r="44">
      <c r="A44" s="83"/>
      <c r="B44" s="83"/>
      <c r="C44" s="83"/>
      <c r="D44" s="83"/>
      <c r="E44" s="118"/>
      <c r="F44" s="118"/>
      <c r="G44" s="118"/>
      <c r="H44" s="118"/>
      <c r="I44" s="118"/>
      <c r="J44" s="118"/>
      <c r="K44" s="118"/>
      <c r="L44" s="118"/>
      <c r="M44" s="134"/>
      <c r="N44" s="83"/>
      <c r="O44" s="83"/>
      <c r="P44" s="83"/>
      <c r="Q44" s="83"/>
      <c r="R44" s="83"/>
      <c r="S44" s="83"/>
      <c r="T44" s="83"/>
      <c r="U44" s="83"/>
      <c r="V44" s="83"/>
      <c r="W44" s="83"/>
      <c r="X44" s="83"/>
      <c r="Y44" s="83"/>
      <c r="Z44" s="83"/>
      <c r="AA44" s="83"/>
      <c r="AB44" s="83"/>
      <c r="AC44" s="83"/>
      <c r="AD44" s="83"/>
      <c r="AE44" s="83"/>
      <c r="AF44" s="83"/>
      <c r="AG44" s="83"/>
      <c r="AH44" s="83"/>
      <c r="AI44" s="83"/>
      <c r="AJ44" s="83"/>
      <c r="AK44" s="83"/>
    </row>
    <row r="45">
      <c r="A45" s="83"/>
      <c r="B45" s="83"/>
      <c r="C45" s="83"/>
      <c r="D45" s="83"/>
      <c r="E45" s="118"/>
      <c r="F45" s="118"/>
      <c r="G45" s="118"/>
      <c r="H45" s="118"/>
      <c r="I45" s="118"/>
      <c r="J45" s="118"/>
      <c r="K45" s="118"/>
      <c r="L45" s="118"/>
      <c r="M45" s="134"/>
      <c r="N45" s="83"/>
      <c r="O45" s="83"/>
      <c r="P45" s="83"/>
      <c r="Q45" s="83"/>
      <c r="R45" s="83"/>
      <c r="S45" s="83"/>
      <c r="T45" s="83"/>
      <c r="U45" s="83"/>
      <c r="V45" s="83"/>
      <c r="W45" s="83"/>
      <c r="X45" s="83"/>
      <c r="Y45" s="83"/>
      <c r="Z45" s="83"/>
      <c r="AA45" s="83"/>
      <c r="AB45" s="83"/>
      <c r="AC45" s="83"/>
      <c r="AD45" s="83"/>
      <c r="AE45" s="83"/>
      <c r="AF45" s="83"/>
      <c r="AG45" s="83"/>
      <c r="AH45" s="83"/>
      <c r="AI45" s="83"/>
      <c r="AJ45" s="83"/>
      <c r="AK45" s="83"/>
    </row>
    <row r="46">
      <c r="A46" s="83"/>
      <c r="B46" s="83"/>
      <c r="C46" s="83"/>
      <c r="D46" s="83"/>
      <c r="E46" s="118"/>
      <c r="F46" s="118"/>
      <c r="G46" s="118"/>
      <c r="H46" s="118"/>
      <c r="I46" s="118"/>
      <c r="J46" s="118"/>
      <c r="K46" s="118"/>
      <c r="L46" s="118"/>
      <c r="M46" s="134"/>
      <c r="N46" s="83"/>
      <c r="O46" s="83"/>
      <c r="P46" s="83"/>
      <c r="Q46" s="83"/>
      <c r="R46" s="83"/>
      <c r="S46" s="83"/>
      <c r="T46" s="83"/>
      <c r="U46" s="83"/>
      <c r="V46" s="83"/>
      <c r="W46" s="83"/>
      <c r="X46" s="83"/>
      <c r="Y46" s="83"/>
      <c r="Z46" s="83"/>
      <c r="AA46" s="83"/>
      <c r="AB46" s="83"/>
      <c r="AC46" s="83"/>
      <c r="AD46" s="83"/>
      <c r="AE46" s="83"/>
      <c r="AF46" s="83"/>
      <c r="AG46" s="83"/>
      <c r="AH46" s="83"/>
      <c r="AI46" s="83"/>
      <c r="AJ46" s="83"/>
      <c r="AK46" s="83"/>
    </row>
    <row r="47">
      <c r="A47" s="83"/>
      <c r="B47" s="83"/>
      <c r="C47" s="83"/>
      <c r="D47" s="83"/>
      <c r="E47" s="118"/>
      <c r="F47" s="118"/>
      <c r="G47" s="118"/>
      <c r="H47" s="118"/>
      <c r="I47" s="118"/>
      <c r="J47" s="118"/>
      <c r="K47" s="118"/>
      <c r="L47" s="118"/>
      <c r="M47" s="134"/>
      <c r="N47" s="83"/>
      <c r="O47" s="83"/>
      <c r="P47" s="83"/>
      <c r="Q47" s="83"/>
      <c r="R47" s="83"/>
      <c r="S47" s="83"/>
      <c r="T47" s="83"/>
      <c r="U47" s="83"/>
      <c r="V47" s="83"/>
      <c r="W47" s="83"/>
      <c r="X47" s="83"/>
      <c r="Y47" s="83"/>
      <c r="Z47" s="83"/>
      <c r="AA47" s="83"/>
      <c r="AB47" s="83"/>
      <c r="AC47" s="83"/>
      <c r="AD47" s="83"/>
      <c r="AE47" s="83"/>
      <c r="AF47" s="83"/>
      <c r="AG47" s="83"/>
      <c r="AH47" s="83"/>
      <c r="AI47" s="83"/>
      <c r="AJ47" s="83"/>
      <c r="AK47" s="83"/>
    </row>
    <row r="48">
      <c r="A48" s="83"/>
      <c r="B48" s="83"/>
      <c r="C48" s="83"/>
      <c r="D48" s="83"/>
      <c r="E48" s="118"/>
      <c r="F48" s="118"/>
      <c r="G48" s="118"/>
      <c r="H48" s="118"/>
      <c r="I48" s="118"/>
      <c r="J48" s="118"/>
      <c r="K48" s="118"/>
      <c r="L48" s="118"/>
      <c r="M48" s="118"/>
      <c r="N48" s="83"/>
      <c r="O48" s="83"/>
      <c r="P48" s="83"/>
      <c r="Q48" s="83"/>
      <c r="R48" s="83"/>
      <c r="S48" s="83"/>
      <c r="T48" s="83"/>
      <c r="U48" s="83"/>
      <c r="V48" s="83"/>
      <c r="W48" s="83"/>
      <c r="X48" s="83"/>
      <c r="Y48" s="83"/>
      <c r="Z48" s="83"/>
      <c r="AA48" s="83"/>
      <c r="AB48" s="83"/>
      <c r="AC48" s="83"/>
      <c r="AD48" s="83"/>
      <c r="AE48" s="83"/>
      <c r="AF48" s="83"/>
      <c r="AG48" s="83"/>
      <c r="AH48" s="83"/>
      <c r="AI48" s="83"/>
      <c r="AJ48" s="83"/>
      <c r="AK48" s="83"/>
    </row>
    <row r="49">
      <c r="A49" s="83"/>
      <c r="B49" s="83"/>
      <c r="C49" s="83"/>
      <c r="D49" s="83"/>
      <c r="E49" s="118"/>
      <c r="F49" s="118"/>
      <c r="G49" s="118"/>
      <c r="H49" s="118"/>
      <c r="I49" s="118"/>
      <c r="J49" s="118"/>
      <c r="K49" s="118"/>
      <c r="L49" s="118"/>
      <c r="M49" s="118"/>
      <c r="N49" s="83"/>
      <c r="O49" s="83"/>
      <c r="P49" s="83"/>
      <c r="Q49" s="83"/>
      <c r="R49" s="83"/>
      <c r="S49" s="83"/>
      <c r="T49" s="83"/>
      <c r="U49" s="83"/>
      <c r="V49" s="83"/>
      <c r="W49" s="83"/>
      <c r="X49" s="83"/>
      <c r="Y49" s="83"/>
      <c r="Z49" s="83"/>
      <c r="AA49" s="83"/>
      <c r="AB49" s="83"/>
      <c r="AC49" s="83"/>
      <c r="AD49" s="83"/>
      <c r="AE49" s="83"/>
      <c r="AF49" s="83"/>
      <c r="AG49" s="83"/>
      <c r="AH49" s="83"/>
      <c r="AI49" s="83"/>
      <c r="AJ49" s="83"/>
      <c r="AK49" s="83"/>
    </row>
    <row r="50">
      <c r="A50" s="83"/>
      <c r="B50" s="83"/>
      <c r="C50" s="83"/>
      <c r="D50" s="83"/>
      <c r="E50" s="118"/>
      <c r="F50" s="118"/>
      <c r="G50" s="118"/>
      <c r="H50" s="118"/>
      <c r="I50" s="118"/>
      <c r="J50" s="118"/>
      <c r="K50" s="118"/>
      <c r="L50" s="118"/>
      <c r="M50" s="118"/>
      <c r="N50" s="83"/>
      <c r="O50" s="83"/>
      <c r="P50" s="83"/>
      <c r="Q50" s="83"/>
      <c r="R50" s="83"/>
      <c r="S50" s="83"/>
      <c r="T50" s="83"/>
      <c r="U50" s="83"/>
      <c r="V50" s="83"/>
      <c r="W50" s="83"/>
      <c r="X50" s="83"/>
      <c r="Y50" s="83"/>
      <c r="Z50" s="83"/>
      <c r="AA50" s="83"/>
      <c r="AB50" s="83"/>
      <c r="AC50" s="83"/>
      <c r="AD50" s="83"/>
      <c r="AE50" s="83"/>
      <c r="AF50" s="83"/>
      <c r="AG50" s="83"/>
      <c r="AH50" s="83"/>
      <c r="AI50" s="83"/>
      <c r="AJ50" s="83"/>
      <c r="AK50" s="83"/>
    </row>
    <row r="51">
      <c r="A51" s="83"/>
      <c r="B51" s="83"/>
      <c r="C51" s="83"/>
      <c r="D51" s="83"/>
      <c r="E51" s="118"/>
      <c r="F51" s="118"/>
      <c r="G51" s="118"/>
      <c r="H51" s="118"/>
      <c r="I51" s="118"/>
      <c r="J51" s="118"/>
      <c r="K51" s="118"/>
      <c r="L51" s="118"/>
      <c r="M51" s="118"/>
      <c r="N51" s="83"/>
      <c r="O51" s="83"/>
      <c r="P51" s="83"/>
      <c r="Q51" s="83"/>
      <c r="R51" s="83"/>
      <c r="S51" s="83"/>
      <c r="T51" s="83"/>
      <c r="U51" s="83"/>
      <c r="V51" s="83"/>
      <c r="W51" s="83"/>
      <c r="X51" s="83"/>
      <c r="Y51" s="83"/>
      <c r="Z51" s="83"/>
      <c r="AA51" s="83"/>
      <c r="AB51" s="83"/>
      <c r="AC51" s="83"/>
      <c r="AD51" s="83"/>
      <c r="AE51" s="83"/>
      <c r="AF51" s="83"/>
      <c r="AG51" s="83"/>
      <c r="AH51" s="83"/>
      <c r="AI51" s="83"/>
      <c r="AJ51" s="83"/>
      <c r="AK51" s="83"/>
    </row>
    <row r="52">
      <c r="A52" s="83"/>
      <c r="B52" s="83"/>
      <c r="C52" s="83"/>
      <c r="D52" s="83"/>
      <c r="E52" s="118"/>
      <c r="F52" s="118"/>
      <c r="G52" s="118"/>
      <c r="H52" s="118"/>
      <c r="I52" s="118"/>
      <c r="J52" s="118"/>
      <c r="K52" s="118"/>
      <c r="L52" s="118"/>
      <c r="M52" s="118"/>
      <c r="N52" s="83"/>
      <c r="O52" s="83"/>
      <c r="P52" s="83"/>
      <c r="Q52" s="83"/>
      <c r="R52" s="83"/>
      <c r="S52" s="83"/>
      <c r="T52" s="83"/>
      <c r="U52" s="83"/>
      <c r="V52" s="83"/>
      <c r="W52" s="83"/>
      <c r="X52" s="83"/>
      <c r="Y52" s="83"/>
      <c r="Z52" s="83"/>
      <c r="AA52" s="83"/>
      <c r="AB52" s="83"/>
      <c r="AC52" s="83"/>
      <c r="AD52" s="83"/>
      <c r="AE52" s="83"/>
      <c r="AF52" s="83"/>
      <c r="AG52" s="83"/>
      <c r="AH52" s="83"/>
      <c r="AI52" s="83"/>
      <c r="AJ52" s="83"/>
      <c r="AK52" s="83"/>
    </row>
    <row r="53">
      <c r="A53" s="83"/>
      <c r="B53" s="83"/>
      <c r="C53" s="83"/>
      <c r="D53" s="83"/>
      <c r="E53" s="118"/>
      <c r="F53" s="118"/>
      <c r="G53" s="118"/>
      <c r="H53" s="118"/>
      <c r="I53" s="118"/>
      <c r="J53" s="118"/>
      <c r="K53" s="118"/>
      <c r="L53" s="118"/>
      <c r="M53" s="118"/>
      <c r="N53" s="83"/>
      <c r="O53" s="83"/>
      <c r="P53" s="83"/>
      <c r="Q53" s="83"/>
      <c r="R53" s="83"/>
      <c r="S53" s="83"/>
      <c r="T53" s="83"/>
      <c r="U53" s="83"/>
      <c r="V53" s="83"/>
      <c r="W53" s="83"/>
      <c r="X53" s="83"/>
      <c r="Y53" s="83"/>
      <c r="Z53" s="83"/>
      <c r="AA53" s="83"/>
      <c r="AB53" s="83"/>
      <c r="AC53" s="83"/>
      <c r="AD53" s="83"/>
      <c r="AE53" s="83"/>
      <c r="AF53" s="83"/>
      <c r="AG53" s="83"/>
      <c r="AH53" s="83"/>
      <c r="AI53" s="83"/>
      <c r="AJ53" s="83"/>
      <c r="AK53" s="83"/>
    </row>
    <row r="54">
      <c r="A54" s="83"/>
      <c r="B54" s="83"/>
      <c r="C54" s="83"/>
      <c r="D54" s="83"/>
      <c r="E54" s="118"/>
      <c r="F54" s="118"/>
      <c r="G54" s="118"/>
      <c r="H54" s="118"/>
      <c r="I54" s="118"/>
      <c r="J54" s="118"/>
      <c r="K54" s="118"/>
      <c r="L54" s="118"/>
      <c r="M54" s="118"/>
      <c r="N54" s="83"/>
      <c r="O54" s="83"/>
      <c r="P54" s="83"/>
      <c r="Q54" s="83"/>
      <c r="R54" s="83"/>
      <c r="S54" s="83"/>
      <c r="T54" s="83"/>
      <c r="U54" s="83"/>
      <c r="V54" s="83"/>
      <c r="W54" s="83"/>
      <c r="X54" s="83"/>
      <c r="Y54" s="83"/>
      <c r="Z54" s="83"/>
      <c r="AA54" s="83"/>
      <c r="AB54" s="83"/>
      <c r="AC54" s="83"/>
      <c r="AD54" s="83"/>
      <c r="AE54" s="83"/>
      <c r="AF54" s="83"/>
      <c r="AG54" s="83"/>
      <c r="AH54" s="83"/>
      <c r="AI54" s="83"/>
      <c r="AJ54" s="83"/>
      <c r="AK54" s="83"/>
    </row>
    <row r="55">
      <c r="A55" s="83"/>
      <c r="B55" s="83"/>
      <c r="C55" s="83"/>
      <c r="D55" s="83"/>
      <c r="E55" s="118"/>
      <c r="F55" s="118"/>
      <c r="G55" s="118"/>
      <c r="H55" s="118"/>
      <c r="I55" s="118"/>
      <c r="J55" s="118"/>
      <c r="K55" s="118"/>
      <c r="L55" s="118"/>
      <c r="M55" s="118"/>
      <c r="N55" s="83"/>
      <c r="O55" s="83"/>
      <c r="P55" s="83"/>
      <c r="Q55" s="83"/>
      <c r="R55" s="83"/>
      <c r="S55" s="83"/>
      <c r="T55" s="83"/>
      <c r="U55" s="83"/>
      <c r="V55" s="83"/>
      <c r="W55" s="83"/>
      <c r="X55" s="83"/>
      <c r="Y55" s="83"/>
      <c r="Z55" s="83"/>
      <c r="AA55" s="83"/>
      <c r="AB55" s="83"/>
      <c r="AC55" s="83"/>
      <c r="AD55" s="83"/>
      <c r="AE55" s="83"/>
      <c r="AF55" s="83"/>
      <c r="AG55" s="83"/>
      <c r="AH55" s="83"/>
      <c r="AI55" s="83"/>
      <c r="AJ55" s="83"/>
      <c r="AK55" s="83"/>
    </row>
    <row r="56">
      <c r="A56" s="83"/>
      <c r="B56" s="83"/>
      <c r="C56" s="83"/>
      <c r="D56" s="83"/>
      <c r="E56" s="118"/>
      <c r="F56" s="118"/>
      <c r="G56" s="118"/>
      <c r="H56" s="118"/>
      <c r="I56" s="118"/>
      <c r="J56" s="118"/>
      <c r="K56" s="118"/>
      <c r="L56" s="118"/>
      <c r="M56" s="118"/>
      <c r="N56" s="83"/>
      <c r="O56" s="83"/>
      <c r="P56" s="83"/>
      <c r="Q56" s="83"/>
      <c r="R56" s="83"/>
      <c r="S56" s="83"/>
      <c r="T56" s="83"/>
      <c r="U56" s="83"/>
      <c r="V56" s="83"/>
      <c r="W56" s="83"/>
      <c r="X56" s="83"/>
      <c r="Y56" s="83"/>
      <c r="Z56" s="83"/>
      <c r="AA56" s="83"/>
      <c r="AB56" s="83"/>
      <c r="AC56" s="83"/>
      <c r="AD56" s="83"/>
      <c r="AE56" s="83"/>
      <c r="AF56" s="83"/>
      <c r="AG56" s="83"/>
      <c r="AH56" s="83"/>
      <c r="AI56" s="83"/>
      <c r="AJ56" s="83"/>
      <c r="AK56" s="83"/>
    </row>
    <row r="57">
      <c r="A57" s="83"/>
      <c r="B57" s="83"/>
      <c r="C57" s="83"/>
      <c r="D57" s="83"/>
      <c r="E57" s="118"/>
      <c r="F57" s="118"/>
      <c r="G57" s="118"/>
      <c r="H57" s="118"/>
      <c r="I57" s="118"/>
      <c r="J57" s="118"/>
      <c r="K57" s="118"/>
      <c r="L57" s="118"/>
      <c r="M57" s="118"/>
      <c r="N57" s="83"/>
      <c r="O57" s="83"/>
      <c r="P57" s="83"/>
      <c r="Q57" s="83"/>
      <c r="R57" s="83"/>
      <c r="S57" s="83"/>
      <c r="T57" s="83"/>
      <c r="U57" s="83"/>
      <c r="V57" s="83"/>
      <c r="W57" s="83"/>
      <c r="X57" s="83"/>
      <c r="Y57" s="83"/>
      <c r="Z57" s="83"/>
      <c r="AA57" s="83"/>
      <c r="AB57" s="83"/>
      <c r="AC57" s="83"/>
      <c r="AD57" s="83"/>
      <c r="AE57" s="83"/>
      <c r="AF57" s="83"/>
      <c r="AG57" s="83"/>
      <c r="AH57" s="83"/>
      <c r="AI57" s="83"/>
      <c r="AJ57" s="83"/>
      <c r="AK57" s="83"/>
    </row>
    <row r="58">
      <c r="A58" s="83"/>
      <c r="B58" s="83"/>
      <c r="C58" s="83"/>
      <c r="D58" s="83"/>
      <c r="E58" s="118"/>
      <c r="F58" s="118"/>
      <c r="G58" s="118"/>
      <c r="H58" s="118"/>
      <c r="I58" s="118"/>
      <c r="J58" s="118"/>
      <c r="K58" s="118"/>
      <c r="L58" s="118"/>
      <c r="M58" s="118"/>
      <c r="N58" s="83"/>
      <c r="O58" s="83"/>
      <c r="P58" s="83"/>
      <c r="Q58" s="83"/>
      <c r="R58" s="83"/>
      <c r="S58" s="83"/>
      <c r="T58" s="83"/>
      <c r="U58" s="83"/>
      <c r="V58" s="83"/>
      <c r="W58" s="83"/>
      <c r="X58" s="83"/>
      <c r="Y58" s="83"/>
      <c r="Z58" s="83"/>
      <c r="AA58" s="83"/>
      <c r="AB58" s="83"/>
      <c r="AC58" s="83"/>
      <c r="AD58" s="83"/>
      <c r="AE58" s="83"/>
      <c r="AF58" s="83"/>
      <c r="AG58" s="83"/>
      <c r="AH58" s="83"/>
      <c r="AI58" s="83"/>
      <c r="AJ58" s="83"/>
      <c r="AK58" s="83"/>
    </row>
    <row r="59">
      <c r="A59" s="83"/>
      <c r="B59" s="83"/>
      <c r="C59" s="83"/>
      <c r="D59" s="83"/>
      <c r="E59" s="118"/>
      <c r="F59" s="118"/>
      <c r="G59" s="118"/>
      <c r="H59" s="118"/>
      <c r="I59" s="118"/>
      <c r="J59" s="118"/>
      <c r="K59" s="118"/>
      <c r="L59" s="118"/>
      <c r="M59" s="118"/>
      <c r="N59" s="83"/>
      <c r="O59" s="83"/>
      <c r="P59" s="83"/>
      <c r="Q59" s="83"/>
      <c r="R59" s="83"/>
      <c r="S59" s="83"/>
      <c r="T59" s="83"/>
      <c r="U59" s="83"/>
      <c r="V59" s="83"/>
      <c r="W59" s="83"/>
      <c r="X59" s="83"/>
      <c r="Y59" s="83"/>
      <c r="Z59" s="83"/>
      <c r="AA59" s="83"/>
      <c r="AB59" s="83"/>
      <c r="AC59" s="83"/>
      <c r="AD59" s="83"/>
      <c r="AE59" s="83"/>
      <c r="AF59" s="83"/>
      <c r="AG59" s="83"/>
      <c r="AH59" s="83"/>
      <c r="AI59" s="83"/>
      <c r="AJ59" s="83"/>
      <c r="AK59" s="83"/>
    </row>
    <row r="60">
      <c r="A60" s="83"/>
      <c r="B60" s="83"/>
      <c r="C60" s="83"/>
      <c r="D60" s="83"/>
      <c r="E60" s="118"/>
      <c r="F60" s="118"/>
      <c r="G60" s="118"/>
      <c r="H60" s="118"/>
      <c r="I60" s="118"/>
      <c r="J60" s="118"/>
      <c r="K60" s="118"/>
      <c r="L60" s="118"/>
      <c r="M60" s="118"/>
      <c r="N60" s="83"/>
      <c r="O60" s="83"/>
      <c r="P60" s="83"/>
      <c r="Q60" s="83"/>
      <c r="R60" s="83"/>
      <c r="S60" s="83"/>
      <c r="T60" s="83"/>
      <c r="U60" s="83"/>
      <c r="V60" s="83"/>
      <c r="W60" s="83"/>
      <c r="X60" s="83"/>
      <c r="Y60" s="83"/>
      <c r="Z60" s="83"/>
      <c r="AA60" s="83"/>
      <c r="AB60" s="83"/>
      <c r="AC60" s="83"/>
      <c r="AD60" s="83"/>
      <c r="AE60" s="83"/>
      <c r="AF60" s="83"/>
      <c r="AG60" s="83"/>
      <c r="AH60" s="83"/>
      <c r="AI60" s="83"/>
      <c r="AJ60" s="83"/>
      <c r="AK60" s="83"/>
    </row>
    <row r="61">
      <c r="A61" s="83"/>
      <c r="B61" s="83"/>
      <c r="C61" s="83"/>
      <c r="D61" s="83"/>
      <c r="E61" s="118"/>
      <c r="F61" s="118"/>
      <c r="G61" s="118"/>
      <c r="H61" s="118"/>
      <c r="I61" s="118"/>
      <c r="J61" s="118"/>
      <c r="K61" s="118"/>
      <c r="L61" s="118"/>
      <c r="M61" s="118"/>
      <c r="N61" s="83"/>
      <c r="O61" s="83"/>
      <c r="P61" s="83"/>
      <c r="Q61" s="83"/>
      <c r="R61" s="83"/>
      <c r="S61" s="83"/>
      <c r="T61" s="83"/>
      <c r="U61" s="83"/>
      <c r="V61" s="83"/>
      <c r="W61" s="83"/>
      <c r="X61" s="83"/>
      <c r="Y61" s="83"/>
      <c r="Z61" s="83"/>
      <c r="AA61" s="83"/>
      <c r="AB61" s="83"/>
      <c r="AC61" s="83"/>
      <c r="AD61" s="83"/>
      <c r="AE61" s="83"/>
      <c r="AF61" s="83"/>
      <c r="AG61" s="83"/>
      <c r="AH61" s="83"/>
      <c r="AI61" s="83"/>
      <c r="AJ61" s="83"/>
      <c r="AK61" s="83"/>
    </row>
    <row r="62">
      <c r="A62" s="83"/>
      <c r="B62" s="83"/>
      <c r="C62" s="83"/>
      <c r="D62" s="83"/>
      <c r="E62" s="118"/>
      <c r="F62" s="118"/>
      <c r="G62" s="118"/>
      <c r="H62" s="118"/>
      <c r="I62" s="118"/>
      <c r="J62" s="118"/>
      <c r="K62" s="118"/>
      <c r="L62" s="118"/>
      <c r="M62" s="118"/>
      <c r="N62" s="83"/>
      <c r="O62" s="83"/>
      <c r="P62" s="83"/>
      <c r="Q62" s="83"/>
      <c r="R62" s="83"/>
      <c r="S62" s="83"/>
      <c r="T62" s="83"/>
      <c r="U62" s="83"/>
      <c r="V62" s="83"/>
      <c r="W62" s="83"/>
      <c r="X62" s="83"/>
      <c r="Y62" s="83"/>
      <c r="Z62" s="83"/>
      <c r="AA62" s="83"/>
      <c r="AB62" s="83"/>
      <c r="AC62" s="83"/>
      <c r="AD62" s="83"/>
      <c r="AE62" s="83"/>
      <c r="AF62" s="83"/>
      <c r="AG62" s="83"/>
      <c r="AH62" s="83"/>
      <c r="AI62" s="83"/>
      <c r="AJ62" s="83"/>
      <c r="AK62" s="83"/>
    </row>
    <row r="63">
      <c r="A63" s="83"/>
      <c r="B63" s="83"/>
      <c r="C63" s="83"/>
      <c r="D63" s="83"/>
      <c r="E63" s="118"/>
      <c r="F63" s="118"/>
      <c r="G63" s="118"/>
      <c r="H63" s="118"/>
      <c r="I63" s="118"/>
      <c r="J63" s="118"/>
      <c r="K63" s="118"/>
      <c r="L63" s="118"/>
      <c r="M63" s="118"/>
      <c r="N63" s="83"/>
      <c r="O63" s="83"/>
      <c r="P63" s="83"/>
      <c r="Q63" s="83"/>
      <c r="R63" s="83"/>
      <c r="S63" s="83"/>
      <c r="T63" s="83"/>
      <c r="U63" s="83"/>
      <c r="V63" s="83"/>
      <c r="W63" s="83"/>
      <c r="X63" s="83"/>
      <c r="Y63" s="83"/>
      <c r="Z63" s="83"/>
      <c r="AA63" s="83"/>
      <c r="AB63" s="83"/>
      <c r="AC63" s="83"/>
      <c r="AD63" s="83"/>
      <c r="AE63" s="83"/>
      <c r="AF63" s="83"/>
      <c r="AG63" s="83"/>
      <c r="AH63" s="83"/>
      <c r="AI63" s="83"/>
      <c r="AJ63" s="83"/>
      <c r="AK63" s="83"/>
    </row>
    <row r="64">
      <c r="A64" s="83"/>
      <c r="B64" s="83"/>
      <c r="C64" s="83"/>
      <c r="D64" s="83"/>
      <c r="E64" s="118"/>
      <c r="F64" s="118"/>
      <c r="G64" s="118"/>
      <c r="H64" s="118"/>
      <c r="I64" s="118"/>
      <c r="J64" s="118"/>
      <c r="K64" s="118"/>
      <c r="L64" s="118"/>
      <c r="M64" s="118"/>
      <c r="N64" s="83"/>
      <c r="O64" s="83"/>
      <c r="P64" s="83"/>
      <c r="Q64" s="83"/>
      <c r="R64" s="83"/>
      <c r="S64" s="83"/>
      <c r="T64" s="83"/>
      <c r="U64" s="83"/>
      <c r="V64" s="83"/>
      <c r="W64" s="83"/>
      <c r="X64" s="83"/>
      <c r="Y64" s="83"/>
      <c r="Z64" s="83"/>
      <c r="AA64" s="83"/>
      <c r="AB64" s="83"/>
      <c r="AC64" s="83"/>
      <c r="AD64" s="83"/>
      <c r="AE64" s="83"/>
      <c r="AF64" s="83"/>
      <c r="AG64" s="83"/>
      <c r="AH64" s="83"/>
      <c r="AI64" s="83"/>
      <c r="AJ64" s="83"/>
      <c r="AK64" s="83"/>
    </row>
    <row r="65">
      <c r="A65" s="83"/>
      <c r="B65" s="83"/>
      <c r="C65" s="83"/>
      <c r="D65" s="83"/>
      <c r="E65" s="118"/>
      <c r="F65" s="118"/>
      <c r="G65" s="118"/>
      <c r="H65" s="118"/>
      <c r="I65" s="118"/>
      <c r="J65" s="118"/>
      <c r="K65" s="118"/>
      <c r="L65" s="118"/>
      <c r="M65" s="118"/>
      <c r="N65" s="83"/>
      <c r="O65" s="83"/>
      <c r="P65" s="83"/>
      <c r="Q65" s="83"/>
      <c r="R65" s="83"/>
      <c r="S65" s="83"/>
      <c r="T65" s="83"/>
      <c r="U65" s="83"/>
      <c r="V65" s="83"/>
      <c r="W65" s="83"/>
      <c r="X65" s="83"/>
      <c r="Y65" s="83"/>
      <c r="Z65" s="83"/>
      <c r="AA65" s="83"/>
      <c r="AB65" s="83"/>
      <c r="AC65" s="83"/>
      <c r="AD65" s="83"/>
      <c r="AE65" s="83"/>
      <c r="AF65" s="83"/>
      <c r="AG65" s="83"/>
      <c r="AH65" s="83"/>
      <c r="AI65" s="83"/>
      <c r="AJ65" s="83"/>
      <c r="AK65" s="83"/>
    </row>
    <row r="66">
      <c r="A66" s="83"/>
      <c r="B66" s="83"/>
      <c r="C66" s="83"/>
      <c r="D66" s="83"/>
      <c r="E66" s="118"/>
      <c r="F66" s="118"/>
      <c r="G66" s="118"/>
      <c r="H66" s="118"/>
      <c r="I66" s="118"/>
      <c r="J66" s="118"/>
      <c r="K66" s="118"/>
      <c r="L66" s="118"/>
      <c r="M66" s="118"/>
      <c r="N66" s="83"/>
      <c r="O66" s="83"/>
      <c r="P66" s="83"/>
      <c r="Q66" s="83"/>
      <c r="R66" s="83"/>
      <c r="S66" s="83"/>
      <c r="T66" s="83"/>
      <c r="U66" s="83"/>
      <c r="V66" s="83"/>
      <c r="W66" s="83"/>
      <c r="X66" s="83"/>
      <c r="Y66" s="83"/>
      <c r="Z66" s="83"/>
      <c r="AA66" s="83"/>
      <c r="AB66" s="83"/>
      <c r="AC66" s="83"/>
      <c r="AD66" s="83"/>
      <c r="AE66" s="83"/>
      <c r="AF66" s="83"/>
      <c r="AG66" s="83"/>
      <c r="AH66" s="83"/>
      <c r="AI66" s="83"/>
      <c r="AJ66" s="83"/>
      <c r="AK66" s="83"/>
    </row>
    <row r="67">
      <c r="A67" s="83"/>
      <c r="B67" s="83"/>
      <c r="C67" s="83"/>
      <c r="D67" s="83"/>
      <c r="E67" s="118"/>
      <c r="F67" s="118"/>
      <c r="G67" s="118"/>
      <c r="H67" s="118"/>
      <c r="I67" s="118"/>
      <c r="J67" s="118"/>
      <c r="K67" s="118"/>
      <c r="L67" s="118"/>
      <c r="M67" s="118"/>
      <c r="N67" s="83"/>
      <c r="O67" s="83"/>
      <c r="P67" s="83"/>
      <c r="Q67" s="83"/>
      <c r="R67" s="83"/>
      <c r="S67" s="83"/>
      <c r="T67" s="83"/>
      <c r="U67" s="83"/>
      <c r="V67" s="83"/>
      <c r="W67" s="83"/>
      <c r="X67" s="83"/>
      <c r="Y67" s="83"/>
      <c r="Z67" s="83"/>
      <c r="AA67" s="83"/>
      <c r="AB67" s="83"/>
      <c r="AC67" s="83"/>
      <c r="AD67" s="83"/>
      <c r="AE67" s="83"/>
      <c r="AF67" s="83"/>
      <c r="AG67" s="83"/>
      <c r="AH67" s="83"/>
      <c r="AI67" s="83"/>
      <c r="AJ67" s="83"/>
      <c r="AK67" s="83"/>
    </row>
    <row r="68">
      <c r="A68" s="83"/>
      <c r="B68" s="83"/>
      <c r="C68" s="83"/>
      <c r="D68" s="83"/>
      <c r="E68" s="118"/>
      <c r="F68" s="118"/>
      <c r="G68" s="118"/>
      <c r="H68" s="118"/>
      <c r="I68" s="118"/>
      <c r="J68" s="118"/>
      <c r="K68" s="118"/>
      <c r="L68" s="118"/>
      <c r="M68" s="118"/>
      <c r="N68" s="83"/>
      <c r="O68" s="83"/>
      <c r="P68" s="83"/>
      <c r="Q68" s="83"/>
      <c r="R68" s="83"/>
      <c r="S68" s="83"/>
      <c r="T68" s="83"/>
      <c r="U68" s="83"/>
      <c r="V68" s="83"/>
      <c r="W68" s="83"/>
      <c r="X68" s="83"/>
      <c r="Y68" s="83"/>
      <c r="Z68" s="83"/>
      <c r="AA68" s="83"/>
      <c r="AB68" s="83"/>
      <c r="AC68" s="83"/>
      <c r="AD68" s="83"/>
      <c r="AE68" s="83"/>
      <c r="AF68" s="83"/>
      <c r="AG68" s="83"/>
      <c r="AH68" s="83"/>
      <c r="AI68" s="83"/>
      <c r="AJ68" s="83"/>
      <c r="AK68" s="83"/>
    </row>
    <row r="69">
      <c r="A69" s="83"/>
      <c r="B69" s="83"/>
      <c r="C69" s="83"/>
      <c r="D69" s="83"/>
      <c r="E69" s="118"/>
      <c r="F69" s="118"/>
      <c r="G69" s="118"/>
      <c r="H69" s="118"/>
      <c r="I69" s="118"/>
      <c r="J69" s="118"/>
      <c r="K69" s="118"/>
      <c r="L69" s="118"/>
      <c r="M69" s="118"/>
      <c r="N69" s="83"/>
      <c r="O69" s="83"/>
      <c r="P69" s="83"/>
      <c r="Q69" s="83"/>
      <c r="R69" s="83"/>
      <c r="S69" s="83"/>
      <c r="T69" s="83"/>
      <c r="U69" s="83"/>
      <c r="V69" s="83"/>
      <c r="W69" s="83"/>
      <c r="X69" s="83"/>
      <c r="Y69" s="83"/>
      <c r="Z69" s="83"/>
      <c r="AA69" s="83"/>
      <c r="AB69" s="83"/>
      <c r="AC69" s="83"/>
      <c r="AD69" s="83"/>
      <c r="AE69" s="83"/>
      <c r="AF69" s="83"/>
      <c r="AG69" s="83"/>
      <c r="AH69" s="83"/>
      <c r="AI69" s="83"/>
      <c r="AJ69" s="83"/>
      <c r="AK69" s="83"/>
    </row>
    <row r="70">
      <c r="A70" s="83"/>
      <c r="B70" s="83"/>
      <c r="C70" s="83"/>
      <c r="D70" s="83"/>
      <c r="E70" s="118"/>
      <c r="F70" s="118"/>
      <c r="G70" s="118"/>
      <c r="H70" s="118"/>
      <c r="I70" s="118"/>
      <c r="J70" s="118"/>
      <c r="K70" s="118"/>
      <c r="L70" s="118"/>
      <c r="M70" s="118"/>
      <c r="N70" s="83"/>
      <c r="O70" s="83"/>
      <c r="P70" s="83"/>
      <c r="Q70" s="83"/>
      <c r="R70" s="83"/>
      <c r="S70" s="83"/>
      <c r="T70" s="83"/>
      <c r="U70" s="83"/>
      <c r="V70" s="83"/>
      <c r="W70" s="83"/>
      <c r="X70" s="83"/>
      <c r="Y70" s="83"/>
      <c r="Z70" s="83"/>
      <c r="AA70" s="83"/>
      <c r="AB70" s="83"/>
      <c r="AC70" s="83"/>
      <c r="AD70" s="83"/>
      <c r="AE70" s="83"/>
      <c r="AF70" s="83"/>
      <c r="AG70" s="83"/>
      <c r="AH70" s="83"/>
      <c r="AI70" s="83"/>
      <c r="AJ70" s="83"/>
      <c r="AK70" s="83"/>
    </row>
    <row r="71">
      <c r="A71" s="83"/>
      <c r="B71" s="83"/>
      <c r="C71" s="83"/>
      <c r="D71" s="83"/>
      <c r="E71" s="118"/>
      <c r="F71" s="118"/>
      <c r="G71" s="118"/>
      <c r="H71" s="118"/>
      <c r="I71" s="118"/>
      <c r="J71" s="118"/>
      <c r="K71" s="118"/>
      <c r="L71" s="118"/>
      <c r="M71" s="118"/>
      <c r="N71" s="83"/>
      <c r="O71" s="83"/>
      <c r="P71" s="83"/>
      <c r="Q71" s="83"/>
      <c r="R71" s="83"/>
      <c r="S71" s="83"/>
      <c r="T71" s="83"/>
      <c r="U71" s="83"/>
      <c r="V71" s="83"/>
      <c r="W71" s="83"/>
      <c r="X71" s="83"/>
      <c r="Y71" s="83"/>
      <c r="Z71" s="83"/>
      <c r="AA71" s="83"/>
      <c r="AB71" s="83"/>
      <c r="AC71" s="83"/>
      <c r="AD71" s="83"/>
      <c r="AE71" s="83"/>
      <c r="AF71" s="83"/>
      <c r="AG71" s="83"/>
      <c r="AH71" s="83"/>
      <c r="AI71" s="83"/>
      <c r="AJ71" s="83"/>
      <c r="AK71" s="83"/>
    </row>
    <row r="72">
      <c r="A72" s="83"/>
      <c r="B72" s="83"/>
      <c r="C72" s="83"/>
      <c r="D72" s="83"/>
      <c r="E72" s="118"/>
      <c r="F72" s="118"/>
      <c r="G72" s="118"/>
      <c r="H72" s="118"/>
      <c r="I72" s="118"/>
      <c r="J72" s="118"/>
      <c r="K72" s="118"/>
      <c r="L72" s="118"/>
      <c r="M72" s="118"/>
      <c r="N72" s="83"/>
      <c r="O72" s="83"/>
      <c r="P72" s="83"/>
      <c r="Q72" s="83"/>
      <c r="R72" s="83"/>
      <c r="S72" s="83"/>
      <c r="T72" s="83"/>
      <c r="U72" s="83"/>
      <c r="V72" s="83"/>
      <c r="W72" s="83"/>
      <c r="X72" s="83"/>
      <c r="Y72" s="83"/>
      <c r="Z72" s="83"/>
      <c r="AA72" s="83"/>
      <c r="AB72" s="83"/>
      <c r="AC72" s="83"/>
      <c r="AD72" s="83"/>
      <c r="AE72" s="83"/>
      <c r="AF72" s="83"/>
      <c r="AG72" s="83"/>
      <c r="AH72" s="83"/>
      <c r="AI72" s="83"/>
      <c r="AJ72" s="83"/>
      <c r="AK72" s="83"/>
    </row>
    <row r="73">
      <c r="A73" s="83"/>
      <c r="B73" s="83"/>
      <c r="C73" s="83"/>
      <c r="D73" s="83"/>
      <c r="E73" s="118"/>
      <c r="F73" s="118"/>
      <c r="G73" s="118"/>
      <c r="H73" s="118"/>
      <c r="I73" s="118"/>
      <c r="J73" s="118"/>
      <c r="K73" s="118"/>
      <c r="L73" s="118"/>
      <c r="M73" s="118"/>
      <c r="N73" s="83"/>
      <c r="O73" s="83"/>
      <c r="P73" s="83"/>
      <c r="Q73" s="83"/>
      <c r="R73" s="83"/>
      <c r="S73" s="83"/>
      <c r="T73" s="83"/>
      <c r="U73" s="83"/>
      <c r="V73" s="83"/>
      <c r="W73" s="83"/>
      <c r="X73" s="83"/>
      <c r="Y73" s="83"/>
      <c r="Z73" s="83"/>
      <c r="AA73" s="83"/>
      <c r="AB73" s="83"/>
      <c r="AC73" s="83"/>
      <c r="AD73" s="83"/>
      <c r="AE73" s="83"/>
      <c r="AF73" s="83"/>
      <c r="AG73" s="83"/>
      <c r="AH73" s="83"/>
      <c r="AI73" s="83"/>
      <c r="AJ73" s="83"/>
      <c r="AK73" s="83"/>
    </row>
    <row r="74">
      <c r="A74" s="83"/>
      <c r="B74" s="83"/>
      <c r="C74" s="83"/>
      <c r="D74" s="83"/>
      <c r="E74" s="118"/>
      <c r="F74" s="118"/>
      <c r="G74" s="118"/>
      <c r="H74" s="118"/>
      <c r="I74" s="118"/>
      <c r="J74" s="118"/>
      <c r="K74" s="118"/>
      <c r="L74" s="118"/>
      <c r="M74" s="118"/>
      <c r="N74" s="83"/>
      <c r="O74" s="83"/>
      <c r="P74" s="83"/>
      <c r="Q74" s="83"/>
      <c r="R74" s="83"/>
      <c r="S74" s="83"/>
      <c r="T74" s="83"/>
      <c r="U74" s="83"/>
      <c r="V74" s="83"/>
      <c r="W74" s="83"/>
      <c r="X74" s="83"/>
      <c r="Y74" s="83"/>
      <c r="Z74" s="83"/>
      <c r="AA74" s="83"/>
      <c r="AB74" s="83"/>
      <c r="AC74" s="83"/>
      <c r="AD74" s="83"/>
      <c r="AE74" s="83"/>
      <c r="AF74" s="83"/>
      <c r="AG74" s="83"/>
      <c r="AH74" s="83"/>
      <c r="AI74" s="83"/>
      <c r="AJ74" s="83"/>
      <c r="AK74" s="83"/>
    </row>
    <row r="75">
      <c r="A75" s="83"/>
      <c r="B75" s="83"/>
      <c r="C75" s="83"/>
      <c r="D75" s="83"/>
      <c r="E75" s="118"/>
      <c r="F75" s="118"/>
      <c r="G75" s="118"/>
      <c r="H75" s="118"/>
      <c r="I75" s="118"/>
      <c r="J75" s="118"/>
      <c r="K75" s="118"/>
      <c r="L75" s="118"/>
      <c r="M75" s="118"/>
      <c r="N75" s="83"/>
      <c r="O75" s="83"/>
      <c r="P75" s="83"/>
      <c r="Q75" s="83"/>
      <c r="R75" s="83"/>
      <c r="S75" s="83"/>
      <c r="T75" s="83"/>
      <c r="U75" s="83"/>
      <c r="V75" s="83"/>
      <c r="W75" s="83"/>
      <c r="X75" s="83"/>
      <c r="Y75" s="83"/>
      <c r="Z75" s="83"/>
      <c r="AA75" s="83"/>
      <c r="AB75" s="83"/>
      <c r="AC75" s="83"/>
      <c r="AD75" s="83"/>
      <c r="AE75" s="83"/>
      <c r="AF75" s="83"/>
      <c r="AG75" s="83"/>
      <c r="AH75" s="83"/>
      <c r="AI75" s="83"/>
      <c r="AJ75" s="83"/>
      <c r="AK75" s="83"/>
    </row>
    <row r="76">
      <c r="A76" s="83"/>
      <c r="B76" s="83"/>
      <c r="C76" s="83"/>
      <c r="D76" s="83"/>
      <c r="E76" s="118"/>
      <c r="F76" s="118"/>
      <c r="G76" s="118"/>
      <c r="H76" s="118"/>
      <c r="I76" s="118"/>
      <c r="J76" s="118"/>
      <c r="K76" s="118"/>
      <c r="L76" s="118"/>
      <c r="M76" s="118"/>
      <c r="N76" s="83"/>
      <c r="O76" s="83"/>
      <c r="P76" s="83"/>
      <c r="Q76" s="83"/>
      <c r="R76" s="83"/>
      <c r="S76" s="83"/>
      <c r="T76" s="83"/>
      <c r="U76" s="83"/>
      <c r="V76" s="83"/>
      <c r="W76" s="83"/>
      <c r="X76" s="83"/>
      <c r="Y76" s="83"/>
      <c r="Z76" s="83"/>
      <c r="AA76" s="83"/>
      <c r="AB76" s="83"/>
      <c r="AC76" s="83"/>
      <c r="AD76" s="83"/>
      <c r="AE76" s="83"/>
      <c r="AF76" s="83"/>
      <c r="AG76" s="83"/>
      <c r="AH76" s="83"/>
      <c r="AI76" s="83"/>
      <c r="AJ76" s="83"/>
      <c r="AK76" s="83"/>
    </row>
    <row r="77">
      <c r="A77" s="83"/>
      <c r="B77" s="83"/>
      <c r="C77" s="83"/>
      <c r="D77" s="83"/>
      <c r="E77" s="118"/>
      <c r="F77" s="118"/>
      <c r="G77" s="118"/>
      <c r="H77" s="118"/>
      <c r="I77" s="118"/>
      <c r="J77" s="118"/>
      <c r="K77" s="118"/>
      <c r="L77" s="118"/>
      <c r="M77" s="118"/>
      <c r="N77" s="83"/>
      <c r="O77" s="83"/>
      <c r="P77" s="83"/>
      <c r="Q77" s="83"/>
      <c r="R77" s="83"/>
      <c r="S77" s="83"/>
      <c r="T77" s="83"/>
      <c r="U77" s="83"/>
      <c r="V77" s="83"/>
      <c r="W77" s="83"/>
      <c r="X77" s="83"/>
      <c r="Y77" s="83"/>
      <c r="Z77" s="83"/>
      <c r="AA77" s="83"/>
      <c r="AB77" s="83"/>
      <c r="AC77" s="83"/>
      <c r="AD77" s="83"/>
      <c r="AE77" s="83"/>
      <c r="AF77" s="83"/>
      <c r="AG77" s="83"/>
      <c r="AH77" s="83"/>
      <c r="AI77" s="83"/>
      <c r="AJ77" s="83"/>
      <c r="AK77" s="83"/>
    </row>
    <row r="78">
      <c r="A78" s="83"/>
      <c r="B78" s="83"/>
      <c r="C78" s="83"/>
      <c r="D78" s="83"/>
      <c r="E78" s="118"/>
      <c r="F78" s="118"/>
      <c r="G78" s="118"/>
      <c r="H78" s="118"/>
      <c r="I78" s="118"/>
      <c r="J78" s="118"/>
      <c r="K78" s="118"/>
      <c r="L78" s="118"/>
      <c r="M78" s="118"/>
      <c r="N78" s="83"/>
      <c r="O78" s="83"/>
      <c r="P78" s="83"/>
      <c r="Q78" s="83"/>
      <c r="R78" s="83"/>
      <c r="S78" s="83"/>
      <c r="T78" s="83"/>
      <c r="U78" s="83"/>
      <c r="V78" s="83"/>
      <c r="W78" s="83"/>
      <c r="X78" s="83"/>
      <c r="Y78" s="83"/>
      <c r="Z78" s="83"/>
      <c r="AA78" s="83"/>
      <c r="AB78" s="83"/>
      <c r="AC78" s="83"/>
      <c r="AD78" s="83"/>
      <c r="AE78" s="83"/>
      <c r="AF78" s="83"/>
      <c r="AG78" s="83"/>
      <c r="AH78" s="83"/>
      <c r="AI78" s="83"/>
      <c r="AJ78" s="83"/>
      <c r="AK78" s="83"/>
    </row>
    <row r="79">
      <c r="A79" s="83"/>
      <c r="B79" s="83"/>
      <c r="C79" s="83"/>
      <c r="D79" s="83"/>
      <c r="E79" s="118"/>
      <c r="F79" s="118"/>
      <c r="G79" s="118"/>
      <c r="H79" s="118"/>
      <c r="I79" s="118"/>
      <c r="J79" s="118"/>
      <c r="K79" s="118"/>
      <c r="L79" s="118"/>
      <c r="M79" s="118"/>
      <c r="N79" s="83"/>
      <c r="O79" s="83"/>
      <c r="P79" s="83"/>
      <c r="Q79" s="83"/>
      <c r="R79" s="83"/>
      <c r="S79" s="83"/>
      <c r="T79" s="83"/>
      <c r="U79" s="83"/>
      <c r="V79" s="83"/>
      <c r="W79" s="83"/>
      <c r="X79" s="83"/>
      <c r="Y79" s="83"/>
      <c r="Z79" s="83"/>
      <c r="AA79" s="83"/>
      <c r="AB79" s="83"/>
      <c r="AC79" s="83"/>
      <c r="AD79" s="83"/>
      <c r="AE79" s="83"/>
      <c r="AF79" s="83"/>
      <c r="AG79" s="83"/>
      <c r="AH79" s="83"/>
      <c r="AI79" s="83"/>
      <c r="AJ79" s="83"/>
      <c r="AK79" s="83"/>
    </row>
    <row r="80">
      <c r="A80" s="83"/>
      <c r="B80" s="83"/>
      <c r="C80" s="83"/>
      <c r="D80" s="83"/>
      <c r="E80" s="118"/>
      <c r="F80" s="118"/>
      <c r="G80" s="118"/>
      <c r="H80" s="118"/>
      <c r="I80" s="118"/>
      <c r="J80" s="118"/>
      <c r="K80" s="118"/>
      <c r="L80" s="118"/>
      <c r="M80" s="118"/>
      <c r="N80" s="83"/>
      <c r="O80" s="83"/>
      <c r="P80" s="83"/>
      <c r="Q80" s="83"/>
      <c r="R80" s="83"/>
      <c r="S80" s="83"/>
      <c r="T80" s="83"/>
      <c r="U80" s="83"/>
      <c r="V80" s="83"/>
      <c r="W80" s="83"/>
      <c r="X80" s="83"/>
      <c r="Y80" s="83"/>
      <c r="Z80" s="83"/>
      <c r="AA80" s="83"/>
      <c r="AB80" s="83"/>
      <c r="AC80" s="83"/>
      <c r="AD80" s="83"/>
      <c r="AE80" s="83"/>
      <c r="AF80" s="83"/>
      <c r="AG80" s="83"/>
      <c r="AH80" s="83"/>
      <c r="AI80" s="83"/>
      <c r="AJ80" s="83"/>
      <c r="AK80" s="83"/>
    </row>
    <row r="81">
      <c r="A81" s="83"/>
      <c r="B81" s="83"/>
      <c r="C81" s="83"/>
      <c r="D81" s="83"/>
      <c r="E81" s="118"/>
      <c r="F81" s="118"/>
      <c r="G81" s="118"/>
      <c r="H81" s="118"/>
      <c r="I81" s="118"/>
      <c r="J81" s="118"/>
      <c r="K81" s="118"/>
      <c r="L81" s="118"/>
      <c r="M81" s="118"/>
      <c r="N81" s="83"/>
      <c r="O81" s="83"/>
      <c r="P81" s="83"/>
      <c r="Q81" s="83"/>
      <c r="R81" s="83"/>
      <c r="S81" s="83"/>
      <c r="T81" s="83"/>
      <c r="U81" s="83"/>
      <c r="V81" s="83"/>
      <c r="W81" s="83"/>
      <c r="X81" s="83"/>
      <c r="Y81" s="83"/>
      <c r="Z81" s="83"/>
      <c r="AA81" s="83"/>
      <c r="AB81" s="83"/>
      <c r="AC81" s="83"/>
      <c r="AD81" s="83"/>
      <c r="AE81" s="83"/>
      <c r="AF81" s="83"/>
      <c r="AG81" s="83"/>
      <c r="AH81" s="83"/>
      <c r="AI81" s="83"/>
      <c r="AJ81" s="83"/>
      <c r="AK81" s="83"/>
    </row>
    <row r="82">
      <c r="A82" s="83"/>
      <c r="B82" s="83"/>
      <c r="C82" s="83"/>
      <c r="D82" s="83"/>
      <c r="E82" s="118"/>
      <c r="F82" s="118"/>
      <c r="G82" s="118"/>
      <c r="H82" s="118"/>
      <c r="I82" s="118"/>
      <c r="J82" s="118"/>
      <c r="K82" s="118"/>
      <c r="L82" s="118"/>
      <c r="M82" s="118"/>
      <c r="N82" s="83"/>
      <c r="O82" s="83"/>
      <c r="P82" s="83"/>
      <c r="Q82" s="83"/>
      <c r="R82" s="83"/>
      <c r="S82" s="83"/>
      <c r="T82" s="83"/>
      <c r="U82" s="83"/>
      <c r="V82" s="83"/>
      <c r="W82" s="83"/>
      <c r="X82" s="83"/>
      <c r="Y82" s="83"/>
      <c r="Z82" s="83"/>
      <c r="AA82" s="83"/>
      <c r="AB82" s="83"/>
      <c r="AC82" s="83"/>
      <c r="AD82" s="83"/>
      <c r="AE82" s="83"/>
      <c r="AF82" s="83"/>
      <c r="AG82" s="83"/>
      <c r="AH82" s="83"/>
      <c r="AI82" s="83"/>
      <c r="AJ82" s="83"/>
      <c r="AK82" s="83"/>
    </row>
    <row r="83">
      <c r="A83" s="83"/>
      <c r="B83" s="83"/>
      <c r="C83" s="83"/>
      <c r="D83" s="83"/>
      <c r="E83" s="118"/>
      <c r="F83" s="118"/>
      <c r="G83" s="118"/>
      <c r="H83" s="118"/>
      <c r="I83" s="118"/>
      <c r="J83" s="118"/>
      <c r="K83" s="118"/>
      <c r="L83" s="118"/>
      <c r="M83" s="118"/>
      <c r="N83" s="83"/>
      <c r="O83" s="83"/>
      <c r="P83" s="83"/>
      <c r="Q83" s="83"/>
      <c r="R83" s="83"/>
      <c r="S83" s="83"/>
      <c r="T83" s="83"/>
      <c r="U83" s="83"/>
      <c r="V83" s="83"/>
      <c r="W83" s="83"/>
      <c r="X83" s="83"/>
      <c r="Y83" s="83"/>
      <c r="Z83" s="83"/>
      <c r="AA83" s="83"/>
      <c r="AB83" s="83"/>
      <c r="AC83" s="83"/>
      <c r="AD83" s="83"/>
      <c r="AE83" s="83"/>
      <c r="AF83" s="83"/>
      <c r="AG83" s="83"/>
      <c r="AH83" s="83"/>
      <c r="AI83" s="83"/>
      <c r="AJ83" s="83"/>
      <c r="AK83" s="83"/>
    </row>
    <row r="84">
      <c r="A84" s="83"/>
      <c r="B84" s="83"/>
      <c r="C84" s="83"/>
      <c r="D84" s="83"/>
      <c r="E84" s="118"/>
      <c r="F84" s="118"/>
      <c r="G84" s="118"/>
      <c r="H84" s="118"/>
      <c r="I84" s="118"/>
      <c r="J84" s="118"/>
      <c r="K84" s="118"/>
      <c r="L84" s="118"/>
      <c r="M84" s="118"/>
      <c r="N84" s="83"/>
      <c r="O84" s="83"/>
      <c r="P84" s="83"/>
      <c r="Q84" s="83"/>
      <c r="R84" s="83"/>
      <c r="S84" s="83"/>
      <c r="T84" s="83"/>
      <c r="U84" s="83"/>
      <c r="V84" s="83"/>
      <c r="W84" s="83"/>
      <c r="X84" s="83"/>
      <c r="Y84" s="83"/>
      <c r="Z84" s="83"/>
      <c r="AA84" s="83"/>
      <c r="AB84" s="83"/>
      <c r="AC84" s="83"/>
      <c r="AD84" s="83"/>
      <c r="AE84" s="83"/>
      <c r="AF84" s="83"/>
      <c r="AG84" s="83"/>
      <c r="AH84" s="83"/>
      <c r="AI84" s="83"/>
      <c r="AJ84" s="83"/>
      <c r="AK84" s="83"/>
    </row>
    <row r="85">
      <c r="A85" s="83"/>
      <c r="B85" s="83"/>
      <c r="C85" s="83"/>
      <c r="D85" s="83"/>
      <c r="E85" s="118"/>
      <c r="F85" s="118"/>
      <c r="G85" s="118"/>
      <c r="H85" s="118"/>
      <c r="I85" s="118"/>
      <c r="J85" s="118"/>
      <c r="K85" s="118"/>
      <c r="L85" s="118"/>
      <c r="M85" s="118"/>
      <c r="N85" s="83"/>
      <c r="O85" s="83"/>
      <c r="P85" s="83"/>
      <c r="Q85" s="83"/>
      <c r="R85" s="83"/>
      <c r="S85" s="83"/>
      <c r="T85" s="83"/>
      <c r="U85" s="83"/>
      <c r="V85" s="83"/>
      <c r="W85" s="83"/>
      <c r="X85" s="83"/>
      <c r="Y85" s="83"/>
      <c r="Z85" s="83"/>
      <c r="AA85" s="83"/>
      <c r="AB85" s="83"/>
      <c r="AC85" s="83"/>
      <c r="AD85" s="83"/>
      <c r="AE85" s="83"/>
      <c r="AF85" s="83"/>
      <c r="AG85" s="83"/>
      <c r="AH85" s="83"/>
      <c r="AI85" s="83"/>
      <c r="AJ85" s="83"/>
      <c r="AK85" s="83"/>
    </row>
    <row r="86">
      <c r="A86" s="83"/>
      <c r="B86" s="83"/>
      <c r="C86" s="83"/>
      <c r="D86" s="83"/>
      <c r="E86" s="118"/>
      <c r="F86" s="118"/>
      <c r="G86" s="118"/>
      <c r="H86" s="118"/>
      <c r="I86" s="118"/>
      <c r="J86" s="118"/>
      <c r="K86" s="118"/>
      <c r="L86" s="118"/>
      <c r="M86" s="118"/>
      <c r="N86" s="83"/>
      <c r="O86" s="83"/>
      <c r="P86" s="83"/>
      <c r="Q86" s="83"/>
      <c r="R86" s="83"/>
      <c r="S86" s="83"/>
      <c r="T86" s="83"/>
      <c r="U86" s="83"/>
      <c r="V86" s="83"/>
      <c r="W86" s="83"/>
      <c r="X86" s="83"/>
      <c r="Y86" s="83"/>
      <c r="Z86" s="83"/>
      <c r="AA86" s="83"/>
      <c r="AB86" s="83"/>
      <c r="AC86" s="83"/>
      <c r="AD86" s="83"/>
      <c r="AE86" s="83"/>
      <c r="AF86" s="83"/>
      <c r="AG86" s="83"/>
      <c r="AH86" s="83"/>
      <c r="AI86" s="83"/>
      <c r="AJ86" s="83"/>
      <c r="AK86" s="83"/>
    </row>
    <row r="87">
      <c r="A87" s="83"/>
      <c r="B87" s="83"/>
      <c r="C87" s="83"/>
      <c r="D87" s="83"/>
      <c r="E87" s="118"/>
      <c r="F87" s="118"/>
      <c r="G87" s="118"/>
      <c r="H87" s="118"/>
      <c r="I87" s="118"/>
      <c r="J87" s="118"/>
      <c r="K87" s="118"/>
      <c r="L87" s="118"/>
      <c r="M87" s="118"/>
      <c r="N87" s="83"/>
      <c r="O87" s="83"/>
      <c r="P87" s="83"/>
      <c r="Q87" s="83"/>
      <c r="R87" s="83"/>
      <c r="S87" s="83"/>
      <c r="T87" s="83"/>
      <c r="U87" s="83"/>
      <c r="V87" s="83"/>
      <c r="W87" s="83"/>
      <c r="X87" s="83"/>
      <c r="Y87" s="83"/>
      <c r="Z87" s="83"/>
      <c r="AA87" s="83"/>
      <c r="AB87" s="83"/>
      <c r="AC87" s="83"/>
      <c r="AD87" s="83"/>
      <c r="AE87" s="83"/>
      <c r="AF87" s="83"/>
      <c r="AG87" s="83"/>
      <c r="AH87" s="83"/>
      <c r="AI87" s="83"/>
      <c r="AJ87" s="83"/>
      <c r="AK87" s="83"/>
    </row>
    <row r="88">
      <c r="A88" s="83"/>
      <c r="B88" s="83"/>
      <c r="C88" s="83"/>
      <c r="D88" s="83"/>
      <c r="E88" s="118"/>
      <c r="F88" s="118"/>
      <c r="G88" s="118"/>
      <c r="H88" s="118"/>
      <c r="I88" s="118"/>
      <c r="J88" s="118"/>
      <c r="K88" s="118"/>
      <c r="L88" s="118"/>
      <c r="M88" s="118"/>
      <c r="N88" s="83"/>
      <c r="O88" s="83"/>
      <c r="P88" s="83"/>
      <c r="Q88" s="83"/>
      <c r="R88" s="83"/>
      <c r="S88" s="83"/>
      <c r="T88" s="83"/>
      <c r="U88" s="83"/>
      <c r="V88" s="83"/>
      <c r="W88" s="83"/>
      <c r="X88" s="83"/>
      <c r="Y88" s="83"/>
      <c r="Z88" s="83"/>
      <c r="AA88" s="83"/>
      <c r="AB88" s="83"/>
      <c r="AC88" s="83"/>
      <c r="AD88" s="83"/>
      <c r="AE88" s="83"/>
      <c r="AF88" s="83"/>
      <c r="AG88" s="83"/>
      <c r="AH88" s="83"/>
      <c r="AI88" s="83"/>
      <c r="AJ88" s="83"/>
      <c r="AK88" s="83"/>
    </row>
    <row r="89">
      <c r="A89" s="83"/>
      <c r="B89" s="83"/>
      <c r="C89" s="83"/>
      <c r="D89" s="83"/>
      <c r="E89" s="118"/>
      <c r="F89" s="118"/>
      <c r="G89" s="118"/>
      <c r="H89" s="118"/>
      <c r="I89" s="118"/>
      <c r="J89" s="118"/>
      <c r="K89" s="118"/>
      <c r="L89" s="118"/>
      <c r="M89" s="118"/>
      <c r="N89" s="83"/>
      <c r="O89" s="83"/>
      <c r="P89" s="83"/>
      <c r="Q89" s="83"/>
      <c r="R89" s="83"/>
      <c r="S89" s="83"/>
      <c r="T89" s="83"/>
      <c r="U89" s="83"/>
      <c r="V89" s="83"/>
      <c r="W89" s="83"/>
      <c r="X89" s="83"/>
      <c r="Y89" s="83"/>
      <c r="Z89" s="83"/>
      <c r="AA89" s="83"/>
      <c r="AB89" s="83"/>
      <c r="AC89" s="83"/>
      <c r="AD89" s="83"/>
      <c r="AE89" s="83"/>
      <c r="AF89" s="83"/>
      <c r="AG89" s="83"/>
      <c r="AH89" s="83"/>
      <c r="AI89" s="83"/>
      <c r="AJ89" s="83"/>
      <c r="AK89" s="83"/>
    </row>
    <row r="90">
      <c r="A90" s="83"/>
      <c r="B90" s="83"/>
      <c r="C90" s="83"/>
      <c r="D90" s="83"/>
      <c r="E90" s="118"/>
      <c r="F90" s="118"/>
      <c r="G90" s="118"/>
      <c r="H90" s="118"/>
      <c r="I90" s="118"/>
      <c r="J90" s="118"/>
      <c r="K90" s="118"/>
      <c r="L90" s="118"/>
      <c r="M90" s="118"/>
      <c r="N90" s="83"/>
      <c r="O90" s="83"/>
      <c r="P90" s="83"/>
      <c r="Q90" s="83"/>
      <c r="R90" s="83"/>
      <c r="S90" s="83"/>
      <c r="T90" s="83"/>
      <c r="U90" s="83"/>
      <c r="V90" s="83"/>
      <c r="W90" s="83"/>
      <c r="X90" s="83"/>
      <c r="Y90" s="83"/>
      <c r="Z90" s="83"/>
      <c r="AA90" s="83"/>
      <c r="AB90" s="83"/>
      <c r="AC90" s="83"/>
      <c r="AD90" s="83"/>
      <c r="AE90" s="83"/>
      <c r="AF90" s="83"/>
      <c r="AG90" s="83"/>
      <c r="AH90" s="83"/>
      <c r="AI90" s="83"/>
      <c r="AJ90" s="83"/>
      <c r="AK90" s="83"/>
    </row>
    <row r="91">
      <c r="A91" s="83"/>
      <c r="B91" s="83"/>
      <c r="C91" s="83"/>
      <c r="D91" s="83"/>
      <c r="E91" s="118"/>
      <c r="F91" s="118"/>
      <c r="G91" s="118"/>
      <c r="H91" s="118"/>
      <c r="I91" s="118"/>
      <c r="J91" s="118"/>
      <c r="K91" s="118"/>
      <c r="L91" s="118"/>
      <c r="M91" s="118"/>
      <c r="N91" s="83"/>
      <c r="O91" s="83"/>
      <c r="P91" s="83"/>
      <c r="Q91" s="83"/>
      <c r="R91" s="83"/>
      <c r="S91" s="83"/>
      <c r="T91" s="83"/>
      <c r="U91" s="83"/>
      <c r="V91" s="83"/>
      <c r="W91" s="83"/>
      <c r="X91" s="83"/>
      <c r="Y91" s="83"/>
      <c r="Z91" s="83"/>
      <c r="AA91" s="83"/>
      <c r="AB91" s="83"/>
      <c r="AC91" s="83"/>
      <c r="AD91" s="83"/>
      <c r="AE91" s="83"/>
      <c r="AF91" s="83"/>
      <c r="AG91" s="83"/>
      <c r="AH91" s="83"/>
      <c r="AI91" s="83"/>
      <c r="AJ91" s="83"/>
      <c r="AK91" s="83"/>
    </row>
    <row r="92">
      <c r="A92" s="83"/>
      <c r="B92" s="83"/>
      <c r="C92" s="83"/>
      <c r="D92" s="83"/>
      <c r="E92" s="118"/>
      <c r="F92" s="118"/>
      <c r="G92" s="118"/>
      <c r="H92" s="118"/>
      <c r="I92" s="118"/>
      <c r="J92" s="118"/>
      <c r="K92" s="118"/>
      <c r="L92" s="118"/>
      <c r="M92" s="118"/>
      <c r="N92" s="83"/>
      <c r="O92" s="83"/>
      <c r="P92" s="83"/>
      <c r="Q92" s="83"/>
      <c r="R92" s="83"/>
      <c r="S92" s="83"/>
      <c r="T92" s="83"/>
      <c r="U92" s="83"/>
      <c r="V92" s="83"/>
      <c r="W92" s="83"/>
      <c r="X92" s="83"/>
      <c r="Y92" s="83"/>
      <c r="Z92" s="83"/>
      <c r="AA92" s="83"/>
      <c r="AB92" s="83"/>
      <c r="AC92" s="83"/>
      <c r="AD92" s="83"/>
      <c r="AE92" s="83"/>
      <c r="AF92" s="83"/>
      <c r="AG92" s="83"/>
      <c r="AH92" s="83"/>
      <c r="AI92" s="83"/>
      <c r="AJ92" s="83"/>
      <c r="AK92" s="83"/>
    </row>
    <row r="93">
      <c r="A93" s="83"/>
      <c r="B93" s="83"/>
      <c r="C93" s="83"/>
      <c r="D93" s="83"/>
      <c r="E93" s="118"/>
      <c r="F93" s="118"/>
      <c r="G93" s="118"/>
      <c r="H93" s="118"/>
      <c r="I93" s="118"/>
      <c r="J93" s="118"/>
      <c r="K93" s="118"/>
      <c r="L93" s="118"/>
      <c r="M93" s="118"/>
      <c r="N93" s="83"/>
      <c r="O93" s="83"/>
      <c r="P93" s="83"/>
      <c r="Q93" s="83"/>
      <c r="R93" s="83"/>
      <c r="S93" s="83"/>
      <c r="T93" s="83"/>
      <c r="U93" s="83"/>
      <c r="V93" s="83"/>
      <c r="W93" s="83"/>
      <c r="X93" s="83"/>
      <c r="Y93" s="83"/>
      <c r="Z93" s="83"/>
      <c r="AA93" s="83"/>
      <c r="AB93" s="83"/>
      <c r="AC93" s="83"/>
      <c r="AD93" s="83"/>
      <c r="AE93" s="83"/>
      <c r="AF93" s="83"/>
      <c r="AG93" s="83"/>
      <c r="AH93" s="83"/>
      <c r="AI93" s="83"/>
      <c r="AJ93" s="83"/>
      <c r="AK93" s="83"/>
    </row>
    <row r="94">
      <c r="A94" s="83"/>
      <c r="B94" s="83"/>
      <c r="C94" s="83"/>
      <c r="D94" s="83"/>
      <c r="E94" s="118"/>
      <c r="F94" s="118"/>
      <c r="G94" s="118"/>
      <c r="H94" s="118"/>
      <c r="I94" s="118"/>
      <c r="J94" s="118"/>
      <c r="K94" s="118"/>
      <c r="L94" s="118"/>
      <c r="M94" s="118"/>
      <c r="N94" s="83"/>
      <c r="O94" s="83"/>
      <c r="P94" s="83"/>
      <c r="Q94" s="83"/>
      <c r="R94" s="83"/>
      <c r="S94" s="83"/>
      <c r="T94" s="83"/>
      <c r="U94" s="83"/>
      <c r="V94" s="83"/>
      <c r="W94" s="83"/>
      <c r="X94" s="83"/>
      <c r="Y94" s="83"/>
      <c r="Z94" s="83"/>
      <c r="AA94" s="83"/>
      <c r="AB94" s="83"/>
      <c r="AC94" s="83"/>
      <c r="AD94" s="83"/>
      <c r="AE94" s="83"/>
      <c r="AF94" s="83"/>
      <c r="AG94" s="83"/>
      <c r="AH94" s="83"/>
      <c r="AI94" s="83"/>
      <c r="AJ94" s="83"/>
      <c r="AK94" s="83"/>
    </row>
    <row r="95">
      <c r="A95" s="83"/>
      <c r="B95" s="83"/>
      <c r="C95" s="83"/>
      <c r="D95" s="83"/>
      <c r="E95" s="118"/>
      <c r="F95" s="118"/>
      <c r="G95" s="118"/>
      <c r="H95" s="118"/>
      <c r="I95" s="118"/>
      <c r="J95" s="118"/>
      <c r="K95" s="118"/>
      <c r="L95" s="118"/>
      <c r="M95" s="118"/>
      <c r="N95" s="83"/>
      <c r="O95" s="83"/>
      <c r="P95" s="83"/>
      <c r="Q95" s="83"/>
      <c r="R95" s="83"/>
      <c r="S95" s="83"/>
      <c r="T95" s="83"/>
      <c r="U95" s="83"/>
      <c r="V95" s="83"/>
      <c r="W95" s="83"/>
      <c r="X95" s="83"/>
      <c r="Y95" s="83"/>
      <c r="Z95" s="83"/>
      <c r="AA95" s="83"/>
      <c r="AB95" s="83"/>
      <c r="AC95" s="83"/>
      <c r="AD95" s="83"/>
      <c r="AE95" s="83"/>
      <c r="AF95" s="83"/>
      <c r="AG95" s="83"/>
      <c r="AH95" s="83"/>
      <c r="AI95" s="83"/>
      <c r="AJ95" s="83"/>
      <c r="AK95" s="83"/>
    </row>
    <row r="96">
      <c r="A96" s="83"/>
      <c r="B96" s="83"/>
      <c r="C96" s="83"/>
      <c r="D96" s="83"/>
      <c r="E96" s="118"/>
      <c r="F96" s="118"/>
      <c r="G96" s="118"/>
      <c r="H96" s="118"/>
      <c r="I96" s="118"/>
      <c r="J96" s="118"/>
      <c r="K96" s="118"/>
      <c r="L96" s="118"/>
      <c r="M96" s="118"/>
      <c r="N96" s="83"/>
      <c r="O96" s="83"/>
      <c r="P96" s="83"/>
      <c r="Q96" s="83"/>
      <c r="R96" s="83"/>
      <c r="S96" s="83"/>
      <c r="T96" s="83"/>
      <c r="U96" s="83"/>
      <c r="V96" s="83"/>
      <c r="W96" s="83"/>
      <c r="X96" s="83"/>
      <c r="Y96" s="83"/>
      <c r="Z96" s="83"/>
      <c r="AA96" s="83"/>
      <c r="AB96" s="83"/>
      <c r="AC96" s="83"/>
      <c r="AD96" s="83"/>
      <c r="AE96" s="83"/>
      <c r="AF96" s="83"/>
      <c r="AG96" s="83"/>
      <c r="AH96" s="83"/>
      <c r="AI96" s="83"/>
      <c r="AJ96" s="83"/>
      <c r="AK96" s="83"/>
    </row>
    <row r="97">
      <c r="A97" s="83"/>
      <c r="B97" s="83"/>
      <c r="C97" s="83"/>
      <c r="D97" s="83"/>
      <c r="E97" s="118"/>
      <c r="F97" s="118"/>
      <c r="G97" s="118"/>
      <c r="H97" s="118"/>
      <c r="I97" s="118"/>
      <c r="J97" s="118"/>
      <c r="K97" s="118"/>
      <c r="L97" s="118"/>
      <c r="M97" s="118"/>
      <c r="N97" s="83"/>
      <c r="O97" s="83"/>
      <c r="P97" s="83"/>
      <c r="Q97" s="83"/>
      <c r="R97" s="83"/>
      <c r="S97" s="83"/>
      <c r="T97" s="83"/>
      <c r="U97" s="83"/>
      <c r="V97" s="83"/>
      <c r="W97" s="83"/>
      <c r="X97" s="83"/>
      <c r="Y97" s="83"/>
      <c r="Z97" s="83"/>
      <c r="AA97" s="83"/>
      <c r="AB97" s="83"/>
      <c r="AC97" s="83"/>
      <c r="AD97" s="83"/>
      <c r="AE97" s="83"/>
      <c r="AF97" s="83"/>
      <c r="AG97" s="83"/>
      <c r="AH97" s="83"/>
      <c r="AI97" s="83"/>
      <c r="AJ97" s="83"/>
      <c r="AK97" s="83"/>
    </row>
    <row r="98">
      <c r="A98" s="83"/>
      <c r="B98" s="83"/>
      <c r="C98" s="83"/>
      <c r="D98" s="83"/>
      <c r="E98" s="118"/>
      <c r="F98" s="118"/>
      <c r="G98" s="118"/>
      <c r="H98" s="118"/>
      <c r="I98" s="118"/>
      <c r="J98" s="118"/>
      <c r="K98" s="118"/>
      <c r="L98" s="118"/>
      <c r="M98" s="118"/>
      <c r="N98" s="83"/>
      <c r="O98" s="83"/>
      <c r="P98" s="83"/>
      <c r="Q98" s="83"/>
      <c r="R98" s="83"/>
      <c r="S98" s="83"/>
      <c r="T98" s="83"/>
      <c r="U98" s="83"/>
      <c r="V98" s="83"/>
      <c r="W98" s="83"/>
      <c r="X98" s="83"/>
      <c r="Y98" s="83"/>
      <c r="Z98" s="83"/>
      <c r="AA98" s="83"/>
      <c r="AB98" s="83"/>
      <c r="AC98" s="83"/>
      <c r="AD98" s="83"/>
      <c r="AE98" s="83"/>
      <c r="AF98" s="83"/>
      <c r="AG98" s="83"/>
      <c r="AH98" s="83"/>
      <c r="AI98" s="83"/>
      <c r="AJ98" s="83"/>
      <c r="AK98" s="83"/>
    </row>
    <row r="99">
      <c r="A99" s="83"/>
      <c r="B99" s="83"/>
      <c r="C99" s="83"/>
      <c r="D99" s="83"/>
      <c r="E99" s="118"/>
      <c r="F99" s="118"/>
      <c r="G99" s="118"/>
      <c r="H99" s="118"/>
      <c r="I99" s="118"/>
      <c r="J99" s="118"/>
      <c r="K99" s="118"/>
      <c r="L99" s="118"/>
      <c r="M99" s="118"/>
      <c r="N99" s="83"/>
      <c r="O99" s="83"/>
      <c r="P99" s="83"/>
      <c r="Q99" s="83"/>
      <c r="R99" s="83"/>
      <c r="S99" s="83"/>
      <c r="T99" s="83"/>
      <c r="U99" s="83"/>
      <c r="V99" s="83"/>
      <c r="W99" s="83"/>
      <c r="X99" s="83"/>
      <c r="Y99" s="83"/>
      <c r="Z99" s="83"/>
      <c r="AA99" s="83"/>
      <c r="AB99" s="83"/>
      <c r="AC99" s="83"/>
      <c r="AD99" s="83"/>
      <c r="AE99" s="83"/>
      <c r="AF99" s="83"/>
      <c r="AG99" s="83"/>
      <c r="AH99" s="83"/>
      <c r="AI99" s="83"/>
      <c r="AJ99" s="83"/>
      <c r="AK99" s="83"/>
    </row>
    <row r="100">
      <c r="A100" s="83"/>
      <c r="B100" s="83"/>
      <c r="C100" s="83"/>
      <c r="D100" s="83"/>
      <c r="E100" s="118"/>
      <c r="F100" s="118"/>
      <c r="G100" s="118"/>
      <c r="H100" s="118"/>
      <c r="I100" s="118"/>
      <c r="J100" s="118"/>
      <c r="K100" s="118"/>
      <c r="L100" s="118"/>
      <c r="M100" s="118"/>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83"/>
    </row>
    <row r="101">
      <c r="A101" s="83"/>
      <c r="B101" s="83"/>
      <c r="C101" s="83"/>
      <c r="D101" s="83"/>
      <c r="E101" s="118"/>
      <c r="F101" s="118"/>
      <c r="G101" s="118"/>
      <c r="H101" s="118"/>
      <c r="I101" s="118"/>
      <c r="J101" s="118"/>
      <c r="K101" s="118"/>
      <c r="L101" s="118"/>
      <c r="M101" s="118"/>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83"/>
    </row>
    <row r="102">
      <c r="A102" s="83"/>
      <c r="B102" s="83"/>
      <c r="C102" s="83"/>
      <c r="D102" s="83"/>
      <c r="E102" s="118"/>
      <c r="F102" s="118"/>
      <c r="G102" s="118"/>
      <c r="H102" s="118"/>
      <c r="I102" s="118"/>
      <c r="J102" s="118"/>
      <c r="K102" s="118"/>
      <c r="L102" s="118"/>
      <c r="M102" s="118"/>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83"/>
    </row>
    <row r="103">
      <c r="A103" s="83"/>
      <c r="B103" s="83"/>
      <c r="C103" s="83"/>
      <c r="D103" s="83"/>
      <c r="E103" s="118"/>
      <c r="F103" s="118"/>
      <c r="G103" s="118"/>
      <c r="H103" s="118"/>
      <c r="I103" s="118"/>
      <c r="J103" s="118"/>
      <c r="K103" s="118"/>
      <c r="L103" s="118"/>
      <c r="M103" s="118"/>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83"/>
    </row>
    <row r="104">
      <c r="A104" s="83"/>
      <c r="B104" s="83"/>
      <c r="C104" s="83"/>
      <c r="D104" s="83"/>
      <c r="E104" s="118"/>
      <c r="F104" s="118"/>
      <c r="G104" s="118"/>
      <c r="H104" s="118"/>
      <c r="I104" s="118"/>
      <c r="J104" s="118"/>
      <c r="K104" s="118"/>
      <c r="L104" s="118"/>
      <c r="M104" s="118"/>
      <c r="N104" s="83"/>
      <c r="O104" s="83"/>
      <c r="P104" s="83"/>
      <c r="Q104" s="83"/>
      <c r="R104" s="83"/>
      <c r="S104" s="83"/>
      <c r="T104" s="83"/>
      <c r="U104" s="83"/>
      <c r="V104" s="83"/>
      <c r="W104" s="83"/>
      <c r="X104" s="83"/>
      <c r="Y104" s="83"/>
      <c r="Z104" s="83"/>
      <c r="AA104" s="83"/>
      <c r="AB104" s="83"/>
      <c r="AC104" s="83"/>
      <c r="AD104" s="83"/>
      <c r="AE104" s="83"/>
      <c r="AF104" s="83"/>
      <c r="AG104" s="83"/>
      <c r="AH104" s="83"/>
      <c r="AI104" s="83"/>
      <c r="AJ104" s="83"/>
      <c r="AK104" s="83"/>
    </row>
    <row r="105">
      <c r="A105" s="83"/>
      <c r="B105" s="83"/>
      <c r="C105" s="83"/>
      <c r="D105" s="83"/>
      <c r="E105" s="118"/>
      <c r="F105" s="118"/>
      <c r="G105" s="118"/>
      <c r="H105" s="118"/>
      <c r="I105" s="118"/>
      <c r="J105" s="118"/>
      <c r="K105" s="118"/>
      <c r="L105" s="118"/>
      <c r="M105" s="118"/>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83"/>
    </row>
    <row r="106">
      <c r="A106" s="83"/>
      <c r="B106" s="83"/>
      <c r="C106" s="83"/>
      <c r="D106" s="83"/>
      <c r="E106" s="118"/>
      <c r="F106" s="118"/>
      <c r="G106" s="118"/>
      <c r="H106" s="118"/>
      <c r="I106" s="118"/>
      <c r="J106" s="118"/>
      <c r="K106" s="118"/>
      <c r="L106" s="118"/>
      <c r="M106" s="118"/>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83"/>
    </row>
    <row r="107">
      <c r="A107" s="83"/>
      <c r="B107" s="83"/>
      <c r="C107" s="83"/>
      <c r="D107" s="83"/>
      <c r="E107" s="118"/>
      <c r="F107" s="118"/>
      <c r="G107" s="118"/>
      <c r="H107" s="118"/>
      <c r="I107" s="118"/>
      <c r="J107" s="118"/>
      <c r="K107" s="118"/>
      <c r="L107" s="118"/>
      <c r="M107" s="118"/>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83"/>
    </row>
    <row r="108">
      <c r="A108" s="83"/>
      <c r="B108" s="83"/>
      <c r="C108" s="83"/>
      <c r="D108" s="83"/>
      <c r="E108" s="118"/>
      <c r="F108" s="118"/>
      <c r="G108" s="118"/>
      <c r="H108" s="118"/>
      <c r="I108" s="118"/>
      <c r="J108" s="118"/>
      <c r="K108" s="118"/>
      <c r="L108" s="118"/>
      <c r="M108" s="118"/>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83"/>
    </row>
    <row r="109">
      <c r="A109" s="83"/>
      <c r="B109" s="83"/>
      <c r="C109" s="83"/>
      <c r="D109" s="83"/>
      <c r="E109" s="118"/>
      <c r="F109" s="118"/>
      <c r="G109" s="118"/>
      <c r="H109" s="118"/>
      <c r="I109" s="118"/>
      <c r="J109" s="118"/>
      <c r="K109" s="118"/>
      <c r="L109" s="118"/>
      <c r="M109" s="118"/>
      <c r="N109" s="83"/>
      <c r="O109" s="83"/>
      <c r="P109" s="83"/>
      <c r="Q109" s="83"/>
      <c r="R109" s="83"/>
      <c r="S109" s="83"/>
      <c r="T109" s="83"/>
      <c r="U109" s="83"/>
      <c r="V109" s="83"/>
      <c r="W109" s="83"/>
      <c r="X109" s="83"/>
      <c r="Y109" s="83"/>
      <c r="Z109" s="83"/>
      <c r="AA109" s="83"/>
      <c r="AB109" s="83"/>
      <c r="AC109" s="83"/>
      <c r="AD109" s="83"/>
      <c r="AE109" s="83"/>
      <c r="AF109" s="83"/>
      <c r="AG109" s="83"/>
      <c r="AH109" s="83"/>
      <c r="AI109" s="83"/>
      <c r="AJ109" s="83"/>
      <c r="AK109" s="83"/>
    </row>
    <row r="110">
      <c r="A110" s="83"/>
      <c r="B110" s="83"/>
      <c r="C110" s="83"/>
      <c r="D110" s="83"/>
      <c r="E110" s="118"/>
      <c r="F110" s="118"/>
      <c r="G110" s="118"/>
      <c r="H110" s="118"/>
      <c r="I110" s="118"/>
      <c r="J110" s="118"/>
      <c r="K110" s="118"/>
      <c r="L110" s="118"/>
      <c r="M110" s="118"/>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83"/>
    </row>
    <row r="111">
      <c r="A111" s="83"/>
      <c r="B111" s="83"/>
      <c r="C111" s="83"/>
      <c r="D111" s="83"/>
      <c r="E111" s="118"/>
      <c r="F111" s="118"/>
      <c r="G111" s="118"/>
      <c r="H111" s="118"/>
      <c r="I111" s="118"/>
      <c r="J111" s="118"/>
      <c r="K111" s="118"/>
      <c r="L111" s="118"/>
      <c r="M111" s="118"/>
      <c r="N111" s="83"/>
      <c r="O111" s="83"/>
      <c r="P111" s="83"/>
      <c r="Q111" s="83"/>
      <c r="R111" s="83"/>
      <c r="S111" s="83"/>
      <c r="T111" s="83"/>
      <c r="U111" s="83"/>
      <c r="V111" s="83"/>
      <c r="W111" s="83"/>
      <c r="X111" s="83"/>
      <c r="Y111" s="83"/>
      <c r="Z111" s="83"/>
      <c r="AA111" s="83"/>
      <c r="AB111" s="83"/>
      <c r="AC111" s="83"/>
      <c r="AD111" s="83"/>
      <c r="AE111" s="83"/>
      <c r="AF111" s="83"/>
      <c r="AG111" s="83"/>
      <c r="AH111" s="83"/>
      <c r="AI111" s="83"/>
      <c r="AJ111" s="83"/>
      <c r="AK111" s="83"/>
    </row>
    <row r="112">
      <c r="A112" s="83"/>
      <c r="B112" s="83"/>
      <c r="C112" s="83"/>
      <c r="D112" s="83"/>
      <c r="E112" s="118"/>
      <c r="F112" s="118"/>
      <c r="G112" s="118"/>
      <c r="H112" s="118"/>
      <c r="I112" s="118"/>
      <c r="J112" s="118"/>
      <c r="K112" s="118"/>
      <c r="L112" s="118"/>
      <c r="M112" s="118"/>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83"/>
    </row>
    <row r="113">
      <c r="A113" s="83"/>
      <c r="B113" s="83"/>
      <c r="C113" s="83"/>
      <c r="D113" s="83"/>
      <c r="E113" s="118"/>
      <c r="F113" s="118"/>
      <c r="G113" s="118"/>
      <c r="H113" s="118"/>
      <c r="I113" s="118"/>
      <c r="J113" s="118"/>
      <c r="K113" s="118"/>
      <c r="L113" s="118"/>
      <c r="M113" s="118"/>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row>
    <row r="114">
      <c r="A114" s="83"/>
      <c r="B114" s="83"/>
      <c r="C114" s="83"/>
      <c r="D114" s="83"/>
      <c r="E114" s="118"/>
      <c r="F114" s="118"/>
      <c r="G114" s="118"/>
      <c r="H114" s="118"/>
      <c r="I114" s="118"/>
      <c r="J114" s="118"/>
      <c r="K114" s="118"/>
      <c r="L114" s="118"/>
      <c r="M114" s="118"/>
      <c r="N114" s="83"/>
      <c r="O114" s="83"/>
      <c r="P114" s="83"/>
      <c r="Q114" s="83"/>
      <c r="R114" s="83"/>
      <c r="S114" s="83"/>
      <c r="T114" s="83"/>
      <c r="U114" s="83"/>
      <c r="V114" s="83"/>
      <c r="W114" s="83"/>
      <c r="X114" s="83"/>
      <c r="Y114" s="83"/>
      <c r="Z114" s="83"/>
      <c r="AA114" s="83"/>
      <c r="AB114" s="83"/>
      <c r="AC114" s="83"/>
      <c r="AD114" s="83"/>
      <c r="AE114" s="83"/>
      <c r="AF114" s="83"/>
      <c r="AG114" s="83"/>
      <c r="AH114" s="83"/>
      <c r="AI114" s="83"/>
      <c r="AJ114" s="83"/>
      <c r="AK114" s="83"/>
    </row>
    <row r="115">
      <c r="A115" s="83"/>
      <c r="B115" s="83"/>
      <c r="C115" s="83"/>
      <c r="D115" s="83"/>
      <c r="E115" s="118"/>
      <c r="F115" s="118"/>
      <c r="G115" s="118"/>
      <c r="H115" s="118"/>
      <c r="I115" s="118"/>
      <c r="J115" s="118"/>
      <c r="K115" s="118"/>
      <c r="L115" s="118"/>
      <c r="M115" s="118"/>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83"/>
    </row>
    <row r="116">
      <c r="A116" s="83"/>
      <c r="B116" s="83"/>
      <c r="C116" s="83"/>
      <c r="D116" s="83"/>
      <c r="E116" s="118"/>
      <c r="F116" s="118"/>
      <c r="G116" s="118"/>
      <c r="H116" s="118"/>
      <c r="I116" s="118"/>
      <c r="J116" s="118"/>
      <c r="K116" s="118"/>
      <c r="L116" s="118"/>
      <c r="M116" s="118"/>
      <c r="N116" s="83"/>
      <c r="O116" s="83"/>
      <c r="P116" s="83"/>
      <c r="Q116" s="83"/>
      <c r="R116" s="83"/>
      <c r="S116" s="83"/>
      <c r="T116" s="83"/>
      <c r="U116" s="83"/>
      <c r="V116" s="83"/>
      <c r="W116" s="83"/>
      <c r="X116" s="83"/>
      <c r="Y116" s="83"/>
      <c r="Z116" s="83"/>
      <c r="AA116" s="83"/>
      <c r="AB116" s="83"/>
      <c r="AC116" s="83"/>
      <c r="AD116" s="83"/>
      <c r="AE116" s="83"/>
      <c r="AF116" s="83"/>
      <c r="AG116" s="83"/>
      <c r="AH116" s="83"/>
      <c r="AI116" s="83"/>
      <c r="AJ116" s="83"/>
      <c r="AK116" s="83"/>
    </row>
    <row r="117">
      <c r="A117" s="83"/>
      <c r="B117" s="83"/>
      <c r="C117" s="83"/>
      <c r="D117" s="83"/>
      <c r="E117" s="118"/>
      <c r="F117" s="118"/>
      <c r="G117" s="118"/>
      <c r="H117" s="118"/>
      <c r="I117" s="118"/>
      <c r="J117" s="118"/>
      <c r="K117" s="118"/>
      <c r="L117" s="118"/>
      <c r="M117" s="118"/>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row>
    <row r="118">
      <c r="A118" s="83"/>
      <c r="B118" s="83"/>
      <c r="C118" s="83"/>
      <c r="D118" s="83"/>
      <c r="E118" s="118"/>
      <c r="F118" s="118"/>
      <c r="G118" s="118"/>
      <c r="H118" s="118"/>
      <c r="I118" s="118"/>
      <c r="J118" s="118"/>
      <c r="K118" s="118"/>
      <c r="L118" s="118"/>
      <c r="M118" s="118"/>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row>
    <row r="119">
      <c r="A119" s="83"/>
      <c r="B119" s="83"/>
      <c r="C119" s="83"/>
      <c r="D119" s="83"/>
      <c r="E119" s="118"/>
      <c r="F119" s="118"/>
      <c r="G119" s="118"/>
      <c r="H119" s="118"/>
      <c r="I119" s="118"/>
      <c r="J119" s="118"/>
      <c r="K119" s="118"/>
      <c r="L119" s="118"/>
      <c r="M119" s="118"/>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83"/>
    </row>
    <row r="120">
      <c r="A120" s="83"/>
      <c r="B120" s="83"/>
      <c r="C120" s="83"/>
      <c r="D120" s="83"/>
      <c r="E120" s="118"/>
      <c r="F120" s="118"/>
      <c r="G120" s="118"/>
      <c r="H120" s="118"/>
      <c r="I120" s="118"/>
      <c r="J120" s="118"/>
      <c r="K120" s="118"/>
      <c r="L120" s="118"/>
      <c r="M120" s="118"/>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83"/>
    </row>
    <row r="121">
      <c r="A121" s="83"/>
      <c r="B121" s="83"/>
      <c r="C121" s="83"/>
      <c r="D121" s="83"/>
      <c r="E121" s="118"/>
      <c r="F121" s="118"/>
      <c r="G121" s="118"/>
      <c r="H121" s="118"/>
      <c r="I121" s="118"/>
      <c r="J121" s="118"/>
      <c r="K121" s="118"/>
      <c r="L121" s="118"/>
      <c r="M121" s="118"/>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83"/>
    </row>
    <row r="122">
      <c r="A122" s="83"/>
      <c r="B122" s="83"/>
      <c r="C122" s="83"/>
      <c r="D122" s="83"/>
      <c r="E122" s="118"/>
      <c r="F122" s="118"/>
      <c r="G122" s="118"/>
      <c r="H122" s="118"/>
      <c r="I122" s="118"/>
      <c r="J122" s="118"/>
      <c r="K122" s="118"/>
      <c r="L122" s="118"/>
      <c r="M122" s="118"/>
      <c r="N122" s="83"/>
      <c r="O122" s="83"/>
      <c r="P122" s="83"/>
      <c r="Q122" s="83"/>
      <c r="R122" s="83"/>
      <c r="S122" s="83"/>
      <c r="T122" s="83"/>
      <c r="U122" s="83"/>
      <c r="V122" s="83"/>
      <c r="W122" s="83"/>
      <c r="X122" s="83"/>
      <c r="Y122" s="83"/>
      <c r="Z122" s="83"/>
      <c r="AA122" s="83"/>
      <c r="AB122" s="83"/>
      <c r="AC122" s="83"/>
      <c r="AD122" s="83"/>
      <c r="AE122" s="83"/>
      <c r="AF122" s="83"/>
      <c r="AG122" s="83"/>
      <c r="AH122" s="83"/>
      <c r="AI122" s="83"/>
      <c r="AJ122" s="83"/>
      <c r="AK122" s="83"/>
    </row>
    <row r="123">
      <c r="A123" s="83"/>
      <c r="B123" s="83"/>
      <c r="C123" s="83"/>
      <c r="D123" s="83"/>
      <c r="E123" s="118"/>
      <c r="F123" s="118"/>
      <c r="G123" s="118"/>
      <c r="H123" s="118"/>
      <c r="I123" s="118"/>
      <c r="J123" s="118"/>
      <c r="K123" s="118"/>
      <c r="L123" s="118"/>
      <c r="M123" s="118"/>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row>
    <row r="124">
      <c r="A124" s="83"/>
      <c r="B124" s="83"/>
      <c r="C124" s="83"/>
      <c r="D124" s="83"/>
      <c r="E124" s="118"/>
      <c r="F124" s="118"/>
      <c r="G124" s="118"/>
      <c r="H124" s="118"/>
      <c r="I124" s="118"/>
      <c r="J124" s="118"/>
      <c r="K124" s="118"/>
      <c r="L124" s="118"/>
      <c r="M124" s="118"/>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row>
    <row r="125">
      <c r="A125" s="83"/>
      <c r="B125" s="83"/>
      <c r="C125" s="83"/>
      <c r="D125" s="83"/>
      <c r="E125" s="118"/>
      <c r="F125" s="118"/>
      <c r="G125" s="118"/>
      <c r="H125" s="118"/>
      <c r="I125" s="118"/>
      <c r="J125" s="118"/>
      <c r="K125" s="118"/>
      <c r="L125" s="118"/>
      <c r="M125" s="118"/>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83"/>
    </row>
    <row r="126">
      <c r="A126" s="83"/>
      <c r="B126" s="83"/>
      <c r="C126" s="83"/>
      <c r="D126" s="83"/>
      <c r="E126" s="118"/>
      <c r="F126" s="118"/>
      <c r="G126" s="118"/>
      <c r="H126" s="118"/>
      <c r="I126" s="118"/>
      <c r="J126" s="118"/>
      <c r="K126" s="118"/>
      <c r="L126" s="118"/>
      <c r="M126" s="118"/>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83"/>
    </row>
    <row r="127">
      <c r="A127" s="83"/>
      <c r="B127" s="83"/>
      <c r="C127" s="83"/>
      <c r="D127" s="83"/>
      <c r="E127" s="118"/>
      <c r="F127" s="118"/>
      <c r="G127" s="118"/>
      <c r="H127" s="118"/>
      <c r="I127" s="118"/>
      <c r="J127" s="118"/>
      <c r="K127" s="118"/>
      <c r="L127" s="118"/>
      <c r="M127" s="118"/>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83"/>
    </row>
    <row r="128">
      <c r="A128" s="83"/>
      <c r="B128" s="83"/>
      <c r="C128" s="83"/>
      <c r="D128" s="83"/>
      <c r="E128" s="118"/>
      <c r="F128" s="118"/>
      <c r="G128" s="118"/>
      <c r="H128" s="118"/>
      <c r="I128" s="118"/>
      <c r="J128" s="118"/>
      <c r="K128" s="118"/>
      <c r="L128" s="118"/>
      <c r="M128" s="118"/>
      <c r="N128" s="83"/>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83"/>
    </row>
    <row r="129">
      <c r="A129" s="83"/>
      <c r="B129" s="83"/>
      <c r="C129" s="83"/>
      <c r="D129" s="83"/>
      <c r="E129" s="118"/>
      <c r="F129" s="118"/>
      <c r="G129" s="118"/>
      <c r="H129" s="118"/>
      <c r="I129" s="118"/>
      <c r="J129" s="118"/>
      <c r="K129" s="118"/>
      <c r="L129" s="118"/>
      <c r="M129" s="118"/>
      <c r="N129" s="83"/>
      <c r="O129" s="83"/>
      <c r="P129" s="83"/>
      <c r="Q129" s="83"/>
      <c r="R129" s="83"/>
      <c r="S129" s="83"/>
      <c r="T129" s="83"/>
      <c r="U129" s="83"/>
      <c r="V129" s="83"/>
      <c r="W129" s="83"/>
      <c r="X129" s="83"/>
      <c r="Y129" s="83"/>
      <c r="Z129" s="83"/>
      <c r="AA129" s="83"/>
      <c r="AB129" s="83"/>
      <c r="AC129" s="83"/>
      <c r="AD129" s="83"/>
      <c r="AE129" s="83"/>
      <c r="AF129" s="83"/>
      <c r="AG129" s="83"/>
      <c r="AH129" s="83"/>
      <c r="AI129" s="83"/>
      <c r="AJ129" s="83"/>
      <c r="AK129" s="83"/>
    </row>
    <row r="130">
      <c r="A130" s="83"/>
      <c r="B130" s="83"/>
      <c r="C130" s="83"/>
      <c r="D130" s="83"/>
      <c r="E130" s="118"/>
      <c r="F130" s="118"/>
      <c r="G130" s="118"/>
      <c r="H130" s="118"/>
      <c r="I130" s="118"/>
      <c r="J130" s="118"/>
      <c r="K130" s="118"/>
      <c r="L130" s="118"/>
      <c r="M130" s="118"/>
      <c r="N130" s="83"/>
      <c r="O130" s="83"/>
      <c r="P130" s="83"/>
      <c r="Q130" s="83"/>
      <c r="R130" s="83"/>
      <c r="S130" s="83"/>
      <c r="T130" s="83"/>
      <c r="U130" s="83"/>
      <c r="V130" s="83"/>
      <c r="W130" s="83"/>
      <c r="X130" s="83"/>
      <c r="Y130" s="83"/>
      <c r="Z130" s="83"/>
      <c r="AA130" s="83"/>
      <c r="AB130" s="83"/>
      <c r="AC130" s="83"/>
      <c r="AD130" s="83"/>
      <c r="AE130" s="83"/>
      <c r="AF130" s="83"/>
      <c r="AG130" s="83"/>
      <c r="AH130" s="83"/>
      <c r="AI130" s="83"/>
      <c r="AJ130" s="83"/>
      <c r="AK130" s="83"/>
    </row>
    <row r="131">
      <c r="A131" s="83"/>
      <c r="B131" s="83"/>
      <c r="C131" s="83"/>
      <c r="D131" s="83"/>
      <c r="E131" s="118"/>
      <c r="F131" s="118"/>
      <c r="G131" s="118"/>
      <c r="H131" s="118"/>
      <c r="I131" s="118"/>
      <c r="J131" s="118"/>
      <c r="K131" s="118"/>
      <c r="L131" s="118"/>
      <c r="M131" s="118"/>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row>
    <row r="132">
      <c r="A132" s="83"/>
      <c r="B132" s="83"/>
      <c r="C132" s="83"/>
      <c r="D132" s="83"/>
      <c r="E132" s="118"/>
      <c r="F132" s="118"/>
      <c r="G132" s="118"/>
      <c r="H132" s="118"/>
      <c r="I132" s="118"/>
      <c r="J132" s="118"/>
      <c r="K132" s="118"/>
      <c r="L132" s="118"/>
      <c r="M132" s="118"/>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row>
    <row r="133">
      <c r="A133" s="83"/>
      <c r="B133" s="83"/>
      <c r="C133" s="83"/>
      <c r="D133" s="83"/>
      <c r="E133" s="118"/>
      <c r="F133" s="118"/>
      <c r="G133" s="118"/>
      <c r="H133" s="118"/>
      <c r="I133" s="118"/>
      <c r="J133" s="118"/>
      <c r="K133" s="118"/>
      <c r="L133" s="118"/>
      <c r="M133" s="118"/>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row>
    <row r="134">
      <c r="A134" s="83"/>
      <c r="B134" s="83"/>
      <c r="C134" s="83"/>
      <c r="D134" s="83"/>
      <c r="E134" s="118"/>
      <c r="F134" s="118"/>
      <c r="G134" s="118"/>
      <c r="H134" s="118"/>
      <c r="I134" s="118"/>
      <c r="J134" s="118"/>
      <c r="K134" s="118"/>
      <c r="L134" s="118"/>
      <c r="M134" s="118"/>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83"/>
    </row>
    <row r="135">
      <c r="A135" s="83"/>
      <c r="B135" s="83"/>
      <c r="C135" s="83"/>
      <c r="D135" s="83"/>
      <c r="E135" s="118"/>
      <c r="F135" s="118"/>
      <c r="G135" s="118"/>
      <c r="H135" s="118"/>
      <c r="I135" s="118"/>
      <c r="J135" s="118"/>
      <c r="K135" s="118"/>
      <c r="L135" s="118"/>
      <c r="M135" s="118"/>
      <c r="N135" s="83"/>
      <c r="O135" s="83"/>
      <c r="P135" s="83"/>
      <c r="Q135" s="83"/>
      <c r="R135" s="83"/>
      <c r="S135" s="83"/>
      <c r="T135" s="83"/>
      <c r="U135" s="83"/>
      <c r="V135" s="83"/>
      <c r="W135" s="83"/>
      <c r="X135" s="83"/>
      <c r="Y135" s="83"/>
      <c r="Z135" s="83"/>
      <c r="AA135" s="83"/>
      <c r="AB135" s="83"/>
      <c r="AC135" s="83"/>
      <c r="AD135" s="83"/>
      <c r="AE135" s="83"/>
      <c r="AF135" s="83"/>
      <c r="AG135" s="83"/>
      <c r="AH135" s="83"/>
      <c r="AI135" s="83"/>
      <c r="AJ135" s="83"/>
      <c r="AK135" s="83"/>
    </row>
    <row r="136">
      <c r="A136" s="83"/>
      <c r="B136" s="83"/>
      <c r="C136" s="83"/>
      <c r="D136" s="83"/>
      <c r="E136" s="118"/>
      <c r="F136" s="118"/>
      <c r="G136" s="118"/>
      <c r="H136" s="118"/>
      <c r="I136" s="118"/>
      <c r="J136" s="118"/>
      <c r="K136" s="118"/>
      <c r="L136" s="118"/>
      <c r="M136" s="118"/>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83"/>
    </row>
    <row r="137">
      <c r="A137" s="83"/>
      <c r="B137" s="83"/>
      <c r="C137" s="83"/>
      <c r="D137" s="83"/>
      <c r="E137" s="118"/>
      <c r="F137" s="118"/>
      <c r="G137" s="118"/>
      <c r="H137" s="118"/>
      <c r="I137" s="118"/>
      <c r="J137" s="118"/>
      <c r="K137" s="118"/>
      <c r="L137" s="118"/>
      <c r="M137" s="118"/>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83"/>
    </row>
    <row r="138">
      <c r="A138" s="83"/>
      <c r="B138" s="83"/>
      <c r="C138" s="83"/>
      <c r="D138" s="83"/>
      <c r="E138" s="118"/>
      <c r="F138" s="118"/>
      <c r="G138" s="118"/>
      <c r="H138" s="118"/>
      <c r="I138" s="118"/>
      <c r="J138" s="118"/>
      <c r="K138" s="118"/>
      <c r="L138" s="118"/>
      <c r="M138" s="118"/>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83"/>
    </row>
    <row r="139">
      <c r="A139" s="83"/>
      <c r="B139" s="83"/>
      <c r="C139" s="83"/>
      <c r="D139" s="83"/>
      <c r="E139" s="118"/>
      <c r="F139" s="118"/>
      <c r="G139" s="118"/>
      <c r="H139" s="118"/>
      <c r="I139" s="118"/>
      <c r="J139" s="118"/>
      <c r="K139" s="118"/>
      <c r="L139" s="118"/>
      <c r="M139" s="118"/>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83"/>
    </row>
    <row r="140">
      <c r="A140" s="83"/>
      <c r="B140" s="83"/>
      <c r="C140" s="83"/>
      <c r="D140" s="83"/>
      <c r="E140" s="118"/>
      <c r="F140" s="118"/>
      <c r="G140" s="118"/>
      <c r="H140" s="118"/>
      <c r="I140" s="118"/>
      <c r="J140" s="118"/>
      <c r="K140" s="118"/>
      <c r="L140" s="118"/>
      <c r="M140" s="118"/>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row>
    <row r="141">
      <c r="A141" s="83"/>
      <c r="B141" s="83"/>
      <c r="C141" s="83"/>
      <c r="D141" s="83"/>
      <c r="E141" s="118"/>
      <c r="F141" s="118"/>
      <c r="G141" s="118"/>
      <c r="H141" s="118"/>
      <c r="I141" s="118"/>
      <c r="J141" s="118"/>
      <c r="K141" s="118"/>
      <c r="L141" s="118"/>
      <c r="M141" s="118"/>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83"/>
    </row>
    <row r="142">
      <c r="A142" s="83"/>
      <c r="B142" s="83"/>
      <c r="C142" s="83"/>
      <c r="D142" s="83"/>
      <c r="E142" s="118"/>
      <c r="F142" s="118"/>
      <c r="G142" s="118"/>
      <c r="H142" s="118"/>
      <c r="I142" s="118"/>
      <c r="J142" s="118"/>
      <c r="K142" s="118"/>
      <c r="L142" s="118"/>
      <c r="M142" s="118"/>
      <c r="N142" s="83"/>
      <c r="O142" s="83"/>
      <c r="P142" s="83"/>
      <c r="Q142" s="83"/>
      <c r="R142" s="83"/>
      <c r="S142" s="83"/>
      <c r="T142" s="83"/>
      <c r="U142" s="83"/>
      <c r="V142" s="83"/>
      <c r="W142" s="83"/>
      <c r="X142" s="83"/>
      <c r="Y142" s="83"/>
      <c r="Z142" s="83"/>
      <c r="AA142" s="83"/>
      <c r="AB142" s="83"/>
      <c r="AC142" s="83"/>
      <c r="AD142" s="83"/>
      <c r="AE142" s="83"/>
      <c r="AF142" s="83"/>
      <c r="AG142" s="83"/>
      <c r="AH142" s="83"/>
      <c r="AI142" s="83"/>
      <c r="AJ142" s="83"/>
      <c r="AK142" s="83"/>
    </row>
    <row r="143">
      <c r="A143" s="83"/>
      <c r="B143" s="83"/>
      <c r="C143" s="83"/>
      <c r="D143" s="83"/>
      <c r="E143" s="118"/>
      <c r="F143" s="118"/>
      <c r="G143" s="118"/>
      <c r="H143" s="118"/>
      <c r="I143" s="118"/>
      <c r="J143" s="118"/>
      <c r="K143" s="118"/>
      <c r="L143" s="118"/>
      <c r="M143" s="118"/>
      <c r="N143" s="83"/>
      <c r="O143" s="83"/>
      <c r="P143" s="83"/>
      <c r="Q143" s="83"/>
      <c r="R143" s="83"/>
      <c r="S143" s="83"/>
      <c r="T143" s="83"/>
      <c r="U143" s="83"/>
      <c r="V143" s="83"/>
      <c r="W143" s="83"/>
      <c r="X143" s="83"/>
      <c r="Y143" s="83"/>
      <c r="Z143" s="83"/>
      <c r="AA143" s="83"/>
      <c r="AB143" s="83"/>
      <c r="AC143" s="83"/>
      <c r="AD143" s="83"/>
      <c r="AE143" s="83"/>
      <c r="AF143" s="83"/>
      <c r="AG143" s="83"/>
      <c r="AH143" s="83"/>
      <c r="AI143" s="83"/>
      <c r="AJ143" s="83"/>
      <c r="AK143" s="83"/>
    </row>
    <row r="144">
      <c r="A144" s="83"/>
      <c r="B144" s="83"/>
      <c r="C144" s="83"/>
      <c r="D144" s="83"/>
      <c r="E144" s="118"/>
      <c r="F144" s="118"/>
      <c r="G144" s="118"/>
      <c r="H144" s="118"/>
      <c r="I144" s="118"/>
      <c r="J144" s="118"/>
      <c r="K144" s="118"/>
      <c r="L144" s="118"/>
      <c r="M144" s="118"/>
      <c r="N144" s="83"/>
      <c r="O144" s="83"/>
      <c r="P144" s="83"/>
      <c r="Q144" s="83"/>
      <c r="R144" s="83"/>
      <c r="S144" s="83"/>
      <c r="T144" s="83"/>
      <c r="U144" s="83"/>
      <c r="V144" s="83"/>
      <c r="W144" s="83"/>
      <c r="X144" s="83"/>
      <c r="Y144" s="83"/>
      <c r="Z144" s="83"/>
      <c r="AA144" s="83"/>
      <c r="AB144" s="83"/>
      <c r="AC144" s="83"/>
      <c r="AD144" s="83"/>
      <c r="AE144" s="83"/>
      <c r="AF144" s="83"/>
      <c r="AG144" s="83"/>
      <c r="AH144" s="83"/>
      <c r="AI144" s="83"/>
      <c r="AJ144" s="83"/>
      <c r="AK144" s="83"/>
    </row>
    <row r="145">
      <c r="A145" s="83"/>
      <c r="B145" s="83"/>
      <c r="C145" s="83"/>
      <c r="D145" s="83"/>
      <c r="E145" s="118"/>
      <c r="F145" s="118"/>
      <c r="G145" s="118"/>
      <c r="H145" s="118"/>
      <c r="I145" s="118"/>
      <c r="J145" s="118"/>
      <c r="K145" s="118"/>
      <c r="L145" s="118"/>
      <c r="M145" s="118"/>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83"/>
    </row>
    <row r="146">
      <c r="A146" s="83"/>
      <c r="B146" s="83"/>
      <c r="C146" s="83"/>
      <c r="D146" s="83"/>
      <c r="E146" s="118"/>
      <c r="F146" s="118"/>
      <c r="G146" s="118"/>
      <c r="H146" s="118"/>
      <c r="I146" s="118"/>
      <c r="J146" s="118"/>
      <c r="K146" s="118"/>
      <c r="L146" s="118"/>
      <c r="M146" s="118"/>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row>
    <row r="147">
      <c r="A147" s="83"/>
      <c r="B147" s="83"/>
      <c r="C147" s="83"/>
      <c r="D147" s="83"/>
      <c r="E147" s="118"/>
      <c r="F147" s="118"/>
      <c r="G147" s="118"/>
      <c r="H147" s="118"/>
      <c r="I147" s="118"/>
      <c r="J147" s="118"/>
      <c r="K147" s="118"/>
      <c r="L147" s="118"/>
      <c r="M147" s="118"/>
      <c r="N147" s="83"/>
      <c r="O147" s="83"/>
      <c r="P147" s="83"/>
      <c r="Q147" s="83"/>
      <c r="R147" s="83"/>
      <c r="S147" s="83"/>
      <c r="T147" s="83"/>
      <c r="U147" s="83"/>
      <c r="V147" s="83"/>
      <c r="W147" s="83"/>
      <c r="X147" s="83"/>
      <c r="Y147" s="83"/>
      <c r="Z147" s="83"/>
      <c r="AA147" s="83"/>
      <c r="AB147" s="83"/>
      <c r="AC147" s="83"/>
      <c r="AD147" s="83"/>
      <c r="AE147" s="83"/>
      <c r="AF147" s="83"/>
      <c r="AG147" s="83"/>
      <c r="AH147" s="83"/>
      <c r="AI147" s="83"/>
      <c r="AJ147" s="83"/>
      <c r="AK147" s="83"/>
    </row>
    <row r="148">
      <c r="A148" s="83"/>
      <c r="B148" s="83"/>
      <c r="C148" s="83"/>
      <c r="D148" s="83"/>
      <c r="E148" s="118"/>
      <c r="F148" s="118"/>
      <c r="G148" s="118"/>
      <c r="H148" s="118"/>
      <c r="I148" s="118"/>
      <c r="J148" s="118"/>
      <c r="K148" s="118"/>
      <c r="L148" s="118"/>
      <c r="M148" s="118"/>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83"/>
    </row>
    <row r="149">
      <c r="A149" s="83"/>
      <c r="B149" s="83"/>
      <c r="C149" s="83"/>
      <c r="D149" s="83"/>
      <c r="E149" s="118"/>
      <c r="F149" s="118"/>
      <c r="G149" s="118"/>
      <c r="H149" s="118"/>
      <c r="I149" s="118"/>
      <c r="J149" s="118"/>
      <c r="K149" s="118"/>
      <c r="L149" s="118"/>
      <c r="M149" s="118"/>
      <c r="N149" s="83"/>
      <c r="O149" s="83"/>
      <c r="P149" s="83"/>
      <c r="Q149" s="83"/>
      <c r="R149" s="83"/>
      <c r="S149" s="83"/>
      <c r="T149" s="83"/>
      <c r="U149" s="83"/>
      <c r="V149" s="83"/>
      <c r="W149" s="83"/>
      <c r="X149" s="83"/>
      <c r="Y149" s="83"/>
      <c r="Z149" s="83"/>
      <c r="AA149" s="83"/>
      <c r="AB149" s="83"/>
      <c r="AC149" s="83"/>
      <c r="AD149" s="83"/>
      <c r="AE149" s="83"/>
      <c r="AF149" s="83"/>
      <c r="AG149" s="83"/>
      <c r="AH149" s="83"/>
      <c r="AI149" s="83"/>
      <c r="AJ149" s="83"/>
      <c r="AK149" s="83"/>
    </row>
    <row r="150">
      <c r="A150" s="83"/>
      <c r="B150" s="83"/>
      <c r="C150" s="83"/>
      <c r="D150" s="83"/>
      <c r="E150" s="118"/>
      <c r="F150" s="118"/>
      <c r="G150" s="118"/>
      <c r="H150" s="118"/>
      <c r="I150" s="118"/>
      <c r="J150" s="118"/>
      <c r="K150" s="118"/>
      <c r="L150" s="118"/>
      <c r="M150" s="118"/>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83"/>
    </row>
    <row r="151">
      <c r="A151" s="83"/>
      <c r="B151" s="83"/>
      <c r="C151" s="83"/>
      <c r="D151" s="83"/>
      <c r="E151" s="118"/>
      <c r="F151" s="118"/>
      <c r="G151" s="118"/>
      <c r="H151" s="118"/>
      <c r="I151" s="118"/>
      <c r="J151" s="118"/>
      <c r="K151" s="118"/>
      <c r="L151" s="118"/>
      <c r="M151" s="118"/>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83"/>
    </row>
    <row r="152">
      <c r="A152" s="83"/>
      <c r="B152" s="83"/>
      <c r="C152" s="83"/>
      <c r="D152" s="83"/>
      <c r="E152" s="118"/>
      <c r="F152" s="118"/>
      <c r="G152" s="118"/>
      <c r="H152" s="118"/>
      <c r="I152" s="118"/>
      <c r="J152" s="118"/>
      <c r="K152" s="118"/>
      <c r="L152" s="118"/>
      <c r="M152" s="118"/>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row>
    <row r="153">
      <c r="A153" s="83"/>
      <c r="B153" s="83"/>
      <c r="C153" s="83"/>
      <c r="D153" s="83"/>
      <c r="E153" s="118"/>
      <c r="F153" s="118"/>
      <c r="G153" s="118"/>
      <c r="H153" s="118"/>
      <c r="I153" s="118"/>
      <c r="J153" s="118"/>
      <c r="K153" s="118"/>
      <c r="L153" s="118"/>
      <c r="M153" s="118"/>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83"/>
    </row>
    <row r="154">
      <c r="A154" s="83"/>
      <c r="B154" s="83"/>
      <c r="C154" s="83"/>
      <c r="D154" s="83"/>
      <c r="E154" s="118"/>
      <c r="F154" s="118"/>
      <c r="G154" s="118"/>
      <c r="H154" s="118"/>
      <c r="I154" s="118"/>
      <c r="J154" s="118"/>
      <c r="K154" s="118"/>
      <c r="L154" s="118"/>
      <c r="M154" s="118"/>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row>
    <row r="155">
      <c r="A155" s="83"/>
      <c r="B155" s="83"/>
      <c r="C155" s="83"/>
      <c r="D155" s="83"/>
      <c r="E155" s="118"/>
      <c r="F155" s="118"/>
      <c r="G155" s="118"/>
      <c r="H155" s="118"/>
      <c r="I155" s="118"/>
      <c r="J155" s="118"/>
      <c r="K155" s="118"/>
      <c r="L155" s="118"/>
      <c r="M155" s="118"/>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row>
    <row r="156">
      <c r="A156" s="83"/>
      <c r="B156" s="83"/>
      <c r="C156" s="83"/>
      <c r="D156" s="83"/>
      <c r="E156" s="118"/>
      <c r="F156" s="118"/>
      <c r="G156" s="118"/>
      <c r="H156" s="118"/>
      <c r="I156" s="118"/>
      <c r="J156" s="118"/>
      <c r="K156" s="118"/>
      <c r="L156" s="118"/>
      <c r="M156" s="118"/>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row>
    <row r="157">
      <c r="A157" s="83"/>
      <c r="B157" s="83"/>
      <c r="C157" s="83"/>
      <c r="D157" s="83"/>
      <c r="E157" s="118"/>
      <c r="F157" s="118"/>
      <c r="G157" s="118"/>
      <c r="H157" s="118"/>
      <c r="I157" s="118"/>
      <c r="J157" s="118"/>
      <c r="K157" s="118"/>
      <c r="L157" s="118"/>
      <c r="M157" s="118"/>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row>
    <row r="158">
      <c r="A158" s="83"/>
      <c r="B158" s="83"/>
      <c r="C158" s="83"/>
      <c r="D158" s="83"/>
      <c r="E158" s="118"/>
      <c r="F158" s="118"/>
      <c r="G158" s="118"/>
      <c r="H158" s="118"/>
      <c r="I158" s="118"/>
      <c r="J158" s="118"/>
      <c r="K158" s="118"/>
      <c r="L158" s="118"/>
      <c r="M158" s="118"/>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row>
    <row r="159">
      <c r="A159" s="83"/>
      <c r="B159" s="83"/>
      <c r="C159" s="83"/>
      <c r="D159" s="83"/>
      <c r="E159" s="118"/>
      <c r="F159" s="118"/>
      <c r="G159" s="118"/>
      <c r="H159" s="118"/>
      <c r="I159" s="118"/>
      <c r="J159" s="118"/>
      <c r="K159" s="118"/>
      <c r="L159" s="118"/>
      <c r="M159" s="118"/>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row>
    <row r="160">
      <c r="A160" s="83"/>
      <c r="B160" s="83"/>
      <c r="C160" s="83"/>
      <c r="D160" s="83"/>
      <c r="E160" s="118"/>
      <c r="F160" s="118"/>
      <c r="G160" s="118"/>
      <c r="H160" s="118"/>
      <c r="I160" s="118"/>
      <c r="J160" s="118"/>
      <c r="K160" s="118"/>
      <c r="L160" s="118"/>
      <c r="M160" s="118"/>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row>
    <row r="161">
      <c r="A161" s="83"/>
      <c r="B161" s="83"/>
      <c r="C161" s="83"/>
      <c r="D161" s="83"/>
      <c r="E161" s="118"/>
      <c r="F161" s="118"/>
      <c r="G161" s="118"/>
      <c r="H161" s="118"/>
      <c r="I161" s="118"/>
      <c r="J161" s="118"/>
      <c r="K161" s="118"/>
      <c r="L161" s="118"/>
      <c r="M161" s="118"/>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row>
    <row r="162">
      <c r="A162" s="83"/>
      <c r="B162" s="83"/>
      <c r="C162" s="83"/>
      <c r="D162" s="83"/>
      <c r="E162" s="118"/>
      <c r="F162" s="118"/>
      <c r="G162" s="118"/>
      <c r="H162" s="118"/>
      <c r="I162" s="118"/>
      <c r="J162" s="118"/>
      <c r="K162" s="118"/>
      <c r="L162" s="118"/>
      <c r="M162" s="118"/>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83"/>
    </row>
    <row r="163">
      <c r="A163" s="83"/>
      <c r="B163" s="83"/>
      <c r="C163" s="83"/>
      <c r="D163" s="83"/>
      <c r="E163" s="118"/>
      <c r="F163" s="118"/>
      <c r="G163" s="118"/>
      <c r="H163" s="118"/>
      <c r="I163" s="118"/>
      <c r="J163" s="118"/>
      <c r="K163" s="118"/>
      <c r="L163" s="118"/>
      <c r="M163" s="118"/>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83"/>
    </row>
    <row r="164">
      <c r="A164" s="83"/>
      <c r="B164" s="83"/>
      <c r="C164" s="83"/>
      <c r="D164" s="83"/>
      <c r="E164" s="118"/>
      <c r="F164" s="118"/>
      <c r="G164" s="118"/>
      <c r="H164" s="118"/>
      <c r="I164" s="118"/>
      <c r="J164" s="118"/>
      <c r="K164" s="118"/>
      <c r="L164" s="118"/>
      <c r="M164" s="118"/>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83"/>
    </row>
    <row r="165">
      <c r="A165" s="83"/>
      <c r="B165" s="83"/>
      <c r="C165" s="83"/>
      <c r="D165" s="83"/>
      <c r="E165" s="118"/>
      <c r="F165" s="118"/>
      <c r="G165" s="118"/>
      <c r="H165" s="118"/>
      <c r="I165" s="118"/>
      <c r="J165" s="118"/>
      <c r="K165" s="118"/>
      <c r="L165" s="118"/>
      <c r="M165" s="118"/>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row>
    <row r="166">
      <c r="A166" s="83"/>
      <c r="B166" s="83"/>
      <c r="C166" s="83"/>
      <c r="D166" s="83"/>
      <c r="E166" s="118"/>
      <c r="F166" s="118"/>
      <c r="G166" s="118"/>
      <c r="H166" s="118"/>
      <c r="I166" s="118"/>
      <c r="J166" s="118"/>
      <c r="K166" s="118"/>
      <c r="L166" s="118"/>
      <c r="M166" s="118"/>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83"/>
    </row>
    <row r="167">
      <c r="A167" s="83"/>
      <c r="B167" s="83"/>
      <c r="C167" s="83"/>
      <c r="D167" s="83"/>
      <c r="E167" s="118"/>
      <c r="F167" s="118"/>
      <c r="G167" s="118"/>
      <c r="H167" s="118"/>
      <c r="I167" s="118"/>
      <c r="J167" s="118"/>
      <c r="K167" s="118"/>
      <c r="L167" s="118"/>
      <c r="M167" s="118"/>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83"/>
    </row>
    <row r="168">
      <c r="A168" s="83"/>
      <c r="B168" s="83"/>
      <c r="C168" s="83"/>
      <c r="D168" s="83"/>
      <c r="E168" s="118"/>
      <c r="F168" s="118"/>
      <c r="G168" s="118"/>
      <c r="H168" s="118"/>
      <c r="I168" s="118"/>
      <c r="J168" s="118"/>
      <c r="K168" s="118"/>
      <c r="L168" s="118"/>
      <c r="M168" s="118"/>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row>
    <row r="169">
      <c r="A169" s="83"/>
      <c r="B169" s="83"/>
      <c r="C169" s="83"/>
      <c r="D169" s="83"/>
      <c r="E169" s="118"/>
      <c r="F169" s="118"/>
      <c r="G169" s="118"/>
      <c r="H169" s="118"/>
      <c r="I169" s="118"/>
      <c r="J169" s="118"/>
      <c r="K169" s="118"/>
      <c r="L169" s="118"/>
      <c r="M169" s="118"/>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row>
    <row r="170">
      <c r="A170" s="83"/>
      <c r="B170" s="83"/>
      <c r="C170" s="83"/>
      <c r="D170" s="83"/>
      <c r="E170" s="118"/>
      <c r="F170" s="118"/>
      <c r="G170" s="118"/>
      <c r="H170" s="118"/>
      <c r="I170" s="118"/>
      <c r="J170" s="118"/>
      <c r="K170" s="118"/>
      <c r="L170" s="118"/>
      <c r="M170" s="118"/>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row>
    <row r="171">
      <c r="A171" s="83"/>
      <c r="B171" s="83"/>
      <c r="C171" s="83"/>
      <c r="D171" s="83"/>
      <c r="E171" s="118"/>
      <c r="F171" s="118"/>
      <c r="G171" s="118"/>
      <c r="H171" s="118"/>
      <c r="I171" s="118"/>
      <c r="J171" s="118"/>
      <c r="K171" s="118"/>
      <c r="L171" s="118"/>
      <c r="M171" s="118"/>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row>
    <row r="172">
      <c r="A172" s="83"/>
      <c r="B172" s="83"/>
      <c r="C172" s="83"/>
      <c r="D172" s="83"/>
      <c r="E172" s="118"/>
      <c r="F172" s="118"/>
      <c r="G172" s="118"/>
      <c r="H172" s="118"/>
      <c r="I172" s="118"/>
      <c r="J172" s="118"/>
      <c r="K172" s="118"/>
      <c r="L172" s="118"/>
      <c r="M172" s="118"/>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row>
    <row r="173">
      <c r="A173" s="83"/>
      <c r="B173" s="83"/>
      <c r="C173" s="83"/>
      <c r="D173" s="83"/>
      <c r="E173" s="118"/>
      <c r="F173" s="118"/>
      <c r="G173" s="118"/>
      <c r="H173" s="118"/>
      <c r="I173" s="118"/>
      <c r="J173" s="118"/>
      <c r="K173" s="118"/>
      <c r="L173" s="118"/>
      <c r="M173" s="118"/>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83"/>
    </row>
    <row r="174">
      <c r="A174" s="83"/>
      <c r="B174" s="83"/>
      <c r="C174" s="83"/>
      <c r="D174" s="83"/>
      <c r="E174" s="118"/>
      <c r="F174" s="118"/>
      <c r="G174" s="118"/>
      <c r="H174" s="118"/>
      <c r="I174" s="118"/>
      <c r="J174" s="118"/>
      <c r="K174" s="118"/>
      <c r="L174" s="118"/>
      <c r="M174" s="118"/>
      <c r="N174" s="83"/>
      <c r="O174" s="83"/>
      <c r="P174" s="83"/>
      <c r="Q174" s="83"/>
      <c r="R174" s="83"/>
      <c r="S174" s="83"/>
      <c r="T174" s="83"/>
      <c r="U174" s="83"/>
      <c r="V174" s="83"/>
      <c r="W174" s="83"/>
      <c r="X174" s="83"/>
      <c r="Y174" s="83"/>
      <c r="Z174" s="83"/>
      <c r="AA174" s="83"/>
      <c r="AB174" s="83"/>
      <c r="AC174" s="83"/>
      <c r="AD174" s="83"/>
      <c r="AE174" s="83"/>
      <c r="AF174" s="83"/>
      <c r="AG174" s="83"/>
      <c r="AH174" s="83"/>
      <c r="AI174" s="83"/>
      <c r="AJ174" s="83"/>
      <c r="AK174" s="83"/>
    </row>
    <row r="175">
      <c r="A175" s="83"/>
      <c r="B175" s="83"/>
      <c r="C175" s="83"/>
      <c r="D175" s="83"/>
      <c r="E175" s="118"/>
      <c r="F175" s="118"/>
      <c r="G175" s="118"/>
      <c r="H175" s="118"/>
      <c r="I175" s="118"/>
      <c r="J175" s="118"/>
      <c r="K175" s="118"/>
      <c r="L175" s="118"/>
      <c r="M175" s="118"/>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row>
    <row r="176">
      <c r="A176" s="83"/>
      <c r="B176" s="83"/>
      <c r="C176" s="83"/>
      <c r="D176" s="83"/>
      <c r="E176" s="118"/>
      <c r="F176" s="118"/>
      <c r="G176" s="118"/>
      <c r="H176" s="118"/>
      <c r="I176" s="118"/>
      <c r="J176" s="118"/>
      <c r="K176" s="118"/>
      <c r="L176" s="118"/>
      <c r="M176" s="118"/>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row>
    <row r="177">
      <c r="A177" s="83"/>
      <c r="B177" s="83"/>
      <c r="C177" s="83"/>
      <c r="D177" s="83"/>
      <c r="E177" s="118"/>
      <c r="F177" s="118"/>
      <c r="G177" s="118"/>
      <c r="H177" s="118"/>
      <c r="I177" s="118"/>
      <c r="J177" s="118"/>
      <c r="K177" s="118"/>
      <c r="L177" s="118"/>
      <c r="M177" s="118"/>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row>
    <row r="178">
      <c r="A178" s="83"/>
      <c r="B178" s="83"/>
      <c r="C178" s="83"/>
      <c r="D178" s="83"/>
      <c r="E178" s="118"/>
      <c r="F178" s="118"/>
      <c r="G178" s="118"/>
      <c r="H178" s="118"/>
      <c r="I178" s="118"/>
      <c r="J178" s="118"/>
      <c r="K178" s="118"/>
      <c r="L178" s="118"/>
      <c r="M178" s="118"/>
      <c r="N178" s="83"/>
      <c r="O178" s="83"/>
      <c r="P178" s="83"/>
      <c r="Q178" s="83"/>
      <c r="R178" s="83"/>
      <c r="S178" s="83"/>
      <c r="T178" s="83"/>
      <c r="U178" s="83"/>
      <c r="V178" s="83"/>
      <c r="W178" s="83"/>
      <c r="X178" s="83"/>
      <c r="Y178" s="83"/>
      <c r="Z178" s="83"/>
      <c r="AA178" s="83"/>
      <c r="AB178" s="83"/>
      <c r="AC178" s="83"/>
      <c r="AD178" s="83"/>
      <c r="AE178" s="83"/>
      <c r="AF178" s="83"/>
      <c r="AG178" s="83"/>
      <c r="AH178" s="83"/>
      <c r="AI178" s="83"/>
      <c r="AJ178" s="83"/>
      <c r="AK178" s="83"/>
    </row>
    <row r="179">
      <c r="A179" s="83"/>
      <c r="B179" s="83"/>
      <c r="C179" s="83"/>
      <c r="D179" s="83"/>
      <c r="E179" s="118"/>
      <c r="F179" s="118"/>
      <c r="G179" s="118"/>
      <c r="H179" s="118"/>
      <c r="I179" s="118"/>
      <c r="J179" s="118"/>
      <c r="K179" s="118"/>
      <c r="L179" s="118"/>
      <c r="M179" s="118"/>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83"/>
    </row>
    <row r="180">
      <c r="A180" s="83"/>
      <c r="B180" s="83"/>
      <c r="C180" s="83"/>
      <c r="D180" s="83"/>
      <c r="E180" s="118"/>
      <c r="F180" s="118"/>
      <c r="G180" s="118"/>
      <c r="H180" s="118"/>
      <c r="I180" s="118"/>
      <c r="J180" s="118"/>
      <c r="K180" s="118"/>
      <c r="L180" s="118"/>
      <c r="M180" s="118"/>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83"/>
    </row>
    <row r="181">
      <c r="A181" s="83"/>
      <c r="B181" s="83"/>
      <c r="C181" s="83"/>
      <c r="D181" s="83"/>
      <c r="E181" s="118"/>
      <c r="F181" s="118"/>
      <c r="G181" s="118"/>
      <c r="H181" s="118"/>
      <c r="I181" s="118"/>
      <c r="J181" s="118"/>
      <c r="K181" s="118"/>
      <c r="L181" s="118"/>
      <c r="M181" s="118"/>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row>
    <row r="182">
      <c r="A182" s="83"/>
      <c r="B182" s="83"/>
      <c r="C182" s="83"/>
      <c r="D182" s="83"/>
      <c r="E182" s="118"/>
      <c r="F182" s="118"/>
      <c r="G182" s="118"/>
      <c r="H182" s="118"/>
      <c r="I182" s="118"/>
      <c r="J182" s="118"/>
      <c r="K182" s="118"/>
      <c r="L182" s="118"/>
      <c r="M182" s="118"/>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83"/>
    </row>
    <row r="183">
      <c r="A183" s="83"/>
      <c r="B183" s="83"/>
      <c r="C183" s="83"/>
      <c r="D183" s="83"/>
      <c r="E183" s="118"/>
      <c r="F183" s="118"/>
      <c r="G183" s="118"/>
      <c r="H183" s="118"/>
      <c r="I183" s="118"/>
      <c r="J183" s="118"/>
      <c r="K183" s="118"/>
      <c r="L183" s="118"/>
      <c r="M183" s="118"/>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83"/>
    </row>
    <row r="184">
      <c r="A184" s="83"/>
      <c r="B184" s="83"/>
      <c r="C184" s="83"/>
      <c r="D184" s="83"/>
      <c r="E184" s="118"/>
      <c r="F184" s="118"/>
      <c r="G184" s="118"/>
      <c r="H184" s="118"/>
      <c r="I184" s="118"/>
      <c r="J184" s="118"/>
      <c r="K184" s="118"/>
      <c r="L184" s="118"/>
      <c r="M184" s="118"/>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83"/>
    </row>
    <row r="185">
      <c r="A185" s="83"/>
      <c r="B185" s="83"/>
      <c r="C185" s="83"/>
      <c r="D185" s="83"/>
      <c r="E185" s="118"/>
      <c r="F185" s="118"/>
      <c r="G185" s="118"/>
      <c r="H185" s="118"/>
      <c r="I185" s="118"/>
      <c r="J185" s="118"/>
      <c r="K185" s="118"/>
      <c r="L185" s="118"/>
      <c r="M185" s="118"/>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83"/>
    </row>
    <row r="186">
      <c r="A186" s="83"/>
      <c r="B186" s="83"/>
      <c r="C186" s="83"/>
      <c r="D186" s="83"/>
      <c r="E186" s="118"/>
      <c r="F186" s="118"/>
      <c r="G186" s="118"/>
      <c r="H186" s="118"/>
      <c r="I186" s="118"/>
      <c r="J186" s="118"/>
      <c r="K186" s="118"/>
      <c r="L186" s="118"/>
      <c r="M186" s="118"/>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83"/>
    </row>
    <row r="187">
      <c r="A187" s="83"/>
      <c r="B187" s="83"/>
      <c r="C187" s="83"/>
      <c r="D187" s="83"/>
      <c r="E187" s="118"/>
      <c r="F187" s="118"/>
      <c r="G187" s="118"/>
      <c r="H187" s="118"/>
      <c r="I187" s="118"/>
      <c r="J187" s="118"/>
      <c r="K187" s="118"/>
      <c r="L187" s="118"/>
      <c r="M187" s="118"/>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row>
    <row r="188">
      <c r="A188" s="83"/>
      <c r="B188" s="83"/>
      <c r="C188" s="83"/>
      <c r="D188" s="83"/>
      <c r="E188" s="118"/>
      <c r="F188" s="118"/>
      <c r="G188" s="118"/>
      <c r="H188" s="118"/>
      <c r="I188" s="118"/>
      <c r="J188" s="118"/>
      <c r="K188" s="118"/>
      <c r="L188" s="118"/>
      <c r="M188" s="118"/>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83"/>
    </row>
    <row r="189">
      <c r="A189" s="83"/>
      <c r="B189" s="83"/>
      <c r="C189" s="83"/>
      <c r="D189" s="83"/>
      <c r="E189" s="118"/>
      <c r="F189" s="118"/>
      <c r="G189" s="118"/>
      <c r="H189" s="118"/>
      <c r="I189" s="118"/>
      <c r="J189" s="118"/>
      <c r="K189" s="118"/>
      <c r="L189" s="118"/>
      <c r="M189" s="118"/>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row>
    <row r="190">
      <c r="A190" s="83"/>
      <c r="B190" s="83"/>
      <c r="C190" s="83"/>
      <c r="D190" s="83"/>
      <c r="E190" s="118"/>
      <c r="F190" s="118"/>
      <c r="G190" s="118"/>
      <c r="H190" s="118"/>
      <c r="I190" s="118"/>
      <c r="J190" s="118"/>
      <c r="K190" s="118"/>
      <c r="L190" s="118"/>
      <c r="M190" s="118"/>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83"/>
    </row>
    <row r="191">
      <c r="A191" s="83"/>
      <c r="B191" s="83"/>
      <c r="C191" s="83"/>
      <c r="D191" s="83"/>
      <c r="E191" s="118"/>
      <c r="F191" s="118"/>
      <c r="G191" s="118"/>
      <c r="H191" s="118"/>
      <c r="I191" s="118"/>
      <c r="J191" s="118"/>
      <c r="K191" s="118"/>
      <c r="L191" s="118"/>
      <c r="M191" s="118"/>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row>
    <row r="192">
      <c r="A192" s="83"/>
      <c r="B192" s="83"/>
      <c r="C192" s="83"/>
      <c r="D192" s="83"/>
      <c r="E192" s="118"/>
      <c r="F192" s="118"/>
      <c r="G192" s="118"/>
      <c r="H192" s="118"/>
      <c r="I192" s="118"/>
      <c r="J192" s="118"/>
      <c r="K192" s="118"/>
      <c r="L192" s="118"/>
      <c r="M192" s="118"/>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row>
    <row r="193">
      <c r="A193" s="83"/>
      <c r="B193" s="83"/>
      <c r="C193" s="83"/>
      <c r="D193" s="83"/>
      <c r="E193" s="118"/>
      <c r="F193" s="118"/>
      <c r="G193" s="118"/>
      <c r="H193" s="118"/>
      <c r="I193" s="118"/>
      <c r="J193" s="118"/>
      <c r="K193" s="118"/>
      <c r="L193" s="118"/>
      <c r="M193" s="118"/>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83"/>
    </row>
    <row r="194">
      <c r="A194" s="83"/>
      <c r="B194" s="83"/>
      <c r="C194" s="83"/>
      <c r="D194" s="83"/>
      <c r="E194" s="118"/>
      <c r="F194" s="118"/>
      <c r="G194" s="118"/>
      <c r="H194" s="118"/>
      <c r="I194" s="118"/>
      <c r="J194" s="118"/>
      <c r="K194" s="118"/>
      <c r="L194" s="118"/>
      <c r="M194" s="118"/>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83"/>
    </row>
    <row r="195">
      <c r="A195" s="83"/>
      <c r="B195" s="83"/>
      <c r="C195" s="83"/>
      <c r="D195" s="83"/>
      <c r="E195" s="118"/>
      <c r="F195" s="118"/>
      <c r="G195" s="118"/>
      <c r="H195" s="118"/>
      <c r="I195" s="118"/>
      <c r="J195" s="118"/>
      <c r="K195" s="118"/>
      <c r="L195" s="118"/>
      <c r="M195" s="118"/>
      <c r="N195" s="83"/>
      <c r="O195" s="83"/>
      <c r="P195" s="83"/>
      <c r="Q195" s="83"/>
      <c r="R195" s="83"/>
      <c r="S195" s="83"/>
      <c r="T195" s="83"/>
      <c r="U195" s="83"/>
      <c r="V195" s="83"/>
      <c r="W195" s="83"/>
      <c r="X195" s="83"/>
      <c r="Y195" s="83"/>
      <c r="Z195" s="83"/>
      <c r="AA195" s="83"/>
      <c r="AB195" s="83"/>
      <c r="AC195" s="83"/>
      <c r="AD195" s="83"/>
      <c r="AE195" s="83"/>
      <c r="AF195" s="83"/>
      <c r="AG195" s="83"/>
      <c r="AH195" s="83"/>
      <c r="AI195" s="83"/>
      <c r="AJ195" s="83"/>
      <c r="AK195" s="83"/>
    </row>
    <row r="196">
      <c r="A196" s="83"/>
      <c r="B196" s="83"/>
      <c r="C196" s="83"/>
      <c r="D196" s="83"/>
      <c r="E196" s="118"/>
      <c r="F196" s="118"/>
      <c r="G196" s="118"/>
      <c r="H196" s="118"/>
      <c r="I196" s="118"/>
      <c r="J196" s="118"/>
      <c r="K196" s="118"/>
      <c r="L196" s="118"/>
      <c r="M196" s="118"/>
      <c r="N196" s="83"/>
      <c r="O196" s="83"/>
      <c r="P196" s="83"/>
      <c r="Q196" s="83"/>
      <c r="R196" s="83"/>
      <c r="S196" s="83"/>
      <c r="T196" s="83"/>
      <c r="U196" s="83"/>
      <c r="V196" s="83"/>
      <c r="W196" s="83"/>
      <c r="X196" s="83"/>
      <c r="Y196" s="83"/>
      <c r="Z196" s="83"/>
      <c r="AA196" s="83"/>
      <c r="AB196" s="83"/>
      <c r="AC196" s="83"/>
      <c r="AD196" s="83"/>
      <c r="AE196" s="83"/>
      <c r="AF196" s="83"/>
      <c r="AG196" s="83"/>
      <c r="AH196" s="83"/>
      <c r="AI196" s="83"/>
      <c r="AJ196" s="83"/>
      <c r="AK196" s="83"/>
    </row>
    <row r="197">
      <c r="A197" s="83"/>
      <c r="B197" s="83"/>
      <c r="C197" s="83"/>
      <c r="D197" s="83"/>
      <c r="E197" s="118"/>
      <c r="F197" s="118"/>
      <c r="G197" s="118"/>
      <c r="H197" s="118"/>
      <c r="I197" s="118"/>
      <c r="J197" s="118"/>
      <c r="K197" s="118"/>
      <c r="L197" s="118"/>
      <c r="M197" s="118"/>
      <c r="N197" s="83"/>
      <c r="O197" s="83"/>
      <c r="P197" s="83"/>
      <c r="Q197" s="83"/>
      <c r="R197" s="83"/>
      <c r="S197" s="83"/>
      <c r="T197" s="83"/>
      <c r="U197" s="83"/>
      <c r="V197" s="83"/>
      <c r="W197" s="83"/>
      <c r="X197" s="83"/>
      <c r="Y197" s="83"/>
      <c r="Z197" s="83"/>
      <c r="AA197" s="83"/>
      <c r="AB197" s="83"/>
      <c r="AC197" s="83"/>
      <c r="AD197" s="83"/>
      <c r="AE197" s="83"/>
      <c r="AF197" s="83"/>
      <c r="AG197" s="83"/>
      <c r="AH197" s="83"/>
      <c r="AI197" s="83"/>
      <c r="AJ197" s="83"/>
      <c r="AK197" s="83"/>
    </row>
    <row r="198">
      <c r="A198" s="83"/>
      <c r="B198" s="83"/>
      <c r="C198" s="83"/>
      <c r="D198" s="83"/>
      <c r="E198" s="118"/>
      <c r="F198" s="118"/>
      <c r="G198" s="118"/>
      <c r="H198" s="118"/>
      <c r="I198" s="118"/>
      <c r="J198" s="118"/>
      <c r="K198" s="118"/>
      <c r="L198" s="118"/>
      <c r="M198" s="118"/>
      <c r="N198" s="83"/>
      <c r="O198" s="83"/>
      <c r="P198" s="83"/>
      <c r="Q198" s="83"/>
      <c r="R198" s="83"/>
      <c r="S198" s="83"/>
      <c r="T198" s="83"/>
      <c r="U198" s="83"/>
      <c r="V198" s="83"/>
      <c r="W198" s="83"/>
      <c r="X198" s="83"/>
      <c r="Y198" s="83"/>
      <c r="Z198" s="83"/>
      <c r="AA198" s="83"/>
      <c r="AB198" s="83"/>
      <c r="AC198" s="83"/>
      <c r="AD198" s="83"/>
      <c r="AE198" s="83"/>
      <c r="AF198" s="83"/>
      <c r="AG198" s="83"/>
      <c r="AH198" s="83"/>
      <c r="AI198" s="83"/>
      <c r="AJ198" s="83"/>
      <c r="AK198" s="83"/>
    </row>
    <row r="199">
      <c r="A199" s="83"/>
      <c r="B199" s="83"/>
      <c r="C199" s="83"/>
      <c r="D199" s="83"/>
      <c r="E199" s="118"/>
      <c r="F199" s="118"/>
      <c r="G199" s="118"/>
      <c r="H199" s="118"/>
      <c r="I199" s="118"/>
      <c r="J199" s="118"/>
      <c r="K199" s="118"/>
      <c r="L199" s="118"/>
      <c r="M199" s="118"/>
      <c r="N199" s="83"/>
      <c r="O199" s="83"/>
      <c r="P199" s="83"/>
      <c r="Q199" s="83"/>
      <c r="R199" s="83"/>
      <c r="S199" s="83"/>
      <c r="T199" s="83"/>
      <c r="U199" s="83"/>
      <c r="V199" s="83"/>
      <c r="W199" s="83"/>
      <c r="X199" s="83"/>
      <c r="Y199" s="83"/>
      <c r="Z199" s="83"/>
      <c r="AA199" s="83"/>
      <c r="AB199" s="83"/>
      <c r="AC199" s="83"/>
      <c r="AD199" s="83"/>
      <c r="AE199" s="83"/>
      <c r="AF199" s="83"/>
      <c r="AG199" s="83"/>
      <c r="AH199" s="83"/>
      <c r="AI199" s="83"/>
      <c r="AJ199" s="83"/>
      <c r="AK199" s="83"/>
    </row>
    <row r="200">
      <c r="A200" s="83"/>
      <c r="B200" s="83"/>
      <c r="C200" s="83"/>
      <c r="D200" s="83"/>
      <c r="E200" s="118"/>
      <c r="F200" s="118"/>
      <c r="G200" s="118"/>
      <c r="H200" s="118"/>
      <c r="I200" s="118"/>
      <c r="J200" s="118"/>
      <c r="K200" s="118"/>
      <c r="L200" s="118"/>
      <c r="M200" s="118"/>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83"/>
    </row>
    <row r="201">
      <c r="A201" s="83"/>
      <c r="B201" s="83"/>
      <c r="C201" s="83"/>
      <c r="D201" s="83"/>
      <c r="E201" s="118"/>
      <c r="F201" s="118"/>
      <c r="G201" s="118"/>
      <c r="H201" s="118"/>
      <c r="I201" s="118"/>
      <c r="J201" s="118"/>
      <c r="K201" s="118"/>
      <c r="L201" s="118"/>
      <c r="M201" s="118"/>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83"/>
    </row>
    <row r="202">
      <c r="A202" s="83"/>
      <c r="B202" s="83"/>
      <c r="C202" s="83"/>
      <c r="D202" s="83"/>
      <c r="E202" s="118"/>
      <c r="F202" s="118"/>
      <c r="G202" s="118"/>
      <c r="H202" s="118"/>
      <c r="I202" s="118"/>
      <c r="J202" s="118"/>
      <c r="K202" s="118"/>
      <c r="L202" s="118"/>
      <c r="M202" s="118"/>
      <c r="N202" s="83"/>
      <c r="O202" s="83"/>
      <c r="P202" s="83"/>
      <c r="Q202" s="83"/>
      <c r="R202" s="83"/>
      <c r="S202" s="83"/>
      <c r="T202" s="83"/>
      <c r="U202" s="83"/>
      <c r="V202" s="83"/>
      <c r="W202" s="83"/>
      <c r="X202" s="83"/>
      <c r="Y202" s="83"/>
      <c r="Z202" s="83"/>
      <c r="AA202" s="83"/>
      <c r="AB202" s="83"/>
      <c r="AC202" s="83"/>
      <c r="AD202" s="83"/>
      <c r="AE202" s="83"/>
      <c r="AF202" s="83"/>
      <c r="AG202" s="83"/>
      <c r="AH202" s="83"/>
      <c r="AI202" s="83"/>
      <c r="AJ202" s="83"/>
      <c r="AK202" s="83"/>
    </row>
    <row r="203">
      <c r="A203" s="83"/>
      <c r="B203" s="83"/>
      <c r="C203" s="83"/>
      <c r="D203" s="83"/>
      <c r="E203" s="118"/>
      <c r="F203" s="118"/>
      <c r="G203" s="118"/>
      <c r="H203" s="118"/>
      <c r="I203" s="118"/>
      <c r="J203" s="118"/>
      <c r="K203" s="118"/>
      <c r="L203" s="118"/>
      <c r="M203" s="118"/>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83"/>
    </row>
    <row r="204">
      <c r="A204" s="83"/>
      <c r="B204" s="83"/>
      <c r="C204" s="83"/>
      <c r="D204" s="83"/>
      <c r="E204" s="118"/>
      <c r="F204" s="118"/>
      <c r="G204" s="118"/>
      <c r="H204" s="118"/>
      <c r="I204" s="118"/>
      <c r="J204" s="118"/>
      <c r="K204" s="118"/>
      <c r="L204" s="118"/>
      <c r="M204" s="118"/>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83"/>
    </row>
    <row r="205">
      <c r="A205" s="83"/>
      <c r="B205" s="83"/>
      <c r="C205" s="83"/>
      <c r="D205" s="83"/>
      <c r="E205" s="118"/>
      <c r="F205" s="118"/>
      <c r="G205" s="118"/>
      <c r="H205" s="118"/>
      <c r="I205" s="118"/>
      <c r="J205" s="118"/>
      <c r="K205" s="118"/>
      <c r="L205" s="118"/>
      <c r="M205" s="118"/>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83"/>
    </row>
    <row r="206">
      <c r="A206" s="83"/>
      <c r="B206" s="83"/>
      <c r="C206" s="83"/>
      <c r="D206" s="83"/>
      <c r="E206" s="118"/>
      <c r="F206" s="118"/>
      <c r="G206" s="118"/>
      <c r="H206" s="118"/>
      <c r="I206" s="118"/>
      <c r="J206" s="118"/>
      <c r="K206" s="118"/>
      <c r="L206" s="118"/>
      <c r="M206" s="118"/>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83"/>
    </row>
    <row r="207">
      <c r="A207" s="83"/>
      <c r="B207" s="83"/>
      <c r="C207" s="83"/>
      <c r="D207" s="83"/>
      <c r="E207" s="118"/>
      <c r="F207" s="118"/>
      <c r="G207" s="118"/>
      <c r="H207" s="118"/>
      <c r="I207" s="118"/>
      <c r="J207" s="118"/>
      <c r="K207" s="118"/>
      <c r="L207" s="118"/>
      <c r="M207" s="118"/>
      <c r="N207" s="83"/>
      <c r="O207" s="83"/>
      <c r="P207" s="83"/>
      <c r="Q207" s="83"/>
      <c r="R207" s="83"/>
      <c r="S207" s="83"/>
      <c r="T207" s="83"/>
      <c r="U207" s="83"/>
      <c r="V207" s="83"/>
      <c r="W207" s="83"/>
      <c r="X207" s="83"/>
      <c r="Y207" s="83"/>
      <c r="Z207" s="83"/>
      <c r="AA207" s="83"/>
      <c r="AB207" s="83"/>
      <c r="AC207" s="83"/>
      <c r="AD207" s="83"/>
      <c r="AE207" s="83"/>
      <c r="AF207" s="83"/>
      <c r="AG207" s="83"/>
      <c r="AH207" s="83"/>
      <c r="AI207" s="83"/>
      <c r="AJ207" s="83"/>
      <c r="AK207" s="83"/>
    </row>
    <row r="208">
      <c r="A208" s="83"/>
      <c r="B208" s="83"/>
      <c r="C208" s="83"/>
      <c r="D208" s="83"/>
      <c r="E208" s="118"/>
      <c r="F208" s="118"/>
      <c r="G208" s="118"/>
      <c r="H208" s="118"/>
      <c r="I208" s="118"/>
      <c r="J208" s="118"/>
      <c r="K208" s="118"/>
      <c r="L208" s="118"/>
      <c r="M208" s="118"/>
      <c r="N208" s="83"/>
      <c r="O208" s="83"/>
      <c r="P208" s="83"/>
      <c r="Q208" s="83"/>
      <c r="R208" s="83"/>
      <c r="S208" s="83"/>
      <c r="T208" s="83"/>
      <c r="U208" s="83"/>
      <c r="V208" s="83"/>
      <c r="W208" s="83"/>
      <c r="X208" s="83"/>
      <c r="Y208" s="83"/>
      <c r="Z208" s="83"/>
      <c r="AA208" s="83"/>
      <c r="AB208" s="83"/>
      <c r="AC208" s="83"/>
      <c r="AD208" s="83"/>
      <c r="AE208" s="83"/>
      <c r="AF208" s="83"/>
      <c r="AG208" s="83"/>
      <c r="AH208" s="83"/>
      <c r="AI208" s="83"/>
      <c r="AJ208" s="83"/>
      <c r="AK208" s="83"/>
    </row>
    <row r="209">
      <c r="A209" s="83"/>
      <c r="B209" s="83"/>
      <c r="C209" s="83"/>
      <c r="D209" s="83"/>
      <c r="E209" s="118"/>
      <c r="F209" s="118"/>
      <c r="G209" s="118"/>
      <c r="H209" s="118"/>
      <c r="I209" s="118"/>
      <c r="J209" s="118"/>
      <c r="K209" s="118"/>
      <c r="L209" s="118"/>
      <c r="M209" s="118"/>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row>
    <row r="210">
      <c r="A210" s="83"/>
      <c r="B210" s="83"/>
      <c r="C210" s="83"/>
      <c r="D210" s="83"/>
      <c r="E210" s="118"/>
      <c r="F210" s="118"/>
      <c r="G210" s="118"/>
      <c r="H210" s="118"/>
      <c r="I210" s="118"/>
      <c r="J210" s="118"/>
      <c r="K210" s="118"/>
      <c r="L210" s="118"/>
      <c r="M210" s="118"/>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83"/>
    </row>
    <row r="211">
      <c r="A211" s="83"/>
      <c r="B211" s="83"/>
      <c r="C211" s="83"/>
      <c r="D211" s="83"/>
      <c r="E211" s="118"/>
      <c r="F211" s="118"/>
      <c r="G211" s="118"/>
      <c r="H211" s="118"/>
      <c r="I211" s="118"/>
      <c r="J211" s="118"/>
      <c r="K211" s="118"/>
      <c r="L211" s="118"/>
      <c r="M211" s="118"/>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83"/>
    </row>
    <row r="212">
      <c r="A212" s="83"/>
      <c r="B212" s="83"/>
      <c r="C212" s="83"/>
      <c r="D212" s="83"/>
      <c r="E212" s="118"/>
      <c r="F212" s="118"/>
      <c r="G212" s="118"/>
      <c r="H212" s="118"/>
      <c r="I212" s="118"/>
      <c r="J212" s="118"/>
      <c r="K212" s="118"/>
      <c r="L212" s="118"/>
      <c r="M212" s="118"/>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83"/>
    </row>
    <row r="213">
      <c r="A213" s="83"/>
      <c r="B213" s="83"/>
      <c r="C213" s="83"/>
      <c r="D213" s="83"/>
      <c r="E213" s="118"/>
      <c r="F213" s="118"/>
      <c r="G213" s="118"/>
      <c r="H213" s="118"/>
      <c r="I213" s="118"/>
      <c r="J213" s="118"/>
      <c r="K213" s="118"/>
      <c r="L213" s="118"/>
      <c r="M213" s="118"/>
      <c r="N213" s="83"/>
      <c r="O213" s="83"/>
      <c r="P213" s="83"/>
      <c r="Q213" s="83"/>
      <c r="R213" s="83"/>
      <c r="S213" s="83"/>
      <c r="T213" s="83"/>
      <c r="U213" s="83"/>
      <c r="V213" s="83"/>
      <c r="W213" s="83"/>
      <c r="X213" s="83"/>
      <c r="Y213" s="83"/>
      <c r="Z213" s="83"/>
      <c r="AA213" s="83"/>
      <c r="AB213" s="83"/>
      <c r="AC213" s="83"/>
      <c r="AD213" s="83"/>
      <c r="AE213" s="83"/>
      <c r="AF213" s="83"/>
      <c r="AG213" s="83"/>
      <c r="AH213" s="83"/>
      <c r="AI213" s="83"/>
      <c r="AJ213" s="83"/>
      <c r="AK213" s="83"/>
    </row>
    <row r="214">
      <c r="A214" s="83"/>
      <c r="B214" s="83"/>
      <c r="C214" s="83"/>
      <c r="D214" s="83"/>
      <c r="E214" s="118"/>
      <c r="F214" s="118"/>
      <c r="G214" s="118"/>
      <c r="H214" s="118"/>
      <c r="I214" s="118"/>
      <c r="J214" s="118"/>
      <c r="K214" s="118"/>
      <c r="L214" s="118"/>
      <c r="M214" s="118"/>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83"/>
    </row>
    <row r="215">
      <c r="A215" s="83"/>
      <c r="B215" s="83"/>
      <c r="C215" s="83"/>
      <c r="D215" s="83"/>
      <c r="E215" s="118"/>
      <c r="F215" s="118"/>
      <c r="G215" s="118"/>
      <c r="H215" s="118"/>
      <c r="I215" s="118"/>
      <c r="J215" s="118"/>
      <c r="K215" s="118"/>
      <c r="L215" s="118"/>
      <c r="M215" s="118"/>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83"/>
    </row>
    <row r="216">
      <c r="A216" s="83"/>
      <c r="B216" s="83"/>
      <c r="C216" s="83"/>
      <c r="D216" s="83"/>
      <c r="E216" s="118"/>
      <c r="F216" s="118"/>
      <c r="G216" s="118"/>
      <c r="H216" s="118"/>
      <c r="I216" s="118"/>
      <c r="J216" s="118"/>
      <c r="K216" s="118"/>
      <c r="L216" s="118"/>
      <c r="M216" s="118"/>
      <c r="N216" s="83"/>
      <c r="O216" s="83"/>
      <c r="P216" s="83"/>
      <c r="Q216" s="83"/>
      <c r="R216" s="83"/>
      <c r="S216" s="83"/>
      <c r="T216" s="83"/>
      <c r="U216" s="83"/>
      <c r="V216" s="83"/>
      <c r="W216" s="83"/>
      <c r="X216" s="83"/>
      <c r="Y216" s="83"/>
      <c r="Z216" s="83"/>
      <c r="AA216" s="83"/>
      <c r="AB216" s="83"/>
      <c r="AC216" s="83"/>
      <c r="AD216" s="83"/>
      <c r="AE216" s="83"/>
      <c r="AF216" s="83"/>
      <c r="AG216" s="83"/>
      <c r="AH216" s="83"/>
      <c r="AI216" s="83"/>
      <c r="AJ216" s="83"/>
      <c r="AK216" s="83"/>
    </row>
    <row r="217">
      <c r="A217" s="83"/>
      <c r="B217" s="83"/>
      <c r="C217" s="83"/>
      <c r="D217" s="83"/>
      <c r="E217" s="118"/>
      <c r="F217" s="118"/>
      <c r="G217" s="118"/>
      <c r="H217" s="118"/>
      <c r="I217" s="118"/>
      <c r="J217" s="118"/>
      <c r="K217" s="118"/>
      <c r="L217" s="118"/>
      <c r="M217" s="118"/>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83"/>
    </row>
    <row r="218">
      <c r="A218" s="83"/>
      <c r="B218" s="83"/>
      <c r="C218" s="83"/>
      <c r="D218" s="83"/>
      <c r="E218" s="118"/>
      <c r="F218" s="118"/>
      <c r="G218" s="118"/>
      <c r="H218" s="118"/>
      <c r="I218" s="118"/>
      <c r="J218" s="118"/>
      <c r="K218" s="118"/>
      <c r="L218" s="118"/>
      <c r="M218" s="118"/>
      <c r="N218" s="83"/>
      <c r="O218" s="83"/>
      <c r="P218" s="83"/>
      <c r="Q218" s="83"/>
      <c r="R218" s="83"/>
      <c r="S218" s="83"/>
      <c r="T218" s="83"/>
      <c r="U218" s="83"/>
      <c r="V218" s="83"/>
      <c r="W218" s="83"/>
      <c r="X218" s="83"/>
      <c r="Y218" s="83"/>
      <c r="Z218" s="83"/>
      <c r="AA218" s="83"/>
      <c r="AB218" s="83"/>
      <c r="AC218" s="83"/>
      <c r="AD218" s="83"/>
      <c r="AE218" s="83"/>
      <c r="AF218" s="83"/>
      <c r="AG218" s="83"/>
      <c r="AH218" s="83"/>
      <c r="AI218" s="83"/>
      <c r="AJ218" s="83"/>
      <c r="AK218" s="83"/>
    </row>
    <row r="219">
      <c r="A219" s="83"/>
      <c r="B219" s="83"/>
      <c r="C219" s="83"/>
      <c r="D219" s="83"/>
      <c r="E219" s="118"/>
      <c r="F219" s="118"/>
      <c r="G219" s="118"/>
      <c r="H219" s="118"/>
      <c r="I219" s="118"/>
      <c r="J219" s="118"/>
      <c r="K219" s="118"/>
      <c r="L219" s="118"/>
      <c r="M219" s="118"/>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83"/>
    </row>
    <row r="220">
      <c r="A220" s="83"/>
      <c r="B220" s="83"/>
      <c r="C220" s="83"/>
      <c r="D220" s="83"/>
      <c r="E220" s="118"/>
      <c r="F220" s="118"/>
      <c r="G220" s="118"/>
      <c r="H220" s="118"/>
      <c r="I220" s="118"/>
      <c r="J220" s="118"/>
      <c r="K220" s="118"/>
      <c r="L220" s="118"/>
      <c r="M220" s="118"/>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83"/>
    </row>
    <row r="221">
      <c r="A221" s="83"/>
      <c r="B221" s="83"/>
      <c r="C221" s="83"/>
      <c r="D221" s="83"/>
      <c r="E221" s="118"/>
      <c r="F221" s="118"/>
      <c r="G221" s="118"/>
      <c r="H221" s="118"/>
      <c r="I221" s="118"/>
      <c r="J221" s="118"/>
      <c r="K221" s="118"/>
      <c r="L221" s="118"/>
      <c r="M221" s="118"/>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83"/>
    </row>
    <row r="222">
      <c r="A222" s="83"/>
      <c r="B222" s="83"/>
      <c r="C222" s="83"/>
      <c r="D222" s="83"/>
      <c r="E222" s="118"/>
      <c r="F222" s="118"/>
      <c r="G222" s="118"/>
      <c r="H222" s="118"/>
      <c r="I222" s="118"/>
      <c r="J222" s="118"/>
      <c r="K222" s="118"/>
      <c r="L222" s="118"/>
      <c r="M222" s="118"/>
      <c r="N222" s="83"/>
      <c r="O222" s="83"/>
      <c r="P222" s="83"/>
      <c r="Q222" s="83"/>
      <c r="R222" s="83"/>
      <c r="S222" s="83"/>
      <c r="T222" s="83"/>
      <c r="U222" s="83"/>
      <c r="V222" s="83"/>
      <c r="W222" s="83"/>
      <c r="X222" s="83"/>
      <c r="Y222" s="83"/>
      <c r="Z222" s="83"/>
      <c r="AA222" s="83"/>
      <c r="AB222" s="83"/>
      <c r="AC222" s="83"/>
      <c r="AD222" s="83"/>
      <c r="AE222" s="83"/>
      <c r="AF222" s="83"/>
      <c r="AG222" s="83"/>
      <c r="AH222" s="83"/>
      <c r="AI222" s="83"/>
      <c r="AJ222" s="83"/>
      <c r="AK222" s="83"/>
    </row>
    <row r="223">
      <c r="A223" s="83"/>
      <c r="B223" s="83"/>
      <c r="C223" s="83"/>
      <c r="D223" s="83"/>
      <c r="E223" s="118"/>
      <c r="F223" s="118"/>
      <c r="G223" s="118"/>
      <c r="H223" s="118"/>
      <c r="I223" s="118"/>
      <c r="J223" s="118"/>
      <c r="K223" s="118"/>
      <c r="L223" s="118"/>
      <c r="M223" s="118"/>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83"/>
    </row>
    <row r="224">
      <c r="A224" s="83"/>
      <c r="B224" s="83"/>
      <c r="C224" s="83"/>
      <c r="D224" s="83"/>
      <c r="E224" s="118"/>
      <c r="F224" s="118"/>
      <c r="G224" s="118"/>
      <c r="H224" s="118"/>
      <c r="I224" s="118"/>
      <c r="J224" s="118"/>
      <c r="K224" s="118"/>
      <c r="L224" s="118"/>
      <c r="M224" s="118"/>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83"/>
    </row>
    <row r="225">
      <c r="A225" s="83"/>
      <c r="B225" s="83"/>
      <c r="C225" s="83"/>
      <c r="D225" s="83"/>
      <c r="E225" s="118"/>
      <c r="F225" s="118"/>
      <c r="G225" s="118"/>
      <c r="H225" s="118"/>
      <c r="I225" s="118"/>
      <c r="J225" s="118"/>
      <c r="K225" s="118"/>
      <c r="L225" s="118"/>
      <c r="M225" s="118"/>
      <c r="N225" s="83"/>
      <c r="O225" s="83"/>
      <c r="P225" s="83"/>
      <c r="Q225" s="83"/>
      <c r="R225" s="83"/>
      <c r="S225" s="83"/>
      <c r="T225" s="83"/>
      <c r="U225" s="83"/>
      <c r="V225" s="83"/>
      <c r="W225" s="83"/>
      <c r="X225" s="83"/>
      <c r="Y225" s="83"/>
      <c r="Z225" s="83"/>
      <c r="AA225" s="83"/>
      <c r="AB225" s="83"/>
      <c r="AC225" s="83"/>
      <c r="AD225" s="83"/>
      <c r="AE225" s="83"/>
      <c r="AF225" s="83"/>
      <c r="AG225" s="83"/>
      <c r="AH225" s="83"/>
      <c r="AI225" s="83"/>
      <c r="AJ225" s="83"/>
      <c r="AK225" s="83"/>
    </row>
    <row r="226">
      <c r="A226" s="83"/>
      <c r="B226" s="83"/>
      <c r="C226" s="83"/>
      <c r="D226" s="83"/>
      <c r="E226" s="118"/>
      <c r="F226" s="118"/>
      <c r="G226" s="118"/>
      <c r="H226" s="118"/>
      <c r="I226" s="118"/>
      <c r="J226" s="118"/>
      <c r="K226" s="118"/>
      <c r="L226" s="118"/>
      <c r="M226" s="118"/>
      <c r="N226" s="83"/>
      <c r="O226" s="83"/>
      <c r="P226" s="83"/>
      <c r="Q226" s="83"/>
      <c r="R226" s="83"/>
      <c r="S226" s="83"/>
      <c r="T226" s="83"/>
      <c r="U226" s="83"/>
      <c r="V226" s="83"/>
      <c r="W226" s="83"/>
      <c r="X226" s="83"/>
      <c r="Y226" s="83"/>
      <c r="Z226" s="83"/>
      <c r="AA226" s="83"/>
      <c r="AB226" s="83"/>
      <c r="AC226" s="83"/>
      <c r="AD226" s="83"/>
      <c r="AE226" s="83"/>
      <c r="AF226" s="83"/>
      <c r="AG226" s="83"/>
      <c r="AH226" s="83"/>
      <c r="AI226" s="83"/>
      <c r="AJ226" s="83"/>
      <c r="AK226" s="83"/>
    </row>
    <row r="227">
      <c r="A227" s="83"/>
      <c r="B227" s="83"/>
      <c r="C227" s="83"/>
      <c r="D227" s="83"/>
      <c r="E227" s="118"/>
      <c r="F227" s="118"/>
      <c r="G227" s="118"/>
      <c r="H227" s="118"/>
      <c r="I227" s="118"/>
      <c r="J227" s="118"/>
      <c r="K227" s="118"/>
      <c r="L227" s="118"/>
      <c r="M227" s="118"/>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83"/>
    </row>
    <row r="228">
      <c r="A228" s="83"/>
      <c r="B228" s="83"/>
      <c r="C228" s="83"/>
      <c r="D228" s="83"/>
      <c r="E228" s="118"/>
      <c r="F228" s="118"/>
      <c r="G228" s="118"/>
      <c r="H228" s="118"/>
      <c r="I228" s="118"/>
      <c r="J228" s="118"/>
      <c r="K228" s="118"/>
      <c r="L228" s="118"/>
      <c r="M228" s="118"/>
      <c r="N228" s="83"/>
      <c r="O228" s="83"/>
      <c r="P228" s="83"/>
      <c r="Q228" s="83"/>
      <c r="R228" s="83"/>
      <c r="S228" s="83"/>
      <c r="T228" s="83"/>
      <c r="U228" s="83"/>
      <c r="V228" s="83"/>
      <c r="W228" s="83"/>
      <c r="X228" s="83"/>
      <c r="Y228" s="83"/>
      <c r="Z228" s="83"/>
      <c r="AA228" s="83"/>
      <c r="AB228" s="83"/>
      <c r="AC228" s="83"/>
      <c r="AD228" s="83"/>
      <c r="AE228" s="83"/>
      <c r="AF228" s="83"/>
      <c r="AG228" s="83"/>
      <c r="AH228" s="83"/>
      <c r="AI228" s="83"/>
      <c r="AJ228" s="83"/>
      <c r="AK228" s="83"/>
    </row>
    <row r="229">
      <c r="A229" s="83"/>
      <c r="B229" s="83"/>
      <c r="C229" s="83"/>
      <c r="D229" s="83"/>
      <c r="E229" s="118"/>
      <c r="F229" s="118"/>
      <c r="G229" s="118"/>
      <c r="H229" s="118"/>
      <c r="I229" s="118"/>
      <c r="J229" s="118"/>
      <c r="K229" s="118"/>
      <c r="L229" s="118"/>
      <c r="M229" s="118"/>
      <c r="N229" s="83"/>
      <c r="O229" s="83"/>
      <c r="P229" s="83"/>
      <c r="Q229" s="83"/>
      <c r="R229" s="83"/>
      <c r="S229" s="83"/>
      <c r="T229" s="83"/>
      <c r="U229" s="83"/>
      <c r="V229" s="83"/>
      <c r="W229" s="83"/>
      <c r="X229" s="83"/>
      <c r="Y229" s="83"/>
      <c r="Z229" s="83"/>
      <c r="AA229" s="83"/>
      <c r="AB229" s="83"/>
      <c r="AC229" s="83"/>
      <c r="AD229" s="83"/>
      <c r="AE229" s="83"/>
      <c r="AF229" s="83"/>
      <c r="AG229" s="83"/>
      <c r="AH229" s="83"/>
      <c r="AI229" s="83"/>
      <c r="AJ229" s="83"/>
      <c r="AK229" s="83"/>
    </row>
    <row r="230">
      <c r="A230" s="83"/>
      <c r="B230" s="83"/>
      <c r="C230" s="83"/>
      <c r="D230" s="83"/>
      <c r="E230" s="118"/>
      <c r="F230" s="118"/>
      <c r="G230" s="118"/>
      <c r="H230" s="118"/>
      <c r="I230" s="118"/>
      <c r="J230" s="118"/>
      <c r="K230" s="118"/>
      <c r="L230" s="118"/>
      <c r="M230" s="118"/>
      <c r="N230" s="83"/>
      <c r="O230" s="83"/>
      <c r="P230" s="83"/>
      <c r="Q230" s="83"/>
      <c r="R230" s="83"/>
      <c r="S230" s="83"/>
      <c r="T230" s="83"/>
      <c r="U230" s="83"/>
      <c r="V230" s="83"/>
      <c r="W230" s="83"/>
      <c r="X230" s="83"/>
      <c r="Y230" s="83"/>
      <c r="Z230" s="83"/>
      <c r="AA230" s="83"/>
      <c r="AB230" s="83"/>
      <c r="AC230" s="83"/>
      <c r="AD230" s="83"/>
      <c r="AE230" s="83"/>
      <c r="AF230" s="83"/>
      <c r="AG230" s="83"/>
      <c r="AH230" s="83"/>
      <c r="AI230" s="83"/>
      <c r="AJ230" s="83"/>
      <c r="AK230" s="83"/>
    </row>
    <row r="231">
      <c r="A231" s="83"/>
      <c r="B231" s="83"/>
      <c r="C231" s="83"/>
      <c r="D231" s="83"/>
      <c r="E231" s="118"/>
      <c r="F231" s="118"/>
      <c r="G231" s="118"/>
      <c r="H231" s="118"/>
      <c r="I231" s="118"/>
      <c r="J231" s="118"/>
      <c r="K231" s="118"/>
      <c r="L231" s="118"/>
      <c r="M231" s="118"/>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83"/>
    </row>
    <row r="232">
      <c r="A232" s="83"/>
      <c r="B232" s="83"/>
      <c r="C232" s="83"/>
      <c r="D232" s="83"/>
      <c r="E232" s="118"/>
      <c r="F232" s="118"/>
      <c r="G232" s="118"/>
      <c r="H232" s="118"/>
      <c r="I232" s="118"/>
      <c r="J232" s="118"/>
      <c r="K232" s="118"/>
      <c r="L232" s="118"/>
      <c r="M232" s="118"/>
      <c r="N232" s="83"/>
      <c r="O232" s="83"/>
      <c r="P232" s="83"/>
      <c r="Q232" s="83"/>
      <c r="R232" s="83"/>
      <c r="S232" s="83"/>
      <c r="T232" s="83"/>
      <c r="U232" s="83"/>
      <c r="V232" s="83"/>
      <c r="W232" s="83"/>
      <c r="X232" s="83"/>
      <c r="Y232" s="83"/>
      <c r="Z232" s="83"/>
      <c r="AA232" s="83"/>
      <c r="AB232" s="83"/>
      <c r="AC232" s="83"/>
      <c r="AD232" s="83"/>
      <c r="AE232" s="83"/>
      <c r="AF232" s="83"/>
      <c r="AG232" s="83"/>
      <c r="AH232" s="83"/>
      <c r="AI232" s="83"/>
      <c r="AJ232" s="83"/>
      <c r="AK232" s="83"/>
    </row>
    <row r="233">
      <c r="A233" s="83"/>
      <c r="B233" s="83"/>
      <c r="C233" s="83"/>
      <c r="D233" s="83"/>
      <c r="E233" s="118"/>
      <c r="F233" s="118"/>
      <c r="G233" s="118"/>
      <c r="H233" s="118"/>
      <c r="I233" s="118"/>
      <c r="J233" s="118"/>
      <c r="K233" s="118"/>
      <c r="L233" s="118"/>
      <c r="M233" s="118"/>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83"/>
    </row>
    <row r="234">
      <c r="A234" s="83"/>
      <c r="B234" s="83"/>
      <c r="C234" s="83"/>
      <c r="D234" s="83"/>
      <c r="E234" s="118"/>
      <c r="F234" s="118"/>
      <c r="G234" s="118"/>
      <c r="H234" s="118"/>
      <c r="I234" s="118"/>
      <c r="J234" s="118"/>
      <c r="K234" s="118"/>
      <c r="L234" s="118"/>
      <c r="M234" s="118"/>
      <c r="N234" s="83"/>
      <c r="O234" s="83"/>
      <c r="P234" s="83"/>
      <c r="Q234" s="83"/>
      <c r="R234" s="83"/>
      <c r="S234" s="83"/>
      <c r="T234" s="83"/>
      <c r="U234" s="83"/>
      <c r="V234" s="83"/>
      <c r="W234" s="83"/>
      <c r="X234" s="83"/>
      <c r="Y234" s="83"/>
      <c r="Z234" s="83"/>
      <c r="AA234" s="83"/>
      <c r="AB234" s="83"/>
      <c r="AC234" s="83"/>
      <c r="AD234" s="83"/>
      <c r="AE234" s="83"/>
      <c r="AF234" s="83"/>
      <c r="AG234" s="83"/>
      <c r="AH234" s="83"/>
      <c r="AI234" s="83"/>
      <c r="AJ234" s="83"/>
      <c r="AK234" s="83"/>
    </row>
    <row r="235">
      <c r="A235" s="83"/>
      <c r="B235" s="83"/>
      <c r="C235" s="83"/>
      <c r="D235" s="83"/>
      <c r="E235" s="118"/>
      <c r="F235" s="118"/>
      <c r="G235" s="118"/>
      <c r="H235" s="118"/>
      <c r="I235" s="118"/>
      <c r="J235" s="118"/>
      <c r="K235" s="118"/>
      <c r="L235" s="118"/>
      <c r="M235" s="118"/>
      <c r="N235" s="83"/>
      <c r="O235" s="83"/>
      <c r="P235" s="83"/>
      <c r="Q235" s="83"/>
      <c r="R235" s="83"/>
      <c r="S235" s="83"/>
      <c r="T235" s="83"/>
      <c r="U235" s="83"/>
      <c r="V235" s="83"/>
      <c r="W235" s="83"/>
      <c r="X235" s="83"/>
      <c r="Y235" s="83"/>
      <c r="Z235" s="83"/>
      <c r="AA235" s="83"/>
      <c r="AB235" s="83"/>
      <c r="AC235" s="83"/>
      <c r="AD235" s="83"/>
      <c r="AE235" s="83"/>
      <c r="AF235" s="83"/>
      <c r="AG235" s="83"/>
      <c r="AH235" s="83"/>
      <c r="AI235" s="83"/>
      <c r="AJ235" s="83"/>
      <c r="AK235" s="83"/>
    </row>
    <row r="236">
      <c r="A236" s="83"/>
      <c r="B236" s="83"/>
      <c r="C236" s="83"/>
      <c r="D236" s="83"/>
      <c r="E236" s="118"/>
      <c r="F236" s="118"/>
      <c r="G236" s="118"/>
      <c r="H236" s="118"/>
      <c r="I236" s="118"/>
      <c r="J236" s="118"/>
      <c r="K236" s="118"/>
      <c r="L236" s="118"/>
      <c r="M236" s="118"/>
      <c r="N236" s="83"/>
      <c r="O236" s="83"/>
      <c r="P236" s="83"/>
      <c r="Q236" s="83"/>
      <c r="R236" s="83"/>
      <c r="S236" s="83"/>
      <c r="T236" s="83"/>
      <c r="U236" s="83"/>
      <c r="V236" s="83"/>
      <c r="W236" s="83"/>
      <c r="X236" s="83"/>
      <c r="Y236" s="83"/>
      <c r="Z236" s="83"/>
      <c r="AA236" s="83"/>
      <c r="AB236" s="83"/>
      <c r="AC236" s="83"/>
      <c r="AD236" s="83"/>
      <c r="AE236" s="83"/>
      <c r="AF236" s="83"/>
      <c r="AG236" s="83"/>
      <c r="AH236" s="83"/>
      <c r="AI236" s="83"/>
      <c r="AJ236" s="83"/>
      <c r="AK236" s="83"/>
    </row>
    <row r="237">
      <c r="A237" s="83"/>
      <c r="B237" s="83"/>
      <c r="C237" s="83"/>
      <c r="D237" s="83"/>
      <c r="E237" s="118"/>
      <c r="F237" s="118"/>
      <c r="G237" s="118"/>
      <c r="H237" s="118"/>
      <c r="I237" s="118"/>
      <c r="J237" s="118"/>
      <c r="K237" s="118"/>
      <c r="L237" s="118"/>
      <c r="M237" s="118"/>
      <c r="N237" s="83"/>
      <c r="O237" s="83"/>
      <c r="P237" s="83"/>
      <c r="Q237" s="83"/>
      <c r="R237" s="83"/>
      <c r="S237" s="83"/>
      <c r="T237" s="83"/>
      <c r="U237" s="83"/>
      <c r="V237" s="83"/>
      <c r="W237" s="83"/>
      <c r="X237" s="83"/>
      <c r="Y237" s="83"/>
      <c r="Z237" s="83"/>
      <c r="AA237" s="83"/>
      <c r="AB237" s="83"/>
      <c r="AC237" s="83"/>
      <c r="AD237" s="83"/>
      <c r="AE237" s="83"/>
      <c r="AF237" s="83"/>
      <c r="AG237" s="83"/>
      <c r="AH237" s="83"/>
      <c r="AI237" s="83"/>
      <c r="AJ237" s="83"/>
      <c r="AK237" s="83"/>
    </row>
    <row r="238">
      <c r="A238" s="83"/>
      <c r="B238" s="83"/>
      <c r="C238" s="83"/>
      <c r="D238" s="83"/>
      <c r="E238" s="118"/>
      <c r="F238" s="118"/>
      <c r="G238" s="118"/>
      <c r="H238" s="118"/>
      <c r="I238" s="118"/>
      <c r="J238" s="118"/>
      <c r="K238" s="118"/>
      <c r="L238" s="118"/>
      <c r="M238" s="118"/>
      <c r="N238" s="83"/>
      <c r="O238" s="83"/>
      <c r="P238" s="83"/>
      <c r="Q238" s="83"/>
      <c r="R238" s="83"/>
      <c r="S238" s="83"/>
      <c r="T238" s="83"/>
      <c r="U238" s="83"/>
      <c r="V238" s="83"/>
      <c r="W238" s="83"/>
      <c r="X238" s="83"/>
      <c r="Y238" s="83"/>
      <c r="Z238" s="83"/>
      <c r="AA238" s="83"/>
      <c r="AB238" s="83"/>
      <c r="AC238" s="83"/>
      <c r="AD238" s="83"/>
      <c r="AE238" s="83"/>
      <c r="AF238" s="83"/>
      <c r="AG238" s="83"/>
      <c r="AH238" s="83"/>
      <c r="AI238" s="83"/>
      <c r="AJ238" s="83"/>
      <c r="AK238" s="83"/>
    </row>
    <row r="239">
      <c r="A239" s="83"/>
      <c r="B239" s="83"/>
      <c r="C239" s="83"/>
      <c r="D239" s="83"/>
      <c r="E239" s="118"/>
      <c r="F239" s="118"/>
      <c r="G239" s="118"/>
      <c r="H239" s="118"/>
      <c r="I239" s="118"/>
      <c r="J239" s="118"/>
      <c r="K239" s="118"/>
      <c r="L239" s="118"/>
      <c r="M239" s="118"/>
      <c r="N239" s="83"/>
      <c r="O239" s="83"/>
      <c r="P239" s="83"/>
      <c r="Q239" s="83"/>
      <c r="R239" s="83"/>
      <c r="S239" s="83"/>
      <c r="T239" s="83"/>
      <c r="U239" s="83"/>
      <c r="V239" s="83"/>
      <c r="W239" s="83"/>
      <c r="X239" s="83"/>
      <c r="Y239" s="83"/>
      <c r="Z239" s="83"/>
      <c r="AA239" s="83"/>
      <c r="AB239" s="83"/>
      <c r="AC239" s="83"/>
      <c r="AD239" s="83"/>
      <c r="AE239" s="83"/>
      <c r="AF239" s="83"/>
      <c r="AG239" s="83"/>
      <c r="AH239" s="83"/>
      <c r="AI239" s="83"/>
      <c r="AJ239" s="83"/>
      <c r="AK239" s="83"/>
    </row>
    <row r="240">
      <c r="A240" s="83"/>
      <c r="B240" s="83"/>
      <c r="C240" s="83"/>
      <c r="D240" s="83"/>
      <c r="E240" s="118"/>
      <c r="F240" s="118"/>
      <c r="G240" s="118"/>
      <c r="H240" s="118"/>
      <c r="I240" s="118"/>
      <c r="J240" s="118"/>
      <c r="K240" s="118"/>
      <c r="L240" s="118"/>
      <c r="M240" s="118"/>
      <c r="N240" s="83"/>
      <c r="O240" s="83"/>
      <c r="P240" s="83"/>
      <c r="Q240" s="83"/>
      <c r="R240" s="83"/>
      <c r="S240" s="83"/>
      <c r="T240" s="83"/>
      <c r="U240" s="83"/>
      <c r="V240" s="83"/>
      <c r="W240" s="83"/>
      <c r="X240" s="83"/>
      <c r="Y240" s="83"/>
      <c r="Z240" s="83"/>
      <c r="AA240" s="83"/>
      <c r="AB240" s="83"/>
      <c r="AC240" s="83"/>
      <c r="AD240" s="83"/>
      <c r="AE240" s="83"/>
      <c r="AF240" s="83"/>
      <c r="AG240" s="83"/>
      <c r="AH240" s="83"/>
      <c r="AI240" s="83"/>
      <c r="AJ240" s="83"/>
      <c r="AK240" s="83"/>
    </row>
    <row r="241">
      <c r="A241" s="83"/>
      <c r="B241" s="83"/>
      <c r="C241" s="83"/>
      <c r="D241" s="83"/>
      <c r="E241" s="118"/>
      <c r="F241" s="118"/>
      <c r="G241" s="118"/>
      <c r="H241" s="118"/>
      <c r="I241" s="118"/>
      <c r="J241" s="118"/>
      <c r="K241" s="118"/>
      <c r="L241" s="118"/>
      <c r="M241" s="118"/>
      <c r="N241" s="83"/>
      <c r="O241" s="83"/>
      <c r="P241" s="83"/>
      <c r="Q241" s="83"/>
      <c r="R241" s="83"/>
      <c r="S241" s="83"/>
      <c r="T241" s="83"/>
      <c r="U241" s="83"/>
      <c r="V241" s="83"/>
      <c r="W241" s="83"/>
      <c r="X241" s="83"/>
      <c r="Y241" s="83"/>
      <c r="Z241" s="83"/>
      <c r="AA241" s="83"/>
      <c r="AB241" s="83"/>
      <c r="AC241" s="83"/>
      <c r="AD241" s="83"/>
      <c r="AE241" s="83"/>
      <c r="AF241" s="83"/>
      <c r="AG241" s="83"/>
      <c r="AH241" s="83"/>
      <c r="AI241" s="83"/>
      <c r="AJ241" s="83"/>
      <c r="AK241" s="83"/>
    </row>
    <row r="242">
      <c r="A242" s="83"/>
      <c r="B242" s="83"/>
      <c r="C242" s="83"/>
      <c r="D242" s="83"/>
      <c r="E242" s="118"/>
      <c r="F242" s="118"/>
      <c r="G242" s="118"/>
      <c r="H242" s="118"/>
      <c r="I242" s="118"/>
      <c r="J242" s="118"/>
      <c r="K242" s="118"/>
      <c r="L242" s="118"/>
      <c r="M242" s="118"/>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83"/>
    </row>
    <row r="243">
      <c r="A243" s="83"/>
      <c r="B243" s="83"/>
      <c r="C243" s="83"/>
      <c r="D243" s="83"/>
      <c r="E243" s="118"/>
      <c r="F243" s="118"/>
      <c r="G243" s="118"/>
      <c r="H243" s="118"/>
      <c r="I243" s="118"/>
      <c r="J243" s="118"/>
      <c r="K243" s="118"/>
      <c r="L243" s="118"/>
      <c r="M243" s="118"/>
      <c r="N243" s="83"/>
      <c r="O243" s="83"/>
      <c r="P243" s="83"/>
      <c r="Q243" s="83"/>
      <c r="R243" s="83"/>
      <c r="S243" s="83"/>
      <c r="T243" s="83"/>
      <c r="U243" s="83"/>
      <c r="V243" s="83"/>
      <c r="W243" s="83"/>
      <c r="X243" s="83"/>
      <c r="Y243" s="83"/>
      <c r="Z243" s="83"/>
      <c r="AA243" s="83"/>
      <c r="AB243" s="83"/>
      <c r="AC243" s="83"/>
      <c r="AD243" s="83"/>
      <c r="AE243" s="83"/>
      <c r="AF243" s="83"/>
      <c r="AG243" s="83"/>
      <c r="AH243" s="83"/>
      <c r="AI243" s="83"/>
      <c r="AJ243" s="83"/>
      <c r="AK243" s="83"/>
    </row>
    <row r="244">
      <c r="A244" s="83"/>
      <c r="B244" s="83"/>
      <c r="C244" s="83"/>
      <c r="D244" s="83"/>
      <c r="E244" s="118"/>
      <c r="F244" s="118"/>
      <c r="G244" s="118"/>
      <c r="H244" s="118"/>
      <c r="I244" s="118"/>
      <c r="J244" s="118"/>
      <c r="K244" s="118"/>
      <c r="L244" s="118"/>
      <c r="M244" s="118"/>
      <c r="N244" s="83"/>
      <c r="O244" s="83"/>
      <c r="P244" s="83"/>
      <c r="Q244" s="83"/>
      <c r="R244" s="83"/>
      <c r="S244" s="83"/>
      <c r="T244" s="83"/>
      <c r="U244" s="83"/>
      <c r="V244" s="83"/>
      <c r="W244" s="83"/>
      <c r="X244" s="83"/>
      <c r="Y244" s="83"/>
      <c r="Z244" s="83"/>
      <c r="AA244" s="83"/>
      <c r="AB244" s="83"/>
      <c r="AC244" s="83"/>
      <c r="AD244" s="83"/>
      <c r="AE244" s="83"/>
      <c r="AF244" s="83"/>
      <c r="AG244" s="83"/>
      <c r="AH244" s="83"/>
      <c r="AI244" s="83"/>
      <c r="AJ244" s="83"/>
      <c r="AK244" s="83"/>
    </row>
    <row r="245">
      <c r="A245" s="83"/>
      <c r="B245" s="83"/>
      <c r="C245" s="83"/>
      <c r="D245" s="83"/>
      <c r="E245" s="118"/>
      <c r="F245" s="118"/>
      <c r="G245" s="118"/>
      <c r="H245" s="118"/>
      <c r="I245" s="118"/>
      <c r="J245" s="118"/>
      <c r="K245" s="118"/>
      <c r="L245" s="118"/>
      <c r="M245" s="118"/>
      <c r="N245" s="83"/>
      <c r="O245" s="83"/>
      <c r="P245" s="83"/>
      <c r="Q245" s="83"/>
      <c r="R245" s="83"/>
      <c r="S245" s="83"/>
      <c r="T245" s="83"/>
      <c r="U245" s="83"/>
      <c r="V245" s="83"/>
      <c r="W245" s="83"/>
      <c r="X245" s="83"/>
      <c r="Y245" s="83"/>
      <c r="Z245" s="83"/>
      <c r="AA245" s="83"/>
      <c r="AB245" s="83"/>
      <c r="AC245" s="83"/>
      <c r="AD245" s="83"/>
      <c r="AE245" s="83"/>
      <c r="AF245" s="83"/>
      <c r="AG245" s="83"/>
      <c r="AH245" s="83"/>
      <c r="AI245" s="83"/>
      <c r="AJ245" s="83"/>
      <c r="AK245" s="83"/>
    </row>
    <row r="246">
      <c r="A246" s="83"/>
      <c r="B246" s="83"/>
      <c r="C246" s="83"/>
      <c r="D246" s="83"/>
      <c r="E246" s="118"/>
      <c r="F246" s="118"/>
      <c r="G246" s="118"/>
      <c r="H246" s="118"/>
      <c r="I246" s="118"/>
      <c r="J246" s="118"/>
      <c r="K246" s="118"/>
      <c r="L246" s="118"/>
      <c r="M246" s="118"/>
      <c r="N246" s="83"/>
      <c r="O246" s="83"/>
      <c r="P246" s="83"/>
      <c r="Q246" s="83"/>
      <c r="R246" s="83"/>
      <c r="S246" s="83"/>
      <c r="T246" s="83"/>
      <c r="U246" s="83"/>
      <c r="V246" s="83"/>
      <c r="W246" s="83"/>
      <c r="X246" s="83"/>
      <c r="Y246" s="83"/>
      <c r="Z246" s="83"/>
      <c r="AA246" s="83"/>
      <c r="AB246" s="83"/>
      <c r="AC246" s="83"/>
      <c r="AD246" s="83"/>
      <c r="AE246" s="83"/>
      <c r="AF246" s="83"/>
      <c r="AG246" s="83"/>
      <c r="AH246" s="83"/>
      <c r="AI246" s="83"/>
      <c r="AJ246" s="83"/>
      <c r="AK246" s="83"/>
    </row>
    <row r="247">
      <c r="A247" s="83"/>
      <c r="B247" s="83"/>
      <c r="C247" s="83"/>
      <c r="D247" s="83"/>
      <c r="E247" s="118"/>
      <c r="F247" s="118"/>
      <c r="G247" s="118"/>
      <c r="H247" s="118"/>
      <c r="I247" s="118"/>
      <c r="J247" s="118"/>
      <c r="K247" s="118"/>
      <c r="L247" s="118"/>
      <c r="M247" s="118"/>
      <c r="N247" s="83"/>
      <c r="O247" s="83"/>
      <c r="P247" s="83"/>
      <c r="Q247" s="83"/>
      <c r="R247" s="83"/>
      <c r="S247" s="83"/>
      <c r="T247" s="83"/>
      <c r="U247" s="83"/>
      <c r="V247" s="83"/>
      <c r="W247" s="83"/>
      <c r="X247" s="83"/>
      <c r="Y247" s="83"/>
      <c r="Z247" s="83"/>
      <c r="AA247" s="83"/>
      <c r="AB247" s="83"/>
      <c r="AC247" s="83"/>
      <c r="AD247" s="83"/>
      <c r="AE247" s="83"/>
      <c r="AF247" s="83"/>
      <c r="AG247" s="83"/>
      <c r="AH247" s="83"/>
      <c r="AI247" s="83"/>
      <c r="AJ247" s="83"/>
      <c r="AK247" s="83"/>
    </row>
    <row r="248">
      <c r="A248" s="83"/>
      <c r="B248" s="83"/>
      <c r="C248" s="83"/>
      <c r="D248" s="83"/>
      <c r="E248" s="118"/>
      <c r="F248" s="118"/>
      <c r="G248" s="118"/>
      <c r="H248" s="118"/>
      <c r="I248" s="118"/>
      <c r="J248" s="118"/>
      <c r="K248" s="118"/>
      <c r="L248" s="118"/>
      <c r="M248" s="118"/>
      <c r="N248" s="83"/>
      <c r="O248" s="83"/>
      <c r="P248" s="83"/>
      <c r="Q248" s="83"/>
      <c r="R248" s="83"/>
      <c r="S248" s="83"/>
      <c r="T248" s="83"/>
      <c r="U248" s="83"/>
      <c r="V248" s="83"/>
      <c r="W248" s="83"/>
      <c r="X248" s="83"/>
      <c r="Y248" s="83"/>
      <c r="Z248" s="83"/>
      <c r="AA248" s="83"/>
      <c r="AB248" s="83"/>
      <c r="AC248" s="83"/>
      <c r="AD248" s="83"/>
      <c r="AE248" s="83"/>
      <c r="AF248" s="83"/>
      <c r="AG248" s="83"/>
      <c r="AH248" s="83"/>
      <c r="AI248" s="83"/>
      <c r="AJ248" s="83"/>
      <c r="AK248" s="83"/>
    </row>
    <row r="249">
      <c r="A249" s="83"/>
      <c r="B249" s="83"/>
      <c r="C249" s="83"/>
      <c r="D249" s="83"/>
      <c r="E249" s="118"/>
      <c r="F249" s="118"/>
      <c r="G249" s="118"/>
      <c r="H249" s="118"/>
      <c r="I249" s="118"/>
      <c r="J249" s="118"/>
      <c r="K249" s="118"/>
      <c r="L249" s="118"/>
      <c r="M249" s="118"/>
      <c r="N249" s="83"/>
      <c r="O249" s="83"/>
      <c r="P249" s="83"/>
      <c r="Q249" s="83"/>
      <c r="R249" s="83"/>
      <c r="S249" s="83"/>
      <c r="T249" s="83"/>
      <c r="U249" s="83"/>
      <c r="V249" s="83"/>
      <c r="W249" s="83"/>
      <c r="X249" s="83"/>
      <c r="Y249" s="83"/>
      <c r="Z249" s="83"/>
      <c r="AA249" s="83"/>
      <c r="AB249" s="83"/>
      <c r="AC249" s="83"/>
      <c r="AD249" s="83"/>
      <c r="AE249" s="83"/>
      <c r="AF249" s="83"/>
      <c r="AG249" s="83"/>
      <c r="AH249" s="83"/>
      <c r="AI249" s="83"/>
      <c r="AJ249" s="83"/>
      <c r="AK249" s="83"/>
    </row>
    <row r="250">
      <c r="A250" s="83"/>
      <c r="B250" s="83"/>
      <c r="C250" s="83"/>
      <c r="D250" s="83"/>
      <c r="E250" s="118"/>
      <c r="F250" s="118"/>
      <c r="G250" s="118"/>
      <c r="H250" s="118"/>
      <c r="I250" s="118"/>
      <c r="J250" s="118"/>
      <c r="K250" s="118"/>
      <c r="L250" s="118"/>
      <c r="M250" s="118"/>
      <c r="N250" s="83"/>
      <c r="O250" s="83"/>
      <c r="P250" s="83"/>
      <c r="Q250" s="83"/>
      <c r="R250" s="83"/>
      <c r="S250" s="83"/>
      <c r="T250" s="83"/>
      <c r="U250" s="83"/>
      <c r="V250" s="83"/>
      <c r="W250" s="83"/>
      <c r="X250" s="83"/>
      <c r="Y250" s="83"/>
      <c r="Z250" s="83"/>
      <c r="AA250" s="83"/>
      <c r="AB250" s="83"/>
      <c r="AC250" s="83"/>
      <c r="AD250" s="83"/>
      <c r="AE250" s="83"/>
      <c r="AF250" s="83"/>
      <c r="AG250" s="83"/>
      <c r="AH250" s="83"/>
      <c r="AI250" s="83"/>
      <c r="AJ250" s="83"/>
      <c r="AK250" s="83"/>
    </row>
    <row r="251">
      <c r="A251" s="83"/>
      <c r="B251" s="83"/>
      <c r="C251" s="83"/>
      <c r="D251" s="83"/>
      <c r="E251" s="118"/>
      <c r="F251" s="118"/>
      <c r="G251" s="118"/>
      <c r="H251" s="118"/>
      <c r="I251" s="118"/>
      <c r="J251" s="118"/>
      <c r="K251" s="118"/>
      <c r="L251" s="118"/>
      <c r="M251" s="118"/>
      <c r="N251" s="83"/>
      <c r="O251" s="83"/>
      <c r="P251" s="83"/>
      <c r="Q251" s="83"/>
      <c r="R251" s="83"/>
      <c r="S251" s="83"/>
      <c r="T251" s="83"/>
      <c r="U251" s="83"/>
      <c r="V251" s="83"/>
      <c r="W251" s="83"/>
      <c r="X251" s="83"/>
      <c r="Y251" s="83"/>
      <c r="Z251" s="83"/>
      <c r="AA251" s="83"/>
      <c r="AB251" s="83"/>
      <c r="AC251" s="83"/>
      <c r="AD251" s="83"/>
      <c r="AE251" s="83"/>
      <c r="AF251" s="83"/>
      <c r="AG251" s="83"/>
      <c r="AH251" s="83"/>
      <c r="AI251" s="83"/>
      <c r="AJ251" s="83"/>
      <c r="AK251" s="83"/>
    </row>
    <row r="252">
      <c r="A252" s="83"/>
      <c r="B252" s="83"/>
      <c r="C252" s="83"/>
      <c r="D252" s="83"/>
      <c r="E252" s="118"/>
      <c r="F252" s="118"/>
      <c r="G252" s="118"/>
      <c r="H252" s="118"/>
      <c r="I252" s="118"/>
      <c r="J252" s="118"/>
      <c r="K252" s="118"/>
      <c r="L252" s="118"/>
      <c r="M252" s="118"/>
      <c r="N252" s="83"/>
      <c r="O252" s="83"/>
      <c r="P252" s="83"/>
      <c r="Q252" s="83"/>
      <c r="R252" s="83"/>
      <c r="S252" s="83"/>
      <c r="T252" s="83"/>
      <c r="U252" s="83"/>
      <c r="V252" s="83"/>
      <c r="W252" s="83"/>
      <c r="X252" s="83"/>
      <c r="Y252" s="83"/>
      <c r="Z252" s="83"/>
      <c r="AA252" s="83"/>
      <c r="AB252" s="83"/>
      <c r="AC252" s="83"/>
      <c r="AD252" s="83"/>
      <c r="AE252" s="83"/>
      <c r="AF252" s="83"/>
      <c r="AG252" s="83"/>
      <c r="AH252" s="83"/>
      <c r="AI252" s="83"/>
      <c r="AJ252" s="83"/>
      <c r="AK252" s="83"/>
    </row>
    <row r="253">
      <c r="A253" s="83"/>
      <c r="B253" s="83"/>
      <c r="C253" s="83"/>
      <c r="D253" s="83"/>
      <c r="E253" s="118"/>
      <c r="F253" s="118"/>
      <c r="G253" s="118"/>
      <c r="H253" s="118"/>
      <c r="I253" s="118"/>
      <c r="J253" s="118"/>
      <c r="K253" s="118"/>
      <c r="L253" s="118"/>
      <c r="M253" s="118"/>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83"/>
    </row>
    <row r="254">
      <c r="A254" s="83"/>
      <c r="B254" s="83"/>
      <c r="C254" s="83"/>
      <c r="D254" s="83"/>
      <c r="E254" s="118"/>
      <c r="F254" s="118"/>
      <c r="G254" s="118"/>
      <c r="H254" s="118"/>
      <c r="I254" s="118"/>
      <c r="J254" s="118"/>
      <c r="K254" s="118"/>
      <c r="L254" s="118"/>
      <c r="M254" s="118"/>
      <c r="N254" s="83"/>
      <c r="O254" s="83"/>
      <c r="P254" s="83"/>
      <c r="Q254" s="83"/>
      <c r="R254" s="83"/>
      <c r="S254" s="83"/>
      <c r="T254" s="83"/>
      <c r="U254" s="83"/>
      <c r="V254" s="83"/>
      <c r="W254" s="83"/>
      <c r="X254" s="83"/>
      <c r="Y254" s="83"/>
      <c r="Z254" s="83"/>
      <c r="AA254" s="83"/>
      <c r="AB254" s="83"/>
      <c r="AC254" s="83"/>
      <c r="AD254" s="83"/>
      <c r="AE254" s="83"/>
      <c r="AF254" s="83"/>
      <c r="AG254" s="83"/>
      <c r="AH254" s="83"/>
      <c r="AI254" s="83"/>
      <c r="AJ254" s="83"/>
      <c r="AK254" s="83"/>
    </row>
    <row r="255">
      <c r="A255" s="83"/>
      <c r="B255" s="83"/>
      <c r="C255" s="83"/>
      <c r="D255" s="83"/>
      <c r="E255" s="118"/>
      <c r="F255" s="118"/>
      <c r="G255" s="118"/>
      <c r="H255" s="118"/>
      <c r="I255" s="118"/>
      <c r="J255" s="118"/>
      <c r="K255" s="118"/>
      <c r="L255" s="118"/>
      <c r="M255" s="118"/>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83"/>
    </row>
    <row r="256">
      <c r="A256" s="83"/>
      <c r="B256" s="83"/>
      <c r="C256" s="83"/>
      <c r="D256" s="83"/>
      <c r="E256" s="118"/>
      <c r="F256" s="118"/>
      <c r="G256" s="118"/>
      <c r="H256" s="118"/>
      <c r="I256" s="118"/>
      <c r="J256" s="118"/>
      <c r="K256" s="118"/>
      <c r="L256" s="118"/>
      <c r="M256" s="118"/>
      <c r="N256" s="83"/>
      <c r="O256" s="83"/>
      <c r="P256" s="83"/>
      <c r="Q256" s="83"/>
      <c r="R256" s="83"/>
      <c r="S256" s="83"/>
      <c r="T256" s="83"/>
      <c r="U256" s="83"/>
      <c r="V256" s="83"/>
      <c r="W256" s="83"/>
      <c r="X256" s="83"/>
      <c r="Y256" s="83"/>
      <c r="Z256" s="83"/>
      <c r="AA256" s="83"/>
      <c r="AB256" s="83"/>
      <c r="AC256" s="83"/>
      <c r="AD256" s="83"/>
      <c r="AE256" s="83"/>
      <c r="AF256" s="83"/>
      <c r="AG256" s="83"/>
      <c r="AH256" s="83"/>
      <c r="AI256" s="83"/>
      <c r="AJ256" s="83"/>
      <c r="AK256" s="83"/>
    </row>
    <row r="257">
      <c r="A257" s="83"/>
      <c r="B257" s="83"/>
      <c r="C257" s="83"/>
      <c r="D257" s="83"/>
      <c r="E257" s="118"/>
      <c r="F257" s="118"/>
      <c r="G257" s="118"/>
      <c r="H257" s="118"/>
      <c r="I257" s="118"/>
      <c r="J257" s="118"/>
      <c r="K257" s="118"/>
      <c r="L257" s="118"/>
      <c r="M257" s="118"/>
      <c r="N257" s="83"/>
      <c r="O257" s="83"/>
      <c r="P257" s="83"/>
      <c r="Q257" s="83"/>
      <c r="R257" s="83"/>
      <c r="S257" s="83"/>
      <c r="T257" s="83"/>
      <c r="U257" s="83"/>
      <c r="V257" s="83"/>
      <c r="W257" s="83"/>
      <c r="X257" s="83"/>
      <c r="Y257" s="83"/>
      <c r="Z257" s="83"/>
      <c r="AA257" s="83"/>
      <c r="AB257" s="83"/>
      <c r="AC257" s="83"/>
      <c r="AD257" s="83"/>
      <c r="AE257" s="83"/>
      <c r="AF257" s="83"/>
      <c r="AG257" s="83"/>
      <c r="AH257" s="83"/>
      <c r="AI257" s="83"/>
      <c r="AJ257" s="83"/>
      <c r="AK257" s="83"/>
    </row>
    <row r="258">
      <c r="A258" s="83"/>
      <c r="B258" s="83"/>
      <c r="C258" s="83"/>
      <c r="D258" s="83"/>
      <c r="E258" s="118"/>
      <c r="F258" s="118"/>
      <c r="G258" s="118"/>
      <c r="H258" s="118"/>
      <c r="I258" s="118"/>
      <c r="J258" s="118"/>
      <c r="K258" s="118"/>
      <c r="L258" s="118"/>
      <c r="M258" s="118"/>
      <c r="N258" s="83"/>
      <c r="O258" s="83"/>
      <c r="P258" s="83"/>
      <c r="Q258" s="83"/>
      <c r="R258" s="83"/>
      <c r="S258" s="83"/>
      <c r="T258" s="83"/>
      <c r="U258" s="83"/>
      <c r="V258" s="83"/>
      <c r="W258" s="83"/>
      <c r="X258" s="83"/>
      <c r="Y258" s="83"/>
      <c r="Z258" s="83"/>
      <c r="AA258" s="83"/>
      <c r="AB258" s="83"/>
      <c r="AC258" s="83"/>
      <c r="AD258" s="83"/>
      <c r="AE258" s="83"/>
      <c r="AF258" s="83"/>
      <c r="AG258" s="83"/>
      <c r="AH258" s="83"/>
      <c r="AI258" s="83"/>
      <c r="AJ258" s="83"/>
      <c r="AK258" s="83"/>
    </row>
    <row r="259">
      <c r="A259" s="83"/>
      <c r="B259" s="83"/>
      <c r="C259" s="83"/>
      <c r="D259" s="83"/>
      <c r="E259" s="118"/>
      <c r="F259" s="118"/>
      <c r="G259" s="118"/>
      <c r="H259" s="118"/>
      <c r="I259" s="118"/>
      <c r="J259" s="118"/>
      <c r="K259" s="118"/>
      <c r="L259" s="118"/>
      <c r="M259" s="118"/>
      <c r="N259" s="83"/>
      <c r="O259" s="83"/>
      <c r="P259" s="83"/>
      <c r="Q259" s="83"/>
      <c r="R259" s="83"/>
      <c r="S259" s="83"/>
      <c r="T259" s="83"/>
      <c r="U259" s="83"/>
      <c r="V259" s="83"/>
      <c r="W259" s="83"/>
      <c r="X259" s="83"/>
      <c r="Y259" s="83"/>
      <c r="Z259" s="83"/>
      <c r="AA259" s="83"/>
      <c r="AB259" s="83"/>
      <c r="AC259" s="83"/>
      <c r="AD259" s="83"/>
      <c r="AE259" s="83"/>
      <c r="AF259" s="83"/>
      <c r="AG259" s="83"/>
      <c r="AH259" s="83"/>
      <c r="AI259" s="83"/>
      <c r="AJ259" s="83"/>
      <c r="AK259" s="83"/>
    </row>
    <row r="260">
      <c r="A260" s="83"/>
      <c r="B260" s="83"/>
      <c r="C260" s="83"/>
      <c r="D260" s="83"/>
      <c r="E260" s="118"/>
      <c r="F260" s="118"/>
      <c r="G260" s="118"/>
      <c r="H260" s="118"/>
      <c r="I260" s="118"/>
      <c r="J260" s="118"/>
      <c r="K260" s="118"/>
      <c r="L260" s="118"/>
      <c r="M260" s="118"/>
      <c r="N260" s="83"/>
      <c r="O260" s="83"/>
      <c r="P260" s="83"/>
      <c r="Q260" s="83"/>
      <c r="R260" s="83"/>
      <c r="S260" s="83"/>
      <c r="T260" s="83"/>
      <c r="U260" s="83"/>
      <c r="V260" s="83"/>
      <c r="W260" s="83"/>
      <c r="X260" s="83"/>
      <c r="Y260" s="83"/>
      <c r="Z260" s="83"/>
      <c r="AA260" s="83"/>
      <c r="AB260" s="83"/>
      <c r="AC260" s="83"/>
      <c r="AD260" s="83"/>
      <c r="AE260" s="83"/>
      <c r="AF260" s="83"/>
      <c r="AG260" s="83"/>
      <c r="AH260" s="83"/>
      <c r="AI260" s="83"/>
      <c r="AJ260" s="83"/>
      <c r="AK260" s="83"/>
    </row>
    <row r="261">
      <c r="A261" s="83"/>
      <c r="B261" s="83"/>
      <c r="C261" s="83"/>
      <c r="D261" s="83"/>
      <c r="E261" s="118"/>
      <c r="F261" s="118"/>
      <c r="G261" s="118"/>
      <c r="H261" s="118"/>
      <c r="I261" s="118"/>
      <c r="J261" s="118"/>
      <c r="K261" s="118"/>
      <c r="L261" s="118"/>
      <c r="M261" s="118"/>
      <c r="N261" s="83"/>
      <c r="O261" s="83"/>
      <c r="P261" s="83"/>
      <c r="Q261" s="83"/>
      <c r="R261" s="83"/>
      <c r="S261" s="83"/>
      <c r="T261" s="83"/>
      <c r="U261" s="83"/>
      <c r="V261" s="83"/>
      <c r="W261" s="83"/>
      <c r="X261" s="83"/>
      <c r="Y261" s="83"/>
      <c r="Z261" s="83"/>
      <c r="AA261" s="83"/>
      <c r="AB261" s="83"/>
      <c r="AC261" s="83"/>
      <c r="AD261" s="83"/>
      <c r="AE261" s="83"/>
      <c r="AF261" s="83"/>
      <c r="AG261" s="83"/>
      <c r="AH261" s="83"/>
      <c r="AI261" s="83"/>
      <c r="AJ261" s="83"/>
      <c r="AK261" s="83"/>
    </row>
    <row r="262">
      <c r="A262" s="83"/>
      <c r="B262" s="83"/>
      <c r="C262" s="83"/>
      <c r="D262" s="83"/>
      <c r="E262" s="118"/>
      <c r="F262" s="118"/>
      <c r="G262" s="118"/>
      <c r="H262" s="118"/>
      <c r="I262" s="118"/>
      <c r="J262" s="118"/>
      <c r="K262" s="118"/>
      <c r="L262" s="118"/>
      <c r="M262" s="118"/>
      <c r="N262" s="83"/>
      <c r="O262" s="83"/>
      <c r="P262" s="83"/>
      <c r="Q262" s="83"/>
      <c r="R262" s="83"/>
      <c r="S262" s="83"/>
      <c r="T262" s="83"/>
      <c r="U262" s="83"/>
      <c r="V262" s="83"/>
      <c r="W262" s="83"/>
      <c r="X262" s="83"/>
      <c r="Y262" s="83"/>
      <c r="Z262" s="83"/>
      <c r="AA262" s="83"/>
      <c r="AB262" s="83"/>
      <c r="AC262" s="83"/>
      <c r="AD262" s="83"/>
      <c r="AE262" s="83"/>
      <c r="AF262" s="83"/>
      <c r="AG262" s="83"/>
      <c r="AH262" s="83"/>
      <c r="AI262" s="83"/>
      <c r="AJ262" s="83"/>
      <c r="AK262" s="83"/>
    </row>
    <row r="263">
      <c r="A263" s="83"/>
      <c r="B263" s="83"/>
      <c r="C263" s="83"/>
      <c r="D263" s="83"/>
      <c r="E263" s="118"/>
      <c r="F263" s="118"/>
      <c r="G263" s="118"/>
      <c r="H263" s="118"/>
      <c r="I263" s="118"/>
      <c r="J263" s="118"/>
      <c r="K263" s="118"/>
      <c r="L263" s="118"/>
      <c r="M263" s="118"/>
      <c r="N263" s="83"/>
      <c r="O263" s="83"/>
      <c r="P263" s="83"/>
      <c r="Q263" s="83"/>
      <c r="R263" s="83"/>
      <c r="S263" s="83"/>
      <c r="T263" s="83"/>
      <c r="U263" s="83"/>
      <c r="V263" s="83"/>
      <c r="W263" s="83"/>
      <c r="X263" s="83"/>
      <c r="Y263" s="83"/>
      <c r="Z263" s="83"/>
      <c r="AA263" s="83"/>
      <c r="AB263" s="83"/>
      <c r="AC263" s="83"/>
      <c r="AD263" s="83"/>
      <c r="AE263" s="83"/>
      <c r="AF263" s="83"/>
      <c r="AG263" s="83"/>
      <c r="AH263" s="83"/>
      <c r="AI263" s="83"/>
      <c r="AJ263" s="83"/>
      <c r="AK263" s="83"/>
    </row>
    <row r="264">
      <c r="A264" s="83"/>
      <c r="B264" s="83"/>
      <c r="C264" s="83"/>
      <c r="D264" s="83"/>
      <c r="E264" s="118"/>
      <c r="F264" s="118"/>
      <c r="G264" s="118"/>
      <c r="H264" s="118"/>
      <c r="I264" s="118"/>
      <c r="J264" s="118"/>
      <c r="K264" s="118"/>
      <c r="L264" s="118"/>
      <c r="M264" s="118"/>
      <c r="N264" s="83"/>
      <c r="O264" s="83"/>
      <c r="P264" s="83"/>
      <c r="Q264" s="83"/>
      <c r="R264" s="83"/>
      <c r="S264" s="83"/>
      <c r="T264" s="83"/>
      <c r="U264" s="83"/>
      <c r="V264" s="83"/>
      <c r="W264" s="83"/>
      <c r="X264" s="83"/>
      <c r="Y264" s="83"/>
      <c r="Z264" s="83"/>
      <c r="AA264" s="83"/>
      <c r="AB264" s="83"/>
      <c r="AC264" s="83"/>
      <c r="AD264" s="83"/>
      <c r="AE264" s="83"/>
      <c r="AF264" s="83"/>
      <c r="AG264" s="83"/>
      <c r="AH264" s="83"/>
      <c r="AI264" s="83"/>
      <c r="AJ264" s="83"/>
      <c r="AK264" s="83"/>
    </row>
    <row r="265">
      <c r="A265" s="83"/>
      <c r="B265" s="83"/>
      <c r="C265" s="83"/>
      <c r="D265" s="83"/>
      <c r="E265" s="118"/>
      <c r="F265" s="118"/>
      <c r="G265" s="118"/>
      <c r="H265" s="118"/>
      <c r="I265" s="118"/>
      <c r="J265" s="118"/>
      <c r="K265" s="118"/>
      <c r="L265" s="118"/>
      <c r="M265" s="118"/>
      <c r="N265" s="83"/>
      <c r="O265" s="83"/>
      <c r="P265" s="83"/>
      <c r="Q265" s="83"/>
      <c r="R265" s="83"/>
      <c r="S265" s="83"/>
      <c r="T265" s="83"/>
      <c r="U265" s="83"/>
      <c r="V265" s="83"/>
      <c r="W265" s="83"/>
      <c r="X265" s="83"/>
      <c r="Y265" s="83"/>
      <c r="Z265" s="83"/>
      <c r="AA265" s="83"/>
      <c r="AB265" s="83"/>
      <c r="AC265" s="83"/>
      <c r="AD265" s="83"/>
      <c r="AE265" s="83"/>
      <c r="AF265" s="83"/>
      <c r="AG265" s="83"/>
      <c r="AH265" s="83"/>
      <c r="AI265" s="83"/>
      <c r="AJ265" s="83"/>
      <c r="AK265" s="83"/>
    </row>
    <row r="266">
      <c r="A266" s="83"/>
      <c r="B266" s="83"/>
      <c r="C266" s="83"/>
      <c r="D266" s="83"/>
      <c r="E266" s="118"/>
      <c r="F266" s="118"/>
      <c r="G266" s="118"/>
      <c r="H266" s="118"/>
      <c r="I266" s="118"/>
      <c r="J266" s="118"/>
      <c r="K266" s="118"/>
      <c r="L266" s="118"/>
      <c r="M266" s="118"/>
      <c r="N266" s="83"/>
      <c r="O266" s="83"/>
      <c r="P266" s="83"/>
      <c r="Q266" s="83"/>
      <c r="R266" s="83"/>
      <c r="S266" s="83"/>
      <c r="T266" s="83"/>
      <c r="U266" s="83"/>
      <c r="V266" s="83"/>
      <c r="W266" s="83"/>
      <c r="X266" s="83"/>
      <c r="Y266" s="83"/>
      <c r="Z266" s="83"/>
      <c r="AA266" s="83"/>
      <c r="AB266" s="83"/>
      <c r="AC266" s="83"/>
      <c r="AD266" s="83"/>
      <c r="AE266" s="83"/>
      <c r="AF266" s="83"/>
      <c r="AG266" s="83"/>
      <c r="AH266" s="83"/>
      <c r="AI266" s="83"/>
      <c r="AJ266" s="83"/>
      <c r="AK266" s="83"/>
    </row>
    <row r="267">
      <c r="A267" s="83"/>
      <c r="B267" s="83"/>
      <c r="C267" s="83"/>
      <c r="D267" s="83"/>
      <c r="E267" s="118"/>
      <c r="F267" s="118"/>
      <c r="G267" s="118"/>
      <c r="H267" s="118"/>
      <c r="I267" s="118"/>
      <c r="J267" s="118"/>
      <c r="K267" s="118"/>
      <c r="L267" s="118"/>
      <c r="M267" s="118"/>
      <c r="N267" s="83"/>
      <c r="O267" s="83"/>
      <c r="P267" s="83"/>
      <c r="Q267" s="83"/>
      <c r="R267" s="83"/>
      <c r="S267" s="83"/>
      <c r="T267" s="83"/>
      <c r="U267" s="83"/>
      <c r="V267" s="83"/>
      <c r="W267" s="83"/>
      <c r="X267" s="83"/>
      <c r="Y267" s="83"/>
      <c r="Z267" s="83"/>
      <c r="AA267" s="83"/>
      <c r="AB267" s="83"/>
      <c r="AC267" s="83"/>
      <c r="AD267" s="83"/>
      <c r="AE267" s="83"/>
      <c r="AF267" s="83"/>
      <c r="AG267" s="83"/>
      <c r="AH267" s="83"/>
      <c r="AI267" s="83"/>
      <c r="AJ267" s="83"/>
      <c r="AK267" s="83"/>
    </row>
    <row r="268">
      <c r="A268" s="83"/>
      <c r="B268" s="83"/>
      <c r="C268" s="83"/>
      <c r="D268" s="83"/>
      <c r="E268" s="118"/>
      <c r="F268" s="118"/>
      <c r="G268" s="118"/>
      <c r="H268" s="118"/>
      <c r="I268" s="118"/>
      <c r="J268" s="118"/>
      <c r="K268" s="118"/>
      <c r="L268" s="118"/>
      <c r="M268" s="118"/>
      <c r="N268" s="83"/>
      <c r="O268" s="83"/>
      <c r="P268" s="83"/>
      <c r="Q268" s="83"/>
      <c r="R268" s="83"/>
      <c r="S268" s="83"/>
      <c r="T268" s="83"/>
      <c r="U268" s="83"/>
      <c r="V268" s="83"/>
      <c r="W268" s="83"/>
      <c r="X268" s="83"/>
      <c r="Y268" s="83"/>
      <c r="Z268" s="83"/>
      <c r="AA268" s="83"/>
      <c r="AB268" s="83"/>
      <c r="AC268" s="83"/>
      <c r="AD268" s="83"/>
      <c r="AE268" s="83"/>
      <c r="AF268" s="83"/>
      <c r="AG268" s="83"/>
      <c r="AH268" s="83"/>
      <c r="AI268" s="83"/>
      <c r="AJ268" s="83"/>
      <c r="AK268" s="83"/>
    </row>
    <row r="269">
      <c r="A269" s="83"/>
      <c r="B269" s="83"/>
      <c r="C269" s="83"/>
      <c r="D269" s="83"/>
      <c r="E269" s="118"/>
      <c r="F269" s="118"/>
      <c r="G269" s="118"/>
      <c r="H269" s="118"/>
      <c r="I269" s="118"/>
      <c r="J269" s="118"/>
      <c r="K269" s="118"/>
      <c r="L269" s="118"/>
      <c r="M269" s="118"/>
      <c r="N269" s="83"/>
      <c r="O269" s="83"/>
      <c r="P269" s="83"/>
      <c r="Q269" s="83"/>
      <c r="R269" s="83"/>
      <c r="S269" s="83"/>
      <c r="T269" s="83"/>
      <c r="U269" s="83"/>
      <c r="V269" s="83"/>
      <c r="W269" s="83"/>
      <c r="X269" s="83"/>
      <c r="Y269" s="83"/>
      <c r="Z269" s="83"/>
      <c r="AA269" s="83"/>
      <c r="AB269" s="83"/>
      <c r="AC269" s="83"/>
      <c r="AD269" s="83"/>
      <c r="AE269" s="83"/>
      <c r="AF269" s="83"/>
      <c r="AG269" s="83"/>
      <c r="AH269" s="83"/>
      <c r="AI269" s="83"/>
      <c r="AJ269" s="83"/>
      <c r="AK269" s="83"/>
    </row>
    <row r="270">
      <c r="A270" s="83"/>
      <c r="B270" s="83"/>
      <c r="C270" s="83"/>
      <c r="D270" s="83"/>
      <c r="E270" s="118"/>
      <c r="F270" s="118"/>
      <c r="G270" s="118"/>
      <c r="H270" s="118"/>
      <c r="I270" s="118"/>
      <c r="J270" s="118"/>
      <c r="K270" s="118"/>
      <c r="L270" s="118"/>
      <c r="M270" s="118"/>
      <c r="N270" s="83"/>
      <c r="O270" s="83"/>
      <c r="P270" s="83"/>
      <c r="Q270" s="83"/>
      <c r="R270" s="83"/>
      <c r="S270" s="83"/>
      <c r="T270" s="83"/>
      <c r="U270" s="83"/>
      <c r="V270" s="83"/>
      <c r="W270" s="83"/>
      <c r="X270" s="83"/>
      <c r="Y270" s="83"/>
      <c r="Z270" s="83"/>
      <c r="AA270" s="83"/>
      <c r="AB270" s="83"/>
      <c r="AC270" s="83"/>
      <c r="AD270" s="83"/>
      <c r="AE270" s="83"/>
      <c r="AF270" s="83"/>
      <c r="AG270" s="83"/>
      <c r="AH270" s="83"/>
      <c r="AI270" s="83"/>
      <c r="AJ270" s="83"/>
      <c r="AK270" s="83"/>
    </row>
    <row r="271">
      <c r="A271" s="83"/>
      <c r="B271" s="83"/>
      <c r="C271" s="83"/>
      <c r="D271" s="83"/>
      <c r="E271" s="118"/>
      <c r="F271" s="118"/>
      <c r="G271" s="118"/>
      <c r="H271" s="118"/>
      <c r="I271" s="118"/>
      <c r="J271" s="118"/>
      <c r="K271" s="118"/>
      <c r="L271" s="118"/>
      <c r="M271" s="118"/>
      <c r="N271" s="83"/>
      <c r="O271" s="83"/>
      <c r="P271" s="83"/>
      <c r="Q271" s="83"/>
      <c r="R271" s="83"/>
      <c r="S271" s="83"/>
      <c r="T271" s="83"/>
      <c r="U271" s="83"/>
      <c r="V271" s="83"/>
      <c r="W271" s="83"/>
      <c r="X271" s="83"/>
      <c r="Y271" s="83"/>
      <c r="Z271" s="83"/>
      <c r="AA271" s="83"/>
      <c r="AB271" s="83"/>
      <c r="AC271" s="83"/>
      <c r="AD271" s="83"/>
      <c r="AE271" s="83"/>
      <c r="AF271" s="83"/>
      <c r="AG271" s="83"/>
      <c r="AH271" s="83"/>
      <c r="AI271" s="83"/>
      <c r="AJ271" s="83"/>
      <c r="AK271" s="83"/>
    </row>
    <row r="272">
      <c r="A272" s="83"/>
      <c r="B272" s="83"/>
      <c r="C272" s="83"/>
      <c r="D272" s="83"/>
      <c r="E272" s="118"/>
      <c r="F272" s="118"/>
      <c r="G272" s="118"/>
      <c r="H272" s="118"/>
      <c r="I272" s="118"/>
      <c r="J272" s="118"/>
      <c r="K272" s="118"/>
      <c r="L272" s="118"/>
      <c r="M272" s="118"/>
      <c r="N272" s="83"/>
      <c r="O272" s="83"/>
      <c r="P272" s="83"/>
      <c r="Q272" s="83"/>
      <c r="R272" s="83"/>
      <c r="S272" s="83"/>
      <c r="T272" s="83"/>
      <c r="U272" s="83"/>
      <c r="V272" s="83"/>
      <c r="W272" s="83"/>
      <c r="X272" s="83"/>
      <c r="Y272" s="83"/>
      <c r="Z272" s="83"/>
      <c r="AA272" s="83"/>
      <c r="AB272" s="83"/>
      <c r="AC272" s="83"/>
      <c r="AD272" s="83"/>
      <c r="AE272" s="83"/>
      <c r="AF272" s="83"/>
      <c r="AG272" s="83"/>
      <c r="AH272" s="83"/>
      <c r="AI272" s="83"/>
      <c r="AJ272" s="83"/>
      <c r="AK272" s="83"/>
    </row>
    <row r="273">
      <c r="A273" s="83"/>
      <c r="B273" s="83"/>
      <c r="C273" s="83"/>
      <c r="D273" s="83"/>
      <c r="E273" s="118"/>
      <c r="F273" s="118"/>
      <c r="G273" s="118"/>
      <c r="H273" s="118"/>
      <c r="I273" s="118"/>
      <c r="J273" s="118"/>
      <c r="K273" s="118"/>
      <c r="L273" s="118"/>
      <c r="M273" s="118"/>
      <c r="N273" s="83"/>
      <c r="O273" s="83"/>
      <c r="P273" s="83"/>
      <c r="Q273" s="83"/>
      <c r="R273" s="83"/>
      <c r="S273" s="83"/>
      <c r="T273" s="83"/>
      <c r="U273" s="83"/>
      <c r="V273" s="83"/>
      <c r="W273" s="83"/>
      <c r="X273" s="83"/>
      <c r="Y273" s="83"/>
      <c r="Z273" s="83"/>
      <c r="AA273" s="83"/>
      <c r="AB273" s="83"/>
      <c r="AC273" s="83"/>
      <c r="AD273" s="83"/>
      <c r="AE273" s="83"/>
      <c r="AF273" s="83"/>
      <c r="AG273" s="83"/>
      <c r="AH273" s="83"/>
      <c r="AI273" s="83"/>
      <c r="AJ273" s="83"/>
      <c r="AK273" s="83"/>
    </row>
    <row r="274">
      <c r="A274" s="83"/>
      <c r="B274" s="83"/>
      <c r="C274" s="83"/>
      <c r="D274" s="83"/>
      <c r="E274" s="118"/>
      <c r="F274" s="118"/>
      <c r="G274" s="118"/>
      <c r="H274" s="118"/>
      <c r="I274" s="118"/>
      <c r="J274" s="118"/>
      <c r="K274" s="118"/>
      <c r="L274" s="118"/>
      <c r="M274" s="118"/>
      <c r="N274" s="83"/>
      <c r="O274" s="83"/>
      <c r="P274" s="83"/>
      <c r="Q274" s="83"/>
      <c r="R274" s="83"/>
      <c r="S274" s="83"/>
      <c r="T274" s="83"/>
      <c r="U274" s="83"/>
      <c r="V274" s="83"/>
      <c r="W274" s="83"/>
      <c r="X274" s="83"/>
      <c r="Y274" s="83"/>
      <c r="Z274" s="83"/>
      <c r="AA274" s="83"/>
      <c r="AB274" s="83"/>
      <c r="AC274" s="83"/>
      <c r="AD274" s="83"/>
      <c r="AE274" s="83"/>
      <c r="AF274" s="83"/>
      <c r="AG274" s="83"/>
      <c r="AH274" s="83"/>
      <c r="AI274" s="83"/>
      <c r="AJ274" s="83"/>
      <c r="AK274" s="83"/>
    </row>
    <row r="275">
      <c r="A275" s="83"/>
      <c r="B275" s="83"/>
      <c r="C275" s="83"/>
      <c r="D275" s="83"/>
      <c r="E275" s="118"/>
      <c r="F275" s="118"/>
      <c r="G275" s="118"/>
      <c r="H275" s="118"/>
      <c r="I275" s="118"/>
      <c r="J275" s="118"/>
      <c r="K275" s="118"/>
      <c r="L275" s="118"/>
      <c r="M275" s="118"/>
      <c r="N275" s="83"/>
      <c r="O275" s="83"/>
      <c r="P275" s="83"/>
      <c r="Q275" s="83"/>
      <c r="R275" s="83"/>
      <c r="S275" s="83"/>
      <c r="T275" s="83"/>
      <c r="U275" s="83"/>
      <c r="V275" s="83"/>
      <c r="W275" s="83"/>
      <c r="X275" s="83"/>
      <c r="Y275" s="83"/>
      <c r="Z275" s="83"/>
      <c r="AA275" s="83"/>
      <c r="AB275" s="83"/>
      <c r="AC275" s="83"/>
      <c r="AD275" s="83"/>
      <c r="AE275" s="83"/>
      <c r="AF275" s="83"/>
      <c r="AG275" s="83"/>
      <c r="AH275" s="83"/>
      <c r="AI275" s="83"/>
      <c r="AJ275" s="83"/>
      <c r="AK275" s="83"/>
    </row>
    <row r="276">
      <c r="A276" s="83"/>
      <c r="B276" s="83"/>
      <c r="C276" s="83"/>
      <c r="D276" s="83"/>
      <c r="E276" s="118"/>
      <c r="F276" s="118"/>
      <c r="G276" s="118"/>
      <c r="H276" s="118"/>
      <c r="I276" s="118"/>
      <c r="J276" s="118"/>
      <c r="K276" s="118"/>
      <c r="L276" s="118"/>
      <c r="M276" s="118"/>
      <c r="N276" s="83"/>
      <c r="O276" s="83"/>
      <c r="P276" s="83"/>
      <c r="Q276" s="83"/>
      <c r="R276" s="83"/>
      <c r="S276" s="83"/>
      <c r="T276" s="83"/>
      <c r="U276" s="83"/>
      <c r="V276" s="83"/>
      <c r="W276" s="83"/>
      <c r="X276" s="83"/>
      <c r="Y276" s="83"/>
      <c r="Z276" s="83"/>
      <c r="AA276" s="83"/>
      <c r="AB276" s="83"/>
      <c r="AC276" s="83"/>
      <c r="AD276" s="83"/>
      <c r="AE276" s="83"/>
      <c r="AF276" s="83"/>
      <c r="AG276" s="83"/>
      <c r="AH276" s="83"/>
      <c r="AI276" s="83"/>
      <c r="AJ276" s="83"/>
      <c r="AK276" s="83"/>
    </row>
    <row r="277">
      <c r="A277" s="83"/>
      <c r="B277" s="83"/>
      <c r="C277" s="83"/>
      <c r="D277" s="83"/>
      <c r="E277" s="118"/>
      <c r="F277" s="118"/>
      <c r="G277" s="118"/>
      <c r="H277" s="118"/>
      <c r="I277" s="118"/>
      <c r="J277" s="118"/>
      <c r="K277" s="118"/>
      <c r="L277" s="118"/>
      <c r="M277" s="118"/>
      <c r="N277" s="83"/>
      <c r="O277" s="83"/>
      <c r="P277" s="83"/>
      <c r="Q277" s="83"/>
      <c r="R277" s="83"/>
      <c r="S277" s="83"/>
      <c r="T277" s="83"/>
      <c r="U277" s="83"/>
      <c r="V277" s="83"/>
      <c r="W277" s="83"/>
      <c r="X277" s="83"/>
      <c r="Y277" s="83"/>
      <c r="Z277" s="83"/>
      <c r="AA277" s="83"/>
      <c r="AB277" s="83"/>
      <c r="AC277" s="83"/>
      <c r="AD277" s="83"/>
      <c r="AE277" s="83"/>
      <c r="AF277" s="83"/>
      <c r="AG277" s="83"/>
      <c r="AH277" s="83"/>
      <c r="AI277" s="83"/>
      <c r="AJ277" s="83"/>
      <c r="AK277" s="83"/>
    </row>
    <row r="278">
      <c r="A278" s="83"/>
      <c r="B278" s="83"/>
      <c r="C278" s="83"/>
      <c r="D278" s="83"/>
      <c r="E278" s="118"/>
      <c r="F278" s="118"/>
      <c r="G278" s="118"/>
      <c r="H278" s="118"/>
      <c r="I278" s="118"/>
      <c r="J278" s="118"/>
      <c r="K278" s="118"/>
      <c r="L278" s="118"/>
      <c r="M278" s="118"/>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83"/>
    </row>
    <row r="279">
      <c r="A279" s="83"/>
      <c r="B279" s="83"/>
      <c r="C279" s="83"/>
      <c r="D279" s="83"/>
      <c r="E279" s="118"/>
      <c r="F279" s="118"/>
      <c r="G279" s="118"/>
      <c r="H279" s="118"/>
      <c r="I279" s="118"/>
      <c r="J279" s="118"/>
      <c r="K279" s="118"/>
      <c r="L279" s="118"/>
      <c r="M279" s="118"/>
      <c r="N279" s="83"/>
      <c r="O279" s="83"/>
      <c r="P279" s="83"/>
      <c r="Q279" s="83"/>
      <c r="R279" s="83"/>
      <c r="S279" s="83"/>
      <c r="T279" s="83"/>
      <c r="U279" s="83"/>
      <c r="V279" s="83"/>
      <c r="W279" s="83"/>
      <c r="X279" s="83"/>
      <c r="Y279" s="83"/>
      <c r="Z279" s="83"/>
      <c r="AA279" s="83"/>
      <c r="AB279" s="83"/>
      <c r="AC279" s="83"/>
      <c r="AD279" s="83"/>
      <c r="AE279" s="83"/>
      <c r="AF279" s="83"/>
      <c r="AG279" s="83"/>
      <c r="AH279" s="83"/>
      <c r="AI279" s="83"/>
      <c r="AJ279" s="83"/>
      <c r="AK279" s="83"/>
    </row>
    <row r="280">
      <c r="A280" s="83"/>
      <c r="B280" s="83"/>
      <c r="C280" s="83"/>
      <c r="D280" s="83"/>
      <c r="E280" s="118"/>
      <c r="F280" s="118"/>
      <c r="G280" s="118"/>
      <c r="H280" s="118"/>
      <c r="I280" s="118"/>
      <c r="J280" s="118"/>
      <c r="K280" s="118"/>
      <c r="L280" s="118"/>
      <c r="M280" s="118"/>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83"/>
    </row>
    <row r="281">
      <c r="A281" s="83"/>
      <c r="B281" s="83"/>
      <c r="C281" s="83"/>
      <c r="D281" s="83"/>
      <c r="E281" s="118"/>
      <c r="F281" s="118"/>
      <c r="G281" s="118"/>
      <c r="H281" s="118"/>
      <c r="I281" s="118"/>
      <c r="J281" s="118"/>
      <c r="K281" s="118"/>
      <c r="L281" s="118"/>
      <c r="M281" s="118"/>
      <c r="N281" s="83"/>
      <c r="O281" s="83"/>
      <c r="P281" s="83"/>
      <c r="Q281" s="83"/>
      <c r="R281" s="83"/>
      <c r="S281" s="83"/>
      <c r="T281" s="83"/>
      <c r="U281" s="83"/>
      <c r="V281" s="83"/>
      <c r="W281" s="83"/>
      <c r="X281" s="83"/>
      <c r="Y281" s="83"/>
      <c r="Z281" s="83"/>
      <c r="AA281" s="83"/>
      <c r="AB281" s="83"/>
      <c r="AC281" s="83"/>
      <c r="AD281" s="83"/>
      <c r="AE281" s="83"/>
      <c r="AF281" s="83"/>
      <c r="AG281" s="83"/>
      <c r="AH281" s="83"/>
      <c r="AI281" s="83"/>
      <c r="AJ281" s="83"/>
      <c r="AK281" s="83"/>
    </row>
    <row r="282">
      <c r="A282" s="83"/>
      <c r="B282" s="83"/>
      <c r="C282" s="83"/>
      <c r="D282" s="83"/>
      <c r="E282" s="118"/>
      <c r="F282" s="118"/>
      <c r="G282" s="118"/>
      <c r="H282" s="118"/>
      <c r="I282" s="118"/>
      <c r="J282" s="118"/>
      <c r="K282" s="118"/>
      <c r="L282" s="118"/>
      <c r="M282" s="118"/>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83"/>
    </row>
    <row r="283">
      <c r="A283" s="83"/>
      <c r="B283" s="83"/>
      <c r="C283" s="83"/>
      <c r="D283" s="83"/>
      <c r="E283" s="118"/>
      <c r="F283" s="118"/>
      <c r="G283" s="118"/>
      <c r="H283" s="118"/>
      <c r="I283" s="118"/>
      <c r="J283" s="118"/>
      <c r="K283" s="118"/>
      <c r="L283" s="118"/>
      <c r="M283" s="118"/>
      <c r="N283" s="83"/>
      <c r="O283" s="83"/>
      <c r="P283" s="83"/>
      <c r="Q283" s="83"/>
      <c r="R283" s="83"/>
      <c r="S283" s="83"/>
      <c r="T283" s="83"/>
      <c r="U283" s="83"/>
      <c r="V283" s="83"/>
      <c r="W283" s="83"/>
      <c r="X283" s="83"/>
      <c r="Y283" s="83"/>
      <c r="Z283" s="83"/>
      <c r="AA283" s="83"/>
      <c r="AB283" s="83"/>
      <c r="AC283" s="83"/>
      <c r="AD283" s="83"/>
      <c r="AE283" s="83"/>
      <c r="AF283" s="83"/>
      <c r="AG283" s="83"/>
      <c r="AH283" s="83"/>
      <c r="AI283" s="83"/>
      <c r="AJ283" s="83"/>
      <c r="AK283" s="83"/>
    </row>
    <row r="284">
      <c r="A284" s="83"/>
      <c r="B284" s="83"/>
      <c r="C284" s="83"/>
      <c r="D284" s="83"/>
      <c r="E284" s="118"/>
      <c r="F284" s="118"/>
      <c r="G284" s="118"/>
      <c r="H284" s="118"/>
      <c r="I284" s="118"/>
      <c r="J284" s="118"/>
      <c r="K284" s="118"/>
      <c r="L284" s="118"/>
      <c r="M284" s="118"/>
      <c r="N284" s="83"/>
      <c r="O284" s="83"/>
      <c r="P284" s="83"/>
      <c r="Q284" s="83"/>
      <c r="R284" s="83"/>
      <c r="S284" s="83"/>
      <c r="T284" s="83"/>
      <c r="U284" s="83"/>
      <c r="V284" s="83"/>
      <c r="W284" s="83"/>
      <c r="X284" s="83"/>
      <c r="Y284" s="83"/>
      <c r="Z284" s="83"/>
      <c r="AA284" s="83"/>
      <c r="AB284" s="83"/>
      <c r="AC284" s="83"/>
      <c r="AD284" s="83"/>
      <c r="AE284" s="83"/>
      <c r="AF284" s="83"/>
      <c r="AG284" s="83"/>
      <c r="AH284" s="83"/>
      <c r="AI284" s="83"/>
      <c r="AJ284" s="83"/>
      <c r="AK284" s="83"/>
    </row>
    <row r="285">
      <c r="A285" s="83"/>
      <c r="B285" s="83"/>
      <c r="C285" s="83"/>
      <c r="D285" s="83"/>
      <c r="E285" s="118"/>
      <c r="F285" s="118"/>
      <c r="G285" s="118"/>
      <c r="H285" s="118"/>
      <c r="I285" s="118"/>
      <c r="J285" s="118"/>
      <c r="K285" s="118"/>
      <c r="L285" s="118"/>
      <c r="M285" s="118"/>
      <c r="N285" s="83"/>
      <c r="O285" s="83"/>
      <c r="P285" s="83"/>
      <c r="Q285" s="83"/>
      <c r="R285" s="83"/>
      <c r="S285" s="83"/>
      <c r="T285" s="83"/>
      <c r="U285" s="83"/>
      <c r="V285" s="83"/>
      <c r="W285" s="83"/>
      <c r="X285" s="83"/>
      <c r="Y285" s="83"/>
      <c r="Z285" s="83"/>
      <c r="AA285" s="83"/>
      <c r="AB285" s="83"/>
      <c r="AC285" s="83"/>
      <c r="AD285" s="83"/>
      <c r="AE285" s="83"/>
      <c r="AF285" s="83"/>
      <c r="AG285" s="83"/>
      <c r="AH285" s="83"/>
      <c r="AI285" s="83"/>
      <c r="AJ285" s="83"/>
      <c r="AK285" s="83"/>
    </row>
    <row r="286">
      <c r="A286" s="83"/>
      <c r="B286" s="83"/>
      <c r="C286" s="83"/>
      <c r="D286" s="83"/>
      <c r="E286" s="118"/>
      <c r="F286" s="118"/>
      <c r="G286" s="118"/>
      <c r="H286" s="118"/>
      <c r="I286" s="118"/>
      <c r="J286" s="118"/>
      <c r="K286" s="118"/>
      <c r="L286" s="118"/>
      <c r="M286" s="118"/>
      <c r="N286" s="83"/>
      <c r="O286" s="83"/>
      <c r="P286" s="83"/>
      <c r="Q286" s="83"/>
      <c r="R286" s="83"/>
      <c r="S286" s="83"/>
      <c r="T286" s="83"/>
      <c r="U286" s="83"/>
      <c r="V286" s="83"/>
      <c r="W286" s="83"/>
      <c r="X286" s="83"/>
      <c r="Y286" s="83"/>
      <c r="Z286" s="83"/>
      <c r="AA286" s="83"/>
      <c r="AB286" s="83"/>
      <c r="AC286" s="83"/>
      <c r="AD286" s="83"/>
      <c r="AE286" s="83"/>
      <c r="AF286" s="83"/>
      <c r="AG286" s="83"/>
      <c r="AH286" s="83"/>
      <c r="AI286" s="83"/>
      <c r="AJ286" s="83"/>
      <c r="AK286" s="83"/>
    </row>
    <row r="287">
      <c r="A287" s="83"/>
      <c r="B287" s="83"/>
      <c r="C287" s="83"/>
      <c r="D287" s="83"/>
      <c r="E287" s="118"/>
      <c r="F287" s="118"/>
      <c r="G287" s="118"/>
      <c r="H287" s="118"/>
      <c r="I287" s="118"/>
      <c r="J287" s="118"/>
      <c r="K287" s="118"/>
      <c r="L287" s="118"/>
      <c r="M287" s="118"/>
      <c r="N287" s="83"/>
      <c r="O287" s="83"/>
      <c r="P287" s="83"/>
      <c r="Q287" s="83"/>
      <c r="R287" s="83"/>
      <c r="S287" s="83"/>
      <c r="T287" s="83"/>
      <c r="U287" s="83"/>
      <c r="V287" s="83"/>
      <c r="W287" s="83"/>
      <c r="X287" s="83"/>
      <c r="Y287" s="83"/>
      <c r="Z287" s="83"/>
      <c r="AA287" s="83"/>
      <c r="AB287" s="83"/>
      <c r="AC287" s="83"/>
      <c r="AD287" s="83"/>
      <c r="AE287" s="83"/>
      <c r="AF287" s="83"/>
      <c r="AG287" s="83"/>
      <c r="AH287" s="83"/>
      <c r="AI287" s="83"/>
      <c r="AJ287" s="83"/>
      <c r="AK287" s="83"/>
    </row>
    <row r="288">
      <c r="A288" s="83"/>
      <c r="B288" s="83"/>
      <c r="C288" s="83"/>
      <c r="D288" s="83"/>
      <c r="E288" s="118"/>
      <c r="F288" s="118"/>
      <c r="G288" s="118"/>
      <c r="H288" s="118"/>
      <c r="I288" s="118"/>
      <c r="J288" s="118"/>
      <c r="K288" s="118"/>
      <c r="L288" s="118"/>
      <c r="M288" s="118"/>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row>
    <row r="289">
      <c r="A289" s="83"/>
      <c r="B289" s="83"/>
      <c r="C289" s="83"/>
      <c r="D289" s="83"/>
      <c r="E289" s="118"/>
      <c r="F289" s="118"/>
      <c r="G289" s="118"/>
      <c r="H289" s="118"/>
      <c r="I289" s="118"/>
      <c r="J289" s="118"/>
      <c r="K289" s="118"/>
      <c r="L289" s="118"/>
      <c r="M289" s="118"/>
      <c r="N289" s="83"/>
      <c r="O289" s="83"/>
      <c r="P289" s="83"/>
      <c r="Q289" s="83"/>
      <c r="R289" s="83"/>
      <c r="S289" s="83"/>
      <c r="T289" s="83"/>
      <c r="U289" s="83"/>
      <c r="V289" s="83"/>
      <c r="W289" s="83"/>
      <c r="X289" s="83"/>
      <c r="Y289" s="83"/>
      <c r="Z289" s="83"/>
      <c r="AA289" s="83"/>
      <c r="AB289" s="83"/>
      <c r="AC289" s="83"/>
      <c r="AD289" s="83"/>
      <c r="AE289" s="83"/>
      <c r="AF289" s="83"/>
      <c r="AG289" s="83"/>
      <c r="AH289" s="83"/>
      <c r="AI289" s="83"/>
      <c r="AJ289" s="83"/>
      <c r="AK289" s="83"/>
    </row>
    <row r="290">
      <c r="A290" s="83"/>
      <c r="B290" s="83"/>
      <c r="C290" s="83"/>
      <c r="D290" s="83"/>
      <c r="E290" s="118"/>
      <c r="F290" s="118"/>
      <c r="G290" s="118"/>
      <c r="H290" s="118"/>
      <c r="I290" s="118"/>
      <c r="J290" s="118"/>
      <c r="K290" s="118"/>
      <c r="L290" s="118"/>
      <c r="M290" s="118"/>
      <c r="N290" s="83"/>
      <c r="O290" s="83"/>
      <c r="P290" s="83"/>
      <c r="Q290" s="83"/>
      <c r="R290" s="83"/>
      <c r="S290" s="83"/>
      <c r="T290" s="83"/>
      <c r="U290" s="83"/>
      <c r="V290" s="83"/>
      <c r="W290" s="83"/>
      <c r="X290" s="83"/>
      <c r="Y290" s="83"/>
      <c r="Z290" s="83"/>
      <c r="AA290" s="83"/>
      <c r="AB290" s="83"/>
      <c r="AC290" s="83"/>
      <c r="AD290" s="83"/>
      <c r="AE290" s="83"/>
      <c r="AF290" s="83"/>
      <c r="AG290" s="83"/>
      <c r="AH290" s="83"/>
      <c r="AI290" s="83"/>
      <c r="AJ290" s="83"/>
      <c r="AK290" s="83"/>
    </row>
    <row r="291">
      <c r="A291" s="83"/>
      <c r="B291" s="83"/>
      <c r="C291" s="83"/>
      <c r="D291" s="83"/>
      <c r="E291" s="118"/>
      <c r="F291" s="118"/>
      <c r="G291" s="118"/>
      <c r="H291" s="118"/>
      <c r="I291" s="118"/>
      <c r="J291" s="118"/>
      <c r="K291" s="118"/>
      <c r="L291" s="118"/>
      <c r="M291" s="118"/>
      <c r="N291" s="83"/>
      <c r="O291" s="83"/>
      <c r="P291" s="83"/>
      <c r="Q291" s="83"/>
      <c r="R291" s="83"/>
      <c r="S291" s="83"/>
      <c r="T291" s="83"/>
      <c r="U291" s="83"/>
      <c r="V291" s="83"/>
      <c r="W291" s="83"/>
      <c r="X291" s="83"/>
      <c r="Y291" s="83"/>
      <c r="Z291" s="83"/>
      <c r="AA291" s="83"/>
      <c r="AB291" s="83"/>
      <c r="AC291" s="83"/>
      <c r="AD291" s="83"/>
      <c r="AE291" s="83"/>
      <c r="AF291" s="83"/>
      <c r="AG291" s="83"/>
      <c r="AH291" s="83"/>
      <c r="AI291" s="83"/>
      <c r="AJ291" s="83"/>
      <c r="AK291" s="83"/>
    </row>
    <row r="292">
      <c r="A292" s="83"/>
      <c r="B292" s="83"/>
      <c r="C292" s="83"/>
      <c r="D292" s="83"/>
      <c r="E292" s="118"/>
      <c r="F292" s="118"/>
      <c r="G292" s="118"/>
      <c r="H292" s="118"/>
      <c r="I292" s="118"/>
      <c r="J292" s="118"/>
      <c r="K292" s="118"/>
      <c r="L292" s="118"/>
      <c r="M292" s="118"/>
      <c r="N292" s="83"/>
      <c r="O292" s="83"/>
      <c r="P292" s="83"/>
      <c r="Q292" s="83"/>
      <c r="R292" s="83"/>
      <c r="S292" s="83"/>
      <c r="T292" s="83"/>
      <c r="U292" s="83"/>
      <c r="V292" s="83"/>
      <c r="W292" s="83"/>
      <c r="X292" s="83"/>
      <c r="Y292" s="83"/>
      <c r="Z292" s="83"/>
      <c r="AA292" s="83"/>
      <c r="AB292" s="83"/>
      <c r="AC292" s="83"/>
      <c r="AD292" s="83"/>
      <c r="AE292" s="83"/>
      <c r="AF292" s="83"/>
      <c r="AG292" s="83"/>
      <c r="AH292" s="83"/>
      <c r="AI292" s="83"/>
      <c r="AJ292" s="83"/>
      <c r="AK292" s="83"/>
    </row>
    <row r="293">
      <c r="A293" s="83"/>
      <c r="B293" s="83"/>
      <c r="C293" s="83"/>
      <c r="D293" s="83"/>
      <c r="E293" s="118"/>
      <c r="F293" s="118"/>
      <c r="G293" s="118"/>
      <c r="H293" s="118"/>
      <c r="I293" s="118"/>
      <c r="J293" s="118"/>
      <c r="K293" s="118"/>
      <c r="L293" s="118"/>
      <c r="M293" s="118"/>
      <c r="N293" s="83"/>
      <c r="O293" s="83"/>
      <c r="P293" s="83"/>
      <c r="Q293" s="83"/>
      <c r="R293" s="83"/>
      <c r="S293" s="83"/>
      <c r="T293" s="83"/>
      <c r="U293" s="83"/>
      <c r="V293" s="83"/>
      <c r="W293" s="83"/>
      <c r="X293" s="83"/>
      <c r="Y293" s="83"/>
      <c r="Z293" s="83"/>
      <c r="AA293" s="83"/>
      <c r="AB293" s="83"/>
      <c r="AC293" s="83"/>
      <c r="AD293" s="83"/>
      <c r="AE293" s="83"/>
      <c r="AF293" s="83"/>
      <c r="AG293" s="83"/>
      <c r="AH293" s="83"/>
      <c r="AI293" s="83"/>
      <c r="AJ293" s="83"/>
      <c r="AK293" s="83"/>
    </row>
    <row r="294">
      <c r="A294" s="83"/>
      <c r="B294" s="83"/>
      <c r="C294" s="83"/>
      <c r="D294" s="83"/>
      <c r="E294" s="118"/>
      <c r="F294" s="118"/>
      <c r="G294" s="118"/>
      <c r="H294" s="118"/>
      <c r="I294" s="118"/>
      <c r="J294" s="118"/>
      <c r="K294" s="118"/>
      <c r="L294" s="118"/>
      <c r="M294" s="118"/>
      <c r="N294" s="83"/>
      <c r="O294" s="83"/>
      <c r="P294" s="83"/>
      <c r="Q294" s="83"/>
      <c r="R294" s="83"/>
      <c r="S294" s="83"/>
      <c r="T294" s="83"/>
      <c r="U294" s="83"/>
      <c r="V294" s="83"/>
      <c r="W294" s="83"/>
      <c r="X294" s="83"/>
      <c r="Y294" s="83"/>
      <c r="Z294" s="83"/>
      <c r="AA294" s="83"/>
      <c r="AB294" s="83"/>
      <c r="AC294" s="83"/>
      <c r="AD294" s="83"/>
      <c r="AE294" s="83"/>
      <c r="AF294" s="83"/>
      <c r="AG294" s="83"/>
      <c r="AH294" s="83"/>
      <c r="AI294" s="83"/>
      <c r="AJ294" s="83"/>
      <c r="AK294" s="83"/>
    </row>
    <row r="295">
      <c r="A295" s="83"/>
      <c r="B295" s="83"/>
      <c r="C295" s="83"/>
      <c r="D295" s="83"/>
      <c r="E295" s="118"/>
      <c r="F295" s="118"/>
      <c r="G295" s="118"/>
      <c r="H295" s="118"/>
      <c r="I295" s="118"/>
      <c r="J295" s="118"/>
      <c r="K295" s="118"/>
      <c r="L295" s="118"/>
      <c r="M295" s="118"/>
      <c r="N295" s="83"/>
      <c r="O295" s="83"/>
      <c r="P295" s="83"/>
      <c r="Q295" s="83"/>
      <c r="R295" s="83"/>
      <c r="S295" s="83"/>
      <c r="T295" s="83"/>
      <c r="U295" s="83"/>
      <c r="V295" s="83"/>
      <c r="W295" s="83"/>
      <c r="X295" s="83"/>
      <c r="Y295" s="83"/>
      <c r="Z295" s="83"/>
      <c r="AA295" s="83"/>
      <c r="AB295" s="83"/>
      <c r="AC295" s="83"/>
      <c r="AD295" s="83"/>
      <c r="AE295" s="83"/>
      <c r="AF295" s="83"/>
      <c r="AG295" s="83"/>
      <c r="AH295" s="83"/>
      <c r="AI295" s="83"/>
      <c r="AJ295" s="83"/>
      <c r="AK295" s="83"/>
    </row>
    <row r="296">
      <c r="A296" s="83"/>
      <c r="B296" s="83"/>
      <c r="C296" s="83"/>
      <c r="D296" s="83"/>
      <c r="E296" s="118"/>
      <c r="F296" s="118"/>
      <c r="G296" s="118"/>
      <c r="H296" s="118"/>
      <c r="I296" s="118"/>
      <c r="J296" s="118"/>
      <c r="K296" s="118"/>
      <c r="L296" s="118"/>
      <c r="M296" s="118"/>
      <c r="N296" s="83"/>
      <c r="O296" s="83"/>
      <c r="P296" s="83"/>
      <c r="Q296" s="83"/>
      <c r="R296" s="83"/>
      <c r="S296" s="83"/>
      <c r="T296" s="83"/>
      <c r="U296" s="83"/>
      <c r="V296" s="83"/>
      <c r="W296" s="83"/>
      <c r="X296" s="83"/>
      <c r="Y296" s="83"/>
      <c r="Z296" s="83"/>
      <c r="AA296" s="83"/>
      <c r="AB296" s="83"/>
      <c r="AC296" s="83"/>
      <c r="AD296" s="83"/>
      <c r="AE296" s="83"/>
      <c r="AF296" s="83"/>
      <c r="AG296" s="83"/>
      <c r="AH296" s="83"/>
      <c r="AI296" s="83"/>
      <c r="AJ296" s="83"/>
      <c r="AK296" s="83"/>
    </row>
    <row r="297">
      <c r="A297" s="83"/>
      <c r="B297" s="83"/>
      <c r="C297" s="83"/>
      <c r="D297" s="83"/>
      <c r="E297" s="118"/>
      <c r="F297" s="118"/>
      <c r="G297" s="118"/>
      <c r="H297" s="118"/>
      <c r="I297" s="118"/>
      <c r="J297" s="118"/>
      <c r="K297" s="118"/>
      <c r="L297" s="118"/>
      <c r="M297" s="118"/>
      <c r="N297" s="83"/>
      <c r="O297" s="83"/>
      <c r="P297" s="83"/>
      <c r="Q297" s="83"/>
      <c r="R297" s="83"/>
      <c r="S297" s="83"/>
      <c r="T297" s="83"/>
      <c r="U297" s="83"/>
      <c r="V297" s="83"/>
      <c r="W297" s="83"/>
      <c r="X297" s="83"/>
      <c r="Y297" s="83"/>
      <c r="Z297" s="83"/>
      <c r="AA297" s="83"/>
      <c r="AB297" s="83"/>
      <c r="AC297" s="83"/>
      <c r="AD297" s="83"/>
      <c r="AE297" s="83"/>
      <c r="AF297" s="83"/>
      <c r="AG297" s="83"/>
      <c r="AH297" s="83"/>
      <c r="AI297" s="83"/>
      <c r="AJ297" s="83"/>
      <c r="AK297" s="83"/>
    </row>
    <row r="298">
      <c r="A298" s="83"/>
      <c r="B298" s="83"/>
      <c r="C298" s="83"/>
      <c r="D298" s="83"/>
      <c r="E298" s="118"/>
      <c r="F298" s="118"/>
      <c r="G298" s="118"/>
      <c r="H298" s="118"/>
      <c r="I298" s="118"/>
      <c r="J298" s="118"/>
      <c r="K298" s="118"/>
      <c r="L298" s="118"/>
      <c r="M298" s="118"/>
      <c r="N298" s="83"/>
      <c r="O298" s="83"/>
      <c r="P298" s="83"/>
      <c r="Q298" s="83"/>
      <c r="R298" s="83"/>
      <c r="S298" s="83"/>
      <c r="T298" s="83"/>
      <c r="U298" s="83"/>
      <c r="V298" s="83"/>
      <c r="W298" s="83"/>
      <c r="X298" s="83"/>
      <c r="Y298" s="83"/>
      <c r="Z298" s="83"/>
      <c r="AA298" s="83"/>
      <c r="AB298" s="83"/>
      <c r="AC298" s="83"/>
      <c r="AD298" s="83"/>
      <c r="AE298" s="83"/>
      <c r="AF298" s="83"/>
      <c r="AG298" s="83"/>
      <c r="AH298" s="83"/>
      <c r="AI298" s="83"/>
      <c r="AJ298" s="83"/>
      <c r="AK298" s="83"/>
    </row>
    <row r="299">
      <c r="A299" s="83"/>
      <c r="B299" s="83"/>
      <c r="C299" s="83"/>
      <c r="D299" s="83"/>
      <c r="E299" s="118"/>
      <c r="F299" s="118"/>
      <c r="G299" s="118"/>
      <c r="H299" s="118"/>
      <c r="I299" s="118"/>
      <c r="J299" s="118"/>
      <c r="K299" s="118"/>
      <c r="L299" s="118"/>
      <c r="M299" s="118"/>
      <c r="N299" s="83"/>
      <c r="O299" s="83"/>
      <c r="P299" s="83"/>
      <c r="Q299" s="83"/>
      <c r="R299" s="83"/>
      <c r="S299" s="83"/>
      <c r="T299" s="83"/>
      <c r="U299" s="83"/>
      <c r="V299" s="83"/>
      <c r="W299" s="83"/>
      <c r="X299" s="83"/>
      <c r="Y299" s="83"/>
      <c r="Z299" s="83"/>
      <c r="AA299" s="83"/>
      <c r="AB299" s="83"/>
      <c r="AC299" s="83"/>
      <c r="AD299" s="83"/>
      <c r="AE299" s="83"/>
      <c r="AF299" s="83"/>
      <c r="AG299" s="83"/>
      <c r="AH299" s="83"/>
      <c r="AI299" s="83"/>
      <c r="AJ299" s="83"/>
      <c r="AK299" s="83"/>
    </row>
    <row r="300">
      <c r="A300" s="83"/>
      <c r="B300" s="83"/>
      <c r="C300" s="83"/>
      <c r="D300" s="83"/>
      <c r="E300" s="118"/>
      <c r="F300" s="118"/>
      <c r="G300" s="118"/>
      <c r="H300" s="118"/>
      <c r="I300" s="118"/>
      <c r="J300" s="118"/>
      <c r="K300" s="118"/>
      <c r="L300" s="118"/>
      <c r="M300" s="118"/>
      <c r="N300" s="83"/>
      <c r="O300" s="83"/>
      <c r="P300" s="83"/>
      <c r="Q300" s="83"/>
      <c r="R300" s="83"/>
      <c r="S300" s="83"/>
      <c r="T300" s="83"/>
      <c r="U300" s="83"/>
      <c r="V300" s="83"/>
      <c r="W300" s="83"/>
      <c r="X300" s="83"/>
      <c r="Y300" s="83"/>
      <c r="Z300" s="83"/>
      <c r="AA300" s="83"/>
      <c r="AB300" s="83"/>
      <c r="AC300" s="83"/>
      <c r="AD300" s="83"/>
      <c r="AE300" s="83"/>
      <c r="AF300" s="83"/>
      <c r="AG300" s="83"/>
      <c r="AH300" s="83"/>
      <c r="AI300" s="83"/>
      <c r="AJ300" s="83"/>
      <c r="AK300" s="83"/>
    </row>
    <row r="301">
      <c r="A301" s="83"/>
      <c r="B301" s="83"/>
      <c r="C301" s="83"/>
      <c r="D301" s="83"/>
      <c r="E301" s="118"/>
      <c r="F301" s="118"/>
      <c r="G301" s="118"/>
      <c r="H301" s="118"/>
      <c r="I301" s="118"/>
      <c r="J301" s="118"/>
      <c r="K301" s="118"/>
      <c r="L301" s="118"/>
      <c r="M301" s="118"/>
      <c r="N301" s="83"/>
      <c r="O301" s="83"/>
      <c r="P301" s="83"/>
      <c r="Q301" s="83"/>
      <c r="R301" s="83"/>
      <c r="S301" s="83"/>
      <c r="T301" s="83"/>
      <c r="U301" s="83"/>
      <c r="V301" s="83"/>
      <c r="W301" s="83"/>
      <c r="X301" s="83"/>
      <c r="Y301" s="83"/>
      <c r="Z301" s="83"/>
      <c r="AA301" s="83"/>
      <c r="AB301" s="83"/>
      <c r="AC301" s="83"/>
      <c r="AD301" s="83"/>
      <c r="AE301" s="83"/>
      <c r="AF301" s="83"/>
      <c r="AG301" s="83"/>
      <c r="AH301" s="83"/>
      <c r="AI301" s="83"/>
      <c r="AJ301" s="83"/>
      <c r="AK301" s="83"/>
    </row>
    <row r="302">
      <c r="A302" s="83"/>
      <c r="B302" s="83"/>
      <c r="C302" s="83"/>
      <c r="D302" s="83"/>
      <c r="E302" s="118"/>
      <c r="F302" s="118"/>
      <c r="G302" s="118"/>
      <c r="H302" s="118"/>
      <c r="I302" s="118"/>
      <c r="J302" s="118"/>
      <c r="K302" s="118"/>
      <c r="L302" s="118"/>
      <c r="M302" s="118"/>
      <c r="N302" s="83"/>
      <c r="O302" s="83"/>
      <c r="P302" s="83"/>
      <c r="Q302" s="83"/>
      <c r="R302" s="83"/>
      <c r="S302" s="83"/>
      <c r="T302" s="83"/>
      <c r="U302" s="83"/>
      <c r="V302" s="83"/>
      <c r="W302" s="83"/>
      <c r="X302" s="83"/>
      <c r="Y302" s="83"/>
      <c r="Z302" s="83"/>
      <c r="AA302" s="83"/>
      <c r="AB302" s="83"/>
      <c r="AC302" s="83"/>
      <c r="AD302" s="83"/>
      <c r="AE302" s="83"/>
      <c r="AF302" s="83"/>
      <c r="AG302" s="83"/>
      <c r="AH302" s="83"/>
      <c r="AI302" s="83"/>
      <c r="AJ302" s="83"/>
      <c r="AK302" s="83"/>
    </row>
    <row r="303">
      <c r="A303" s="83"/>
      <c r="B303" s="83"/>
      <c r="C303" s="83"/>
      <c r="D303" s="83"/>
      <c r="E303" s="118"/>
      <c r="F303" s="118"/>
      <c r="G303" s="118"/>
      <c r="H303" s="118"/>
      <c r="I303" s="118"/>
      <c r="J303" s="118"/>
      <c r="K303" s="118"/>
      <c r="L303" s="118"/>
      <c r="M303" s="118"/>
      <c r="N303" s="83"/>
      <c r="O303" s="83"/>
      <c r="P303" s="83"/>
      <c r="Q303" s="83"/>
      <c r="R303" s="83"/>
      <c r="S303" s="83"/>
      <c r="T303" s="83"/>
      <c r="U303" s="83"/>
      <c r="V303" s="83"/>
      <c r="W303" s="83"/>
      <c r="X303" s="83"/>
      <c r="Y303" s="83"/>
      <c r="Z303" s="83"/>
      <c r="AA303" s="83"/>
      <c r="AB303" s="83"/>
      <c r="AC303" s="83"/>
      <c r="AD303" s="83"/>
      <c r="AE303" s="83"/>
      <c r="AF303" s="83"/>
      <c r="AG303" s="83"/>
      <c r="AH303" s="83"/>
      <c r="AI303" s="83"/>
      <c r="AJ303" s="83"/>
      <c r="AK303" s="83"/>
    </row>
    <row r="304">
      <c r="A304" s="83"/>
      <c r="B304" s="83"/>
      <c r="C304" s="83"/>
      <c r="D304" s="83"/>
      <c r="E304" s="118"/>
      <c r="F304" s="118"/>
      <c r="G304" s="118"/>
      <c r="H304" s="118"/>
      <c r="I304" s="118"/>
      <c r="J304" s="118"/>
      <c r="K304" s="118"/>
      <c r="L304" s="118"/>
      <c r="M304" s="118"/>
      <c r="N304" s="83"/>
      <c r="O304" s="83"/>
      <c r="P304" s="83"/>
      <c r="Q304" s="83"/>
      <c r="R304" s="83"/>
      <c r="S304" s="83"/>
      <c r="T304" s="83"/>
      <c r="U304" s="83"/>
      <c r="V304" s="83"/>
      <c r="W304" s="83"/>
      <c r="X304" s="83"/>
      <c r="Y304" s="83"/>
      <c r="Z304" s="83"/>
      <c r="AA304" s="83"/>
      <c r="AB304" s="83"/>
      <c r="AC304" s="83"/>
      <c r="AD304" s="83"/>
      <c r="AE304" s="83"/>
      <c r="AF304" s="83"/>
      <c r="AG304" s="83"/>
      <c r="AH304" s="83"/>
      <c r="AI304" s="83"/>
      <c r="AJ304" s="83"/>
      <c r="AK304" s="83"/>
    </row>
    <row r="305">
      <c r="A305" s="83"/>
      <c r="B305" s="83"/>
      <c r="C305" s="83"/>
      <c r="D305" s="83"/>
      <c r="E305" s="118"/>
      <c r="F305" s="118"/>
      <c r="G305" s="118"/>
      <c r="H305" s="118"/>
      <c r="I305" s="118"/>
      <c r="J305" s="118"/>
      <c r="K305" s="118"/>
      <c r="L305" s="118"/>
      <c r="M305" s="118"/>
      <c r="N305" s="83"/>
      <c r="O305" s="83"/>
      <c r="P305" s="83"/>
      <c r="Q305" s="83"/>
      <c r="R305" s="83"/>
      <c r="S305" s="83"/>
      <c r="T305" s="83"/>
      <c r="U305" s="83"/>
      <c r="V305" s="83"/>
      <c r="W305" s="83"/>
      <c r="X305" s="83"/>
      <c r="Y305" s="83"/>
      <c r="Z305" s="83"/>
      <c r="AA305" s="83"/>
      <c r="AB305" s="83"/>
      <c r="AC305" s="83"/>
      <c r="AD305" s="83"/>
      <c r="AE305" s="83"/>
      <c r="AF305" s="83"/>
      <c r="AG305" s="83"/>
      <c r="AH305" s="83"/>
      <c r="AI305" s="83"/>
      <c r="AJ305" s="83"/>
      <c r="AK305" s="83"/>
    </row>
    <row r="306">
      <c r="A306" s="83"/>
      <c r="B306" s="83"/>
      <c r="C306" s="83"/>
      <c r="D306" s="83"/>
      <c r="E306" s="118"/>
      <c r="F306" s="118"/>
      <c r="G306" s="118"/>
      <c r="H306" s="118"/>
      <c r="I306" s="118"/>
      <c r="J306" s="118"/>
      <c r="K306" s="118"/>
      <c r="L306" s="118"/>
      <c r="M306" s="118"/>
      <c r="N306" s="83"/>
      <c r="O306" s="83"/>
      <c r="P306" s="83"/>
      <c r="Q306" s="83"/>
      <c r="R306" s="83"/>
      <c r="S306" s="83"/>
      <c r="T306" s="83"/>
      <c r="U306" s="83"/>
      <c r="V306" s="83"/>
      <c r="W306" s="83"/>
      <c r="X306" s="83"/>
      <c r="Y306" s="83"/>
      <c r="Z306" s="83"/>
      <c r="AA306" s="83"/>
      <c r="AB306" s="83"/>
      <c r="AC306" s="83"/>
      <c r="AD306" s="83"/>
      <c r="AE306" s="83"/>
      <c r="AF306" s="83"/>
      <c r="AG306" s="83"/>
      <c r="AH306" s="83"/>
      <c r="AI306" s="83"/>
      <c r="AJ306" s="83"/>
      <c r="AK306" s="83"/>
    </row>
    <row r="307">
      <c r="A307" s="83"/>
      <c r="B307" s="83"/>
      <c r="C307" s="83"/>
      <c r="D307" s="83"/>
      <c r="E307" s="118"/>
      <c r="F307" s="118"/>
      <c r="G307" s="118"/>
      <c r="H307" s="118"/>
      <c r="I307" s="118"/>
      <c r="J307" s="118"/>
      <c r="K307" s="118"/>
      <c r="L307" s="118"/>
      <c r="M307" s="118"/>
      <c r="N307" s="83"/>
      <c r="O307" s="83"/>
      <c r="P307" s="83"/>
      <c r="Q307" s="83"/>
      <c r="R307" s="83"/>
      <c r="S307" s="83"/>
      <c r="T307" s="83"/>
      <c r="U307" s="83"/>
      <c r="V307" s="83"/>
      <c r="W307" s="83"/>
      <c r="X307" s="83"/>
      <c r="Y307" s="83"/>
      <c r="Z307" s="83"/>
      <c r="AA307" s="83"/>
      <c r="AB307" s="83"/>
      <c r="AC307" s="83"/>
      <c r="AD307" s="83"/>
      <c r="AE307" s="83"/>
      <c r="AF307" s="83"/>
      <c r="AG307" s="83"/>
      <c r="AH307" s="83"/>
      <c r="AI307" s="83"/>
      <c r="AJ307" s="83"/>
      <c r="AK307" s="83"/>
    </row>
    <row r="308">
      <c r="A308" s="83"/>
      <c r="B308" s="83"/>
      <c r="C308" s="83"/>
      <c r="D308" s="83"/>
      <c r="E308" s="118"/>
      <c r="F308" s="118"/>
      <c r="G308" s="118"/>
      <c r="H308" s="118"/>
      <c r="I308" s="118"/>
      <c r="J308" s="118"/>
      <c r="K308" s="118"/>
      <c r="L308" s="118"/>
      <c r="M308" s="118"/>
      <c r="N308" s="83"/>
      <c r="O308" s="83"/>
      <c r="P308" s="83"/>
      <c r="Q308" s="83"/>
      <c r="R308" s="83"/>
      <c r="S308" s="83"/>
      <c r="T308" s="83"/>
      <c r="U308" s="83"/>
      <c r="V308" s="83"/>
      <c r="W308" s="83"/>
      <c r="X308" s="83"/>
      <c r="Y308" s="83"/>
      <c r="Z308" s="83"/>
      <c r="AA308" s="83"/>
      <c r="AB308" s="83"/>
      <c r="AC308" s="83"/>
      <c r="AD308" s="83"/>
      <c r="AE308" s="83"/>
      <c r="AF308" s="83"/>
      <c r="AG308" s="83"/>
      <c r="AH308" s="83"/>
      <c r="AI308" s="83"/>
      <c r="AJ308" s="83"/>
      <c r="AK308" s="83"/>
    </row>
    <row r="309">
      <c r="A309" s="83"/>
      <c r="B309" s="83"/>
      <c r="C309" s="83"/>
      <c r="D309" s="83"/>
      <c r="E309" s="118"/>
      <c r="F309" s="118"/>
      <c r="G309" s="118"/>
      <c r="H309" s="118"/>
      <c r="I309" s="118"/>
      <c r="J309" s="118"/>
      <c r="K309" s="118"/>
      <c r="L309" s="118"/>
      <c r="M309" s="118"/>
      <c r="N309" s="83"/>
      <c r="O309" s="83"/>
      <c r="P309" s="83"/>
      <c r="Q309" s="83"/>
      <c r="R309" s="83"/>
      <c r="S309" s="83"/>
      <c r="T309" s="83"/>
      <c r="U309" s="83"/>
      <c r="V309" s="83"/>
      <c r="W309" s="83"/>
      <c r="X309" s="83"/>
      <c r="Y309" s="83"/>
      <c r="Z309" s="83"/>
      <c r="AA309" s="83"/>
      <c r="AB309" s="83"/>
      <c r="AC309" s="83"/>
      <c r="AD309" s="83"/>
      <c r="AE309" s="83"/>
      <c r="AF309" s="83"/>
      <c r="AG309" s="83"/>
      <c r="AH309" s="83"/>
      <c r="AI309" s="83"/>
      <c r="AJ309" s="83"/>
      <c r="AK309" s="83"/>
    </row>
    <row r="310">
      <c r="A310" s="83"/>
      <c r="B310" s="83"/>
      <c r="C310" s="83"/>
      <c r="D310" s="83"/>
      <c r="E310" s="118"/>
      <c r="F310" s="118"/>
      <c r="G310" s="118"/>
      <c r="H310" s="118"/>
      <c r="I310" s="118"/>
      <c r="J310" s="118"/>
      <c r="K310" s="118"/>
      <c r="L310" s="118"/>
      <c r="M310" s="118"/>
      <c r="N310" s="83"/>
      <c r="O310" s="83"/>
      <c r="P310" s="83"/>
      <c r="Q310" s="83"/>
      <c r="R310" s="83"/>
      <c r="S310" s="83"/>
      <c r="T310" s="83"/>
      <c r="U310" s="83"/>
      <c r="V310" s="83"/>
      <c r="W310" s="83"/>
      <c r="X310" s="83"/>
      <c r="Y310" s="83"/>
      <c r="Z310" s="83"/>
      <c r="AA310" s="83"/>
      <c r="AB310" s="83"/>
      <c r="AC310" s="83"/>
      <c r="AD310" s="83"/>
      <c r="AE310" s="83"/>
      <c r="AF310" s="83"/>
      <c r="AG310" s="83"/>
      <c r="AH310" s="83"/>
      <c r="AI310" s="83"/>
      <c r="AJ310" s="83"/>
      <c r="AK310" s="83"/>
    </row>
    <row r="311">
      <c r="A311" s="83"/>
      <c r="B311" s="83"/>
      <c r="C311" s="83"/>
      <c r="D311" s="83"/>
      <c r="E311" s="118"/>
      <c r="F311" s="118"/>
      <c r="G311" s="118"/>
      <c r="H311" s="118"/>
      <c r="I311" s="118"/>
      <c r="J311" s="118"/>
      <c r="K311" s="118"/>
      <c r="L311" s="118"/>
      <c r="M311" s="118"/>
      <c r="N311" s="83"/>
      <c r="O311" s="83"/>
      <c r="P311" s="83"/>
      <c r="Q311" s="83"/>
      <c r="R311" s="83"/>
      <c r="S311" s="83"/>
      <c r="T311" s="83"/>
      <c r="U311" s="83"/>
      <c r="V311" s="83"/>
      <c r="W311" s="83"/>
      <c r="X311" s="83"/>
      <c r="Y311" s="83"/>
      <c r="Z311" s="83"/>
      <c r="AA311" s="83"/>
      <c r="AB311" s="83"/>
      <c r="AC311" s="83"/>
      <c r="AD311" s="83"/>
      <c r="AE311" s="83"/>
      <c r="AF311" s="83"/>
      <c r="AG311" s="83"/>
      <c r="AH311" s="83"/>
      <c r="AI311" s="83"/>
      <c r="AJ311" s="83"/>
      <c r="AK311" s="83"/>
    </row>
    <row r="312">
      <c r="A312" s="83"/>
      <c r="B312" s="83"/>
      <c r="C312" s="83"/>
      <c r="D312" s="83"/>
      <c r="E312" s="118"/>
      <c r="F312" s="118"/>
      <c r="G312" s="118"/>
      <c r="H312" s="118"/>
      <c r="I312" s="118"/>
      <c r="J312" s="118"/>
      <c r="K312" s="118"/>
      <c r="L312" s="118"/>
      <c r="M312" s="118"/>
      <c r="N312" s="83"/>
      <c r="O312" s="83"/>
      <c r="P312" s="83"/>
      <c r="Q312" s="83"/>
      <c r="R312" s="83"/>
      <c r="S312" s="83"/>
      <c r="T312" s="83"/>
      <c r="U312" s="83"/>
      <c r="V312" s="83"/>
      <c r="W312" s="83"/>
      <c r="X312" s="83"/>
      <c r="Y312" s="83"/>
      <c r="Z312" s="83"/>
      <c r="AA312" s="83"/>
      <c r="AB312" s="83"/>
      <c r="AC312" s="83"/>
      <c r="AD312" s="83"/>
      <c r="AE312" s="83"/>
      <c r="AF312" s="83"/>
      <c r="AG312" s="83"/>
      <c r="AH312" s="83"/>
      <c r="AI312" s="83"/>
      <c r="AJ312" s="83"/>
      <c r="AK312" s="83"/>
    </row>
    <row r="313">
      <c r="A313" s="83"/>
      <c r="B313" s="83"/>
      <c r="C313" s="83"/>
      <c r="D313" s="83"/>
      <c r="E313" s="118"/>
      <c r="F313" s="118"/>
      <c r="G313" s="118"/>
      <c r="H313" s="118"/>
      <c r="I313" s="118"/>
      <c r="J313" s="118"/>
      <c r="K313" s="118"/>
      <c r="L313" s="118"/>
      <c r="M313" s="118"/>
      <c r="N313" s="83"/>
      <c r="O313" s="83"/>
      <c r="P313" s="83"/>
      <c r="Q313" s="83"/>
      <c r="R313" s="83"/>
      <c r="S313" s="83"/>
      <c r="T313" s="83"/>
      <c r="U313" s="83"/>
      <c r="V313" s="83"/>
      <c r="W313" s="83"/>
      <c r="X313" s="83"/>
      <c r="Y313" s="83"/>
      <c r="Z313" s="83"/>
      <c r="AA313" s="83"/>
      <c r="AB313" s="83"/>
      <c r="AC313" s="83"/>
      <c r="AD313" s="83"/>
      <c r="AE313" s="83"/>
      <c r="AF313" s="83"/>
      <c r="AG313" s="83"/>
      <c r="AH313" s="83"/>
      <c r="AI313" s="83"/>
      <c r="AJ313" s="83"/>
      <c r="AK313" s="83"/>
    </row>
    <row r="314">
      <c r="A314" s="83"/>
      <c r="B314" s="83"/>
      <c r="C314" s="83"/>
      <c r="D314" s="83"/>
      <c r="E314" s="118"/>
      <c r="F314" s="118"/>
      <c r="G314" s="118"/>
      <c r="H314" s="118"/>
      <c r="I314" s="118"/>
      <c r="J314" s="118"/>
      <c r="K314" s="118"/>
      <c r="L314" s="118"/>
      <c r="M314" s="118"/>
      <c r="N314" s="83"/>
      <c r="O314" s="83"/>
      <c r="P314" s="83"/>
      <c r="Q314" s="83"/>
      <c r="R314" s="83"/>
      <c r="S314" s="83"/>
      <c r="T314" s="83"/>
      <c r="U314" s="83"/>
      <c r="V314" s="83"/>
      <c r="W314" s="83"/>
      <c r="X314" s="83"/>
      <c r="Y314" s="83"/>
      <c r="Z314" s="83"/>
      <c r="AA314" s="83"/>
      <c r="AB314" s="83"/>
      <c r="AC314" s="83"/>
      <c r="AD314" s="83"/>
      <c r="AE314" s="83"/>
      <c r="AF314" s="83"/>
      <c r="AG314" s="83"/>
      <c r="AH314" s="83"/>
      <c r="AI314" s="83"/>
      <c r="AJ314" s="83"/>
      <c r="AK314" s="83"/>
    </row>
    <row r="315">
      <c r="A315" s="83"/>
      <c r="B315" s="83"/>
      <c r="C315" s="83"/>
      <c r="D315" s="83"/>
      <c r="E315" s="118"/>
      <c r="F315" s="118"/>
      <c r="G315" s="118"/>
      <c r="H315" s="118"/>
      <c r="I315" s="118"/>
      <c r="J315" s="118"/>
      <c r="K315" s="118"/>
      <c r="L315" s="118"/>
      <c r="M315" s="118"/>
      <c r="N315" s="83"/>
      <c r="O315" s="83"/>
      <c r="P315" s="83"/>
      <c r="Q315" s="83"/>
      <c r="R315" s="83"/>
      <c r="S315" s="83"/>
      <c r="T315" s="83"/>
      <c r="U315" s="83"/>
      <c r="V315" s="83"/>
      <c r="W315" s="83"/>
      <c r="X315" s="83"/>
      <c r="Y315" s="83"/>
      <c r="Z315" s="83"/>
      <c r="AA315" s="83"/>
      <c r="AB315" s="83"/>
      <c r="AC315" s="83"/>
      <c r="AD315" s="83"/>
      <c r="AE315" s="83"/>
      <c r="AF315" s="83"/>
      <c r="AG315" s="83"/>
      <c r="AH315" s="83"/>
      <c r="AI315" s="83"/>
      <c r="AJ315" s="83"/>
      <c r="AK315" s="83"/>
    </row>
    <row r="316">
      <c r="A316" s="83"/>
      <c r="B316" s="83"/>
      <c r="C316" s="83"/>
      <c r="D316" s="83"/>
      <c r="E316" s="118"/>
      <c r="F316" s="118"/>
      <c r="G316" s="118"/>
      <c r="H316" s="118"/>
      <c r="I316" s="118"/>
      <c r="J316" s="118"/>
      <c r="K316" s="118"/>
      <c r="L316" s="118"/>
      <c r="M316" s="118"/>
      <c r="N316" s="83"/>
      <c r="O316" s="83"/>
      <c r="P316" s="83"/>
      <c r="Q316" s="83"/>
      <c r="R316" s="83"/>
      <c r="S316" s="83"/>
      <c r="T316" s="83"/>
      <c r="U316" s="83"/>
      <c r="V316" s="83"/>
      <c r="W316" s="83"/>
      <c r="X316" s="83"/>
      <c r="Y316" s="83"/>
      <c r="Z316" s="83"/>
      <c r="AA316" s="83"/>
      <c r="AB316" s="83"/>
      <c r="AC316" s="83"/>
      <c r="AD316" s="83"/>
      <c r="AE316" s="83"/>
      <c r="AF316" s="83"/>
      <c r="AG316" s="83"/>
      <c r="AH316" s="83"/>
      <c r="AI316" s="83"/>
      <c r="AJ316" s="83"/>
      <c r="AK316" s="83"/>
    </row>
    <row r="317">
      <c r="A317" s="83"/>
      <c r="B317" s="83"/>
      <c r="C317" s="83"/>
      <c r="D317" s="83"/>
      <c r="E317" s="118"/>
      <c r="F317" s="118"/>
      <c r="G317" s="118"/>
      <c r="H317" s="118"/>
      <c r="I317" s="118"/>
      <c r="J317" s="118"/>
      <c r="K317" s="118"/>
      <c r="L317" s="118"/>
      <c r="M317" s="118"/>
      <c r="N317" s="83"/>
      <c r="O317" s="83"/>
      <c r="P317" s="83"/>
      <c r="Q317" s="83"/>
      <c r="R317" s="83"/>
      <c r="S317" s="83"/>
      <c r="T317" s="83"/>
      <c r="U317" s="83"/>
      <c r="V317" s="83"/>
      <c r="W317" s="83"/>
      <c r="X317" s="83"/>
      <c r="Y317" s="83"/>
      <c r="Z317" s="83"/>
      <c r="AA317" s="83"/>
      <c r="AB317" s="83"/>
      <c r="AC317" s="83"/>
      <c r="AD317" s="83"/>
      <c r="AE317" s="83"/>
      <c r="AF317" s="83"/>
      <c r="AG317" s="83"/>
      <c r="AH317" s="83"/>
      <c r="AI317" s="83"/>
      <c r="AJ317" s="83"/>
      <c r="AK317" s="83"/>
    </row>
    <row r="318">
      <c r="A318" s="83"/>
      <c r="B318" s="83"/>
      <c r="C318" s="83"/>
      <c r="D318" s="83"/>
      <c r="E318" s="118"/>
      <c r="F318" s="118"/>
      <c r="G318" s="118"/>
      <c r="H318" s="118"/>
      <c r="I318" s="118"/>
      <c r="J318" s="118"/>
      <c r="K318" s="118"/>
      <c r="L318" s="118"/>
      <c r="M318" s="118"/>
      <c r="N318" s="83"/>
      <c r="O318" s="83"/>
      <c r="P318" s="83"/>
      <c r="Q318" s="83"/>
      <c r="R318" s="83"/>
      <c r="S318" s="83"/>
      <c r="T318" s="83"/>
      <c r="U318" s="83"/>
      <c r="V318" s="83"/>
      <c r="W318" s="83"/>
      <c r="X318" s="83"/>
      <c r="Y318" s="83"/>
      <c r="Z318" s="83"/>
      <c r="AA318" s="83"/>
      <c r="AB318" s="83"/>
      <c r="AC318" s="83"/>
      <c r="AD318" s="83"/>
      <c r="AE318" s="83"/>
      <c r="AF318" s="83"/>
      <c r="AG318" s="83"/>
      <c r="AH318" s="83"/>
      <c r="AI318" s="83"/>
      <c r="AJ318" s="83"/>
      <c r="AK318" s="83"/>
    </row>
    <row r="319">
      <c r="A319" s="83"/>
      <c r="B319" s="83"/>
      <c r="C319" s="83"/>
      <c r="D319" s="83"/>
      <c r="E319" s="118"/>
      <c r="F319" s="118"/>
      <c r="G319" s="118"/>
      <c r="H319" s="118"/>
      <c r="I319" s="118"/>
      <c r="J319" s="118"/>
      <c r="K319" s="118"/>
      <c r="L319" s="118"/>
      <c r="M319" s="118"/>
      <c r="N319" s="83"/>
      <c r="O319" s="83"/>
      <c r="P319" s="83"/>
      <c r="Q319" s="83"/>
      <c r="R319" s="83"/>
      <c r="S319" s="83"/>
      <c r="T319" s="83"/>
      <c r="U319" s="83"/>
      <c r="V319" s="83"/>
      <c r="W319" s="83"/>
      <c r="X319" s="83"/>
      <c r="Y319" s="83"/>
      <c r="Z319" s="83"/>
      <c r="AA319" s="83"/>
      <c r="AB319" s="83"/>
      <c r="AC319" s="83"/>
      <c r="AD319" s="83"/>
      <c r="AE319" s="83"/>
      <c r="AF319" s="83"/>
      <c r="AG319" s="83"/>
      <c r="AH319" s="83"/>
      <c r="AI319" s="83"/>
      <c r="AJ319" s="83"/>
      <c r="AK319" s="83"/>
    </row>
    <row r="320">
      <c r="A320" s="83"/>
      <c r="B320" s="83"/>
      <c r="C320" s="83"/>
      <c r="D320" s="83"/>
      <c r="E320" s="118"/>
      <c r="F320" s="118"/>
      <c r="G320" s="118"/>
      <c r="H320" s="118"/>
      <c r="I320" s="118"/>
      <c r="J320" s="118"/>
      <c r="K320" s="118"/>
      <c r="L320" s="118"/>
      <c r="M320" s="118"/>
      <c r="N320" s="83"/>
      <c r="O320" s="83"/>
      <c r="P320" s="83"/>
      <c r="Q320" s="83"/>
      <c r="R320" s="83"/>
      <c r="S320" s="83"/>
      <c r="T320" s="83"/>
      <c r="U320" s="83"/>
      <c r="V320" s="83"/>
      <c r="W320" s="83"/>
      <c r="X320" s="83"/>
      <c r="Y320" s="83"/>
      <c r="Z320" s="83"/>
      <c r="AA320" s="83"/>
      <c r="AB320" s="83"/>
      <c r="AC320" s="83"/>
      <c r="AD320" s="83"/>
      <c r="AE320" s="83"/>
      <c r="AF320" s="83"/>
      <c r="AG320" s="83"/>
      <c r="AH320" s="83"/>
      <c r="AI320" s="83"/>
      <c r="AJ320" s="83"/>
      <c r="AK320" s="83"/>
    </row>
    <row r="321">
      <c r="A321" s="83"/>
      <c r="B321" s="83"/>
      <c r="C321" s="83"/>
      <c r="D321" s="83"/>
      <c r="E321" s="118"/>
      <c r="F321" s="118"/>
      <c r="G321" s="118"/>
      <c r="H321" s="118"/>
      <c r="I321" s="118"/>
      <c r="J321" s="118"/>
      <c r="K321" s="118"/>
      <c r="L321" s="118"/>
      <c r="M321" s="118"/>
      <c r="N321" s="83"/>
      <c r="O321" s="83"/>
      <c r="P321" s="83"/>
      <c r="Q321" s="83"/>
      <c r="R321" s="83"/>
      <c r="S321" s="83"/>
      <c r="T321" s="83"/>
      <c r="U321" s="83"/>
      <c r="V321" s="83"/>
      <c r="W321" s="83"/>
      <c r="X321" s="83"/>
      <c r="Y321" s="83"/>
      <c r="Z321" s="83"/>
      <c r="AA321" s="83"/>
      <c r="AB321" s="83"/>
      <c r="AC321" s="83"/>
      <c r="AD321" s="83"/>
      <c r="AE321" s="83"/>
      <c r="AF321" s="83"/>
      <c r="AG321" s="83"/>
      <c r="AH321" s="83"/>
      <c r="AI321" s="83"/>
      <c r="AJ321" s="83"/>
      <c r="AK321" s="83"/>
    </row>
    <row r="322">
      <c r="A322" s="83"/>
      <c r="B322" s="83"/>
      <c r="C322" s="83"/>
      <c r="D322" s="83"/>
      <c r="E322" s="118"/>
      <c r="F322" s="118"/>
      <c r="G322" s="118"/>
      <c r="H322" s="118"/>
      <c r="I322" s="118"/>
      <c r="J322" s="118"/>
      <c r="K322" s="118"/>
      <c r="L322" s="118"/>
      <c r="M322" s="118"/>
      <c r="N322" s="83"/>
      <c r="O322" s="83"/>
      <c r="P322" s="83"/>
      <c r="Q322" s="83"/>
      <c r="R322" s="83"/>
      <c r="S322" s="83"/>
      <c r="T322" s="83"/>
      <c r="U322" s="83"/>
      <c r="V322" s="83"/>
      <c r="W322" s="83"/>
      <c r="X322" s="83"/>
      <c r="Y322" s="83"/>
      <c r="Z322" s="83"/>
      <c r="AA322" s="83"/>
      <c r="AB322" s="83"/>
      <c r="AC322" s="83"/>
      <c r="AD322" s="83"/>
      <c r="AE322" s="83"/>
      <c r="AF322" s="83"/>
      <c r="AG322" s="83"/>
      <c r="AH322" s="83"/>
      <c r="AI322" s="83"/>
      <c r="AJ322" s="83"/>
      <c r="AK322" s="83"/>
    </row>
    <row r="323">
      <c r="A323" s="83"/>
      <c r="B323" s="83"/>
      <c r="C323" s="83"/>
      <c r="D323" s="83"/>
      <c r="E323" s="118"/>
      <c r="F323" s="118"/>
      <c r="G323" s="118"/>
      <c r="H323" s="118"/>
      <c r="I323" s="118"/>
      <c r="J323" s="118"/>
      <c r="K323" s="118"/>
      <c r="L323" s="118"/>
      <c r="M323" s="118"/>
      <c r="N323" s="83"/>
      <c r="O323" s="83"/>
      <c r="P323" s="83"/>
      <c r="Q323" s="83"/>
      <c r="R323" s="83"/>
      <c r="S323" s="83"/>
      <c r="T323" s="83"/>
      <c r="U323" s="83"/>
      <c r="V323" s="83"/>
      <c r="W323" s="83"/>
      <c r="X323" s="83"/>
      <c r="Y323" s="83"/>
      <c r="Z323" s="83"/>
      <c r="AA323" s="83"/>
      <c r="AB323" s="83"/>
      <c r="AC323" s="83"/>
      <c r="AD323" s="83"/>
      <c r="AE323" s="83"/>
      <c r="AF323" s="83"/>
      <c r="AG323" s="83"/>
      <c r="AH323" s="83"/>
      <c r="AI323" s="83"/>
      <c r="AJ323" s="83"/>
      <c r="AK323" s="83"/>
    </row>
    <row r="324">
      <c r="A324" s="83"/>
      <c r="B324" s="83"/>
      <c r="C324" s="83"/>
      <c r="D324" s="83"/>
      <c r="E324" s="118"/>
      <c r="F324" s="118"/>
      <c r="G324" s="118"/>
      <c r="H324" s="118"/>
      <c r="I324" s="118"/>
      <c r="J324" s="118"/>
      <c r="K324" s="118"/>
      <c r="L324" s="118"/>
      <c r="M324" s="118"/>
      <c r="N324" s="83"/>
      <c r="O324" s="83"/>
      <c r="P324" s="83"/>
      <c r="Q324" s="83"/>
      <c r="R324" s="83"/>
      <c r="S324" s="83"/>
      <c r="T324" s="83"/>
      <c r="U324" s="83"/>
      <c r="V324" s="83"/>
      <c r="W324" s="83"/>
      <c r="X324" s="83"/>
      <c r="Y324" s="83"/>
      <c r="Z324" s="83"/>
      <c r="AA324" s="83"/>
      <c r="AB324" s="83"/>
      <c r="AC324" s="83"/>
      <c r="AD324" s="83"/>
      <c r="AE324" s="83"/>
      <c r="AF324" s="83"/>
      <c r="AG324" s="83"/>
      <c r="AH324" s="83"/>
      <c r="AI324" s="83"/>
      <c r="AJ324" s="83"/>
      <c r="AK324" s="83"/>
    </row>
    <row r="325">
      <c r="A325" s="83"/>
      <c r="B325" s="83"/>
      <c r="C325" s="83"/>
      <c r="D325" s="83"/>
      <c r="E325" s="118"/>
      <c r="F325" s="118"/>
      <c r="G325" s="118"/>
      <c r="H325" s="118"/>
      <c r="I325" s="118"/>
      <c r="J325" s="118"/>
      <c r="K325" s="118"/>
      <c r="L325" s="118"/>
      <c r="M325" s="118"/>
      <c r="N325" s="83"/>
      <c r="O325" s="83"/>
      <c r="P325" s="83"/>
      <c r="Q325" s="83"/>
      <c r="R325" s="83"/>
      <c r="S325" s="83"/>
      <c r="T325" s="83"/>
      <c r="U325" s="83"/>
      <c r="V325" s="83"/>
      <c r="W325" s="83"/>
      <c r="X325" s="83"/>
      <c r="Y325" s="83"/>
      <c r="Z325" s="83"/>
      <c r="AA325" s="83"/>
      <c r="AB325" s="83"/>
      <c r="AC325" s="83"/>
      <c r="AD325" s="83"/>
      <c r="AE325" s="83"/>
      <c r="AF325" s="83"/>
      <c r="AG325" s="83"/>
      <c r="AH325" s="83"/>
      <c r="AI325" s="83"/>
      <c r="AJ325" s="83"/>
      <c r="AK325" s="83"/>
    </row>
    <row r="326">
      <c r="A326" s="83"/>
      <c r="B326" s="83"/>
      <c r="C326" s="83"/>
      <c r="D326" s="83"/>
      <c r="E326" s="118"/>
      <c r="F326" s="118"/>
      <c r="G326" s="118"/>
      <c r="H326" s="118"/>
      <c r="I326" s="118"/>
      <c r="J326" s="118"/>
      <c r="K326" s="118"/>
      <c r="L326" s="118"/>
      <c r="M326" s="118"/>
      <c r="N326" s="83"/>
      <c r="O326" s="83"/>
      <c r="P326" s="83"/>
      <c r="Q326" s="83"/>
      <c r="R326" s="83"/>
      <c r="S326" s="83"/>
      <c r="T326" s="83"/>
      <c r="U326" s="83"/>
      <c r="V326" s="83"/>
      <c r="W326" s="83"/>
      <c r="X326" s="83"/>
      <c r="Y326" s="83"/>
      <c r="Z326" s="83"/>
      <c r="AA326" s="83"/>
      <c r="AB326" s="83"/>
      <c r="AC326" s="83"/>
      <c r="AD326" s="83"/>
      <c r="AE326" s="83"/>
      <c r="AF326" s="83"/>
      <c r="AG326" s="83"/>
      <c r="AH326" s="83"/>
      <c r="AI326" s="83"/>
      <c r="AJ326" s="83"/>
      <c r="AK326" s="83"/>
    </row>
    <row r="327">
      <c r="A327" s="83"/>
      <c r="B327" s="83"/>
      <c r="C327" s="83"/>
      <c r="D327" s="83"/>
      <c r="E327" s="118"/>
      <c r="F327" s="118"/>
      <c r="G327" s="118"/>
      <c r="H327" s="118"/>
      <c r="I327" s="118"/>
      <c r="J327" s="118"/>
      <c r="K327" s="118"/>
      <c r="L327" s="118"/>
      <c r="M327" s="118"/>
      <c r="N327" s="83"/>
      <c r="O327" s="83"/>
      <c r="P327" s="83"/>
      <c r="Q327" s="83"/>
      <c r="R327" s="83"/>
      <c r="S327" s="83"/>
      <c r="T327" s="83"/>
      <c r="U327" s="83"/>
      <c r="V327" s="83"/>
      <c r="W327" s="83"/>
      <c r="X327" s="83"/>
      <c r="Y327" s="83"/>
      <c r="Z327" s="83"/>
      <c r="AA327" s="83"/>
      <c r="AB327" s="83"/>
      <c r="AC327" s="83"/>
      <c r="AD327" s="83"/>
      <c r="AE327" s="83"/>
      <c r="AF327" s="83"/>
      <c r="AG327" s="83"/>
      <c r="AH327" s="83"/>
      <c r="AI327" s="83"/>
      <c r="AJ327" s="83"/>
      <c r="AK327" s="83"/>
    </row>
    <row r="328">
      <c r="A328" s="83"/>
      <c r="B328" s="83"/>
      <c r="C328" s="83"/>
      <c r="D328" s="83"/>
      <c r="E328" s="118"/>
      <c r="F328" s="118"/>
      <c r="G328" s="118"/>
      <c r="H328" s="118"/>
      <c r="I328" s="118"/>
      <c r="J328" s="118"/>
      <c r="K328" s="118"/>
      <c r="L328" s="118"/>
      <c r="M328" s="118"/>
      <c r="N328" s="83"/>
      <c r="O328" s="83"/>
      <c r="P328" s="83"/>
      <c r="Q328" s="83"/>
      <c r="R328" s="83"/>
      <c r="S328" s="83"/>
      <c r="T328" s="83"/>
      <c r="U328" s="83"/>
      <c r="V328" s="83"/>
      <c r="W328" s="83"/>
      <c r="X328" s="83"/>
      <c r="Y328" s="83"/>
      <c r="Z328" s="83"/>
      <c r="AA328" s="83"/>
      <c r="AB328" s="83"/>
      <c r="AC328" s="83"/>
      <c r="AD328" s="83"/>
      <c r="AE328" s="83"/>
      <c r="AF328" s="83"/>
      <c r="AG328" s="83"/>
      <c r="AH328" s="83"/>
      <c r="AI328" s="83"/>
      <c r="AJ328" s="83"/>
      <c r="AK328" s="83"/>
    </row>
    <row r="329">
      <c r="A329" s="83"/>
      <c r="B329" s="83"/>
      <c r="C329" s="83"/>
      <c r="D329" s="83"/>
      <c r="E329" s="118"/>
      <c r="F329" s="118"/>
      <c r="G329" s="118"/>
      <c r="H329" s="118"/>
      <c r="I329" s="118"/>
      <c r="J329" s="118"/>
      <c r="K329" s="118"/>
      <c r="L329" s="118"/>
      <c r="M329" s="118"/>
      <c r="N329" s="83"/>
      <c r="O329" s="83"/>
      <c r="P329" s="83"/>
      <c r="Q329" s="83"/>
      <c r="R329" s="83"/>
      <c r="S329" s="83"/>
      <c r="T329" s="83"/>
      <c r="U329" s="83"/>
      <c r="V329" s="83"/>
      <c r="W329" s="83"/>
      <c r="X329" s="83"/>
      <c r="Y329" s="83"/>
      <c r="Z329" s="83"/>
      <c r="AA329" s="83"/>
      <c r="AB329" s="83"/>
      <c r="AC329" s="83"/>
      <c r="AD329" s="83"/>
      <c r="AE329" s="83"/>
      <c r="AF329" s="83"/>
      <c r="AG329" s="83"/>
      <c r="AH329" s="83"/>
      <c r="AI329" s="83"/>
      <c r="AJ329" s="83"/>
      <c r="AK329" s="83"/>
    </row>
    <row r="330">
      <c r="A330" s="83"/>
      <c r="B330" s="83"/>
      <c r="C330" s="83"/>
      <c r="D330" s="83"/>
      <c r="E330" s="118"/>
      <c r="F330" s="118"/>
      <c r="G330" s="118"/>
      <c r="H330" s="118"/>
      <c r="I330" s="118"/>
      <c r="J330" s="118"/>
      <c r="K330" s="118"/>
      <c r="L330" s="118"/>
      <c r="M330" s="118"/>
      <c r="N330" s="83"/>
      <c r="O330" s="83"/>
      <c r="P330" s="83"/>
      <c r="Q330" s="83"/>
      <c r="R330" s="83"/>
      <c r="S330" s="83"/>
      <c r="T330" s="83"/>
      <c r="U330" s="83"/>
      <c r="V330" s="83"/>
      <c r="W330" s="83"/>
      <c r="X330" s="83"/>
      <c r="Y330" s="83"/>
      <c r="Z330" s="83"/>
      <c r="AA330" s="83"/>
      <c r="AB330" s="83"/>
      <c r="AC330" s="83"/>
      <c r="AD330" s="83"/>
      <c r="AE330" s="83"/>
      <c r="AF330" s="83"/>
      <c r="AG330" s="83"/>
      <c r="AH330" s="83"/>
      <c r="AI330" s="83"/>
      <c r="AJ330" s="83"/>
      <c r="AK330" s="83"/>
    </row>
    <row r="331">
      <c r="A331" s="83"/>
      <c r="B331" s="83"/>
      <c r="C331" s="83"/>
      <c r="D331" s="83"/>
      <c r="E331" s="118"/>
      <c r="F331" s="118"/>
      <c r="G331" s="118"/>
      <c r="H331" s="118"/>
      <c r="I331" s="118"/>
      <c r="J331" s="118"/>
      <c r="K331" s="118"/>
      <c r="L331" s="118"/>
      <c r="M331" s="118"/>
      <c r="N331" s="83"/>
      <c r="O331" s="83"/>
      <c r="P331" s="83"/>
      <c r="Q331" s="83"/>
      <c r="R331" s="83"/>
      <c r="S331" s="83"/>
      <c r="T331" s="83"/>
      <c r="U331" s="83"/>
      <c r="V331" s="83"/>
      <c r="W331" s="83"/>
      <c r="X331" s="83"/>
      <c r="Y331" s="83"/>
      <c r="Z331" s="83"/>
      <c r="AA331" s="83"/>
      <c r="AB331" s="83"/>
      <c r="AC331" s="83"/>
      <c r="AD331" s="83"/>
      <c r="AE331" s="83"/>
      <c r="AF331" s="83"/>
      <c r="AG331" s="83"/>
      <c r="AH331" s="83"/>
      <c r="AI331" s="83"/>
      <c r="AJ331" s="83"/>
      <c r="AK331" s="83"/>
    </row>
    <row r="332">
      <c r="A332" s="83"/>
      <c r="B332" s="83"/>
      <c r="C332" s="83"/>
      <c r="D332" s="83"/>
      <c r="E332" s="118"/>
      <c r="F332" s="118"/>
      <c r="G332" s="118"/>
      <c r="H332" s="118"/>
      <c r="I332" s="118"/>
      <c r="J332" s="118"/>
      <c r="K332" s="118"/>
      <c r="L332" s="118"/>
      <c r="M332" s="118"/>
      <c r="N332" s="83"/>
      <c r="O332" s="83"/>
      <c r="P332" s="83"/>
      <c r="Q332" s="83"/>
      <c r="R332" s="83"/>
      <c r="S332" s="83"/>
      <c r="T332" s="83"/>
      <c r="U332" s="83"/>
      <c r="V332" s="83"/>
      <c r="W332" s="83"/>
      <c r="X332" s="83"/>
      <c r="Y332" s="83"/>
      <c r="Z332" s="83"/>
      <c r="AA332" s="83"/>
      <c r="AB332" s="83"/>
      <c r="AC332" s="83"/>
      <c r="AD332" s="83"/>
      <c r="AE332" s="83"/>
      <c r="AF332" s="83"/>
      <c r="AG332" s="83"/>
      <c r="AH332" s="83"/>
      <c r="AI332" s="83"/>
      <c r="AJ332" s="83"/>
      <c r="AK332" s="83"/>
    </row>
    <row r="333">
      <c r="A333" s="83"/>
      <c r="B333" s="83"/>
      <c r="C333" s="83"/>
      <c r="D333" s="83"/>
      <c r="E333" s="118"/>
      <c r="F333" s="118"/>
      <c r="G333" s="118"/>
      <c r="H333" s="118"/>
      <c r="I333" s="118"/>
      <c r="J333" s="118"/>
      <c r="K333" s="118"/>
      <c r="L333" s="118"/>
      <c r="M333" s="118"/>
      <c r="N333" s="83"/>
      <c r="O333" s="83"/>
      <c r="P333" s="83"/>
      <c r="Q333" s="83"/>
      <c r="R333" s="83"/>
      <c r="S333" s="83"/>
      <c r="T333" s="83"/>
      <c r="U333" s="83"/>
      <c r="V333" s="83"/>
      <c r="W333" s="83"/>
      <c r="X333" s="83"/>
      <c r="Y333" s="83"/>
      <c r="Z333" s="83"/>
      <c r="AA333" s="83"/>
      <c r="AB333" s="83"/>
      <c r="AC333" s="83"/>
      <c r="AD333" s="83"/>
      <c r="AE333" s="83"/>
      <c r="AF333" s="83"/>
      <c r="AG333" s="83"/>
      <c r="AH333" s="83"/>
      <c r="AI333" s="83"/>
      <c r="AJ333" s="83"/>
      <c r="AK333" s="83"/>
    </row>
    <row r="334">
      <c r="A334" s="83"/>
      <c r="B334" s="83"/>
      <c r="C334" s="83"/>
      <c r="D334" s="83"/>
      <c r="E334" s="118"/>
      <c r="F334" s="118"/>
      <c r="G334" s="118"/>
      <c r="H334" s="118"/>
      <c r="I334" s="118"/>
      <c r="J334" s="118"/>
      <c r="K334" s="118"/>
      <c r="L334" s="118"/>
      <c r="M334" s="118"/>
      <c r="N334" s="83"/>
      <c r="O334" s="83"/>
      <c r="P334" s="83"/>
      <c r="Q334" s="83"/>
      <c r="R334" s="83"/>
      <c r="S334" s="83"/>
      <c r="T334" s="83"/>
      <c r="U334" s="83"/>
      <c r="V334" s="83"/>
      <c r="W334" s="83"/>
      <c r="X334" s="83"/>
      <c r="Y334" s="83"/>
      <c r="Z334" s="83"/>
      <c r="AA334" s="83"/>
      <c r="AB334" s="83"/>
      <c r="AC334" s="83"/>
      <c r="AD334" s="83"/>
      <c r="AE334" s="83"/>
      <c r="AF334" s="83"/>
      <c r="AG334" s="83"/>
      <c r="AH334" s="83"/>
      <c r="AI334" s="83"/>
      <c r="AJ334" s="83"/>
      <c r="AK334" s="83"/>
    </row>
    <row r="335">
      <c r="A335" s="83"/>
      <c r="B335" s="83"/>
      <c r="C335" s="83"/>
      <c r="D335" s="83"/>
      <c r="E335" s="118"/>
      <c r="F335" s="118"/>
      <c r="G335" s="118"/>
      <c r="H335" s="118"/>
      <c r="I335" s="118"/>
      <c r="J335" s="118"/>
      <c r="K335" s="118"/>
      <c r="L335" s="118"/>
      <c r="M335" s="118"/>
      <c r="N335" s="83"/>
      <c r="O335" s="83"/>
      <c r="P335" s="83"/>
      <c r="Q335" s="83"/>
      <c r="R335" s="83"/>
      <c r="S335" s="83"/>
      <c r="T335" s="83"/>
      <c r="U335" s="83"/>
      <c r="V335" s="83"/>
      <c r="W335" s="83"/>
      <c r="X335" s="83"/>
      <c r="Y335" s="83"/>
      <c r="Z335" s="83"/>
      <c r="AA335" s="83"/>
      <c r="AB335" s="83"/>
      <c r="AC335" s="83"/>
      <c r="AD335" s="83"/>
      <c r="AE335" s="83"/>
      <c r="AF335" s="83"/>
      <c r="AG335" s="83"/>
      <c r="AH335" s="83"/>
      <c r="AI335" s="83"/>
      <c r="AJ335" s="83"/>
      <c r="AK335" s="83"/>
    </row>
    <row r="336">
      <c r="A336" s="83"/>
      <c r="B336" s="83"/>
      <c r="C336" s="83"/>
      <c r="D336" s="83"/>
      <c r="E336" s="118"/>
      <c r="F336" s="118"/>
      <c r="G336" s="118"/>
      <c r="H336" s="118"/>
      <c r="I336" s="118"/>
      <c r="J336" s="118"/>
      <c r="K336" s="118"/>
      <c r="L336" s="118"/>
      <c r="M336" s="118"/>
      <c r="N336" s="83"/>
      <c r="O336" s="83"/>
      <c r="P336" s="83"/>
      <c r="Q336" s="83"/>
      <c r="R336" s="83"/>
      <c r="S336" s="83"/>
      <c r="T336" s="83"/>
      <c r="U336" s="83"/>
      <c r="V336" s="83"/>
      <c r="W336" s="83"/>
      <c r="X336" s="83"/>
      <c r="Y336" s="83"/>
      <c r="Z336" s="83"/>
      <c r="AA336" s="83"/>
      <c r="AB336" s="83"/>
      <c r="AC336" s="83"/>
      <c r="AD336" s="83"/>
      <c r="AE336" s="83"/>
      <c r="AF336" s="83"/>
      <c r="AG336" s="83"/>
      <c r="AH336" s="83"/>
      <c r="AI336" s="83"/>
      <c r="AJ336" s="83"/>
      <c r="AK336" s="83"/>
    </row>
    <row r="337">
      <c r="A337" s="83"/>
      <c r="B337" s="83"/>
      <c r="C337" s="83"/>
      <c r="D337" s="83"/>
      <c r="E337" s="118"/>
      <c r="F337" s="118"/>
      <c r="G337" s="118"/>
      <c r="H337" s="118"/>
      <c r="I337" s="118"/>
      <c r="J337" s="118"/>
      <c r="K337" s="118"/>
      <c r="L337" s="118"/>
      <c r="M337" s="118"/>
      <c r="N337" s="83"/>
      <c r="O337" s="83"/>
      <c r="P337" s="83"/>
      <c r="Q337" s="83"/>
      <c r="R337" s="83"/>
      <c r="S337" s="83"/>
      <c r="T337" s="83"/>
      <c r="U337" s="83"/>
      <c r="V337" s="83"/>
      <c r="W337" s="83"/>
      <c r="X337" s="83"/>
      <c r="Y337" s="83"/>
      <c r="Z337" s="83"/>
      <c r="AA337" s="83"/>
      <c r="AB337" s="83"/>
      <c r="AC337" s="83"/>
      <c r="AD337" s="83"/>
      <c r="AE337" s="83"/>
      <c r="AF337" s="83"/>
      <c r="AG337" s="83"/>
      <c r="AH337" s="83"/>
      <c r="AI337" s="83"/>
      <c r="AJ337" s="83"/>
      <c r="AK337" s="83"/>
    </row>
    <row r="338">
      <c r="A338" s="83"/>
      <c r="B338" s="83"/>
      <c r="C338" s="83"/>
      <c r="D338" s="83"/>
      <c r="E338" s="118"/>
      <c r="F338" s="118"/>
      <c r="G338" s="118"/>
      <c r="H338" s="118"/>
      <c r="I338" s="118"/>
      <c r="J338" s="118"/>
      <c r="K338" s="118"/>
      <c r="L338" s="118"/>
      <c r="M338" s="118"/>
      <c r="N338" s="83"/>
      <c r="O338" s="83"/>
      <c r="P338" s="83"/>
      <c r="Q338" s="83"/>
      <c r="R338" s="83"/>
      <c r="S338" s="83"/>
      <c r="T338" s="83"/>
      <c r="U338" s="83"/>
      <c r="V338" s="83"/>
      <c r="W338" s="83"/>
      <c r="X338" s="83"/>
      <c r="Y338" s="83"/>
      <c r="Z338" s="83"/>
      <c r="AA338" s="83"/>
      <c r="AB338" s="83"/>
      <c r="AC338" s="83"/>
      <c r="AD338" s="83"/>
      <c r="AE338" s="83"/>
      <c r="AF338" s="83"/>
      <c r="AG338" s="83"/>
      <c r="AH338" s="83"/>
      <c r="AI338" s="83"/>
      <c r="AJ338" s="83"/>
      <c r="AK338" s="83"/>
    </row>
    <row r="339">
      <c r="A339" s="83"/>
      <c r="B339" s="83"/>
      <c r="C339" s="83"/>
      <c r="D339" s="83"/>
      <c r="E339" s="118"/>
      <c r="F339" s="118"/>
      <c r="G339" s="118"/>
      <c r="H339" s="118"/>
      <c r="I339" s="118"/>
      <c r="J339" s="118"/>
      <c r="K339" s="118"/>
      <c r="L339" s="118"/>
      <c r="M339" s="118"/>
      <c r="N339" s="83"/>
      <c r="O339" s="83"/>
      <c r="P339" s="83"/>
      <c r="Q339" s="83"/>
      <c r="R339" s="83"/>
      <c r="S339" s="83"/>
      <c r="T339" s="83"/>
      <c r="U339" s="83"/>
      <c r="V339" s="83"/>
      <c r="W339" s="83"/>
      <c r="X339" s="83"/>
      <c r="Y339" s="83"/>
      <c r="Z339" s="83"/>
      <c r="AA339" s="83"/>
      <c r="AB339" s="83"/>
      <c r="AC339" s="83"/>
      <c r="AD339" s="83"/>
      <c r="AE339" s="83"/>
      <c r="AF339" s="83"/>
      <c r="AG339" s="83"/>
      <c r="AH339" s="83"/>
      <c r="AI339" s="83"/>
      <c r="AJ339" s="83"/>
      <c r="AK339" s="83"/>
    </row>
    <row r="340">
      <c r="A340" s="83"/>
      <c r="B340" s="83"/>
      <c r="C340" s="83"/>
      <c r="D340" s="83"/>
      <c r="E340" s="118"/>
      <c r="F340" s="118"/>
      <c r="G340" s="118"/>
      <c r="H340" s="118"/>
      <c r="I340" s="118"/>
      <c r="J340" s="118"/>
      <c r="K340" s="118"/>
      <c r="L340" s="118"/>
      <c r="M340" s="118"/>
      <c r="N340" s="83"/>
      <c r="O340" s="83"/>
      <c r="P340" s="83"/>
      <c r="Q340" s="83"/>
      <c r="R340" s="83"/>
      <c r="S340" s="83"/>
      <c r="T340" s="83"/>
      <c r="U340" s="83"/>
      <c r="V340" s="83"/>
      <c r="W340" s="83"/>
      <c r="X340" s="83"/>
      <c r="Y340" s="83"/>
      <c r="Z340" s="83"/>
      <c r="AA340" s="83"/>
      <c r="AB340" s="83"/>
      <c r="AC340" s="83"/>
      <c r="AD340" s="83"/>
      <c r="AE340" s="83"/>
      <c r="AF340" s="83"/>
      <c r="AG340" s="83"/>
      <c r="AH340" s="83"/>
      <c r="AI340" s="83"/>
      <c r="AJ340" s="83"/>
      <c r="AK340" s="83"/>
    </row>
    <row r="341">
      <c r="A341" s="83"/>
      <c r="B341" s="83"/>
      <c r="C341" s="83"/>
      <c r="D341" s="83"/>
      <c r="E341" s="118"/>
      <c r="F341" s="118"/>
      <c r="G341" s="118"/>
      <c r="H341" s="118"/>
      <c r="I341" s="118"/>
      <c r="J341" s="118"/>
      <c r="K341" s="118"/>
      <c r="L341" s="118"/>
      <c r="M341" s="118"/>
      <c r="N341" s="83"/>
      <c r="O341" s="83"/>
      <c r="P341" s="83"/>
      <c r="Q341" s="83"/>
      <c r="R341" s="83"/>
      <c r="S341" s="83"/>
      <c r="T341" s="83"/>
      <c r="U341" s="83"/>
      <c r="V341" s="83"/>
      <c r="W341" s="83"/>
      <c r="X341" s="83"/>
      <c r="Y341" s="83"/>
      <c r="Z341" s="83"/>
      <c r="AA341" s="83"/>
      <c r="AB341" s="83"/>
      <c r="AC341" s="83"/>
      <c r="AD341" s="83"/>
      <c r="AE341" s="83"/>
      <c r="AF341" s="83"/>
      <c r="AG341" s="83"/>
      <c r="AH341" s="83"/>
      <c r="AI341" s="83"/>
      <c r="AJ341" s="83"/>
      <c r="AK341" s="83"/>
    </row>
    <row r="342">
      <c r="A342" s="83"/>
      <c r="B342" s="83"/>
      <c r="C342" s="83"/>
      <c r="D342" s="83"/>
      <c r="E342" s="118"/>
      <c r="F342" s="118"/>
      <c r="G342" s="118"/>
      <c r="H342" s="118"/>
      <c r="I342" s="118"/>
      <c r="J342" s="118"/>
      <c r="K342" s="118"/>
      <c r="L342" s="118"/>
      <c r="M342" s="118"/>
      <c r="N342" s="83"/>
      <c r="O342" s="83"/>
      <c r="P342" s="83"/>
      <c r="Q342" s="83"/>
      <c r="R342" s="83"/>
      <c r="S342" s="83"/>
      <c r="T342" s="83"/>
      <c r="U342" s="83"/>
      <c r="V342" s="83"/>
      <c r="W342" s="83"/>
      <c r="X342" s="83"/>
      <c r="Y342" s="83"/>
      <c r="Z342" s="83"/>
      <c r="AA342" s="83"/>
      <c r="AB342" s="83"/>
      <c r="AC342" s="83"/>
      <c r="AD342" s="83"/>
      <c r="AE342" s="83"/>
      <c r="AF342" s="83"/>
      <c r="AG342" s="83"/>
      <c r="AH342" s="83"/>
      <c r="AI342" s="83"/>
      <c r="AJ342" s="83"/>
      <c r="AK342" s="83"/>
    </row>
    <row r="343">
      <c r="A343" s="83"/>
      <c r="B343" s="83"/>
      <c r="C343" s="83"/>
      <c r="D343" s="83"/>
      <c r="E343" s="118"/>
      <c r="F343" s="118"/>
      <c r="G343" s="118"/>
      <c r="H343" s="118"/>
      <c r="I343" s="118"/>
      <c r="J343" s="118"/>
      <c r="K343" s="118"/>
      <c r="L343" s="118"/>
      <c r="M343" s="118"/>
      <c r="N343" s="83"/>
      <c r="O343" s="83"/>
      <c r="P343" s="83"/>
      <c r="Q343" s="83"/>
      <c r="R343" s="83"/>
      <c r="S343" s="83"/>
      <c r="T343" s="83"/>
      <c r="U343" s="83"/>
      <c r="V343" s="83"/>
      <c r="W343" s="83"/>
      <c r="X343" s="83"/>
      <c r="Y343" s="83"/>
      <c r="Z343" s="83"/>
      <c r="AA343" s="83"/>
      <c r="AB343" s="83"/>
      <c r="AC343" s="83"/>
      <c r="AD343" s="83"/>
      <c r="AE343" s="83"/>
      <c r="AF343" s="83"/>
      <c r="AG343" s="83"/>
      <c r="AH343" s="83"/>
      <c r="AI343" s="83"/>
      <c r="AJ343" s="83"/>
      <c r="AK343" s="83"/>
    </row>
    <row r="344">
      <c r="A344" s="83"/>
      <c r="B344" s="83"/>
      <c r="C344" s="83"/>
      <c r="D344" s="83"/>
      <c r="E344" s="118"/>
      <c r="F344" s="118"/>
      <c r="G344" s="118"/>
      <c r="H344" s="118"/>
      <c r="I344" s="118"/>
      <c r="J344" s="118"/>
      <c r="K344" s="118"/>
      <c r="L344" s="118"/>
      <c r="M344" s="118"/>
      <c r="N344" s="83"/>
      <c r="O344" s="83"/>
      <c r="P344" s="83"/>
      <c r="Q344" s="83"/>
      <c r="R344" s="83"/>
      <c r="S344" s="83"/>
      <c r="T344" s="83"/>
      <c r="U344" s="83"/>
      <c r="V344" s="83"/>
      <c r="W344" s="83"/>
      <c r="X344" s="83"/>
      <c r="Y344" s="83"/>
      <c r="Z344" s="83"/>
      <c r="AA344" s="83"/>
      <c r="AB344" s="83"/>
      <c r="AC344" s="83"/>
      <c r="AD344" s="83"/>
      <c r="AE344" s="83"/>
      <c r="AF344" s="83"/>
      <c r="AG344" s="83"/>
      <c r="AH344" s="83"/>
      <c r="AI344" s="83"/>
      <c r="AJ344" s="83"/>
      <c r="AK344" s="83"/>
    </row>
    <row r="345">
      <c r="A345" s="83"/>
      <c r="B345" s="83"/>
      <c r="C345" s="83"/>
      <c r="D345" s="83"/>
      <c r="E345" s="118"/>
      <c r="F345" s="118"/>
      <c r="G345" s="118"/>
      <c r="H345" s="118"/>
      <c r="I345" s="118"/>
      <c r="J345" s="118"/>
      <c r="K345" s="118"/>
      <c r="L345" s="118"/>
      <c r="M345" s="118"/>
      <c r="N345" s="83"/>
      <c r="O345" s="83"/>
      <c r="P345" s="83"/>
      <c r="Q345" s="83"/>
      <c r="R345" s="83"/>
      <c r="S345" s="83"/>
      <c r="T345" s="83"/>
      <c r="U345" s="83"/>
      <c r="V345" s="83"/>
      <c r="W345" s="83"/>
      <c r="X345" s="83"/>
      <c r="Y345" s="83"/>
      <c r="Z345" s="83"/>
      <c r="AA345" s="83"/>
      <c r="AB345" s="83"/>
      <c r="AC345" s="83"/>
      <c r="AD345" s="83"/>
      <c r="AE345" s="83"/>
      <c r="AF345" s="83"/>
      <c r="AG345" s="83"/>
      <c r="AH345" s="83"/>
      <c r="AI345" s="83"/>
      <c r="AJ345" s="83"/>
      <c r="AK345" s="83"/>
    </row>
    <row r="346">
      <c r="A346" s="83"/>
      <c r="B346" s="83"/>
      <c r="C346" s="83"/>
      <c r="D346" s="83"/>
      <c r="E346" s="118"/>
      <c r="F346" s="118"/>
      <c r="G346" s="118"/>
      <c r="H346" s="118"/>
      <c r="I346" s="118"/>
      <c r="J346" s="118"/>
      <c r="K346" s="118"/>
      <c r="L346" s="118"/>
      <c r="M346" s="118"/>
      <c r="N346" s="83"/>
      <c r="O346" s="83"/>
      <c r="P346" s="83"/>
      <c r="Q346" s="83"/>
      <c r="R346" s="83"/>
      <c r="S346" s="83"/>
      <c r="T346" s="83"/>
      <c r="U346" s="83"/>
      <c r="V346" s="83"/>
      <c r="W346" s="83"/>
      <c r="X346" s="83"/>
      <c r="Y346" s="83"/>
      <c r="Z346" s="83"/>
      <c r="AA346" s="83"/>
      <c r="AB346" s="83"/>
      <c r="AC346" s="83"/>
      <c r="AD346" s="83"/>
      <c r="AE346" s="83"/>
      <c r="AF346" s="83"/>
      <c r="AG346" s="83"/>
      <c r="AH346" s="83"/>
      <c r="AI346" s="83"/>
      <c r="AJ346" s="83"/>
      <c r="AK346" s="83"/>
    </row>
    <row r="347">
      <c r="A347" s="83"/>
      <c r="B347" s="83"/>
      <c r="C347" s="83"/>
      <c r="D347" s="83"/>
      <c r="E347" s="118"/>
      <c r="F347" s="118"/>
      <c r="G347" s="118"/>
      <c r="H347" s="118"/>
      <c r="I347" s="118"/>
      <c r="J347" s="118"/>
      <c r="K347" s="118"/>
      <c r="L347" s="118"/>
      <c r="M347" s="118"/>
      <c r="N347" s="83"/>
      <c r="O347" s="83"/>
      <c r="P347" s="83"/>
      <c r="Q347" s="83"/>
      <c r="R347" s="83"/>
      <c r="S347" s="83"/>
      <c r="T347" s="83"/>
      <c r="U347" s="83"/>
      <c r="V347" s="83"/>
      <c r="W347" s="83"/>
      <c r="X347" s="83"/>
      <c r="Y347" s="83"/>
      <c r="Z347" s="83"/>
      <c r="AA347" s="83"/>
      <c r="AB347" s="83"/>
      <c r="AC347" s="83"/>
      <c r="AD347" s="83"/>
      <c r="AE347" s="83"/>
      <c r="AF347" s="83"/>
      <c r="AG347" s="83"/>
      <c r="AH347" s="83"/>
      <c r="AI347" s="83"/>
      <c r="AJ347" s="83"/>
      <c r="AK347" s="83"/>
    </row>
    <row r="348">
      <c r="A348" s="83"/>
      <c r="B348" s="83"/>
      <c r="C348" s="83"/>
      <c r="D348" s="83"/>
      <c r="E348" s="118"/>
      <c r="F348" s="118"/>
      <c r="G348" s="118"/>
      <c r="H348" s="118"/>
      <c r="I348" s="118"/>
      <c r="J348" s="118"/>
      <c r="K348" s="118"/>
      <c r="L348" s="118"/>
      <c r="M348" s="118"/>
      <c r="N348" s="83"/>
      <c r="O348" s="83"/>
      <c r="P348" s="83"/>
      <c r="Q348" s="83"/>
      <c r="R348" s="83"/>
      <c r="S348" s="83"/>
      <c r="T348" s="83"/>
      <c r="U348" s="83"/>
      <c r="V348" s="83"/>
      <c r="W348" s="83"/>
      <c r="X348" s="83"/>
      <c r="Y348" s="83"/>
      <c r="Z348" s="83"/>
      <c r="AA348" s="83"/>
      <c r="AB348" s="83"/>
      <c r="AC348" s="83"/>
      <c r="AD348" s="83"/>
      <c r="AE348" s="83"/>
      <c r="AF348" s="83"/>
      <c r="AG348" s="83"/>
      <c r="AH348" s="83"/>
      <c r="AI348" s="83"/>
      <c r="AJ348" s="83"/>
      <c r="AK348" s="83"/>
    </row>
    <row r="349">
      <c r="A349" s="83"/>
      <c r="B349" s="83"/>
      <c r="C349" s="83"/>
      <c r="D349" s="83"/>
      <c r="E349" s="118"/>
      <c r="F349" s="118"/>
      <c r="G349" s="118"/>
      <c r="H349" s="118"/>
      <c r="I349" s="118"/>
      <c r="J349" s="118"/>
      <c r="K349" s="118"/>
      <c r="L349" s="118"/>
      <c r="M349" s="118"/>
      <c r="N349" s="83"/>
      <c r="O349" s="83"/>
      <c r="P349" s="83"/>
      <c r="Q349" s="83"/>
      <c r="R349" s="83"/>
      <c r="S349" s="83"/>
      <c r="T349" s="83"/>
      <c r="U349" s="83"/>
      <c r="V349" s="83"/>
      <c r="W349" s="83"/>
      <c r="X349" s="83"/>
      <c r="Y349" s="83"/>
      <c r="Z349" s="83"/>
      <c r="AA349" s="83"/>
      <c r="AB349" s="83"/>
      <c r="AC349" s="83"/>
      <c r="AD349" s="83"/>
      <c r="AE349" s="83"/>
      <c r="AF349" s="83"/>
      <c r="AG349" s="83"/>
      <c r="AH349" s="83"/>
      <c r="AI349" s="83"/>
      <c r="AJ349" s="83"/>
      <c r="AK349" s="83"/>
    </row>
    <row r="350">
      <c r="A350" s="83"/>
      <c r="B350" s="83"/>
      <c r="C350" s="83"/>
      <c r="D350" s="83"/>
      <c r="E350" s="118"/>
      <c r="F350" s="118"/>
      <c r="G350" s="118"/>
      <c r="H350" s="118"/>
      <c r="I350" s="118"/>
      <c r="J350" s="118"/>
      <c r="K350" s="118"/>
      <c r="L350" s="118"/>
      <c r="M350" s="118"/>
      <c r="N350" s="83"/>
      <c r="O350" s="83"/>
      <c r="P350" s="83"/>
      <c r="Q350" s="83"/>
      <c r="R350" s="83"/>
      <c r="S350" s="83"/>
      <c r="T350" s="83"/>
      <c r="U350" s="83"/>
      <c r="V350" s="83"/>
      <c r="W350" s="83"/>
      <c r="X350" s="83"/>
      <c r="Y350" s="83"/>
      <c r="Z350" s="83"/>
      <c r="AA350" s="83"/>
      <c r="AB350" s="83"/>
      <c r="AC350" s="83"/>
      <c r="AD350" s="83"/>
      <c r="AE350" s="83"/>
      <c r="AF350" s="83"/>
      <c r="AG350" s="83"/>
      <c r="AH350" s="83"/>
      <c r="AI350" s="83"/>
      <c r="AJ350" s="83"/>
      <c r="AK350" s="83"/>
    </row>
    <row r="351">
      <c r="A351" s="83"/>
      <c r="B351" s="83"/>
      <c r="C351" s="83"/>
      <c r="D351" s="83"/>
      <c r="E351" s="118"/>
      <c r="F351" s="118"/>
      <c r="G351" s="118"/>
      <c r="H351" s="118"/>
      <c r="I351" s="118"/>
      <c r="J351" s="118"/>
      <c r="K351" s="118"/>
      <c r="L351" s="118"/>
      <c r="M351" s="118"/>
      <c r="N351" s="83"/>
      <c r="O351" s="83"/>
      <c r="P351" s="83"/>
      <c r="Q351" s="83"/>
      <c r="R351" s="83"/>
      <c r="S351" s="83"/>
      <c r="T351" s="83"/>
      <c r="U351" s="83"/>
      <c r="V351" s="83"/>
      <c r="W351" s="83"/>
      <c r="X351" s="83"/>
      <c r="Y351" s="83"/>
      <c r="Z351" s="83"/>
      <c r="AA351" s="83"/>
      <c r="AB351" s="83"/>
      <c r="AC351" s="83"/>
      <c r="AD351" s="83"/>
      <c r="AE351" s="83"/>
      <c r="AF351" s="83"/>
      <c r="AG351" s="83"/>
      <c r="AH351" s="83"/>
      <c r="AI351" s="83"/>
      <c r="AJ351" s="83"/>
      <c r="AK351" s="83"/>
    </row>
    <row r="352">
      <c r="A352" s="83"/>
      <c r="B352" s="83"/>
      <c r="C352" s="83"/>
      <c r="D352" s="83"/>
      <c r="E352" s="118"/>
      <c r="F352" s="118"/>
      <c r="G352" s="118"/>
      <c r="H352" s="118"/>
      <c r="I352" s="118"/>
      <c r="J352" s="118"/>
      <c r="K352" s="118"/>
      <c r="L352" s="118"/>
      <c r="M352" s="118"/>
      <c r="N352" s="83"/>
      <c r="O352" s="83"/>
      <c r="P352" s="83"/>
      <c r="Q352" s="83"/>
      <c r="R352" s="83"/>
      <c r="S352" s="83"/>
      <c r="T352" s="83"/>
      <c r="U352" s="83"/>
      <c r="V352" s="83"/>
      <c r="W352" s="83"/>
      <c r="X352" s="83"/>
      <c r="Y352" s="83"/>
      <c r="Z352" s="83"/>
      <c r="AA352" s="83"/>
      <c r="AB352" s="83"/>
      <c r="AC352" s="83"/>
      <c r="AD352" s="83"/>
      <c r="AE352" s="83"/>
      <c r="AF352" s="83"/>
      <c r="AG352" s="83"/>
      <c r="AH352" s="83"/>
      <c r="AI352" s="83"/>
      <c r="AJ352" s="83"/>
      <c r="AK352" s="83"/>
    </row>
    <row r="353">
      <c r="A353" s="83"/>
      <c r="B353" s="83"/>
      <c r="C353" s="83"/>
      <c r="D353" s="83"/>
      <c r="E353" s="118"/>
      <c r="F353" s="118"/>
      <c r="G353" s="118"/>
      <c r="H353" s="118"/>
      <c r="I353" s="118"/>
      <c r="J353" s="118"/>
      <c r="K353" s="118"/>
      <c r="L353" s="118"/>
      <c r="M353" s="118"/>
      <c r="N353" s="83"/>
      <c r="O353" s="83"/>
      <c r="P353" s="83"/>
      <c r="Q353" s="83"/>
      <c r="R353" s="83"/>
      <c r="S353" s="83"/>
      <c r="T353" s="83"/>
      <c r="U353" s="83"/>
      <c r="V353" s="83"/>
      <c r="W353" s="83"/>
      <c r="X353" s="83"/>
      <c r="Y353" s="83"/>
      <c r="Z353" s="83"/>
      <c r="AA353" s="83"/>
      <c r="AB353" s="83"/>
      <c r="AC353" s="83"/>
      <c r="AD353" s="83"/>
      <c r="AE353" s="83"/>
      <c r="AF353" s="83"/>
      <c r="AG353" s="83"/>
      <c r="AH353" s="83"/>
      <c r="AI353" s="83"/>
      <c r="AJ353" s="83"/>
      <c r="AK353" s="83"/>
    </row>
    <row r="354">
      <c r="A354" s="83"/>
      <c r="B354" s="83"/>
      <c r="C354" s="83"/>
      <c r="D354" s="83"/>
      <c r="E354" s="118"/>
      <c r="F354" s="118"/>
      <c r="G354" s="118"/>
      <c r="H354" s="118"/>
      <c r="I354" s="118"/>
      <c r="J354" s="118"/>
      <c r="K354" s="118"/>
      <c r="L354" s="118"/>
      <c r="M354" s="118"/>
      <c r="N354" s="83"/>
      <c r="O354" s="83"/>
      <c r="P354" s="83"/>
      <c r="Q354" s="83"/>
      <c r="R354" s="83"/>
      <c r="S354" s="83"/>
      <c r="T354" s="83"/>
      <c r="U354" s="83"/>
      <c r="V354" s="83"/>
      <c r="W354" s="83"/>
      <c r="X354" s="83"/>
      <c r="Y354" s="83"/>
      <c r="Z354" s="83"/>
      <c r="AA354" s="83"/>
      <c r="AB354" s="83"/>
      <c r="AC354" s="83"/>
      <c r="AD354" s="83"/>
      <c r="AE354" s="83"/>
      <c r="AF354" s="83"/>
      <c r="AG354" s="83"/>
      <c r="AH354" s="83"/>
      <c r="AI354" s="83"/>
      <c r="AJ354" s="83"/>
      <c r="AK354" s="83"/>
    </row>
    <row r="355">
      <c r="A355" s="83"/>
      <c r="B355" s="83"/>
      <c r="C355" s="83"/>
      <c r="D355" s="83"/>
      <c r="E355" s="118"/>
      <c r="F355" s="118"/>
      <c r="G355" s="118"/>
      <c r="H355" s="118"/>
      <c r="I355" s="118"/>
      <c r="J355" s="118"/>
      <c r="K355" s="118"/>
      <c r="L355" s="118"/>
      <c r="M355" s="118"/>
      <c r="N355" s="83"/>
      <c r="O355" s="83"/>
      <c r="P355" s="83"/>
      <c r="Q355" s="83"/>
      <c r="R355" s="83"/>
      <c r="S355" s="83"/>
      <c r="T355" s="83"/>
      <c r="U355" s="83"/>
      <c r="V355" s="83"/>
      <c r="W355" s="83"/>
      <c r="X355" s="83"/>
      <c r="Y355" s="83"/>
      <c r="Z355" s="83"/>
      <c r="AA355" s="83"/>
      <c r="AB355" s="83"/>
      <c r="AC355" s="83"/>
      <c r="AD355" s="83"/>
      <c r="AE355" s="83"/>
      <c r="AF355" s="83"/>
      <c r="AG355" s="83"/>
      <c r="AH355" s="83"/>
      <c r="AI355" s="83"/>
      <c r="AJ355" s="83"/>
      <c r="AK355" s="83"/>
    </row>
    <row r="356">
      <c r="A356" s="83"/>
      <c r="B356" s="83"/>
      <c r="C356" s="83"/>
      <c r="D356" s="83"/>
      <c r="E356" s="118"/>
      <c r="F356" s="118"/>
      <c r="G356" s="118"/>
      <c r="H356" s="118"/>
      <c r="I356" s="118"/>
      <c r="J356" s="118"/>
      <c r="K356" s="118"/>
      <c r="L356" s="118"/>
      <c r="M356" s="118"/>
      <c r="N356" s="83"/>
      <c r="O356" s="83"/>
      <c r="P356" s="83"/>
      <c r="Q356" s="83"/>
      <c r="R356" s="83"/>
      <c r="S356" s="83"/>
      <c r="T356" s="83"/>
      <c r="U356" s="83"/>
      <c r="V356" s="83"/>
      <c r="W356" s="83"/>
      <c r="X356" s="83"/>
      <c r="Y356" s="83"/>
      <c r="Z356" s="83"/>
      <c r="AA356" s="83"/>
      <c r="AB356" s="83"/>
      <c r="AC356" s="83"/>
      <c r="AD356" s="83"/>
      <c r="AE356" s="83"/>
      <c r="AF356" s="83"/>
      <c r="AG356" s="83"/>
      <c r="AH356" s="83"/>
      <c r="AI356" s="83"/>
      <c r="AJ356" s="83"/>
      <c r="AK356" s="83"/>
    </row>
    <row r="357">
      <c r="A357" s="83"/>
      <c r="B357" s="83"/>
      <c r="C357" s="83"/>
      <c r="D357" s="83"/>
      <c r="E357" s="118"/>
      <c r="F357" s="118"/>
      <c r="G357" s="118"/>
      <c r="H357" s="118"/>
      <c r="I357" s="118"/>
      <c r="J357" s="118"/>
      <c r="K357" s="118"/>
      <c r="L357" s="118"/>
      <c r="M357" s="118"/>
      <c r="N357" s="83"/>
      <c r="O357" s="83"/>
      <c r="P357" s="83"/>
      <c r="Q357" s="83"/>
      <c r="R357" s="83"/>
      <c r="S357" s="83"/>
      <c r="T357" s="83"/>
      <c r="U357" s="83"/>
      <c r="V357" s="83"/>
      <c r="W357" s="83"/>
      <c r="X357" s="83"/>
      <c r="Y357" s="83"/>
      <c r="Z357" s="83"/>
      <c r="AA357" s="83"/>
      <c r="AB357" s="83"/>
      <c r="AC357" s="83"/>
      <c r="AD357" s="83"/>
      <c r="AE357" s="83"/>
      <c r="AF357" s="83"/>
      <c r="AG357" s="83"/>
      <c r="AH357" s="83"/>
      <c r="AI357" s="83"/>
      <c r="AJ357" s="83"/>
      <c r="AK357" s="83"/>
    </row>
    <row r="358">
      <c r="A358" s="83"/>
      <c r="B358" s="83"/>
      <c r="C358" s="83"/>
      <c r="D358" s="83"/>
      <c r="E358" s="118"/>
      <c r="F358" s="118"/>
      <c r="G358" s="118"/>
      <c r="H358" s="118"/>
      <c r="I358" s="118"/>
      <c r="J358" s="118"/>
      <c r="K358" s="118"/>
      <c r="L358" s="118"/>
      <c r="M358" s="118"/>
      <c r="N358" s="83"/>
      <c r="O358" s="83"/>
      <c r="P358" s="83"/>
      <c r="Q358" s="83"/>
      <c r="R358" s="83"/>
      <c r="S358" s="83"/>
      <c r="T358" s="83"/>
      <c r="U358" s="83"/>
      <c r="V358" s="83"/>
      <c r="W358" s="83"/>
      <c r="X358" s="83"/>
      <c r="Y358" s="83"/>
      <c r="Z358" s="83"/>
      <c r="AA358" s="83"/>
      <c r="AB358" s="83"/>
      <c r="AC358" s="83"/>
      <c r="AD358" s="83"/>
      <c r="AE358" s="83"/>
      <c r="AF358" s="83"/>
      <c r="AG358" s="83"/>
      <c r="AH358" s="83"/>
      <c r="AI358" s="83"/>
      <c r="AJ358" s="83"/>
      <c r="AK358" s="83"/>
    </row>
    <row r="359">
      <c r="A359" s="83"/>
      <c r="B359" s="83"/>
      <c r="C359" s="83"/>
      <c r="D359" s="83"/>
      <c r="E359" s="118"/>
      <c r="F359" s="118"/>
      <c r="G359" s="118"/>
      <c r="H359" s="118"/>
      <c r="I359" s="118"/>
      <c r="J359" s="118"/>
      <c r="K359" s="118"/>
      <c r="L359" s="118"/>
      <c r="M359" s="118"/>
      <c r="N359" s="83"/>
      <c r="O359" s="83"/>
      <c r="P359" s="83"/>
      <c r="Q359" s="83"/>
      <c r="R359" s="83"/>
      <c r="S359" s="83"/>
      <c r="T359" s="83"/>
      <c r="U359" s="83"/>
      <c r="V359" s="83"/>
      <c r="W359" s="83"/>
      <c r="X359" s="83"/>
      <c r="Y359" s="83"/>
      <c r="Z359" s="83"/>
      <c r="AA359" s="83"/>
      <c r="AB359" s="83"/>
      <c r="AC359" s="83"/>
      <c r="AD359" s="83"/>
      <c r="AE359" s="83"/>
      <c r="AF359" s="83"/>
      <c r="AG359" s="83"/>
      <c r="AH359" s="83"/>
      <c r="AI359" s="83"/>
      <c r="AJ359" s="83"/>
      <c r="AK359" s="83"/>
    </row>
    <row r="360">
      <c r="A360" s="83"/>
      <c r="B360" s="83"/>
      <c r="C360" s="83"/>
      <c r="D360" s="83"/>
      <c r="E360" s="118"/>
      <c r="F360" s="118"/>
      <c r="G360" s="118"/>
      <c r="H360" s="118"/>
      <c r="I360" s="118"/>
      <c r="J360" s="118"/>
      <c r="K360" s="118"/>
      <c r="L360" s="118"/>
      <c r="M360" s="118"/>
      <c r="N360" s="83"/>
      <c r="O360" s="83"/>
      <c r="P360" s="83"/>
      <c r="Q360" s="83"/>
      <c r="R360" s="83"/>
      <c r="S360" s="83"/>
      <c r="T360" s="83"/>
      <c r="U360" s="83"/>
      <c r="V360" s="83"/>
      <c r="W360" s="83"/>
      <c r="X360" s="83"/>
      <c r="Y360" s="83"/>
      <c r="Z360" s="83"/>
      <c r="AA360" s="83"/>
      <c r="AB360" s="83"/>
      <c r="AC360" s="83"/>
      <c r="AD360" s="83"/>
      <c r="AE360" s="83"/>
      <c r="AF360" s="83"/>
      <c r="AG360" s="83"/>
      <c r="AH360" s="83"/>
      <c r="AI360" s="83"/>
      <c r="AJ360" s="83"/>
      <c r="AK360" s="83"/>
    </row>
    <row r="361">
      <c r="A361" s="83"/>
      <c r="B361" s="83"/>
      <c r="C361" s="83"/>
      <c r="D361" s="83"/>
      <c r="E361" s="118"/>
      <c r="F361" s="118"/>
      <c r="G361" s="118"/>
      <c r="H361" s="118"/>
      <c r="I361" s="118"/>
      <c r="J361" s="118"/>
      <c r="K361" s="118"/>
      <c r="L361" s="118"/>
      <c r="M361" s="118"/>
      <c r="N361" s="83"/>
      <c r="O361" s="83"/>
      <c r="P361" s="83"/>
      <c r="Q361" s="83"/>
      <c r="R361" s="83"/>
      <c r="S361" s="83"/>
      <c r="T361" s="83"/>
      <c r="U361" s="83"/>
      <c r="V361" s="83"/>
      <c r="W361" s="83"/>
      <c r="X361" s="83"/>
      <c r="Y361" s="83"/>
      <c r="Z361" s="83"/>
      <c r="AA361" s="83"/>
      <c r="AB361" s="83"/>
      <c r="AC361" s="83"/>
      <c r="AD361" s="83"/>
      <c r="AE361" s="83"/>
      <c r="AF361" s="83"/>
      <c r="AG361" s="83"/>
      <c r="AH361" s="83"/>
      <c r="AI361" s="83"/>
      <c r="AJ361" s="83"/>
      <c r="AK361" s="83"/>
    </row>
    <row r="362">
      <c r="A362" s="83"/>
      <c r="B362" s="83"/>
      <c r="C362" s="83"/>
      <c r="D362" s="83"/>
      <c r="E362" s="118"/>
      <c r="F362" s="118"/>
      <c r="G362" s="118"/>
      <c r="H362" s="118"/>
      <c r="I362" s="118"/>
      <c r="J362" s="118"/>
      <c r="K362" s="118"/>
      <c r="L362" s="118"/>
      <c r="M362" s="118"/>
      <c r="N362" s="83"/>
      <c r="O362" s="83"/>
      <c r="P362" s="83"/>
      <c r="Q362" s="83"/>
      <c r="R362" s="83"/>
      <c r="S362" s="83"/>
      <c r="T362" s="83"/>
      <c r="U362" s="83"/>
      <c r="V362" s="83"/>
      <c r="W362" s="83"/>
      <c r="X362" s="83"/>
      <c r="Y362" s="83"/>
      <c r="Z362" s="83"/>
      <c r="AA362" s="83"/>
      <c r="AB362" s="83"/>
      <c r="AC362" s="83"/>
      <c r="AD362" s="83"/>
      <c r="AE362" s="83"/>
      <c r="AF362" s="83"/>
      <c r="AG362" s="83"/>
      <c r="AH362" s="83"/>
      <c r="AI362" s="83"/>
      <c r="AJ362" s="83"/>
      <c r="AK362" s="83"/>
    </row>
    <row r="363">
      <c r="A363" s="83"/>
      <c r="B363" s="83"/>
      <c r="C363" s="83"/>
      <c r="D363" s="83"/>
      <c r="E363" s="118"/>
      <c r="F363" s="118"/>
      <c r="G363" s="118"/>
      <c r="H363" s="118"/>
      <c r="I363" s="118"/>
      <c r="J363" s="118"/>
      <c r="K363" s="118"/>
      <c r="L363" s="118"/>
      <c r="M363" s="118"/>
      <c r="N363" s="83"/>
      <c r="O363" s="83"/>
      <c r="P363" s="83"/>
      <c r="Q363" s="83"/>
      <c r="R363" s="83"/>
      <c r="S363" s="83"/>
      <c r="T363" s="83"/>
      <c r="U363" s="83"/>
      <c r="V363" s="83"/>
      <c r="W363" s="83"/>
      <c r="X363" s="83"/>
      <c r="Y363" s="83"/>
      <c r="Z363" s="83"/>
      <c r="AA363" s="83"/>
      <c r="AB363" s="83"/>
      <c r="AC363" s="83"/>
      <c r="AD363" s="83"/>
      <c r="AE363" s="83"/>
      <c r="AF363" s="83"/>
      <c r="AG363" s="83"/>
      <c r="AH363" s="83"/>
      <c r="AI363" s="83"/>
      <c r="AJ363" s="83"/>
      <c r="AK363" s="83"/>
    </row>
    <row r="364">
      <c r="A364" s="83"/>
      <c r="B364" s="83"/>
      <c r="C364" s="83"/>
      <c r="D364" s="83"/>
      <c r="E364" s="118"/>
      <c r="F364" s="118"/>
      <c r="G364" s="118"/>
      <c r="H364" s="118"/>
      <c r="I364" s="118"/>
      <c r="J364" s="118"/>
      <c r="K364" s="118"/>
      <c r="L364" s="118"/>
      <c r="M364" s="118"/>
      <c r="N364" s="83"/>
      <c r="O364" s="83"/>
      <c r="P364" s="83"/>
      <c r="Q364" s="83"/>
      <c r="R364" s="83"/>
      <c r="S364" s="83"/>
      <c r="T364" s="83"/>
      <c r="U364" s="83"/>
      <c r="V364" s="83"/>
      <c r="W364" s="83"/>
      <c r="X364" s="83"/>
      <c r="Y364" s="83"/>
      <c r="Z364" s="83"/>
      <c r="AA364" s="83"/>
      <c r="AB364" s="83"/>
      <c r="AC364" s="83"/>
      <c r="AD364" s="83"/>
      <c r="AE364" s="83"/>
      <c r="AF364" s="83"/>
      <c r="AG364" s="83"/>
      <c r="AH364" s="83"/>
      <c r="AI364" s="83"/>
      <c r="AJ364" s="83"/>
      <c r="AK364" s="83"/>
    </row>
    <row r="365">
      <c r="A365" s="83"/>
      <c r="B365" s="83"/>
      <c r="C365" s="83"/>
      <c r="D365" s="83"/>
      <c r="E365" s="118"/>
      <c r="F365" s="118"/>
      <c r="G365" s="118"/>
      <c r="H365" s="118"/>
      <c r="I365" s="118"/>
      <c r="J365" s="118"/>
      <c r="K365" s="118"/>
      <c r="L365" s="118"/>
      <c r="M365" s="118"/>
      <c r="N365" s="83"/>
      <c r="O365" s="83"/>
      <c r="P365" s="83"/>
      <c r="Q365" s="83"/>
      <c r="R365" s="83"/>
      <c r="S365" s="83"/>
      <c r="T365" s="83"/>
      <c r="U365" s="83"/>
      <c r="V365" s="83"/>
      <c r="W365" s="83"/>
      <c r="X365" s="83"/>
      <c r="Y365" s="83"/>
      <c r="Z365" s="83"/>
      <c r="AA365" s="83"/>
      <c r="AB365" s="83"/>
      <c r="AC365" s="83"/>
      <c r="AD365" s="83"/>
      <c r="AE365" s="83"/>
      <c r="AF365" s="83"/>
      <c r="AG365" s="83"/>
      <c r="AH365" s="83"/>
      <c r="AI365" s="83"/>
      <c r="AJ365" s="83"/>
      <c r="AK365" s="83"/>
    </row>
    <row r="366">
      <c r="A366" s="83"/>
      <c r="B366" s="83"/>
      <c r="C366" s="83"/>
      <c r="D366" s="83"/>
      <c r="E366" s="118"/>
      <c r="F366" s="118"/>
      <c r="G366" s="118"/>
      <c r="H366" s="118"/>
      <c r="I366" s="118"/>
      <c r="J366" s="118"/>
      <c r="K366" s="118"/>
      <c r="L366" s="118"/>
      <c r="M366" s="118"/>
      <c r="N366" s="83"/>
      <c r="O366" s="83"/>
      <c r="P366" s="83"/>
      <c r="Q366" s="83"/>
      <c r="R366" s="83"/>
      <c r="S366" s="83"/>
      <c r="T366" s="83"/>
      <c r="U366" s="83"/>
      <c r="V366" s="83"/>
      <c r="W366" s="83"/>
      <c r="X366" s="83"/>
      <c r="Y366" s="83"/>
      <c r="Z366" s="83"/>
      <c r="AA366" s="83"/>
      <c r="AB366" s="83"/>
      <c r="AC366" s="83"/>
      <c r="AD366" s="83"/>
      <c r="AE366" s="83"/>
      <c r="AF366" s="83"/>
      <c r="AG366" s="83"/>
      <c r="AH366" s="83"/>
      <c r="AI366" s="83"/>
      <c r="AJ366" s="83"/>
      <c r="AK366" s="83"/>
    </row>
    <row r="367">
      <c r="A367" s="83"/>
      <c r="B367" s="83"/>
      <c r="C367" s="83"/>
      <c r="D367" s="83"/>
      <c r="E367" s="118"/>
      <c r="F367" s="118"/>
      <c r="G367" s="118"/>
      <c r="H367" s="118"/>
      <c r="I367" s="118"/>
      <c r="J367" s="118"/>
      <c r="K367" s="118"/>
      <c r="L367" s="118"/>
      <c r="M367" s="118"/>
      <c r="N367" s="83"/>
      <c r="O367" s="83"/>
      <c r="P367" s="83"/>
      <c r="Q367" s="83"/>
      <c r="R367" s="83"/>
      <c r="S367" s="83"/>
      <c r="T367" s="83"/>
      <c r="U367" s="83"/>
      <c r="V367" s="83"/>
      <c r="W367" s="83"/>
      <c r="X367" s="83"/>
      <c r="Y367" s="83"/>
      <c r="Z367" s="83"/>
      <c r="AA367" s="83"/>
      <c r="AB367" s="83"/>
      <c r="AC367" s="83"/>
      <c r="AD367" s="83"/>
      <c r="AE367" s="83"/>
      <c r="AF367" s="83"/>
      <c r="AG367" s="83"/>
      <c r="AH367" s="83"/>
      <c r="AI367" s="83"/>
      <c r="AJ367" s="83"/>
      <c r="AK367" s="83"/>
    </row>
    <row r="368">
      <c r="A368" s="83"/>
      <c r="B368" s="83"/>
      <c r="C368" s="83"/>
      <c r="D368" s="83"/>
      <c r="E368" s="118"/>
      <c r="F368" s="118"/>
      <c r="G368" s="118"/>
      <c r="H368" s="118"/>
      <c r="I368" s="118"/>
      <c r="J368" s="118"/>
      <c r="K368" s="118"/>
      <c r="L368" s="118"/>
      <c r="M368" s="118"/>
      <c r="N368" s="83"/>
      <c r="O368" s="83"/>
      <c r="P368" s="83"/>
      <c r="Q368" s="83"/>
      <c r="R368" s="83"/>
      <c r="S368" s="83"/>
      <c r="T368" s="83"/>
      <c r="U368" s="83"/>
      <c r="V368" s="83"/>
      <c r="W368" s="83"/>
      <c r="X368" s="83"/>
      <c r="Y368" s="83"/>
      <c r="Z368" s="83"/>
      <c r="AA368" s="83"/>
      <c r="AB368" s="83"/>
      <c r="AC368" s="83"/>
      <c r="AD368" s="83"/>
      <c r="AE368" s="83"/>
      <c r="AF368" s="83"/>
      <c r="AG368" s="83"/>
      <c r="AH368" s="83"/>
      <c r="AI368" s="83"/>
      <c r="AJ368" s="83"/>
      <c r="AK368" s="83"/>
    </row>
    <row r="369">
      <c r="A369" s="83"/>
      <c r="B369" s="83"/>
      <c r="C369" s="83"/>
      <c r="D369" s="83"/>
      <c r="E369" s="118"/>
      <c r="F369" s="118"/>
      <c r="G369" s="118"/>
      <c r="H369" s="118"/>
      <c r="I369" s="118"/>
      <c r="J369" s="118"/>
      <c r="K369" s="118"/>
      <c r="L369" s="118"/>
      <c r="M369" s="118"/>
      <c r="N369" s="83"/>
      <c r="O369" s="83"/>
      <c r="P369" s="83"/>
      <c r="Q369" s="83"/>
      <c r="R369" s="83"/>
      <c r="S369" s="83"/>
      <c r="T369" s="83"/>
      <c r="U369" s="83"/>
      <c r="V369" s="83"/>
      <c r="W369" s="83"/>
      <c r="X369" s="83"/>
      <c r="Y369" s="83"/>
      <c r="Z369" s="83"/>
      <c r="AA369" s="83"/>
      <c r="AB369" s="83"/>
      <c r="AC369" s="83"/>
      <c r="AD369" s="83"/>
      <c r="AE369" s="83"/>
      <c r="AF369" s="83"/>
      <c r="AG369" s="83"/>
      <c r="AH369" s="83"/>
      <c r="AI369" s="83"/>
      <c r="AJ369" s="83"/>
      <c r="AK369" s="83"/>
    </row>
    <row r="370">
      <c r="A370" s="83"/>
      <c r="B370" s="83"/>
      <c r="C370" s="83"/>
      <c r="D370" s="83"/>
      <c r="E370" s="118"/>
      <c r="F370" s="118"/>
      <c r="G370" s="118"/>
      <c r="H370" s="118"/>
      <c r="I370" s="118"/>
      <c r="J370" s="118"/>
      <c r="K370" s="118"/>
      <c r="L370" s="118"/>
      <c r="M370" s="118"/>
      <c r="N370" s="83"/>
      <c r="O370" s="83"/>
      <c r="P370" s="83"/>
      <c r="Q370" s="83"/>
      <c r="R370" s="83"/>
      <c r="S370" s="83"/>
      <c r="T370" s="83"/>
      <c r="U370" s="83"/>
      <c r="V370" s="83"/>
      <c r="W370" s="83"/>
      <c r="X370" s="83"/>
      <c r="Y370" s="83"/>
      <c r="Z370" s="83"/>
      <c r="AA370" s="83"/>
      <c r="AB370" s="83"/>
      <c r="AC370" s="83"/>
      <c r="AD370" s="83"/>
      <c r="AE370" s="83"/>
      <c r="AF370" s="83"/>
      <c r="AG370" s="83"/>
      <c r="AH370" s="83"/>
      <c r="AI370" s="83"/>
      <c r="AJ370" s="83"/>
      <c r="AK370" s="83"/>
    </row>
    <row r="371">
      <c r="A371" s="83"/>
      <c r="B371" s="83"/>
      <c r="C371" s="83"/>
      <c r="D371" s="83"/>
      <c r="E371" s="118"/>
      <c r="F371" s="118"/>
      <c r="G371" s="118"/>
      <c r="H371" s="118"/>
      <c r="I371" s="118"/>
      <c r="J371" s="118"/>
      <c r="K371" s="118"/>
      <c r="L371" s="118"/>
      <c r="M371" s="118"/>
      <c r="N371" s="83"/>
      <c r="O371" s="83"/>
      <c r="P371" s="83"/>
      <c r="Q371" s="83"/>
      <c r="R371" s="83"/>
      <c r="S371" s="83"/>
      <c r="T371" s="83"/>
      <c r="U371" s="83"/>
      <c r="V371" s="83"/>
      <c r="W371" s="83"/>
      <c r="X371" s="83"/>
      <c r="Y371" s="83"/>
      <c r="Z371" s="83"/>
      <c r="AA371" s="83"/>
      <c r="AB371" s="83"/>
      <c r="AC371" s="83"/>
      <c r="AD371" s="83"/>
      <c r="AE371" s="83"/>
      <c r="AF371" s="83"/>
      <c r="AG371" s="83"/>
      <c r="AH371" s="83"/>
      <c r="AI371" s="83"/>
      <c r="AJ371" s="83"/>
      <c r="AK371" s="83"/>
    </row>
    <row r="372">
      <c r="A372" s="83"/>
      <c r="B372" s="83"/>
      <c r="C372" s="83"/>
      <c r="D372" s="83"/>
      <c r="E372" s="118"/>
      <c r="F372" s="118"/>
      <c r="G372" s="118"/>
      <c r="H372" s="118"/>
      <c r="I372" s="118"/>
      <c r="J372" s="118"/>
      <c r="K372" s="118"/>
      <c r="L372" s="118"/>
      <c r="M372" s="118"/>
      <c r="N372" s="83"/>
      <c r="O372" s="83"/>
      <c r="P372" s="83"/>
      <c r="Q372" s="83"/>
      <c r="R372" s="83"/>
      <c r="S372" s="83"/>
      <c r="T372" s="83"/>
      <c r="U372" s="83"/>
      <c r="V372" s="83"/>
      <c r="W372" s="83"/>
      <c r="X372" s="83"/>
      <c r="Y372" s="83"/>
      <c r="Z372" s="83"/>
      <c r="AA372" s="83"/>
      <c r="AB372" s="83"/>
      <c r="AC372" s="83"/>
      <c r="AD372" s="83"/>
      <c r="AE372" s="83"/>
      <c r="AF372" s="83"/>
      <c r="AG372" s="83"/>
      <c r="AH372" s="83"/>
      <c r="AI372" s="83"/>
      <c r="AJ372" s="83"/>
      <c r="AK372" s="83"/>
    </row>
    <row r="373">
      <c r="A373" s="83"/>
      <c r="B373" s="83"/>
      <c r="C373" s="83"/>
      <c r="D373" s="83"/>
      <c r="E373" s="118"/>
      <c r="F373" s="118"/>
      <c r="G373" s="118"/>
      <c r="H373" s="118"/>
      <c r="I373" s="118"/>
      <c r="J373" s="118"/>
      <c r="K373" s="118"/>
      <c r="L373" s="118"/>
      <c r="M373" s="118"/>
      <c r="N373" s="83"/>
      <c r="O373" s="83"/>
      <c r="P373" s="83"/>
      <c r="Q373" s="83"/>
      <c r="R373" s="83"/>
      <c r="S373" s="83"/>
      <c r="T373" s="83"/>
      <c r="U373" s="83"/>
      <c r="V373" s="83"/>
      <c r="W373" s="83"/>
      <c r="X373" s="83"/>
      <c r="Y373" s="83"/>
      <c r="Z373" s="83"/>
      <c r="AA373" s="83"/>
      <c r="AB373" s="83"/>
      <c r="AC373" s="83"/>
      <c r="AD373" s="83"/>
      <c r="AE373" s="83"/>
      <c r="AF373" s="83"/>
      <c r="AG373" s="83"/>
      <c r="AH373" s="83"/>
      <c r="AI373" s="83"/>
      <c r="AJ373" s="83"/>
      <c r="AK373" s="83"/>
    </row>
    <row r="374">
      <c r="A374" s="83"/>
      <c r="B374" s="83"/>
      <c r="C374" s="83"/>
      <c r="D374" s="83"/>
      <c r="E374" s="118"/>
      <c r="F374" s="118"/>
      <c r="G374" s="118"/>
      <c r="H374" s="118"/>
      <c r="I374" s="118"/>
      <c r="J374" s="118"/>
      <c r="K374" s="118"/>
      <c r="L374" s="118"/>
      <c r="M374" s="118"/>
      <c r="N374" s="83"/>
      <c r="O374" s="83"/>
      <c r="P374" s="83"/>
      <c r="Q374" s="83"/>
      <c r="R374" s="83"/>
      <c r="S374" s="83"/>
      <c r="T374" s="83"/>
      <c r="U374" s="83"/>
      <c r="V374" s="83"/>
      <c r="W374" s="83"/>
      <c r="X374" s="83"/>
      <c r="Y374" s="83"/>
      <c r="Z374" s="83"/>
      <c r="AA374" s="83"/>
      <c r="AB374" s="83"/>
      <c r="AC374" s="83"/>
      <c r="AD374" s="83"/>
      <c r="AE374" s="83"/>
      <c r="AF374" s="83"/>
      <c r="AG374" s="83"/>
      <c r="AH374" s="83"/>
      <c r="AI374" s="83"/>
      <c r="AJ374" s="83"/>
      <c r="AK374" s="83"/>
    </row>
    <row r="375">
      <c r="A375" s="83"/>
      <c r="B375" s="83"/>
      <c r="C375" s="83"/>
      <c r="D375" s="83"/>
      <c r="E375" s="118"/>
      <c r="F375" s="118"/>
      <c r="G375" s="118"/>
      <c r="H375" s="118"/>
      <c r="I375" s="118"/>
      <c r="J375" s="118"/>
      <c r="K375" s="118"/>
      <c r="L375" s="118"/>
      <c r="M375" s="118"/>
      <c r="N375" s="83"/>
      <c r="O375" s="83"/>
      <c r="P375" s="83"/>
      <c r="Q375" s="83"/>
      <c r="R375" s="83"/>
      <c r="S375" s="83"/>
      <c r="T375" s="83"/>
      <c r="U375" s="83"/>
      <c r="V375" s="83"/>
      <c r="W375" s="83"/>
      <c r="X375" s="83"/>
      <c r="Y375" s="83"/>
      <c r="Z375" s="83"/>
      <c r="AA375" s="83"/>
      <c r="AB375" s="83"/>
      <c r="AC375" s="83"/>
      <c r="AD375" s="83"/>
      <c r="AE375" s="83"/>
      <c r="AF375" s="83"/>
      <c r="AG375" s="83"/>
      <c r="AH375" s="83"/>
      <c r="AI375" s="83"/>
      <c r="AJ375" s="83"/>
      <c r="AK375" s="83"/>
    </row>
    <row r="376">
      <c r="A376" s="83"/>
      <c r="B376" s="83"/>
      <c r="C376" s="83"/>
      <c r="D376" s="83"/>
      <c r="E376" s="118"/>
      <c r="F376" s="118"/>
      <c r="G376" s="118"/>
      <c r="H376" s="118"/>
      <c r="I376" s="118"/>
      <c r="J376" s="118"/>
      <c r="K376" s="118"/>
      <c r="L376" s="118"/>
      <c r="M376" s="118"/>
      <c r="N376" s="83"/>
      <c r="O376" s="83"/>
      <c r="P376" s="83"/>
      <c r="Q376" s="83"/>
      <c r="R376" s="83"/>
      <c r="S376" s="83"/>
      <c r="T376" s="83"/>
      <c r="U376" s="83"/>
      <c r="V376" s="83"/>
      <c r="W376" s="83"/>
      <c r="X376" s="83"/>
      <c r="Y376" s="83"/>
      <c r="Z376" s="83"/>
      <c r="AA376" s="83"/>
      <c r="AB376" s="83"/>
      <c r="AC376" s="83"/>
      <c r="AD376" s="83"/>
      <c r="AE376" s="83"/>
      <c r="AF376" s="83"/>
      <c r="AG376" s="83"/>
      <c r="AH376" s="83"/>
      <c r="AI376" s="83"/>
      <c r="AJ376" s="83"/>
      <c r="AK376" s="83"/>
    </row>
    <row r="377">
      <c r="A377" s="83"/>
      <c r="B377" s="83"/>
      <c r="C377" s="83"/>
      <c r="D377" s="83"/>
      <c r="E377" s="118"/>
      <c r="F377" s="118"/>
      <c r="G377" s="118"/>
      <c r="H377" s="118"/>
      <c r="I377" s="118"/>
      <c r="J377" s="118"/>
      <c r="K377" s="118"/>
      <c r="L377" s="118"/>
      <c r="M377" s="118"/>
      <c r="N377" s="83"/>
      <c r="O377" s="83"/>
      <c r="P377" s="83"/>
      <c r="Q377" s="83"/>
      <c r="R377" s="83"/>
      <c r="S377" s="83"/>
      <c r="T377" s="83"/>
      <c r="U377" s="83"/>
      <c r="V377" s="83"/>
      <c r="W377" s="83"/>
      <c r="X377" s="83"/>
      <c r="Y377" s="83"/>
      <c r="Z377" s="83"/>
      <c r="AA377" s="83"/>
      <c r="AB377" s="83"/>
      <c r="AC377" s="83"/>
      <c r="AD377" s="83"/>
      <c r="AE377" s="83"/>
      <c r="AF377" s="83"/>
      <c r="AG377" s="83"/>
      <c r="AH377" s="83"/>
      <c r="AI377" s="83"/>
      <c r="AJ377" s="83"/>
      <c r="AK377" s="83"/>
    </row>
    <row r="378">
      <c r="A378" s="83"/>
      <c r="B378" s="83"/>
      <c r="C378" s="83"/>
      <c r="D378" s="83"/>
      <c r="E378" s="118"/>
      <c r="F378" s="118"/>
      <c r="G378" s="118"/>
      <c r="H378" s="118"/>
      <c r="I378" s="118"/>
      <c r="J378" s="118"/>
      <c r="K378" s="118"/>
      <c r="L378" s="118"/>
      <c r="M378" s="118"/>
      <c r="N378" s="83"/>
      <c r="O378" s="83"/>
      <c r="P378" s="83"/>
      <c r="Q378" s="83"/>
      <c r="R378" s="83"/>
      <c r="S378" s="83"/>
      <c r="T378" s="83"/>
      <c r="U378" s="83"/>
      <c r="V378" s="83"/>
      <c r="W378" s="83"/>
      <c r="X378" s="83"/>
      <c r="Y378" s="83"/>
      <c r="Z378" s="83"/>
      <c r="AA378" s="83"/>
      <c r="AB378" s="83"/>
      <c r="AC378" s="83"/>
      <c r="AD378" s="83"/>
      <c r="AE378" s="83"/>
      <c r="AF378" s="83"/>
      <c r="AG378" s="83"/>
      <c r="AH378" s="83"/>
      <c r="AI378" s="83"/>
      <c r="AJ378" s="83"/>
      <c r="AK378" s="83"/>
    </row>
    <row r="379">
      <c r="A379" s="83"/>
      <c r="B379" s="83"/>
      <c r="C379" s="83"/>
      <c r="D379" s="83"/>
      <c r="E379" s="118"/>
      <c r="F379" s="118"/>
      <c r="G379" s="118"/>
      <c r="H379" s="118"/>
      <c r="I379" s="118"/>
      <c r="J379" s="118"/>
      <c r="K379" s="118"/>
      <c r="L379" s="118"/>
      <c r="M379" s="118"/>
      <c r="N379" s="83"/>
      <c r="O379" s="83"/>
      <c r="P379" s="83"/>
      <c r="Q379" s="83"/>
      <c r="R379" s="83"/>
      <c r="S379" s="83"/>
      <c r="T379" s="83"/>
      <c r="U379" s="83"/>
      <c r="V379" s="83"/>
      <c r="W379" s="83"/>
      <c r="X379" s="83"/>
      <c r="Y379" s="83"/>
      <c r="Z379" s="83"/>
      <c r="AA379" s="83"/>
      <c r="AB379" s="83"/>
      <c r="AC379" s="83"/>
      <c r="AD379" s="83"/>
      <c r="AE379" s="83"/>
      <c r="AF379" s="83"/>
      <c r="AG379" s="83"/>
      <c r="AH379" s="83"/>
      <c r="AI379" s="83"/>
      <c r="AJ379" s="83"/>
      <c r="AK379" s="83"/>
    </row>
    <row r="380">
      <c r="A380" s="83"/>
      <c r="B380" s="83"/>
      <c r="C380" s="83"/>
      <c r="D380" s="83"/>
      <c r="E380" s="118"/>
      <c r="F380" s="118"/>
      <c r="G380" s="118"/>
      <c r="H380" s="118"/>
      <c r="I380" s="118"/>
      <c r="J380" s="118"/>
      <c r="K380" s="118"/>
      <c r="L380" s="118"/>
      <c r="M380" s="118"/>
      <c r="N380" s="83"/>
      <c r="O380" s="83"/>
      <c r="P380" s="83"/>
      <c r="Q380" s="83"/>
      <c r="R380" s="83"/>
      <c r="S380" s="83"/>
      <c r="T380" s="83"/>
      <c r="U380" s="83"/>
      <c r="V380" s="83"/>
      <c r="W380" s="83"/>
      <c r="X380" s="83"/>
      <c r="Y380" s="83"/>
      <c r="Z380" s="83"/>
      <c r="AA380" s="83"/>
      <c r="AB380" s="83"/>
      <c r="AC380" s="83"/>
      <c r="AD380" s="83"/>
      <c r="AE380" s="83"/>
      <c r="AF380" s="83"/>
      <c r="AG380" s="83"/>
      <c r="AH380" s="83"/>
      <c r="AI380" s="83"/>
      <c r="AJ380" s="83"/>
      <c r="AK380" s="83"/>
    </row>
    <row r="381">
      <c r="A381" s="83"/>
      <c r="B381" s="83"/>
      <c r="C381" s="83"/>
      <c r="D381" s="83"/>
      <c r="E381" s="118"/>
      <c r="F381" s="118"/>
      <c r="G381" s="118"/>
      <c r="H381" s="118"/>
      <c r="I381" s="118"/>
      <c r="J381" s="118"/>
      <c r="K381" s="118"/>
      <c r="L381" s="118"/>
      <c r="M381" s="118"/>
      <c r="N381" s="83"/>
      <c r="O381" s="83"/>
      <c r="P381" s="83"/>
      <c r="Q381" s="83"/>
      <c r="R381" s="83"/>
      <c r="S381" s="83"/>
      <c r="T381" s="83"/>
      <c r="U381" s="83"/>
      <c r="V381" s="83"/>
      <c r="W381" s="83"/>
      <c r="X381" s="83"/>
      <c r="Y381" s="83"/>
      <c r="Z381" s="83"/>
      <c r="AA381" s="83"/>
      <c r="AB381" s="83"/>
      <c r="AC381" s="83"/>
      <c r="AD381" s="83"/>
      <c r="AE381" s="83"/>
      <c r="AF381" s="83"/>
      <c r="AG381" s="83"/>
      <c r="AH381" s="83"/>
      <c r="AI381" s="83"/>
      <c r="AJ381" s="83"/>
      <c r="AK381" s="83"/>
    </row>
    <row r="382">
      <c r="A382" s="83"/>
      <c r="B382" s="83"/>
      <c r="C382" s="83"/>
      <c r="D382" s="83"/>
      <c r="E382" s="118"/>
      <c r="F382" s="118"/>
      <c r="G382" s="118"/>
      <c r="H382" s="118"/>
      <c r="I382" s="118"/>
      <c r="J382" s="118"/>
      <c r="K382" s="118"/>
      <c r="L382" s="118"/>
      <c r="M382" s="118"/>
      <c r="N382" s="83"/>
      <c r="O382" s="83"/>
      <c r="P382" s="83"/>
      <c r="Q382" s="83"/>
      <c r="R382" s="83"/>
      <c r="S382" s="83"/>
      <c r="T382" s="83"/>
      <c r="U382" s="83"/>
      <c r="V382" s="83"/>
      <c r="W382" s="83"/>
      <c r="X382" s="83"/>
      <c r="Y382" s="83"/>
      <c r="Z382" s="83"/>
      <c r="AA382" s="83"/>
      <c r="AB382" s="83"/>
      <c r="AC382" s="83"/>
      <c r="AD382" s="83"/>
      <c r="AE382" s="83"/>
      <c r="AF382" s="83"/>
      <c r="AG382" s="83"/>
      <c r="AH382" s="83"/>
      <c r="AI382" s="83"/>
      <c r="AJ382" s="83"/>
      <c r="AK382" s="83"/>
    </row>
    <row r="383">
      <c r="A383" s="83"/>
      <c r="B383" s="83"/>
      <c r="C383" s="83"/>
      <c r="D383" s="83"/>
      <c r="E383" s="118"/>
      <c r="F383" s="118"/>
      <c r="G383" s="118"/>
      <c r="H383" s="118"/>
      <c r="I383" s="118"/>
      <c r="J383" s="118"/>
      <c r="K383" s="118"/>
      <c r="L383" s="118"/>
      <c r="M383" s="118"/>
      <c r="N383" s="83"/>
      <c r="O383" s="83"/>
      <c r="P383" s="83"/>
      <c r="Q383" s="83"/>
      <c r="R383" s="83"/>
      <c r="S383" s="83"/>
      <c r="T383" s="83"/>
      <c r="U383" s="83"/>
      <c r="V383" s="83"/>
      <c r="W383" s="83"/>
      <c r="X383" s="83"/>
      <c r="Y383" s="83"/>
      <c r="Z383" s="83"/>
      <c r="AA383" s="83"/>
      <c r="AB383" s="83"/>
      <c r="AC383" s="83"/>
      <c r="AD383" s="83"/>
      <c r="AE383" s="83"/>
      <c r="AF383" s="83"/>
      <c r="AG383" s="83"/>
      <c r="AH383" s="83"/>
      <c r="AI383" s="83"/>
      <c r="AJ383" s="83"/>
      <c r="AK383" s="83"/>
    </row>
    <row r="384">
      <c r="A384" s="83"/>
      <c r="B384" s="83"/>
      <c r="C384" s="83"/>
      <c r="D384" s="83"/>
      <c r="E384" s="118"/>
      <c r="F384" s="118"/>
      <c r="G384" s="118"/>
      <c r="H384" s="118"/>
      <c r="I384" s="118"/>
      <c r="J384" s="118"/>
      <c r="K384" s="118"/>
      <c r="L384" s="118"/>
      <c r="M384" s="118"/>
      <c r="N384" s="83"/>
      <c r="O384" s="83"/>
      <c r="P384" s="83"/>
      <c r="Q384" s="83"/>
      <c r="R384" s="83"/>
      <c r="S384" s="83"/>
      <c r="T384" s="83"/>
      <c r="U384" s="83"/>
      <c r="V384" s="83"/>
      <c r="W384" s="83"/>
      <c r="X384" s="83"/>
      <c r="Y384" s="83"/>
      <c r="Z384" s="83"/>
      <c r="AA384" s="83"/>
      <c r="AB384" s="83"/>
      <c r="AC384" s="83"/>
      <c r="AD384" s="83"/>
      <c r="AE384" s="83"/>
      <c r="AF384" s="83"/>
      <c r="AG384" s="83"/>
      <c r="AH384" s="83"/>
      <c r="AI384" s="83"/>
      <c r="AJ384" s="83"/>
      <c r="AK384" s="83"/>
    </row>
    <row r="385">
      <c r="A385" s="83"/>
      <c r="B385" s="83"/>
      <c r="C385" s="83"/>
      <c r="D385" s="83"/>
      <c r="E385" s="118"/>
      <c r="F385" s="118"/>
      <c r="G385" s="118"/>
      <c r="H385" s="118"/>
      <c r="I385" s="118"/>
      <c r="J385" s="118"/>
      <c r="K385" s="118"/>
      <c r="L385" s="118"/>
      <c r="M385" s="118"/>
      <c r="N385" s="83"/>
      <c r="O385" s="83"/>
      <c r="P385" s="83"/>
      <c r="Q385" s="83"/>
      <c r="R385" s="83"/>
      <c r="S385" s="83"/>
      <c r="T385" s="83"/>
      <c r="U385" s="83"/>
      <c r="V385" s="83"/>
      <c r="W385" s="83"/>
      <c r="X385" s="83"/>
      <c r="Y385" s="83"/>
      <c r="Z385" s="83"/>
      <c r="AA385" s="83"/>
      <c r="AB385" s="83"/>
      <c r="AC385" s="83"/>
      <c r="AD385" s="83"/>
      <c r="AE385" s="83"/>
      <c r="AF385" s="83"/>
      <c r="AG385" s="83"/>
      <c r="AH385" s="83"/>
      <c r="AI385" s="83"/>
      <c r="AJ385" s="83"/>
      <c r="AK385" s="83"/>
    </row>
    <row r="386">
      <c r="A386" s="83"/>
      <c r="B386" s="83"/>
      <c r="C386" s="83"/>
      <c r="D386" s="83"/>
      <c r="E386" s="118"/>
      <c r="F386" s="118"/>
      <c r="G386" s="118"/>
      <c r="H386" s="118"/>
      <c r="I386" s="118"/>
      <c r="J386" s="118"/>
      <c r="K386" s="118"/>
      <c r="L386" s="118"/>
      <c r="M386" s="118"/>
      <c r="N386" s="83"/>
      <c r="O386" s="83"/>
      <c r="P386" s="83"/>
      <c r="Q386" s="83"/>
      <c r="R386" s="83"/>
      <c r="S386" s="83"/>
      <c r="T386" s="83"/>
      <c r="U386" s="83"/>
      <c r="V386" s="83"/>
      <c r="W386" s="83"/>
      <c r="X386" s="83"/>
      <c r="Y386" s="83"/>
      <c r="Z386" s="83"/>
      <c r="AA386" s="83"/>
      <c r="AB386" s="83"/>
      <c r="AC386" s="83"/>
      <c r="AD386" s="83"/>
      <c r="AE386" s="83"/>
      <c r="AF386" s="83"/>
      <c r="AG386" s="83"/>
      <c r="AH386" s="83"/>
      <c r="AI386" s="83"/>
      <c r="AJ386" s="83"/>
      <c r="AK386" s="83"/>
    </row>
    <row r="387">
      <c r="A387" s="83"/>
      <c r="B387" s="83"/>
      <c r="C387" s="83"/>
      <c r="D387" s="83"/>
      <c r="E387" s="118"/>
      <c r="F387" s="118"/>
      <c r="G387" s="118"/>
      <c r="H387" s="118"/>
      <c r="I387" s="118"/>
      <c r="J387" s="118"/>
      <c r="K387" s="118"/>
      <c r="L387" s="118"/>
      <c r="M387" s="118"/>
      <c r="N387" s="83"/>
      <c r="O387" s="83"/>
      <c r="P387" s="83"/>
      <c r="Q387" s="83"/>
      <c r="R387" s="83"/>
      <c r="S387" s="83"/>
      <c r="T387" s="83"/>
      <c r="U387" s="83"/>
      <c r="V387" s="83"/>
      <c r="W387" s="83"/>
      <c r="X387" s="83"/>
      <c r="Y387" s="83"/>
      <c r="Z387" s="83"/>
      <c r="AA387" s="83"/>
      <c r="AB387" s="83"/>
      <c r="AC387" s="83"/>
      <c r="AD387" s="83"/>
      <c r="AE387" s="83"/>
      <c r="AF387" s="83"/>
      <c r="AG387" s="83"/>
      <c r="AH387" s="83"/>
      <c r="AI387" s="83"/>
      <c r="AJ387" s="83"/>
      <c r="AK387" s="83"/>
    </row>
    <row r="388">
      <c r="A388" s="83"/>
      <c r="B388" s="83"/>
      <c r="C388" s="83"/>
      <c r="D388" s="83"/>
      <c r="E388" s="118"/>
      <c r="F388" s="118"/>
      <c r="G388" s="118"/>
      <c r="H388" s="118"/>
      <c r="I388" s="118"/>
      <c r="J388" s="118"/>
      <c r="K388" s="118"/>
      <c r="L388" s="118"/>
      <c r="M388" s="118"/>
      <c r="N388" s="83"/>
      <c r="O388" s="83"/>
      <c r="P388" s="83"/>
      <c r="Q388" s="83"/>
      <c r="R388" s="83"/>
      <c r="S388" s="83"/>
      <c r="T388" s="83"/>
      <c r="U388" s="83"/>
      <c r="V388" s="83"/>
      <c r="W388" s="83"/>
      <c r="X388" s="83"/>
      <c r="Y388" s="83"/>
      <c r="Z388" s="83"/>
      <c r="AA388" s="83"/>
      <c r="AB388" s="83"/>
      <c r="AC388" s="83"/>
      <c r="AD388" s="83"/>
      <c r="AE388" s="83"/>
      <c r="AF388" s="83"/>
      <c r="AG388" s="83"/>
      <c r="AH388" s="83"/>
      <c r="AI388" s="83"/>
      <c r="AJ388" s="83"/>
      <c r="AK388" s="83"/>
    </row>
    <row r="389">
      <c r="A389" s="83"/>
      <c r="B389" s="83"/>
      <c r="C389" s="83"/>
      <c r="D389" s="83"/>
      <c r="E389" s="118"/>
      <c r="F389" s="118"/>
      <c r="G389" s="118"/>
      <c r="H389" s="118"/>
      <c r="I389" s="118"/>
      <c r="J389" s="118"/>
      <c r="K389" s="118"/>
      <c r="L389" s="118"/>
      <c r="M389" s="118"/>
      <c r="N389" s="83"/>
      <c r="O389" s="83"/>
      <c r="P389" s="83"/>
      <c r="Q389" s="83"/>
      <c r="R389" s="83"/>
      <c r="S389" s="83"/>
      <c r="T389" s="83"/>
      <c r="U389" s="83"/>
      <c r="V389" s="83"/>
      <c r="W389" s="83"/>
      <c r="X389" s="83"/>
      <c r="Y389" s="83"/>
      <c r="Z389" s="83"/>
      <c r="AA389" s="83"/>
      <c r="AB389" s="83"/>
      <c r="AC389" s="83"/>
      <c r="AD389" s="83"/>
      <c r="AE389" s="83"/>
      <c r="AF389" s="83"/>
      <c r="AG389" s="83"/>
      <c r="AH389" s="83"/>
      <c r="AI389" s="83"/>
      <c r="AJ389" s="83"/>
      <c r="AK389" s="83"/>
    </row>
    <row r="390">
      <c r="A390" s="83"/>
      <c r="B390" s="83"/>
      <c r="C390" s="83"/>
      <c r="D390" s="83"/>
      <c r="E390" s="118"/>
      <c r="F390" s="118"/>
      <c r="G390" s="118"/>
      <c r="H390" s="118"/>
      <c r="I390" s="118"/>
      <c r="J390" s="118"/>
      <c r="K390" s="118"/>
      <c r="L390" s="118"/>
      <c r="M390" s="118"/>
      <c r="N390" s="83"/>
      <c r="O390" s="83"/>
      <c r="P390" s="83"/>
      <c r="Q390" s="83"/>
      <c r="R390" s="83"/>
      <c r="S390" s="83"/>
      <c r="T390" s="83"/>
      <c r="U390" s="83"/>
      <c r="V390" s="83"/>
      <c r="W390" s="83"/>
      <c r="X390" s="83"/>
      <c r="Y390" s="83"/>
      <c r="Z390" s="83"/>
      <c r="AA390" s="83"/>
      <c r="AB390" s="83"/>
      <c r="AC390" s="83"/>
      <c r="AD390" s="83"/>
      <c r="AE390" s="83"/>
      <c r="AF390" s="83"/>
      <c r="AG390" s="83"/>
      <c r="AH390" s="83"/>
      <c r="AI390" s="83"/>
      <c r="AJ390" s="83"/>
      <c r="AK390" s="83"/>
    </row>
    <row r="391">
      <c r="A391" s="83"/>
      <c r="B391" s="83"/>
      <c r="C391" s="83"/>
      <c r="D391" s="83"/>
      <c r="E391" s="118"/>
      <c r="F391" s="118"/>
      <c r="G391" s="118"/>
      <c r="H391" s="118"/>
      <c r="I391" s="118"/>
      <c r="J391" s="118"/>
      <c r="K391" s="118"/>
      <c r="L391" s="118"/>
      <c r="M391" s="118"/>
      <c r="N391" s="83"/>
      <c r="O391" s="83"/>
      <c r="P391" s="83"/>
      <c r="Q391" s="83"/>
      <c r="R391" s="83"/>
      <c r="S391" s="83"/>
      <c r="T391" s="83"/>
      <c r="U391" s="83"/>
      <c r="V391" s="83"/>
      <c r="W391" s="83"/>
      <c r="X391" s="83"/>
      <c r="Y391" s="83"/>
      <c r="Z391" s="83"/>
      <c r="AA391" s="83"/>
      <c r="AB391" s="83"/>
      <c r="AC391" s="83"/>
      <c r="AD391" s="83"/>
      <c r="AE391" s="83"/>
      <c r="AF391" s="83"/>
      <c r="AG391" s="83"/>
      <c r="AH391" s="83"/>
      <c r="AI391" s="83"/>
      <c r="AJ391" s="83"/>
      <c r="AK391" s="83"/>
    </row>
    <row r="392">
      <c r="A392" s="83"/>
      <c r="B392" s="83"/>
      <c r="C392" s="83"/>
      <c r="D392" s="83"/>
      <c r="E392" s="118"/>
      <c r="F392" s="118"/>
      <c r="G392" s="118"/>
      <c r="H392" s="118"/>
      <c r="I392" s="118"/>
      <c r="J392" s="118"/>
      <c r="K392" s="118"/>
      <c r="L392" s="118"/>
      <c r="M392" s="118"/>
      <c r="N392" s="83"/>
      <c r="O392" s="83"/>
      <c r="P392" s="83"/>
      <c r="Q392" s="83"/>
      <c r="R392" s="83"/>
      <c r="S392" s="83"/>
      <c r="T392" s="83"/>
      <c r="U392" s="83"/>
      <c r="V392" s="83"/>
      <c r="W392" s="83"/>
      <c r="X392" s="83"/>
      <c r="Y392" s="83"/>
      <c r="Z392" s="83"/>
      <c r="AA392" s="83"/>
      <c r="AB392" s="83"/>
      <c r="AC392" s="83"/>
      <c r="AD392" s="83"/>
      <c r="AE392" s="83"/>
      <c r="AF392" s="83"/>
      <c r="AG392" s="83"/>
      <c r="AH392" s="83"/>
      <c r="AI392" s="83"/>
      <c r="AJ392" s="83"/>
      <c r="AK392" s="83"/>
    </row>
    <row r="393">
      <c r="A393" s="83"/>
      <c r="B393" s="83"/>
      <c r="C393" s="83"/>
      <c r="D393" s="83"/>
      <c r="E393" s="118"/>
      <c r="F393" s="118"/>
      <c r="G393" s="118"/>
      <c r="H393" s="118"/>
      <c r="I393" s="118"/>
      <c r="J393" s="118"/>
      <c r="K393" s="118"/>
      <c r="L393" s="118"/>
      <c r="M393" s="118"/>
      <c r="N393" s="83"/>
      <c r="O393" s="83"/>
      <c r="P393" s="83"/>
      <c r="Q393" s="83"/>
      <c r="R393" s="83"/>
      <c r="S393" s="83"/>
      <c r="T393" s="83"/>
      <c r="U393" s="83"/>
      <c r="V393" s="83"/>
      <c r="W393" s="83"/>
      <c r="X393" s="83"/>
      <c r="Y393" s="83"/>
      <c r="Z393" s="83"/>
      <c r="AA393" s="83"/>
      <c r="AB393" s="83"/>
      <c r="AC393" s="83"/>
      <c r="AD393" s="83"/>
      <c r="AE393" s="83"/>
      <c r="AF393" s="83"/>
      <c r="AG393" s="83"/>
      <c r="AH393" s="83"/>
      <c r="AI393" s="83"/>
      <c r="AJ393" s="83"/>
      <c r="AK393" s="83"/>
    </row>
    <row r="394">
      <c r="A394" s="83"/>
      <c r="B394" s="83"/>
      <c r="C394" s="83"/>
      <c r="D394" s="83"/>
      <c r="E394" s="118"/>
      <c r="F394" s="118"/>
      <c r="G394" s="118"/>
      <c r="H394" s="118"/>
      <c r="I394" s="118"/>
      <c r="J394" s="118"/>
      <c r="K394" s="118"/>
      <c r="L394" s="118"/>
      <c r="M394" s="118"/>
      <c r="N394" s="83"/>
      <c r="O394" s="83"/>
      <c r="P394" s="83"/>
      <c r="Q394" s="83"/>
      <c r="R394" s="83"/>
      <c r="S394" s="83"/>
      <c r="T394" s="83"/>
      <c r="U394" s="83"/>
      <c r="V394" s="83"/>
      <c r="W394" s="83"/>
      <c r="X394" s="83"/>
      <c r="Y394" s="83"/>
      <c r="Z394" s="83"/>
      <c r="AA394" s="83"/>
      <c r="AB394" s="83"/>
      <c r="AC394" s="83"/>
      <c r="AD394" s="83"/>
      <c r="AE394" s="83"/>
      <c r="AF394" s="83"/>
      <c r="AG394" s="83"/>
      <c r="AH394" s="83"/>
      <c r="AI394" s="83"/>
      <c r="AJ394" s="83"/>
      <c r="AK394" s="83"/>
    </row>
    <row r="395">
      <c r="A395" s="83"/>
      <c r="B395" s="83"/>
      <c r="C395" s="83"/>
      <c r="D395" s="83"/>
      <c r="E395" s="118"/>
      <c r="F395" s="118"/>
      <c r="G395" s="118"/>
      <c r="H395" s="118"/>
      <c r="I395" s="118"/>
      <c r="J395" s="118"/>
      <c r="K395" s="118"/>
      <c r="L395" s="118"/>
      <c r="M395" s="118"/>
      <c r="N395" s="83"/>
      <c r="O395" s="83"/>
      <c r="P395" s="83"/>
      <c r="Q395" s="83"/>
      <c r="R395" s="83"/>
      <c r="S395" s="83"/>
      <c r="T395" s="83"/>
      <c r="U395" s="83"/>
      <c r="V395" s="83"/>
      <c r="W395" s="83"/>
      <c r="X395" s="83"/>
      <c r="Y395" s="83"/>
      <c r="Z395" s="83"/>
      <c r="AA395" s="83"/>
      <c r="AB395" s="83"/>
      <c r="AC395" s="83"/>
      <c r="AD395" s="83"/>
      <c r="AE395" s="83"/>
      <c r="AF395" s="83"/>
      <c r="AG395" s="83"/>
      <c r="AH395" s="83"/>
      <c r="AI395" s="83"/>
      <c r="AJ395" s="83"/>
      <c r="AK395" s="83"/>
    </row>
    <row r="396">
      <c r="A396" s="83"/>
      <c r="B396" s="83"/>
      <c r="C396" s="83"/>
      <c r="D396" s="83"/>
      <c r="E396" s="118"/>
      <c r="F396" s="118"/>
      <c r="G396" s="118"/>
      <c r="H396" s="118"/>
      <c r="I396" s="118"/>
      <c r="J396" s="118"/>
      <c r="K396" s="118"/>
      <c r="L396" s="118"/>
      <c r="M396" s="118"/>
      <c r="N396" s="83"/>
      <c r="O396" s="83"/>
      <c r="P396" s="83"/>
      <c r="Q396" s="83"/>
      <c r="R396" s="83"/>
      <c r="S396" s="83"/>
      <c r="T396" s="83"/>
      <c r="U396" s="83"/>
      <c r="V396" s="83"/>
      <c r="W396" s="83"/>
      <c r="X396" s="83"/>
      <c r="Y396" s="83"/>
      <c r="Z396" s="83"/>
      <c r="AA396" s="83"/>
      <c r="AB396" s="83"/>
      <c r="AC396" s="83"/>
      <c r="AD396" s="83"/>
      <c r="AE396" s="83"/>
      <c r="AF396" s="83"/>
      <c r="AG396" s="83"/>
      <c r="AH396" s="83"/>
      <c r="AI396" s="83"/>
      <c r="AJ396" s="83"/>
      <c r="AK396" s="83"/>
    </row>
    <row r="397">
      <c r="A397" s="83"/>
      <c r="B397" s="83"/>
      <c r="C397" s="83"/>
      <c r="D397" s="83"/>
      <c r="E397" s="118"/>
      <c r="F397" s="118"/>
      <c r="G397" s="118"/>
      <c r="H397" s="118"/>
      <c r="I397" s="118"/>
      <c r="J397" s="118"/>
      <c r="K397" s="118"/>
      <c r="L397" s="118"/>
      <c r="M397" s="118"/>
      <c r="N397" s="83"/>
      <c r="O397" s="83"/>
      <c r="P397" s="83"/>
      <c r="Q397" s="83"/>
      <c r="R397" s="83"/>
      <c r="S397" s="83"/>
      <c r="T397" s="83"/>
      <c r="U397" s="83"/>
      <c r="V397" s="83"/>
      <c r="W397" s="83"/>
      <c r="X397" s="83"/>
      <c r="Y397" s="83"/>
      <c r="Z397" s="83"/>
      <c r="AA397" s="83"/>
      <c r="AB397" s="83"/>
      <c r="AC397" s="83"/>
      <c r="AD397" s="83"/>
      <c r="AE397" s="83"/>
      <c r="AF397" s="83"/>
      <c r="AG397" s="83"/>
      <c r="AH397" s="83"/>
      <c r="AI397" s="83"/>
      <c r="AJ397" s="83"/>
      <c r="AK397" s="83"/>
    </row>
    <row r="398">
      <c r="A398" s="83"/>
      <c r="B398" s="83"/>
      <c r="C398" s="83"/>
      <c r="D398" s="83"/>
      <c r="E398" s="118"/>
      <c r="F398" s="118"/>
      <c r="G398" s="118"/>
      <c r="H398" s="118"/>
      <c r="I398" s="118"/>
      <c r="J398" s="118"/>
      <c r="K398" s="118"/>
      <c r="L398" s="118"/>
      <c r="M398" s="118"/>
      <c r="N398" s="83"/>
      <c r="O398" s="83"/>
      <c r="P398" s="83"/>
      <c r="Q398" s="83"/>
      <c r="R398" s="83"/>
      <c r="S398" s="83"/>
      <c r="T398" s="83"/>
      <c r="U398" s="83"/>
      <c r="V398" s="83"/>
      <c r="W398" s="83"/>
      <c r="X398" s="83"/>
      <c r="Y398" s="83"/>
      <c r="Z398" s="83"/>
      <c r="AA398" s="83"/>
      <c r="AB398" s="83"/>
      <c r="AC398" s="83"/>
      <c r="AD398" s="83"/>
      <c r="AE398" s="83"/>
      <c r="AF398" s="83"/>
      <c r="AG398" s="83"/>
      <c r="AH398" s="83"/>
      <c r="AI398" s="83"/>
      <c r="AJ398" s="83"/>
      <c r="AK398" s="83"/>
    </row>
    <row r="399">
      <c r="A399" s="83"/>
      <c r="B399" s="83"/>
      <c r="C399" s="83"/>
      <c r="D399" s="83"/>
      <c r="E399" s="118"/>
      <c r="F399" s="118"/>
      <c r="G399" s="118"/>
      <c r="H399" s="118"/>
      <c r="I399" s="118"/>
      <c r="J399" s="118"/>
      <c r="K399" s="118"/>
      <c r="L399" s="118"/>
      <c r="M399" s="118"/>
      <c r="N399" s="83"/>
      <c r="O399" s="83"/>
      <c r="P399" s="83"/>
      <c r="Q399" s="83"/>
      <c r="R399" s="83"/>
      <c r="S399" s="83"/>
      <c r="T399" s="83"/>
      <c r="U399" s="83"/>
      <c r="V399" s="83"/>
      <c r="W399" s="83"/>
      <c r="X399" s="83"/>
      <c r="Y399" s="83"/>
      <c r="Z399" s="83"/>
      <c r="AA399" s="83"/>
      <c r="AB399" s="83"/>
      <c r="AC399" s="83"/>
      <c r="AD399" s="83"/>
      <c r="AE399" s="83"/>
      <c r="AF399" s="83"/>
      <c r="AG399" s="83"/>
      <c r="AH399" s="83"/>
      <c r="AI399" s="83"/>
      <c r="AJ399" s="83"/>
      <c r="AK399" s="83"/>
    </row>
    <row r="400">
      <c r="A400" s="83"/>
      <c r="B400" s="83"/>
      <c r="C400" s="83"/>
      <c r="D400" s="83"/>
      <c r="E400" s="118"/>
      <c r="F400" s="118"/>
      <c r="G400" s="118"/>
      <c r="H400" s="118"/>
      <c r="I400" s="118"/>
      <c r="J400" s="118"/>
      <c r="K400" s="118"/>
      <c r="L400" s="118"/>
      <c r="M400" s="118"/>
      <c r="N400" s="83"/>
      <c r="O400" s="83"/>
      <c r="P400" s="83"/>
      <c r="Q400" s="83"/>
      <c r="R400" s="83"/>
      <c r="S400" s="83"/>
      <c r="T400" s="83"/>
      <c r="U400" s="83"/>
      <c r="V400" s="83"/>
      <c r="W400" s="83"/>
      <c r="X400" s="83"/>
      <c r="Y400" s="83"/>
      <c r="Z400" s="83"/>
      <c r="AA400" s="83"/>
      <c r="AB400" s="83"/>
      <c r="AC400" s="83"/>
      <c r="AD400" s="83"/>
      <c r="AE400" s="83"/>
      <c r="AF400" s="83"/>
      <c r="AG400" s="83"/>
      <c r="AH400" s="83"/>
      <c r="AI400" s="83"/>
      <c r="AJ400" s="83"/>
      <c r="AK400" s="83"/>
    </row>
    <row r="401">
      <c r="A401" s="83"/>
      <c r="B401" s="83"/>
      <c r="C401" s="83"/>
      <c r="D401" s="83"/>
      <c r="E401" s="118"/>
      <c r="F401" s="118"/>
      <c r="G401" s="118"/>
      <c r="H401" s="118"/>
      <c r="I401" s="118"/>
      <c r="J401" s="118"/>
      <c r="K401" s="118"/>
      <c r="L401" s="118"/>
      <c r="M401" s="118"/>
      <c r="N401" s="83"/>
      <c r="O401" s="83"/>
      <c r="P401" s="83"/>
      <c r="Q401" s="83"/>
      <c r="R401" s="83"/>
      <c r="S401" s="83"/>
      <c r="T401" s="83"/>
      <c r="U401" s="83"/>
      <c r="V401" s="83"/>
      <c r="W401" s="83"/>
      <c r="X401" s="83"/>
      <c r="Y401" s="83"/>
      <c r="Z401" s="83"/>
      <c r="AA401" s="83"/>
      <c r="AB401" s="83"/>
      <c r="AC401" s="83"/>
      <c r="AD401" s="83"/>
      <c r="AE401" s="83"/>
      <c r="AF401" s="83"/>
      <c r="AG401" s="83"/>
      <c r="AH401" s="83"/>
      <c r="AI401" s="83"/>
      <c r="AJ401" s="83"/>
      <c r="AK401" s="83"/>
    </row>
    <row r="402">
      <c r="A402" s="83"/>
      <c r="B402" s="83"/>
      <c r="C402" s="83"/>
      <c r="D402" s="83"/>
      <c r="E402" s="118"/>
      <c r="F402" s="118"/>
      <c r="G402" s="118"/>
      <c r="H402" s="118"/>
      <c r="I402" s="118"/>
      <c r="J402" s="118"/>
      <c r="K402" s="118"/>
      <c r="L402" s="118"/>
      <c r="M402" s="118"/>
      <c r="N402" s="83"/>
      <c r="O402" s="83"/>
      <c r="P402" s="83"/>
      <c r="Q402" s="83"/>
      <c r="R402" s="83"/>
      <c r="S402" s="83"/>
      <c r="T402" s="83"/>
      <c r="U402" s="83"/>
      <c r="V402" s="83"/>
      <c r="W402" s="83"/>
      <c r="X402" s="83"/>
      <c r="Y402" s="83"/>
      <c r="Z402" s="83"/>
      <c r="AA402" s="83"/>
      <c r="AB402" s="83"/>
      <c r="AC402" s="83"/>
      <c r="AD402" s="83"/>
      <c r="AE402" s="83"/>
      <c r="AF402" s="83"/>
      <c r="AG402" s="83"/>
      <c r="AH402" s="83"/>
      <c r="AI402" s="83"/>
      <c r="AJ402" s="83"/>
      <c r="AK402" s="83"/>
    </row>
    <row r="403">
      <c r="A403" s="83"/>
      <c r="B403" s="83"/>
      <c r="C403" s="83"/>
      <c r="D403" s="83"/>
      <c r="E403" s="118"/>
      <c r="F403" s="118"/>
      <c r="G403" s="118"/>
      <c r="H403" s="118"/>
      <c r="I403" s="118"/>
      <c r="J403" s="118"/>
      <c r="K403" s="118"/>
      <c r="L403" s="118"/>
      <c r="M403" s="118"/>
      <c r="N403" s="83"/>
      <c r="O403" s="83"/>
      <c r="P403" s="83"/>
      <c r="Q403" s="83"/>
      <c r="R403" s="83"/>
      <c r="S403" s="83"/>
      <c r="T403" s="83"/>
      <c r="U403" s="83"/>
      <c r="V403" s="83"/>
      <c r="W403" s="83"/>
      <c r="X403" s="83"/>
      <c r="Y403" s="83"/>
      <c r="Z403" s="83"/>
      <c r="AA403" s="83"/>
      <c r="AB403" s="83"/>
      <c r="AC403" s="83"/>
      <c r="AD403" s="83"/>
      <c r="AE403" s="83"/>
      <c r="AF403" s="83"/>
      <c r="AG403" s="83"/>
      <c r="AH403" s="83"/>
      <c r="AI403" s="83"/>
      <c r="AJ403" s="83"/>
      <c r="AK403" s="83"/>
    </row>
    <row r="404">
      <c r="A404" s="83"/>
      <c r="B404" s="83"/>
      <c r="C404" s="83"/>
      <c r="D404" s="83"/>
      <c r="E404" s="118"/>
      <c r="F404" s="118"/>
      <c r="G404" s="118"/>
      <c r="H404" s="118"/>
      <c r="I404" s="118"/>
      <c r="J404" s="118"/>
      <c r="K404" s="118"/>
      <c r="L404" s="118"/>
      <c r="M404" s="118"/>
      <c r="N404" s="83"/>
      <c r="O404" s="83"/>
      <c r="P404" s="83"/>
      <c r="Q404" s="83"/>
      <c r="R404" s="83"/>
      <c r="S404" s="83"/>
      <c r="T404" s="83"/>
      <c r="U404" s="83"/>
      <c r="V404" s="83"/>
      <c r="W404" s="83"/>
      <c r="X404" s="83"/>
      <c r="Y404" s="83"/>
      <c r="Z404" s="83"/>
      <c r="AA404" s="83"/>
      <c r="AB404" s="83"/>
      <c r="AC404" s="83"/>
      <c r="AD404" s="83"/>
      <c r="AE404" s="83"/>
      <c r="AF404" s="83"/>
      <c r="AG404" s="83"/>
      <c r="AH404" s="83"/>
      <c r="AI404" s="83"/>
      <c r="AJ404" s="83"/>
      <c r="AK404" s="83"/>
    </row>
    <row r="405">
      <c r="A405" s="83"/>
      <c r="B405" s="83"/>
      <c r="C405" s="83"/>
      <c r="D405" s="83"/>
      <c r="E405" s="118"/>
      <c r="F405" s="118"/>
      <c r="G405" s="118"/>
      <c r="H405" s="118"/>
      <c r="I405" s="118"/>
      <c r="J405" s="118"/>
      <c r="K405" s="118"/>
      <c r="L405" s="118"/>
      <c r="M405" s="118"/>
      <c r="N405" s="83"/>
      <c r="O405" s="83"/>
      <c r="P405" s="83"/>
      <c r="Q405" s="83"/>
      <c r="R405" s="83"/>
      <c r="S405" s="83"/>
      <c r="T405" s="83"/>
      <c r="U405" s="83"/>
      <c r="V405" s="83"/>
      <c r="W405" s="83"/>
      <c r="X405" s="83"/>
      <c r="Y405" s="83"/>
      <c r="Z405" s="83"/>
      <c r="AA405" s="83"/>
      <c r="AB405" s="83"/>
      <c r="AC405" s="83"/>
      <c r="AD405" s="83"/>
      <c r="AE405" s="83"/>
      <c r="AF405" s="83"/>
      <c r="AG405" s="83"/>
      <c r="AH405" s="83"/>
      <c r="AI405" s="83"/>
      <c r="AJ405" s="83"/>
      <c r="AK405" s="83"/>
    </row>
    <row r="406">
      <c r="A406" s="83"/>
      <c r="B406" s="83"/>
      <c r="C406" s="83"/>
      <c r="D406" s="83"/>
      <c r="E406" s="118"/>
      <c r="F406" s="118"/>
      <c r="G406" s="118"/>
      <c r="H406" s="118"/>
      <c r="I406" s="118"/>
      <c r="J406" s="118"/>
      <c r="K406" s="118"/>
      <c r="L406" s="118"/>
      <c r="M406" s="118"/>
      <c r="N406" s="83"/>
      <c r="O406" s="83"/>
      <c r="P406" s="83"/>
      <c r="Q406" s="83"/>
      <c r="R406" s="83"/>
      <c r="S406" s="83"/>
      <c r="T406" s="83"/>
      <c r="U406" s="83"/>
      <c r="V406" s="83"/>
      <c r="W406" s="83"/>
      <c r="X406" s="83"/>
      <c r="Y406" s="83"/>
      <c r="Z406" s="83"/>
      <c r="AA406" s="83"/>
      <c r="AB406" s="83"/>
      <c r="AC406" s="83"/>
      <c r="AD406" s="83"/>
      <c r="AE406" s="83"/>
      <c r="AF406" s="83"/>
      <c r="AG406" s="83"/>
      <c r="AH406" s="83"/>
      <c r="AI406" s="83"/>
      <c r="AJ406" s="83"/>
      <c r="AK406" s="83"/>
    </row>
    <row r="407">
      <c r="A407" s="83"/>
      <c r="B407" s="83"/>
      <c r="C407" s="83"/>
      <c r="D407" s="83"/>
      <c r="E407" s="118"/>
      <c r="F407" s="118"/>
      <c r="G407" s="118"/>
      <c r="H407" s="118"/>
      <c r="I407" s="118"/>
      <c r="J407" s="118"/>
      <c r="K407" s="118"/>
      <c r="L407" s="118"/>
      <c r="M407" s="118"/>
      <c r="N407" s="83"/>
      <c r="O407" s="83"/>
      <c r="P407" s="83"/>
      <c r="Q407" s="83"/>
      <c r="R407" s="83"/>
      <c r="S407" s="83"/>
      <c r="T407" s="83"/>
      <c r="U407" s="83"/>
      <c r="V407" s="83"/>
      <c r="W407" s="83"/>
      <c r="X407" s="83"/>
      <c r="Y407" s="83"/>
      <c r="Z407" s="83"/>
      <c r="AA407" s="83"/>
      <c r="AB407" s="83"/>
      <c r="AC407" s="83"/>
      <c r="AD407" s="83"/>
      <c r="AE407" s="83"/>
      <c r="AF407" s="83"/>
      <c r="AG407" s="83"/>
      <c r="AH407" s="83"/>
      <c r="AI407" s="83"/>
      <c r="AJ407" s="83"/>
      <c r="AK407" s="83"/>
    </row>
    <row r="408">
      <c r="A408" s="83"/>
      <c r="B408" s="83"/>
      <c r="C408" s="83"/>
      <c r="D408" s="83"/>
      <c r="E408" s="118"/>
      <c r="F408" s="118"/>
      <c r="G408" s="118"/>
      <c r="H408" s="118"/>
      <c r="I408" s="118"/>
      <c r="J408" s="118"/>
      <c r="K408" s="118"/>
      <c r="L408" s="118"/>
      <c r="M408" s="118"/>
      <c r="N408" s="83"/>
      <c r="O408" s="83"/>
      <c r="P408" s="83"/>
      <c r="Q408" s="83"/>
      <c r="R408" s="83"/>
      <c r="S408" s="83"/>
      <c r="T408" s="83"/>
      <c r="U408" s="83"/>
      <c r="V408" s="83"/>
      <c r="W408" s="83"/>
      <c r="X408" s="83"/>
      <c r="Y408" s="83"/>
      <c r="Z408" s="83"/>
      <c r="AA408" s="83"/>
      <c r="AB408" s="83"/>
      <c r="AC408" s="83"/>
      <c r="AD408" s="83"/>
      <c r="AE408" s="83"/>
      <c r="AF408" s="83"/>
      <c r="AG408" s="83"/>
      <c r="AH408" s="83"/>
      <c r="AI408" s="83"/>
      <c r="AJ408" s="83"/>
      <c r="AK408" s="83"/>
    </row>
    <row r="409">
      <c r="A409" s="83"/>
      <c r="B409" s="83"/>
      <c r="C409" s="83"/>
      <c r="D409" s="83"/>
      <c r="E409" s="118"/>
      <c r="F409" s="118"/>
      <c r="G409" s="118"/>
      <c r="H409" s="118"/>
      <c r="I409" s="118"/>
      <c r="J409" s="118"/>
      <c r="K409" s="118"/>
      <c r="L409" s="118"/>
      <c r="M409" s="118"/>
      <c r="N409" s="83"/>
      <c r="O409" s="83"/>
      <c r="P409" s="83"/>
      <c r="Q409" s="83"/>
      <c r="R409" s="83"/>
      <c r="S409" s="83"/>
      <c r="T409" s="83"/>
      <c r="U409" s="83"/>
      <c r="V409" s="83"/>
      <c r="W409" s="83"/>
      <c r="X409" s="83"/>
      <c r="Y409" s="83"/>
      <c r="Z409" s="83"/>
      <c r="AA409" s="83"/>
      <c r="AB409" s="83"/>
      <c r="AC409" s="83"/>
      <c r="AD409" s="83"/>
      <c r="AE409" s="83"/>
      <c r="AF409" s="83"/>
      <c r="AG409" s="83"/>
      <c r="AH409" s="83"/>
      <c r="AI409" s="83"/>
      <c r="AJ409" s="83"/>
      <c r="AK409" s="83"/>
    </row>
    <row r="410">
      <c r="A410" s="83"/>
      <c r="B410" s="83"/>
      <c r="C410" s="83"/>
      <c r="D410" s="83"/>
      <c r="E410" s="118"/>
      <c r="F410" s="118"/>
      <c r="G410" s="118"/>
      <c r="H410" s="118"/>
      <c r="I410" s="118"/>
      <c r="J410" s="118"/>
      <c r="K410" s="118"/>
      <c r="L410" s="118"/>
      <c r="M410" s="118"/>
      <c r="N410" s="83"/>
      <c r="O410" s="83"/>
      <c r="P410" s="83"/>
      <c r="Q410" s="83"/>
      <c r="R410" s="83"/>
      <c r="S410" s="83"/>
      <c r="T410" s="83"/>
      <c r="U410" s="83"/>
      <c r="V410" s="83"/>
      <c r="W410" s="83"/>
      <c r="X410" s="83"/>
      <c r="Y410" s="83"/>
      <c r="Z410" s="83"/>
      <c r="AA410" s="83"/>
      <c r="AB410" s="83"/>
      <c r="AC410" s="83"/>
      <c r="AD410" s="83"/>
      <c r="AE410" s="83"/>
      <c r="AF410" s="83"/>
      <c r="AG410" s="83"/>
      <c r="AH410" s="83"/>
      <c r="AI410" s="83"/>
      <c r="AJ410" s="83"/>
      <c r="AK410" s="83"/>
    </row>
    <row r="411">
      <c r="A411" s="83"/>
      <c r="B411" s="83"/>
      <c r="C411" s="83"/>
      <c r="D411" s="83"/>
      <c r="E411" s="118"/>
      <c r="F411" s="118"/>
      <c r="G411" s="118"/>
      <c r="H411" s="118"/>
      <c r="I411" s="118"/>
      <c r="J411" s="118"/>
      <c r="K411" s="118"/>
      <c r="L411" s="118"/>
      <c r="M411" s="118"/>
      <c r="N411" s="83"/>
      <c r="O411" s="83"/>
      <c r="P411" s="83"/>
      <c r="Q411" s="83"/>
      <c r="R411" s="83"/>
      <c r="S411" s="83"/>
      <c r="T411" s="83"/>
      <c r="U411" s="83"/>
      <c r="V411" s="83"/>
      <c r="W411" s="83"/>
      <c r="X411" s="83"/>
      <c r="Y411" s="83"/>
      <c r="Z411" s="83"/>
      <c r="AA411" s="83"/>
      <c r="AB411" s="83"/>
      <c r="AC411" s="83"/>
      <c r="AD411" s="83"/>
      <c r="AE411" s="83"/>
      <c r="AF411" s="83"/>
      <c r="AG411" s="83"/>
      <c r="AH411" s="83"/>
      <c r="AI411" s="83"/>
      <c r="AJ411" s="83"/>
      <c r="AK411" s="83"/>
    </row>
    <row r="412">
      <c r="A412" s="83"/>
      <c r="B412" s="83"/>
      <c r="C412" s="83"/>
      <c r="D412" s="83"/>
      <c r="E412" s="118"/>
      <c r="F412" s="118"/>
      <c r="G412" s="118"/>
      <c r="H412" s="118"/>
      <c r="I412" s="118"/>
      <c r="J412" s="118"/>
      <c r="K412" s="118"/>
      <c r="L412" s="118"/>
      <c r="M412" s="118"/>
      <c r="N412" s="83"/>
      <c r="O412" s="83"/>
      <c r="P412" s="83"/>
      <c r="Q412" s="83"/>
      <c r="R412" s="83"/>
      <c r="S412" s="83"/>
      <c r="T412" s="83"/>
      <c r="U412" s="83"/>
      <c r="V412" s="83"/>
      <c r="W412" s="83"/>
      <c r="X412" s="83"/>
      <c r="Y412" s="83"/>
      <c r="Z412" s="83"/>
      <c r="AA412" s="83"/>
      <c r="AB412" s="83"/>
      <c r="AC412" s="83"/>
      <c r="AD412" s="83"/>
      <c r="AE412" s="83"/>
      <c r="AF412" s="83"/>
      <c r="AG412" s="83"/>
      <c r="AH412" s="83"/>
      <c r="AI412" s="83"/>
      <c r="AJ412" s="83"/>
      <c r="AK412" s="83"/>
    </row>
    <row r="413">
      <c r="A413" s="83"/>
      <c r="B413" s="83"/>
      <c r="C413" s="83"/>
      <c r="D413" s="83"/>
      <c r="E413" s="118"/>
      <c r="F413" s="118"/>
      <c r="G413" s="118"/>
      <c r="H413" s="118"/>
      <c r="I413" s="118"/>
      <c r="J413" s="118"/>
      <c r="K413" s="118"/>
      <c r="L413" s="118"/>
      <c r="M413" s="118"/>
      <c r="N413" s="83"/>
      <c r="O413" s="83"/>
      <c r="P413" s="83"/>
      <c r="Q413" s="83"/>
      <c r="R413" s="83"/>
      <c r="S413" s="83"/>
      <c r="T413" s="83"/>
      <c r="U413" s="83"/>
      <c r="V413" s="83"/>
      <c r="W413" s="83"/>
      <c r="X413" s="83"/>
      <c r="Y413" s="83"/>
      <c r="Z413" s="83"/>
      <c r="AA413" s="83"/>
      <c r="AB413" s="83"/>
      <c r="AC413" s="83"/>
      <c r="AD413" s="83"/>
      <c r="AE413" s="83"/>
      <c r="AF413" s="83"/>
      <c r="AG413" s="83"/>
      <c r="AH413" s="83"/>
      <c r="AI413" s="83"/>
      <c r="AJ413" s="83"/>
      <c r="AK413" s="83"/>
    </row>
    <row r="414">
      <c r="A414" s="83"/>
      <c r="B414" s="83"/>
      <c r="C414" s="83"/>
      <c r="D414" s="83"/>
      <c r="E414" s="118"/>
      <c r="F414" s="118"/>
      <c r="G414" s="118"/>
      <c r="H414" s="118"/>
      <c r="I414" s="118"/>
      <c r="J414" s="118"/>
      <c r="K414" s="118"/>
      <c r="L414" s="118"/>
      <c r="M414" s="118"/>
      <c r="N414" s="83"/>
      <c r="O414" s="83"/>
      <c r="P414" s="83"/>
      <c r="Q414" s="83"/>
      <c r="R414" s="83"/>
      <c r="S414" s="83"/>
      <c r="T414" s="83"/>
      <c r="U414" s="83"/>
      <c r="V414" s="83"/>
      <c r="W414" s="83"/>
      <c r="X414" s="83"/>
      <c r="Y414" s="83"/>
      <c r="Z414" s="83"/>
      <c r="AA414" s="83"/>
      <c r="AB414" s="83"/>
      <c r="AC414" s="83"/>
      <c r="AD414" s="83"/>
      <c r="AE414" s="83"/>
      <c r="AF414" s="83"/>
      <c r="AG414" s="83"/>
      <c r="AH414" s="83"/>
      <c r="AI414" s="83"/>
      <c r="AJ414" s="83"/>
      <c r="AK414" s="83"/>
    </row>
    <row r="415">
      <c r="A415" s="83"/>
      <c r="B415" s="83"/>
      <c r="C415" s="83"/>
      <c r="D415" s="83"/>
      <c r="E415" s="118"/>
      <c r="F415" s="118"/>
      <c r="G415" s="118"/>
      <c r="H415" s="118"/>
      <c r="I415" s="118"/>
      <c r="J415" s="118"/>
      <c r="K415" s="118"/>
      <c r="L415" s="118"/>
      <c r="M415" s="118"/>
      <c r="N415" s="83"/>
      <c r="O415" s="83"/>
      <c r="P415" s="83"/>
      <c r="Q415" s="83"/>
      <c r="R415" s="83"/>
      <c r="S415" s="83"/>
      <c r="T415" s="83"/>
      <c r="U415" s="83"/>
      <c r="V415" s="83"/>
      <c r="W415" s="83"/>
      <c r="X415" s="83"/>
      <c r="Y415" s="83"/>
      <c r="Z415" s="83"/>
      <c r="AA415" s="83"/>
      <c r="AB415" s="83"/>
      <c r="AC415" s="83"/>
      <c r="AD415" s="83"/>
      <c r="AE415" s="83"/>
      <c r="AF415" s="83"/>
      <c r="AG415" s="83"/>
      <c r="AH415" s="83"/>
      <c r="AI415" s="83"/>
      <c r="AJ415" s="83"/>
      <c r="AK415" s="83"/>
    </row>
    <row r="416">
      <c r="A416" s="83"/>
      <c r="B416" s="83"/>
      <c r="C416" s="83"/>
      <c r="D416" s="83"/>
      <c r="E416" s="118"/>
      <c r="F416" s="118"/>
      <c r="G416" s="118"/>
      <c r="H416" s="118"/>
      <c r="I416" s="118"/>
      <c r="J416" s="118"/>
      <c r="K416" s="118"/>
      <c r="L416" s="118"/>
      <c r="M416" s="118"/>
      <c r="N416" s="83"/>
      <c r="O416" s="83"/>
      <c r="P416" s="83"/>
      <c r="Q416" s="83"/>
      <c r="R416" s="83"/>
      <c r="S416" s="83"/>
      <c r="T416" s="83"/>
      <c r="U416" s="83"/>
      <c r="V416" s="83"/>
      <c r="W416" s="83"/>
      <c r="X416" s="83"/>
      <c r="Y416" s="83"/>
      <c r="Z416" s="83"/>
      <c r="AA416" s="83"/>
      <c r="AB416" s="83"/>
      <c r="AC416" s="83"/>
      <c r="AD416" s="83"/>
      <c r="AE416" s="83"/>
      <c r="AF416" s="83"/>
      <c r="AG416" s="83"/>
      <c r="AH416" s="83"/>
      <c r="AI416" s="83"/>
      <c r="AJ416" s="83"/>
      <c r="AK416" s="83"/>
    </row>
    <row r="417">
      <c r="A417" s="83"/>
      <c r="B417" s="83"/>
      <c r="C417" s="83"/>
      <c r="D417" s="83"/>
      <c r="E417" s="118"/>
      <c r="F417" s="118"/>
      <c r="G417" s="118"/>
      <c r="H417" s="118"/>
      <c r="I417" s="118"/>
      <c r="J417" s="118"/>
      <c r="K417" s="118"/>
      <c r="L417" s="118"/>
      <c r="M417" s="118"/>
      <c r="N417" s="83"/>
      <c r="O417" s="83"/>
      <c r="P417" s="83"/>
      <c r="Q417" s="83"/>
      <c r="R417" s="83"/>
      <c r="S417" s="83"/>
      <c r="T417" s="83"/>
      <c r="U417" s="83"/>
      <c r="V417" s="83"/>
      <c r="W417" s="83"/>
      <c r="X417" s="83"/>
      <c r="Y417" s="83"/>
      <c r="Z417" s="83"/>
      <c r="AA417" s="83"/>
      <c r="AB417" s="83"/>
      <c r="AC417" s="83"/>
      <c r="AD417" s="83"/>
      <c r="AE417" s="83"/>
      <c r="AF417" s="83"/>
      <c r="AG417" s="83"/>
      <c r="AH417" s="83"/>
      <c r="AI417" s="83"/>
      <c r="AJ417" s="83"/>
      <c r="AK417" s="83"/>
    </row>
    <row r="418">
      <c r="A418" s="83"/>
      <c r="B418" s="83"/>
      <c r="C418" s="83"/>
      <c r="D418" s="83"/>
      <c r="E418" s="118"/>
      <c r="F418" s="118"/>
      <c r="G418" s="118"/>
      <c r="H418" s="118"/>
      <c r="I418" s="118"/>
      <c r="J418" s="118"/>
      <c r="K418" s="118"/>
      <c r="L418" s="118"/>
      <c r="M418" s="118"/>
      <c r="N418" s="83"/>
      <c r="O418" s="83"/>
      <c r="P418" s="83"/>
      <c r="Q418" s="83"/>
      <c r="R418" s="83"/>
      <c r="S418" s="83"/>
      <c r="T418" s="83"/>
      <c r="U418" s="83"/>
      <c r="V418" s="83"/>
      <c r="W418" s="83"/>
      <c r="X418" s="83"/>
      <c r="Y418" s="83"/>
      <c r="Z418" s="83"/>
      <c r="AA418" s="83"/>
      <c r="AB418" s="83"/>
      <c r="AC418" s="83"/>
      <c r="AD418" s="83"/>
      <c r="AE418" s="83"/>
      <c r="AF418" s="83"/>
      <c r="AG418" s="83"/>
      <c r="AH418" s="83"/>
      <c r="AI418" s="83"/>
      <c r="AJ418" s="83"/>
      <c r="AK418" s="83"/>
    </row>
    <row r="419">
      <c r="A419" s="83"/>
      <c r="B419" s="83"/>
      <c r="C419" s="83"/>
      <c r="D419" s="83"/>
      <c r="E419" s="118"/>
      <c r="F419" s="118"/>
      <c r="G419" s="118"/>
      <c r="H419" s="118"/>
      <c r="I419" s="118"/>
      <c r="J419" s="118"/>
      <c r="K419" s="118"/>
      <c r="L419" s="118"/>
      <c r="M419" s="118"/>
      <c r="N419" s="83"/>
      <c r="O419" s="83"/>
      <c r="P419" s="83"/>
      <c r="Q419" s="83"/>
      <c r="R419" s="83"/>
      <c r="S419" s="83"/>
      <c r="T419" s="83"/>
      <c r="U419" s="83"/>
      <c r="V419" s="83"/>
      <c r="W419" s="83"/>
      <c r="X419" s="83"/>
      <c r="Y419" s="83"/>
      <c r="Z419" s="83"/>
      <c r="AA419" s="83"/>
      <c r="AB419" s="83"/>
      <c r="AC419" s="83"/>
      <c r="AD419" s="83"/>
      <c r="AE419" s="83"/>
      <c r="AF419" s="83"/>
      <c r="AG419" s="83"/>
      <c r="AH419" s="83"/>
      <c r="AI419" s="83"/>
      <c r="AJ419" s="83"/>
      <c r="AK419" s="83"/>
    </row>
    <row r="420">
      <c r="A420" s="83"/>
      <c r="B420" s="83"/>
      <c r="C420" s="83"/>
      <c r="D420" s="83"/>
      <c r="E420" s="118"/>
      <c r="F420" s="118"/>
      <c r="G420" s="118"/>
      <c r="H420" s="118"/>
      <c r="I420" s="118"/>
      <c r="J420" s="118"/>
      <c r="K420" s="118"/>
      <c r="L420" s="118"/>
      <c r="M420" s="118"/>
      <c r="N420" s="83"/>
      <c r="O420" s="83"/>
      <c r="P420" s="83"/>
      <c r="Q420" s="83"/>
      <c r="R420" s="83"/>
      <c r="S420" s="83"/>
      <c r="T420" s="83"/>
      <c r="U420" s="83"/>
      <c r="V420" s="83"/>
      <c r="W420" s="83"/>
      <c r="X420" s="83"/>
      <c r="Y420" s="83"/>
      <c r="Z420" s="83"/>
      <c r="AA420" s="83"/>
      <c r="AB420" s="83"/>
      <c r="AC420" s="83"/>
      <c r="AD420" s="83"/>
      <c r="AE420" s="83"/>
      <c r="AF420" s="83"/>
      <c r="AG420" s="83"/>
      <c r="AH420" s="83"/>
      <c r="AI420" s="83"/>
      <c r="AJ420" s="83"/>
      <c r="AK420" s="83"/>
    </row>
    <row r="421">
      <c r="A421" s="83"/>
      <c r="B421" s="83"/>
      <c r="C421" s="83"/>
      <c r="D421" s="83"/>
      <c r="E421" s="118"/>
      <c r="F421" s="118"/>
      <c r="G421" s="118"/>
      <c r="H421" s="118"/>
      <c r="I421" s="118"/>
      <c r="J421" s="118"/>
      <c r="K421" s="118"/>
      <c r="L421" s="118"/>
      <c r="M421" s="118"/>
      <c r="N421" s="83"/>
      <c r="O421" s="83"/>
      <c r="P421" s="83"/>
      <c r="Q421" s="83"/>
      <c r="R421" s="83"/>
      <c r="S421" s="83"/>
      <c r="T421" s="83"/>
      <c r="U421" s="83"/>
      <c r="V421" s="83"/>
      <c r="W421" s="83"/>
      <c r="X421" s="83"/>
      <c r="Y421" s="83"/>
      <c r="Z421" s="83"/>
      <c r="AA421" s="83"/>
      <c r="AB421" s="83"/>
      <c r="AC421" s="83"/>
      <c r="AD421" s="83"/>
      <c r="AE421" s="83"/>
      <c r="AF421" s="83"/>
      <c r="AG421" s="83"/>
      <c r="AH421" s="83"/>
      <c r="AI421" s="83"/>
      <c r="AJ421" s="83"/>
      <c r="AK421" s="83"/>
    </row>
    <row r="422">
      <c r="A422" s="83"/>
      <c r="B422" s="83"/>
      <c r="C422" s="83"/>
      <c r="D422" s="83"/>
      <c r="E422" s="118"/>
      <c r="F422" s="118"/>
      <c r="G422" s="118"/>
      <c r="H422" s="118"/>
      <c r="I422" s="118"/>
      <c r="J422" s="118"/>
      <c r="K422" s="118"/>
      <c r="L422" s="118"/>
      <c r="M422" s="118"/>
      <c r="N422" s="83"/>
      <c r="O422" s="83"/>
      <c r="P422" s="83"/>
      <c r="Q422" s="83"/>
      <c r="R422" s="83"/>
      <c r="S422" s="83"/>
      <c r="T422" s="83"/>
      <c r="U422" s="83"/>
      <c r="V422" s="83"/>
      <c r="W422" s="83"/>
      <c r="X422" s="83"/>
      <c r="Y422" s="83"/>
      <c r="Z422" s="83"/>
      <c r="AA422" s="83"/>
      <c r="AB422" s="83"/>
      <c r="AC422" s="83"/>
      <c r="AD422" s="83"/>
      <c r="AE422" s="83"/>
      <c r="AF422" s="83"/>
      <c r="AG422" s="83"/>
      <c r="AH422" s="83"/>
      <c r="AI422" s="83"/>
      <c r="AJ422" s="83"/>
      <c r="AK422" s="83"/>
    </row>
    <row r="423">
      <c r="A423" s="83"/>
      <c r="B423" s="83"/>
      <c r="C423" s="83"/>
      <c r="D423" s="83"/>
      <c r="E423" s="118"/>
      <c r="F423" s="118"/>
      <c r="G423" s="118"/>
      <c r="H423" s="118"/>
      <c r="I423" s="118"/>
      <c r="J423" s="118"/>
      <c r="K423" s="118"/>
      <c r="L423" s="118"/>
      <c r="M423" s="118"/>
      <c r="N423" s="83"/>
      <c r="O423" s="83"/>
      <c r="P423" s="83"/>
      <c r="Q423" s="83"/>
      <c r="R423" s="83"/>
      <c r="S423" s="83"/>
      <c r="T423" s="83"/>
      <c r="U423" s="83"/>
      <c r="V423" s="83"/>
      <c r="W423" s="83"/>
      <c r="X423" s="83"/>
      <c r="Y423" s="83"/>
      <c r="Z423" s="83"/>
      <c r="AA423" s="83"/>
      <c r="AB423" s="83"/>
      <c r="AC423" s="83"/>
      <c r="AD423" s="83"/>
      <c r="AE423" s="83"/>
      <c r="AF423" s="83"/>
      <c r="AG423" s="83"/>
      <c r="AH423" s="83"/>
      <c r="AI423" s="83"/>
      <c r="AJ423" s="83"/>
      <c r="AK423" s="83"/>
    </row>
    <row r="424">
      <c r="A424" s="83"/>
      <c r="B424" s="83"/>
      <c r="C424" s="83"/>
      <c r="D424" s="83"/>
      <c r="E424" s="118"/>
      <c r="F424" s="118"/>
      <c r="G424" s="118"/>
      <c r="H424" s="118"/>
      <c r="I424" s="118"/>
      <c r="J424" s="118"/>
      <c r="K424" s="118"/>
      <c r="L424" s="118"/>
      <c r="M424" s="118"/>
      <c r="N424" s="83"/>
      <c r="O424" s="83"/>
      <c r="P424" s="83"/>
      <c r="Q424" s="83"/>
      <c r="R424" s="83"/>
      <c r="S424" s="83"/>
      <c r="T424" s="83"/>
      <c r="U424" s="83"/>
      <c r="V424" s="83"/>
      <c r="W424" s="83"/>
      <c r="X424" s="83"/>
      <c r="Y424" s="83"/>
      <c r="Z424" s="83"/>
      <c r="AA424" s="83"/>
      <c r="AB424" s="83"/>
      <c r="AC424" s="83"/>
      <c r="AD424" s="83"/>
      <c r="AE424" s="83"/>
      <c r="AF424" s="83"/>
      <c r="AG424" s="83"/>
      <c r="AH424" s="83"/>
      <c r="AI424" s="83"/>
      <c r="AJ424" s="83"/>
      <c r="AK424" s="83"/>
    </row>
    <row r="425">
      <c r="A425" s="83"/>
      <c r="B425" s="83"/>
      <c r="C425" s="83"/>
      <c r="D425" s="83"/>
      <c r="E425" s="118"/>
      <c r="F425" s="118"/>
      <c r="G425" s="118"/>
      <c r="H425" s="118"/>
      <c r="I425" s="118"/>
      <c r="J425" s="118"/>
      <c r="K425" s="118"/>
      <c r="L425" s="118"/>
      <c r="M425" s="118"/>
      <c r="N425" s="83"/>
      <c r="O425" s="83"/>
      <c r="P425" s="83"/>
      <c r="Q425" s="83"/>
      <c r="R425" s="83"/>
      <c r="S425" s="83"/>
      <c r="T425" s="83"/>
      <c r="U425" s="83"/>
      <c r="V425" s="83"/>
      <c r="W425" s="83"/>
      <c r="X425" s="83"/>
      <c r="Y425" s="83"/>
      <c r="Z425" s="83"/>
      <c r="AA425" s="83"/>
      <c r="AB425" s="83"/>
      <c r="AC425" s="83"/>
      <c r="AD425" s="83"/>
      <c r="AE425" s="83"/>
      <c r="AF425" s="83"/>
      <c r="AG425" s="83"/>
      <c r="AH425" s="83"/>
      <c r="AI425" s="83"/>
      <c r="AJ425" s="83"/>
      <c r="AK425" s="83"/>
    </row>
    <row r="426">
      <c r="A426" s="83"/>
      <c r="B426" s="83"/>
      <c r="C426" s="83"/>
      <c r="D426" s="83"/>
      <c r="E426" s="118"/>
      <c r="F426" s="118"/>
      <c r="G426" s="118"/>
      <c r="H426" s="118"/>
      <c r="I426" s="118"/>
      <c r="J426" s="118"/>
      <c r="K426" s="118"/>
      <c r="L426" s="118"/>
      <c r="M426" s="118"/>
      <c r="N426" s="83"/>
      <c r="O426" s="83"/>
      <c r="P426" s="83"/>
      <c r="Q426" s="83"/>
      <c r="R426" s="83"/>
      <c r="S426" s="83"/>
      <c r="T426" s="83"/>
      <c r="U426" s="83"/>
      <c r="V426" s="83"/>
      <c r="W426" s="83"/>
      <c r="X426" s="83"/>
      <c r="Y426" s="83"/>
      <c r="Z426" s="83"/>
      <c r="AA426" s="83"/>
      <c r="AB426" s="83"/>
      <c r="AC426" s="83"/>
      <c r="AD426" s="83"/>
      <c r="AE426" s="83"/>
      <c r="AF426" s="83"/>
      <c r="AG426" s="83"/>
      <c r="AH426" s="83"/>
      <c r="AI426" s="83"/>
      <c r="AJ426" s="83"/>
      <c r="AK426" s="83"/>
    </row>
    <row r="427">
      <c r="A427" s="83"/>
      <c r="B427" s="83"/>
      <c r="C427" s="83"/>
      <c r="D427" s="83"/>
      <c r="E427" s="118"/>
      <c r="F427" s="118"/>
      <c r="G427" s="118"/>
      <c r="H427" s="118"/>
      <c r="I427" s="118"/>
      <c r="J427" s="118"/>
      <c r="K427" s="118"/>
      <c r="L427" s="118"/>
      <c r="M427" s="118"/>
      <c r="N427" s="83"/>
      <c r="O427" s="83"/>
      <c r="P427" s="83"/>
      <c r="Q427" s="83"/>
      <c r="R427" s="83"/>
      <c r="S427" s="83"/>
      <c r="T427" s="83"/>
      <c r="U427" s="83"/>
      <c r="V427" s="83"/>
      <c r="W427" s="83"/>
      <c r="X427" s="83"/>
      <c r="Y427" s="83"/>
      <c r="Z427" s="83"/>
      <c r="AA427" s="83"/>
      <c r="AB427" s="83"/>
      <c r="AC427" s="83"/>
      <c r="AD427" s="83"/>
      <c r="AE427" s="83"/>
      <c r="AF427" s="83"/>
      <c r="AG427" s="83"/>
      <c r="AH427" s="83"/>
      <c r="AI427" s="83"/>
      <c r="AJ427" s="83"/>
      <c r="AK427" s="83"/>
    </row>
    <row r="428">
      <c r="A428" s="83"/>
      <c r="B428" s="83"/>
      <c r="C428" s="83"/>
      <c r="D428" s="83"/>
      <c r="E428" s="118"/>
      <c r="F428" s="118"/>
      <c r="G428" s="118"/>
      <c r="H428" s="118"/>
      <c r="I428" s="118"/>
      <c r="J428" s="118"/>
      <c r="K428" s="118"/>
      <c r="L428" s="118"/>
      <c r="M428" s="118"/>
      <c r="N428" s="83"/>
      <c r="O428" s="83"/>
      <c r="P428" s="83"/>
      <c r="Q428" s="83"/>
      <c r="R428" s="83"/>
      <c r="S428" s="83"/>
      <c r="T428" s="83"/>
      <c r="U428" s="83"/>
      <c r="V428" s="83"/>
      <c r="W428" s="83"/>
      <c r="X428" s="83"/>
      <c r="Y428" s="83"/>
      <c r="Z428" s="83"/>
      <c r="AA428" s="83"/>
      <c r="AB428" s="83"/>
      <c r="AC428" s="83"/>
      <c r="AD428" s="83"/>
      <c r="AE428" s="83"/>
      <c r="AF428" s="83"/>
      <c r="AG428" s="83"/>
      <c r="AH428" s="83"/>
      <c r="AI428" s="83"/>
      <c r="AJ428" s="83"/>
      <c r="AK428" s="83"/>
    </row>
    <row r="429">
      <c r="A429" s="83"/>
      <c r="B429" s="83"/>
      <c r="C429" s="83"/>
      <c r="D429" s="83"/>
      <c r="E429" s="118"/>
      <c r="F429" s="118"/>
      <c r="G429" s="118"/>
      <c r="H429" s="118"/>
      <c r="I429" s="118"/>
      <c r="J429" s="118"/>
      <c r="K429" s="118"/>
      <c r="L429" s="118"/>
      <c r="M429" s="118"/>
      <c r="N429" s="83"/>
      <c r="O429" s="83"/>
      <c r="P429" s="83"/>
      <c r="Q429" s="83"/>
      <c r="R429" s="83"/>
      <c r="S429" s="83"/>
      <c r="T429" s="83"/>
      <c r="U429" s="83"/>
      <c r="V429" s="83"/>
      <c r="W429" s="83"/>
      <c r="X429" s="83"/>
      <c r="Y429" s="83"/>
      <c r="Z429" s="83"/>
      <c r="AA429" s="83"/>
      <c r="AB429" s="83"/>
      <c r="AC429" s="83"/>
      <c r="AD429" s="83"/>
      <c r="AE429" s="83"/>
      <c r="AF429" s="83"/>
      <c r="AG429" s="83"/>
      <c r="AH429" s="83"/>
      <c r="AI429" s="83"/>
      <c r="AJ429" s="83"/>
      <c r="AK429" s="83"/>
    </row>
    <row r="430">
      <c r="A430" s="83"/>
      <c r="B430" s="83"/>
      <c r="C430" s="83"/>
      <c r="D430" s="83"/>
      <c r="E430" s="118"/>
      <c r="F430" s="118"/>
      <c r="G430" s="118"/>
      <c r="H430" s="118"/>
      <c r="I430" s="118"/>
      <c r="J430" s="118"/>
      <c r="K430" s="118"/>
      <c r="L430" s="118"/>
      <c r="M430" s="118"/>
      <c r="N430" s="83"/>
      <c r="O430" s="83"/>
      <c r="P430" s="83"/>
      <c r="Q430" s="83"/>
      <c r="R430" s="83"/>
      <c r="S430" s="83"/>
      <c r="T430" s="83"/>
      <c r="U430" s="83"/>
      <c r="V430" s="83"/>
      <c r="W430" s="83"/>
      <c r="X430" s="83"/>
      <c r="Y430" s="83"/>
      <c r="Z430" s="83"/>
      <c r="AA430" s="83"/>
      <c r="AB430" s="83"/>
      <c r="AC430" s="83"/>
      <c r="AD430" s="83"/>
      <c r="AE430" s="83"/>
      <c r="AF430" s="83"/>
      <c r="AG430" s="83"/>
      <c r="AH430" s="83"/>
      <c r="AI430" s="83"/>
      <c r="AJ430" s="83"/>
      <c r="AK430" s="83"/>
    </row>
    <row r="431">
      <c r="A431" s="83"/>
      <c r="B431" s="83"/>
      <c r="C431" s="83"/>
      <c r="D431" s="83"/>
      <c r="E431" s="118"/>
      <c r="F431" s="118"/>
      <c r="G431" s="118"/>
      <c r="H431" s="118"/>
      <c r="I431" s="118"/>
      <c r="J431" s="118"/>
      <c r="K431" s="118"/>
      <c r="L431" s="118"/>
      <c r="M431" s="118"/>
      <c r="N431" s="83"/>
      <c r="O431" s="83"/>
      <c r="P431" s="83"/>
      <c r="Q431" s="83"/>
      <c r="R431" s="83"/>
      <c r="S431" s="83"/>
      <c r="T431" s="83"/>
      <c r="U431" s="83"/>
      <c r="V431" s="83"/>
      <c r="W431" s="83"/>
      <c r="X431" s="83"/>
      <c r="Y431" s="83"/>
      <c r="Z431" s="83"/>
      <c r="AA431" s="83"/>
      <c r="AB431" s="83"/>
      <c r="AC431" s="83"/>
      <c r="AD431" s="83"/>
      <c r="AE431" s="83"/>
      <c r="AF431" s="83"/>
      <c r="AG431" s="83"/>
      <c r="AH431" s="83"/>
      <c r="AI431" s="83"/>
      <c r="AJ431" s="83"/>
      <c r="AK431" s="83"/>
    </row>
    <row r="432">
      <c r="A432" s="83"/>
      <c r="B432" s="83"/>
      <c r="C432" s="83"/>
      <c r="D432" s="83"/>
      <c r="E432" s="118"/>
      <c r="F432" s="118"/>
      <c r="G432" s="118"/>
      <c r="H432" s="118"/>
      <c r="I432" s="118"/>
      <c r="J432" s="118"/>
      <c r="K432" s="118"/>
      <c r="L432" s="118"/>
      <c r="M432" s="118"/>
      <c r="N432" s="83"/>
      <c r="O432" s="83"/>
      <c r="P432" s="83"/>
      <c r="Q432" s="83"/>
      <c r="R432" s="83"/>
      <c r="S432" s="83"/>
      <c r="T432" s="83"/>
      <c r="U432" s="83"/>
      <c r="V432" s="83"/>
      <c r="W432" s="83"/>
      <c r="X432" s="83"/>
      <c r="Y432" s="83"/>
      <c r="Z432" s="83"/>
      <c r="AA432" s="83"/>
      <c r="AB432" s="83"/>
      <c r="AC432" s="83"/>
      <c r="AD432" s="83"/>
      <c r="AE432" s="83"/>
      <c r="AF432" s="83"/>
      <c r="AG432" s="83"/>
      <c r="AH432" s="83"/>
      <c r="AI432" s="83"/>
      <c r="AJ432" s="83"/>
      <c r="AK432" s="83"/>
    </row>
    <row r="433">
      <c r="A433" s="83"/>
      <c r="B433" s="83"/>
      <c r="C433" s="83"/>
      <c r="D433" s="83"/>
      <c r="E433" s="118"/>
      <c r="F433" s="118"/>
      <c r="G433" s="118"/>
      <c r="H433" s="118"/>
      <c r="I433" s="118"/>
      <c r="J433" s="118"/>
      <c r="K433" s="118"/>
      <c r="L433" s="118"/>
      <c r="M433" s="118"/>
      <c r="N433" s="83"/>
      <c r="O433" s="83"/>
      <c r="P433" s="83"/>
      <c r="Q433" s="83"/>
      <c r="R433" s="83"/>
      <c r="S433" s="83"/>
      <c r="T433" s="83"/>
      <c r="U433" s="83"/>
      <c r="V433" s="83"/>
      <c r="W433" s="83"/>
      <c r="X433" s="83"/>
      <c r="Y433" s="83"/>
      <c r="Z433" s="83"/>
      <c r="AA433" s="83"/>
      <c r="AB433" s="83"/>
      <c r="AC433" s="83"/>
      <c r="AD433" s="83"/>
      <c r="AE433" s="83"/>
      <c r="AF433" s="83"/>
      <c r="AG433" s="83"/>
      <c r="AH433" s="83"/>
      <c r="AI433" s="83"/>
      <c r="AJ433" s="83"/>
      <c r="AK433" s="83"/>
    </row>
    <row r="434">
      <c r="A434" s="83"/>
      <c r="B434" s="83"/>
      <c r="C434" s="83"/>
      <c r="D434" s="83"/>
      <c r="E434" s="118"/>
      <c r="F434" s="118"/>
      <c r="G434" s="118"/>
      <c r="H434" s="118"/>
      <c r="I434" s="118"/>
      <c r="J434" s="118"/>
      <c r="K434" s="118"/>
      <c r="L434" s="118"/>
      <c r="M434" s="118"/>
      <c r="N434" s="83"/>
      <c r="O434" s="83"/>
      <c r="P434" s="83"/>
      <c r="Q434" s="83"/>
      <c r="R434" s="83"/>
      <c r="S434" s="83"/>
      <c r="T434" s="83"/>
      <c r="U434" s="83"/>
      <c r="V434" s="83"/>
      <c r="W434" s="83"/>
      <c r="X434" s="83"/>
      <c r="Y434" s="83"/>
      <c r="Z434" s="83"/>
      <c r="AA434" s="83"/>
      <c r="AB434" s="83"/>
      <c r="AC434" s="83"/>
      <c r="AD434" s="83"/>
      <c r="AE434" s="83"/>
      <c r="AF434" s="83"/>
      <c r="AG434" s="83"/>
      <c r="AH434" s="83"/>
      <c r="AI434" s="83"/>
      <c r="AJ434" s="83"/>
      <c r="AK434" s="83"/>
    </row>
    <row r="435">
      <c r="A435" s="83"/>
      <c r="B435" s="83"/>
      <c r="C435" s="83"/>
      <c r="D435" s="83"/>
      <c r="E435" s="118"/>
      <c r="F435" s="118"/>
      <c r="G435" s="118"/>
      <c r="H435" s="118"/>
      <c r="I435" s="118"/>
      <c r="J435" s="118"/>
      <c r="K435" s="118"/>
      <c r="L435" s="118"/>
      <c r="M435" s="118"/>
      <c r="N435" s="83"/>
      <c r="O435" s="83"/>
      <c r="P435" s="83"/>
      <c r="Q435" s="83"/>
      <c r="R435" s="83"/>
      <c r="S435" s="83"/>
      <c r="T435" s="83"/>
      <c r="U435" s="83"/>
      <c r="V435" s="83"/>
      <c r="W435" s="83"/>
      <c r="X435" s="83"/>
      <c r="Y435" s="83"/>
      <c r="Z435" s="83"/>
      <c r="AA435" s="83"/>
      <c r="AB435" s="83"/>
      <c r="AC435" s="83"/>
      <c r="AD435" s="83"/>
      <c r="AE435" s="83"/>
      <c r="AF435" s="83"/>
      <c r="AG435" s="83"/>
      <c r="AH435" s="83"/>
      <c r="AI435" s="83"/>
      <c r="AJ435" s="83"/>
      <c r="AK435" s="83"/>
    </row>
    <row r="436">
      <c r="A436" s="83"/>
      <c r="B436" s="83"/>
      <c r="C436" s="83"/>
      <c r="D436" s="83"/>
      <c r="E436" s="118"/>
      <c r="F436" s="118"/>
      <c r="G436" s="118"/>
      <c r="H436" s="118"/>
      <c r="I436" s="118"/>
      <c r="J436" s="118"/>
      <c r="K436" s="118"/>
      <c r="L436" s="118"/>
      <c r="M436" s="118"/>
      <c r="N436" s="83"/>
      <c r="O436" s="83"/>
      <c r="P436" s="83"/>
      <c r="Q436" s="83"/>
      <c r="R436" s="83"/>
      <c r="S436" s="83"/>
      <c r="T436" s="83"/>
      <c r="U436" s="83"/>
      <c r="V436" s="83"/>
      <c r="W436" s="83"/>
      <c r="X436" s="83"/>
      <c r="Y436" s="83"/>
      <c r="Z436" s="83"/>
      <c r="AA436" s="83"/>
      <c r="AB436" s="83"/>
      <c r="AC436" s="83"/>
      <c r="AD436" s="83"/>
      <c r="AE436" s="83"/>
      <c r="AF436" s="83"/>
      <c r="AG436" s="83"/>
      <c r="AH436" s="83"/>
      <c r="AI436" s="83"/>
      <c r="AJ436" s="83"/>
      <c r="AK436" s="83"/>
    </row>
    <row r="437">
      <c r="A437" s="83"/>
      <c r="B437" s="83"/>
      <c r="C437" s="83"/>
      <c r="D437" s="83"/>
      <c r="E437" s="118"/>
      <c r="F437" s="118"/>
      <c r="G437" s="118"/>
      <c r="H437" s="118"/>
      <c r="I437" s="118"/>
      <c r="J437" s="118"/>
      <c r="K437" s="118"/>
      <c r="L437" s="118"/>
      <c r="M437" s="118"/>
      <c r="N437" s="83"/>
      <c r="O437" s="83"/>
      <c r="P437" s="83"/>
      <c r="Q437" s="83"/>
      <c r="R437" s="83"/>
      <c r="S437" s="83"/>
      <c r="T437" s="83"/>
      <c r="U437" s="83"/>
      <c r="V437" s="83"/>
      <c r="W437" s="83"/>
      <c r="X437" s="83"/>
      <c r="Y437" s="83"/>
      <c r="Z437" s="83"/>
      <c r="AA437" s="83"/>
      <c r="AB437" s="83"/>
      <c r="AC437" s="83"/>
      <c r="AD437" s="83"/>
      <c r="AE437" s="83"/>
      <c r="AF437" s="83"/>
      <c r="AG437" s="83"/>
      <c r="AH437" s="83"/>
      <c r="AI437" s="83"/>
      <c r="AJ437" s="83"/>
      <c r="AK437" s="83"/>
    </row>
    <row r="438">
      <c r="A438" s="83"/>
      <c r="B438" s="83"/>
      <c r="C438" s="83"/>
      <c r="D438" s="83"/>
      <c r="E438" s="118"/>
      <c r="F438" s="118"/>
      <c r="G438" s="118"/>
      <c r="H438" s="118"/>
      <c r="I438" s="118"/>
      <c r="J438" s="118"/>
      <c r="K438" s="118"/>
      <c r="L438" s="118"/>
      <c r="M438" s="118"/>
      <c r="N438" s="83"/>
      <c r="O438" s="83"/>
      <c r="P438" s="83"/>
      <c r="Q438" s="83"/>
      <c r="R438" s="83"/>
      <c r="S438" s="83"/>
      <c r="T438" s="83"/>
      <c r="U438" s="83"/>
      <c r="V438" s="83"/>
      <c r="W438" s="83"/>
      <c r="X438" s="83"/>
      <c r="Y438" s="83"/>
      <c r="Z438" s="83"/>
      <c r="AA438" s="83"/>
      <c r="AB438" s="83"/>
      <c r="AC438" s="83"/>
      <c r="AD438" s="83"/>
      <c r="AE438" s="83"/>
      <c r="AF438" s="83"/>
      <c r="AG438" s="83"/>
      <c r="AH438" s="83"/>
      <c r="AI438" s="83"/>
      <c r="AJ438" s="83"/>
      <c r="AK438" s="83"/>
    </row>
    <row r="439">
      <c r="A439" s="83"/>
      <c r="B439" s="83"/>
      <c r="C439" s="83"/>
      <c r="D439" s="83"/>
      <c r="E439" s="118"/>
      <c r="F439" s="118"/>
      <c r="G439" s="118"/>
      <c r="H439" s="118"/>
      <c r="I439" s="118"/>
      <c r="J439" s="118"/>
      <c r="K439" s="118"/>
      <c r="L439" s="118"/>
      <c r="M439" s="118"/>
      <c r="N439" s="83"/>
      <c r="O439" s="83"/>
      <c r="P439" s="83"/>
      <c r="Q439" s="83"/>
      <c r="R439" s="83"/>
      <c r="S439" s="83"/>
      <c r="T439" s="83"/>
      <c r="U439" s="83"/>
      <c r="V439" s="83"/>
      <c r="W439" s="83"/>
      <c r="X439" s="83"/>
      <c r="Y439" s="83"/>
      <c r="Z439" s="83"/>
      <c r="AA439" s="83"/>
      <c r="AB439" s="83"/>
      <c r="AC439" s="83"/>
      <c r="AD439" s="83"/>
      <c r="AE439" s="83"/>
      <c r="AF439" s="83"/>
      <c r="AG439" s="83"/>
      <c r="AH439" s="83"/>
      <c r="AI439" s="83"/>
      <c r="AJ439" s="83"/>
      <c r="AK439" s="83"/>
    </row>
    <row r="440">
      <c r="A440" s="83"/>
      <c r="B440" s="83"/>
      <c r="C440" s="83"/>
      <c r="D440" s="83"/>
      <c r="E440" s="118"/>
      <c r="F440" s="118"/>
      <c r="G440" s="118"/>
      <c r="H440" s="118"/>
      <c r="I440" s="118"/>
      <c r="J440" s="118"/>
      <c r="K440" s="118"/>
      <c r="L440" s="118"/>
      <c r="M440" s="118"/>
      <c r="N440" s="83"/>
      <c r="O440" s="83"/>
      <c r="P440" s="83"/>
      <c r="Q440" s="83"/>
      <c r="R440" s="83"/>
      <c r="S440" s="83"/>
      <c r="T440" s="83"/>
      <c r="U440" s="83"/>
      <c r="V440" s="83"/>
      <c r="W440" s="83"/>
      <c r="X440" s="83"/>
      <c r="Y440" s="83"/>
      <c r="Z440" s="83"/>
      <c r="AA440" s="83"/>
      <c r="AB440" s="83"/>
      <c r="AC440" s="83"/>
      <c r="AD440" s="83"/>
      <c r="AE440" s="83"/>
      <c r="AF440" s="83"/>
      <c r="AG440" s="83"/>
      <c r="AH440" s="83"/>
      <c r="AI440" s="83"/>
      <c r="AJ440" s="83"/>
      <c r="AK440" s="83"/>
    </row>
    <row r="441">
      <c r="A441" s="83"/>
      <c r="B441" s="83"/>
      <c r="C441" s="83"/>
      <c r="D441" s="83"/>
      <c r="E441" s="118"/>
      <c r="F441" s="118"/>
      <c r="G441" s="118"/>
      <c r="H441" s="118"/>
      <c r="I441" s="118"/>
      <c r="J441" s="118"/>
      <c r="K441" s="118"/>
      <c r="L441" s="118"/>
      <c r="M441" s="118"/>
      <c r="N441" s="83"/>
      <c r="O441" s="83"/>
      <c r="P441" s="83"/>
      <c r="Q441" s="83"/>
      <c r="R441" s="83"/>
      <c r="S441" s="83"/>
      <c r="T441" s="83"/>
      <c r="U441" s="83"/>
      <c r="V441" s="83"/>
      <c r="W441" s="83"/>
      <c r="X441" s="83"/>
      <c r="Y441" s="83"/>
      <c r="Z441" s="83"/>
      <c r="AA441" s="83"/>
      <c r="AB441" s="83"/>
      <c r="AC441" s="83"/>
      <c r="AD441" s="83"/>
      <c r="AE441" s="83"/>
      <c r="AF441" s="83"/>
      <c r="AG441" s="83"/>
      <c r="AH441" s="83"/>
      <c r="AI441" s="83"/>
      <c r="AJ441" s="83"/>
      <c r="AK441" s="83"/>
    </row>
    <row r="442">
      <c r="A442" s="83"/>
      <c r="B442" s="83"/>
      <c r="C442" s="83"/>
      <c r="D442" s="83"/>
      <c r="E442" s="118"/>
      <c r="F442" s="118"/>
      <c r="G442" s="118"/>
      <c r="H442" s="118"/>
      <c r="I442" s="118"/>
      <c r="J442" s="118"/>
      <c r="K442" s="118"/>
      <c r="L442" s="118"/>
      <c r="M442" s="118"/>
      <c r="N442" s="83"/>
      <c r="O442" s="83"/>
      <c r="P442" s="83"/>
      <c r="Q442" s="83"/>
      <c r="R442" s="83"/>
      <c r="S442" s="83"/>
      <c r="T442" s="83"/>
      <c r="U442" s="83"/>
      <c r="V442" s="83"/>
      <c r="W442" s="83"/>
      <c r="X442" s="83"/>
      <c r="Y442" s="83"/>
      <c r="Z442" s="83"/>
      <c r="AA442" s="83"/>
      <c r="AB442" s="83"/>
      <c r="AC442" s="83"/>
      <c r="AD442" s="83"/>
      <c r="AE442" s="83"/>
      <c r="AF442" s="83"/>
      <c r="AG442" s="83"/>
      <c r="AH442" s="83"/>
      <c r="AI442" s="83"/>
      <c r="AJ442" s="83"/>
      <c r="AK442" s="83"/>
    </row>
    <row r="443">
      <c r="A443" s="83"/>
      <c r="B443" s="83"/>
      <c r="C443" s="83"/>
      <c r="D443" s="83"/>
      <c r="E443" s="118"/>
      <c r="F443" s="118"/>
      <c r="G443" s="118"/>
      <c r="H443" s="118"/>
      <c r="I443" s="118"/>
      <c r="J443" s="118"/>
      <c r="K443" s="118"/>
      <c r="L443" s="118"/>
      <c r="M443" s="118"/>
      <c r="N443" s="83"/>
      <c r="O443" s="83"/>
      <c r="P443" s="83"/>
      <c r="Q443" s="83"/>
      <c r="R443" s="83"/>
      <c r="S443" s="83"/>
      <c r="T443" s="83"/>
      <c r="U443" s="83"/>
      <c r="V443" s="83"/>
      <c r="W443" s="83"/>
      <c r="X443" s="83"/>
      <c r="Y443" s="83"/>
      <c r="Z443" s="83"/>
      <c r="AA443" s="83"/>
      <c r="AB443" s="83"/>
      <c r="AC443" s="83"/>
      <c r="AD443" s="83"/>
      <c r="AE443" s="83"/>
      <c r="AF443" s="83"/>
      <c r="AG443" s="83"/>
      <c r="AH443" s="83"/>
      <c r="AI443" s="83"/>
      <c r="AJ443" s="83"/>
      <c r="AK443" s="83"/>
    </row>
    <row r="444">
      <c r="A444" s="83"/>
      <c r="B444" s="83"/>
      <c r="C444" s="83"/>
      <c r="D444" s="83"/>
      <c r="E444" s="118"/>
      <c r="F444" s="118"/>
      <c r="G444" s="118"/>
      <c r="H444" s="118"/>
      <c r="I444" s="118"/>
      <c r="J444" s="118"/>
      <c r="K444" s="118"/>
      <c r="L444" s="118"/>
      <c r="M444" s="118"/>
      <c r="N444" s="83"/>
      <c r="O444" s="83"/>
      <c r="P444" s="83"/>
      <c r="Q444" s="83"/>
      <c r="R444" s="83"/>
      <c r="S444" s="83"/>
      <c r="T444" s="83"/>
      <c r="U444" s="83"/>
      <c r="V444" s="83"/>
      <c r="W444" s="83"/>
      <c r="X444" s="83"/>
      <c r="Y444" s="83"/>
      <c r="Z444" s="83"/>
      <c r="AA444" s="83"/>
      <c r="AB444" s="83"/>
      <c r="AC444" s="83"/>
      <c r="AD444" s="83"/>
      <c r="AE444" s="83"/>
      <c r="AF444" s="83"/>
      <c r="AG444" s="83"/>
      <c r="AH444" s="83"/>
      <c r="AI444" s="83"/>
      <c r="AJ444" s="83"/>
      <c r="AK444" s="83"/>
    </row>
    <row r="445">
      <c r="A445" s="83"/>
      <c r="B445" s="83"/>
      <c r="C445" s="83"/>
      <c r="D445" s="83"/>
      <c r="E445" s="118"/>
      <c r="F445" s="118"/>
      <c r="G445" s="118"/>
      <c r="H445" s="118"/>
      <c r="I445" s="118"/>
      <c r="J445" s="118"/>
      <c r="K445" s="118"/>
      <c r="L445" s="118"/>
      <c r="M445" s="118"/>
      <c r="N445" s="83"/>
      <c r="O445" s="83"/>
      <c r="P445" s="83"/>
      <c r="Q445" s="83"/>
      <c r="R445" s="83"/>
      <c r="S445" s="83"/>
      <c r="T445" s="83"/>
      <c r="U445" s="83"/>
      <c r="V445" s="83"/>
      <c r="W445" s="83"/>
      <c r="X445" s="83"/>
      <c r="Y445" s="83"/>
      <c r="Z445" s="83"/>
      <c r="AA445" s="83"/>
      <c r="AB445" s="83"/>
      <c r="AC445" s="83"/>
      <c r="AD445" s="83"/>
      <c r="AE445" s="83"/>
      <c r="AF445" s="83"/>
      <c r="AG445" s="83"/>
      <c r="AH445" s="83"/>
      <c r="AI445" s="83"/>
      <c r="AJ445" s="83"/>
      <c r="AK445" s="83"/>
    </row>
    <row r="446">
      <c r="A446" s="83"/>
      <c r="B446" s="83"/>
      <c r="C446" s="83"/>
      <c r="D446" s="83"/>
      <c r="E446" s="118"/>
      <c r="F446" s="118"/>
      <c r="G446" s="118"/>
      <c r="H446" s="118"/>
      <c r="I446" s="118"/>
      <c r="J446" s="118"/>
      <c r="K446" s="118"/>
      <c r="L446" s="118"/>
      <c r="M446" s="118"/>
      <c r="N446" s="83"/>
      <c r="O446" s="83"/>
      <c r="P446" s="83"/>
      <c r="Q446" s="83"/>
      <c r="R446" s="83"/>
      <c r="S446" s="83"/>
      <c r="T446" s="83"/>
      <c r="U446" s="83"/>
      <c r="V446" s="83"/>
      <c r="W446" s="83"/>
      <c r="X446" s="83"/>
      <c r="Y446" s="83"/>
      <c r="Z446" s="83"/>
      <c r="AA446" s="83"/>
      <c r="AB446" s="83"/>
      <c r="AC446" s="83"/>
      <c r="AD446" s="83"/>
      <c r="AE446" s="83"/>
      <c r="AF446" s="83"/>
      <c r="AG446" s="83"/>
      <c r="AH446" s="83"/>
      <c r="AI446" s="83"/>
      <c r="AJ446" s="83"/>
      <c r="AK446" s="83"/>
    </row>
    <row r="447">
      <c r="A447" s="83"/>
      <c r="B447" s="83"/>
      <c r="C447" s="83"/>
      <c r="D447" s="83"/>
      <c r="E447" s="118"/>
      <c r="F447" s="118"/>
      <c r="G447" s="118"/>
      <c r="H447" s="118"/>
      <c r="I447" s="118"/>
      <c r="J447" s="118"/>
      <c r="K447" s="118"/>
      <c r="L447" s="118"/>
      <c r="M447" s="118"/>
      <c r="N447" s="83"/>
      <c r="O447" s="83"/>
      <c r="P447" s="83"/>
      <c r="Q447" s="83"/>
      <c r="R447" s="83"/>
      <c r="S447" s="83"/>
      <c r="T447" s="83"/>
      <c r="U447" s="83"/>
      <c r="V447" s="83"/>
      <c r="W447" s="83"/>
      <c r="X447" s="83"/>
      <c r="Y447" s="83"/>
      <c r="Z447" s="83"/>
      <c r="AA447" s="83"/>
      <c r="AB447" s="83"/>
      <c r="AC447" s="83"/>
      <c r="AD447" s="83"/>
      <c r="AE447" s="83"/>
      <c r="AF447" s="83"/>
      <c r="AG447" s="83"/>
      <c r="AH447" s="83"/>
      <c r="AI447" s="83"/>
      <c r="AJ447" s="83"/>
      <c r="AK447" s="83"/>
    </row>
    <row r="448">
      <c r="A448" s="83"/>
      <c r="B448" s="83"/>
      <c r="C448" s="83"/>
      <c r="D448" s="83"/>
      <c r="E448" s="118"/>
      <c r="F448" s="118"/>
      <c r="G448" s="118"/>
      <c r="H448" s="118"/>
      <c r="I448" s="118"/>
      <c r="J448" s="118"/>
      <c r="K448" s="118"/>
      <c r="L448" s="118"/>
      <c r="M448" s="118"/>
      <c r="N448" s="83"/>
      <c r="O448" s="83"/>
      <c r="P448" s="83"/>
      <c r="Q448" s="83"/>
      <c r="R448" s="83"/>
      <c r="S448" s="83"/>
      <c r="T448" s="83"/>
      <c r="U448" s="83"/>
      <c r="V448" s="83"/>
      <c r="W448" s="83"/>
      <c r="X448" s="83"/>
      <c r="Y448" s="83"/>
      <c r="Z448" s="83"/>
      <c r="AA448" s="83"/>
      <c r="AB448" s="83"/>
      <c r="AC448" s="83"/>
      <c r="AD448" s="83"/>
      <c r="AE448" s="83"/>
      <c r="AF448" s="83"/>
      <c r="AG448" s="83"/>
      <c r="AH448" s="83"/>
      <c r="AI448" s="83"/>
      <c r="AJ448" s="83"/>
      <c r="AK448" s="83"/>
    </row>
    <row r="449">
      <c r="A449" s="83"/>
      <c r="B449" s="83"/>
      <c r="C449" s="83"/>
      <c r="D449" s="83"/>
      <c r="E449" s="118"/>
      <c r="F449" s="118"/>
      <c r="G449" s="118"/>
      <c r="H449" s="118"/>
      <c r="I449" s="118"/>
      <c r="J449" s="118"/>
      <c r="K449" s="118"/>
      <c r="L449" s="118"/>
      <c r="M449" s="118"/>
      <c r="N449" s="83"/>
      <c r="O449" s="83"/>
      <c r="P449" s="83"/>
      <c r="Q449" s="83"/>
      <c r="R449" s="83"/>
      <c r="S449" s="83"/>
      <c r="T449" s="83"/>
      <c r="U449" s="83"/>
      <c r="V449" s="83"/>
      <c r="W449" s="83"/>
      <c r="X449" s="83"/>
      <c r="Y449" s="83"/>
      <c r="Z449" s="83"/>
      <c r="AA449" s="83"/>
      <c r="AB449" s="83"/>
      <c r="AC449" s="83"/>
      <c r="AD449" s="83"/>
      <c r="AE449" s="83"/>
      <c r="AF449" s="83"/>
      <c r="AG449" s="83"/>
      <c r="AH449" s="83"/>
      <c r="AI449" s="83"/>
      <c r="AJ449" s="83"/>
      <c r="AK449" s="83"/>
    </row>
    <row r="450">
      <c r="A450" s="83"/>
      <c r="B450" s="83"/>
      <c r="C450" s="83"/>
      <c r="D450" s="83"/>
      <c r="E450" s="118"/>
      <c r="F450" s="118"/>
      <c r="G450" s="118"/>
      <c r="H450" s="118"/>
      <c r="I450" s="118"/>
      <c r="J450" s="118"/>
      <c r="K450" s="118"/>
      <c r="L450" s="118"/>
      <c r="M450" s="118"/>
      <c r="N450" s="83"/>
      <c r="O450" s="83"/>
      <c r="P450" s="83"/>
      <c r="Q450" s="83"/>
      <c r="R450" s="83"/>
      <c r="S450" s="83"/>
      <c r="T450" s="83"/>
      <c r="U450" s="83"/>
      <c r="V450" s="83"/>
      <c r="W450" s="83"/>
      <c r="X450" s="83"/>
      <c r="Y450" s="83"/>
      <c r="Z450" s="83"/>
      <c r="AA450" s="83"/>
      <c r="AB450" s="83"/>
      <c r="AC450" s="83"/>
      <c r="AD450" s="83"/>
      <c r="AE450" s="83"/>
      <c r="AF450" s="83"/>
      <c r="AG450" s="83"/>
      <c r="AH450" s="83"/>
      <c r="AI450" s="83"/>
      <c r="AJ450" s="83"/>
      <c r="AK450" s="83"/>
    </row>
    <row r="451">
      <c r="A451" s="83"/>
      <c r="B451" s="83"/>
      <c r="C451" s="83"/>
      <c r="D451" s="83"/>
      <c r="E451" s="118"/>
      <c r="F451" s="118"/>
      <c r="G451" s="118"/>
      <c r="H451" s="118"/>
      <c r="I451" s="118"/>
      <c r="J451" s="118"/>
      <c r="K451" s="118"/>
      <c r="L451" s="118"/>
      <c r="M451" s="118"/>
      <c r="N451" s="83"/>
      <c r="O451" s="83"/>
      <c r="P451" s="83"/>
      <c r="Q451" s="83"/>
      <c r="R451" s="83"/>
      <c r="S451" s="83"/>
      <c r="T451" s="83"/>
      <c r="U451" s="83"/>
      <c r="V451" s="83"/>
      <c r="W451" s="83"/>
      <c r="X451" s="83"/>
      <c r="Y451" s="83"/>
      <c r="Z451" s="83"/>
      <c r="AA451" s="83"/>
      <c r="AB451" s="83"/>
      <c r="AC451" s="83"/>
      <c r="AD451" s="83"/>
      <c r="AE451" s="83"/>
      <c r="AF451" s="83"/>
      <c r="AG451" s="83"/>
      <c r="AH451" s="83"/>
      <c r="AI451" s="83"/>
      <c r="AJ451" s="83"/>
      <c r="AK451" s="83"/>
    </row>
    <row r="452">
      <c r="A452" s="83"/>
      <c r="B452" s="83"/>
      <c r="C452" s="83"/>
      <c r="D452" s="83"/>
      <c r="E452" s="118"/>
      <c r="F452" s="118"/>
      <c r="G452" s="118"/>
      <c r="H452" s="118"/>
      <c r="I452" s="118"/>
      <c r="J452" s="118"/>
      <c r="K452" s="118"/>
      <c r="L452" s="118"/>
      <c r="M452" s="118"/>
      <c r="N452" s="83"/>
      <c r="O452" s="83"/>
      <c r="P452" s="83"/>
      <c r="Q452" s="83"/>
      <c r="R452" s="83"/>
      <c r="S452" s="83"/>
      <c r="T452" s="83"/>
      <c r="U452" s="83"/>
      <c r="V452" s="83"/>
      <c r="W452" s="83"/>
      <c r="X452" s="83"/>
      <c r="Y452" s="83"/>
      <c r="Z452" s="83"/>
      <c r="AA452" s="83"/>
      <c r="AB452" s="83"/>
      <c r="AC452" s="83"/>
      <c r="AD452" s="83"/>
      <c r="AE452" s="83"/>
      <c r="AF452" s="83"/>
      <c r="AG452" s="83"/>
      <c r="AH452" s="83"/>
      <c r="AI452" s="83"/>
      <c r="AJ452" s="83"/>
      <c r="AK452" s="83"/>
    </row>
    <row r="453">
      <c r="A453" s="83"/>
      <c r="B453" s="83"/>
      <c r="C453" s="83"/>
      <c r="D453" s="83"/>
      <c r="E453" s="118"/>
      <c r="F453" s="118"/>
      <c r="G453" s="118"/>
      <c r="H453" s="118"/>
      <c r="I453" s="118"/>
      <c r="J453" s="118"/>
      <c r="K453" s="118"/>
      <c r="L453" s="118"/>
      <c r="M453" s="118"/>
      <c r="N453" s="83"/>
      <c r="O453" s="83"/>
      <c r="P453" s="83"/>
      <c r="Q453" s="83"/>
      <c r="R453" s="83"/>
      <c r="S453" s="83"/>
      <c r="T453" s="83"/>
      <c r="U453" s="83"/>
      <c r="V453" s="83"/>
      <c r="W453" s="83"/>
      <c r="X453" s="83"/>
      <c r="Y453" s="83"/>
      <c r="Z453" s="83"/>
      <c r="AA453" s="83"/>
      <c r="AB453" s="83"/>
      <c r="AC453" s="83"/>
      <c r="AD453" s="83"/>
      <c r="AE453" s="83"/>
      <c r="AF453" s="83"/>
      <c r="AG453" s="83"/>
      <c r="AH453" s="83"/>
      <c r="AI453" s="83"/>
      <c r="AJ453" s="83"/>
      <c r="AK453" s="83"/>
    </row>
    <row r="454">
      <c r="A454" s="83"/>
      <c r="B454" s="83"/>
      <c r="C454" s="83"/>
      <c r="D454" s="83"/>
      <c r="E454" s="118"/>
      <c r="F454" s="118"/>
      <c r="G454" s="118"/>
      <c r="H454" s="118"/>
      <c r="I454" s="118"/>
      <c r="J454" s="118"/>
      <c r="K454" s="118"/>
      <c r="L454" s="118"/>
      <c r="M454" s="118"/>
      <c r="N454" s="83"/>
      <c r="O454" s="83"/>
      <c r="P454" s="83"/>
      <c r="Q454" s="83"/>
      <c r="R454" s="83"/>
      <c r="S454" s="83"/>
      <c r="T454" s="83"/>
      <c r="U454" s="83"/>
      <c r="V454" s="83"/>
      <c r="W454" s="83"/>
      <c r="X454" s="83"/>
      <c r="Y454" s="83"/>
      <c r="Z454" s="83"/>
      <c r="AA454" s="83"/>
      <c r="AB454" s="83"/>
      <c r="AC454" s="83"/>
      <c r="AD454" s="83"/>
      <c r="AE454" s="83"/>
      <c r="AF454" s="83"/>
      <c r="AG454" s="83"/>
      <c r="AH454" s="83"/>
      <c r="AI454" s="83"/>
      <c r="AJ454" s="83"/>
      <c r="AK454" s="83"/>
    </row>
    <row r="455">
      <c r="A455" s="83"/>
      <c r="B455" s="83"/>
      <c r="C455" s="83"/>
      <c r="D455" s="83"/>
      <c r="E455" s="118"/>
      <c r="F455" s="118"/>
      <c r="G455" s="118"/>
      <c r="H455" s="118"/>
      <c r="I455" s="118"/>
      <c r="J455" s="118"/>
      <c r="K455" s="118"/>
      <c r="L455" s="118"/>
      <c r="M455" s="118"/>
      <c r="N455" s="83"/>
      <c r="O455" s="83"/>
      <c r="P455" s="83"/>
      <c r="Q455" s="83"/>
      <c r="R455" s="83"/>
      <c r="S455" s="83"/>
      <c r="T455" s="83"/>
      <c r="U455" s="83"/>
      <c r="V455" s="83"/>
      <c r="W455" s="83"/>
      <c r="X455" s="83"/>
      <c r="Y455" s="83"/>
      <c r="Z455" s="83"/>
      <c r="AA455" s="83"/>
      <c r="AB455" s="83"/>
      <c r="AC455" s="83"/>
      <c r="AD455" s="83"/>
      <c r="AE455" s="83"/>
      <c r="AF455" s="83"/>
      <c r="AG455" s="83"/>
      <c r="AH455" s="83"/>
      <c r="AI455" s="83"/>
      <c r="AJ455" s="83"/>
      <c r="AK455" s="83"/>
    </row>
    <row r="456">
      <c r="A456" s="83"/>
      <c r="B456" s="83"/>
      <c r="C456" s="83"/>
      <c r="D456" s="83"/>
      <c r="E456" s="118"/>
      <c r="F456" s="118"/>
      <c r="G456" s="118"/>
      <c r="H456" s="118"/>
      <c r="I456" s="118"/>
      <c r="J456" s="118"/>
      <c r="K456" s="118"/>
      <c r="L456" s="118"/>
      <c r="M456" s="118"/>
      <c r="N456" s="83"/>
      <c r="O456" s="83"/>
      <c r="P456" s="83"/>
      <c r="Q456" s="83"/>
      <c r="R456" s="83"/>
      <c r="S456" s="83"/>
      <c r="T456" s="83"/>
      <c r="U456" s="83"/>
      <c r="V456" s="83"/>
      <c r="W456" s="83"/>
      <c r="X456" s="83"/>
      <c r="Y456" s="83"/>
      <c r="Z456" s="83"/>
      <c r="AA456" s="83"/>
      <c r="AB456" s="83"/>
      <c r="AC456" s="83"/>
      <c r="AD456" s="83"/>
      <c r="AE456" s="83"/>
      <c r="AF456" s="83"/>
      <c r="AG456" s="83"/>
      <c r="AH456" s="83"/>
      <c r="AI456" s="83"/>
      <c r="AJ456" s="83"/>
      <c r="AK456" s="83"/>
    </row>
    <row r="457">
      <c r="A457" s="83"/>
      <c r="B457" s="83"/>
      <c r="C457" s="83"/>
      <c r="D457" s="83"/>
      <c r="E457" s="118"/>
      <c r="F457" s="118"/>
      <c r="G457" s="118"/>
      <c r="H457" s="118"/>
      <c r="I457" s="118"/>
      <c r="J457" s="118"/>
      <c r="K457" s="118"/>
      <c r="L457" s="118"/>
      <c r="M457" s="118"/>
      <c r="N457" s="83"/>
      <c r="O457" s="83"/>
      <c r="P457" s="83"/>
      <c r="Q457" s="83"/>
      <c r="R457" s="83"/>
      <c r="S457" s="83"/>
      <c r="T457" s="83"/>
      <c r="U457" s="83"/>
      <c r="V457" s="83"/>
      <c r="W457" s="83"/>
      <c r="X457" s="83"/>
      <c r="Y457" s="83"/>
      <c r="Z457" s="83"/>
      <c r="AA457" s="83"/>
      <c r="AB457" s="83"/>
      <c r="AC457" s="83"/>
      <c r="AD457" s="83"/>
      <c r="AE457" s="83"/>
      <c r="AF457" s="83"/>
      <c r="AG457" s="83"/>
      <c r="AH457" s="83"/>
      <c r="AI457" s="83"/>
      <c r="AJ457" s="83"/>
      <c r="AK457" s="83"/>
    </row>
    <row r="458">
      <c r="A458" s="83"/>
      <c r="B458" s="83"/>
      <c r="C458" s="83"/>
      <c r="D458" s="83"/>
      <c r="E458" s="118"/>
      <c r="F458" s="118"/>
      <c r="G458" s="118"/>
      <c r="H458" s="118"/>
      <c r="I458" s="118"/>
      <c r="J458" s="118"/>
      <c r="K458" s="118"/>
      <c r="L458" s="118"/>
      <c r="M458" s="118"/>
      <c r="N458" s="83"/>
      <c r="O458" s="83"/>
      <c r="P458" s="83"/>
      <c r="Q458" s="83"/>
      <c r="R458" s="83"/>
      <c r="S458" s="83"/>
      <c r="T458" s="83"/>
      <c r="U458" s="83"/>
      <c r="V458" s="83"/>
      <c r="W458" s="83"/>
      <c r="X458" s="83"/>
      <c r="Y458" s="83"/>
      <c r="Z458" s="83"/>
      <c r="AA458" s="83"/>
      <c r="AB458" s="83"/>
      <c r="AC458" s="83"/>
      <c r="AD458" s="83"/>
      <c r="AE458" s="83"/>
      <c r="AF458" s="83"/>
      <c r="AG458" s="83"/>
      <c r="AH458" s="83"/>
      <c r="AI458" s="83"/>
      <c r="AJ458" s="83"/>
      <c r="AK458" s="83"/>
    </row>
    <row r="459">
      <c r="A459" s="83"/>
      <c r="B459" s="83"/>
      <c r="C459" s="83"/>
      <c r="D459" s="83"/>
      <c r="E459" s="118"/>
      <c r="F459" s="118"/>
      <c r="G459" s="118"/>
      <c r="H459" s="118"/>
      <c r="I459" s="118"/>
      <c r="J459" s="118"/>
      <c r="K459" s="118"/>
      <c r="L459" s="118"/>
      <c r="M459" s="118"/>
      <c r="N459" s="83"/>
      <c r="O459" s="83"/>
      <c r="P459" s="83"/>
      <c r="Q459" s="83"/>
      <c r="R459" s="83"/>
      <c r="S459" s="83"/>
      <c r="T459" s="83"/>
      <c r="U459" s="83"/>
      <c r="V459" s="83"/>
      <c r="W459" s="83"/>
      <c r="X459" s="83"/>
      <c r="Y459" s="83"/>
      <c r="Z459" s="83"/>
      <c r="AA459" s="83"/>
      <c r="AB459" s="83"/>
      <c r="AC459" s="83"/>
      <c r="AD459" s="83"/>
      <c r="AE459" s="83"/>
      <c r="AF459" s="83"/>
      <c r="AG459" s="83"/>
      <c r="AH459" s="83"/>
      <c r="AI459" s="83"/>
      <c r="AJ459" s="83"/>
      <c r="AK459" s="83"/>
    </row>
    <row r="460">
      <c r="A460" s="83"/>
      <c r="B460" s="83"/>
      <c r="C460" s="83"/>
      <c r="D460" s="83"/>
      <c r="E460" s="118"/>
      <c r="F460" s="118"/>
      <c r="G460" s="118"/>
      <c r="H460" s="118"/>
      <c r="I460" s="118"/>
      <c r="J460" s="118"/>
      <c r="K460" s="118"/>
      <c r="L460" s="118"/>
      <c r="M460" s="118"/>
      <c r="N460" s="83"/>
      <c r="O460" s="83"/>
      <c r="P460" s="83"/>
      <c r="Q460" s="83"/>
      <c r="R460" s="83"/>
      <c r="S460" s="83"/>
      <c r="T460" s="83"/>
      <c r="U460" s="83"/>
      <c r="V460" s="83"/>
      <c r="W460" s="83"/>
      <c r="X460" s="83"/>
      <c r="Y460" s="83"/>
      <c r="Z460" s="83"/>
      <c r="AA460" s="83"/>
      <c r="AB460" s="83"/>
      <c r="AC460" s="83"/>
      <c r="AD460" s="83"/>
      <c r="AE460" s="83"/>
      <c r="AF460" s="83"/>
      <c r="AG460" s="83"/>
      <c r="AH460" s="83"/>
      <c r="AI460" s="83"/>
      <c r="AJ460" s="83"/>
      <c r="AK460" s="83"/>
    </row>
    <row r="461">
      <c r="A461" s="83"/>
      <c r="B461" s="83"/>
      <c r="C461" s="83"/>
      <c r="D461" s="83"/>
      <c r="E461" s="118"/>
      <c r="F461" s="118"/>
      <c r="G461" s="118"/>
      <c r="H461" s="118"/>
      <c r="I461" s="118"/>
      <c r="J461" s="118"/>
      <c r="K461" s="118"/>
      <c r="L461" s="118"/>
      <c r="M461" s="118"/>
      <c r="N461" s="83"/>
      <c r="O461" s="83"/>
      <c r="P461" s="83"/>
      <c r="Q461" s="83"/>
      <c r="R461" s="83"/>
      <c r="S461" s="83"/>
      <c r="T461" s="83"/>
      <c r="U461" s="83"/>
      <c r="V461" s="83"/>
      <c r="W461" s="83"/>
      <c r="X461" s="83"/>
      <c r="Y461" s="83"/>
      <c r="Z461" s="83"/>
      <c r="AA461" s="83"/>
      <c r="AB461" s="83"/>
      <c r="AC461" s="83"/>
      <c r="AD461" s="83"/>
      <c r="AE461" s="83"/>
      <c r="AF461" s="83"/>
      <c r="AG461" s="83"/>
      <c r="AH461" s="83"/>
      <c r="AI461" s="83"/>
      <c r="AJ461" s="83"/>
      <c r="AK461" s="83"/>
    </row>
    <row r="462">
      <c r="A462" s="83"/>
      <c r="B462" s="83"/>
      <c r="C462" s="83"/>
      <c r="D462" s="83"/>
      <c r="E462" s="118"/>
      <c r="F462" s="118"/>
      <c r="G462" s="118"/>
      <c r="H462" s="118"/>
      <c r="I462" s="118"/>
      <c r="J462" s="118"/>
      <c r="K462" s="118"/>
      <c r="L462" s="118"/>
      <c r="M462" s="118"/>
      <c r="N462" s="83"/>
      <c r="O462" s="83"/>
      <c r="P462" s="83"/>
      <c r="Q462" s="83"/>
      <c r="R462" s="83"/>
      <c r="S462" s="83"/>
      <c r="T462" s="83"/>
      <c r="U462" s="83"/>
      <c r="V462" s="83"/>
      <c r="W462" s="83"/>
      <c r="X462" s="83"/>
      <c r="Y462" s="83"/>
      <c r="Z462" s="83"/>
      <c r="AA462" s="83"/>
      <c r="AB462" s="83"/>
      <c r="AC462" s="83"/>
      <c r="AD462" s="83"/>
      <c r="AE462" s="83"/>
      <c r="AF462" s="83"/>
      <c r="AG462" s="83"/>
      <c r="AH462" s="83"/>
      <c r="AI462" s="83"/>
      <c r="AJ462" s="83"/>
      <c r="AK462" s="83"/>
    </row>
    <row r="463">
      <c r="A463" s="83"/>
      <c r="B463" s="83"/>
      <c r="C463" s="83"/>
      <c r="D463" s="83"/>
      <c r="E463" s="118"/>
      <c r="F463" s="118"/>
      <c r="G463" s="118"/>
      <c r="H463" s="118"/>
      <c r="I463" s="118"/>
      <c r="J463" s="118"/>
      <c r="K463" s="118"/>
      <c r="L463" s="118"/>
      <c r="M463" s="118"/>
      <c r="N463" s="83"/>
      <c r="O463" s="83"/>
      <c r="P463" s="83"/>
      <c r="Q463" s="83"/>
      <c r="R463" s="83"/>
      <c r="S463" s="83"/>
      <c r="T463" s="83"/>
      <c r="U463" s="83"/>
      <c r="V463" s="83"/>
      <c r="W463" s="83"/>
      <c r="X463" s="83"/>
      <c r="Y463" s="83"/>
      <c r="Z463" s="83"/>
      <c r="AA463" s="83"/>
      <c r="AB463" s="83"/>
      <c r="AC463" s="83"/>
      <c r="AD463" s="83"/>
      <c r="AE463" s="83"/>
      <c r="AF463" s="83"/>
      <c r="AG463" s="83"/>
      <c r="AH463" s="83"/>
      <c r="AI463" s="83"/>
      <c r="AJ463" s="83"/>
      <c r="AK463" s="83"/>
    </row>
    <row r="464">
      <c r="A464" s="83"/>
      <c r="B464" s="83"/>
      <c r="C464" s="83"/>
      <c r="D464" s="83"/>
      <c r="E464" s="118"/>
      <c r="F464" s="118"/>
      <c r="G464" s="118"/>
      <c r="H464" s="118"/>
      <c r="I464" s="118"/>
      <c r="J464" s="118"/>
      <c r="K464" s="118"/>
      <c r="L464" s="118"/>
      <c r="M464" s="118"/>
      <c r="N464" s="83"/>
      <c r="O464" s="83"/>
      <c r="P464" s="83"/>
      <c r="Q464" s="83"/>
      <c r="R464" s="83"/>
      <c r="S464" s="83"/>
      <c r="T464" s="83"/>
      <c r="U464" s="83"/>
      <c r="V464" s="83"/>
      <c r="W464" s="83"/>
      <c r="X464" s="83"/>
      <c r="Y464" s="83"/>
      <c r="Z464" s="83"/>
      <c r="AA464" s="83"/>
      <c r="AB464" s="83"/>
      <c r="AC464" s="83"/>
      <c r="AD464" s="83"/>
      <c r="AE464" s="83"/>
      <c r="AF464" s="83"/>
      <c r="AG464" s="83"/>
      <c r="AH464" s="83"/>
      <c r="AI464" s="83"/>
      <c r="AJ464" s="83"/>
      <c r="AK464" s="83"/>
    </row>
    <row r="465">
      <c r="A465" s="83"/>
      <c r="B465" s="83"/>
      <c r="C465" s="83"/>
      <c r="D465" s="83"/>
      <c r="E465" s="118"/>
      <c r="F465" s="118"/>
      <c r="G465" s="118"/>
      <c r="H465" s="118"/>
      <c r="I465" s="118"/>
      <c r="J465" s="118"/>
      <c r="K465" s="118"/>
      <c r="L465" s="118"/>
      <c r="M465" s="118"/>
      <c r="N465" s="83"/>
      <c r="O465" s="83"/>
      <c r="P465" s="83"/>
      <c r="Q465" s="83"/>
      <c r="R465" s="83"/>
      <c r="S465" s="83"/>
      <c r="T465" s="83"/>
      <c r="U465" s="83"/>
      <c r="V465" s="83"/>
      <c r="W465" s="83"/>
      <c r="X465" s="83"/>
      <c r="Y465" s="83"/>
      <c r="Z465" s="83"/>
      <c r="AA465" s="83"/>
      <c r="AB465" s="83"/>
      <c r="AC465" s="83"/>
      <c r="AD465" s="83"/>
      <c r="AE465" s="83"/>
      <c r="AF465" s="83"/>
      <c r="AG465" s="83"/>
      <c r="AH465" s="83"/>
      <c r="AI465" s="83"/>
      <c r="AJ465" s="83"/>
      <c r="AK465" s="83"/>
    </row>
    <row r="466">
      <c r="A466" s="83"/>
      <c r="B466" s="83"/>
      <c r="C466" s="83"/>
      <c r="D466" s="83"/>
      <c r="E466" s="118"/>
      <c r="F466" s="118"/>
      <c r="G466" s="118"/>
      <c r="H466" s="118"/>
      <c r="I466" s="118"/>
      <c r="J466" s="118"/>
      <c r="K466" s="118"/>
      <c r="L466" s="118"/>
      <c r="M466" s="118"/>
      <c r="N466" s="83"/>
      <c r="O466" s="83"/>
      <c r="P466" s="83"/>
      <c r="Q466" s="83"/>
      <c r="R466" s="83"/>
      <c r="S466" s="83"/>
      <c r="T466" s="83"/>
      <c r="U466" s="83"/>
      <c r="V466" s="83"/>
      <c r="W466" s="83"/>
      <c r="X466" s="83"/>
      <c r="Y466" s="83"/>
      <c r="Z466" s="83"/>
      <c r="AA466" s="83"/>
      <c r="AB466" s="83"/>
      <c r="AC466" s="83"/>
      <c r="AD466" s="83"/>
      <c r="AE466" s="83"/>
      <c r="AF466" s="83"/>
      <c r="AG466" s="83"/>
      <c r="AH466" s="83"/>
      <c r="AI466" s="83"/>
      <c r="AJ466" s="83"/>
      <c r="AK466" s="83"/>
    </row>
    <row r="467">
      <c r="A467" s="83"/>
      <c r="B467" s="83"/>
      <c r="C467" s="83"/>
      <c r="D467" s="83"/>
      <c r="E467" s="118"/>
      <c r="F467" s="118"/>
      <c r="G467" s="118"/>
      <c r="H467" s="118"/>
      <c r="I467" s="118"/>
      <c r="J467" s="118"/>
      <c r="K467" s="118"/>
      <c r="L467" s="118"/>
      <c r="M467" s="118"/>
      <c r="N467" s="83"/>
      <c r="O467" s="83"/>
      <c r="P467" s="83"/>
      <c r="Q467" s="83"/>
      <c r="R467" s="83"/>
      <c r="S467" s="83"/>
      <c r="T467" s="83"/>
      <c r="U467" s="83"/>
      <c r="V467" s="83"/>
      <c r="W467" s="83"/>
      <c r="X467" s="83"/>
      <c r="Y467" s="83"/>
      <c r="Z467" s="83"/>
      <c r="AA467" s="83"/>
      <c r="AB467" s="83"/>
      <c r="AC467" s="83"/>
      <c r="AD467" s="83"/>
      <c r="AE467" s="83"/>
      <c r="AF467" s="83"/>
      <c r="AG467" s="83"/>
      <c r="AH467" s="83"/>
      <c r="AI467" s="83"/>
      <c r="AJ467" s="83"/>
      <c r="AK467" s="83"/>
    </row>
    <row r="468">
      <c r="A468" s="83"/>
      <c r="B468" s="83"/>
      <c r="C468" s="83"/>
      <c r="D468" s="83"/>
      <c r="E468" s="118"/>
      <c r="F468" s="118"/>
      <c r="G468" s="118"/>
      <c r="H468" s="118"/>
      <c r="I468" s="118"/>
      <c r="J468" s="118"/>
      <c r="K468" s="118"/>
      <c r="L468" s="118"/>
      <c r="M468" s="118"/>
      <c r="N468" s="83"/>
      <c r="O468" s="83"/>
      <c r="P468" s="83"/>
      <c r="Q468" s="83"/>
      <c r="R468" s="83"/>
      <c r="S468" s="83"/>
      <c r="T468" s="83"/>
      <c r="U468" s="83"/>
      <c r="V468" s="83"/>
      <c r="W468" s="83"/>
      <c r="X468" s="83"/>
      <c r="Y468" s="83"/>
      <c r="Z468" s="83"/>
      <c r="AA468" s="83"/>
      <c r="AB468" s="83"/>
      <c r="AC468" s="83"/>
      <c r="AD468" s="83"/>
      <c r="AE468" s="83"/>
      <c r="AF468" s="83"/>
      <c r="AG468" s="83"/>
      <c r="AH468" s="83"/>
      <c r="AI468" s="83"/>
      <c r="AJ468" s="83"/>
      <c r="AK468" s="83"/>
    </row>
    <row r="469">
      <c r="A469" s="83"/>
      <c r="B469" s="83"/>
      <c r="C469" s="83"/>
      <c r="D469" s="83"/>
      <c r="E469" s="118"/>
      <c r="F469" s="118"/>
      <c r="G469" s="118"/>
      <c r="H469" s="118"/>
      <c r="I469" s="118"/>
      <c r="J469" s="118"/>
      <c r="K469" s="118"/>
      <c r="L469" s="118"/>
      <c r="M469" s="118"/>
      <c r="N469" s="83"/>
      <c r="O469" s="83"/>
      <c r="P469" s="83"/>
      <c r="Q469" s="83"/>
      <c r="R469" s="83"/>
      <c r="S469" s="83"/>
      <c r="T469" s="83"/>
      <c r="U469" s="83"/>
      <c r="V469" s="83"/>
      <c r="W469" s="83"/>
      <c r="X469" s="83"/>
      <c r="Y469" s="83"/>
      <c r="Z469" s="83"/>
      <c r="AA469" s="83"/>
      <c r="AB469" s="83"/>
      <c r="AC469" s="83"/>
      <c r="AD469" s="83"/>
      <c r="AE469" s="83"/>
      <c r="AF469" s="83"/>
      <c r="AG469" s="83"/>
      <c r="AH469" s="83"/>
      <c r="AI469" s="83"/>
      <c r="AJ469" s="83"/>
      <c r="AK469" s="83"/>
    </row>
    <row r="470">
      <c r="A470" s="83"/>
      <c r="B470" s="83"/>
      <c r="C470" s="83"/>
      <c r="D470" s="83"/>
      <c r="E470" s="118"/>
      <c r="F470" s="118"/>
      <c r="G470" s="118"/>
      <c r="H470" s="118"/>
      <c r="I470" s="118"/>
      <c r="J470" s="118"/>
      <c r="K470" s="118"/>
      <c r="L470" s="118"/>
      <c r="M470" s="118"/>
      <c r="N470" s="83"/>
      <c r="O470" s="83"/>
      <c r="P470" s="83"/>
      <c r="Q470" s="83"/>
      <c r="R470" s="83"/>
      <c r="S470" s="83"/>
      <c r="T470" s="83"/>
      <c r="U470" s="83"/>
      <c r="V470" s="83"/>
      <c r="W470" s="83"/>
      <c r="X470" s="83"/>
      <c r="Y470" s="83"/>
      <c r="Z470" s="83"/>
      <c r="AA470" s="83"/>
      <c r="AB470" s="83"/>
      <c r="AC470" s="83"/>
      <c r="AD470" s="83"/>
      <c r="AE470" s="83"/>
      <c r="AF470" s="83"/>
      <c r="AG470" s="83"/>
      <c r="AH470" s="83"/>
      <c r="AI470" s="83"/>
      <c r="AJ470" s="83"/>
      <c r="AK470" s="83"/>
    </row>
    <row r="471">
      <c r="A471" s="83"/>
      <c r="B471" s="83"/>
      <c r="C471" s="83"/>
      <c r="D471" s="83"/>
      <c r="E471" s="118"/>
      <c r="F471" s="118"/>
      <c r="G471" s="118"/>
      <c r="H471" s="118"/>
      <c r="I471" s="118"/>
      <c r="J471" s="118"/>
      <c r="K471" s="118"/>
      <c r="L471" s="118"/>
      <c r="M471" s="118"/>
      <c r="N471" s="83"/>
      <c r="O471" s="83"/>
      <c r="P471" s="83"/>
      <c r="Q471" s="83"/>
      <c r="R471" s="83"/>
      <c r="S471" s="83"/>
      <c r="T471" s="83"/>
      <c r="U471" s="83"/>
      <c r="V471" s="83"/>
      <c r="W471" s="83"/>
      <c r="X471" s="83"/>
      <c r="Y471" s="83"/>
      <c r="Z471" s="83"/>
      <c r="AA471" s="83"/>
      <c r="AB471" s="83"/>
      <c r="AC471" s="83"/>
      <c r="AD471" s="83"/>
      <c r="AE471" s="83"/>
      <c r="AF471" s="83"/>
      <c r="AG471" s="83"/>
      <c r="AH471" s="83"/>
      <c r="AI471" s="83"/>
      <c r="AJ471" s="83"/>
      <c r="AK471" s="83"/>
    </row>
    <row r="472">
      <c r="A472" s="83"/>
      <c r="B472" s="83"/>
      <c r="C472" s="83"/>
      <c r="D472" s="83"/>
      <c r="E472" s="118"/>
      <c r="F472" s="118"/>
      <c r="G472" s="118"/>
      <c r="H472" s="118"/>
      <c r="I472" s="118"/>
      <c r="J472" s="118"/>
      <c r="K472" s="118"/>
      <c r="L472" s="118"/>
      <c r="M472" s="118"/>
      <c r="N472" s="83"/>
      <c r="O472" s="83"/>
      <c r="P472" s="83"/>
      <c r="Q472" s="83"/>
      <c r="R472" s="83"/>
      <c r="S472" s="83"/>
      <c r="T472" s="83"/>
      <c r="U472" s="83"/>
      <c r="V472" s="83"/>
      <c r="W472" s="83"/>
      <c r="X472" s="83"/>
      <c r="Y472" s="83"/>
      <c r="Z472" s="83"/>
      <c r="AA472" s="83"/>
      <c r="AB472" s="83"/>
      <c r="AC472" s="83"/>
      <c r="AD472" s="83"/>
      <c r="AE472" s="83"/>
      <c r="AF472" s="83"/>
      <c r="AG472" s="83"/>
      <c r="AH472" s="83"/>
      <c r="AI472" s="83"/>
      <c r="AJ472" s="83"/>
      <c r="AK472" s="83"/>
    </row>
    <row r="473">
      <c r="A473" s="83"/>
      <c r="B473" s="83"/>
      <c r="C473" s="83"/>
      <c r="D473" s="83"/>
      <c r="E473" s="118"/>
      <c r="F473" s="118"/>
      <c r="G473" s="118"/>
      <c r="H473" s="118"/>
      <c r="I473" s="118"/>
      <c r="J473" s="118"/>
      <c r="K473" s="118"/>
      <c r="L473" s="118"/>
      <c r="M473" s="118"/>
      <c r="N473" s="83"/>
      <c r="O473" s="83"/>
      <c r="P473" s="83"/>
      <c r="Q473" s="83"/>
      <c r="R473" s="83"/>
      <c r="S473" s="83"/>
      <c r="T473" s="83"/>
      <c r="U473" s="83"/>
      <c r="V473" s="83"/>
      <c r="W473" s="83"/>
      <c r="X473" s="83"/>
      <c r="Y473" s="83"/>
      <c r="Z473" s="83"/>
      <c r="AA473" s="83"/>
      <c r="AB473" s="83"/>
      <c r="AC473" s="83"/>
      <c r="AD473" s="83"/>
      <c r="AE473" s="83"/>
      <c r="AF473" s="83"/>
      <c r="AG473" s="83"/>
      <c r="AH473" s="83"/>
      <c r="AI473" s="83"/>
      <c r="AJ473" s="83"/>
      <c r="AK473" s="83"/>
    </row>
    <row r="474">
      <c r="A474" s="83"/>
      <c r="B474" s="83"/>
      <c r="C474" s="83"/>
      <c r="D474" s="83"/>
      <c r="E474" s="118"/>
      <c r="F474" s="118"/>
      <c r="G474" s="118"/>
      <c r="H474" s="118"/>
      <c r="I474" s="118"/>
      <c r="J474" s="118"/>
      <c r="K474" s="118"/>
      <c r="L474" s="118"/>
      <c r="M474" s="118"/>
      <c r="N474" s="83"/>
      <c r="O474" s="83"/>
      <c r="P474" s="83"/>
      <c r="Q474" s="83"/>
      <c r="R474" s="83"/>
      <c r="S474" s="83"/>
      <c r="T474" s="83"/>
      <c r="U474" s="83"/>
      <c r="V474" s="83"/>
      <c r="W474" s="83"/>
      <c r="X474" s="83"/>
      <c r="Y474" s="83"/>
      <c r="Z474" s="83"/>
      <c r="AA474" s="83"/>
      <c r="AB474" s="83"/>
      <c r="AC474" s="83"/>
      <c r="AD474" s="83"/>
      <c r="AE474" s="83"/>
      <c r="AF474" s="83"/>
      <c r="AG474" s="83"/>
      <c r="AH474" s="83"/>
      <c r="AI474" s="83"/>
      <c r="AJ474" s="83"/>
      <c r="AK474" s="83"/>
    </row>
    <row r="475">
      <c r="A475" s="83"/>
      <c r="B475" s="83"/>
      <c r="C475" s="83"/>
      <c r="D475" s="83"/>
      <c r="E475" s="118"/>
      <c r="F475" s="118"/>
      <c r="G475" s="118"/>
      <c r="H475" s="118"/>
      <c r="I475" s="118"/>
      <c r="J475" s="118"/>
      <c r="K475" s="118"/>
      <c r="L475" s="118"/>
      <c r="M475" s="118"/>
      <c r="N475" s="83"/>
      <c r="O475" s="83"/>
      <c r="P475" s="83"/>
      <c r="Q475" s="83"/>
      <c r="R475" s="83"/>
      <c r="S475" s="83"/>
      <c r="T475" s="83"/>
      <c r="U475" s="83"/>
      <c r="V475" s="83"/>
      <c r="W475" s="83"/>
      <c r="X475" s="83"/>
      <c r="Y475" s="83"/>
      <c r="Z475" s="83"/>
      <c r="AA475" s="83"/>
      <c r="AB475" s="83"/>
      <c r="AC475" s="83"/>
      <c r="AD475" s="83"/>
      <c r="AE475" s="83"/>
      <c r="AF475" s="83"/>
      <c r="AG475" s="83"/>
      <c r="AH475" s="83"/>
      <c r="AI475" s="83"/>
      <c r="AJ475" s="83"/>
      <c r="AK475" s="83"/>
    </row>
    <row r="476">
      <c r="A476" s="83"/>
      <c r="B476" s="83"/>
      <c r="C476" s="83"/>
      <c r="D476" s="83"/>
      <c r="E476" s="118"/>
      <c r="F476" s="118"/>
      <c r="G476" s="118"/>
      <c r="H476" s="118"/>
      <c r="I476" s="118"/>
      <c r="J476" s="118"/>
      <c r="K476" s="118"/>
      <c r="L476" s="118"/>
      <c r="M476" s="118"/>
      <c r="N476" s="83"/>
      <c r="O476" s="83"/>
      <c r="P476" s="83"/>
      <c r="Q476" s="83"/>
      <c r="R476" s="83"/>
      <c r="S476" s="83"/>
      <c r="T476" s="83"/>
      <c r="U476" s="83"/>
      <c r="V476" s="83"/>
      <c r="W476" s="83"/>
      <c r="X476" s="83"/>
      <c r="Y476" s="83"/>
      <c r="Z476" s="83"/>
      <c r="AA476" s="83"/>
      <c r="AB476" s="83"/>
      <c r="AC476" s="83"/>
      <c r="AD476" s="83"/>
      <c r="AE476" s="83"/>
      <c r="AF476" s="83"/>
      <c r="AG476" s="83"/>
      <c r="AH476" s="83"/>
      <c r="AI476" s="83"/>
      <c r="AJ476" s="83"/>
      <c r="AK476" s="83"/>
    </row>
    <row r="477">
      <c r="A477" s="83"/>
      <c r="B477" s="83"/>
      <c r="C477" s="83"/>
      <c r="D477" s="83"/>
      <c r="E477" s="118"/>
      <c r="F477" s="118"/>
      <c r="G477" s="118"/>
      <c r="H477" s="118"/>
      <c r="I477" s="118"/>
      <c r="J477" s="118"/>
      <c r="K477" s="118"/>
      <c r="L477" s="118"/>
      <c r="M477" s="118"/>
      <c r="N477" s="83"/>
      <c r="O477" s="83"/>
      <c r="P477" s="83"/>
      <c r="Q477" s="83"/>
      <c r="R477" s="83"/>
      <c r="S477" s="83"/>
      <c r="T477" s="83"/>
      <c r="U477" s="83"/>
      <c r="V477" s="83"/>
      <c r="W477" s="83"/>
      <c r="X477" s="83"/>
      <c r="Y477" s="83"/>
      <c r="Z477" s="83"/>
      <c r="AA477" s="83"/>
      <c r="AB477" s="83"/>
      <c r="AC477" s="83"/>
      <c r="AD477" s="83"/>
      <c r="AE477" s="83"/>
      <c r="AF477" s="83"/>
      <c r="AG477" s="83"/>
      <c r="AH477" s="83"/>
      <c r="AI477" s="83"/>
      <c r="AJ477" s="83"/>
      <c r="AK477" s="83"/>
    </row>
    <row r="478">
      <c r="A478" s="83"/>
      <c r="B478" s="83"/>
      <c r="C478" s="83"/>
      <c r="D478" s="83"/>
      <c r="E478" s="118"/>
      <c r="F478" s="118"/>
      <c r="G478" s="118"/>
      <c r="H478" s="118"/>
      <c r="I478" s="118"/>
      <c r="J478" s="118"/>
      <c r="K478" s="118"/>
      <c r="L478" s="118"/>
      <c r="M478" s="118"/>
      <c r="N478" s="83"/>
      <c r="O478" s="83"/>
      <c r="P478" s="83"/>
      <c r="Q478" s="83"/>
      <c r="R478" s="83"/>
      <c r="S478" s="83"/>
      <c r="T478" s="83"/>
      <c r="U478" s="83"/>
      <c r="V478" s="83"/>
      <c r="W478" s="83"/>
      <c r="X478" s="83"/>
      <c r="Y478" s="83"/>
      <c r="Z478" s="83"/>
      <c r="AA478" s="83"/>
      <c r="AB478" s="83"/>
      <c r="AC478" s="83"/>
      <c r="AD478" s="83"/>
      <c r="AE478" s="83"/>
      <c r="AF478" s="83"/>
      <c r="AG478" s="83"/>
      <c r="AH478" s="83"/>
      <c r="AI478" s="83"/>
      <c r="AJ478" s="83"/>
      <c r="AK478" s="83"/>
    </row>
    <row r="479">
      <c r="A479" s="83"/>
      <c r="B479" s="83"/>
      <c r="C479" s="83"/>
      <c r="D479" s="83"/>
      <c r="E479" s="118"/>
      <c r="F479" s="118"/>
      <c r="G479" s="118"/>
      <c r="H479" s="118"/>
      <c r="I479" s="118"/>
      <c r="J479" s="118"/>
      <c r="K479" s="118"/>
      <c r="L479" s="118"/>
      <c r="M479" s="118"/>
      <c r="N479" s="83"/>
      <c r="O479" s="83"/>
      <c r="P479" s="83"/>
      <c r="Q479" s="83"/>
      <c r="R479" s="83"/>
      <c r="S479" s="83"/>
      <c r="T479" s="83"/>
      <c r="U479" s="83"/>
      <c r="V479" s="83"/>
      <c r="W479" s="83"/>
      <c r="X479" s="83"/>
      <c r="Y479" s="83"/>
      <c r="Z479" s="83"/>
      <c r="AA479" s="83"/>
      <c r="AB479" s="83"/>
      <c r="AC479" s="83"/>
      <c r="AD479" s="83"/>
      <c r="AE479" s="83"/>
      <c r="AF479" s="83"/>
      <c r="AG479" s="83"/>
      <c r="AH479" s="83"/>
      <c r="AI479" s="83"/>
      <c r="AJ479" s="83"/>
      <c r="AK479" s="83"/>
    </row>
    <row r="480">
      <c r="A480" s="83"/>
      <c r="B480" s="83"/>
      <c r="C480" s="83"/>
      <c r="D480" s="83"/>
      <c r="E480" s="118"/>
      <c r="F480" s="118"/>
      <c r="G480" s="118"/>
      <c r="H480" s="118"/>
      <c r="I480" s="118"/>
      <c r="J480" s="118"/>
      <c r="K480" s="118"/>
      <c r="L480" s="118"/>
      <c r="M480" s="118"/>
      <c r="N480" s="83"/>
      <c r="O480" s="83"/>
      <c r="P480" s="83"/>
      <c r="Q480" s="83"/>
      <c r="R480" s="83"/>
      <c r="S480" s="83"/>
      <c r="T480" s="83"/>
      <c r="U480" s="83"/>
      <c r="V480" s="83"/>
      <c r="W480" s="83"/>
      <c r="X480" s="83"/>
      <c r="Y480" s="83"/>
      <c r="Z480" s="83"/>
      <c r="AA480" s="83"/>
      <c r="AB480" s="83"/>
      <c r="AC480" s="83"/>
      <c r="AD480" s="83"/>
      <c r="AE480" s="83"/>
      <c r="AF480" s="83"/>
      <c r="AG480" s="83"/>
      <c r="AH480" s="83"/>
      <c r="AI480" s="83"/>
      <c r="AJ480" s="83"/>
      <c r="AK480" s="83"/>
    </row>
    <row r="481">
      <c r="A481" s="83"/>
      <c r="B481" s="83"/>
      <c r="C481" s="83"/>
      <c r="D481" s="83"/>
      <c r="E481" s="118"/>
      <c r="F481" s="118"/>
      <c r="G481" s="118"/>
      <c r="H481" s="118"/>
      <c r="I481" s="118"/>
      <c r="J481" s="118"/>
      <c r="K481" s="118"/>
      <c r="L481" s="118"/>
      <c r="M481" s="118"/>
      <c r="N481" s="83"/>
      <c r="O481" s="83"/>
      <c r="P481" s="83"/>
      <c r="Q481" s="83"/>
      <c r="R481" s="83"/>
      <c r="S481" s="83"/>
      <c r="T481" s="83"/>
      <c r="U481" s="83"/>
      <c r="V481" s="83"/>
      <c r="W481" s="83"/>
      <c r="X481" s="83"/>
      <c r="Y481" s="83"/>
      <c r="Z481" s="83"/>
      <c r="AA481" s="83"/>
      <c r="AB481" s="83"/>
      <c r="AC481" s="83"/>
      <c r="AD481" s="83"/>
      <c r="AE481" s="83"/>
      <c r="AF481" s="83"/>
      <c r="AG481" s="83"/>
      <c r="AH481" s="83"/>
      <c r="AI481" s="83"/>
      <c r="AJ481" s="83"/>
      <c r="AK481" s="83"/>
    </row>
    <row r="482">
      <c r="A482" s="83"/>
      <c r="B482" s="83"/>
      <c r="C482" s="83"/>
      <c r="D482" s="83"/>
      <c r="E482" s="118"/>
      <c r="F482" s="118"/>
      <c r="G482" s="118"/>
      <c r="H482" s="118"/>
      <c r="I482" s="118"/>
      <c r="J482" s="118"/>
      <c r="K482" s="118"/>
      <c r="L482" s="118"/>
      <c r="M482" s="118"/>
      <c r="N482" s="83"/>
      <c r="O482" s="83"/>
      <c r="P482" s="83"/>
      <c r="Q482" s="83"/>
      <c r="R482" s="83"/>
      <c r="S482" s="83"/>
      <c r="T482" s="83"/>
      <c r="U482" s="83"/>
      <c r="V482" s="83"/>
      <c r="W482" s="83"/>
      <c r="X482" s="83"/>
      <c r="Y482" s="83"/>
      <c r="Z482" s="83"/>
      <c r="AA482" s="83"/>
      <c r="AB482" s="83"/>
      <c r="AC482" s="83"/>
      <c r="AD482" s="83"/>
      <c r="AE482" s="83"/>
      <c r="AF482" s="83"/>
      <c r="AG482" s="83"/>
      <c r="AH482" s="83"/>
      <c r="AI482" s="83"/>
      <c r="AJ482" s="83"/>
      <c r="AK482" s="83"/>
    </row>
    <row r="483">
      <c r="A483" s="83"/>
      <c r="B483" s="83"/>
      <c r="C483" s="83"/>
      <c r="D483" s="83"/>
      <c r="E483" s="118"/>
      <c r="F483" s="118"/>
      <c r="G483" s="118"/>
      <c r="H483" s="118"/>
      <c r="I483" s="118"/>
      <c r="J483" s="118"/>
      <c r="K483" s="118"/>
      <c r="L483" s="118"/>
      <c r="M483" s="118"/>
      <c r="N483" s="83"/>
      <c r="O483" s="83"/>
      <c r="P483" s="83"/>
      <c r="Q483" s="83"/>
      <c r="R483" s="83"/>
      <c r="S483" s="83"/>
      <c r="T483" s="83"/>
      <c r="U483" s="83"/>
      <c r="V483" s="83"/>
      <c r="W483" s="83"/>
      <c r="X483" s="83"/>
      <c r="Y483" s="83"/>
      <c r="Z483" s="83"/>
      <c r="AA483" s="83"/>
      <c r="AB483" s="83"/>
      <c r="AC483" s="83"/>
      <c r="AD483" s="83"/>
      <c r="AE483" s="83"/>
      <c r="AF483" s="83"/>
      <c r="AG483" s="83"/>
      <c r="AH483" s="83"/>
      <c r="AI483" s="83"/>
      <c r="AJ483" s="83"/>
      <c r="AK483" s="83"/>
    </row>
    <row r="484">
      <c r="A484" s="83"/>
      <c r="B484" s="83"/>
      <c r="C484" s="83"/>
      <c r="D484" s="83"/>
      <c r="E484" s="118"/>
      <c r="F484" s="118"/>
      <c r="G484" s="118"/>
      <c r="H484" s="118"/>
      <c r="I484" s="118"/>
      <c r="J484" s="118"/>
      <c r="K484" s="118"/>
      <c r="L484" s="118"/>
      <c r="M484" s="118"/>
      <c r="N484" s="83"/>
      <c r="O484" s="83"/>
      <c r="P484" s="83"/>
      <c r="Q484" s="83"/>
      <c r="R484" s="83"/>
      <c r="S484" s="83"/>
      <c r="T484" s="83"/>
      <c r="U484" s="83"/>
      <c r="V484" s="83"/>
      <c r="W484" s="83"/>
      <c r="X484" s="83"/>
      <c r="Y484" s="83"/>
      <c r="Z484" s="83"/>
      <c r="AA484" s="83"/>
      <c r="AB484" s="83"/>
      <c r="AC484" s="83"/>
      <c r="AD484" s="83"/>
      <c r="AE484" s="83"/>
      <c r="AF484" s="83"/>
      <c r="AG484" s="83"/>
      <c r="AH484" s="83"/>
      <c r="AI484" s="83"/>
      <c r="AJ484" s="83"/>
      <c r="AK484" s="83"/>
    </row>
    <row r="485">
      <c r="A485" s="83"/>
      <c r="B485" s="83"/>
      <c r="C485" s="83"/>
      <c r="D485" s="83"/>
      <c r="E485" s="118"/>
      <c r="F485" s="118"/>
      <c r="G485" s="118"/>
      <c r="H485" s="118"/>
      <c r="I485" s="118"/>
      <c r="J485" s="118"/>
      <c r="K485" s="118"/>
      <c r="L485" s="118"/>
      <c r="M485" s="118"/>
      <c r="N485" s="83"/>
      <c r="O485" s="83"/>
      <c r="P485" s="83"/>
      <c r="Q485" s="83"/>
      <c r="R485" s="83"/>
      <c r="S485" s="83"/>
      <c r="T485" s="83"/>
      <c r="U485" s="83"/>
      <c r="V485" s="83"/>
      <c r="W485" s="83"/>
      <c r="X485" s="83"/>
      <c r="Y485" s="83"/>
      <c r="Z485" s="83"/>
      <c r="AA485" s="83"/>
      <c r="AB485" s="83"/>
      <c r="AC485" s="83"/>
      <c r="AD485" s="83"/>
      <c r="AE485" s="83"/>
      <c r="AF485" s="83"/>
      <c r="AG485" s="83"/>
      <c r="AH485" s="83"/>
      <c r="AI485" s="83"/>
      <c r="AJ485" s="83"/>
      <c r="AK485" s="83"/>
    </row>
    <row r="486">
      <c r="A486" s="83"/>
      <c r="B486" s="83"/>
      <c r="C486" s="83"/>
      <c r="D486" s="83"/>
      <c r="E486" s="118"/>
      <c r="F486" s="118"/>
      <c r="G486" s="118"/>
      <c r="H486" s="118"/>
      <c r="I486" s="118"/>
      <c r="J486" s="118"/>
      <c r="K486" s="118"/>
      <c r="L486" s="118"/>
      <c r="M486" s="118"/>
      <c r="N486" s="83"/>
      <c r="O486" s="83"/>
      <c r="P486" s="83"/>
      <c r="Q486" s="83"/>
      <c r="R486" s="83"/>
      <c r="S486" s="83"/>
      <c r="T486" s="83"/>
      <c r="U486" s="83"/>
      <c r="V486" s="83"/>
      <c r="W486" s="83"/>
      <c r="X486" s="83"/>
      <c r="Y486" s="83"/>
      <c r="Z486" s="83"/>
      <c r="AA486" s="83"/>
      <c r="AB486" s="83"/>
      <c r="AC486" s="83"/>
      <c r="AD486" s="83"/>
      <c r="AE486" s="83"/>
      <c r="AF486" s="83"/>
      <c r="AG486" s="83"/>
      <c r="AH486" s="83"/>
      <c r="AI486" s="83"/>
      <c r="AJ486" s="83"/>
      <c r="AK486" s="83"/>
    </row>
    <row r="487">
      <c r="A487" s="83"/>
      <c r="B487" s="83"/>
      <c r="C487" s="83"/>
      <c r="D487" s="83"/>
      <c r="E487" s="118"/>
      <c r="F487" s="118"/>
      <c r="G487" s="118"/>
      <c r="H487" s="118"/>
      <c r="I487" s="118"/>
      <c r="J487" s="118"/>
      <c r="K487" s="118"/>
      <c r="L487" s="118"/>
      <c r="M487" s="118"/>
      <c r="N487" s="83"/>
      <c r="O487" s="83"/>
      <c r="P487" s="83"/>
      <c r="Q487" s="83"/>
      <c r="R487" s="83"/>
      <c r="S487" s="83"/>
      <c r="T487" s="83"/>
      <c r="U487" s="83"/>
      <c r="V487" s="83"/>
      <c r="W487" s="83"/>
      <c r="X487" s="83"/>
      <c r="Y487" s="83"/>
      <c r="Z487" s="83"/>
      <c r="AA487" s="83"/>
      <c r="AB487" s="83"/>
      <c r="AC487" s="83"/>
      <c r="AD487" s="83"/>
      <c r="AE487" s="83"/>
      <c r="AF487" s="83"/>
      <c r="AG487" s="83"/>
      <c r="AH487" s="83"/>
      <c r="AI487" s="83"/>
      <c r="AJ487" s="83"/>
      <c r="AK487" s="83"/>
    </row>
    <row r="488">
      <c r="A488" s="83"/>
      <c r="B488" s="83"/>
      <c r="C488" s="83"/>
      <c r="D488" s="83"/>
      <c r="E488" s="118"/>
      <c r="F488" s="118"/>
      <c r="G488" s="118"/>
      <c r="H488" s="118"/>
      <c r="I488" s="118"/>
      <c r="J488" s="118"/>
      <c r="K488" s="118"/>
      <c r="L488" s="118"/>
      <c r="M488" s="118"/>
      <c r="N488" s="83"/>
      <c r="O488" s="83"/>
      <c r="P488" s="83"/>
      <c r="Q488" s="83"/>
      <c r="R488" s="83"/>
      <c r="S488" s="83"/>
      <c r="T488" s="83"/>
      <c r="U488" s="83"/>
      <c r="V488" s="83"/>
      <c r="W488" s="83"/>
      <c r="X488" s="83"/>
      <c r="Y488" s="83"/>
      <c r="Z488" s="83"/>
      <c r="AA488" s="83"/>
      <c r="AB488" s="83"/>
      <c r="AC488" s="83"/>
      <c r="AD488" s="83"/>
      <c r="AE488" s="83"/>
      <c r="AF488" s="83"/>
      <c r="AG488" s="83"/>
      <c r="AH488" s="83"/>
      <c r="AI488" s="83"/>
      <c r="AJ488" s="83"/>
      <c r="AK488" s="83"/>
    </row>
    <row r="489">
      <c r="A489" s="83"/>
      <c r="B489" s="83"/>
      <c r="C489" s="83"/>
      <c r="D489" s="83"/>
      <c r="E489" s="118"/>
      <c r="F489" s="118"/>
      <c r="G489" s="118"/>
      <c r="H489" s="118"/>
      <c r="I489" s="118"/>
      <c r="J489" s="118"/>
      <c r="K489" s="118"/>
      <c r="L489" s="118"/>
      <c r="M489" s="118"/>
      <c r="N489" s="83"/>
      <c r="O489" s="83"/>
      <c r="P489" s="83"/>
      <c r="Q489" s="83"/>
      <c r="R489" s="83"/>
      <c r="S489" s="83"/>
      <c r="T489" s="83"/>
      <c r="U489" s="83"/>
      <c r="V489" s="83"/>
      <c r="W489" s="83"/>
      <c r="X489" s="83"/>
      <c r="Y489" s="83"/>
      <c r="Z489" s="83"/>
      <c r="AA489" s="83"/>
      <c r="AB489" s="83"/>
      <c r="AC489" s="83"/>
      <c r="AD489" s="83"/>
      <c r="AE489" s="83"/>
      <c r="AF489" s="83"/>
      <c r="AG489" s="83"/>
      <c r="AH489" s="83"/>
      <c r="AI489" s="83"/>
      <c r="AJ489" s="83"/>
      <c r="AK489" s="83"/>
    </row>
    <row r="490">
      <c r="A490" s="83"/>
      <c r="B490" s="83"/>
      <c r="C490" s="83"/>
      <c r="D490" s="83"/>
      <c r="E490" s="118"/>
      <c r="F490" s="118"/>
      <c r="G490" s="118"/>
      <c r="H490" s="118"/>
      <c r="I490" s="118"/>
      <c r="J490" s="118"/>
      <c r="K490" s="118"/>
      <c r="L490" s="118"/>
      <c r="M490" s="118"/>
      <c r="N490" s="83"/>
      <c r="O490" s="83"/>
      <c r="P490" s="83"/>
      <c r="Q490" s="83"/>
      <c r="R490" s="83"/>
      <c r="S490" s="83"/>
      <c r="T490" s="83"/>
      <c r="U490" s="83"/>
      <c r="V490" s="83"/>
      <c r="W490" s="83"/>
      <c r="X490" s="83"/>
      <c r="Y490" s="83"/>
      <c r="Z490" s="83"/>
      <c r="AA490" s="83"/>
      <c r="AB490" s="83"/>
      <c r="AC490" s="83"/>
      <c r="AD490" s="83"/>
      <c r="AE490" s="83"/>
      <c r="AF490" s="83"/>
      <c r="AG490" s="83"/>
      <c r="AH490" s="83"/>
      <c r="AI490" s="83"/>
      <c r="AJ490" s="83"/>
      <c r="AK490" s="83"/>
    </row>
    <row r="491">
      <c r="A491" s="83"/>
      <c r="B491" s="83"/>
      <c r="C491" s="83"/>
      <c r="D491" s="83"/>
      <c r="E491" s="118"/>
      <c r="F491" s="118"/>
      <c r="G491" s="118"/>
      <c r="H491" s="118"/>
      <c r="I491" s="118"/>
      <c r="J491" s="118"/>
      <c r="K491" s="118"/>
      <c r="L491" s="118"/>
      <c r="M491" s="118"/>
      <c r="N491" s="83"/>
      <c r="O491" s="83"/>
      <c r="P491" s="83"/>
      <c r="Q491" s="83"/>
      <c r="R491" s="83"/>
      <c r="S491" s="83"/>
      <c r="T491" s="83"/>
      <c r="U491" s="83"/>
      <c r="V491" s="83"/>
      <c r="W491" s="83"/>
      <c r="X491" s="83"/>
      <c r="Y491" s="83"/>
      <c r="Z491" s="83"/>
      <c r="AA491" s="83"/>
      <c r="AB491" s="83"/>
      <c r="AC491" s="83"/>
      <c r="AD491" s="83"/>
      <c r="AE491" s="83"/>
      <c r="AF491" s="83"/>
      <c r="AG491" s="83"/>
      <c r="AH491" s="83"/>
      <c r="AI491" s="83"/>
      <c r="AJ491" s="83"/>
      <c r="AK491" s="83"/>
    </row>
    <row r="492">
      <c r="A492" s="83"/>
      <c r="B492" s="83"/>
      <c r="C492" s="83"/>
      <c r="D492" s="83"/>
      <c r="E492" s="118"/>
      <c r="F492" s="118"/>
      <c r="G492" s="118"/>
      <c r="H492" s="118"/>
      <c r="I492" s="118"/>
      <c r="J492" s="118"/>
      <c r="K492" s="118"/>
      <c r="L492" s="118"/>
      <c r="M492" s="118"/>
      <c r="N492" s="83"/>
      <c r="O492" s="83"/>
      <c r="P492" s="83"/>
      <c r="Q492" s="83"/>
      <c r="R492" s="83"/>
      <c r="S492" s="83"/>
      <c r="T492" s="83"/>
      <c r="U492" s="83"/>
      <c r="V492" s="83"/>
      <c r="W492" s="83"/>
      <c r="X492" s="83"/>
      <c r="Y492" s="83"/>
      <c r="Z492" s="83"/>
      <c r="AA492" s="83"/>
      <c r="AB492" s="83"/>
      <c r="AC492" s="83"/>
      <c r="AD492" s="83"/>
      <c r="AE492" s="83"/>
      <c r="AF492" s="83"/>
      <c r="AG492" s="83"/>
      <c r="AH492" s="83"/>
      <c r="AI492" s="83"/>
      <c r="AJ492" s="83"/>
      <c r="AK492" s="83"/>
    </row>
    <row r="493">
      <c r="A493" s="83"/>
      <c r="B493" s="83"/>
      <c r="C493" s="83"/>
      <c r="D493" s="83"/>
      <c r="E493" s="118"/>
      <c r="F493" s="118"/>
      <c r="G493" s="118"/>
      <c r="H493" s="118"/>
      <c r="I493" s="118"/>
      <c r="J493" s="118"/>
      <c r="K493" s="118"/>
      <c r="L493" s="118"/>
      <c r="M493" s="118"/>
      <c r="N493" s="83"/>
      <c r="O493" s="83"/>
      <c r="P493" s="83"/>
      <c r="Q493" s="83"/>
      <c r="R493" s="83"/>
      <c r="S493" s="83"/>
      <c r="T493" s="83"/>
      <c r="U493" s="83"/>
      <c r="V493" s="83"/>
      <c r="W493" s="83"/>
      <c r="X493" s="83"/>
      <c r="Y493" s="83"/>
      <c r="Z493" s="83"/>
      <c r="AA493" s="83"/>
      <c r="AB493" s="83"/>
      <c r="AC493" s="83"/>
      <c r="AD493" s="83"/>
      <c r="AE493" s="83"/>
      <c r="AF493" s="83"/>
      <c r="AG493" s="83"/>
      <c r="AH493" s="83"/>
      <c r="AI493" s="83"/>
      <c r="AJ493" s="83"/>
      <c r="AK493" s="83"/>
    </row>
    <row r="494">
      <c r="A494" s="83"/>
      <c r="B494" s="83"/>
      <c r="C494" s="83"/>
      <c r="D494" s="83"/>
      <c r="E494" s="118"/>
      <c r="F494" s="118"/>
      <c r="G494" s="118"/>
      <c r="H494" s="118"/>
      <c r="I494" s="118"/>
      <c r="J494" s="118"/>
      <c r="K494" s="118"/>
      <c r="L494" s="118"/>
      <c r="M494" s="118"/>
      <c r="N494" s="83"/>
      <c r="O494" s="83"/>
      <c r="P494" s="83"/>
      <c r="Q494" s="83"/>
      <c r="R494" s="83"/>
      <c r="S494" s="83"/>
      <c r="T494" s="83"/>
      <c r="U494" s="83"/>
      <c r="V494" s="83"/>
      <c r="W494" s="83"/>
      <c r="X494" s="83"/>
      <c r="Y494" s="83"/>
      <c r="Z494" s="83"/>
      <c r="AA494" s="83"/>
      <c r="AB494" s="83"/>
      <c r="AC494" s="83"/>
      <c r="AD494" s="83"/>
      <c r="AE494" s="83"/>
      <c r="AF494" s="83"/>
      <c r="AG494" s="83"/>
      <c r="AH494" s="83"/>
      <c r="AI494" s="83"/>
      <c r="AJ494" s="83"/>
      <c r="AK494" s="83"/>
    </row>
    <row r="495">
      <c r="A495" s="83"/>
      <c r="B495" s="83"/>
      <c r="C495" s="83"/>
      <c r="D495" s="83"/>
      <c r="E495" s="118"/>
      <c r="F495" s="118"/>
      <c r="G495" s="118"/>
      <c r="H495" s="118"/>
      <c r="I495" s="118"/>
      <c r="J495" s="118"/>
      <c r="K495" s="118"/>
      <c r="L495" s="118"/>
      <c r="M495" s="118"/>
      <c r="N495" s="83"/>
      <c r="O495" s="83"/>
      <c r="P495" s="83"/>
      <c r="Q495" s="83"/>
      <c r="R495" s="83"/>
      <c r="S495" s="83"/>
      <c r="T495" s="83"/>
      <c r="U495" s="83"/>
      <c r="V495" s="83"/>
      <c r="W495" s="83"/>
      <c r="X495" s="83"/>
      <c r="Y495" s="83"/>
      <c r="Z495" s="83"/>
      <c r="AA495" s="83"/>
      <c r="AB495" s="83"/>
      <c r="AC495" s="83"/>
      <c r="AD495" s="83"/>
      <c r="AE495" s="83"/>
      <c r="AF495" s="83"/>
      <c r="AG495" s="83"/>
      <c r="AH495" s="83"/>
      <c r="AI495" s="83"/>
      <c r="AJ495" s="83"/>
      <c r="AK495" s="83"/>
    </row>
    <row r="496">
      <c r="A496" s="83"/>
      <c r="B496" s="83"/>
      <c r="C496" s="83"/>
      <c r="D496" s="83"/>
      <c r="E496" s="118"/>
      <c r="F496" s="118"/>
      <c r="G496" s="118"/>
      <c r="H496" s="118"/>
      <c r="I496" s="118"/>
      <c r="J496" s="118"/>
      <c r="K496" s="118"/>
      <c r="L496" s="118"/>
      <c r="M496" s="118"/>
      <c r="N496" s="83"/>
      <c r="O496" s="83"/>
      <c r="P496" s="83"/>
      <c r="Q496" s="83"/>
      <c r="R496" s="83"/>
      <c r="S496" s="83"/>
      <c r="T496" s="83"/>
      <c r="U496" s="83"/>
      <c r="V496" s="83"/>
      <c r="W496" s="83"/>
      <c r="X496" s="83"/>
      <c r="Y496" s="83"/>
      <c r="Z496" s="83"/>
      <c r="AA496" s="83"/>
      <c r="AB496" s="83"/>
      <c r="AC496" s="83"/>
      <c r="AD496" s="83"/>
      <c r="AE496" s="83"/>
      <c r="AF496" s="83"/>
      <c r="AG496" s="83"/>
      <c r="AH496" s="83"/>
      <c r="AI496" s="83"/>
      <c r="AJ496" s="83"/>
      <c r="AK496" s="83"/>
    </row>
    <row r="497">
      <c r="A497" s="83"/>
      <c r="B497" s="83"/>
      <c r="C497" s="83"/>
      <c r="D497" s="83"/>
      <c r="E497" s="118"/>
      <c r="F497" s="118"/>
      <c r="G497" s="118"/>
      <c r="H497" s="118"/>
      <c r="I497" s="118"/>
      <c r="J497" s="118"/>
      <c r="K497" s="118"/>
      <c r="L497" s="118"/>
      <c r="M497" s="118"/>
      <c r="N497" s="83"/>
      <c r="O497" s="83"/>
      <c r="P497" s="83"/>
      <c r="Q497" s="83"/>
      <c r="R497" s="83"/>
      <c r="S497" s="83"/>
      <c r="T497" s="83"/>
      <c r="U497" s="83"/>
      <c r="V497" s="83"/>
      <c r="W497" s="83"/>
      <c r="X497" s="83"/>
      <c r="Y497" s="83"/>
      <c r="Z497" s="83"/>
      <c r="AA497" s="83"/>
      <c r="AB497" s="83"/>
      <c r="AC497" s="83"/>
      <c r="AD497" s="83"/>
      <c r="AE497" s="83"/>
      <c r="AF497" s="83"/>
      <c r="AG497" s="83"/>
      <c r="AH497" s="83"/>
      <c r="AI497" s="83"/>
      <c r="AJ497" s="83"/>
      <c r="AK497" s="83"/>
    </row>
    <row r="498">
      <c r="A498" s="83"/>
      <c r="B498" s="83"/>
      <c r="C498" s="83"/>
      <c r="D498" s="83"/>
      <c r="E498" s="118"/>
      <c r="F498" s="118"/>
      <c r="G498" s="118"/>
      <c r="H498" s="118"/>
      <c r="I498" s="118"/>
      <c r="J498" s="118"/>
      <c r="K498" s="118"/>
      <c r="L498" s="118"/>
      <c r="M498" s="118"/>
      <c r="N498" s="83"/>
      <c r="O498" s="83"/>
      <c r="P498" s="83"/>
      <c r="Q498" s="83"/>
      <c r="R498" s="83"/>
      <c r="S498" s="83"/>
      <c r="T498" s="83"/>
      <c r="U498" s="83"/>
      <c r="V498" s="83"/>
      <c r="W498" s="83"/>
      <c r="X498" s="83"/>
      <c r="Y498" s="83"/>
      <c r="Z498" s="83"/>
      <c r="AA498" s="83"/>
      <c r="AB498" s="83"/>
      <c r="AC498" s="83"/>
      <c r="AD498" s="83"/>
      <c r="AE498" s="83"/>
      <c r="AF498" s="83"/>
      <c r="AG498" s="83"/>
      <c r="AH498" s="83"/>
      <c r="AI498" s="83"/>
      <c r="AJ498" s="83"/>
      <c r="AK498" s="83"/>
    </row>
    <row r="499">
      <c r="A499" s="83"/>
      <c r="B499" s="83"/>
      <c r="C499" s="83"/>
      <c r="D499" s="83"/>
      <c r="E499" s="118"/>
      <c r="F499" s="118"/>
      <c r="G499" s="118"/>
      <c r="H499" s="118"/>
      <c r="I499" s="118"/>
      <c r="J499" s="118"/>
      <c r="K499" s="118"/>
      <c r="L499" s="118"/>
      <c r="M499" s="118"/>
      <c r="N499" s="83"/>
      <c r="O499" s="83"/>
      <c r="P499" s="83"/>
      <c r="Q499" s="83"/>
      <c r="R499" s="83"/>
      <c r="S499" s="83"/>
      <c r="T499" s="83"/>
      <c r="U499" s="83"/>
      <c r="V499" s="83"/>
      <c r="W499" s="83"/>
      <c r="X499" s="83"/>
      <c r="Y499" s="83"/>
      <c r="Z499" s="83"/>
      <c r="AA499" s="83"/>
      <c r="AB499" s="83"/>
      <c r="AC499" s="83"/>
      <c r="AD499" s="83"/>
      <c r="AE499" s="83"/>
      <c r="AF499" s="83"/>
      <c r="AG499" s="83"/>
      <c r="AH499" s="83"/>
      <c r="AI499" s="83"/>
      <c r="AJ499" s="83"/>
      <c r="AK499" s="83"/>
    </row>
    <row r="500">
      <c r="A500" s="83"/>
      <c r="B500" s="83"/>
      <c r="C500" s="83"/>
      <c r="D500" s="83"/>
      <c r="E500" s="118"/>
      <c r="F500" s="118"/>
      <c r="G500" s="118"/>
      <c r="H500" s="118"/>
      <c r="I500" s="118"/>
      <c r="J500" s="118"/>
      <c r="K500" s="118"/>
      <c r="L500" s="118"/>
      <c r="M500" s="118"/>
      <c r="N500" s="83"/>
      <c r="O500" s="83"/>
      <c r="P500" s="83"/>
      <c r="Q500" s="83"/>
      <c r="R500" s="83"/>
      <c r="S500" s="83"/>
      <c r="T500" s="83"/>
      <c r="U500" s="83"/>
      <c r="V500" s="83"/>
      <c r="W500" s="83"/>
      <c r="X500" s="83"/>
      <c r="Y500" s="83"/>
      <c r="Z500" s="83"/>
      <c r="AA500" s="83"/>
      <c r="AB500" s="83"/>
      <c r="AC500" s="83"/>
      <c r="AD500" s="83"/>
      <c r="AE500" s="83"/>
      <c r="AF500" s="83"/>
      <c r="AG500" s="83"/>
      <c r="AH500" s="83"/>
      <c r="AI500" s="83"/>
      <c r="AJ500" s="83"/>
      <c r="AK500" s="83"/>
    </row>
    <row r="501">
      <c r="A501" s="83"/>
      <c r="B501" s="83"/>
      <c r="C501" s="83"/>
      <c r="D501" s="83"/>
      <c r="E501" s="118"/>
      <c r="F501" s="118"/>
      <c r="G501" s="118"/>
      <c r="H501" s="118"/>
      <c r="I501" s="118"/>
      <c r="J501" s="118"/>
      <c r="K501" s="118"/>
      <c r="L501" s="118"/>
      <c r="M501" s="118"/>
      <c r="N501" s="83"/>
      <c r="O501" s="83"/>
      <c r="P501" s="83"/>
      <c r="Q501" s="83"/>
      <c r="R501" s="83"/>
      <c r="S501" s="83"/>
      <c r="T501" s="83"/>
      <c r="U501" s="83"/>
      <c r="V501" s="83"/>
      <c r="W501" s="83"/>
      <c r="X501" s="83"/>
      <c r="Y501" s="83"/>
      <c r="Z501" s="83"/>
      <c r="AA501" s="83"/>
      <c r="AB501" s="83"/>
      <c r="AC501" s="83"/>
      <c r="AD501" s="83"/>
      <c r="AE501" s="83"/>
      <c r="AF501" s="83"/>
      <c r="AG501" s="83"/>
      <c r="AH501" s="83"/>
      <c r="AI501" s="83"/>
      <c r="AJ501" s="83"/>
      <c r="AK501" s="83"/>
    </row>
    <row r="502">
      <c r="A502" s="83"/>
      <c r="B502" s="83"/>
      <c r="C502" s="83"/>
      <c r="D502" s="83"/>
      <c r="E502" s="118"/>
      <c r="F502" s="118"/>
      <c r="G502" s="118"/>
      <c r="H502" s="118"/>
      <c r="I502" s="118"/>
      <c r="J502" s="118"/>
      <c r="K502" s="118"/>
      <c r="L502" s="118"/>
      <c r="M502" s="118"/>
      <c r="N502" s="83"/>
      <c r="O502" s="83"/>
      <c r="P502" s="83"/>
      <c r="Q502" s="83"/>
      <c r="R502" s="83"/>
      <c r="S502" s="83"/>
      <c r="T502" s="83"/>
      <c r="U502" s="83"/>
      <c r="V502" s="83"/>
      <c r="W502" s="83"/>
      <c r="X502" s="83"/>
      <c r="Y502" s="83"/>
      <c r="Z502" s="83"/>
      <c r="AA502" s="83"/>
      <c r="AB502" s="83"/>
      <c r="AC502" s="83"/>
      <c r="AD502" s="83"/>
      <c r="AE502" s="83"/>
      <c r="AF502" s="83"/>
      <c r="AG502" s="83"/>
      <c r="AH502" s="83"/>
      <c r="AI502" s="83"/>
      <c r="AJ502" s="83"/>
      <c r="AK502" s="83"/>
    </row>
    <row r="503">
      <c r="A503" s="83"/>
      <c r="B503" s="83"/>
      <c r="C503" s="83"/>
      <c r="D503" s="83"/>
      <c r="E503" s="118"/>
      <c r="F503" s="118"/>
      <c r="G503" s="118"/>
      <c r="H503" s="118"/>
      <c r="I503" s="118"/>
      <c r="J503" s="118"/>
      <c r="K503" s="118"/>
      <c r="L503" s="118"/>
      <c r="M503" s="118"/>
      <c r="N503" s="83"/>
      <c r="O503" s="83"/>
      <c r="P503" s="83"/>
      <c r="Q503" s="83"/>
      <c r="R503" s="83"/>
      <c r="S503" s="83"/>
      <c r="T503" s="83"/>
      <c r="U503" s="83"/>
      <c r="V503" s="83"/>
      <c r="W503" s="83"/>
      <c r="X503" s="83"/>
      <c r="Y503" s="83"/>
      <c r="Z503" s="83"/>
      <c r="AA503" s="83"/>
      <c r="AB503" s="83"/>
      <c r="AC503" s="83"/>
      <c r="AD503" s="83"/>
      <c r="AE503" s="83"/>
      <c r="AF503" s="83"/>
      <c r="AG503" s="83"/>
      <c r="AH503" s="83"/>
      <c r="AI503" s="83"/>
      <c r="AJ503" s="83"/>
      <c r="AK503" s="83"/>
    </row>
    <row r="504">
      <c r="A504" s="83"/>
      <c r="B504" s="83"/>
      <c r="C504" s="83"/>
      <c r="D504" s="83"/>
      <c r="E504" s="118"/>
      <c r="F504" s="118"/>
      <c r="G504" s="118"/>
      <c r="H504" s="118"/>
      <c r="I504" s="118"/>
      <c r="J504" s="118"/>
      <c r="K504" s="118"/>
      <c r="L504" s="118"/>
      <c r="M504" s="118"/>
      <c r="N504" s="83"/>
      <c r="O504" s="83"/>
      <c r="P504" s="83"/>
      <c r="Q504" s="83"/>
      <c r="R504" s="83"/>
      <c r="S504" s="83"/>
      <c r="T504" s="83"/>
      <c r="U504" s="83"/>
      <c r="V504" s="83"/>
      <c r="W504" s="83"/>
      <c r="X504" s="83"/>
      <c r="Y504" s="83"/>
      <c r="Z504" s="83"/>
      <c r="AA504" s="83"/>
      <c r="AB504" s="83"/>
      <c r="AC504" s="83"/>
      <c r="AD504" s="83"/>
      <c r="AE504" s="83"/>
      <c r="AF504" s="83"/>
      <c r="AG504" s="83"/>
      <c r="AH504" s="83"/>
      <c r="AI504" s="83"/>
      <c r="AJ504" s="83"/>
      <c r="AK504" s="83"/>
    </row>
    <row r="505">
      <c r="A505" s="83"/>
      <c r="B505" s="83"/>
      <c r="C505" s="83"/>
      <c r="D505" s="83"/>
      <c r="E505" s="118"/>
      <c r="F505" s="118"/>
      <c r="G505" s="118"/>
      <c r="H505" s="118"/>
      <c r="I505" s="118"/>
      <c r="J505" s="118"/>
      <c r="K505" s="118"/>
      <c r="L505" s="118"/>
      <c r="M505" s="118"/>
      <c r="N505" s="83"/>
      <c r="O505" s="83"/>
      <c r="P505" s="83"/>
      <c r="Q505" s="83"/>
      <c r="R505" s="83"/>
      <c r="S505" s="83"/>
      <c r="T505" s="83"/>
      <c r="U505" s="83"/>
      <c r="V505" s="83"/>
      <c r="W505" s="83"/>
      <c r="X505" s="83"/>
      <c r="Y505" s="83"/>
      <c r="Z505" s="83"/>
      <c r="AA505" s="83"/>
      <c r="AB505" s="83"/>
      <c r="AC505" s="83"/>
      <c r="AD505" s="83"/>
      <c r="AE505" s="83"/>
      <c r="AF505" s="83"/>
      <c r="AG505" s="83"/>
      <c r="AH505" s="83"/>
      <c r="AI505" s="83"/>
      <c r="AJ505" s="83"/>
      <c r="AK505" s="83"/>
    </row>
    <row r="506">
      <c r="A506" s="83"/>
      <c r="B506" s="83"/>
      <c r="C506" s="83"/>
      <c r="D506" s="83"/>
      <c r="E506" s="118"/>
      <c r="F506" s="118"/>
      <c r="G506" s="118"/>
      <c r="H506" s="118"/>
      <c r="I506" s="118"/>
      <c r="J506" s="118"/>
      <c r="K506" s="118"/>
      <c r="L506" s="118"/>
      <c r="M506" s="118"/>
      <c r="N506" s="83"/>
      <c r="O506" s="83"/>
      <c r="P506" s="83"/>
      <c r="Q506" s="83"/>
      <c r="R506" s="83"/>
      <c r="S506" s="83"/>
      <c r="T506" s="83"/>
      <c r="U506" s="83"/>
      <c r="V506" s="83"/>
      <c r="W506" s="83"/>
      <c r="X506" s="83"/>
      <c r="Y506" s="83"/>
      <c r="Z506" s="83"/>
      <c r="AA506" s="83"/>
      <c r="AB506" s="83"/>
      <c r="AC506" s="83"/>
      <c r="AD506" s="83"/>
      <c r="AE506" s="83"/>
      <c r="AF506" s="83"/>
      <c r="AG506" s="83"/>
      <c r="AH506" s="83"/>
      <c r="AI506" s="83"/>
      <c r="AJ506" s="83"/>
      <c r="AK506" s="83"/>
    </row>
    <row r="507">
      <c r="A507" s="83"/>
      <c r="B507" s="83"/>
      <c r="C507" s="83"/>
      <c r="D507" s="83"/>
      <c r="E507" s="118"/>
      <c r="F507" s="118"/>
      <c r="G507" s="118"/>
      <c r="H507" s="118"/>
      <c r="I507" s="118"/>
      <c r="J507" s="118"/>
      <c r="K507" s="118"/>
      <c r="L507" s="118"/>
      <c r="M507" s="118"/>
      <c r="N507" s="83"/>
      <c r="O507" s="83"/>
      <c r="P507" s="83"/>
      <c r="Q507" s="83"/>
      <c r="R507" s="83"/>
      <c r="S507" s="83"/>
      <c r="T507" s="83"/>
      <c r="U507" s="83"/>
      <c r="V507" s="83"/>
      <c r="W507" s="83"/>
      <c r="X507" s="83"/>
      <c r="Y507" s="83"/>
      <c r="Z507" s="83"/>
      <c r="AA507" s="83"/>
      <c r="AB507" s="83"/>
      <c r="AC507" s="83"/>
      <c r="AD507" s="83"/>
      <c r="AE507" s="83"/>
      <c r="AF507" s="83"/>
      <c r="AG507" s="83"/>
      <c r="AH507" s="83"/>
      <c r="AI507" s="83"/>
      <c r="AJ507" s="83"/>
      <c r="AK507" s="83"/>
    </row>
    <row r="508">
      <c r="A508" s="83"/>
      <c r="B508" s="83"/>
      <c r="C508" s="83"/>
      <c r="D508" s="83"/>
      <c r="E508" s="118"/>
      <c r="F508" s="118"/>
      <c r="G508" s="118"/>
      <c r="H508" s="118"/>
      <c r="I508" s="118"/>
      <c r="J508" s="118"/>
      <c r="K508" s="118"/>
      <c r="L508" s="118"/>
      <c r="M508" s="118"/>
      <c r="N508" s="83"/>
      <c r="O508" s="83"/>
      <c r="P508" s="83"/>
      <c r="Q508" s="83"/>
      <c r="R508" s="83"/>
      <c r="S508" s="83"/>
      <c r="T508" s="83"/>
      <c r="U508" s="83"/>
      <c r="V508" s="83"/>
      <c r="W508" s="83"/>
      <c r="X508" s="83"/>
      <c r="Y508" s="83"/>
      <c r="Z508" s="83"/>
      <c r="AA508" s="83"/>
      <c r="AB508" s="83"/>
      <c r="AC508" s="83"/>
      <c r="AD508" s="83"/>
      <c r="AE508" s="83"/>
      <c r="AF508" s="83"/>
      <c r="AG508" s="83"/>
      <c r="AH508" s="83"/>
      <c r="AI508" s="83"/>
      <c r="AJ508" s="83"/>
      <c r="AK508" s="83"/>
    </row>
    <row r="509">
      <c r="A509" s="83"/>
      <c r="B509" s="83"/>
      <c r="C509" s="83"/>
      <c r="D509" s="83"/>
      <c r="E509" s="118"/>
      <c r="F509" s="118"/>
      <c r="G509" s="118"/>
      <c r="H509" s="118"/>
      <c r="I509" s="118"/>
      <c r="J509" s="118"/>
      <c r="K509" s="118"/>
      <c r="L509" s="118"/>
      <c r="M509" s="118"/>
      <c r="N509" s="83"/>
      <c r="O509" s="83"/>
      <c r="P509" s="83"/>
      <c r="Q509" s="83"/>
      <c r="R509" s="83"/>
      <c r="S509" s="83"/>
      <c r="T509" s="83"/>
      <c r="U509" s="83"/>
      <c r="V509" s="83"/>
      <c r="W509" s="83"/>
      <c r="X509" s="83"/>
      <c r="Y509" s="83"/>
      <c r="Z509" s="83"/>
      <c r="AA509" s="83"/>
      <c r="AB509" s="83"/>
      <c r="AC509" s="83"/>
      <c r="AD509" s="83"/>
      <c r="AE509" s="83"/>
      <c r="AF509" s="83"/>
      <c r="AG509" s="83"/>
      <c r="AH509" s="83"/>
      <c r="AI509" s="83"/>
      <c r="AJ509" s="83"/>
      <c r="AK509" s="83"/>
    </row>
    <row r="510">
      <c r="A510" s="83"/>
      <c r="B510" s="83"/>
      <c r="C510" s="83"/>
      <c r="D510" s="83"/>
      <c r="E510" s="118"/>
      <c r="F510" s="118"/>
      <c r="G510" s="118"/>
      <c r="H510" s="118"/>
      <c r="I510" s="118"/>
      <c r="J510" s="118"/>
      <c r="K510" s="118"/>
      <c r="L510" s="118"/>
      <c r="M510" s="118"/>
      <c r="N510" s="83"/>
      <c r="O510" s="83"/>
      <c r="P510" s="83"/>
      <c r="Q510" s="83"/>
      <c r="R510" s="83"/>
      <c r="S510" s="83"/>
      <c r="T510" s="83"/>
      <c r="U510" s="83"/>
      <c r="V510" s="83"/>
      <c r="W510" s="83"/>
      <c r="X510" s="83"/>
      <c r="Y510" s="83"/>
      <c r="Z510" s="83"/>
      <c r="AA510" s="83"/>
      <c r="AB510" s="83"/>
      <c r="AC510" s="83"/>
      <c r="AD510" s="83"/>
      <c r="AE510" s="83"/>
      <c r="AF510" s="83"/>
      <c r="AG510" s="83"/>
      <c r="AH510" s="83"/>
      <c r="AI510" s="83"/>
      <c r="AJ510" s="83"/>
      <c r="AK510" s="83"/>
    </row>
    <row r="511">
      <c r="A511" s="83"/>
      <c r="B511" s="83"/>
      <c r="C511" s="83"/>
      <c r="D511" s="83"/>
      <c r="E511" s="118"/>
      <c r="F511" s="118"/>
      <c r="G511" s="118"/>
      <c r="H511" s="118"/>
      <c r="I511" s="118"/>
      <c r="J511" s="118"/>
      <c r="K511" s="118"/>
      <c r="L511" s="118"/>
      <c r="M511" s="118"/>
      <c r="N511" s="83"/>
      <c r="O511" s="83"/>
      <c r="P511" s="83"/>
      <c r="Q511" s="83"/>
      <c r="R511" s="83"/>
      <c r="S511" s="83"/>
      <c r="T511" s="83"/>
      <c r="U511" s="83"/>
      <c r="V511" s="83"/>
      <c r="W511" s="83"/>
      <c r="X511" s="83"/>
      <c r="Y511" s="83"/>
      <c r="Z511" s="83"/>
      <c r="AA511" s="83"/>
      <c r="AB511" s="83"/>
      <c r="AC511" s="83"/>
      <c r="AD511" s="83"/>
      <c r="AE511" s="83"/>
      <c r="AF511" s="83"/>
      <c r="AG511" s="83"/>
      <c r="AH511" s="83"/>
      <c r="AI511" s="83"/>
      <c r="AJ511" s="83"/>
      <c r="AK511" s="83"/>
    </row>
    <row r="512">
      <c r="A512" s="83"/>
      <c r="B512" s="83"/>
      <c r="C512" s="83"/>
      <c r="D512" s="83"/>
      <c r="E512" s="118"/>
      <c r="F512" s="118"/>
      <c r="G512" s="118"/>
      <c r="H512" s="118"/>
      <c r="I512" s="118"/>
      <c r="J512" s="118"/>
      <c r="K512" s="118"/>
      <c r="L512" s="118"/>
      <c r="M512" s="118"/>
      <c r="N512" s="83"/>
      <c r="O512" s="83"/>
      <c r="P512" s="83"/>
      <c r="Q512" s="83"/>
      <c r="R512" s="83"/>
      <c r="S512" s="83"/>
      <c r="T512" s="83"/>
      <c r="U512" s="83"/>
      <c r="V512" s="83"/>
      <c r="W512" s="83"/>
      <c r="X512" s="83"/>
      <c r="Y512" s="83"/>
      <c r="Z512" s="83"/>
      <c r="AA512" s="83"/>
      <c r="AB512" s="83"/>
      <c r="AC512" s="83"/>
      <c r="AD512" s="83"/>
      <c r="AE512" s="83"/>
      <c r="AF512" s="83"/>
      <c r="AG512" s="83"/>
      <c r="AH512" s="83"/>
      <c r="AI512" s="83"/>
      <c r="AJ512" s="83"/>
      <c r="AK512" s="83"/>
    </row>
    <row r="513">
      <c r="A513" s="83"/>
      <c r="B513" s="83"/>
      <c r="C513" s="83"/>
      <c r="D513" s="83"/>
      <c r="E513" s="118"/>
      <c r="F513" s="118"/>
      <c r="G513" s="118"/>
      <c r="H513" s="118"/>
      <c r="I513" s="118"/>
      <c r="J513" s="118"/>
      <c r="K513" s="118"/>
      <c r="L513" s="118"/>
      <c r="M513" s="118"/>
      <c r="N513" s="83"/>
      <c r="O513" s="83"/>
      <c r="P513" s="83"/>
      <c r="Q513" s="83"/>
      <c r="R513" s="83"/>
      <c r="S513" s="83"/>
      <c r="T513" s="83"/>
      <c r="U513" s="83"/>
      <c r="V513" s="83"/>
      <c r="W513" s="83"/>
      <c r="X513" s="83"/>
      <c r="Y513" s="83"/>
      <c r="Z513" s="83"/>
      <c r="AA513" s="83"/>
      <c r="AB513" s="83"/>
      <c r="AC513" s="83"/>
      <c r="AD513" s="83"/>
      <c r="AE513" s="83"/>
      <c r="AF513" s="83"/>
      <c r="AG513" s="83"/>
      <c r="AH513" s="83"/>
      <c r="AI513" s="83"/>
      <c r="AJ513" s="83"/>
      <c r="AK513" s="83"/>
    </row>
    <row r="514">
      <c r="A514" s="83"/>
      <c r="B514" s="83"/>
      <c r="C514" s="83"/>
      <c r="D514" s="83"/>
      <c r="E514" s="118"/>
      <c r="F514" s="118"/>
      <c r="G514" s="118"/>
      <c r="H514" s="118"/>
      <c r="I514" s="118"/>
      <c r="J514" s="118"/>
      <c r="K514" s="118"/>
      <c r="L514" s="118"/>
      <c r="M514" s="118"/>
      <c r="N514" s="83"/>
      <c r="O514" s="83"/>
      <c r="P514" s="83"/>
      <c r="Q514" s="83"/>
      <c r="R514" s="83"/>
      <c r="S514" s="83"/>
      <c r="T514" s="83"/>
      <c r="U514" s="83"/>
      <c r="V514" s="83"/>
      <c r="W514" s="83"/>
      <c r="X514" s="83"/>
      <c r="Y514" s="83"/>
      <c r="Z514" s="83"/>
      <c r="AA514" s="83"/>
      <c r="AB514" s="83"/>
      <c r="AC514" s="83"/>
      <c r="AD514" s="83"/>
      <c r="AE514" s="83"/>
      <c r="AF514" s="83"/>
      <c r="AG514" s="83"/>
      <c r="AH514" s="83"/>
      <c r="AI514" s="83"/>
      <c r="AJ514" s="83"/>
      <c r="AK514" s="83"/>
    </row>
    <row r="515">
      <c r="A515" s="83"/>
      <c r="B515" s="83"/>
      <c r="C515" s="83"/>
      <c r="D515" s="83"/>
      <c r="E515" s="118"/>
      <c r="F515" s="118"/>
      <c r="G515" s="118"/>
      <c r="H515" s="118"/>
      <c r="I515" s="118"/>
      <c r="J515" s="118"/>
      <c r="K515" s="118"/>
      <c r="L515" s="118"/>
      <c r="M515" s="118"/>
      <c r="N515" s="83"/>
      <c r="O515" s="83"/>
      <c r="P515" s="83"/>
      <c r="Q515" s="83"/>
      <c r="R515" s="83"/>
      <c r="S515" s="83"/>
      <c r="T515" s="83"/>
      <c r="U515" s="83"/>
      <c r="V515" s="83"/>
      <c r="W515" s="83"/>
      <c r="X515" s="83"/>
      <c r="Y515" s="83"/>
      <c r="Z515" s="83"/>
      <c r="AA515" s="83"/>
      <c r="AB515" s="83"/>
      <c r="AC515" s="83"/>
      <c r="AD515" s="83"/>
      <c r="AE515" s="83"/>
      <c r="AF515" s="83"/>
      <c r="AG515" s="83"/>
      <c r="AH515" s="83"/>
      <c r="AI515" s="83"/>
      <c r="AJ515" s="83"/>
      <c r="AK515" s="83"/>
    </row>
    <row r="516">
      <c r="A516" s="83"/>
      <c r="B516" s="83"/>
      <c r="C516" s="83"/>
      <c r="D516" s="83"/>
      <c r="E516" s="118"/>
      <c r="F516" s="118"/>
      <c r="G516" s="118"/>
      <c r="H516" s="118"/>
      <c r="I516" s="118"/>
      <c r="J516" s="118"/>
      <c r="K516" s="118"/>
      <c r="L516" s="118"/>
      <c r="M516" s="118"/>
      <c r="N516" s="83"/>
      <c r="O516" s="83"/>
      <c r="P516" s="83"/>
      <c r="Q516" s="83"/>
      <c r="R516" s="83"/>
      <c r="S516" s="83"/>
      <c r="T516" s="83"/>
      <c r="U516" s="83"/>
      <c r="V516" s="83"/>
      <c r="W516" s="83"/>
      <c r="X516" s="83"/>
      <c r="Y516" s="83"/>
      <c r="Z516" s="83"/>
      <c r="AA516" s="83"/>
      <c r="AB516" s="83"/>
      <c r="AC516" s="83"/>
      <c r="AD516" s="83"/>
      <c r="AE516" s="83"/>
      <c r="AF516" s="83"/>
      <c r="AG516" s="83"/>
      <c r="AH516" s="83"/>
      <c r="AI516" s="83"/>
      <c r="AJ516" s="83"/>
      <c r="AK516" s="83"/>
    </row>
    <row r="517">
      <c r="A517" s="83"/>
      <c r="B517" s="83"/>
      <c r="C517" s="83"/>
      <c r="D517" s="83"/>
      <c r="E517" s="118"/>
      <c r="F517" s="118"/>
      <c r="G517" s="118"/>
      <c r="H517" s="118"/>
      <c r="I517" s="118"/>
      <c r="J517" s="118"/>
      <c r="K517" s="118"/>
      <c r="L517" s="118"/>
      <c r="M517" s="118"/>
      <c r="N517" s="83"/>
      <c r="O517" s="83"/>
      <c r="P517" s="83"/>
      <c r="Q517" s="83"/>
      <c r="R517" s="83"/>
      <c r="S517" s="83"/>
      <c r="T517" s="83"/>
      <c r="U517" s="83"/>
      <c r="V517" s="83"/>
      <c r="W517" s="83"/>
      <c r="X517" s="83"/>
      <c r="Y517" s="83"/>
      <c r="Z517" s="83"/>
      <c r="AA517" s="83"/>
      <c r="AB517" s="83"/>
      <c r="AC517" s="83"/>
      <c r="AD517" s="83"/>
      <c r="AE517" s="83"/>
      <c r="AF517" s="83"/>
      <c r="AG517" s="83"/>
      <c r="AH517" s="83"/>
      <c r="AI517" s="83"/>
      <c r="AJ517" s="83"/>
      <c r="AK517" s="83"/>
    </row>
    <row r="518">
      <c r="A518" s="83"/>
      <c r="B518" s="83"/>
      <c r="C518" s="83"/>
      <c r="D518" s="83"/>
      <c r="E518" s="118"/>
      <c r="F518" s="118"/>
      <c r="G518" s="118"/>
      <c r="H518" s="118"/>
      <c r="I518" s="118"/>
      <c r="J518" s="118"/>
      <c r="K518" s="118"/>
      <c r="L518" s="118"/>
      <c r="M518" s="118"/>
      <c r="N518" s="83"/>
      <c r="O518" s="83"/>
      <c r="P518" s="83"/>
      <c r="Q518" s="83"/>
      <c r="R518" s="83"/>
      <c r="S518" s="83"/>
      <c r="T518" s="83"/>
      <c r="U518" s="83"/>
      <c r="V518" s="83"/>
      <c r="W518" s="83"/>
      <c r="X518" s="83"/>
      <c r="Y518" s="83"/>
      <c r="Z518" s="83"/>
      <c r="AA518" s="83"/>
      <c r="AB518" s="83"/>
      <c r="AC518" s="83"/>
      <c r="AD518" s="83"/>
      <c r="AE518" s="83"/>
      <c r="AF518" s="83"/>
      <c r="AG518" s="83"/>
      <c r="AH518" s="83"/>
      <c r="AI518" s="83"/>
      <c r="AJ518" s="83"/>
      <c r="AK518" s="83"/>
    </row>
    <row r="519">
      <c r="A519" s="83"/>
      <c r="B519" s="83"/>
      <c r="C519" s="83"/>
      <c r="D519" s="83"/>
      <c r="E519" s="118"/>
      <c r="F519" s="118"/>
      <c r="G519" s="118"/>
      <c r="H519" s="118"/>
      <c r="I519" s="118"/>
      <c r="J519" s="118"/>
      <c r="K519" s="118"/>
      <c r="L519" s="118"/>
      <c r="M519" s="118"/>
      <c r="N519" s="83"/>
      <c r="O519" s="83"/>
      <c r="P519" s="83"/>
      <c r="Q519" s="83"/>
      <c r="R519" s="83"/>
      <c r="S519" s="83"/>
      <c r="T519" s="83"/>
      <c r="U519" s="83"/>
      <c r="V519" s="83"/>
      <c r="W519" s="83"/>
      <c r="X519" s="83"/>
      <c r="Y519" s="83"/>
      <c r="Z519" s="83"/>
      <c r="AA519" s="83"/>
      <c r="AB519" s="83"/>
      <c r="AC519" s="83"/>
      <c r="AD519" s="83"/>
      <c r="AE519" s="83"/>
      <c r="AF519" s="83"/>
      <c r="AG519" s="83"/>
      <c r="AH519" s="83"/>
      <c r="AI519" s="83"/>
      <c r="AJ519" s="83"/>
      <c r="AK519" s="83"/>
    </row>
    <row r="520">
      <c r="A520" s="83"/>
      <c r="B520" s="83"/>
      <c r="C520" s="83"/>
      <c r="D520" s="83"/>
      <c r="E520" s="118"/>
      <c r="F520" s="118"/>
      <c r="G520" s="118"/>
      <c r="H520" s="118"/>
      <c r="I520" s="118"/>
      <c r="J520" s="118"/>
      <c r="K520" s="118"/>
      <c r="L520" s="118"/>
      <c r="M520" s="118"/>
      <c r="N520" s="83"/>
      <c r="O520" s="83"/>
      <c r="P520" s="83"/>
      <c r="Q520" s="83"/>
      <c r="R520" s="83"/>
      <c r="S520" s="83"/>
      <c r="T520" s="83"/>
      <c r="U520" s="83"/>
      <c r="V520" s="83"/>
      <c r="W520" s="83"/>
      <c r="X520" s="83"/>
      <c r="Y520" s="83"/>
      <c r="Z520" s="83"/>
      <c r="AA520" s="83"/>
      <c r="AB520" s="83"/>
      <c r="AC520" s="83"/>
      <c r="AD520" s="83"/>
      <c r="AE520" s="83"/>
      <c r="AF520" s="83"/>
      <c r="AG520" s="83"/>
      <c r="AH520" s="83"/>
      <c r="AI520" s="83"/>
      <c r="AJ520" s="83"/>
      <c r="AK520" s="83"/>
    </row>
    <row r="521">
      <c r="A521" s="83"/>
      <c r="B521" s="83"/>
      <c r="C521" s="83"/>
      <c r="D521" s="83"/>
      <c r="E521" s="118"/>
      <c r="F521" s="118"/>
      <c r="G521" s="118"/>
      <c r="H521" s="118"/>
      <c r="I521" s="118"/>
      <c r="J521" s="118"/>
      <c r="K521" s="118"/>
      <c r="L521" s="118"/>
      <c r="M521" s="118"/>
      <c r="N521" s="83"/>
      <c r="O521" s="83"/>
      <c r="P521" s="83"/>
      <c r="Q521" s="83"/>
      <c r="R521" s="83"/>
      <c r="S521" s="83"/>
      <c r="T521" s="83"/>
      <c r="U521" s="83"/>
      <c r="V521" s="83"/>
      <c r="W521" s="83"/>
      <c r="X521" s="83"/>
      <c r="Y521" s="83"/>
      <c r="Z521" s="83"/>
      <c r="AA521" s="83"/>
      <c r="AB521" s="83"/>
      <c r="AC521" s="83"/>
      <c r="AD521" s="83"/>
      <c r="AE521" s="83"/>
      <c r="AF521" s="83"/>
      <c r="AG521" s="83"/>
      <c r="AH521" s="83"/>
      <c r="AI521" s="83"/>
      <c r="AJ521" s="83"/>
      <c r="AK521" s="83"/>
    </row>
    <row r="522">
      <c r="A522" s="83"/>
      <c r="B522" s="83"/>
      <c r="C522" s="83"/>
      <c r="D522" s="83"/>
      <c r="E522" s="118"/>
      <c r="F522" s="118"/>
      <c r="G522" s="118"/>
      <c r="H522" s="118"/>
      <c r="I522" s="118"/>
      <c r="J522" s="118"/>
      <c r="K522" s="118"/>
      <c r="L522" s="118"/>
      <c r="M522" s="118"/>
      <c r="N522" s="83"/>
      <c r="O522" s="83"/>
      <c r="P522" s="83"/>
      <c r="Q522" s="83"/>
      <c r="R522" s="83"/>
      <c r="S522" s="83"/>
      <c r="T522" s="83"/>
      <c r="U522" s="83"/>
      <c r="V522" s="83"/>
      <c r="W522" s="83"/>
      <c r="X522" s="83"/>
      <c r="Y522" s="83"/>
      <c r="Z522" s="83"/>
      <c r="AA522" s="83"/>
      <c r="AB522" s="83"/>
      <c r="AC522" s="83"/>
      <c r="AD522" s="83"/>
      <c r="AE522" s="83"/>
      <c r="AF522" s="83"/>
      <c r="AG522" s="83"/>
      <c r="AH522" s="83"/>
      <c r="AI522" s="83"/>
      <c r="AJ522" s="83"/>
      <c r="AK522" s="83"/>
    </row>
    <row r="523">
      <c r="A523" s="83"/>
      <c r="B523" s="83"/>
      <c r="C523" s="83"/>
      <c r="D523" s="83"/>
      <c r="E523" s="118"/>
      <c r="F523" s="118"/>
      <c r="G523" s="118"/>
      <c r="H523" s="118"/>
      <c r="I523" s="118"/>
      <c r="J523" s="118"/>
      <c r="K523" s="118"/>
      <c r="L523" s="118"/>
      <c r="M523" s="118"/>
      <c r="N523" s="83"/>
      <c r="O523" s="83"/>
      <c r="P523" s="83"/>
      <c r="Q523" s="83"/>
      <c r="R523" s="83"/>
      <c r="S523" s="83"/>
      <c r="T523" s="83"/>
      <c r="U523" s="83"/>
      <c r="V523" s="83"/>
      <c r="W523" s="83"/>
      <c r="X523" s="83"/>
      <c r="Y523" s="83"/>
      <c r="Z523" s="83"/>
      <c r="AA523" s="83"/>
      <c r="AB523" s="83"/>
      <c r="AC523" s="83"/>
      <c r="AD523" s="83"/>
      <c r="AE523" s="83"/>
      <c r="AF523" s="83"/>
      <c r="AG523" s="83"/>
      <c r="AH523" s="83"/>
      <c r="AI523" s="83"/>
      <c r="AJ523" s="83"/>
      <c r="AK523" s="83"/>
    </row>
    <row r="524">
      <c r="A524" s="83"/>
      <c r="B524" s="83"/>
      <c r="C524" s="83"/>
      <c r="D524" s="83"/>
      <c r="E524" s="118"/>
      <c r="F524" s="118"/>
      <c r="G524" s="118"/>
      <c r="H524" s="118"/>
      <c r="I524" s="118"/>
      <c r="J524" s="118"/>
      <c r="K524" s="118"/>
      <c r="L524" s="118"/>
      <c r="M524" s="118"/>
      <c r="N524" s="83"/>
      <c r="O524" s="83"/>
      <c r="P524" s="83"/>
      <c r="Q524" s="83"/>
      <c r="R524" s="83"/>
      <c r="S524" s="83"/>
      <c r="T524" s="83"/>
      <c r="U524" s="83"/>
      <c r="V524" s="83"/>
      <c r="W524" s="83"/>
      <c r="X524" s="83"/>
      <c r="Y524" s="83"/>
      <c r="Z524" s="83"/>
      <c r="AA524" s="83"/>
      <c r="AB524" s="83"/>
      <c r="AC524" s="83"/>
      <c r="AD524" s="83"/>
      <c r="AE524" s="83"/>
      <c r="AF524" s="83"/>
      <c r="AG524" s="83"/>
      <c r="AH524" s="83"/>
      <c r="AI524" s="83"/>
      <c r="AJ524" s="83"/>
      <c r="AK524" s="83"/>
    </row>
    <row r="525">
      <c r="A525" s="83"/>
      <c r="B525" s="83"/>
      <c r="C525" s="83"/>
      <c r="D525" s="83"/>
      <c r="E525" s="118"/>
      <c r="F525" s="118"/>
      <c r="G525" s="118"/>
      <c r="H525" s="118"/>
      <c r="I525" s="118"/>
      <c r="J525" s="118"/>
      <c r="K525" s="118"/>
      <c r="L525" s="118"/>
      <c r="M525" s="118"/>
      <c r="N525" s="83"/>
      <c r="O525" s="83"/>
      <c r="P525" s="83"/>
      <c r="Q525" s="83"/>
      <c r="R525" s="83"/>
      <c r="S525" s="83"/>
      <c r="T525" s="83"/>
      <c r="U525" s="83"/>
      <c r="V525" s="83"/>
      <c r="W525" s="83"/>
      <c r="X525" s="83"/>
      <c r="Y525" s="83"/>
      <c r="Z525" s="83"/>
      <c r="AA525" s="83"/>
      <c r="AB525" s="83"/>
      <c r="AC525" s="83"/>
      <c r="AD525" s="83"/>
      <c r="AE525" s="83"/>
      <c r="AF525" s="83"/>
      <c r="AG525" s="83"/>
      <c r="AH525" s="83"/>
      <c r="AI525" s="83"/>
      <c r="AJ525" s="83"/>
      <c r="AK525" s="83"/>
    </row>
    <row r="526">
      <c r="A526" s="83"/>
      <c r="B526" s="83"/>
      <c r="C526" s="83"/>
      <c r="D526" s="83"/>
      <c r="E526" s="118"/>
      <c r="F526" s="118"/>
      <c r="G526" s="118"/>
      <c r="H526" s="118"/>
      <c r="I526" s="118"/>
      <c r="J526" s="118"/>
      <c r="K526" s="118"/>
      <c r="L526" s="118"/>
      <c r="M526" s="118"/>
      <c r="N526" s="83"/>
      <c r="O526" s="83"/>
      <c r="P526" s="83"/>
      <c r="Q526" s="83"/>
      <c r="R526" s="83"/>
      <c r="S526" s="83"/>
      <c r="T526" s="83"/>
      <c r="U526" s="83"/>
      <c r="V526" s="83"/>
      <c r="W526" s="83"/>
      <c r="X526" s="83"/>
      <c r="Y526" s="83"/>
      <c r="Z526" s="83"/>
      <c r="AA526" s="83"/>
      <c r="AB526" s="83"/>
      <c r="AC526" s="83"/>
      <c r="AD526" s="83"/>
      <c r="AE526" s="83"/>
      <c r="AF526" s="83"/>
      <c r="AG526" s="83"/>
      <c r="AH526" s="83"/>
      <c r="AI526" s="83"/>
      <c r="AJ526" s="83"/>
      <c r="AK526" s="83"/>
    </row>
    <row r="527">
      <c r="A527" s="83"/>
      <c r="B527" s="83"/>
      <c r="C527" s="83"/>
      <c r="D527" s="83"/>
      <c r="E527" s="118"/>
      <c r="F527" s="118"/>
      <c r="G527" s="118"/>
      <c r="H527" s="118"/>
      <c r="I527" s="118"/>
      <c r="J527" s="118"/>
      <c r="K527" s="118"/>
      <c r="L527" s="118"/>
      <c r="M527" s="118"/>
      <c r="N527" s="83"/>
      <c r="O527" s="83"/>
      <c r="P527" s="83"/>
      <c r="Q527" s="83"/>
      <c r="R527" s="83"/>
      <c r="S527" s="83"/>
      <c r="T527" s="83"/>
      <c r="U527" s="83"/>
      <c r="V527" s="83"/>
      <c r="W527" s="83"/>
      <c r="X527" s="83"/>
      <c r="Y527" s="83"/>
      <c r="Z527" s="83"/>
      <c r="AA527" s="83"/>
      <c r="AB527" s="83"/>
      <c r="AC527" s="83"/>
      <c r="AD527" s="83"/>
      <c r="AE527" s="83"/>
      <c r="AF527" s="83"/>
      <c r="AG527" s="83"/>
      <c r="AH527" s="83"/>
      <c r="AI527" s="83"/>
      <c r="AJ527" s="83"/>
      <c r="AK527" s="83"/>
    </row>
    <row r="528">
      <c r="A528" s="83"/>
      <c r="B528" s="83"/>
      <c r="C528" s="83"/>
      <c r="D528" s="83"/>
      <c r="E528" s="118"/>
      <c r="F528" s="118"/>
      <c r="G528" s="118"/>
      <c r="H528" s="118"/>
      <c r="I528" s="118"/>
      <c r="J528" s="118"/>
      <c r="K528" s="118"/>
      <c r="L528" s="118"/>
      <c r="M528" s="118"/>
      <c r="N528" s="83"/>
      <c r="O528" s="83"/>
      <c r="P528" s="83"/>
      <c r="Q528" s="83"/>
      <c r="R528" s="83"/>
      <c r="S528" s="83"/>
      <c r="T528" s="83"/>
      <c r="U528" s="83"/>
      <c r="V528" s="83"/>
      <c r="W528" s="83"/>
      <c r="X528" s="83"/>
      <c r="Y528" s="83"/>
      <c r="Z528" s="83"/>
      <c r="AA528" s="83"/>
      <c r="AB528" s="83"/>
      <c r="AC528" s="83"/>
      <c r="AD528" s="83"/>
      <c r="AE528" s="83"/>
      <c r="AF528" s="83"/>
      <c r="AG528" s="83"/>
      <c r="AH528" s="83"/>
      <c r="AI528" s="83"/>
      <c r="AJ528" s="83"/>
      <c r="AK528" s="83"/>
    </row>
    <row r="529">
      <c r="A529" s="83"/>
      <c r="B529" s="83"/>
      <c r="C529" s="83"/>
      <c r="D529" s="83"/>
      <c r="E529" s="118"/>
      <c r="F529" s="118"/>
      <c r="G529" s="118"/>
      <c r="H529" s="118"/>
      <c r="I529" s="118"/>
      <c r="J529" s="118"/>
      <c r="K529" s="118"/>
      <c r="L529" s="118"/>
      <c r="M529" s="118"/>
      <c r="N529" s="83"/>
      <c r="O529" s="83"/>
      <c r="P529" s="83"/>
      <c r="Q529" s="83"/>
      <c r="R529" s="83"/>
      <c r="S529" s="83"/>
      <c r="T529" s="83"/>
      <c r="U529" s="83"/>
      <c r="V529" s="83"/>
      <c r="W529" s="83"/>
      <c r="X529" s="83"/>
      <c r="Y529" s="83"/>
      <c r="Z529" s="83"/>
      <c r="AA529" s="83"/>
      <c r="AB529" s="83"/>
      <c r="AC529" s="83"/>
      <c r="AD529" s="83"/>
      <c r="AE529" s="83"/>
      <c r="AF529" s="83"/>
      <c r="AG529" s="83"/>
      <c r="AH529" s="83"/>
      <c r="AI529" s="83"/>
      <c r="AJ529" s="83"/>
      <c r="AK529" s="83"/>
    </row>
    <row r="530">
      <c r="A530" s="83"/>
      <c r="B530" s="83"/>
      <c r="C530" s="83"/>
      <c r="D530" s="83"/>
      <c r="E530" s="118"/>
      <c r="F530" s="118"/>
      <c r="G530" s="118"/>
      <c r="H530" s="118"/>
      <c r="I530" s="118"/>
      <c r="J530" s="118"/>
      <c r="K530" s="118"/>
      <c r="L530" s="118"/>
      <c r="M530" s="118"/>
      <c r="N530" s="83"/>
      <c r="O530" s="83"/>
      <c r="P530" s="83"/>
      <c r="Q530" s="83"/>
      <c r="R530" s="83"/>
      <c r="S530" s="83"/>
      <c r="T530" s="83"/>
      <c r="U530" s="83"/>
      <c r="V530" s="83"/>
      <c r="W530" s="83"/>
      <c r="X530" s="83"/>
      <c r="Y530" s="83"/>
      <c r="Z530" s="83"/>
      <c r="AA530" s="83"/>
      <c r="AB530" s="83"/>
      <c r="AC530" s="83"/>
      <c r="AD530" s="83"/>
      <c r="AE530" s="83"/>
      <c r="AF530" s="83"/>
      <c r="AG530" s="83"/>
      <c r="AH530" s="83"/>
      <c r="AI530" s="83"/>
      <c r="AJ530" s="83"/>
      <c r="AK530" s="83"/>
    </row>
    <row r="531">
      <c r="A531" s="83"/>
      <c r="B531" s="83"/>
      <c r="C531" s="83"/>
      <c r="D531" s="83"/>
      <c r="E531" s="118"/>
      <c r="F531" s="118"/>
      <c r="G531" s="118"/>
      <c r="H531" s="118"/>
      <c r="I531" s="118"/>
      <c r="J531" s="118"/>
      <c r="K531" s="118"/>
      <c r="L531" s="118"/>
      <c r="M531" s="118"/>
      <c r="N531" s="83"/>
      <c r="O531" s="83"/>
      <c r="P531" s="83"/>
      <c r="Q531" s="83"/>
      <c r="R531" s="83"/>
      <c r="S531" s="83"/>
      <c r="T531" s="83"/>
      <c r="U531" s="83"/>
      <c r="V531" s="83"/>
      <c r="W531" s="83"/>
      <c r="X531" s="83"/>
      <c r="Y531" s="83"/>
      <c r="Z531" s="83"/>
      <c r="AA531" s="83"/>
      <c r="AB531" s="83"/>
      <c r="AC531" s="83"/>
      <c r="AD531" s="83"/>
      <c r="AE531" s="83"/>
      <c r="AF531" s="83"/>
      <c r="AG531" s="83"/>
      <c r="AH531" s="83"/>
      <c r="AI531" s="83"/>
      <c r="AJ531" s="83"/>
      <c r="AK531" s="83"/>
    </row>
    <row r="532">
      <c r="A532" s="83"/>
      <c r="B532" s="83"/>
      <c r="C532" s="83"/>
      <c r="D532" s="83"/>
      <c r="E532" s="118"/>
      <c r="F532" s="118"/>
      <c r="G532" s="118"/>
      <c r="H532" s="118"/>
      <c r="I532" s="118"/>
      <c r="J532" s="118"/>
      <c r="K532" s="118"/>
      <c r="L532" s="118"/>
      <c r="M532" s="118"/>
      <c r="N532" s="83"/>
      <c r="O532" s="83"/>
      <c r="P532" s="83"/>
      <c r="Q532" s="83"/>
      <c r="R532" s="83"/>
      <c r="S532" s="83"/>
      <c r="T532" s="83"/>
      <c r="U532" s="83"/>
      <c r="V532" s="83"/>
      <c r="W532" s="83"/>
      <c r="X532" s="83"/>
      <c r="Y532" s="83"/>
      <c r="Z532" s="83"/>
      <c r="AA532" s="83"/>
      <c r="AB532" s="83"/>
      <c r="AC532" s="83"/>
      <c r="AD532" s="83"/>
      <c r="AE532" s="83"/>
      <c r="AF532" s="83"/>
      <c r="AG532" s="83"/>
      <c r="AH532" s="83"/>
      <c r="AI532" s="83"/>
      <c r="AJ532" s="83"/>
      <c r="AK532" s="83"/>
    </row>
    <row r="533">
      <c r="A533" s="83"/>
      <c r="B533" s="83"/>
      <c r="C533" s="83"/>
      <c r="D533" s="83"/>
      <c r="E533" s="118"/>
      <c r="F533" s="118"/>
      <c r="G533" s="118"/>
      <c r="H533" s="118"/>
      <c r="I533" s="118"/>
      <c r="J533" s="118"/>
      <c r="K533" s="118"/>
      <c r="L533" s="118"/>
      <c r="M533" s="118"/>
      <c r="N533" s="83"/>
      <c r="O533" s="83"/>
      <c r="P533" s="83"/>
      <c r="Q533" s="83"/>
      <c r="R533" s="83"/>
      <c r="S533" s="83"/>
      <c r="T533" s="83"/>
      <c r="U533" s="83"/>
      <c r="V533" s="83"/>
      <c r="W533" s="83"/>
      <c r="X533" s="83"/>
      <c r="Y533" s="83"/>
      <c r="Z533" s="83"/>
      <c r="AA533" s="83"/>
      <c r="AB533" s="83"/>
      <c r="AC533" s="83"/>
      <c r="AD533" s="83"/>
      <c r="AE533" s="83"/>
      <c r="AF533" s="83"/>
      <c r="AG533" s="83"/>
      <c r="AH533" s="83"/>
      <c r="AI533" s="83"/>
      <c r="AJ533" s="83"/>
      <c r="AK533" s="83"/>
    </row>
    <row r="534">
      <c r="A534" s="83"/>
      <c r="B534" s="83"/>
      <c r="C534" s="83"/>
      <c r="D534" s="83"/>
      <c r="E534" s="118"/>
      <c r="F534" s="118"/>
      <c r="G534" s="118"/>
      <c r="H534" s="118"/>
      <c r="I534" s="118"/>
      <c r="J534" s="118"/>
      <c r="K534" s="118"/>
      <c r="L534" s="118"/>
      <c r="M534" s="118"/>
      <c r="N534" s="83"/>
      <c r="O534" s="83"/>
      <c r="P534" s="83"/>
      <c r="Q534" s="83"/>
      <c r="R534" s="83"/>
      <c r="S534" s="83"/>
      <c r="T534" s="83"/>
      <c r="U534" s="83"/>
      <c r="V534" s="83"/>
      <c r="W534" s="83"/>
      <c r="X534" s="83"/>
      <c r="Y534" s="83"/>
      <c r="Z534" s="83"/>
      <c r="AA534" s="83"/>
      <c r="AB534" s="83"/>
      <c r="AC534" s="83"/>
      <c r="AD534" s="83"/>
      <c r="AE534" s="83"/>
      <c r="AF534" s="83"/>
      <c r="AG534" s="83"/>
      <c r="AH534" s="83"/>
      <c r="AI534" s="83"/>
      <c r="AJ534" s="83"/>
      <c r="AK534" s="83"/>
    </row>
    <row r="535">
      <c r="A535" s="83"/>
      <c r="B535" s="83"/>
      <c r="C535" s="83"/>
      <c r="D535" s="83"/>
      <c r="E535" s="118"/>
      <c r="F535" s="118"/>
      <c r="G535" s="118"/>
      <c r="H535" s="118"/>
      <c r="I535" s="118"/>
      <c r="J535" s="118"/>
      <c r="K535" s="118"/>
      <c r="L535" s="118"/>
      <c r="M535" s="118"/>
      <c r="N535" s="83"/>
      <c r="O535" s="83"/>
      <c r="P535" s="83"/>
      <c r="Q535" s="83"/>
      <c r="R535" s="83"/>
      <c r="S535" s="83"/>
      <c r="T535" s="83"/>
      <c r="U535" s="83"/>
      <c r="V535" s="83"/>
      <c r="W535" s="83"/>
      <c r="X535" s="83"/>
      <c r="Y535" s="83"/>
      <c r="Z535" s="83"/>
      <c r="AA535" s="83"/>
      <c r="AB535" s="83"/>
      <c r="AC535" s="83"/>
      <c r="AD535" s="83"/>
      <c r="AE535" s="83"/>
      <c r="AF535" s="83"/>
      <c r="AG535" s="83"/>
      <c r="AH535" s="83"/>
      <c r="AI535" s="83"/>
      <c r="AJ535" s="83"/>
      <c r="AK535" s="83"/>
    </row>
    <row r="536">
      <c r="A536" s="83"/>
      <c r="B536" s="83"/>
      <c r="C536" s="83"/>
      <c r="D536" s="83"/>
      <c r="E536" s="118"/>
      <c r="F536" s="118"/>
      <c r="G536" s="118"/>
      <c r="H536" s="118"/>
      <c r="I536" s="118"/>
      <c r="J536" s="118"/>
      <c r="K536" s="118"/>
      <c r="L536" s="118"/>
      <c r="M536" s="118"/>
      <c r="N536" s="83"/>
      <c r="O536" s="83"/>
      <c r="P536" s="83"/>
      <c r="Q536" s="83"/>
      <c r="R536" s="83"/>
      <c r="S536" s="83"/>
      <c r="T536" s="83"/>
      <c r="U536" s="83"/>
      <c r="V536" s="83"/>
      <c r="W536" s="83"/>
      <c r="X536" s="83"/>
      <c r="Y536" s="83"/>
      <c r="Z536" s="83"/>
      <c r="AA536" s="83"/>
      <c r="AB536" s="83"/>
      <c r="AC536" s="83"/>
      <c r="AD536" s="83"/>
      <c r="AE536" s="83"/>
      <c r="AF536" s="83"/>
      <c r="AG536" s="83"/>
      <c r="AH536" s="83"/>
      <c r="AI536" s="83"/>
      <c r="AJ536" s="83"/>
      <c r="AK536" s="83"/>
    </row>
    <row r="537">
      <c r="A537" s="83"/>
      <c r="B537" s="83"/>
      <c r="C537" s="83"/>
      <c r="D537" s="83"/>
      <c r="E537" s="118"/>
      <c r="F537" s="118"/>
      <c r="G537" s="118"/>
      <c r="H537" s="118"/>
      <c r="I537" s="118"/>
      <c r="J537" s="118"/>
      <c r="K537" s="118"/>
      <c r="L537" s="118"/>
      <c r="M537" s="118"/>
      <c r="N537" s="83"/>
      <c r="O537" s="83"/>
      <c r="P537" s="83"/>
      <c r="Q537" s="83"/>
      <c r="R537" s="83"/>
      <c r="S537" s="83"/>
      <c r="T537" s="83"/>
      <c r="U537" s="83"/>
      <c r="V537" s="83"/>
      <c r="W537" s="83"/>
      <c r="X537" s="83"/>
      <c r="Y537" s="83"/>
      <c r="Z537" s="83"/>
      <c r="AA537" s="83"/>
      <c r="AB537" s="83"/>
      <c r="AC537" s="83"/>
      <c r="AD537" s="83"/>
      <c r="AE537" s="83"/>
      <c r="AF537" s="83"/>
      <c r="AG537" s="83"/>
      <c r="AH537" s="83"/>
      <c r="AI537" s="83"/>
      <c r="AJ537" s="83"/>
      <c r="AK537" s="83"/>
    </row>
    <row r="538">
      <c r="A538" s="83"/>
      <c r="B538" s="83"/>
      <c r="C538" s="83"/>
      <c r="D538" s="83"/>
      <c r="E538" s="118"/>
      <c r="F538" s="118"/>
      <c r="G538" s="118"/>
      <c r="H538" s="118"/>
      <c r="I538" s="118"/>
      <c r="J538" s="118"/>
      <c r="K538" s="118"/>
      <c r="L538" s="118"/>
      <c r="M538" s="118"/>
      <c r="N538" s="83"/>
      <c r="O538" s="83"/>
      <c r="P538" s="83"/>
      <c r="Q538" s="83"/>
      <c r="R538" s="83"/>
      <c r="S538" s="83"/>
      <c r="T538" s="83"/>
      <c r="U538" s="83"/>
      <c r="V538" s="83"/>
      <c r="W538" s="83"/>
      <c r="X538" s="83"/>
      <c r="Y538" s="83"/>
      <c r="Z538" s="83"/>
      <c r="AA538" s="83"/>
      <c r="AB538" s="83"/>
      <c r="AC538" s="83"/>
      <c r="AD538" s="83"/>
      <c r="AE538" s="83"/>
      <c r="AF538" s="83"/>
      <c r="AG538" s="83"/>
      <c r="AH538" s="83"/>
      <c r="AI538" s="83"/>
      <c r="AJ538" s="83"/>
      <c r="AK538" s="83"/>
    </row>
    <row r="539">
      <c r="A539" s="83"/>
      <c r="B539" s="83"/>
      <c r="C539" s="83"/>
      <c r="D539" s="83"/>
      <c r="E539" s="118"/>
      <c r="F539" s="118"/>
      <c r="G539" s="118"/>
      <c r="H539" s="118"/>
      <c r="I539" s="118"/>
      <c r="J539" s="118"/>
      <c r="K539" s="118"/>
      <c r="L539" s="118"/>
      <c r="M539" s="118"/>
      <c r="N539" s="83"/>
      <c r="O539" s="83"/>
      <c r="P539" s="83"/>
      <c r="Q539" s="83"/>
      <c r="R539" s="83"/>
      <c r="S539" s="83"/>
      <c r="T539" s="83"/>
      <c r="U539" s="83"/>
      <c r="V539" s="83"/>
      <c r="W539" s="83"/>
      <c r="X539" s="83"/>
      <c r="Y539" s="83"/>
      <c r="Z539" s="83"/>
      <c r="AA539" s="83"/>
      <c r="AB539" s="83"/>
      <c r="AC539" s="83"/>
      <c r="AD539" s="83"/>
      <c r="AE539" s="83"/>
      <c r="AF539" s="83"/>
      <c r="AG539" s="83"/>
      <c r="AH539" s="83"/>
      <c r="AI539" s="83"/>
      <c r="AJ539" s="83"/>
      <c r="AK539" s="83"/>
    </row>
    <row r="540">
      <c r="A540" s="83"/>
      <c r="B540" s="83"/>
      <c r="C540" s="83"/>
      <c r="D540" s="83"/>
      <c r="E540" s="118"/>
      <c r="F540" s="118"/>
      <c r="G540" s="118"/>
      <c r="H540" s="118"/>
      <c r="I540" s="118"/>
      <c r="J540" s="118"/>
      <c r="K540" s="118"/>
      <c r="L540" s="118"/>
      <c r="M540" s="118"/>
      <c r="N540" s="83"/>
      <c r="O540" s="83"/>
      <c r="P540" s="83"/>
      <c r="Q540" s="83"/>
      <c r="R540" s="83"/>
      <c r="S540" s="83"/>
      <c r="T540" s="83"/>
      <c r="U540" s="83"/>
      <c r="V540" s="83"/>
      <c r="W540" s="83"/>
      <c r="X540" s="83"/>
      <c r="Y540" s="83"/>
      <c r="Z540" s="83"/>
      <c r="AA540" s="83"/>
      <c r="AB540" s="83"/>
      <c r="AC540" s="83"/>
      <c r="AD540" s="83"/>
      <c r="AE540" s="83"/>
      <c r="AF540" s="83"/>
      <c r="AG540" s="83"/>
      <c r="AH540" s="83"/>
      <c r="AI540" s="83"/>
      <c r="AJ540" s="83"/>
      <c r="AK540" s="83"/>
    </row>
    <row r="541">
      <c r="A541" s="83"/>
      <c r="B541" s="83"/>
      <c r="C541" s="83"/>
      <c r="D541" s="83"/>
      <c r="E541" s="118"/>
      <c r="F541" s="118"/>
      <c r="G541" s="118"/>
      <c r="H541" s="118"/>
      <c r="I541" s="118"/>
      <c r="J541" s="118"/>
      <c r="K541" s="118"/>
      <c r="L541" s="118"/>
      <c r="M541" s="118"/>
      <c r="N541" s="83"/>
      <c r="O541" s="83"/>
      <c r="P541" s="83"/>
      <c r="Q541" s="83"/>
      <c r="R541" s="83"/>
      <c r="S541" s="83"/>
      <c r="T541" s="83"/>
      <c r="U541" s="83"/>
      <c r="V541" s="83"/>
      <c r="W541" s="83"/>
      <c r="X541" s="83"/>
      <c r="Y541" s="83"/>
      <c r="Z541" s="83"/>
      <c r="AA541" s="83"/>
      <c r="AB541" s="83"/>
      <c r="AC541" s="83"/>
      <c r="AD541" s="83"/>
      <c r="AE541" s="83"/>
      <c r="AF541" s="83"/>
      <c r="AG541" s="83"/>
      <c r="AH541" s="83"/>
      <c r="AI541" s="83"/>
      <c r="AJ541" s="83"/>
      <c r="AK541" s="83"/>
    </row>
    <row r="542">
      <c r="A542" s="83"/>
      <c r="B542" s="83"/>
      <c r="C542" s="83"/>
      <c r="D542" s="83"/>
      <c r="E542" s="118"/>
      <c r="F542" s="118"/>
      <c r="G542" s="118"/>
      <c r="H542" s="118"/>
      <c r="I542" s="118"/>
      <c r="J542" s="118"/>
      <c r="K542" s="118"/>
      <c r="L542" s="118"/>
      <c r="M542" s="118"/>
      <c r="N542" s="83"/>
      <c r="O542" s="83"/>
      <c r="P542" s="83"/>
      <c r="Q542" s="83"/>
      <c r="R542" s="83"/>
      <c r="S542" s="83"/>
      <c r="T542" s="83"/>
      <c r="U542" s="83"/>
      <c r="V542" s="83"/>
      <c r="W542" s="83"/>
      <c r="X542" s="83"/>
      <c r="Y542" s="83"/>
      <c r="Z542" s="83"/>
      <c r="AA542" s="83"/>
      <c r="AB542" s="83"/>
      <c r="AC542" s="83"/>
      <c r="AD542" s="83"/>
      <c r="AE542" s="83"/>
      <c r="AF542" s="83"/>
      <c r="AG542" s="83"/>
      <c r="AH542" s="83"/>
      <c r="AI542" s="83"/>
      <c r="AJ542" s="83"/>
      <c r="AK542" s="83"/>
    </row>
    <row r="543">
      <c r="A543" s="83"/>
      <c r="B543" s="83"/>
      <c r="C543" s="83"/>
      <c r="D543" s="83"/>
      <c r="E543" s="118"/>
      <c r="F543" s="118"/>
      <c r="G543" s="118"/>
      <c r="H543" s="118"/>
      <c r="I543" s="118"/>
      <c r="J543" s="118"/>
      <c r="K543" s="118"/>
      <c r="L543" s="118"/>
      <c r="M543" s="118"/>
      <c r="N543" s="83"/>
      <c r="O543" s="83"/>
      <c r="P543" s="83"/>
      <c r="Q543" s="83"/>
      <c r="R543" s="83"/>
      <c r="S543" s="83"/>
      <c r="T543" s="83"/>
      <c r="U543" s="83"/>
      <c r="V543" s="83"/>
      <c r="W543" s="83"/>
      <c r="X543" s="83"/>
      <c r="Y543" s="83"/>
      <c r="Z543" s="83"/>
      <c r="AA543" s="83"/>
      <c r="AB543" s="83"/>
      <c r="AC543" s="83"/>
      <c r="AD543" s="83"/>
      <c r="AE543" s="83"/>
      <c r="AF543" s="83"/>
      <c r="AG543" s="83"/>
      <c r="AH543" s="83"/>
      <c r="AI543" s="83"/>
      <c r="AJ543" s="83"/>
      <c r="AK543" s="83"/>
    </row>
    <row r="544">
      <c r="A544" s="83"/>
      <c r="B544" s="83"/>
      <c r="C544" s="83"/>
      <c r="D544" s="83"/>
      <c r="E544" s="118"/>
      <c r="F544" s="118"/>
      <c r="G544" s="118"/>
      <c r="H544" s="118"/>
      <c r="I544" s="118"/>
      <c r="J544" s="118"/>
      <c r="K544" s="118"/>
      <c r="L544" s="118"/>
      <c r="M544" s="118"/>
      <c r="N544" s="83"/>
      <c r="O544" s="83"/>
      <c r="P544" s="83"/>
      <c r="Q544" s="83"/>
      <c r="R544" s="83"/>
      <c r="S544" s="83"/>
      <c r="T544" s="83"/>
      <c r="U544" s="83"/>
      <c r="V544" s="83"/>
      <c r="W544" s="83"/>
      <c r="X544" s="83"/>
      <c r="Y544" s="83"/>
      <c r="Z544" s="83"/>
      <c r="AA544" s="83"/>
      <c r="AB544" s="83"/>
      <c r="AC544" s="83"/>
      <c r="AD544" s="83"/>
      <c r="AE544" s="83"/>
      <c r="AF544" s="83"/>
      <c r="AG544" s="83"/>
      <c r="AH544" s="83"/>
      <c r="AI544" s="83"/>
      <c r="AJ544" s="83"/>
      <c r="AK544" s="83"/>
    </row>
    <row r="545">
      <c r="A545" s="83"/>
      <c r="B545" s="83"/>
      <c r="C545" s="83"/>
      <c r="D545" s="83"/>
      <c r="E545" s="118"/>
      <c r="F545" s="118"/>
      <c r="G545" s="118"/>
      <c r="H545" s="118"/>
      <c r="I545" s="118"/>
      <c r="J545" s="118"/>
      <c r="K545" s="118"/>
      <c r="L545" s="118"/>
      <c r="M545" s="118"/>
      <c r="N545" s="83"/>
      <c r="O545" s="83"/>
      <c r="P545" s="83"/>
      <c r="Q545" s="83"/>
      <c r="R545" s="83"/>
      <c r="S545" s="83"/>
      <c r="T545" s="83"/>
      <c r="U545" s="83"/>
      <c r="V545" s="83"/>
      <c r="W545" s="83"/>
      <c r="X545" s="83"/>
      <c r="Y545" s="83"/>
      <c r="Z545" s="83"/>
      <c r="AA545" s="83"/>
      <c r="AB545" s="83"/>
      <c r="AC545" s="83"/>
      <c r="AD545" s="83"/>
      <c r="AE545" s="83"/>
      <c r="AF545" s="83"/>
      <c r="AG545" s="83"/>
      <c r="AH545" s="83"/>
      <c r="AI545" s="83"/>
      <c r="AJ545" s="83"/>
      <c r="AK545" s="83"/>
    </row>
    <row r="546">
      <c r="A546" s="83"/>
      <c r="B546" s="83"/>
      <c r="C546" s="83"/>
      <c r="D546" s="83"/>
      <c r="E546" s="118"/>
      <c r="F546" s="118"/>
      <c r="G546" s="118"/>
      <c r="H546" s="118"/>
      <c r="I546" s="118"/>
      <c r="J546" s="118"/>
      <c r="K546" s="118"/>
      <c r="L546" s="118"/>
      <c r="M546" s="118"/>
      <c r="N546" s="83"/>
      <c r="O546" s="83"/>
      <c r="P546" s="83"/>
      <c r="Q546" s="83"/>
      <c r="R546" s="83"/>
      <c r="S546" s="83"/>
      <c r="T546" s="83"/>
      <c r="U546" s="83"/>
      <c r="V546" s="83"/>
      <c r="W546" s="83"/>
      <c r="X546" s="83"/>
      <c r="Y546" s="83"/>
      <c r="Z546" s="83"/>
      <c r="AA546" s="83"/>
      <c r="AB546" s="83"/>
      <c r="AC546" s="83"/>
      <c r="AD546" s="83"/>
      <c r="AE546" s="83"/>
      <c r="AF546" s="83"/>
      <c r="AG546" s="83"/>
      <c r="AH546" s="83"/>
      <c r="AI546" s="83"/>
      <c r="AJ546" s="83"/>
      <c r="AK546" s="83"/>
    </row>
    <row r="547">
      <c r="A547" s="83"/>
      <c r="B547" s="83"/>
      <c r="C547" s="83"/>
      <c r="D547" s="83"/>
      <c r="E547" s="118"/>
      <c r="F547" s="118"/>
      <c r="G547" s="118"/>
      <c r="H547" s="118"/>
      <c r="I547" s="118"/>
      <c r="J547" s="118"/>
      <c r="K547" s="118"/>
      <c r="L547" s="118"/>
      <c r="M547" s="118"/>
      <c r="N547" s="83"/>
      <c r="O547" s="83"/>
      <c r="P547" s="83"/>
      <c r="Q547" s="83"/>
      <c r="R547" s="83"/>
      <c r="S547" s="83"/>
      <c r="T547" s="83"/>
      <c r="U547" s="83"/>
      <c r="V547" s="83"/>
      <c r="W547" s="83"/>
      <c r="X547" s="83"/>
      <c r="Y547" s="83"/>
      <c r="Z547" s="83"/>
      <c r="AA547" s="83"/>
      <c r="AB547" s="83"/>
      <c r="AC547" s="83"/>
      <c r="AD547" s="83"/>
      <c r="AE547" s="83"/>
      <c r="AF547" s="83"/>
      <c r="AG547" s="83"/>
      <c r="AH547" s="83"/>
      <c r="AI547" s="83"/>
      <c r="AJ547" s="83"/>
      <c r="AK547" s="83"/>
    </row>
    <row r="548">
      <c r="A548" s="83"/>
      <c r="B548" s="83"/>
      <c r="C548" s="83"/>
      <c r="D548" s="83"/>
      <c r="E548" s="118"/>
      <c r="F548" s="118"/>
      <c r="G548" s="118"/>
      <c r="H548" s="118"/>
      <c r="I548" s="118"/>
      <c r="J548" s="118"/>
      <c r="K548" s="118"/>
      <c r="L548" s="118"/>
      <c r="M548" s="118"/>
      <c r="N548" s="83"/>
      <c r="O548" s="83"/>
      <c r="P548" s="83"/>
      <c r="Q548" s="83"/>
      <c r="R548" s="83"/>
      <c r="S548" s="83"/>
      <c r="T548" s="83"/>
      <c r="U548" s="83"/>
      <c r="V548" s="83"/>
      <c r="W548" s="83"/>
      <c r="X548" s="83"/>
      <c r="Y548" s="83"/>
      <c r="Z548" s="83"/>
      <c r="AA548" s="83"/>
      <c r="AB548" s="83"/>
      <c r="AC548" s="83"/>
      <c r="AD548" s="83"/>
      <c r="AE548" s="83"/>
      <c r="AF548" s="83"/>
      <c r="AG548" s="83"/>
      <c r="AH548" s="83"/>
      <c r="AI548" s="83"/>
      <c r="AJ548" s="83"/>
      <c r="AK548" s="83"/>
    </row>
    <row r="549">
      <c r="A549" s="83"/>
      <c r="B549" s="83"/>
      <c r="C549" s="83"/>
      <c r="D549" s="83"/>
      <c r="E549" s="118"/>
      <c r="F549" s="118"/>
      <c r="G549" s="118"/>
      <c r="H549" s="118"/>
      <c r="I549" s="118"/>
      <c r="J549" s="118"/>
      <c r="K549" s="118"/>
      <c r="L549" s="118"/>
      <c r="M549" s="118"/>
      <c r="N549" s="83"/>
      <c r="O549" s="83"/>
      <c r="P549" s="83"/>
      <c r="Q549" s="83"/>
      <c r="R549" s="83"/>
      <c r="S549" s="83"/>
      <c r="T549" s="83"/>
      <c r="U549" s="83"/>
      <c r="V549" s="83"/>
      <c r="W549" s="83"/>
      <c r="X549" s="83"/>
      <c r="Y549" s="83"/>
      <c r="Z549" s="83"/>
      <c r="AA549" s="83"/>
      <c r="AB549" s="83"/>
      <c r="AC549" s="83"/>
      <c r="AD549" s="83"/>
      <c r="AE549" s="83"/>
      <c r="AF549" s="83"/>
      <c r="AG549" s="83"/>
      <c r="AH549" s="83"/>
      <c r="AI549" s="83"/>
      <c r="AJ549" s="83"/>
      <c r="AK549" s="83"/>
    </row>
    <row r="550">
      <c r="A550" s="83"/>
      <c r="B550" s="83"/>
      <c r="C550" s="83"/>
      <c r="D550" s="83"/>
      <c r="E550" s="118"/>
      <c r="F550" s="118"/>
      <c r="G550" s="118"/>
      <c r="H550" s="118"/>
      <c r="I550" s="118"/>
      <c r="J550" s="118"/>
      <c r="K550" s="118"/>
      <c r="L550" s="118"/>
      <c r="M550" s="118"/>
      <c r="N550" s="83"/>
      <c r="O550" s="83"/>
      <c r="P550" s="83"/>
      <c r="Q550" s="83"/>
      <c r="R550" s="83"/>
      <c r="S550" s="83"/>
      <c r="T550" s="83"/>
      <c r="U550" s="83"/>
      <c r="V550" s="83"/>
      <c r="W550" s="83"/>
      <c r="X550" s="83"/>
      <c r="Y550" s="83"/>
      <c r="Z550" s="83"/>
      <c r="AA550" s="83"/>
      <c r="AB550" s="83"/>
      <c r="AC550" s="83"/>
      <c r="AD550" s="83"/>
      <c r="AE550" s="83"/>
      <c r="AF550" s="83"/>
      <c r="AG550" s="83"/>
      <c r="AH550" s="83"/>
      <c r="AI550" s="83"/>
      <c r="AJ550" s="83"/>
      <c r="AK550" s="83"/>
    </row>
    <row r="551">
      <c r="A551" s="83"/>
      <c r="B551" s="83"/>
      <c r="C551" s="83"/>
      <c r="D551" s="83"/>
      <c r="E551" s="118"/>
      <c r="F551" s="118"/>
      <c r="G551" s="118"/>
      <c r="H551" s="118"/>
      <c r="I551" s="118"/>
      <c r="J551" s="118"/>
      <c r="K551" s="118"/>
      <c r="L551" s="118"/>
      <c r="M551" s="118"/>
      <c r="N551" s="83"/>
      <c r="O551" s="83"/>
      <c r="P551" s="83"/>
      <c r="Q551" s="83"/>
      <c r="R551" s="83"/>
      <c r="S551" s="83"/>
      <c r="T551" s="83"/>
      <c r="U551" s="83"/>
      <c r="V551" s="83"/>
      <c r="W551" s="83"/>
      <c r="X551" s="83"/>
      <c r="Y551" s="83"/>
      <c r="Z551" s="83"/>
      <c r="AA551" s="83"/>
      <c r="AB551" s="83"/>
      <c r="AC551" s="83"/>
      <c r="AD551" s="83"/>
      <c r="AE551" s="83"/>
      <c r="AF551" s="83"/>
      <c r="AG551" s="83"/>
      <c r="AH551" s="83"/>
      <c r="AI551" s="83"/>
      <c r="AJ551" s="83"/>
      <c r="AK551" s="83"/>
    </row>
    <row r="552">
      <c r="A552" s="83"/>
      <c r="B552" s="83"/>
      <c r="C552" s="83"/>
      <c r="D552" s="83"/>
      <c r="E552" s="118"/>
      <c r="F552" s="118"/>
      <c r="G552" s="118"/>
      <c r="H552" s="118"/>
      <c r="I552" s="118"/>
      <c r="J552" s="118"/>
      <c r="K552" s="118"/>
      <c r="L552" s="118"/>
      <c r="M552" s="118"/>
      <c r="N552" s="83"/>
      <c r="O552" s="83"/>
      <c r="P552" s="83"/>
      <c r="Q552" s="83"/>
      <c r="R552" s="83"/>
      <c r="S552" s="83"/>
      <c r="T552" s="83"/>
      <c r="U552" s="83"/>
      <c r="V552" s="83"/>
      <c r="W552" s="83"/>
      <c r="X552" s="83"/>
      <c r="Y552" s="83"/>
      <c r="Z552" s="83"/>
      <c r="AA552" s="83"/>
      <c r="AB552" s="83"/>
      <c r="AC552" s="83"/>
      <c r="AD552" s="83"/>
      <c r="AE552" s="83"/>
      <c r="AF552" s="83"/>
      <c r="AG552" s="83"/>
      <c r="AH552" s="83"/>
      <c r="AI552" s="83"/>
      <c r="AJ552" s="83"/>
      <c r="AK552" s="83"/>
    </row>
    <row r="553">
      <c r="A553" s="83"/>
      <c r="B553" s="83"/>
      <c r="C553" s="83"/>
      <c r="D553" s="83"/>
      <c r="E553" s="118"/>
      <c r="F553" s="118"/>
      <c r="G553" s="118"/>
      <c r="H553" s="118"/>
      <c r="I553" s="118"/>
      <c r="J553" s="118"/>
      <c r="K553" s="118"/>
      <c r="L553" s="118"/>
      <c r="M553" s="118"/>
      <c r="N553" s="83"/>
      <c r="O553" s="83"/>
      <c r="P553" s="83"/>
      <c r="Q553" s="83"/>
      <c r="R553" s="83"/>
      <c r="S553" s="83"/>
      <c r="T553" s="83"/>
      <c r="U553" s="83"/>
      <c r="V553" s="83"/>
      <c r="W553" s="83"/>
      <c r="X553" s="83"/>
      <c r="Y553" s="83"/>
      <c r="Z553" s="83"/>
      <c r="AA553" s="83"/>
      <c r="AB553" s="83"/>
      <c r="AC553" s="83"/>
      <c r="AD553" s="83"/>
      <c r="AE553" s="83"/>
      <c r="AF553" s="83"/>
      <c r="AG553" s="83"/>
      <c r="AH553" s="83"/>
      <c r="AI553" s="83"/>
      <c r="AJ553" s="83"/>
      <c r="AK553" s="83"/>
    </row>
    <row r="554">
      <c r="A554" s="83"/>
      <c r="B554" s="83"/>
      <c r="C554" s="83"/>
      <c r="D554" s="83"/>
      <c r="E554" s="118"/>
      <c r="F554" s="118"/>
      <c r="G554" s="118"/>
      <c r="H554" s="118"/>
      <c r="I554" s="118"/>
      <c r="J554" s="118"/>
      <c r="K554" s="118"/>
      <c r="L554" s="118"/>
      <c r="M554" s="118"/>
      <c r="N554" s="83"/>
      <c r="O554" s="83"/>
      <c r="P554" s="83"/>
      <c r="Q554" s="83"/>
      <c r="R554" s="83"/>
      <c r="S554" s="83"/>
      <c r="T554" s="83"/>
      <c r="U554" s="83"/>
      <c r="V554" s="83"/>
      <c r="W554" s="83"/>
      <c r="X554" s="83"/>
      <c r="Y554" s="83"/>
      <c r="Z554" s="83"/>
      <c r="AA554" s="83"/>
      <c r="AB554" s="83"/>
      <c r="AC554" s="83"/>
      <c r="AD554" s="83"/>
      <c r="AE554" s="83"/>
      <c r="AF554" s="83"/>
      <c r="AG554" s="83"/>
      <c r="AH554" s="83"/>
      <c r="AI554" s="83"/>
      <c r="AJ554" s="83"/>
      <c r="AK554" s="83"/>
    </row>
    <row r="555">
      <c r="A555" s="83"/>
      <c r="B555" s="83"/>
      <c r="C555" s="83"/>
      <c r="D555" s="83"/>
      <c r="E555" s="118"/>
      <c r="F555" s="118"/>
      <c r="G555" s="118"/>
      <c r="H555" s="118"/>
      <c r="I555" s="118"/>
      <c r="J555" s="118"/>
      <c r="K555" s="118"/>
      <c r="L555" s="118"/>
      <c r="M555" s="118"/>
      <c r="N555" s="83"/>
      <c r="O555" s="83"/>
      <c r="P555" s="83"/>
      <c r="Q555" s="83"/>
      <c r="R555" s="83"/>
      <c r="S555" s="83"/>
      <c r="T555" s="83"/>
      <c r="U555" s="83"/>
      <c r="V555" s="83"/>
      <c r="W555" s="83"/>
      <c r="X555" s="83"/>
      <c r="Y555" s="83"/>
      <c r="Z555" s="83"/>
      <c r="AA555" s="83"/>
      <c r="AB555" s="83"/>
      <c r="AC555" s="83"/>
      <c r="AD555" s="83"/>
      <c r="AE555" s="83"/>
      <c r="AF555" s="83"/>
      <c r="AG555" s="83"/>
      <c r="AH555" s="83"/>
      <c r="AI555" s="83"/>
      <c r="AJ555" s="83"/>
      <c r="AK555" s="83"/>
    </row>
    <row r="556">
      <c r="A556" s="83"/>
      <c r="B556" s="83"/>
      <c r="C556" s="83"/>
      <c r="D556" s="83"/>
      <c r="E556" s="118"/>
      <c r="F556" s="118"/>
      <c r="G556" s="118"/>
      <c r="H556" s="118"/>
      <c r="I556" s="118"/>
      <c r="J556" s="118"/>
      <c r="K556" s="118"/>
      <c r="L556" s="118"/>
      <c r="M556" s="118"/>
      <c r="N556" s="83"/>
      <c r="O556" s="83"/>
      <c r="P556" s="83"/>
      <c r="Q556" s="83"/>
      <c r="R556" s="83"/>
      <c r="S556" s="83"/>
      <c r="T556" s="83"/>
      <c r="U556" s="83"/>
      <c r="V556" s="83"/>
      <c r="W556" s="83"/>
      <c r="X556" s="83"/>
      <c r="Y556" s="83"/>
      <c r="Z556" s="83"/>
      <c r="AA556" s="83"/>
      <c r="AB556" s="83"/>
      <c r="AC556" s="83"/>
      <c r="AD556" s="83"/>
      <c r="AE556" s="83"/>
      <c r="AF556" s="83"/>
      <c r="AG556" s="83"/>
      <c r="AH556" s="83"/>
      <c r="AI556" s="83"/>
      <c r="AJ556" s="83"/>
      <c r="AK556" s="83"/>
    </row>
    <row r="557">
      <c r="A557" s="83"/>
      <c r="B557" s="83"/>
      <c r="C557" s="83"/>
      <c r="D557" s="83"/>
      <c r="E557" s="118"/>
      <c r="F557" s="118"/>
      <c r="G557" s="118"/>
      <c r="H557" s="118"/>
      <c r="I557" s="118"/>
      <c r="J557" s="118"/>
      <c r="K557" s="118"/>
      <c r="L557" s="118"/>
      <c r="M557" s="118"/>
      <c r="N557" s="83"/>
      <c r="O557" s="83"/>
      <c r="P557" s="83"/>
      <c r="Q557" s="83"/>
      <c r="R557" s="83"/>
      <c r="S557" s="83"/>
      <c r="T557" s="83"/>
      <c r="U557" s="83"/>
      <c r="V557" s="83"/>
      <c r="W557" s="83"/>
      <c r="X557" s="83"/>
      <c r="Y557" s="83"/>
      <c r="Z557" s="83"/>
      <c r="AA557" s="83"/>
      <c r="AB557" s="83"/>
      <c r="AC557" s="83"/>
      <c r="AD557" s="83"/>
      <c r="AE557" s="83"/>
      <c r="AF557" s="83"/>
      <c r="AG557" s="83"/>
      <c r="AH557" s="83"/>
      <c r="AI557" s="83"/>
      <c r="AJ557" s="83"/>
      <c r="AK557" s="83"/>
    </row>
    <row r="558">
      <c r="A558" s="83"/>
      <c r="B558" s="83"/>
      <c r="C558" s="83"/>
      <c r="D558" s="83"/>
      <c r="E558" s="118"/>
      <c r="F558" s="118"/>
      <c r="G558" s="118"/>
      <c r="H558" s="118"/>
      <c r="I558" s="118"/>
      <c r="J558" s="118"/>
      <c r="K558" s="118"/>
      <c r="L558" s="118"/>
      <c r="M558" s="118"/>
      <c r="N558" s="83"/>
      <c r="O558" s="83"/>
      <c r="P558" s="83"/>
      <c r="Q558" s="83"/>
      <c r="R558" s="83"/>
      <c r="S558" s="83"/>
      <c r="T558" s="83"/>
      <c r="U558" s="83"/>
      <c r="V558" s="83"/>
      <c r="W558" s="83"/>
      <c r="X558" s="83"/>
      <c r="Y558" s="83"/>
      <c r="Z558" s="83"/>
      <c r="AA558" s="83"/>
      <c r="AB558" s="83"/>
      <c r="AC558" s="83"/>
      <c r="AD558" s="83"/>
      <c r="AE558" s="83"/>
      <c r="AF558" s="83"/>
      <c r="AG558" s="83"/>
      <c r="AH558" s="83"/>
      <c r="AI558" s="83"/>
      <c r="AJ558" s="83"/>
      <c r="AK558" s="83"/>
    </row>
    <row r="559">
      <c r="A559" s="83"/>
      <c r="B559" s="83"/>
      <c r="C559" s="83"/>
      <c r="D559" s="83"/>
      <c r="E559" s="118"/>
      <c r="F559" s="118"/>
      <c r="G559" s="118"/>
      <c r="H559" s="118"/>
      <c r="I559" s="118"/>
      <c r="J559" s="118"/>
      <c r="K559" s="118"/>
      <c r="L559" s="118"/>
      <c r="M559" s="118"/>
      <c r="N559" s="83"/>
      <c r="O559" s="83"/>
      <c r="P559" s="83"/>
      <c r="Q559" s="83"/>
      <c r="R559" s="83"/>
      <c r="S559" s="83"/>
      <c r="T559" s="83"/>
      <c r="U559" s="83"/>
      <c r="V559" s="83"/>
      <c r="W559" s="83"/>
      <c r="X559" s="83"/>
      <c r="Y559" s="83"/>
      <c r="Z559" s="83"/>
      <c r="AA559" s="83"/>
      <c r="AB559" s="83"/>
      <c r="AC559" s="83"/>
      <c r="AD559" s="83"/>
      <c r="AE559" s="83"/>
      <c r="AF559" s="83"/>
      <c r="AG559" s="83"/>
      <c r="AH559" s="83"/>
      <c r="AI559" s="83"/>
      <c r="AJ559" s="83"/>
      <c r="AK559" s="83"/>
    </row>
    <row r="560">
      <c r="A560" s="83"/>
      <c r="B560" s="83"/>
      <c r="C560" s="83"/>
      <c r="D560" s="83"/>
      <c r="E560" s="118"/>
      <c r="F560" s="118"/>
      <c r="G560" s="118"/>
      <c r="H560" s="118"/>
      <c r="I560" s="118"/>
      <c r="J560" s="118"/>
      <c r="K560" s="118"/>
      <c r="L560" s="118"/>
      <c r="M560" s="118"/>
      <c r="N560" s="83"/>
      <c r="O560" s="83"/>
      <c r="P560" s="83"/>
      <c r="Q560" s="83"/>
      <c r="R560" s="83"/>
      <c r="S560" s="83"/>
      <c r="T560" s="83"/>
      <c r="U560" s="83"/>
      <c r="V560" s="83"/>
      <c r="W560" s="83"/>
      <c r="X560" s="83"/>
      <c r="Y560" s="83"/>
      <c r="Z560" s="83"/>
      <c r="AA560" s="83"/>
      <c r="AB560" s="83"/>
      <c r="AC560" s="83"/>
      <c r="AD560" s="83"/>
      <c r="AE560" s="83"/>
      <c r="AF560" s="83"/>
      <c r="AG560" s="83"/>
      <c r="AH560" s="83"/>
      <c r="AI560" s="83"/>
      <c r="AJ560" s="83"/>
      <c r="AK560" s="83"/>
    </row>
    <row r="561">
      <c r="A561" s="83"/>
      <c r="B561" s="83"/>
      <c r="C561" s="83"/>
      <c r="D561" s="83"/>
      <c r="E561" s="118"/>
      <c r="F561" s="118"/>
      <c r="G561" s="118"/>
      <c r="H561" s="118"/>
      <c r="I561" s="118"/>
      <c r="J561" s="118"/>
      <c r="K561" s="118"/>
      <c r="L561" s="118"/>
      <c r="M561" s="118"/>
      <c r="N561" s="83"/>
      <c r="O561" s="83"/>
      <c r="P561" s="83"/>
      <c r="Q561" s="83"/>
      <c r="R561" s="83"/>
      <c r="S561" s="83"/>
      <c r="T561" s="83"/>
      <c r="U561" s="83"/>
      <c r="V561" s="83"/>
      <c r="W561" s="83"/>
      <c r="X561" s="83"/>
      <c r="Y561" s="83"/>
      <c r="Z561" s="83"/>
      <c r="AA561" s="83"/>
      <c r="AB561" s="83"/>
      <c r="AC561" s="83"/>
      <c r="AD561" s="83"/>
      <c r="AE561" s="83"/>
      <c r="AF561" s="83"/>
      <c r="AG561" s="83"/>
      <c r="AH561" s="83"/>
      <c r="AI561" s="83"/>
      <c r="AJ561" s="83"/>
      <c r="AK561" s="83"/>
    </row>
    <row r="562">
      <c r="A562" s="83"/>
      <c r="B562" s="83"/>
      <c r="C562" s="83"/>
      <c r="D562" s="83"/>
      <c r="E562" s="118"/>
      <c r="F562" s="118"/>
      <c r="G562" s="118"/>
      <c r="H562" s="118"/>
      <c r="I562" s="118"/>
      <c r="J562" s="118"/>
      <c r="K562" s="118"/>
      <c r="L562" s="118"/>
      <c r="M562" s="118"/>
      <c r="N562" s="83"/>
      <c r="O562" s="83"/>
      <c r="P562" s="83"/>
      <c r="Q562" s="83"/>
      <c r="R562" s="83"/>
      <c r="S562" s="83"/>
      <c r="T562" s="83"/>
      <c r="U562" s="83"/>
      <c r="V562" s="83"/>
      <c r="W562" s="83"/>
      <c r="X562" s="83"/>
      <c r="Y562" s="83"/>
      <c r="Z562" s="83"/>
      <c r="AA562" s="83"/>
      <c r="AB562" s="83"/>
      <c r="AC562" s="83"/>
      <c r="AD562" s="83"/>
      <c r="AE562" s="83"/>
      <c r="AF562" s="83"/>
      <c r="AG562" s="83"/>
      <c r="AH562" s="83"/>
      <c r="AI562" s="83"/>
      <c r="AJ562" s="83"/>
      <c r="AK562" s="83"/>
    </row>
    <row r="563">
      <c r="A563" s="83"/>
      <c r="B563" s="83"/>
      <c r="C563" s="83"/>
      <c r="D563" s="83"/>
      <c r="E563" s="118"/>
      <c r="F563" s="118"/>
      <c r="G563" s="118"/>
      <c r="H563" s="118"/>
      <c r="I563" s="118"/>
      <c r="J563" s="118"/>
      <c r="K563" s="118"/>
      <c r="L563" s="118"/>
      <c r="M563" s="118"/>
      <c r="N563" s="83"/>
      <c r="O563" s="83"/>
      <c r="P563" s="83"/>
      <c r="Q563" s="83"/>
      <c r="R563" s="83"/>
      <c r="S563" s="83"/>
      <c r="T563" s="83"/>
      <c r="U563" s="83"/>
      <c r="V563" s="83"/>
      <c r="W563" s="83"/>
      <c r="X563" s="83"/>
      <c r="Y563" s="83"/>
      <c r="Z563" s="83"/>
      <c r="AA563" s="83"/>
      <c r="AB563" s="83"/>
      <c r="AC563" s="83"/>
      <c r="AD563" s="83"/>
      <c r="AE563" s="83"/>
      <c r="AF563" s="83"/>
      <c r="AG563" s="83"/>
      <c r="AH563" s="83"/>
      <c r="AI563" s="83"/>
      <c r="AJ563" s="83"/>
      <c r="AK563" s="83"/>
    </row>
    <row r="564">
      <c r="A564" s="83"/>
      <c r="B564" s="83"/>
      <c r="C564" s="83"/>
      <c r="D564" s="83"/>
      <c r="E564" s="118"/>
      <c r="F564" s="118"/>
      <c r="G564" s="118"/>
      <c r="H564" s="118"/>
      <c r="I564" s="118"/>
      <c r="J564" s="118"/>
      <c r="K564" s="118"/>
      <c r="L564" s="118"/>
      <c r="M564" s="118"/>
      <c r="N564" s="83"/>
      <c r="O564" s="83"/>
      <c r="P564" s="83"/>
      <c r="Q564" s="83"/>
      <c r="R564" s="83"/>
      <c r="S564" s="83"/>
      <c r="T564" s="83"/>
      <c r="U564" s="83"/>
      <c r="V564" s="83"/>
      <c r="W564" s="83"/>
      <c r="X564" s="83"/>
      <c r="Y564" s="83"/>
      <c r="Z564" s="83"/>
      <c r="AA564" s="83"/>
      <c r="AB564" s="83"/>
      <c r="AC564" s="83"/>
      <c r="AD564" s="83"/>
      <c r="AE564" s="83"/>
      <c r="AF564" s="83"/>
      <c r="AG564" s="83"/>
      <c r="AH564" s="83"/>
      <c r="AI564" s="83"/>
      <c r="AJ564" s="83"/>
      <c r="AK564" s="83"/>
    </row>
    <row r="565">
      <c r="A565" s="83"/>
      <c r="B565" s="83"/>
      <c r="C565" s="83"/>
      <c r="D565" s="83"/>
      <c r="E565" s="118"/>
      <c r="F565" s="118"/>
      <c r="G565" s="118"/>
      <c r="H565" s="118"/>
      <c r="I565" s="118"/>
      <c r="J565" s="118"/>
      <c r="K565" s="118"/>
      <c r="L565" s="118"/>
      <c r="M565" s="118"/>
      <c r="N565" s="83"/>
      <c r="O565" s="83"/>
      <c r="P565" s="83"/>
      <c r="Q565" s="83"/>
      <c r="R565" s="83"/>
      <c r="S565" s="83"/>
      <c r="T565" s="83"/>
      <c r="U565" s="83"/>
      <c r="V565" s="83"/>
      <c r="W565" s="83"/>
      <c r="X565" s="83"/>
      <c r="Y565" s="83"/>
      <c r="Z565" s="83"/>
      <c r="AA565" s="83"/>
      <c r="AB565" s="83"/>
      <c r="AC565" s="83"/>
      <c r="AD565" s="83"/>
      <c r="AE565" s="83"/>
      <c r="AF565" s="83"/>
      <c r="AG565" s="83"/>
      <c r="AH565" s="83"/>
      <c r="AI565" s="83"/>
      <c r="AJ565" s="83"/>
      <c r="AK565" s="83"/>
    </row>
    <row r="566">
      <c r="A566" s="83"/>
      <c r="B566" s="83"/>
      <c r="C566" s="83"/>
      <c r="D566" s="83"/>
      <c r="E566" s="118"/>
      <c r="F566" s="118"/>
      <c r="G566" s="118"/>
      <c r="H566" s="118"/>
      <c r="I566" s="118"/>
      <c r="J566" s="118"/>
      <c r="K566" s="118"/>
      <c r="L566" s="118"/>
      <c r="M566" s="118"/>
      <c r="N566" s="83"/>
      <c r="O566" s="83"/>
      <c r="P566" s="83"/>
      <c r="Q566" s="83"/>
      <c r="R566" s="83"/>
      <c r="S566" s="83"/>
      <c r="T566" s="83"/>
      <c r="U566" s="83"/>
      <c r="V566" s="83"/>
      <c r="W566" s="83"/>
      <c r="X566" s="83"/>
      <c r="Y566" s="83"/>
      <c r="Z566" s="83"/>
      <c r="AA566" s="83"/>
      <c r="AB566" s="83"/>
      <c r="AC566" s="83"/>
      <c r="AD566" s="83"/>
      <c r="AE566" s="83"/>
      <c r="AF566" s="83"/>
      <c r="AG566" s="83"/>
      <c r="AH566" s="83"/>
      <c r="AI566" s="83"/>
      <c r="AJ566" s="83"/>
      <c r="AK566" s="83"/>
    </row>
    <row r="567">
      <c r="A567" s="83"/>
      <c r="B567" s="83"/>
      <c r="C567" s="83"/>
      <c r="D567" s="83"/>
      <c r="E567" s="118"/>
      <c r="F567" s="118"/>
      <c r="G567" s="118"/>
      <c r="H567" s="118"/>
      <c r="I567" s="118"/>
      <c r="J567" s="118"/>
      <c r="K567" s="118"/>
      <c r="L567" s="118"/>
      <c r="M567" s="118"/>
      <c r="N567" s="83"/>
      <c r="O567" s="83"/>
      <c r="P567" s="83"/>
      <c r="Q567" s="83"/>
      <c r="R567" s="83"/>
      <c r="S567" s="83"/>
      <c r="T567" s="83"/>
      <c r="U567" s="83"/>
      <c r="V567" s="83"/>
      <c r="W567" s="83"/>
      <c r="X567" s="83"/>
      <c r="Y567" s="83"/>
      <c r="Z567" s="83"/>
      <c r="AA567" s="83"/>
      <c r="AB567" s="83"/>
      <c r="AC567" s="83"/>
      <c r="AD567" s="83"/>
      <c r="AE567" s="83"/>
      <c r="AF567" s="83"/>
      <c r="AG567" s="83"/>
      <c r="AH567" s="83"/>
      <c r="AI567" s="83"/>
      <c r="AJ567" s="83"/>
      <c r="AK567" s="83"/>
    </row>
    <row r="568">
      <c r="A568" s="83"/>
      <c r="B568" s="83"/>
      <c r="C568" s="83"/>
      <c r="D568" s="83"/>
      <c r="E568" s="118"/>
      <c r="F568" s="118"/>
      <c r="G568" s="118"/>
      <c r="H568" s="118"/>
      <c r="I568" s="118"/>
      <c r="J568" s="118"/>
      <c r="K568" s="118"/>
      <c r="L568" s="118"/>
      <c r="M568" s="118"/>
      <c r="N568" s="83"/>
      <c r="O568" s="83"/>
      <c r="P568" s="83"/>
      <c r="Q568" s="83"/>
      <c r="R568" s="83"/>
      <c r="S568" s="83"/>
      <c r="T568" s="83"/>
      <c r="U568" s="83"/>
      <c r="V568" s="83"/>
      <c r="W568" s="83"/>
      <c r="X568" s="83"/>
      <c r="Y568" s="83"/>
      <c r="Z568" s="83"/>
      <c r="AA568" s="83"/>
      <c r="AB568" s="83"/>
      <c r="AC568" s="83"/>
      <c r="AD568" s="83"/>
      <c r="AE568" s="83"/>
      <c r="AF568" s="83"/>
      <c r="AG568" s="83"/>
      <c r="AH568" s="83"/>
      <c r="AI568" s="83"/>
      <c r="AJ568" s="83"/>
      <c r="AK568" s="83"/>
    </row>
    <row r="569">
      <c r="A569" s="83"/>
      <c r="B569" s="83"/>
      <c r="C569" s="83"/>
      <c r="D569" s="83"/>
      <c r="E569" s="118"/>
      <c r="F569" s="118"/>
      <c r="G569" s="118"/>
      <c r="H569" s="118"/>
      <c r="I569" s="118"/>
      <c r="J569" s="118"/>
      <c r="K569" s="118"/>
      <c r="L569" s="118"/>
      <c r="M569" s="118"/>
      <c r="N569" s="83"/>
      <c r="O569" s="83"/>
      <c r="P569" s="83"/>
      <c r="Q569" s="83"/>
      <c r="R569" s="83"/>
      <c r="S569" s="83"/>
      <c r="T569" s="83"/>
      <c r="U569" s="83"/>
      <c r="V569" s="83"/>
      <c r="W569" s="83"/>
      <c r="X569" s="83"/>
      <c r="Y569" s="83"/>
      <c r="Z569" s="83"/>
      <c r="AA569" s="83"/>
      <c r="AB569" s="83"/>
      <c r="AC569" s="83"/>
      <c r="AD569" s="83"/>
      <c r="AE569" s="83"/>
      <c r="AF569" s="83"/>
      <c r="AG569" s="83"/>
      <c r="AH569" s="83"/>
      <c r="AI569" s="83"/>
      <c r="AJ569" s="83"/>
      <c r="AK569" s="83"/>
    </row>
    <row r="570">
      <c r="A570" s="83"/>
      <c r="B570" s="83"/>
      <c r="C570" s="83"/>
      <c r="D570" s="83"/>
      <c r="E570" s="118"/>
      <c r="F570" s="118"/>
      <c r="G570" s="118"/>
      <c r="H570" s="118"/>
      <c r="I570" s="118"/>
      <c r="J570" s="118"/>
      <c r="K570" s="118"/>
      <c r="L570" s="118"/>
      <c r="M570" s="118"/>
      <c r="N570" s="83"/>
      <c r="O570" s="83"/>
      <c r="P570" s="83"/>
      <c r="Q570" s="83"/>
      <c r="R570" s="83"/>
      <c r="S570" s="83"/>
      <c r="T570" s="83"/>
      <c r="U570" s="83"/>
      <c r="V570" s="83"/>
      <c r="W570" s="83"/>
      <c r="X570" s="83"/>
      <c r="Y570" s="83"/>
      <c r="Z570" s="83"/>
      <c r="AA570" s="83"/>
      <c r="AB570" s="83"/>
      <c r="AC570" s="83"/>
      <c r="AD570" s="83"/>
      <c r="AE570" s="83"/>
      <c r="AF570" s="83"/>
      <c r="AG570" s="83"/>
      <c r="AH570" s="83"/>
      <c r="AI570" s="83"/>
      <c r="AJ570" s="83"/>
      <c r="AK570" s="83"/>
    </row>
    <row r="571">
      <c r="A571" s="83"/>
      <c r="B571" s="83"/>
      <c r="C571" s="83"/>
      <c r="D571" s="83"/>
      <c r="E571" s="118"/>
      <c r="F571" s="118"/>
      <c r="G571" s="118"/>
      <c r="H571" s="118"/>
      <c r="I571" s="118"/>
      <c r="J571" s="118"/>
      <c r="K571" s="118"/>
      <c r="L571" s="118"/>
      <c r="M571" s="118"/>
      <c r="N571" s="83"/>
      <c r="O571" s="83"/>
      <c r="P571" s="83"/>
      <c r="Q571" s="83"/>
      <c r="R571" s="83"/>
      <c r="S571" s="83"/>
      <c r="T571" s="83"/>
      <c r="U571" s="83"/>
      <c r="V571" s="83"/>
      <c r="W571" s="83"/>
      <c r="X571" s="83"/>
      <c r="Y571" s="83"/>
      <c r="Z571" s="83"/>
      <c r="AA571" s="83"/>
      <c r="AB571" s="83"/>
      <c r="AC571" s="83"/>
      <c r="AD571" s="83"/>
      <c r="AE571" s="83"/>
      <c r="AF571" s="83"/>
      <c r="AG571" s="83"/>
      <c r="AH571" s="83"/>
      <c r="AI571" s="83"/>
      <c r="AJ571" s="83"/>
      <c r="AK571" s="83"/>
    </row>
    <row r="572">
      <c r="A572" s="83"/>
      <c r="B572" s="83"/>
      <c r="C572" s="83"/>
      <c r="D572" s="83"/>
      <c r="E572" s="118"/>
      <c r="F572" s="118"/>
      <c r="G572" s="118"/>
      <c r="H572" s="118"/>
      <c r="I572" s="118"/>
      <c r="J572" s="118"/>
      <c r="K572" s="118"/>
      <c r="L572" s="118"/>
      <c r="M572" s="118"/>
      <c r="N572" s="83"/>
      <c r="O572" s="83"/>
      <c r="P572" s="83"/>
      <c r="Q572" s="83"/>
      <c r="R572" s="83"/>
      <c r="S572" s="83"/>
      <c r="T572" s="83"/>
      <c r="U572" s="83"/>
      <c r="V572" s="83"/>
      <c r="W572" s="83"/>
      <c r="X572" s="83"/>
      <c r="Y572" s="83"/>
      <c r="Z572" s="83"/>
      <c r="AA572" s="83"/>
      <c r="AB572" s="83"/>
      <c r="AC572" s="83"/>
      <c r="AD572" s="83"/>
      <c r="AE572" s="83"/>
      <c r="AF572" s="83"/>
      <c r="AG572" s="83"/>
      <c r="AH572" s="83"/>
      <c r="AI572" s="83"/>
      <c r="AJ572" s="83"/>
      <c r="AK572" s="83"/>
    </row>
    <row r="573">
      <c r="A573" s="83"/>
      <c r="B573" s="83"/>
      <c r="C573" s="83"/>
      <c r="D573" s="83"/>
      <c r="E573" s="118"/>
      <c r="F573" s="118"/>
      <c r="G573" s="118"/>
      <c r="H573" s="118"/>
      <c r="I573" s="118"/>
      <c r="J573" s="118"/>
      <c r="K573" s="118"/>
      <c r="L573" s="118"/>
      <c r="M573" s="118"/>
      <c r="N573" s="83"/>
      <c r="O573" s="83"/>
      <c r="P573" s="83"/>
      <c r="Q573" s="83"/>
      <c r="R573" s="83"/>
      <c r="S573" s="83"/>
      <c r="T573" s="83"/>
      <c r="U573" s="83"/>
      <c r="V573" s="83"/>
      <c r="W573" s="83"/>
      <c r="X573" s="83"/>
      <c r="Y573" s="83"/>
      <c r="Z573" s="83"/>
      <c r="AA573" s="83"/>
      <c r="AB573" s="83"/>
      <c r="AC573" s="83"/>
      <c r="AD573" s="83"/>
      <c r="AE573" s="83"/>
      <c r="AF573" s="83"/>
      <c r="AG573" s="83"/>
      <c r="AH573" s="83"/>
      <c r="AI573" s="83"/>
      <c r="AJ573" s="83"/>
      <c r="AK573" s="83"/>
    </row>
    <row r="574">
      <c r="A574" s="83"/>
      <c r="B574" s="83"/>
      <c r="C574" s="83"/>
      <c r="D574" s="83"/>
      <c r="E574" s="118"/>
      <c r="F574" s="118"/>
      <c r="G574" s="118"/>
      <c r="H574" s="118"/>
      <c r="I574" s="118"/>
      <c r="J574" s="118"/>
      <c r="K574" s="118"/>
      <c r="L574" s="118"/>
      <c r="M574" s="118"/>
      <c r="N574" s="83"/>
      <c r="O574" s="83"/>
      <c r="P574" s="83"/>
      <c r="Q574" s="83"/>
      <c r="R574" s="83"/>
      <c r="S574" s="83"/>
      <c r="T574" s="83"/>
      <c r="U574" s="83"/>
      <c r="V574" s="83"/>
      <c r="W574" s="83"/>
      <c r="X574" s="83"/>
      <c r="Y574" s="83"/>
      <c r="Z574" s="83"/>
      <c r="AA574" s="83"/>
      <c r="AB574" s="83"/>
      <c r="AC574" s="83"/>
      <c r="AD574" s="83"/>
      <c r="AE574" s="83"/>
      <c r="AF574" s="83"/>
      <c r="AG574" s="83"/>
      <c r="AH574" s="83"/>
      <c r="AI574" s="83"/>
      <c r="AJ574" s="83"/>
      <c r="AK574" s="83"/>
    </row>
    <row r="575">
      <c r="A575" s="83"/>
      <c r="B575" s="83"/>
      <c r="C575" s="83"/>
      <c r="D575" s="83"/>
      <c r="E575" s="118"/>
      <c r="F575" s="118"/>
      <c r="G575" s="118"/>
      <c r="H575" s="118"/>
      <c r="I575" s="118"/>
      <c r="J575" s="118"/>
      <c r="K575" s="118"/>
      <c r="L575" s="118"/>
      <c r="M575" s="118"/>
      <c r="N575" s="83"/>
      <c r="O575" s="83"/>
      <c r="P575" s="83"/>
      <c r="Q575" s="83"/>
      <c r="R575" s="83"/>
      <c r="S575" s="83"/>
      <c r="T575" s="83"/>
      <c r="U575" s="83"/>
      <c r="V575" s="83"/>
      <c r="W575" s="83"/>
      <c r="X575" s="83"/>
      <c r="Y575" s="83"/>
      <c r="Z575" s="83"/>
      <c r="AA575" s="83"/>
      <c r="AB575" s="83"/>
      <c r="AC575" s="83"/>
      <c r="AD575" s="83"/>
      <c r="AE575" s="83"/>
      <c r="AF575" s="83"/>
      <c r="AG575" s="83"/>
      <c r="AH575" s="83"/>
      <c r="AI575" s="83"/>
      <c r="AJ575" s="83"/>
      <c r="AK575" s="83"/>
    </row>
    <row r="576">
      <c r="A576" s="83"/>
      <c r="B576" s="83"/>
      <c r="C576" s="83"/>
      <c r="D576" s="83"/>
      <c r="E576" s="118"/>
      <c r="F576" s="118"/>
      <c r="G576" s="118"/>
      <c r="H576" s="118"/>
      <c r="I576" s="118"/>
      <c r="J576" s="118"/>
      <c r="K576" s="118"/>
      <c r="L576" s="118"/>
      <c r="M576" s="118"/>
      <c r="N576" s="83"/>
      <c r="O576" s="83"/>
      <c r="P576" s="83"/>
      <c r="Q576" s="83"/>
      <c r="R576" s="83"/>
      <c r="S576" s="83"/>
      <c r="T576" s="83"/>
      <c r="U576" s="83"/>
      <c r="V576" s="83"/>
      <c r="W576" s="83"/>
      <c r="X576" s="83"/>
      <c r="Y576" s="83"/>
      <c r="Z576" s="83"/>
      <c r="AA576" s="83"/>
      <c r="AB576" s="83"/>
      <c r="AC576" s="83"/>
      <c r="AD576" s="83"/>
      <c r="AE576" s="83"/>
      <c r="AF576" s="83"/>
      <c r="AG576" s="83"/>
      <c r="AH576" s="83"/>
      <c r="AI576" s="83"/>
      <c r="AJ576" s="83"/>
      <c r="AK576" s="83"/>
    </row>
    <row r="577">
      <c r="A577" s="83"/>
      <c r="B577" s="83"/>
      <c r="C577" s="83"/>
      <c r="D577" s="83"/>
      <c r="E577" s="118"/>
      <c r="F577" s="118"/>
      <c r="G577" s="118"/>
      <c r="H577" s="118"/>
      <c r="I577" s="118"/>
      <c r="J577" s="118"/>
      <c r="K577" s="118"/>
      <c r="L577" s="118"/>
      <c r="M577" s="118"/>
      <c r="N577" s="83"/>
      <c r="O577" s="83"/>
      <c r="P577" s="83"/>
      <c r="Q577" s="83"/>
      <c r="R577" s="83"/>
      <c r="S577" s="83"/>
      <c r="T577" s="83"/>
      <c r="U577" s="83"/>
      <c r="V577" s="83"/>
      <c r="W577" s="83"/>
      <c r="X577" s="83"/>
      <c r="Y577" s="83"/>
      <c r="Z577" s="83"/>
      <c r="AA577" s="83"/>
      <c r="AB577" s="83"/>
      <c r="AC577" s="83"/>
      <c r="AD577" s="83"/>
      <c r="AE577" s="83"/>
      <c r="AF577" s="83"/>
      <c r="AG577" s="83"/>
      <c r="AH577" s="83"/>
      <c r="AI577" s="83"/>
      <c r="AJ577" s="83"/>
      <c r="AK577" s="83"/>
    </row>
    <row r="578">
      <c r="A578" s="83"/>
      <c r="B578" s="83"/>
      <c r="C578" s="83"/>
      <c r="D578" s="83"/>
      <c r="E578" s="118"/>
      <c r="F578" s="118"/>
      <c r="G578" s="118"/>
      <c r="H578" s="118"/>
      <c r="I578" s="118"/>
      <c r="J578" s="118"/>
      <c r="K578" s="118"/>
      <c r="L578" s="118"/>
      <c r="M578" s="118"/>
      <c r="N578" s="83"/>
      <c r="O578" s="83"/>
      <c r="P578" s="83"/>
      <c r="Q578" s="83"/>
      <c r="R578" s="83"/>
      <c r="S578" s="83"/>
      <c r="T578" s="83"/>
      <c r="U578" s="83"/>
      <c r="V578" s="83"/>
      <c r="W578" s="83"/>
      <c r="X578" s="83"/>
      <c r="Y578" s="83"/>
      <c r="Z578" s="83"/>
      <c r="AA578" s="83"/>
      <c r="AB578" s="83"/>
      <c r="AC578" s="83"/>
      <c r="AD578" s="83"/>
      <c r="AE578" s="83"/>
      <c r="AF578" s="83"/>
      <c r="AG578" s="83"/>
      <c r="AH578" s="83"/>
      <c r="AI578" s="83"/>
      <c r="AJ578" s="83"/>
      <c r="AK578" s="83"/>
    </row>
    <row r="579">
      <c r="A579" s="83"/>
      <c r="B579" s="83"/>
      <c r="C579" s="83"/>
      <c r="D579" s="83"/>
      <c r="E579" s="118"/>
      <c r="F579" s="118"/>
      <c r="G579" s="118"/>
      <c r="H579" s="118"/>
      <c r="I579" s="118"/>
      <c r="J579" s="118"/>
      <c r="K579" s="118"/>
      <c r="L579" s="118"/>
      <c r="M579" s="118"/>
      <c r="N579" s="83"/>
      <c r="O579" s="83"/>
      <c r="P579" s="83"/>
      <c r="Q579" s="83"/>
      <c r="R579" s="83"/>
      <c r="S579" s="83"/>
      <c r="T579" s="83"/>
      <c r="U579" s="83"/>
      <c r="V579" s="83"/>
      <c r="W579" s="83"/>
      <c r="X579" s="83"/>
      <c r="Y579" s="83"/>
      <c r="Z579" s="83"/>
      <c r="AA579" s="83"/>
      <c r="AB579" s="83"/>
      <c r="AC579" s="83"/>
      <c r="AD579" s="83"/>
      <c r="AE579" s="83"/>
      <c r="AF579" s="83"/>
      <c r="AG579" s="83"/>
      <c r="AH579" s="83"/>
      <c r="AI579" s="83"/>
      <c r="AJ579" s="83"/>
      <c r="AK579" s="83"/>
    </row>
    <row r="580">
      <c r="A580" s="83"/>
      <c r="B580" s="83"/>
      <c r="C580" s="83"/>
      <c r="D580" s="83"/>
      <c r="E580" s="118"/>
      <c r="F580" s="118"/>
      <c r="G580" s="118"/>
      <c r="H580" s="118"/>
      <c r="I580" s="118"/>
      <c r="J580" s="118"/>
      <c r="K580" s="118"/>
      <c r="L580" s="118"/>
      <c r="M580" s="118"/>
      <c r="N580" s="83"/>
      <c r="O580" s="83"/>
      <c r="P580" s="83"/>
      <c r="Q580" s="83"/>
      <c r="R580" s="83"/>
      <c r="S580" s="83"/>
      <c r="T580" s="83"/>
      <c r="U580" s="83"/>
      <c r="V580" s="83"/>
      <c r="W580" s="83"/>
      <c r="X580" s="83"/>
      <c r="Y580" s="83"/>
      <c r="Z580" s="83"/>
      <c r="AA580" s="83"/>
      <c r="AB580" s="83"/>
      <c r="AC580" s="83"/>
      <c r="AD580" s="83"/>
      <c r="AE580" s="83"/>
      <c r="AF580" s="83"/>
      <c r="AG580" s="83"/>
      <c r="AH580" s="83"/>
      <c r="AI580" s="83"/>
      <c r="AJ580" s="83"/>
      <c r="AK580" s="83"/>
    </row>
    <row r="581">
      <c r="A581" s="83"/>
      <c r="B581" s="83"/>
      <c r="C581" s="83"/>
      <c r="D581" s="83"/>
      <c r="E581" s="118"/>
      <c r="F581" s="118"/>
      <c r="G581" s="118"/>
      <c r="H581" s="118"/>
      <c r="I581" s="118"/>
      <c r="J581" s="118"/>
      <c r="K581" s="118"/>
      <c r="L581" s="118"/>
      <c r="M581" s="118"/>
      <c r="N581" s="83"/>
      <c r="O581" s="83"/>
      <c r="P581" s="83"/>
      <c r="Q581" s="83"/>
      <c r="R581" s="83"/>
      <c r="S581" s="83"/>
      <c r="T581" s="83"/>
      <c r="U581" s="83"/>
      <c r="V581" s="83"/>
      <c r="W581" s="83"/>
      <c r="X581" s="83"/>
      <c r="Y581" s="83"/>
      <c r="Z581" s="83"/>
      <c r="AA581" s="83"/>
      <c r="AB581" s="83"/>
      <c r="AC581" s="83"/>
      <c r="AD581" s="83"/>
      <c r="AE581" s="83"/>
      <c r="AF581" s="83"/>
      <c r="AG581" s="83"/>
      <c r="AH581" s="83"/>
      <c r="AI581" s="83"/>
      <c r="AJ581" s="83"/>
      <c r="AK581" s="83"/>
    </row>
    <row r="582">
      <c r="A582" s="83"/>
      <c r="B582" s="83"/>
      <c r="C582" s="83"/>
      <c r="D582" s="83"/>
      <c r="E582" s="118"/>
      <c r="F582" s="118"/>
      <c r="G582" s="118"/>
      <c r="H582" s="118"/>
      <c r="I582" s="118"/>
      <c r="J582" s="118"/>
      <c r="K582" s="118"/>
      <c r="L582" s="118"/>
      <c r="M582" s="118"/>
      <c r="N582" s="83"/>
      <c r="O582" s="83"/>
      <c r="P582" s="83"/>
      <c r="Q582" s="83"/>
      <c r="R582" s="83"/>
      <c r="S582" s="83"/>
      <c r="T582" s="83"/>
      <c r="U582" s="83"/>
      <c r="V582" s="83"/>
      <c r="W582" s="83"/>
      <c r="X582" s="83"/>
      <c r="Y582" s="83"/>
      <c r="Z582" s="83"/>
      <c r="AA582" s="83"/>
      <c r="AB582" s="83"/>
      <c r="AC582" s="83"/>
      <c r="AD582" s="83"/>
      <c r="AE582" s="83"/>
      <c r="AF582" s="83"/>
      <c r="AG582" s="83"/>
      <c r="AH582" s="83"/>
      <c r="AI582" s="83"/>
      <c r="AJ582" s="83"/>
      <c r="AK582" s="83"/>
    </row>
    <row r="583">
      <c r="A583" s="83"/>
      <c r="B583" s="83"/>
      <c r="C583" s="83"/>
      <c r="D583" s="83"/>
      <c r="E583" s="118"/>
      <c r="F583" s="118"/>
      <c r="G583" s="118"/>
      <c r="H583" s="118"/>
      <c r="I583" s="118"/>
      <c r="J583" s="118"/>
      <c r="K583" s="118"/>
      <c r="L583" s="118"/>
      <c r="M583" s="118"/>
      <c r="N583" s="83"/>
      <c r="O583" s="83"/>
      <c r="P583" s="83"/>
      <c r="Q583" s="83"/>
      <c r="R583" s="83"/>
      <c r="S583" s="83"/>
      <c r="T583" s="83"/>
      <c r="U583" s="83"/>
      <c r="V583" s="83"/>
      <c r="W583" s="83"/>
      <c r="X583" s="83"/>
      <c r="Y583" s="83"/>
      <c r="Z583" s="83"/>
      <c r="AA583" s="83"/>
      <c r="AB583" s="83"/>
      <c r="AC583" s="83"/>
      <c r="AD583" s="83"/>
      <c r="AE583" s="83"/>
      <c r="AF583" s="83"/>
      <c r="AG583" s="83"/>
      <c r="AH583" s="83"/>
      <c r="AI583" s="83"/>
      <c r="AJ583" s="83"/>
      <c r="AK583" s="83"/>
    </row>
    <row r="584">
      <c r="A584" s="83"/>
      <c r="B584" s="83"/>
      <c r="C584" s="83"/>
      <c r="D584" s="83"/>
      <c r="E584" s="118"/>
      <c r="F584" s="118"/>
      <c r="G584" s="118"/>
      <c r="H584" s="118"/>
      <c r="I584" s="118"/>
      <c r="J584" s="118"/>
      <c r="K584" s="118"/>
      <c r="L584" s="118"/>
      <c r="M584" s="118"/>
      <c r="N584" s="83"/>
      <c r="O584" s="83"/>
      <c r="P584" s="83"/>
      <c r="Q584" s="83"/>
      <c r="R584" s="83"/>
      <c r="S584" s="83"/>
      <c r="T584" s="83"/>
      <c r="U584" s="83"/>
      <c r="V584" s="83"/>
      <c r="W584" s="83"/>
      <c r="X584" s="83"/>
      <c r="Y584" s="83"/>
      <c r="Z584" s="83"/>
      <c r="AA584" s="83"/>
      <c r="AB584" s="83"/>
      <c r="AC584" s="83"/>
      <c r="AD584" s="83"/>
      <c r="AE584" s="83"/>
      <c r="AF584" s="83"/>
      <c r="AG584" s="83"/>
      <c r="AH584" s="83"/>
      <c r="AI584" s="83"/>
      <c r="AJ584" s="83"/>
      <c r="AK584" s="83"/>
    </row>
    <row r="585">
      <c r="A585" s="83"/>
      <c r="B585" s="83"/>
      <c r="C585" s="83"/>
      <c r="D585" s="83"/>
      <c r="E585" s="118"/>
      <c r="F585" s="118"/>
      <c r="G585" s="118"/>
      <c r="H585" s="118"/>
      <c r="I585" s="118"/>
      <c r="J585" s="118"/>
      <c r="K585" s="118"/>
      <c r="L585" s="118"/>
      <c r="M585" s="118"/>
      <c r="N585" s="83"/>
      <c r="O585" s="83"/>
      <c r="P585" s="83"/>
      <c r="Q585" s="83"/>
      <c r="R585" s="83"/>
      <c r="S585" s="83"/>
      <c r="T585" s="83"/>
      <c r="U585" s="83"/>
      <c r="V585" s="83"/>
      <c r="W585" s="83"/>
      <c r="X585" s="83"/>
      <c r="Y585" s="83"/>
      <c r="Z585" s="83"/>
      <c r="AA585" s="83"/>
      <c r="AB585" s="83"/>
      <c r="AC585" s="83"/>
      <c r="AD585" s="83"/>
      <c r="AE585" s="83"/>
      <c r="AF585" s="83"/>
      <c r="AG585" s="83"/>
      <c r="AH585" s="83"/>
      <c r="AI585" s="83"/>
      <c r="AJ585" s="83"/>
      <c r="AK585" s="83"/>
    </row>
    <row r="586">
      <c r="A586" s="83"/>
      <c r="B586" s="83"/>
      <c r="C586" s="83"/>
      <c r="D586" s="83"/>
      <c r="E586" s="118"/>
      <c r="F586" s="118"/>
      <c r="G586" s="118"/>
      <c r="H586" s="118"/>
      <c r="I586" s="118"/>
      <c r="J586" s="118"/>
      <c r="K586" s="118"/>
      <c r="L586" s="118"/>
      <c r="M586" s="118"/>
      <c r="N586" s="83"/>
      <c r="O586" s="83"/>
      <c r="P586" s="83"/>
      <c r="Q586" s="83"/>
      <c r="R586" s="83"/>
      <c r="S586" s="83"/>
      <c r="T586" s="83"/>
      <c r="U586" s="83"/>
      <c r="V586" s="83"/>
      <c r="W586" s="83"/>
      <c r="X586" s="83"/>
      <c r="Y586" s="83"/>
      <c r="Z586" s="83"/>
      <c r="AA586" s="83"/>
      <c r="AB586" s="83"/>
      <c r="AC586" s="83"/>
      <c r="AD586" s="83"/>
      <c r="AE586" s="83"/>
      <c r="AF586" s="83"/>
      <c r="AG586" s="83"/>
      <c r="AH586" s="83"/>
      <c r="AI586" s="83"/>
      <c r="AJ586" s="83"/>
      <c r="AK586" s="83"/>
    </row>
    <row r="587">
      <c r="A587" s="83"/>
      <c r="B587" s="83"/>
      <c r="C587" s="83"/>
      <c r="D587" s="83"/>
      <c r="E587" s="118"/>
      <c r="F587" s="118"/>
      <c r="G587" s="118"/>
      <c r="H587" s="118"/>
      <c r="I587" s="118"/>
      <c r="J587" s="118"/>
      <c r="K587" s="118"/>
      <c r="L587" s="118"/>
      <c r="M587" s="118"/>
      <c r="N587" s="83"/>
      <c r="O587" s="83"/>
      <c r="P587" s="83"/>
      <c r="Q587" s="83"/>
      <c r="R587" s="83"/>
      <c r="S587" s="83"/>
      <c r="T587" s="83"/>
      <c r="U587" s="83"/>
      <c r="V587" s="83"/>
      <c r="W587" s="83"/>
      <c r="X587" s="83"/>
      <c r="Y587" s="83"/>
      <c r="Z587" s="83"/>
      <c r="AA587" s="83"/>
      <c r="AB587" s="83"/>
      <c r="AC587" s="83"/>
      <c r="AD587" s="83"/>
      <c r="AE587" s="83"/>
      <c r="AF587" s="83"/>
      <c r="AG587" s="83"/>
      <c r="AH587" s="83"/>
      <c r="AI587" s="83"/>
      <c r="AJ587" s="83"/>
      <c r="AK587" s="83"/>
    </row>
    <row r="588">
      <c r="A588" s="83"/>
      <c r="B588" s="83"/>
      <c r="C588" s="83"/>
      <c r="D588" s="83"/>
      <c r="E588" s="118"/>
      <c r="F588" s="118"/>
      <c r="G588" s="118"/>
      <c r="H588" s="118"/>
      <c r="I588" s="118"/>
      <c r="J588" s="118"/>
      <c r="K588" s="118"/>
      <c r="L588" s="118"/>
      <c r="M588" s="118"/>
      <c r="N588" s="83"/>
      <c r="O588" s="83"/>
      <c r="P588" s="83"/>
      <c r="Q588" s="83"/>
      <c r="R588" s="83"/>
      <c r="S588" s="83"/>
      <c r="T588" s="83"/>
      <c r="U588" s="83"/>
      <c r="V588" s="83"/>
      <c r="W588" s="83"/>
      <c r="X588" s="83"/>
      <c r="Y588" s="83"/>
      <c r="Z588" s="83"/>
      <c r="AA588" s="83"/>
      <c r="AB588" s="83"/>
      <c r="AC588" s="83"/>
      <c r="AD588" s="83"/>
      <c r="AE588" s="83"/>
      <c r="AF588" s="83"/>
      <c r="AG588" s="83"/>
      <c r="AH588" s="83"/>
      <c r="AI588" s="83"/>
      <c r="AJ588" s="83"/>
      <c r="AK588" s="83"/>
    </row>
    <row r="589">
      <c r="A589" s="83"/>
      <c r="B589" s="83"/>
      <c r="C589" s="83"/>
      <c r="D589" s="83"/>
      <c r="E589" s="118"/>
      <c r="F589" s="118"/>
      <c r="G589" s="118"/>
      <c r="H589" s="118"/>
      <c r="I589" s="118"/>
      <c r="J589" s="118"/>
      <c r="K589" s="118"/>
      <c r="L589" s="118"/>
      <c r="M589" s="118"/>
      <c r="N589" s="83"/>
      <c r="O589" s="83"/>
      <c r="P589" s="83"/>
      <c r="Q589" s="83"/>
      <c r="R589" s="83"/>
      <c r="S589" s="83"/>
      <c r="T589" s="83"/>
      <c r="U589" s="83"/>
      <c r="V589" s="83"/>
      <c r="W589" s="83"/>
      <c r="X589" s="83"/>
      <c r="Y589" s="83"/>
      <c r="Z589" s="83"/>
      <c r="AA589" s="83"/>
      <c r="AB589" s="83"/>
      <c r="AC589" s="83"/>
      <c r="AD589" s="83"/>
      <c r="AE589" s="83"/>
      <c r="AF589" s="83"/>
      <c r="AG589" s="83"/>
      <c r="AH589" s="83"/>
      <c r="AI589" s="83"/>
      <c r="AJ589" s="83"/>
      <c r="AK589" s="83"/>
    </row>
    <row r="590">
      <c r="A590" s="83"/>
      <c r="B590" s="83"/>
      <c r="C590" s="83"/>
      <c r="D590" s="83"/>
      <c r="E590" s="118"/>
      <c r="F590" s="118"/>
      <c r="G590" s="118"/>
      <c r="H590" s="118"/>
      <c r="I590" s="118"/>
      <c r="J590" s="118"/>
      <c r="K590" s="118"/>
      <c r="L590" s="118"/>
      <c r="M590" s="118"/>
      <c r="N590" s="83"/>
      <c r="O590" s="83"/>
      <c r="P590" s="83"/>
      <c r="Q590" s="83"/>
      <c r="R590" s="83"/>
      <c r="S590" s="83"/>
      <c r="T590" s="83"/>
      <c r="U590" s="83"/>
      <c r="V590" s="83"/>
      <c r="W590" s="83"/>
      <c r="X590" s="83"/>
      <c r="Y590" s="83"/>
      <c r="Z590" s="83"/>
      <c r="AA590" s="83"/>
      <c r="AB590" s="83"/>
      <c r="AC590" s="83"/>
      <c r="AD590" s="83"/>
      <c r="AE590" s="83"/>
      <c r="AF590" s="83"/>
      <c r="AG590" s="83"/>
      <c r="AH590" s="83"/>
      <c r="AI590" s="83"/>
      <c r="AJ590" s="83"/>
      <c r="AK590" s="83"/>
    </row>
    <row r="591">
      <c r="A591" s="83"/>
      <c r="B591" s="83"/>
      <c r="C591" s="83"/>
      <c r="D591" s="83"/>
      <c r="E591" s="118"/>
      <c r="F591" s="118"/>
      <c r="G591" s="118"/>
      <c r="H591" s="118"/>
      <c r="I591" s="118"/>
      <c r="J591" s="118"/>
      <c r="K591" s="118"/>
      <c r="L591" s="118"/>
      <c r="M591" s="118"/>
      <c r="N591" s="83"/>
      <c r="O591" s="83"/>
      <c r="P591" s="83"/>
      <c r="Q591" s="83"/>
      <c r="R591" s="83"/>
      <c r="S591" s="83"/>
      <c r="T591" s="83"/>
      <c r="U591" s="83"/>
      <c r="V591" s="83"/>
      <c r="W591" s="83"/>
      <c r="X591" s="83"/>
      <c r="Y591" s="83"/>
      <c r="Z591" s="83"/>
      <c r="AA591" s="83"/>
      <c r="AB591" s="83"/>
      <c r="AC591" s="83"/>
      <c r="AD591" s="83"/>
      <c r="AE591" s="83"/>
      <c r="AF591" s="83"/>
      <c r="AG591" s="83"/>
      <c r="AH591" s="83"/>
      <c r="AI591" s="83"/>
      <c r="AJ591" s="83"/>
      <c r="AK591" s="83"/>
    </row>
    <row r="592">
      <c r="A592" s="83"/>
      <c r="B592" s="83"/>
      <c r="C592" s="83"/>
      <c r="D592" s="83"/>
      <c r="E592" s="118"/>
      <c r="F592" s="118"/>
      <c r="G592" s="118"/>
      <c r="H592" s="118"/>
      <c r="I592" s="118"/>
      <c r="J592" s="118"/>
      <c r="K592" s="118"/>
      <c r="L592" s="118"/>
      <c r="M592" s="118"/>
      <c r="N592" s="83"/>
      <c r="O592" s="83"/>
      <c r="P592" s="83"/>
      <c r="Q592" s="83"/>
      <c r="R592" s="83"/>
      <c r="S592" s="83"/>
      <c r="T592" s="83"/>
      <c r="U592" s="83"/>
      <c r="V592" s="83"/>
      <c r="W592" s="83"/>
      <c r="X592" s="83"/>
      <c r="Y592" s="83"/>
      <c r="Z592" s="83"/>
      <c r="AA592" s="83"/>
      <c r="AB592" s="83"/>
      <c r="AC592" s="83"/>
      <c r="AD592" s="83"/>
      <c r="AE592" s="83"/>
      <c r="AF592" s="83"/>
      <c r="AG592" s="83"/>
      <c r="AH592" s="83"/>
      <c r="AI592" s="83"/>
      <c r="AJ592" s="83"/>
      <c r="AK592" s="83"/>
    </row>
    <row r="593">
      <c r="A593" s="83"/>
      <c r="B593" s="83"/>
      <c r="C593" s="83"/>
      <c r="D593" s="83"/>
      <c r="E593" s="118"/>
      <c r="F593" s="118"/>
      <c r="G593" s="118"/>
      <c r="H593" s="118"/>
      <c r="I593" s="118"/>
      <c r="J593" s="118"/>
      <c r="K593" s="118"/>
      <c r="L593" s="118"/>
      <c r="M593" s="118"/>
      <c r="N593" s="83"/>
      <c r="O593" s="83"/>
      <c r="P593" s="83"/>
      <c r="Q593" s="83"/>
      <c r="R593" s="83"/>
      <c r="S593" s="83"/>
      <c r="T593" s="83"/>
      <c r="U593" s="83"/>
      <c r="V593" s="83"/>
      <c r="W593" s="83"/>
      <c r="X593" s="83"/>
      <c r="Y593" s="83"/>
      <c r="Z593" s="83"/>
      <c r="AA593" s="83"/>
      <c r="AB593" s="83"/>
      <c r="AC593" s="83"/>
      <c r="AD593" s="83"/>
      <c r="AE593" s="83"/>
      <c r="AF593" s="83"/>
      <c r="AG593" s="83"/>
      <c r="AH593" s="83"/>
      <c r="AI593" s="83"/>
      <c r="AJ593" s="83"/>
      <c r="AK593" s="83"/>
    </row>
    <row r="594">
      <c r="A594" s="83"/>
      <c r="B594" s="83"/>
      <c r="C594" s="83"/>
      <c r="D594" s="83"/>
      <c r="E594" s="118"/>
      <c r="F594" s="118"/>
      <c r="G594" s="118"/>
      <c r="H594" s="118"/>
      <c r="I594" s="118"/>
      <c r="J594" s="118"/>
      <c r="K594" s="118"/>
      <c r="L594" s="118"/>
      <c r="M594" s="118"/>
      <c r="N594" s="83"/>
      <c r="O594" s="83"/>
      <c r="P594" s="83"/>
      <c r="Q594" s="83"/>
      <c r="R594" s="83"/>
      <c r="S594" s="83"/>
      <c r="T594" s="83"/>
      <c r="U594" s="83"/>
      <c r="V594" s="83"/>
      <c r="W594" s="83"/>
      <c r="X594" s="83"/>
      <c r="Y594" s="83"/>
      <c r="Z594" s="83"/>
      <c r="AA594" s="83"/>
      <c r="AB594" s="83"/>
      <c r="AC594" s="83"/>
      <c r="AD594" s="83"/>
      <c r="AE594" s="83"/>
      <c r="AF594" s="83"/>
      <c r="AG594" s="83"/>
      <c r="AH594" s="83"/>
      <c r="AI594" s="83"/>
      <c r="AJ594" s="83"/>
      <c r="AK594" s="83"/>
    </row>
    <row r="595">
      <c r="A595" s="83"/>
      <c r="B595" s="83"/>
      <c r="C595" s="83"/>
      <c r="D595" s="83"/>
      <c r="E595" s="118"/>
      <c r="F595" s="118"/>
      <c r="G595" s="118"/>
      <c r="H595" s="118"/>
      <c r="I595" s="118"/>
      <c r="J595" s="118"/>
      <c r="K595" s="118"/>
      <c r="L595" s="118"/>
      <c r="M595" s="118"/>
      <c r="N595" s="83"/>
      <c r="O595" s="83"/>
      <c r="P595" s="83"/>
      <c r="Q595" s="83"/>
      <c r="R595" s="83"/>
      <c r="S595" s="83"/>
      <c r="T595" s="83"/>
      <c r="U595" s="83"/>
      <c r="V595" s="83"/>
      <c r="W595" s="83"/>
      <c r="X595" s="83"/>
      <c r="Y595" s="83"/>
      <c r="Z595" s="83"/>
      <c r="AA595" s="83"/>
      <c r="AB595" s="83"/>
      <c r="AC595" s="83"/>
      <c r="AD595" s="83"/>
      <c r="AE595" s="83"/>
      <c r="AF595" s="83"/>
      <c r="AG595" s="83"/>
      <c r="AH595" s="83"/>
      <c r="AI595" s="83"/>
      <c r="AJ595" s="83"/>
      <c r="AK595" s="83"/>
    </row>
    <row r="596">
      <c r="A596" s="83"/>
      <c r="B596" s="83"/>
      <c r="C596" s="83"/>
      <c r="D596" s="83"/>
      <c r="E596" s="118"/>
      <c r="F596" s="118"/>
      <c r="G596" s="118"/>
      <c r="H596" s="118"/>
      <c r="I596" s="118"/>
      <c r="J596" s="118"/>
      <c r="K596" s="118"/>
      <c r="L596" s="118"/>
      <c r="M596" s="118"/>
      <c r="N596" s="83"/>
      <c r="O596" s="83"/>
      <c r="P596" s="83"/>
      <c r="Q596" s="83"/>
      <c r="R596" s="83"/>
      <c r="S596" s="83"/>
      <c r="T596" s="83"/>
      <c r="U596" s="83"/>
      <c r="V596" s="83"/>
      <c r="W596" s="83"/>
      <c r="X596" s="83"/>
      <c r="Y596" s="83"/>
      <c r="Z596" s="83"/>
      <c r="AA596" s="83"/>
      <c r="AB596" s="83"/>
      <c r="AC596" s="83"/>
      <c r="AD596" s="83"/>
      <c r="AE596" s="83"/>
      <c r="AF596" s="83"/>
      <c r="AG596" s="83"/>
      <c r="AH596" s="83"/>
      <c r="AI596" s="83"/>
      <c r="AJ596" s="83"/>
      <c r="AK596" s="83"/>
    </row>
    <row r="597">
      <c r="A597" s="83"/>
      <c r="B597" s="83"/>
      <c r="C597" s="83"/>
      <c r="D597" s="83"/>
      <c r="E597" s="118"/>
      <c r="F597" s="118"/>
      <c r="G597" s="118"/>
      <c r="H597" s="118"/>
      <c r="I597" s="118"/>
      <c r="J597" s="118"/>
      <c r="K597" s="118"/>
      <c r="L597" s="118"/>
      <c r="M597" s="118"/>
      <c r="N597" s="83"/>
      <c r="O597" s="83"/>
      <c r="P597" s="83"/>
      <c r="Q597" s="83"/>
      <c r="R597" s="83"/>
      <c r="S597" s="83"/>
      <c r="T597" s="83"/>
      <c r="U597" s="83"/>
      <c r="V597" s="83"/>
      <c r="W597" s="83"/>
      <c r="X597" s="83"/>
      <c r="Y597" s="83"/>
      <c r="Z597" s="83"/>
      <c r="AA597" s="83"/>
      <c r="AB597" s="83"/>
      <c r="AC597" s="83"/>
      <c r="AD597" s="83"/>
      <c r="AE597" s="83"/>
      <c r="AF597" s="83"/>
      <c r="AG597" s="83"/>
      <c r="AH597" s="83"/>
      <c r="AI597" s="83"/>
      <c r="AJ597" s="83"/>
      <c r="AK597" s="83"/>
    </row>
    <row r="598">
      <c r="A598" s="83"/>
      <c r="B598" s="83"/>
      <c r="C598" s="83"/>
      <c r="D598" s="83"/>
      <c r="E598" s="118"/>
      <c r="F598" s="118"/>
      <c r="G598" s="118"/>
      <c r="H598" s="118"/>
      <c r="I598" s="118"/>
      <c r="J598" s="118"/>
      <c r="K598" s="118"/>
      <c r="L598" s="118"/>
      <c r="M598" s="118"/>
      <c r="N598" s="83"/>
      <c r="O598" s="83"/>
      <c r="P598" s="83"/>
      <c r="Q598" s="83"/>
      <c r="R598" s="83"/>
      <c r="S598" s="83"/>
      <c r="T598" s="83"/>
      <c r="U598" s="83"/>
      <c r="V598" s="83"/>
      <c r="W598" s="83"/>
      <c r="X598" s="83"/>
      <c r="Y598" s="83"/>
      <c r="Z598" s="83"/>
      <c r="AA598" s="83"/>
      <c r="AB598" s="83"/>
      <c r="AC598" s="83"/>
      <c r="AD598" s="83"/>
      <c r="AE598" s="83"/>
      <c r="AF598" s="83"/>
      <c r="AG598" s="83"/>
      <c r="AH598" s="83"/>
      <c r="AI598" s="83"/>
      <c r="AJ598" s="83"/>
      <c r="AK598" s="83"/>
    </row>
    <row r="599">
      <c r="A599" s="83"/>
      <c r="B599" s="83"/>
      <c r="C599" s="83"/>
      <c r="D599" s="83"/>
      <c r="E599" s="118"/>
      <c r="F599" s="118"/>
      <c r="G599" s="118"/>
      <c r="H599" s="118"/>
      <c r="I599" s="118"/>
      <c r="J599" s="118"/>
      <c r="K599" s="118"/>
      <c r="L599" s="118"/>
      <c r="M599" s="118"/>
      <c r="N599" s="83"/>
      <c r="O599" s="83"/>
      <c r="P599" s="83"/>
      <c r="Q599" s="83"/>
      <c r="R599" s="83"/>
      <c r="S599" s="83"/>
      <c r="T599" s="83"/>
      <c r="U599" s="83"/>
      <c r="V599" s="83"/>
      <c r="W599" s="83"/>
      <c r="X599" s="83"/>
      <c r="Y599" s="83"/>
      <c r="Z599" s="83"/>
      <c r="AA599" s="83"/>
      <c r="AB599" s="83"/>
      <c r="AC599" s="83"/>
      <c r="AD599" s="83"/>
      <c r="AE599" s="83"/>
      <c r="AF599" s="83"/>
      <c r="AG599" s="83"/>
      <c r="AH599" s="83"/>
      <c r="AI599" s="83"/>
      <c r="AJ599" s="83"/>
      <c r="AK599" s="83"/>
    </row>
    <row r="600">
      <c r="A600" s="83"/>
      <c r="B600" s="83"/>
      <c r="C600" s="83"/>
      <c r="D600" s="83"/>
      <c r="E600" s="118"/>
      <c r="F600" s="118"/>
      <c r="G600" s="118"/>
      <c r="H600" s="118"/>
      <c r="I600" s="118"/>
      <c r="J600" s="118"/>
      <c r="K600" s="118"/>
      <c r="L600" s="118"/>
      <c r="M600" s="118"/>
      <c r="N600" s="83"/>
      <c r="O600" s="83"/>
      <c r="P600" s="83"/>
      <c r="Q600" s="83"/>
      <c r="R600" s="83"/>
      <c r="S600" s="83"/>
      <c r="T600" s="83"/>
      <c r="U600" s="83"/>
      <c r="V600" s="83"/>
      <c r="W600" s="83"/>
      <c r="X600" s="83"/>
      <c r="Y600" s="83"/>
      <c r="Z600" s="83"/>
      <c r="AA600" s="83"/>
      <c r="AB600" s="83"/>
      <c r="AC600" s="83"/>
      <c r="AD600" s="83"/>
      <c r="AE600" s="83"/>
      <c r="AF600" s="83"/>
      <c r="AG600" s="83"/>
      <c r="AH600" s="83"/>
      <c r="AI600" s="83"/>
      <c r="AJ600" s="83"/>
      <c r="AK600" s="83"/>
    </row>
    <row r="601">
      <c r="A601" s="83"/>
      <c r="B601" s="83"/>
      <c r="C601" s="83"/>
      <c r="D601" s="83"/>
      <c r="E601" s="118"/>
      <c r="F601" s="118"/>
      <c r="G601" s="118"/>
      <c r="H601" s="118"/>
      <c r="I601" s="118"/>
      <c r="J601" s="118"/>
      <c r="K601" s="118"/>
      <c r="L601" s="118"/>
      <c r="M601" s="118"/>
      <c r="N601" s="83"/>
      <c r="O601" s="83"/>
      <c r="P601" s="83"/>
      <c r="Q601" s="83"/>
      <c r="R601" s="83"/>
      <c r="S601" s="83"/>
      <c r="T601" s="83"/>
      <c r="U601" s="83"/>
      <c r="V601" s="83"/>
      <c r="W601" s="83"/>
      <c r="X601" s="83"/>
      <c r="Y601" s="83"/>
      <c r="Z601" s="83"/>
      <c r="AA601" s="83"/>
      <c r="AB601" s="83"/>
      <c r="AC601" s="83"/>
      <c r="AD601" s="83"/>
      <c r="AE601" s="83"/>
      <c r="AF601" s="83"/>
      <c r="AG601" s="83"/>
      <c r="AH601" s="83"/>
      <c r="AI601" s="83"/>
      <c r="AJ601" s="83"/>
      <c r="AK601" s="83"/>
    </row>
    <row r="602">
      <c r="A602" s="83"/>
      <c r="B602" s="83"/>
      <c r="C602" s="83"/>
      <c r="D602" s="83"/>
      <c r="E602" s="118"/>
      <c r="F602" s="118"/>
      <c r="G602" s="118"/>
      <c r="H602" s="118"/>
      <c r="I602" s="118"/>
      <c r="J602" s="118"/>
      <c r="K602" s="118"/>
      <c r="L602" s="118"/>
      <c r="M602" s="118"/>
      <c r="N602" s="83"/>
      <c r="O602" s="83"/>
      <c r="P602" s="83"/>
      <c r="Q602" s="83"/>
      <c r="R602" s="83"/>
      <c r="S602" s="83"/>
      <c r="T602" s="83"/>
      <c r="U602" s="83"/>
      <c r="V602" s="83"/>
      <c r="W602" s="83"/>
      <c r="X602" s="83"/>
      <c r="Y602" s="83"/>
      <c r="Z602" s="83"/>
      <c r="AA602" s="83"/>
      <c r="AB602" s="83"/>
      <c r="AC602" s="83"/>
      <c r="AD602" s="83"/>
      <c r="AE602" s="83"/>
      <c r="AF602" s="83"/>
      <c r="AG602" s="83"/>
      <c r="AH602" s="83"/>
      <c r="AI602" s="83"/>
      <c r="AJ602" s="83"/>
      <c r="AK602" s="83"/>
    </row>
    <row r="603">
      <c r="A603" s="83"/>
      <c r="B603" s="83"/>
      <c r="C603" s="83"/>
      <c r="D603" s="83"/>
      <c r="E603" s="118"/>
      <c r="F603" s="118"/>
      <c r="G603" s="118"/>
      <c r="H603" s="118"/>
      <c r="I603" s="118"/>
      <c r="J603" s="118"/>
      <c r="K603" s="118"/>
      <c r="L603" s="118"/>
      <c r="M603" s="118"/>
      <c r="N603" s="83"/>
      <c r="O603" s="83"/>
      <c r="P603" s="83"/>
      <c r="Q603" s="83"/>
      <c r="R603" s="83"/>
      <c r="S603" s="83"/>
      <c r="T603" s="83"/>
      <c r="U603" s="83"/>
      <c r="V603" s="83"/>
      <c r="W603" s="83"/>
      <c r="X603" s="83"/>
      <c r="Y603" s="83"/>
      <c r="Z603" s="83"/>
      <c r="AA603" s="83"/>
      <c r="AB603" s="83"/>
      <c r="AC603" s="83"/>
      <c r="AD603" s="83"/>
      <c r="AE603" s="83"/>
      <c r="AF603" s="83"/>
      <c r="AG603" s="83"/>
      <c r="AH603" s="83"/>
      <c r="AI603" s="83"/>
      <c r="AJ603" s="83"/>
      <c r="AK603" s="83"/>
    </row>
    <row r="604">
      <c r="A604" s="83"/>
      <c r="B604" s="83"/>
      <c r="C604" s="83"/>
      <c r="D604" s="83"/>
      <c r="E604" s="118"/>
      <c r="F604" s="118"/>
      <c r="G604" s="118"/>
      <c r="H604" s="118"/>
      <c r="I604" s="118"/>
      <c r="J604" s="118"/>
      <c r="K604" s="118"/>
      <c r="L604" s="118"/>
      <c r="M604" s="118"/>
      <c r="N604" s="83"/>
      <c r="O604" s="83"/>
      <c r="P604" s="83"/>
      <c r="Q604" s="83"/>
      <c r="R604" s="83"/>
      <c r="S604" s="83"/>
      <c r="T604" s="83"/>
      <c r="U604" s="83"/>
      <c r="V604" s="83"/>
      <c r="W604" s="83"/>
      <c r="X604" s="83"/>
      <c r="Y604" s="83"/>
      <c r="Z604" s="83"/>
      <c r="AA604" s="83"/>
      <c r="AB604" s="83"/>
      <c r="AC604" s="83"/>
      <c r="AD604" s="83"/>
      <c r="AE604" s="83"/>
      <c r="AF604" s="83"/>
      <c r="AG604" s="83"/>
      <c r="AH604" s="83"/>
      <c r="AI604" s="83"/>
      <c r="AJ604" s="83"/>
      <c r="AK604" s="83"/>
    </row>
    <row r="605">
      <c r="A605" s="83"/>
      <c r="B605" s="83"/>
      <c r="C605" s="83"/>
      <c r="D605" s="83"/>
      <c r="E605" s="118"/>
      <c r="F605" s="118"/>
      <c r="G605" s="118"/>
      <c r="H605" s="118"/>
      <c r="I605" s="118"/>
      <c r="J605" s="118"/>
      <c r="K605" s="118"/>
      <c r="L605" s="118"/>
      <c r="M605" s="118"/>
      <c r="N605" s="83"/>
      <c r="O605" s="83"/>
      <c r="P605" s="83"/>
      <c r="Q605" s="83"/>
      <c r="R605" s="83"/>
      <c r="S605" s="83"/>
      <c r="T605" s="83"/>
      <c r="U605" s="83"/>
      <c r="V605" s="83"/>
      <c r="W605" s="83"/>
      <c r="X605" s="83"/>
      <c r="Y605" s="83"/>
      <c r="Z605" s="83"/>
      <c r="AA605" s="83"/>
      <c r="AB605" s="83"/>
      <c r="AC605" s="83"/>
      <c r="AD605" s="83"/>
      <c r="AE605" s="83"/>
      <c r="AF605" s="83"/>
      <c r="AG605" s="83"/>
      <c r="AH605" s="83"/>
      <c r="AI605" s="83"/>
      <c r="AJ605" s="83"/>
      <c r="AK605" s="83"/>
    </row>
    <row r="606">
      <c r="A606" s="83"/>
      <c r="B606" s="83"/>
      <c r="C606" s="83"/>
      <c r="D606" s="83"/>
      <c r="E606" s="118"/>
      <c r="F606" s="118"/>
      <c r="G606" s="118"/>
      <c r="H606" s="118"/>
      <c r="I606" s="118"/>
      <c r="J606" s="118"/>
      <c r="K606" s="118"/>
      <c r="L606" s="118"/>
      <c r="M606" s="118"/>
      <c r="N606" s="83"/>
      <c r="O606" s="83"/>
      <c r="P606" s="83"/>
      <c r="Q606" s="83"/>
      <c r="R606" s="83"/>
      <c r="S606" s="83"/>
      <c r="T606" s="83"/>
      <c r="U606" s="83"/>
      <c r="V606" s="83"/>
      <c r="W606" s="83"/>
      <c r="X606" s="83"/>
      <c r="Y606" s="83"/>
      <c r="Z606" s="83"/>
      <c r="AA606" s="83"/>
      <c r="AB606" s="83"/>
      <c r="AC606" s="83"/>
      <c r="AD606" s="83"/>
      <c r="AE606" s="83"/>
      <c r="AF606" s="83"/>
      <c r="AG606" s="83"/>
      <c r="AH606" s="83"/>
      <c r="AI606" s="83"/>
      <c r="AJ606" s="83"/>
      <c r="AK606" s="83"/>
    </row>
    <row r="607">
      <c r="A607" s="83"/>
      <c r="B607" s="83"/>
      <c r="C607" s="83"/>
      <c r="D607" s="83"/>
      <c r="E607" s="118"/>
      <c r="F607" s="118"/>
      <c r="G607" s="118"/>
      <c r="H607" s="118"/>
      <c r="I607" s="118"/>
      <c r="J607" s="118"/>
      <c r="K607" s="118"/>
      <c r="L607" s="118"/>
      <c r="M607" s="118"/>
      <c r="N607" s="83"/>
      <c r="O607" s="83"/>
      <c r="P607" s="83"/>
      <c r="Q607" s="83"/>
      <c r="R607" s="83"/>
      <c r="S607" s="83"/>
      <c r="T607" s="83"/>
      <c r="U607" s="83"/>
      <c r="V607" s="83"/>
      <c r="W607" s="83"/>
      <c r="X607" s="83"/>
      <c r="Y607" s="83"/>
      <c r="Z607" s="83"/>
      <c r="AA607" s="83"/>
      <c r="AB607" s="83"/>
      <c r="AC607" s="83"/>
      <c r="AD607" s="83"/>
      <c r="AE607" s="83"/>
      <c r="AF607" s="83"/>
      <c r="AG607" s="83"/>
      <c r="AH607" s="83"/>
      <c r="AI607" s="83"/>
      <c r="AJ607" s="83"/>
      <c r="AK607" s="83"/>
    </row>
    <row r="608">
      <c r="A608" s="83"/>
      <c r="B608" s="83"/>
      <c r="C608" s="83"/>
      <c r="D608" s="83"/>
      <c r="E608" s="118"/>
      <c r="F608" s="118"/>
      <c r="G608" s="118"/>
      <c r="H608" s="118"/>
      <c r="I608" s="118"/>
      <c r="J608" s="118"/>
      <c r="K608" s="118"/>
      <c r="L608" s="118"/>
      <c r="M608" s="118"/>
      <c r="N608" s="83"/>
      <c r="O608" s="83"/>
      <c r="P608" s="83"/>
      <c r="Q608" s="83"/>
      <c r="R608" s="83"/>
      <c r="S608" s="83"/>
      <c r="T608" s="83"/>
      <c r="U608" s="83"/>
      <c r="V608" s="83"/>
      <c r="W608" s="83"/>
      <c r="X608" s="83"/>
      <c r="Y608" s="83"/>
      <c r="Z608" s="83"/>
      <c r="AA608" s="83"/>
      <c r="AB608" s="83"/>
      <c r="AC608" s="83"/>
      <c r="AD608" s="83"/>
      <c r="AE608" s="83"/>
      <c r="AF608" s="83"/>
      <c r="AG608" s="83"/>
      <c r="AH608" s="83"/>
      <c r="AI608" s="83"/>
      <c r="AJ608" s="83"/>
      <c r="AK608" s="83"/>
    </row>
    <row r="609">
      <c r="A609" s="83"/>
      <c r="B609" s="83"/>
      <c r="C609" s="83"/>
      <c r="D609" s="83"/>
      <c r="E609" s="118"/>
      <c r="F609" s="118"/>
      <c r="G609" s="118"/>
      <c r="H609" s="118"/>
      <c r="I609" s="118"/>
      <c r="J609" s="118"/>
      <c r="K609" s="118"/>
      <c r="L609" s="118"/>
      <c r="M609" s="118"/>
      <c r="N609" s="83"/>
      <c r="O609" s="83"/>
      <c r="P609" s="83"/>
      <c r="Q609" s="83"/>
      <c r="R609" s="83"/>
      <c r="S609" s="83"/>
      <c r="T609" s="83"/>
      <c r="U609" s="83"/>
      <c r="V609" s="83"/>
      <c r="W609" s="83"/>
      <c r="X609" s="83"/>
      <c r="Y609" s="83"/>
      <c r="Z609" s="83"/>
      <c r="AA609" s="83"/>
      <c r="AB609" s="83"/>
      <c r="AC609" s="83"/>
      <c r="AD609" s="83"/>
      <c r="AE609" s="83"/>
      <c r="AF609" s="83"/>
      <c r="AG609" s="83"/>
      <c r="AH609" s="83"/>
      <c r="AI609" s="83"/>
      <c r="AJ609" s="83"/>
      <c r="AK609" s="83"/>
    </row>
    <row r="610">
      <c r="A610" s="83"/>
      <c r="B610" s="83"/>
      <c r="C610" s="83"/>
      <c r="D610" s="83"/>
      <c r="E610" s="118"/>
      <c r="F610" s="118"/>
      <c r="G610" s="118"/>
      <c r="H610" s="118"/>
      <c r="I610" s="118"/>
      <c r="J610" s="118"/>
      <c r="K610" s="118"/>
      <c r="L610" s="118"/>
      <c r="M610" s="118"/>
      <c r="N610" s="83"/>
      <c r="O610" s="83"/>
      <c r="P610" s="83"/>
      <c r="Q610" s="83"/>
      <c r="R610" s="83"/>
      <c r="S610" s="83"/>
      <c r="T610" s="83"/>
      <c r="U610" s="83"/>
      <c r="V610" s="83"/>
      <c r="W610" s="83"/>
      <c r="X610" s="83"/>
      <c r="Y610" s="83"/>
      <c r="Z610" s="83"/>
      <c r="AA610" s="83"/>
      <c r="AB610" s="83"/>
      <c r="AC610" s="83"/>
      <c r="AD610" s="83"/>
      <c r="AE610" s="83"/>
      <c r="AF610" s="83"/>
      <c r="AG610" s="83"/>
      <c r="AH610" s="83"/>
      <c r="AI610" s="83"/>
      <c r="AJ610" s="83"/>
      <c r="AK610" s="83"/>
    </row>
    <row r="611">
      <c r="A611" s="83"/>
      <c r="B611" s="83"/>
      <c r="C611" s="83"/>
      <c r="D611" s="83"/>
      <c r="E611" s="118"/>
      <c r="F611" s="118"/>
      <c r="G611" s="118"/>
      <c r="H611" s="118"/>
      <c r="I611" s="118"/>
      <c r="J611" s="118"/>
      <c r="K611" s="118"/>
      <c r="L611" s="118"/>
      <c r="M611" s="118"/>
      <c r="N611" s="83"/>
      <c r="O611" s="83"/>
      <c r="P611" s="83"/>
      <c r="Q611" s="83"/>
      <c r="R611" s="83"/>
      <c r="S611" s="83"/>
      <c r="T611" s="83"/>
      <c r="U611" s="83"/>
      <c r="V611" s="83"/>
      <c r="W611" s="83"/>
      <c r="X611" s="83"/>
      <c r="Y611" s="83"/>
      <c r="Z611" s="83"/>
      <c r="AA611" s="83"/>
      <c r="AB611" s="83"/>
      <c r="AC611" s="83"/>
      <c r="AD611" s="83"/>
      <c r="AE611" s="83"/>
      <c r="AF611" s="83"/>
      <c r="AG611" s="83"/>
      <c r="AH611" s="83"/>
      <c r="AI611" s="83"/>
      <c r="AJ611" s="83"/>
      <c r="AK611" s="83"/>
    </row>
    <row r="612">
      <c r="A612" s="83"/>
      <c r="B612" s="83"/>
      <c r="C612" s="83"/>
      <c r="D612" s="83"/>
      <c r="E612" s="118"/>
      <c r="F612" s="118"/>
      <c r="G612" s="118"/>
      <c r="H612" s="118"/>
      <c r="I612" s="118"/>
      <c r="J612" s="118"/>
      <c r="K612" s="118"/>
      <c r="L612" s="118"/>
      <c r="M612" s="118"/>
      <c r="N612" s="83"/>
      <c r="O612" s="83"/>
      <c r="P612" s="83"/>
      <c r="Q612" s="83"/>
      <c r="R612" s="83"/>
      <c r="S612" s="83"/>
      <c r="T612" s="83"/>
      <c r="U612" s="83"/>
      <c r="V612" s="83"/>
      <c r="W612" s="83"/>
      <c r="X612" s="83"/>
      <c r="Y612" s="83"/>
      <c r="Z612" s="83"/>
      <c r="AA612" s="83"/>
      <c r="AB612" s="83"/>
      <c r="AC612" s="83"/>
      <c r="AD612" s="83"/>
      <c r="AE612" s="83"/>
      <c r="AF612" s="83"/>
      <c r="AG612" s="83"/>
      <c r="AH612" s="83"/>
      <c r="AI612" s="83"/>
      <c r="AJ612" s="83"/>
      <c r="AK612" s="83"/>
    </row>
    <row r="613">
      <c r="A613" s="83"/>
      <c r="B613" s="83"/>
      <c r="C613" s="83"/>
      <c r="D613" s="83"/>
      <c r="E613" s="118"/>
      <c r="F613" s="118"/>
      <c r="G613" s="118"/>
      <c r="H613" s="118"/>
      <c r="I613" s="118"/>
      <c r="J613" s="118"/>
      <c r="K613" s="118"/>
      <c r="L613" s="118"/>
      <c r="M613" s="118"/>
      <c r="N613" s="83"/>
      <c r="O613" s="83"/>
      <c r="P613" s="83"/>
      <c r="Q613" s="83"/>
      <c r="R613" s="83"/>
      <c r="S613" s="83"/>
      <c r="T613" s="83"/>
      <c r="U613" s="83"/>
      <c r="V613" s="83"/>
      <c r="W613" s="83"/>
      <c r="X613" s="83"/>
      <c r="Y613" s="83"/>
      <c r="Z613" s="83"/>
      <c r="AA613" s="83"/>
      <c r="AB613" s="83"/>
      <c r="AC613" s="83"/>
      <c r="AD613" s="83"/>
      <c r="AE613" s="83"/>
      <c r="AF613" s="83"/>
      <c r="AG613" s="83"/>
      <c r="AH613" s="83"/>
      <c r="AI613" s="83"/>
      <c r="AJ613" s="83"/>
      <c r="AK613" s="83"/>
    </row>
    <row r="614">
      <c r="A614" s="83"/>
      <c r="B614" s="83"/>
      <c r="C614" s="83"/>
      <c r="D614" s="83"/>
      <c r="E614" s="118"/>
      <c r="F614" s="118"/>
      <c r="G614" s="118"/>
      <c r="H614" s="118"/>
      <c r="I614" s="118"/>
      <c r="J614" s="118"/>
      <c r="K614" s="118"/>
      <c r="L614" s="118"/>
      <c r="M614" s="118"/>
      <c r="N614" s="83"/>
      <c r="O614" s="83"/>
      <c r="P614" s="83"/>
      <c r="Q614" s="83"/>
      <c r="R614" s="83"/>
      <c r="S614" s="83"/>
      <c r="T614" s="83"/>
      <c r="U614" s="83"/>
      <c r="V614" s="83"/>
      <c r="W614" s="83"/>
      <c r="X614" s="83"/>
      <c r="Y614" s="83"/>
      <c r="Z614" s="83"/>
      <c r="AA614" s="83"/>
      <c r="AB614" s="83"/>
      <c r="AC614" s="83"/>
      <c r="AD614" s="83"/>
      <c r="AE614" s="83"/>
      <c r="AF614" s="83"/>
      <c r="AG614" s="83"/>
      <c r="AH614" s="83"/>
      <c r="AI614" s="83"/>
      <c r="AJ614" s="83"/>
      <c r="AK614" s="83"/>
    </row>
    <row r="615">
      <c r="A615" s="83"/>
      <c r="B615" s="83"/>
      <c r="C615" s="83"/>
      <c r="D615" s="83"/>
      <c r="E615" s="118"/>
      <c r="F615" s="118"/>
      <c r="G615" s="118"/>
      <c r="H615" s="118"/>
      <c r="I615" s="118"/>
      <c r="J615" s="118"/>
      <c r="K615" s="118"/>
      <c r="L615" s="118"/>
      <c r="M615" s="118"/>
      <c r="N615" s="83"/>
      <c r="O615" s="83"/>
      <c r="P615" s="83"/>
      <c r="Q615" s="83"/>
      <c r="R615" s="83"/>
      <c r="S615" s="83"/>
      <c r="T615" s="83"/>
      <c r="U615" s="83"/>
      <c r="V615" s="83"/>
      <c r="W615" s="83"/>
      <c r="X615" s="83"/>
      <c r="Y615" s="83"/>
      <c r="Z615" s="83"/>
      <c r="AA615" s="83"/>
      <c r="AB615" s="83"/>
      <c r="AC615" s="83"/>
      <c r="AD615" s="83"/>
      <c r="AE615" s="83"/>
      <c r="AF615" s="83"/>
      <c r="AG615" s="83"/>
      <c r="AH615" s="83"/>
      <c r="AI615" s="83"/>
      <c r="AJ615" s="83"/>
      <c r="AK615" s="83"/>
    </row>
    <row r="616">
      <c r="A616" s="83"/>
      <c r="B616" s="83"/>
      <c r="C616" s="83"/>
      <c r="D616" s="83"/>
      <c r="E616" s="118"/>
      <c r="F616" s="118"/>
      <c r="G616" s="118"/>
      <c r="H616" s="118"/>
      <c r="I616" s="118"/>
      <c r="J616" s="118"/>
      <c r="K616" s="118"/>
      <c r="L616" s="118"/>
      <c r="M616" s="118"/>
      <c r="N616" s="83"/>
      <c r="O616" s="83"/>
      <c r="P616" s="83"/>
      <c r="Q616" s="83"/>
      <c r="R616" s="83"/>
      <c r="S616" s="83"/>
      <c r="T616" s="83"/>
      <c r="U616" s="83"/>
      <c r="V616" s="83"/>
      <c r="W616" s="83"/>
      <c r="X616" s="83"/>
      <c r="Y616" s="83"/>
      <c r="Z616" s="83"/>
      <c r="AA616" s="83"/>
      <c r="AB616" s="83"/>
      <c r="AC616" s="83"/>
      <c r="AD616" s="83"/>
      <c r="AE616" s="83"/>
      <c r="AF616" s="83"/>
      <c r="AG616" s="83"/>
      <c r="AH616" s="83"/>
      <c r="AI616" s="83"/>
      <c r="AJ616" s="83"/>
      <c r="AK616" s="83"/>
    </row>
    <row r="617">
      <c r="A617" s="83"/>
      <c r="B617" s="83"/>
      <c r="C617" s="83"/>
      <c r="D617" s="83"/>
      <c r="E617" s="118"/>
      <c r="F617" s="118"/>
      <c r="G617" s="118"/>
      <c r="H617" s="118"/>
      <c r="I617" s="118"/>
      <c r="J617" s="118"/>
      <c r="K617" s="118"/>
      <c r="L617" s="118"/>
      <c r="M617" s="118"/>
      <c r="N617" s="83"/>
      <c r="O617" s="83"/>
      <c r="P617" s="83"/>
      <c r="Q617" s="83"/>
      <c r="R617" s="83"/>
      <c r="S617" s="83"/>
      <c r="T617" s="83"/>
      <c r="U617" s="83"/>
      <c r="V617" s="83"/>
      <c r="W617" s="83"/>
      <c r="X617" s="83"/>
      <c r="Y617" s="83"/>
      <c r="Z617" s="83"/>
      <c r="AA617" s="83"/>
      <c r="AB617" s="83"/>
      <c r="AC617" s="83"/>
      <c r="AD617" s="83"/>
      <c r="AE617" s="83"/>
      <c r="AF617" s="83"/>
      <c r="AG617" s="83"/>
      <c r="AH617" s="83"/>
      <c r="AI617" s="83"/>
      <c r="AJ617" s="83"/>
      <c r="AK617" s="83"/>
    </row>
    <row r="618">
      <c r="A618" s="83"/>
      <c r="B618" s="83"/>
      <c r="C618" s="83"/>
      <c r="D618" s="83"/>
      <c r="E618" s="118"/>
      <c r="F618" s="118"/>
      <c r="G618" s="118"/>
      <c r="H618" s="118"/>
      <c r="I618" s="118"/>
      <c r="J618" s="118"/>
      <c r="K618" s="118"/>
      <c r="L618" s="118"/>
      <c r="M618" s="118"/>
      <c r="N618" s="83"/>
      <c r="O618" s="83"/>
      <c r="P618" s="83"/>
      <c r="Q618" s="83"/>
      <c r="R618" s="83"/>
      <c r="S618" s="83"/>
      <c r="T618" s="83"/>
      <c r="U618" s="83"/>
      <c r="V618" s="83"/>
      <c r="W618" s="83"/>
      <c r="X618" s="83"/>
      <c r="Y618" s="83"/>
      <c r="Z618" s="83"/>
      <c r="AA618" s="83"/>
      <c r="AB618" s="83"/>
      <c r="AC618" s="83"/>
      <c r="AD618" s="83"/>
      <c r="AE618" s="83"/>
      <c r="AF618" s="83"/>
      <c r="AG618" s="83"/>
      <c r="AH618" s="83"/>
      <c r="AI618" s="83"/>
      <c r="AJ618" s="83"/>
      <c r="AK618" s="83"/>
    </row>
    <row r="619">
      <c r="A619" s="83"/>
      <c r="B619" s="83"/>
      <c r="C619" s="83"/>
      <c r="D619" s="83"/>
      <c r="E619" s="118"/>
      <c r="F619" s="118"/>
      <c r="G619" s="118"/>
      <c r="H619" s="118"/>
      <c r="I619" s="118"/>
      <c r="J619" s="118"/>
      <c r="K619" s="118"/>
      <c r="L619" s="118"/>
      <c r="M619" s="118"/>
      <c r="N619" s="83"/>
      <c r="O619" s="83"/>
      <c r="P619" s="83"/>
      <c r="Q619" s="83"/>
      <c r="R619" s="83"/>
      <c r="S619" s="83"/>
      <c r="T619" s="83"/>
      <c r="U619" s="83"/>
      <c r="V619" s="83"/>
      <c r="W619" s="83"/>
      <c r="X619" s="83"/>
      <c r="Y619" s="83"/>
      <c r="Z619" s="83"/>
      <c r="AA619" s="83"/>
      <c r="AB619" s="83"/>
      <c r="AC619" s="83"/>
      <c r="AD619" s="83"/>
      <c r="AE619" s="83"/>
      <c r="AF619" s="83"/>
      <c r="AG619" s="83"/>
      <c r="AH619" s="83"/>
      <c r="AI619" s="83"/>
      <c r="AJ619" s="83"/>
      <c r="AK619" s="83"/>
    </row>
    <row r="620">
      <c r="A620" s="83"/>
      <c r="B620" s="83"/>
      <c r="C620" s="83"/>
      <c r="D620" s="83"/>
      <c r="E620" s="118"/>
      <c r="F620" s="118"/>
      <c r="G620" s="118"/>
      <c r="H620" s="118"/>
      <c r="I620" s="118"/>
      <c r="J620" s="118"/>
      <c r="K620" s="118"/>
      <c r="L620" s="118"/>
      <c r="M620" s="118"/>
      <c r="N620" s="83"/>
      <c r="O620" s="83"/>
      <c r="P620" s="83"/>
      <c r="Q620" s="83"/>
      <c r="R620" s="83"/>
      <c r="S620" s="83"/>
      <c r="T620" s="83"/>
      <c r="U620" s="83"/>
      <c r="V620" s="83"/>
      <c r="W620" s="83"/>
      <c r="X620" s="83"/>
      <c r="Y620" s="83"/>
      <c r="Z620" s="83"/>
      <c r="AA620" s="83"/>
      <c r="AB620" s="83"/>
      <c r="AC620" s="83"/>
      <c r="AD620" s="83"/>
      <c r="AE620" s="83"/>
      <c r="AF620" s="83"/>
      <c r="AG620" s="83"/>
      <c r="AH620" s="83"/>
      <c r="AI620" s="83"/>
      <c r="AJ620" s="83"/>
      <c r="AK620" s="83"/>
    </row>
    <row r="621">
      <c r="A621" s="83"/>
      <c r="B621" s="83"/>
      <c r="C621" s="83"/>
      <c r="D621" s="83"/>
      <c r="E621" s="118"/>
      <c r="F621" s="118"/>
      <c r="G621" s="118"/>
      <c r="H621" s="118"/>
      <c r="I621" s="118"/>
      <c r="J621" s="118"/>
      <c r="K621" s="118"/>
      <c r="L621" s="118"/>
      <c r="M621" s="118"/>
      <c r="N621" s="83"/>
      <c r="O621" s="83"/>
      <c r="P621" s="83"/>
      <c r="Q621" s="83"/>
      <c r="R621" s="83"/>
      <c r="S621" s="83"/>
      <c r="T621" s="83"/>
      <c r="U621" s="83"/>
      <c r="V621" s="83"/>
      <c r="W621" s="83"/>
      <c r="X621" s="83"/>
      <c r="Y621" s="83"/>
      <c r="Z621" s="83"/>
      <c r="AA621" s="83"/>
      <c r="AB621" s="83"/>
      <c r="AC621" s="83"/>
      <c r="AD621" s="83"/>
      <c r="AE621" s="83"/>
      <c r="AF621" s="83"/>
      <c r="AG621" s="83"/>
      <c r="AH621" s="83"/>
      <c r="AI621" s="83"/>
      <c r="AJ621" s="83"/>
      <c r="AK621" s="83"/>
    </row>
    <row r="622">
      <c r="A622" s="83"/>
      <c r="B622" s="83"/>
      <c r="C622" s="83"/>
      <c r="D622" s="83"/>
      <c r="E622" s="118"/>
      <c r="F622" s="118"/>
      <c r="G622" s="118"/>
      <c r="H622" s="118"/>
      <c r="I622" s="118"/>
      <c r="J622" s="118"/>
      <c r="K622" s="118"/>
      <c r="L622" s="118"/>
      <c r="M622" s="118"/>
      <c r="N622" s="83"/>
      <c r="O622" s="83"/>
      <c r="P622" s="83"/>
      <c r="Q622" s="83"/>
      <c r="R622" s="83"/>
      <c r="S622" s="83"/>
      <c r="T622" s="83"/>
      <c r="U622" s="83"/>
      <c r="V622" s="83"/>
      <c r="W622" s="83"/>
      <c r="X622" s="83"/>
      <c r="Y622" s="83"/>
      <c r="Z622" s="83"/>
      <c r="AA622" s="83"/>
      <c r="AB622" s="83"/>
      <c r="AC622" s="83"/>
      <c r="AD622" s="83"/>
      <c r="AE622" s="83"/>
      <c r="AF622" s="83"/>
      <c r="AG622" s="83"/>
      <c r="AH622" s="83"/>
      <c r="AI622" s="83"/>
      <c r="AJ622" s="83"/>
      <c r="AK622" s="83"/>
    </row>
    <row r="623">
      <c r="A623" s="83"/>
      <c r="B623" s="83"/>
      <c r="C623" s="83"/>
      <c r="D623" s="83"/>
      <c r="E623" s="118"/>
      <c r="F623" s="118"/>
      <c r="G623" s="118"/>
      <c r="H623" s="118"/>
      <c r="I623" s="118"/>
      <c r="J623" s="118"/>
      <c r="K623" s="118"/>
      <c r="L623" s="118"/>
      <c r="M623" s="118"/>
      <c r="N623" s="83"/>
      <c r="O623" s="83"/>
      <c r="P623" s="83"/>
      <c r="Q623" s="83"/>
      <c r="R623" s="83"/>
      <c r="S623" s="83"/>
      <c r="T623" s="83"/>
      <c r="U623" s="83"/>
      <c r="V623" s="83"/>
      <c r="W623" s="83"/>
      <c r="X623" s="83"/>
      <c r="Y623" s="83"/>
      <c r="Z623" s="83"/>
      <c r="AA623" s="83"/>
      <c r="AB623" s="83"/>
      <c r="AC623" s="83"/>
      <c r="AD623" s="83"/>
      <c r="AE623" s="83"/>
      <c r="AF623" s="83"/>
      <c r="AG623" s="83"/>
      <c r="AH623" s="83"/>
      <c r="AI623" s="83"/>
      <c r="AJ623" s="83"/>
      <c r="AK623" s="83"/>
    </row>
    <row r="624">
      <c r="A624" s="83"/>
      <c r="B624" s="83"/>
      <c r="C624" s="83"/>
      <c r="D624" s="83"/>
      <c r="E624" s="118"/>
      <c r="F624" s="118"/>
      <c r="G624" s="118"/>
      <c r="H624" s="118"/>
      <c r="I624" s="118"/>
      <c r="J624" s="118"/>
      <c r="K624" s="118"/>
      <c r="L624" s="118"/>
      <c r="M624" s="118"/>
      <c r="N624" s="83"/>
      <c r="O624" s="83"/>
      <c r="P624" s="83"/>
      <c r="Q624" s="83"/>
      <c r="R624" s="83"/>
      <c r="S624" s="83"/>
      <c r="T624" s="83"/>
      <c r="U624" s="83"/>
      <c r="V624" s="83"/>
      <c r="W624" s="83"/>
      <c r="X624" s="83"/>
      <c r="Y624" s="83"/>
      <c r="Z624" s="83"/>
      <c r="AA624" s="83"/>
      <c r="AB624" s="83"/>
      <c r="AC624" s="83"/>
      <c r="AD624" s="83"/>
      <c r="AE624" s="83"/>
      <c r="AF624" s="83"/>
      <c r="AG624" s="83"/>
      <c r="AH624" s="83"/>
      <c r="AI624" s="83"/>
      <c r="AJ624" s="83"/>
      <c r="AK624" s="83"/>
    </row>
    <row r="625">
      <c r="A625" s="83"/>
      <c r="B625" s="83"/>
      <c r="C625" s="83"/>
      <c r="D625" s="83"/>
      <c r="E625" s="118"/>
      <c r="F625" s="118"/>
      <c r="G625" s="118"/>
      <c r="H625" s="118"/>
      <c r="I625" s="118"/>
      <c r="J625" s="118"/>
      <c r="K625" s="118"/>
      <c r="L625" s="118"/>
      <c r="M625" s="118"/>
      <c r="N625" s="83"/>
      <c r="O625" s="83"/>
      <c r="P625" s="83"/>
      <c r="Q625" s="83"/>
      <c r="R625" s="83"/>
      <c r="S625" s="83"/>
      <c r="T625" s="83"/>
      <c r="U625" s="83"/>
      <c r="V625" s="83"/>
      <c r="W625" s="83"/>
      <c r="X625" s="83"/>
      <c r="Y625" s="83"/>
      <c r="Z625" s="83"/>
      <c r="AA625" s="83"/>
      <c r="AB625" s="83"/>
      <c r="AC625" s="83"/>
      <c r="AD625" s="83"/>
      <c r="AE625" s="83"/>
      <c r="AF625" s="83"/>
      <c r="AG625" s="83"/>
      <c r="AH625" s="83"/>
      <c r="AI625" s="83"/>
      <c r="AJ625" s="83"/>
      <c r="AK625" s="83"/>
    </row>
    <row r="626">
      <c r="A626" s="83"/>
      <c r="B626" s="83"/>
      <c r="C626" s="83"/>
      <c r="D626" s="83"/>
      <c r="E626" s="118"/>
      <c r="F626" s="118"/>
      <c r="G626" s="118"/>
      <c r="H626" s="118"/>
      <c r="I626" s="118"/>
      <c r="J626" s="118"/>
      <c r="K626" s="118"/>
      <c r="L626" s="118"/>
      <c r="M626" s="118"/>
      <c r="N626" s="83"/>
      <c r="O626" s="83"/>
      <c r="P626" s="83"/>
      <c r="Q626" s="83"/>
      <c r="R626" s="83"/>
      <c r="S626" s="83"/>
      <c r="T626" s="83"/>
      <c r="U626" s="83"/>
      <c r="V626" s="83"/>
      <c r="W626" s="83"/>
      <c r="X626" s="83"/>
      <c r="Y626" s="83"/>
      <c r="Z626" s="83"/>
      <c r="AA626" s="83"/>
      <c r="AB626" s="83"/>
      <c r="AC626" s="83"/>
      <c r="AD626" s="83"/>
      <c r="AE626" s="83"/>
      <c r="AF626" s="83"/>
      <c r="AG626" s="83"/>
      <c r="AH626" s="83"/>
      <c r="AI626" s="83"/>
      <c r="AJ626" s="83"/>
      <c r="AK626" s="83"/>
    </row>
    <row r="627">
      <c r="A627" s="83"/>
      <c r="B627" s="83"/>
      <c r="C627" s="83"/>
      <c r="D627" s="83"/>
      <c r="E627" s="118"/>
      <c r="F627" s="118"/>
      <c r="G627" s="118"/>
      <c r="H627" s="118"/>
      <c r="I627" s="118"/>
      <c r="J627" s="118"/>
      <c r="K627" s="118"/>
      <c r="L627" s="118"/>
      <c r="M627" s="118"/>
      <c r="N627" s="83"/>
      <c r="O627" s="83"/>
      <c r="P627" s="83"/>
      <c r="Q627" s="83"/>
      <c r="R627" s="83"/>
      <c r="S627" s="83"/>
      <c r="T627" s="83"/>
      <c r="U627" s="83"/>
      <c r="V627" s="83"/>
      <c r="W627" s="83"/>
      <c r="X627" s="83"/>
      <c r="Y627" s="83"/>
      <c r="Z627" s="83"/>
      <c r="AA627" s="83"/>
      <c r="AB627" s="83"/>
      <c r="AC627" s="83"/>
      <c r="AD627" s="83"/>
      <c r="AE627" s="83"/>
      <c r="AF627" s="83"/>
      <c r="AG627" s="83"/>
      <c r="AH627" s="83"/>
      <c r="AI627" s="83"/>
      <c r="AJ627" s="83"/>
      <c r="AK627" s="83"/>
    </row>
    <row r="628">
      <c r="A628" s="83"/>
      <c r="B628" s="83"/>
      <c r="C628" s="83"/>
      <c r="D628" s="83"/>
      <c r="E628" s="118"/>
      <c r="F628" s="118"/>
      <c r="G628" s="118"/>
      <c r="H628" s="118"/>
      <c r="I628" s="118"/>
      <c r="J628" s="118"/>
      <c r="K628" s="118"/>
      <c r="L628" s="118"/>
      <c r="M628" s="118"/>
      <c r="N628" s="83"/>
      <c r="O628" s="83"/>
      <c r="P628" s="83"/>
      <c r="Q628" s="83"/>
      <c r="R628" s="83"/>
      <c r="S628" s="83"/>
      <c r="T628" s="83"/>
      <c r="U628" s="83"/>
      <c r="V628" s="83"/>
      <c r="W628" s="83"/>
      <c r="X628" s="83"/>
      <c r="Y628" s="83"/>
      <c r="Z628" s="83"/>
      <c r="AA628" s="83"/>
      <c r="AB628" s="83"/>
      <c r="AC628" s="83"/>
      <c r="AD628" s="83"/>
      <c r="AE628" s="83"/>
      <c r="AF628" s="83"/>
      <c r="AG628" s="83"/>
      <c r="AH628" s="83"/>
      <c r="AI628" s="83"/>
      <c r="AJ628" s="83"/>
      <c r="AK628" s="83"/>
    </row>
    <row r="629">
      <c r="A629" s="83"/>
      <c r="B629" s="83"/>
      <c r="C629" s="83"/>
      <c r="D629" s="83"/>
      <c r="E629" s="118"/>
      <c r="F629" s="118"/>
      <c r="G629" s="118"/>
      <c r="H629" s="118"/>
      <c r="I629" s="118"/>
      <c r="J629" s="118"/>
      <c r="K629" s="118"/>
      <c r="L629" s="118"/>
      <c r="M629" s="118"/>
      <c r="N629" s="83"/>
      <c r="O629" s="83"/>
      <c r="P629" s="83"/>
      <c r="Q629" s="83"/>
      <c r="R629" s="83"/>
      <c r="S629" s="83"/>
      <c r="T629" s="83"/>
      <c r="U629" s="83"/>
      <c r="V629" s="83"/>
      <c r="W629" s="83"/>
      <c r="X629" s="83"/>
      <c r="Y629" s="83"/>
      <c r="Z629" s="83"/>
      <c r="AA629" s="83"/>
      <c r="AB629" s="83"/>
      <c r="AC629" s="83"/>
      <c r="AD629" s="83"/>
      <c r="AE629" s="83"/>
      <c r="AF629" s="83"/>
      <c r="AG629" s="83"/>
      <c r="AH629" s="83"/>
      <c r="AI629" s="83"/>
      <c r="AJ629" s="83"/>
      <c r="AK629" s="83"/>
    </row>
    <row r="630">
      <c r="A630" s="83"/>
      <c r="B630" s="83"/>
      <c r="C630" s="83"/>
      <c r="D630" s="83"/>
      <c r="E630" s="118"/>
      <c r="F630" s="118"/>
      <c r="G630" s="118"/>
      <c r="H630" s="118"/>
      <c r="I630" s="118"/>
      <c r="J630" s="118"/>
      <c r="K630" s="118"/>
      <c r="L630" s="118"/>
      <c r="M630" s="118"/>
      <c r="N630" s="83"/>
      <c r="O630" s="83"/>
      <c r="P630" s="83"/>
      <c r="Q630" s="83"/>
      <c r="R630" s="83"/>
      <c r="S630" s="83"/>
      <c r="T630" s="83"/>
      <c r="U630" s="83"/>
      <c r="V630" s="83"/>
      <c r="W630" s="83"/>
      <c r="X630" s="83"/>
      <c r="Y630" s="83"/>
      <c r="Z630" s="83"/>
      <c r="AA630" s="83"/>
      <c r="AB630" s="83"/>
      <c r="AC630" s="83"/>
      <c r="AD630" s="83"/>
      <c r="AE630" s="83"/>
      <c r="AF630" s="83"/>
      <c r="AG630" s="83"/>
      <c r="AH630" s="83"/>
      <c r="AI630" s="83"/>
      <c r="AJ630" s="83"/>
      <c r="AK630" s="83"/>
    </row>
    <row r="631">
      <c r="A631" s="83"/>
      <c r="B631" s="83"/>
      <c r="C631" s="83"/>
      <c r="D631" s="83"/>
      <c r="E631" s="118"/>
      <c r="F631" s="118"/>
      <c r="G631" s="118"/>
      <c r="H631" s="118"/>
      <c r="I631" s="118"/>
      <c r="J631" s="118"/>
      <c r="K631" s="118"/>
      <c r="L631" s="118"/>
      <c r="M631" s="118"/>
      <c r="N631" s="83"/>
      <c r="O631" s="83"/>
      <c r="P631" s="83"/>
      <c r="Q631" s="83"/>
      <c r="R631" s="83"/>
      <c r="S631" s="83"/>
      <c r="T631" s="83"/>
      <c r="U631" s="83"/>
      <c r="V631" s="83"/>
      <c r="W631" s="83"/>
      <c r="X631" s="83"/>
      <c r="Y631" s="83"/>
      <c r="Z631" s="83"/>
      <c r="AA631" s="83"/>
      <c r="AB631" s="83"/>
      <c r="AC631" s="83"/>
      <c r="AD631" s="83"/>
      <c r="AE631" s="83"/>
      <c r="AF631" s="83"/>
      <c r="AG631" s="83"/>
      <c r="AH631" s="83"/>
      <c r="AI631" s="83"/>
      <c r="AJ631" s="83"/>
      <c r="AK631" s="83"/>
    </row>
    <row r="632">
      <c r="A632" s="83"/>
      <c r="B632" s="83"/>
      <c r="C632" s="83"/>
      <c r="D632" s="83"/>
      <c r="E632" s="118"/>
      <c r="F632" s="118"/>
      <c r="G632" s="118"/>
      <c r="H632" s="118"/>
      <c r="I632" s="118"/>
      <c r="J632" s="118"/>
      <c r="K632" s="118"/>
      <c r="L632" s="118"/>
      <c r="M632" s="118"/>
      <c r="N632" s="83"/>
      <c r="O632" s="83"/>
      <c r="P632" s="83"/>
      <c r="Q632" s="83"/>
      <c r="R632" s="83"/>
      <c r="S632" s="83"/>
      <c r="T632" s="83"/>
      <c r="U632" s="83"/>
      <c r="V632" s="83"/>
      <c r="W632" s="83"/>
      <c r="X632" s="83"/>
      <c r="Y632" s="83"/>
      <c r="Z632" s="83"/>
      <c r="AA632" s="83"/>
      <c r="AB632" s="83"/>
      <c r="AC632" s="83"/>
      <c r="AD632" s="83"/>
      <c r="AE632" s="83"/>
      <c r="AF632" s="83"/>
      <c r="AG632" s="83"/>
      <c r="AH632" s="83"/>
      <c r="AI632" s="83"/>
      <c r="AJ632" s="83"/>
      <c r="AK632" s="83"/>
    </row>
    <row r="633">
      <c r="A633" s="83"/>
      <c r="B633" s="83"/>
      <c r="C633" s="83"/>
      <c r="D633" s="83"/>
      <c r="E633" s="118"/>
      <c r="F633" s="118"/>
      <c r="G633" s="118"/>
      <c r="H633" s="118"/>
      <c r="I633" s="118"/>
      <c r="J633" s="118"/>
      <c r="K633" s="118"/>
      <c r="L633" s="118"/>
      <c r="M633" s="118"/>
      <c r="N633" s="83"/>
      <c r="O633" s="83"/>
      <c r="P633" s="83"/>
      <c r="Q633" s="83"/>
      <c r="R633" s="83"/>
      <c r="S633" s="83"/>
      <c r="T633" s="83"/>
      <c r="U633" s="83"/>
      <c r="V633" s="83"/>
      <c r="W633" s="83"/>
      <c r="X633" s="83"/>
      <c r="Y633" s="83"/>
      <c r="Z633" s="83"/>
      <c r="AA633" s="83"/>
      <c r="AB633" s="83"/>
      <c r="AC633" s="83"/>
      <c r="AD633" s="83"/>
      <c r="AE633" s="83"/>
      <c r="AF633" s="83"/>
      <c r="AG633" s="83"/>
      <c r="AH633" s="83"/>
      <c r="AI633" s="83"/>
      <c r="AJ633" s="83"/>
      <c r="AK633" s="83"/>
    </row>
    <row r="634">
      <c r="A634" s="83"/>
      <c r="B634" s="83"/>
      <c r="C634" s="83"/>
      <c r="D634" s="83"/>
      <c r="E634" s="118"/>
      <c r="F634" s="118"/>
      <c r="G634" s="118"/>
      <c r="H634" s="118"/>
      <c r="I634" s="118"/>
      <c r="J634" s="118"/>
      <c r="K634" s="118"/>
      <c r="L634" s="118"/>
      <c r="M634" s="118"/>
      <c r="N634" s="83"/>
      <c r="O634" s="83"/>
      <c r="P634" s="83"/>
      <c r="Q634" s="83"/>
      <c r="R634" s="83"/>
      <c r="S634" s="83"/>
      <c r="T634" s="83"/>
      <c r="U634" s="83"/>
      <c r="V634" s="83"/>
      <c r="W634" s="83"/>
      <c r="X634" s="83"/>
      <c r="Y634" s="83"/>
      <c r="Z634" s="83"/>
      <c r="AA634" s="83"/>
      <c r="AB634" s="83"/>
      <c r="AC634" s="83"/>
      <c r="AD634" s="83"/>
      <c r="AE634" s="83"/>
      <c r="AF634" s="83"/>
      <c r="AG634" s="83"/>
      <c r="AH634" s="83"/>
      <c r="AI634" s="83"/>
      <c r="AJ634" s="83"/>
      <c r="AK634" s="83"/>
    </row>
    <row r="635">
      <c r="A635" s="83"/>
      <c r="B635" s="83"/>
      <c r="C635" s="83"/>
      <c r="D635" s="83"/>
      <c r="E635" s="118"/>
      <c r="F635" s="118"/>
      <c r="G635" s="118"/>
      <c r="H635" s="118"/>
      <c r="I635" s="118"/>
      <c r="J635" s="118"/>
      <c r="K635" s="118"/>
      <c r="L635" s="118"/>
      <c r="M635" s="118"/>
      <c r="N635" s="83"/>
      <c r="O635" s="83"/>
      <c r="P635" s="83"/>
      <c r="Q635" s="83"/>
      <c r="R635" s="83"/>
      <c r="S635" s="83"/>
      <c r="T635" s="83"/>
      <c r="U635" s="83"/>
      <c r="V635" s="83"/>
      <c r="W635" s="83"/>
      <c r="X635" s="83"/>
      <c r="Y635" s="83"/>
      <c r="Z635" s="83"/>
      <c r="AA635" s="83"/>
      <c r="AB635" s="83"/>
      <c r="AC635" s="83"/>
      <c r="AD635" s="83"/>
      <c r="AE635" s="83"/>
      <c r="AF635" s="83"/>
      <c r="AG635" s="83"/>
      <c r="AH635" s="83"/>
      <c r="AI635" s="83"/>
      <c r="AJ635" s="83"/>
      <c r="AK635" s="83"/>
    </row>
    <row r="636">
      <c r="A636" s="83"/>
      <c r="B636" s="83"/>
      <c r="C636" s="83"/>
      <c r="D636" s="83"/>
      <c r="E636" s="118"/>
      <c r="F636" s="118"/>
      <c r="G636" s="118"/>
      <c r="H636" s="118"/>
      <c r="I636" s="118"/>
      <c r="J636" s="118"/>
      <c r="K636" s="118"/>
      <c r="L636" s="118"/>
      <c r="M636" s="118"/>
      <c r="N636" s="83"/>
      <c r="O636" s="83"/>
      <c r="P636" s="83"/>
      <c r="Q636" s="83"/>
      <c r="R636" s="83"/>
      <c r="S636" s="83"/>
      <c r="T636" s="83"/>
      <c r="U636" s="83"/>
      <c r="V636" s="83"/>
      <c r="W636" s="83"/>
      <c r="X636" s="83"/>
      <c r="Y636" s="83"/>
      <c r="Z636" s="83"/>
      <c r="AA636" s="83"/>
      <c r="AB636" s="83"/>
      <c r="AC636" s="83"/>
      <c r="AD636" s="83"/>
      <c r="AE636" s="83"/>
      <c r="AF636" s="83"/>
      <c r="AG636" s="83"/>
      <c r="AH636" s="83"/>
      <c r="AI636" s="83"/>
      <c r="AJ636" s="83"/>
      <c r="AK636" s="83"/>
    </row>
    <row r="637">
      <c r="A637" s="83"/>
      <c r="B637" s="83"/>
      <c r="C637" s="83"/>
      <c r="D637" s="83"/>
      <c r="E637" s="118"/>
      <c r="F637" s="118"/>
      <c r="G637" s="118"/>
      <c r="H637" s="118"/>
      <c r="I637" s="118"/>
      <c r="J637" s="118"/>
      <c r="K637" s="118"/>
      <c r="L637" s="118"/>
      <c r="M637" s="118"/>
      <c r="N637" s="83"/>
      <c r="O637" s="83"/>
      <c r="P637" s="83"/>
      <c r="Q637" s="83"/>
      <c r="R637" s="83"/>
      <c r="S637" s="83"/>
      <c r="T637" s="83"/>
      <c r="U637" s="83"/>
      <c r="V637" s="83"/>
      <c r="W637" s="83"/>
      <c r="X637" s="83"/>
      <c r="Y637" s="83"/>
      <c r="Z637" s="83"/>
      <c r="AA637" s="83"/>
      <c r="AB637" s="83"/>
      <c r="AC637" s="83"/>
      <c r="AD637" s="83"/>
      <c r="AE637" s="83"/>
      <c r="AF637" s="83"/>
      <c r="AG637" s="83"/>
      <c r="AH637" s="83"/>
      <c r="AI637" s="83"/>
      <c r="AJ637" s="83"/>
      <c r="AK637" s="83"/>
    </row>
    <row r="638">
      <c r="A638" s="83"/>
      <c r="B638" s="83"/>
      <c r="C638" s="83"/>
      <c r="D638" s="83"/>
      <c r="E638" s="118"/>
      <c r="F638" s="118"/>
      <c r="G638" s="118"/>
      <c r="H638" s="118"/>
      <c r="I638" s="118"/>
      <c r="J638" s="118"/>
      <c r="K638" s="118"/>
      <c r="L638" s="118"/>
      <c r="M638" s="118"/>
      <c r="N638" s="83"/>
      <c r="O638" s="83"/>
      <c r="P638" s="83"/>
      <c r="Q638" s="83"/>
      <c r="R638" s="83"/>
      <c r="S638" s="83"/>
      <c r="T638" s="83"/>
      <c r="U638" s="83"/>
      <c r="V638" s="83"/>
      <c r="W638" s="83"/>
      <c r="X638" s="83"/>
      <c r="Y638" s="83"/>
      <c r="Z638" s="83"/>
      <c r="AA638" s="83"/>
      <c r="AB638" s="83"/>
      <c r="AC638" s="83"/>
      <c r="AD638" s="83"/>
      <c r="AE638" s="83"/>
      <c r="AF638" s="83"/>
      <c r="AG638" s="83"/>
      <c r="AH638" s="83"/>
      <c r="AI638" s="83"/>
      <c r="AJ638" s="83"/>
      <c r="AK638" s="83"/>
    </row>
    <row r="639">
      <c r="A639" s="83"/>
      <c r="B639" s="83"/>
      <c r="C639" s="83"/>
      <c r="D639" s="83"/>
      <c r="E639" s="118"/>
      <c r="F639" s="118"/>
      <c r="G639" s="118"/>
      <c r="H639" s="118"/>
      <c r="I639" s="118"/>
      <c r="J639" s="118"/>
      <c r="K639" s="118"/>
      <c r="L639" s="118"/>
      <c r="M639" s="118"/>
      <c r="N639" s="83"/>
      <c r="O639" s="83"/>
      <c r="P639" s="83"/>
      <c r="Q639" s="83"/>
      <c r="R639" s="83"/>
      <c r="S639" s="83"/>
      <c r="T639" s="83"/>
      <c r="U639" s="83"/>
      <c r="V639" s="83"/>
      <c r="W639" s="83"/>
      <c r="X639" s="83"/>
      <c r="Y639" s="83"/>
      <c r="Z639" s="83"/>
      <c r="AA639" s="83"/>
      <c r="AB639" s="83"/>
      <c r="AC639" s="83"/>
      <c r="AD639" s="83"/>
      <c r="AE639" s="83"/>
      <c r="AF639" s="83"/>
      <c r="AG639" s="83"/>
      <c r="AH639" s="83"/>
      <c r="AI639" s="83"/>
      <c r="AJ639" s="83"/>
      <c r="AK639" s="83"/>
    </row>
    <row r="640">
      <c r="A640" s="83"/>
      <c r="B640" s="83"/>
      <c r="C640" s="83"/>
      <c r="D640" s="83"/>
      <c r="E640" s="118"/>
      <c r="F640" s="118"/>
      <c r="G640" s="118"/>
      <c r="H640" s="118"/>
      <c r="I640" s="118"/>
      <c r="J640" s="118"/>
      <c r="K640" s="118"/>
      <c r="L640" s="118"/>
      <c r="M640" s="118"/>
      <c r="N640" s="83"/>
      <c r="O640" s="83"/>
      <c r="P640" s="83"/>
      <c r="Q640" s="83"/>
      <c r="R640" s="83"/>
      <c r="S640" s="83"/>
      <c r="T640" s="83"/>
      <c r="U640" s="83"/>
      <c r="V640" s="83"/>
      <c r="W640" s="83"/>
      <c r="X640" s="83"/>
      <c r="Y640" s="83"/>
      <c r="Z640" s="83"/>
      <c r="AA640" s="83"/>
      <c r="AB640" s="83"/>
      <c r="AC640" s="83"/>
      <c r="AD640" s="83"/>
      <c r="AE640" s="83"/>
      <c r="AF640" s="83"/>
      <c r="AG640" s="83"/>
      <c r="AH640" s="83"/>
      <c r="AI640" s="83"/>
      <c r="AJ640" s="83"/>
      <c r="AK640" s="83"/>
    </row>
    <row r="641">
      <c r="A641" s="83"/>
      <c r="B641" s="83"/>
      <c r="C641" s="83"/>
      <c r="D641" s="83"/>
      <c r="E641" s="118"/>
      <c r="F641" s="118"/>
      <c r="G641" s="118"/>
      <c r="H641" s="118"/>
      <c r="I641" s="118"/>
      <c r="J641" s="118"/>
      <c r="K641" s="118"/>
      <c r="L641" s="118"/>
      <c r="M641" s="118"/>
      <c r="N641" s="83"/>
      <c r="O641" s="83"/>
      <c r="P641" s="83"/>
      <c r="Q641" s="83"/>
      <c r="R641" s="83"/>
      <c r="S641" s="83"/>
      <c r="T641" s="83"/>
      <c r="U641" s="83"/>
      <c r="V641" s="83"/>
      <c r="W641" s="83"/>
      <c r="X641" s="83"/>
      <c r="Y641" s="83"/>
      <c r="Z641" s="83"/>
      <c r="AA641" s="83"/>
      <c r="AB641" s="83"/>
      <c r="AC641" s="83"/>
      <c r="AD641" s="83"/>
      <c r="AE641" s="83"/>
      <c r="AF641" s="83"/>
      <c r="AG641" s="83"/>
      <c r="AH641" s="83"/>
      <c r="AI641" s="83"/>
      <c r="AJ641" s="83"/>
      <c r="AK641" s="83"/>
    </row>
    <row r="642">
      <c r="A642" s="83"/>
      <c r="B642" s="83"/>
      <c r="C642" s="83"/>
      <c r="D642" s="83"/>
      <c r="E642" s="118"/>
      <c r="F642" s="118"/>
      <c r="G642" s="118"/>
      <c r="H642" s="118"/>
      <c r="I642" s="118"/>
      <c r="J642" s="118"/>
      <c r="K642" s="118"/>
      <c r="L642" s="118"/>
      <c r="M642" s="118"/>
      <c r="N642" s="83"/>
      <c r="O642" s="83"/>
      <c r="P642" s="83"/>
      <c r="Q642" s="83"/>
      <c r="R642" s="83"/>
      <c r="S642" s="83"/>
      <c r="T642" s="83"/>
      <c r="U642" s="83"/>
      <c r="V642" s="83"/>
      <c r="W642" s="83"/>
      <c r="X642" s="83"/>
      <c r="Y642" s="83"/>
      <c r="Z642" s="83"/>
      <c r="AA642" s="83"/>
      <c r="AB642" s="83"/>
      <c r="AC642" s="83"/>
      <c r="AD642" s="83"/>
      <c r="AE642" s="83"/>
      <c r="AF642" s="83"/>
      <c r="AG642" s="83"/>
      <c r="AH642" s="83"/>
      <c r="AI642" s="83"/>
      <c r="AJ642" s="83"/>
      <c r="AK642" s="83"/>
    </row>
    <row r="643">
      <c r="A643" s="83"/>
      <c r="B643" s="83"/>
      <c r="C643" s="83"/>
      <c r="D643" s="83"/>
      <c r="E643" s="118"/>
      <c r="F643" s="118"/>
      <c r="G643" s="118"/>
      <c r="H643" s="118"/>
      <c r="I643" s="118"/>
      <c r="J643" s="118"/>
      <c r="K643" s="118"/>
      <c r="L643" s="118"/>
      <c r="M643" s="118"/>
      <c r="N643" s="83"/>
      <c r="O643" s="83"/>
      <c r="P643" s="83"/>
      <c r="Q643" s="83"/>
      <c r="R643" s="83"/>
      <c r="S643" s="83"/>
      <c r="T643" s="83"/>
      <c r="U643" s="83"/>
      <c r="V643" s="83"/>
      <c r="W643" s="83"/>
      <c r="X643" s="83"/>
      <c r="Y643" s="83"/>
      <c r="Z643" s="83"/>
      <c r="AA643" s="83"/>
      <c r="AB643" s="83"/>
      <c r="AC643" s="83"/>
      <c r="AD643" s="83"/>
      <c r="AE643" s="83"/>
      <c r="AF643" s="83"/>
      <c r="AG643" s="83"/>
      <c r="AH643" s="83"/>
      <c r="AI643" s="83"/>
      <c r="AJ643" s="83"/>
      <c r="AK643" s="83"/>
    </row>
    <row r="644">
      <c r="A644" s="83"/>
      <c r="B644" s="83"/>
      <c r="C644" s="83"/>
      <c r="D644" s="83"/>
      <c r="E644" s="118"/>
      <c r="F644" s="118"/>
      <c r="G644" s="118"/>
      <c r="H644" s="118"/>
      <c r="I644" s="118"/>
      <c r="J644" s="118"/>
      <c r="K644" s="118"/>
      <c r="L644" s="118"/>
      <c r="M644" s="118"/>
      <c r="N644" s="83"/>
      <c r="O644" s="83"/>
      <c r="P644" s="83"/>
      <c r="Q644" s="83"/>
      <c r="R644" s="83"/>
      <c r="S644" s="83"/>
      <c r="T644" s="83"/>
      <c r="U644" s="83"/>
      <c r="V644" s="83"/>
      <c r="W644" s="83"/>
      <c r="X644" s="83"/>
      <c r="Y644" s="83"/>
      <c r="Z644" s="83"/>
      <c r="AA644" s="83"/>
      <c r="AB644" s="83"/>
      <c r="AC644" s="83"/>
      <c r="AD644" s="83"/>
      <c r="AE644" s="83"/>
      <c r="AF644" s="83"/>
      <c r="AG644" s="83"/>
      <c r="AH644" s="83"/>
      <c r="AI644" s="83"/>
      <c r="AJ644" s="83"/>
      <c r="AK644" s="83"/>
    </row>
    <row r="645">
      <c r="A645" s="83"/>
      <c r="B645" s="83"/>
      <c r="C645" s="83"/>
      <c r="D645" s="83"/>
      <c r="E645" s="118"/>
      <c r="F645" s="118"/>
      <c r="G645" s="118"/>
      <c r="H645" s="118"/>
      <c r="I645" s="118"/>
      <c r="J645" s="118"/>
      <c r="K645" s="118"/>
      <c r="L645" s="118"/>
      <c r="M645" s="118"/>
      <c r="N645" s="83"/>
      <c r="O645" s="83"/>
      <c r="P645" s="83"/>
      <c r="Q645" s="83"/>
      <c r="R645" s="83"/>
      <c r="S645" s="83"/>
      <c r="T645" s="83"/>
      <c r="U645" s="83"/>
      <c r="V645" s="83"/>
      <c r="W645" s="83"/>
      <c r="X645" s="83"/>
      <c r="Y645" s="83"/>
      <c r="Z645" s="83"/>
      <c r="AA645" s="83"/>
      <c r="AB645" s="83"/>
      <c r="AC645" s="83"/>
      <c r="AD645" s="83"/>
      <c r="AE645" s="83"/>
      <c r="AF645" s="83"/>
      <c r="AG645" s="83"/>
      <c r="AH645" s="83"/>
      <c r="AI645" s="83"/>
      <c r="AJ645" s="83"/>
      <c r="AK645" s="83"/>
    </row>
    <row r="646">
      <c r="A646" s="83"/>
      <c r="B646" s="83"/>
      <c r="C646" s="83"/>
      <c r="D646" s="83"/>
      <c r="E646" s="118"/>
      <c r="F646" s="118"/>
      <c r="G646" s="118"/>
      <c r="H646" s="118"/>
      <c r="I646" s="118"/>
      <c r="J646" s="118"/>
      <c r="K646" s="118"/>
      <c r="L646" s="118"/>
      <c r="M646" s="118"/>
      <c r="N646" s="83"/>
      <c r="O646" s="83"/>
      <c r="P646" s="83"/>
      <c r="Q646" s="83"/>
      <c r="R646" s="83"/>
      <c r="S646" s="83"/>
      <c r="T646" s="83"/>
      <c r="U646" s="83"/>
      <c r="V646" s="83"/>
      <c r="W646" s="83"/>
      <c r="X646" s="83"/>
      <c r="Y646" s="83"/>
      <c r="Z646" s="83"/>
      <c r="AA646" s="83"/>
      <c r="AB646" s="83"/>
      <c r="AC646" s="83"/>
      <c r="AD646" s="83"/>
      <c r="AE646" s="83"/>
      <c r="AF646" s="83"/>
      <c r="AG646" s="83"/>
      <c r="AH646" s="83"/>
      <c r="AI646" s="83"/>
      <c r="AJ646" s="83"/>
      <c r="AK646" s="83"/>
    </row>
    <row r="647">
      <c r="A647" s="83"/>
      <c r="B647" s="83"/>
      <c r="C647" s="83"/>
      <c r="D647" s="83"/>
      <c r="E647" s="118"/>
      <c r="F647" s="118"/>
      <c r="G647" s="118"/>
      <c r="H647" s="118"/>
      <c r="I647" s="118"/>
      <c r="J647" s="118"/>
      <c r="K647" s="118"/>
      <c r="L647" s="118"/>
      <c r="M647" s="118"/>
      <c r="N647" s="83"/>
      <c r="O647" s="83"/>
      <c r="P647" s="83"/>
      <c r="Q647" s="83"/>
      <c r="R647" s="83"/>
      <c r="S647" s="83"/>
      <c r="T647" s="83"/>
      <c r="U647" s="83"/>
      <c r="V647" s="83"/>
      <c r="W647" s="83"/>
      <c r="X647" s="83"/>
      <c r="Y647" s="83"/>
      <c r="Z647" s="83"/>
      <c r="AA647" s="83"/>
      <c r="AB647" s="83"/>
      <c r="AC647" s="83"/>
      <c r="AD647" s="83"/>
      <c r="AE647" s="83"/>
      <c r="AF647" s="83"/>
      <c r="AG647" s="83"/>
      <c r="AH647" s="83"/>
      <c r="AI647" s="83"/>
      <c r="AJ647" s="83"/>
      <c r="AK647" s="83"/>
    </row>
    <row r="648">
      <c r="A648" s="83"/>
      <c r="B648" s="83"/>
      <c r="C648" s="83"/>
      <c r="D648" s="83"/>
      <c r="E648" s="118"/>
      <c r="F648" s="118"/>
      <c r="G648" s="118"/>
      <c r="H648" s="118"/>
      <c r="I648" s="118"/>
      <c r="J648" s="118"/>
      <c r="K648" s="118"/>
      <c r="L648" s="118"/>
      <c r="M648" s="118"/>
      <c r="N648" s="83"/>
      <c r="O648" s="83"/>
      <c r="P648" s="83"/>
      <c r="Q648" s="83"/>
      <c r="R648" s="83"/>
      <c r="S648" s="83"/>
      <c r="T648" s="83"/>
      <c r="U648" s="83"/>
      <c r="V648" s="83"/>
      <c r="W648" s="83"/>
      <c r="X648" s="83"/>
      <c r="Y648" s="83"/>
      <c r="Z648" s="83"/>
      <c r="AA648" s="83"/>
      <c r="AB648" s="83"/>
      <c r="AC648" s="83"/>
      <c r="AD648" s="83"/>
      <c r="AE648" s="83"/>
      <c r="AF648" s="83"/>
      <c r="AG648" s="83"/>
      <c r="AH648" s="83"/>
      <c r="AI648" s="83"/>
      <c r="AJ648" s="83"/>
      <c r="AK648" s="83"/>
    </row>
    <row r="649">
      <c r="A649" s="83"/>
      <c r="B649" s="83"/>
      <c r="C649" s="83"/>
      <c r="D649" s="83"/>
      <c r="E649" s="118"/>
      <c r="F649" s="118"/>
      <c r="G649" s="118"/>
      <c r="H649" s="118"/>
      <c r="I649" s="118"/>
      <c r="J649" s="118"/>
      <c r="K649" s="118"/>
      <c r="L649" s="118"/>
      <c r="M649" s="118"/>
      <c r="N649" s="83"/>
      <c r="O649" s="83"/>
      <c r="P649" s="83"/>
      <c r="Q649" s="83"/>
      <c r="R649" s="83"/>
      <c r="S649" s="83"/>
      <c r="T649" s="83"/>
      <c r="U649" s="83"/>
      <c r="V649" s="83"/>
      <c r="W649" s="83"/>
      <c r="X649" s="83"/>
      <c r="Y649" s="83"/>
      <c r="Z649" s="83"/>
      <c r="AA649" s="83"/>
      <c r="AB649" s="83"/>
      <c r="AC649" s="83"/>
      <c r="AD649" s="83"/>
      <c r="AE649" s="83"/>
      <c r="AF649" s="83"/>
      <c r="AG649" s="83"/>
      <c r="AH649" s="83"/>
      <c r="AI649" s="83"/>
      <c r="AJ649" s="83"/>
      <c r="AK649" s="83"/>
    </row>
    <row r="650">
      <c r="A650" s="83"/>
      <c r="B650" s="83"/>
      <c r="C650" s="83"/>
      <c r="D650" s="83"/>
      <c r="E650" s="118"/>
      <c r="F650" s="118"/>
      <c r="G650" s="118"/>
      <c r="H650" s="118"/>
      <c r="I650" s="118"/>
      <c r="J650" s="118"/>
      <c r="K650" s="118"/>
      <c r="L650" s="118"/>
      <c r="M650" s="118"/>
      <c r="N650" s="83"/>
      <c r="O650" s="83"/>
      <c r="P650" s="83"/>
      <c r="Q650" s="83"/>
      <c r="R650" s="83"/>
      <c r="S650" s="83"/>
      <c r="T650" s="83"/>
      <c r="U650" s="83"/>
      <c r="V650" s="83"/>
      <c r="W650" s="83"/>
      <c r="X650" s="83"/>
      <c r="Y650" s="83"/>
      <c r="Z650" s="83"/>
      <c r="AA650" s="83"/>
      <c r="AB650" s="83"/>
      <c r="AC650" s="83"/>
      <c r="AD650" s="83"/>
      <c r="AE650" s="83"/>
      <c r="AF650" s="83"/>
      <c r="AG650" s="83"/>
      <c r="AH650" s="83"/>
      <c r="AI650" s="83"/>
      <c r="AJ650" s="83"/>
      <c r="AK650" s="83"/>
    </row>
    <row r="651">
      <c r="A651" s="83"/>
      <c r="B651" s="83"/>
      <c r="C651" s="83"/>
      <c r="D651" s="83"/>
      <c r="E651" s="118"/>
      <c r="F651" s="118"/>
      <c r="G651" s="118"/>
      <c r="H651" s="118"/>
      <c r="I651" s="118"/>
      <c r="J651" s="118"/>
      <c r="K651" s="118"/>
      <c r="L651" s="118"/>
      <c r="M651" s="118"/>
      <c r="N651" s="83"/>
      <c r="O651" s="83"/>
      <c r="P651" s="83"/>
      <c r="Q651" s="83"/>
      <c r="R651" s="83"/>
      <c r="S651" s="83"/>
      <c r="T651" s="83"/>
      <c r="U651" s="83"/>
      <c r="V651" s="83"/>
      <c r="W651" s="83"/>
      <c r="X651" s="83"/>
      <c r="Y651" s="83"/>
      <c r="Z651" s="83"/>
      <c r="AA651" s="83"/>
      <c r="AB651" s="83"/>
      <c r="AC651" s="83"/>
      <c r="AD651" s="83"/>
      <c r="AE651" s="83"/>
      <c r="AF651" s="83"/>
      <c r="AG651" s="83"/>
      <c r="AH651" s="83"/>
      <c r="AI651" s="83"/>
      <c r="AJ651" s="83"/>
      <c r="AK651" s="83"/>
    </row>
    <row r="652">
      <c r="A652" s="83"/>
      <c r="B652" s="83"/>
      <c r="C652" s="83"/>
      <c r="D652" s="83"/>
      <c r="E652" s="118"/>
      <c r="F652" s="118"/>
      <c r="G652" s="118"/>
      <c r="H652" s="118"/>
      <c r="I652" s="118"/>
      <c r="J652" s="118"/>
      <c r="K652" s="118"/>
      <c r="L652" s="118"/>
      <c r="M652" s="118"/>
      <c r="N652" s="83"/>
      <c r="O652" s="83"/>
      <c r="P652" s="83"/>
      <c r="Q652" s="83"/>
      <c r="R652" s="83"/>
      <c r="S652" s="83"/>
      <c r="T652" s="83"/>
      <c r="U652" s="83"/>
      <c r="V652" s="83"/>
      <c r="W652" s="83"/>
      <c r="X652" s="83"/>
      <c r="Y652" s="83"/>
      <c r="Z652" s="83"/>
      <c r="AA652" s="83"/>
      <c r="AB652" s="83"/>
      <c r="AC652" s="83"/>
      <c r="AD652" s="83"/>
      <c r="AE652" s="83"/>
      <c r="AF652" s="83"/>
      <c r="AG652" s="83"/>
      <c r="AH652" s="83"/>
      <c r="AI652" s="83"/>
      <c r="AJ652" s="83"/>
      <c r="AK652" s="83"/>
    </row>
    <row r="653">
      <c r="A653" s="83"/>
      <c r="B653" s="83"/>
      <c r="C653" s="83"/>
      <c r="D653" s="83"/>
      <c r="E653" s="118"/>
      <c r="F653" s="118"/>
      <c r="G653" s="118"/>
      <c r="H653" s="118"/>
      <c r="I653" s="118"/>
      <c r="J653" s="118"/>
      <c r="K653" s="118"/>
      <c r="L653" s="118"/>
      <c r="M653" s="118"/>
      <c r="N653" s="83"/>
      <c r="O653" s="83"/>
      <c r="P653" s="83"/>
      <c r="Q653" s="83"/>
      <c r="R653" s="83"/>
      <c r="S653" s="83"/>
      <c r="T653" s="83"/>
      <c r="U653" s="83"/>
      <c r="V653" s="83"/>
      <c r="W653" s="83"/>
      <c r="X653" s="83"/>
      <c r="Y653" s="83"/>
      <c r="Z653" s="83"/>
      <c r="AA653" s="83"/>
      <c r="AB653" s="83"/>
      <c r="AC653" s="83"/>
      <c r="AD653" s="83"/>
      <c r="AE653" s="83"/>
      <c r="AF653" s="83"/>
      <c r="AG653" s="83"/>
      <c r="AH653" s="83"/>
      <c r="AI653" s="83"/>
      <c r="AJ653" s="83"/>
      <c r="AK653" s="83"/>
    </row>
    <row r="654">
      <c r="A654" s="83"/>
      <c r="B654" s="83"/>
      <c r="C654" s="83"/>
      <c r="D654" s="83"/>
      <c r="E654" s="118"/>
      <c r="F654" s="118"/>
      <c r="G654" s="118"/>
      <c r="H654" s="118"/>
      <c r="I654" s="118"/>
      <c r="J654" s="118"/>
      <c r="K654" s="118"/>
      <c r="L654" s="118"/>
      <c r="M654" s="118"/>
      <c r="N654" s="83"/>
      <c r="O654" s="83"/>
      <c r="P654" s="83"/>
      <c r="Q654" s="83"/>
      <c r="R654" s="83"/>
      <c r="S654" s="83"/>
      <c r="T654" s="83"/>
      <c r="U654" s="83"/>
      <c r="V654" s="83"/>
      <c r="W654" s="83"/>
      <c r="X654" s="83"/>
      <c r="Y654" s="83"/>
      <c r="Z654" s="83"/>
      <c r="AA654" s="83"/>
      <c r="AB654" s="83"/>
      <c r="AC654" s="83"/>
      <c r="AD654" s="83"/>
      <c r="AE654" s="83"/>
      <c r="AF654" s="83"/>
      <c r="AG654" s="83"/>
      <c r="AH654" s="83"/>
      <c r="AI654" s="83"/>
      <c r="AJ654" s="83"/>
      <c r="AK654" s="83"/>
    </row>
    <row r="655">
      <c r="A655" s="83"/>
      <c r="B655" s="83"/>
      <c r="C655" s="83"/>
      <c r="D655" s="83"/>
      <c r="E655" s="118"/>
      <c r="F655" s="118"/>
      <c r="G655" s="118"/>
      <c r="H655" s="118"/>
      <c r="I655" s="118"/>
      <c r="J655" s="118"/>
      <c r="K655" s="118"/>
      <c r="L655" s="118"/>
      <c r="M655" s="118"/>
      <c r="N655" s="83"/>
      <c r="O655" s="83"/>
      <c r="P655" s="83"/>
      <c r="Q655" s="83"/>
      <c r="R655" s="83"/>
      <c r="S655" s="83"/>
      <c r="T655" s="83"/>
      <c r="U655" s="83"/>
      <c r="V655" s="83"/>
      <c r="W655" s="83"/>
      <c r="X655" s="83"/>
      <c r="Y655" s="83"/>
      <c r="Z655" s="83"/>
      <c r="AA655" s="83"/>
      <c r="AB655" s="83"/>
      <c r="AC655" s="83"/>
      <c r="AD655" s="83"/>
      <c r="AE655" s="83"/>
      <c r="AF655" s="83"/>
      <c r="AG655" s="83"/>
      <c r="AH655" s="83"/>
      <c r="AI655" s="83"/>
      <c r="AJ655" s="83"/>
      <c r="AK655" s="83"/>
    </row>
    <row r="656">
      <c r="A656" s="83"/>
      <c r="B656" s="83"/>
      <c r="C656" s="83"/>
      <c r="D656" s="83"/>
      <c r="E656" s="118"/>
      <c r="F656" s="118"/>
      <c r="G656" s="118"/>
      <c r="H656" s="118"/>
      <c r="I656" s="118"/>
      <c r="J656" s="118"/>
      <c r="K656" s="118"/>
      <c r="L656" s="118"/>
      <c r="M656" s="118"/>
      <c r="N656" s="83"/>
      <c r="O656" s="83"/>
      <c r="P656" s="83"/>
      <c r="Q656" s="83"/>
      <c r="R656" s="83"/>
      <c r="S656" s="83"/>
      <c r="T656" s="83"/>
      <c r="U656" s="83"/>
      <c r="V656" s="83"/>
      <c r="W656" s="83"/>
      <c r="X656" s="83"/>
      <c r="Y656" s="83"/>
      <c r="Z656" s="83"/>
      <c r="AA656" s="83"/>
      <c r="AB656" s="83"/>
      <c r="AC656" s="83"/>
      <c r="AD656" s="83"/>
      <c r="AE656" s="83"/>
      <c r="AF656" s="83"/>
      <c r="AG656" s="83"/>
      <c r="AH656" s="83"/>
      <c r="AI656" s="83"/>
      <c r="AJ656" s="83"/>
      <c r="AK656" s="83"/>
    </row>
    <row r="657">
      <c r="A657" s="83"/>
      <c r="B657" s="83"/>
      <c r="C657" s="83"/>
      <c r="D657" s="83"/>
      <c r="E657" s="118"/>
      <c r="F657" s="118"/>
      <c r="G657" s="118"/>
      <c r="H657" s="118"/>
      <c r="I657" s="118"/>
      <c r="J657" s="118"/>
      <c r="K657" s="118"/>
      <c r="L657" s="118"/>
      <c r="M657" s="118"/>
      <c r="N657" s="83"/>
      <c r="O657" s="83"/>
      <c r="P657" s="83"/>
      <c r="Q657" s="83"/>
      <c r="R657" s="83"/>
      <c r="S657" s="83"/>
      <c r="T657" s="83"/>
      <c r="U657" s="83"/>
      <c r="V657" s="83"/>
      <c r="W657" s="83"/>
      <c r="X657" s="83"/>
      <c r="Y657" s="83"/>
      <c r="Z657" s="83"/>
      <c r="AA657" s="83"/>
      <c r="AB657" s="83"/>
      <c r="AC657" s="83"/>
      <c r="AD657" s="83"/>
      <c r="AE657" s="83"/>
      <c r="AF657" s="83"/>
      <c r="AG657" s="83"/>
      <c r="AH657" s="83"/>
      <c r="AI657" s="83"/>
      <c r="AJ657" s="83"/>
      <c r="AK657" s="83"/>
    </row>
    <row r="658">
      <c r="A658" s="83"/>
      <c r="B658" s="83"/>
      <c r="C658" s="83"/>
      <c r="D658" s="83"/>
      <c r="E658" s="118"/>
      <c r="F658" s="118"/>
      <c r="G658" s="118"/>
      <c r="H658" s="118"/>
      <c r="I658" s="118"/>
      <c r="J658" s="118"/>
      <c r="K658" s="118"/>
      <c r="L658" s="118"/>
      <c r="M658" s="118"/>
      <c r="N658" s="83"/>
      <c r="O658" s="83"/>
      <c r="P658" s="83"/>
      <c r="Q658" s="83"/>
      <c r="R658" s="83"/>
      <c r="S658" s="83"/>
      <c r="T658" s="83"/>
      <c r="U658" s="83"/>
      <c r="V658" s="83"/>
      <c r="W658" s="83"/>
      <c r="X658" s="83"/>
      <c r="Y658" s="83"/>
      <c r="Z658" s="83"/>
      <c r="AA658" s="83"/>
      <c r="AB658" s="83"/>
      <c r="AC658" s="83"/>
      <c r="AD658" s="83"/>
      <c r="AE658" s="83"/>
      <c r="AF658" s="83"/>
      <c r="AG658" s="83"/>
      <c r="AH658" s="83"/>
      <c r="AI658" s="83"/>
      <c r="AJ658" s="83"/>
      <c r="AK658" s="83"/>
    </row>
    <row r="659">
      <c r="A659" s="83"/>
      <c r="B659" s="83"/>
      <c r="C659" s="83"/>
      <c r="D659" s="83"/>
      <c r="E659" s="118"/>
      <c r="F659" s="118"/>
      <c r="G659" s="118"/>
      <c r="H659" s="118"/>
      <c r="I659" s="118"/>
      <c r="J659" s="118"/>
      <c r="K659" s="118"/>
      <c r="L659" s="118"/>
      <c r="M659" s="118"/>
      <c r="N659" s="83"/>
      <c r="O659" s="83"/>
      <c r="P659" s="83"/>
      <c r="Q659" s="83"/>
      <c r="R659" s="83"/>
      <c r="S659" s="83"/>
      <c r="T659" s="83"/>
      <c r="U659" s="83"/>
      <c r="V659" s="83"/>
      <c r="W659" s="83"/>
      <c r="X659" s="83"/>
      <c r="Y659" s="83"/>
      <c r="Z659" s="83"/>
      <c r="AA659" s="83"/>
      <c r="AB659" s="83"/>
      <c r="AC659" s="83"/>
      <c r="AD659" s="83"/>
      <c r="AE659" s="83"/>
      <c r="AF659" s="83"/>
      <c r="AG659" s="83"/>
      <c r="AH659" s="83"/>
      <c r="AI659" s="83"/>
      <c r="AJ659" s="83"/>
      <c r="AK659" s="83"/>
    </row>
    <row r="660">
      <c r="A660" s="83"/>
      <c r="B660" s="83"/>
      <c r="C660" s="83"/>
      <c r="D660" s="83"/>
      <c r="E660" s="118"/>
      <c r="F660" s="118"/>
      <c r="G660" s="118"/>
      <c r="H660" s="118"/>
      <c r="I660" s="118"/>
      <c r="J660" s="118"/>
      <c r="K660" s="118"/>
      <c r="L660" s="118"/>
      <c r="M660" s="118"/>
      <c r="N660" s="83"/>
      <c r="O660" s="83"/>
      <c r="P660" s="83"/>
      <c r="Q660" s="83"/>
      <c r="R660" s="83"/>
      <c r="S660" s="83"/>
      <c r="T660" s="83"/>
      <c r="U660" s="83"/>
      <c r="V660" s="83"/>
      <c r="W660" s="83"/>
      <c r="X660" s="83"/>
      <c r="Y660" s="83"/>
      <c r="Z660" s="83"/>
      <c r="AA660" s="83"/>
      <c r="AB660" s="83"/>
      <c r="AC660" s="83"/>
      <c r="AD660" s="83"/>
      <c r="AE660" s="83"/>
      <c r="AF660" s="83"/>
      <c r="AG660" s="83"/>
      <c r="AH660" s="83"/>
      <c r="AI660" s="83"/>
      <c r="AJ660" s="83"/>
      <c r="AK660" s="83"/>
    </row>
    <row r="661">
      <c r="A661" s="83"/>
      <c r="B661" s="83"/>
      <c r="C661" s="83"/>
      <c r="D661" s="83"/>
      <c r="E661" s="118"/>
      <c r="F661" s="118"/>
      <c r="G661" s="118"/>
      <c r="H661" s="118"/>
      <c r="I661" s="118"/>
      <c r="J661" s="118"/>
      <c r="K661" s="118"/>
      <c r="L661" s="118"/>
      <c r="M661" s="118"/>
      <c r="N661" s="83"/>
      <c r="O661" s="83"/>
      <c r="P661" s="83"/>
      <c r="Q661" s="83"/>
      <c r="R661" s="83"/>
      <c r="S661" s="83"/>
      <c r="T661" s="83"/>
      <c r="U661" s="83"/>
      <c r="V661" s="83"/>
      <c r="W661" s="83"/>
      <c r="X661" s="83"/>
      <c r="Y661" s="83"/>
      <c r="Z661" s="83"/>
      <c r="AA661" s="83"/>
      <c r="AB661" s="83"/>
      <c r="AC661" s="83"/>
      <c r="AD661" s="83"/>
      <c r="AE661" s="83"/>
      <c r="AF661" s="83"/>
      <c r="AG661" s="83"/>
      <c r="AH661" s="83"/>
      <c r="AI661" s="83"/>
      <c r="AJ661" s="83"/>
      <c r="AK661" s="83"/>
    </row>
    <row r="662">
      <c r="A662" s="83"/>
      <c r="B662" s="83"/>
      <c r="C662" s="83"/>
      <c r="D662" s="83"/>
      <c r="E662" s="118"/>
      <c r="F662" s="118"/>
      <c r="G662" s="118"/>
      <c r="H662" s="118"/>
      <c r="I662" s="118"/>
      <c r="J662" s="118"/>
      <c r="K662" s="118"/>
      <c r="L662" s="118"/>
      <c r="M662" s="118"/>
      <c r="N662" s="83"/>
      <c r="O662" s="83"/>
      <c r="P662" s="83"/>
      <c r="Q662" s="83"/>
      <c r="R662" s="83"/>
      <c r="S662" s="83"/>
      <c r="T662" s="83"/>
      <c r="U662" s="83"/>
      <c r="V662" s="83"/>
      <c r="W662" s="83"/>
      <c r="X662" s="83"/>
      <c r="Y662" s="83"/>
      <c r="Z662" s="83"/>
      <c r="AA662" s="83"/>
      <c r="AB662" s="83"/>
      <c r="AC662" s="83"/>
      <c r="AD662" s="83"/>
      <c r="AE662" s="83"/>
      <c r="AF662" s="83"/>
      <c r="AG662" s="83"/>
      <c r="AH662" s="83"/>
      <c r="AI662" s="83"/>
      <c r="AJ662" s="83"/>
      <c r="AK662" s="83"/>
    </row>
    <row r="663">
      <c r="A663" s="83"/>
      <c r="B663" s="83"/>
      <c r="C663" s="83"/>
      <c r="D663" s="83"/>
      <c r="E663" s="118"/>
      <c r="F663" s="118"/>
      <c r="G663" s="118"/>
      <c r="H663" s="118"/>
      <c r="I663" s="118"/>
      <c r="J663" s="118"/>
      <c r="K663" s="118"/>
      <c r="L663" s="118"/>
      <c r="M663" s="118"/>
      <c r="N663" s="83"/>
      <c r="O663" s="83"/>
      <c r="P663" s="83"/>
      <c r="Q663" s="83"/>
      <c r="R663" s="83"/>
      <c r="S663" s="83"/>
      <c r="T663" s="83"/>
      <c r="U663" s="83"/>
      <c r="V663" s="83"/>
      <c r="W663" s="83"/>
      <c r="X663" s="83"/>
      <c r="Y663" s="83"/>
      <c r="Z663" s="83"/>
      <c r="AA663" s="83"/>
      <c r="AB663" s="83"/>
      <c r="AC663" s="83"/>
      <c r="AD663" s="83"/>
      <c r="AE663" s="83"/>
      <c r="AF663" s="83"/>
      <c r="AG663" s="83"/>
      <c r="AH663" s="83"/>
      <c r="AI663" s="83"/>
      <c r="AJ663" s="83"/>
      <c r="AK663" s="83"/>
    </row>
    <row r="664">
      <c r="A664" s="83"/>
      <c r="B664" s="83"/>
      <c r="C664" s="83"/>
      <c r="D664" s="83"/>
      <c r="E664" s="118"/>
      <c r="F664" s="118"/>
      <c r="G664" s="118"/>
      <c r="H664" s="118"/>
      <c r="I664" s="118"/>
      <c r="J664" s="118"/>
      <c r="K664" s="118"/>
      <c r="L664" s="118"/>
      <c r="M664" s="118"/>
      <c r="N664" s="83"/>
      <c r="O664" s="83"/>
      <c r="P664" s="83"/>
      <c r="Q664" s="83"/>
      <c r="R664" s="83"/>
      <c r="S664" s="83"/>
      <c r="T664" s="83"/>
      <c r="U664" s="83"/>
      <c r="V664" s="83"/>
      <c r="W664" s="83"/>
      <c r="X664" s="83"/>
      <c r="Y664" s="83"/>
      <c r="Z664" s="83"/>
      <c r="AA664" s="83"/>
      <c r="AB664" s="83"/>
      <c r="AC664" s="83"/>
      <c r="AD664" s="83"/>
      <c r="AE664" s="83"/>
      <c r="AF664" s="83"/>
      <c r="AG664" s="83"/>
      <c r="AH664" s="83"/>
      <c r="AI664" s="83"/>
      <c r="AJ664" s="83"/>
      <c r="AK664" s="83"/>
    </row>
    <row r="665">
      <c r="A665" s="83"/>
      <c r="B665" s="83"/>
      <c r="C665" s="83"/>
      <c r="D665" s="83"/>
      <c r="E665" s="118"/>
      <c r="F665" s="118"/>
      <c r="G665" s="118"/>
      <c r="H665" s="118"/>
      <c r="I665" s="118"/>
      <c r="J665" s="118"/>
      <c r="K665" s="118"/>
      <c r="L665" s="118"/>
      <c r="M665" s="118"/>
      <c r="N665" s="83"/>
      <c r="O665" s="83"/>
      <c r="P665" s="83"/>
      <c r="Q665" s="83"/>
      <c r="R665" s="83"/>
      <c r="S665" s="83"/>
      <c r="T665" s="83"/>
      <c r="U665" s="83"/>
      <c r="V665" s="83"/>
      <c r="W665" s="83"/>
      <c r="X665" s="83"/>
      <c r="Y665" s="83"/>
      <c r="Z665" s="83"/>
      <c r="AA665" s="83"/>
      <c r="AB665" s="83"/>
      <c r="AC665" s="83"/>
      <c r="AD665" s="83"/>
      <c r="AE665" s="83"/>
      <c r="AF665" s="83"/>
      <c r="AG665" s="83"/>
      <c r="AH665" s="83"/>
      <c r="AI665" s="83"/>
      <c r="AJ665" s="83"/>
      <c r="AK665" s="83"/>
    </row>
    <row r="666">
      <c r="A666" s="83"/>
      <c r="B666" s="83"/>
      <c r="C666" s="83"/>
      <c r="D666" s="83"/>
      <c r="E666" s="118"/>
      <c r="F666" s="118"/>
      <c r="G666" s="118"/>
      <c r="H666" s="118"/>
      <c r="I666" s="118"/>
      <c r="J666" s="118"/>
      <c r="K666" s="118"/>
      <c r="L666" s="118"/>
      <c r="M666" s="118"/>
      <c r="N666" s="83"/>
      <c r="O666" s="83"/>
      <c r="P666" s="83"/>
      <c r="Q666" s="83"/>
      <c r="R666" s="83"/>
      <c r="S666" s="83"/>
      <c r="T666" s="83"/>
      <c r="U666" s="83"/>
      <c r="V666" s="83"/>
      <c r="W666" s="83"/>
      <c r="X666" s="83"/>
      <c r="Y666" s="83"/>
      <c r="Z666" s="83"/>
      <c r="AA666" s="83"/>
      <c r="AB666" s="83"/>
      <c r="AC666" s="83"/>
      <c r="AD666" s="83"/>
      <c r="AE666" s="83"/>
      <c r="AF666" s="83"/>
      <c r="AG666" s="83"/>
      <c r="AH666" s="83"/>
      <c r="AI666" s="83"/>
      <c r="AJ666" s="83"/>
      <c r="AK666" s="83"/>
    </row>
    <row r="667">
      <c r="A667" s="83"/>
      <c r="B667" s="83"/>
      <c r="C667" s="83"/>
      <c r="D667" s="83"/>
      <c r="E667" s="118"/>
      <c r="F667" s="118"/>
      <c r="G667" s="118"/>
      <c r="H667" s="118"/>
      <c r="I667" s="118"/>
      <c r="J667" s="118"/>
      <c r="K667" s="118"/>
      <c r="L667" s="118"/>
      <c r="M667" s="118"/>
      <c r="N667" s="83"/>
      <c r="O667" s="83"/>
      <c r="P667" s="83"/>
      <c r="Q667" s="83"/>
      <c r="R667" s="83"/>
      <c r="S667" s="83"/>
      <c r="T667" s="83"/>
      <c r="U667" s="83"/>
      <c r="V667" s="83"/>
      <c r="W667" s="83"/>
      <c r="X667" s="83"/>
      <c r="Y667" s="83"/>
      <c r="Z667" s="83"/>
      <c r="AA667" s="83"/>
      <c r="AB667" s="83"/>
      <c r="AC667" s="83"/>
      <c r="AD667" s="83"/>
      <c r="AE667" s="83"/>
      <c r="AF667" s="83"/>
      <c r="AG667" s="83"/>
      <c r="AH667" s="83"/>
      <c r="AI667" s="83"/>
      <c r="AJ667" s="83"/>
      <c r="AK667" s="83"/>
    </row>
    <row r="668">
      <c r="A668" s="83"/>
      <c r="B668" s="83"/>
      <c r="C668" s="83"/>
      <c r="D668" s="83"/>
      <c r="E668" s="118"/>
      <c r="F668" s="118"/>
      <c r="G668" s="118"/>
      <c r="H668" s="118"/>
      <c r="I668" s="118"/>
      <c r="J668" s="118"/>
      <c r="K668" s="118"/>
      <c r="L668" s="118"/>
      <c r="M668" s="118"/>
      <c r="N668" s="83"/>
      <c r="O668" s="83"/>
      <c r="P668" s="83"/>
      <c r="Q668" s="83"/>
      <c r="R668" s="83"/>
      <c r="S668" s="83"/>
      <c r="T668" s="83"/>
      <c r="U668" s="83"/>
      <c r="V668" s="83"/>
      <c r="W668" s="83"/>
      <c r="X668" s="83"/>
      <c r="Y668" s="83"/>
      <c r="Z668" s="83"/>
      <c r="AA668" s="83"/>
      <c r="AB668" s="83"/>
      <c r="AC668" s="83"/>
      <c r="AD668" s="83"/>
      <c r="AE668" s="83"/>
      <c r="AF668" s="83"/>
      <c r="AG668" s="83"/>
      <c r="AH668" s="83"/>
      <c r="AI668" s="83"/>
      <c r="AJ668" s="83"/>
      <c r="AK668" s="83"/>
    </row>
    <row r="669">
      <c r="A669" s="83"/>
      <c r="B669" s="83"/>
      <c r="C669" s="83"/>
      <c r="D669" s="83"/>
      <c r="E669" s="118"/>
      <c r="F669" s="118"/>
      <c r="G669" s="118"/>
      <c r="H669" s="118"/>
      <c r="I669" s="118"/>
      <c r="J669" s="118"/>
      <c r="K669" s="118"/>
      <c r="L669" s="118"/>
      <c r="M669" s="118"/>
      <c r="N669" s="83"/>
      <c r="O669" s="83"/>
      <c r="P669" s="83"/>
      <c r="Q669" s="83"/>
      <c r="R669" s="83"/>
      <c r="S669" s="83"/>
      <c r="T669" s="83"/>
      <c r="U669" s="83"/>
      <c r="V669" s="83"/>
      <c r="W669" s="83"/>
      <c r="X669" s="83"/>
      <c r="Y669" s="83"/>
      <c r="Z669" s="83"/>
      <c r="AA669" s="83"/>
      <c r="AB669" s="83"/>
      <c r="AC669" s="83"/>
      <c r="AD669" s="83"/>
      <c r="AE669" s="83"/>
      <c r="AF669" s="83"/>
      <c r="AG669" s="83"/>
      <c r="AH669" s="83"/>
      <c r="AI669" s="83"/>
      <c r="AJ669" s="83"/>
      <c r="AK669" s="83"/>
    </row>
    <row r="670">
      <c r="A670" s="83"/>
      <c r="B670" s="83"/>
      <c r="C670" s="83"/>
      <c r="D670" s="83"/>
      <c r="E670" s="118"/>
      <c r="F670" s="118"/>
      <c r="G670" s="118"/>
      <c r="H670" s="118"/>
      <c r="I670" s="118"/>
      <c r="J670" s="118"/>
      <c r="K670" s="118"/>
      <c r="L670" s="118"/>
      <c r="M670" s="118"/>
      <c r="N670" s="83"/>
      <c r="O670" s="83"/>
      <c r="P670" s="83"/>
      <c r="Q670" s="83"/>
      <c r="R670" s="83"/>
      <c r="S670" s="83"/>
      <c r="T670" s="83"/>
      <c r="U670" s="83"/>
      <c r="V670" s="83"/>
      <c r="W670" s="83"/>
      <c r="X670" s="83"/>
      <c r="Y670" s="83"/>
      <c r="Z670" s="83"/>
      <c r="AA670" s="83"/>
      <c r="AB670" s="83"/>
      <c r="AC670" s="83"/>
      <c r="AD670" s="83"/>
      <c r="AE670" s="83"/>
      <c r="AF670" s="83"/>
      <c r="AG670" s="83"/>
      <c r="AH670" s="83"/>
      <c r="AI670" s="83"/>
      <c r="AJ670" s="83"/>
      <c r="AK670" s="83"/>
    </row>
    <row r="671">
      <c r="A671" s="83"/>
      <c r="B671" s="83"/>
      <c r="C671" s="83"/>
      <c r="D671" s="83"/>
      <c r="E671" s="118"/>
      <c r="F671" s="118"/>
      <c r="G671" s="118"/>
      <c r="H671" s="118"/>
      <c r="I671" s="118"/>
      <c r="J671" s="118"/>
      <c r="K671" s="118"/>
      <c r="L671" s="118"/>
      <c r="M671" s="118"/>
      <c r="N671" s="83"/>
      <c r="O671" s="83"/>
      <c r="P671" s="83"/>
      <c r="Q671" s="83"/>
      <c r="R671" s="83"/>
      <c r="S671" s="83"/>
      <c r="T671" s="83"/>
      <c r="U671" s="83"/>
      <c r="V671" s="83"/>
      <c r="W671" s="83"/>
      <c r="X671" s="83"/>
      <c r="Y671" s="83"/>
      <c r="Z671" s="83"/>
      <c r="AA671" s="83"/>
      <c r="AB671" s="83"/>
      <c r="AC671" s="83"/>
      <c r="AD671" s="83"/>
      <c r="AE671" s="83"/>
      <c r="AF671" s="83"/>
      <c r="AG671" s="83"/>
      <c r="AH671" s="83"/>
      <c r="AI671" s="83"/>
      <c r="AJ671" s="83"/>
      <c r="AK671" s="83"/>
    </row>
    <row r="672">
      <c r="A672" s="83"/>
      <c r="B672" s="83"/>
      <c r="C672" s="83"/>
      <c r="D672" s="83"/>
      <c r="E672" s="118"/>
      <c r="F672" s="118"/>
      <c r="G672" s="118"/>
      <c r="H672" s="118"/>
      <c r="I672" s="118"/>
      <c r="J672" s="118"/>
      <c r="K672" s="118"/>
      <c r="L672" s="118"/>
      <c r="M672" s="118"/>
      <c r="N672" s="83"/>
      <c r="O672" s="83"/>
      <c r="P672" s="83"/>
      <c r="Q672" s="83"/>
      <c r="R672" s="83"/>
      <c r="S672" s="83"/>
      <c r="T672" s="83"/>
      <c r="U672" s="83"/>
      <c r="V672" s="83"/>
      <c r="W672" s="83"/>
      <c r="X672" s="83"/>
      <c r="Y672" s="83"/>
      <c r="Z672" s="83"/>
      <c r="AA672" s="83"/>
      <c r="AB672" s="83"/>
      <c r="AC672" s="83"/>
      <c r="AD672" s="83"/>
      <c r="AE672" s="83"/>
      <c r="AF672" s="83"/>
      <c r="AG672" s="83"/>
      <c r="AH672" s="83"/>
      <c r="AI672" s="83"/>
      <c r="AJ672" s="83"/>
      <c r="AK672" s="83"/>
    </row>
    <row r="673">
      <c r="A673" s="83"/>
      <c r="B673" s="83"/>
      <c r="C673" s="83"/>
      <c r="D673" s="83"/>
      <c r="E673" s="118"/>
      <c r="F673" s="118"/>
      <c r="G673" s="118"/>
      <c r="H673" s="118"/>
      <c r="I673" s="118"/>
      <c r="J673" s="118"/>
      <c r="K673" s="118"/>
      <c r="L673" s="118"/>
      <c r="M673" s="118"/>
      <c r="N673" s="83"/>
      <c r="O673" s="83"/>
      <c r="P673" s="83"/>
      <c r="Q673" s="83"/>
      <c r="R673" s="83"/>
      <c r="S673" s="83"/>
      <c r="T673" s="83"/>
      <c r="U673" s="83"/>
      <c r="V673" s="83"/>
      <c r="W673" s="83"/>
      <c r="X673" s="83"/>
      <c r="Y673" s="83"/>
      <c r="Z673" s="83"/>
      <c r="AA673" s="83"/>
      <c r="AB673" s="83"/>
      <c r="AC673" s="83"/>
      <c r="AD673" s="83"/>
      <c r="AE673" s="83"/>
      <c r="AF673" s="83"/>
      <c r="AG673" s="83"/>
      <c r="AH673" s="83"/>
      <c r="AI673" s="83"/>
      <c r="AJ673" s="83"/>
      <c r="AK673" s="83"/>
    </row>
    <row r="674">
      <c r="A674" s="83"/>
      <c r="B674" s="83"/>
      <c r="C674" s="83"/>
      <c r="D674" s="83"/>
      <c r="E674" s="118"/>
      <c r="F674" s="118"/>
      <c r="G674" s="118"/>
      <c r="H674" s="118"/>
      <c r="I674" s="118"/>
      <c r="J674" s="118"/>
      <c r="K674" s="118"/>
      <c r="L674" s="118"/>
      <c r="M674" s="118"/>
      <c r="N674" s="83"/>
      <c r="O674" s="83"/>
      <c r="P674" s="83"/>
      <c r="Q674" s="83"/>
      <c r="R674" s="83"/>
      <c r="S674" s="83"/>
      <c r="T674" s="83"/>
      <c r="U674" s="83"/>
      <c r="V674" s="83"/>
      <c r="W674" s="83"/>
      <c r="X674" s="83"/>
      <c r="Y674" s="83"/>
      <c r="Z674" s="83"/>
      <c r="AA674" s="83"/>
      <c r="AB674" s="83"/>
      <c r="AC674" s="83"/>
      <c r="AD674" s="83"/>
      <c r="AE674" s="83"/>
      <c r="AF674" s="83"/>
      <c r="AG674" s="83"/>
      <c r="AH674" s="83"/>
      <c r="AI674" s="83"/>
      <c r="AJ674" s="83"/>
      <c r="AK674" s="83"/>
    </row>
    <row r="675">
      <c r="A675" s="83"/>
      <c r="B675" s="83"/>
      <c r="C675" s="83"/>
      <c r="D675" s="83"/>
      <c r="E675" s="118"/>
      <c r="F675" s="118"/>
      <c r="G675" s="118"/>
      <c r="H675" s="118"/>
      <c r="I675" s="118"/>
      <c r="J675" s="118"/>
      <c r="K675" s="118"/>
      <c r="L675" s="118"/>
      <c r="M675" s="118"/>
      <c r="N675" s="83"/>
      <c r="O675" s="83"/>
      <c r="P675" s="83"/>
      <c r="Q675" s="83"/>
      <c r="R675" s="83"/>
      <c r="S675" s="83"/>
      <c r="T675" s="83"/>
      <c r="U675" s="83"/>
      <c r="V675" s="83"/>
      <c r="W675" s="83"/>
      <c r="X675" s="83"/>
      <c r="Y675" s="83"/>
      <c r="Z675" s="83"/>
      <c r="AA675" s="83"/>
      <c r="AB675" s="83"/>
      <c r="AC675" s="83"/>
      <c r="AD675" s="83"/>
      <c r="AE675" s="83"/>
      <c r="AF675" s="83"/>
      <c r="AG675" s="83"/>
      <c r="AH675" s="83"/>
      <c r="AI675" s="83"/>
      <c r="AJ675" s="83"/>
      <c r="AK675" s="83"/>
    </row>
    <row r="676">
      <c r="A676" s="83"/>
      <c r="B676" s="83"/>
      <c r="C676" s="83"/>
      <c r="D676" s="83"/>
      <c r="E676" s="118"/>
      <c r="F676" s="118"/>
      <c r="G676" s="118"/>
      <c r="H676" s="118"/>
      <c r="I676" s="118"/>
      <c r="J676" s="118"/>
      <c r="K676" s="118"/>
      <c r="L676" s="118"/>
      <c r="M676" s="118"/>
      <c r="N676" s="83"/>
      <c r="O676" s="83"/>
      <c r="P676" s="83"/>
      <c r="Q676" s="83"/>
      <c r="R676" s="83"/>
      <c r="S676" s="83"/>
      <c r="T676" s="83"/>
      <c r="U676" s="83"/>
      <c r="V676" s="83"/>
      <c r="W676" s="83"/>
      <c r="X676" s="83"/>
      <c r="Y676" s="83"/>
      <c r="Z676" s="83"/>
      <c r="AA676" s="83"/>
      <c r="AB676" s="83"/>
      <c r="AC676" s="83"/>
      <c r="AD676" s="83"/>
      <c r="AE676" s="83"/>
      <c r="AF676" s="83"/>
      <c r="AG676" s="83"/>
      <c r="AH676" s="83"/>
      <c r="AI676" s="83"/>
      <c r="AJ676" s="83"/>
      <c r="AK676" s="83"/>
    </row>
    <row r="677">
      <c r="A677" s="83"/>
      <c r="B677" s="83"/>
      <c r="C677" s="83"/>
      <c r="D677" s="83"/>
      <c r="E677" s="118"/>
      <c r="F677" s="118"/>
      <c r="G677" s="118"/>
      <c r="H677" s="118"/>
      <c r="I677" s="118"/>
      <c r="J677" s="118"/>
      <c r="K677" s="118"/>
      <c r="L677" s="118"/>
      <c r="M677" s="118"/>
      <c r="N677" s="83"/>
      <c r="O677" s="83"/>
      <c r="P677" s="83"/>
      <c r="Q677" s="83"/>
      <c r="R677" s="83"/>
      <c r="S677" s="83"/>
      <c r="T677" s="83"/>
      <c r="U677" s="83"/>
      <c r="V677" s="83"/>
      <c r="W677" s="83"/>
      <c r="X677" s="83"/>
      <c r="Y677" s="83"/>
      <c r="Z677" s="83"/>
      <c r="AA677" s="83"/>
      <c r="AB677" s="83"/>
      <c r="AC677" s="83"/>
      <c r="AD677" s="83"/>
      <c r="AE677" s="83"/>
      <c r="AF677" s="83"/>
      <c r="AG677" s="83"/>
      <c r="AH677" s="83"/>
      <c r="AI677" s="83"/>
      <c r="AJ677" s="83"/>
      <c r="AK677" s="83"/>
    </row>
    <row r="678">
      <c r="A678" s="83"/>
      <c r="B678" s="83"/>
      <c r="C678" s="83"/>
      <c r="D678" s="83"/>
      <c r="E678" s="118"/>
      <c r="F678" s="118"/>
      <c r="G678" s="118"/>
      <c r="H678" s="118"/>
      <c r="I678" s="118"/>
      <c r="J678" s="118"/>
      <c r="K678" s="118"/>
      <c r="L678" s="118"/>
      <c r="M678" s="118"/>
      <c r="N678" s="83"/>
      <c r="O678" s="83"/>
      <c r="P678" s="83"/>
      <c r="Q678" s="83"/>
      <c r="R678" s="83"/>
      <c r="S678" s="83"/>
      <c r="T678" s="83"/>
      <c r="U678" s="83"/>
      <c r="V678" s="83"/>
      <c r="W678" s="83"/>
      <c r="X678" s="83"/>
      <c r="Y678" s="83"/>
      <c r="Z678" s="83"/>
      <c r="AA678" s="83"/>
      <c r="AB678" s="83"/>
      <c r="AC678" s="83"/>
      <c r="AD678" s="83"/>
      <c r="AE678" s="83"/>
      <c r="AF678" s="83"/>
      <c r="AG678" s="83"/>
      <c r="AH678" s="83"/>
      <c r="AI678" s="83"/>
      <c r="AJ678" s="83"/>
      <c r="AK678" s="83"/>
    </row>
    <row r="679">
      <c r="A679" s="83"/>
      <c r="B679" s="83"/>
      <c r="C679" s="83"/>
      <c r="D679" s="83"/>
      <c r="E679" s="118"/>
      <c r="F679" s="118"/>
      <c r="G679" s="118"/>
      <c r="H679" s="118"/>
      <c r="I679" s="118"/>
      <c r="J679" s="118"/>
      <c r="K679" s="118"/>
      <c r="L679" s="118"/>
      <c r="M679" s="118"/>
      <c r="N679" s="83"/>
      <c r="O679" s="83"/>
      <c r="P679" s="83"/>
      <c r="Q679" s="83"/>
      <c r="R679" s="83"/>
      <c r="S679" s="83"/>
      <c r="T679" s="83"/>
      <c r="U679" s="83"/>
      <c r="V679" s="83"/>
      <c r="W679" s="83"/>
      <c r="X679" s="83"/>
      <c r="Y679" s="83"/>
      <c r="Z679" s="83"/>
      <c r="AA679" s="83"/>
      <c r="AB679" s="83"/>
      <c r="AC679" s="83"/>
      <c r="AD679" s="83"/>
      <c r="AE679" s="83"/>
      <c r="AF679" s="83"/>
      <c r="AG679" s="83"/>
      <c r="AH679" s="83"/>
      <c r="AI679" s="83"/>
      <c r="AJ679" s="83"/>
      <c r="AK679" s="83"/>
    </row>
    <row r="680">
      <c r="A680" s="83"/>
      <c r="B680" s="83"/>
      <c r="C680" s="83"/>
      <c r="D680" s="83"/>
      <c r="E680" s="118"/>
      <c r="F680" s="118"/>
      <c r="G680" s="118"/>
      <c r="H680" s="118"/>
      <c r="I680" s="118"/>
      <c r="J680" s="118"/>
      <c r="K680" s="118"/>
      <c r="L680" s="118"/>
      <c r="M680" s="118"/>
      <c r="N680" s="83"/>
      <c r="O680" s="83"/>
      <c r="P680" s="83"/>
      <c r="Q680" s="83"/>
      <c r="R680" s="83"/>
      <c r="S680" s="83"/>
      <c r="T680" s="83"/>
      <c r="U680" s="83"/>
      <c r="V680" s="83"/>
      <c r="W680" s="83"/>
      <c r="X680" s="83"/>
      <c r="Y680" s="83"/>
      <c r="Z680" s="83"/>
      <c r="AA680" s="83"/>
      <c r="AB680" s="83"/>
      <c r="AC680" s="83"/>
      <c r="AD680" s="83"/>
      <c r="AE680" s="83"/>
      <c r="AF680" s="83"/>
      <c r="AG680" s="83"/>
      <c r="AH680" s="83"/>
      <c r="AI680" s="83"/>
      <c r="AJ680" s="83"/>
      <c r="AK680" s="83"/>
    </row>
    <row r="681">
      <c r="A681" s="83"/>
      <c r="B681" s="83"/>
      <c r="C681" s="83"/>
      <c r="D681" s="83"/>
      <c r="E681" s="118"/>
      <c r="F681" s="118"/>
      <c r="G681" s="118"/>
      <c r="H681" s="118"/>
      <c r="I681" s="118"/>
      <c r="J681" s="118"/>
      <c r="K681" s="118"/>
      <c r="L681" s="118"/>
      <c r="M681" s="118"/>
      <c r="N681" s="83"/>
      <c r="O681" s="83"/>
      <c r="P681" s="83"/>
      <c r="Q681" s="83"/>
      <c r="R681" s="83"/>
      <c r="S681" s="83"/>
      <c r="T681" s="83"/>
      <c r="U681" s="83"/>
      <c r="V681" s="83"/>
      <c r="W681" s="83"/>
      <c r="X681" s="83"/>
      <c r="Y681" s="83"/>
      <c r="Z681" s="83"/>
      <c r="AA681" s="83"/>
      <c r="AB681" s="83"/>
      <c r="AC681" s="83"/>
      <c r="AD681" s="83"/>
      <c r="AE681" s="83"/>
      <c r="AF681" s="83"/>
      <c r="AG681" s="83"/>
      <c r="AH681" s="83"/>
      <c r="AI681" s="83"/>
      <c r="AJ681" s="83"/>
      <c r="AK681" s="83"/>
    </row>
    <row r="682">
      <c r="A682" s="83"/>
      <c r="B682" s="83"/>
      <c r="C682" s="83"/>
      <c r="D682" s="83"/>
      <c r="E682" s="118"/>
      <c r="F682" s="118"/>
      <c r="G682" s="118"/>
      <c r="H682" s="118"/>
      <c r="I682" s="118"/>
      <c r="J682" s="118"/>
      <c r="K682" s="118"/>
      <c r="L682" s="118"/>
      <c r="M682" s="118"/>
      <c r="N682" s="83"/>
      <c r="O682" s="83"/>
      <c r="P682" s="83"/>
      <c r="Q682" s="83"/>
      <c r="R682" s="83"/>
      <c r="S682" s="83"/>
      <c r="T682" s="83"/>
      <c r="U682" s="83"/>
      <c r="V682" s="83"/>
      <c r="W682" s="83"/>
      <c r="X682" s="83"/>
      <c r="Y682" s="83"/>
      <c r="Z682" s="83"/>
      <c r="AA682" s="83"/>
      <c r="AB682" s="83"/>
      <c r="AC682" s="83"/>
      <c r="AD682" s="83"/>
      <c r="AE682" s="83"/>
      <c r="AF682" s="83"/>
      <c r="AG682" s="83"/>
      <c r="AH682" s="83"/>
      <c r="AI682" s="83"/>
      <c r="AJ682" s="83"/>
      <c r="AK682" s="83"/>
    </row>
    <row r="683">
      <c r="A683" s="83"/>
      <c r="B683" s="83"/>
      <c r="C683" s="83"/>
      <c r="D683" s="83"/>
      <c r="E683" s="118"/>
      <c r="F683" s="118"/>
      <c r="G683" s="118"/>
      <c r="H683" s="118"/>
      <c r="I683" s="118"/>
      <c r="J683" s="118"/>
      <c r="K683" s="118"/>
      <c r="L683" s="118"/>
      <c r="M683" s="118"/>
      <c r="N683" s="83"/>
      <c r="O683" s="83"/>
      <c r="P683" s="83"/>
      <c r="Q683" s="83"/>
      <c r="R683" s="83"/>
      <c r="S683" s="83"/>
      <c r="T683" s="83"/>
      <c r="U683" s="83"/>
      <c r="V683" s="83"/>
      <c r="W683" s="83"/>
      <c r="X683" s="83"/>
      <c r="Y683" s="83"/>
      <c r="Z683" s="83"/>
      <c r="AA683" s="83"/>
      <c r="AB683" s="83"/>
      <c r="AC683" s="83"/>
      <c r="AD683" s="83"/>
      <c r="AE683" s="83"/>
      <c r="AF683" s="83"/>
      <c r="AG683" s="83"/>
      <c r="AH683" s="83"/>
      <c r="AI683" s="83"/>
      <c r="AJ683" s="83"/>
      <c r="AK683" s="83"/>
    </row>
    <row r="684">
      <c r="A684" s="83"/>
      <c r="B684" s="83"/>
      <c r="C684" s="83"/>
      <c r="D684" s="83"/>
      <c r="E684" s="118"/>
      <c r="F684" s="118"/>
      <c r="G684" s="118"/>
      <c r="H684" s="118"/>
      <c r="I684" s="118"/>
      <c r="J684" s="118"/>
      <c r="K684" s="118"/>
      <c r="L684" s="118"/>
      <c r="M684" s="118"/>
      <c r="N684" s="83"/>
      <c r="O684" s="83"/>
      <c r="P684" s="83"/>
      <c r="Q684" s="83"/>
      <c r="R684" s="83"/>
      <c r="S684" s="83"/>
      <c r="T684" s="83"/>
      <c r="U684" s="83"/>
      <c r="V684" s="83"/>
      <c r="W684" s="83"/>
      <c r="X684" s="83"/>
      <c r="Y684" s="83"/>
      <c r="Z684" s="83"/>
      <c r="AA684" s="83"/>
      <c r="AB684" s="83"/>
      <c r="AC684" s="83"/>
      <c r="AD684" s="83"/>
      <c r="AE684" s="83"/>
      <c r="AF684" s="83"/>
      <c r="AG684" s="83"/>
      <c r="AH684" s="83"/>
      <c r="AI684" s="83"/>
      <c r="AJ684" s="83"/>
      <c r="AK684" s="83"/>
    </row>
    <row r="685">
      <c r="A685" s="83"/>
      <c r="B685" s="83"/>
      <c r="C685" s="83"/>
      <c r="D685" s="83"/>
      <c r="E685" s="118"/>
      <c r="F685" s="118"/>
      <c r="G685" s="118"/>
      <c r="H685" s="118"/>
      <c r="I685" s="118"/>
      <c r="J685" s="118"/>
      <c r="K685" s="118"/>
      <c r="L685" s="118"/>
      <c r="M685" s="118"/>
      <c r="N685" s="83"/>
      <c r="O685" s="83"/>
      <c r="P685" s="83"/>
      <c r="Q685" s="83"/>
      <c r="R685" s="83"/>
      <c r="S685" s="83"/>
      <c r="T685" s="83"/>
      <c r="U685" s="83"/>
      <c r="V685" s="83"/>
      <c r="W685" s="83"/>
      <c r="X685" s="83"/>
      <c r="Y685" s="83"/>
      <c r="Z685" s="83"/>
      <c r="AA685" s="83"/>
      <c r="AB685" s="83"/>
      <c r="AC685" s="83"/>
      <c r="AD685" s="83"/>
      <c r="AE685" s="83"/>
      <c r="AF685" s="83"/>
      <c r="AG685" s="83"/>
      <c r="AH685" s="83"/>
      <c r="AI685" s="83"/>
      <c r="AJ685" s="83"/>
      <c r="AK685" s="83"/>
    </row>
    <row r="686">
      <c r="A686" s="83"/>
      <c r="B686" s="83"/>
      <c r="C686" s="83"/>
      <c r="D686" s="83"/>
      <c r="E686" s="118"/>
      <c r="F686" s="118"/>
      <c r="G686" s="118"/>
      <c r="H686" s="118"/>
      <c r="I686" s="118"/>
      <c r="J686" s="118"/>
      <c r="K686" s="118"/>
      <c r="L686" s="118"/>
      <c r="M686" s="118"/>
      <c r="N686" s="83"/>
      <c r="O686" s="83"/>
      <c r="P686" s="83"/>
      <c r="Q686" s="83"/>
      <c r="R686" s="83"/>
      <c r="S686" s="83"/>
      <c r="T686" s="83"/>
      <c r="U686" s="83"/>
      <c r="V686" s="83"/>
      <c r="W686" s="83"/>
      <c r="X686" s="83"/>
      <c r="Y686" s="83"/>
      <c r="Z686" s="83"/>
      <c r="AA686" s="83"/>
      <c r="AB686" s="83"/>
      <c r="AC686" s="83"/>
      <c r="AD686" s="83"/>
      <c r="AE686" s="83"/>
      <c r="AF686" s="83"/>
      <c r="AG686" s="83"/>
      <c r="AH686" s="83"/>
      <c r="AI686" s="83"/>
      <c r="AJ686" s="83"/>
      <c r="AK686" s="83"/>
    </row>
    <row r="687">
      <c r="A687" s="83"/>
      <c r="B687" s="83"/>
      <c r="C687" s="83"/>
      <c r="D687" s="83"/>
      <c r="E687" s="118"/>
      <c r="F687" s="118"/>
      <c r="G687" s="118"/>
      <c r="H687" s="118"/>
      <c r="I687" s="118"/>
      <c r="J687" s="118"/>
      <c r="K687" s="118"/>
      <c r="L687" s="118"/>
      <c r="M687" s="118"/>
      <c r="N687" s="83"/>
      <c r="O687" s="83"/>
      <c r="P687" s="83"/>
      <c r="Q687" s="83"/>
      <c r="R687" s="83"/>
      <c r="S687" s="83"/>
      <c r="T687" s="83"/>
      <c r="U687" s="83"/>
      <c r="V687" s="83"/>
      <c r="W687" s="83"/>
      <c r="X687" s="83"/>
      <c r="Y687" s="83"/>
      <c r="Z687" s="83"/>
      <c r="AA687" s="83"/>
      <c r="AB687" s="83"/>
      <c r="AC687" s="83"/>
      <c r="AD687" s="83"/>
      <c r="AE687" s="83"/>
      <c r="AF687" s="83"/>
      <c r="AG687" s="83"/>
      <c r="AH687" s="83"/>
      <c r="AI687" s="83"/>
      <c r="AJ687" s="83"/>
      <c r="AK687" s="83"/>
    </row>
    <row r="688">
      <c r="A688" s="83"/>
      <c r="B688" s="83"/>
      <c r="C688" s="83"/>
      <c r="D688" s="83"/>
      <c r="E688" s="118"/>
      <c r="F688" s="118"/>
      <c r="G688" s="118"/>
      <c r="H688" s="118"/>
      <c r="I688" s="118"/>
      <c r="J688" s="118"/>
      <c r="K688" s="118"/>
      <c r="L688" s="118"/>
      <c r="M688" s="118"/>
      <c r="N688" s="83"/>
      <c r="O688" s="83"/>
      <c r="P688" s="83"/>
      <c r="Q688" s="83"/>
      <c r="R688" s="83"/>
      <c r="S688" s="83"/>
      <c r="T688" s="83"/>
      <c r="U688" s="83"/>
      <c r="V688" s="83"/>
      <c r="W688" s="83"/>
      <c r="X688" s="83"/>
      <c r="Y688" s="83"/>
      <c r="Z688" s="83"/>
      <c r="AA688" s="83"/>
      <c r="AB688" s="83"/>
      <c r="AC688" s="83"/>
      <c r="AD688" s="83"/>
      <c r="AE688" s="83"/>
      <c r="AF688" s="83"/>
      <c r="AG688" s="83"/>
      <c r="AH688" s="83"/>
      <c r="AI688" s="83"/>
      <c r="AJ688" s="83"/>
      <c r="AK688" s="83"/>
    </row>
    <row r="689">
      <c r="A689" s="83"/>
      <c r="B689" s="83"/>
      <c r="C689" s="83"/>
      <c r="D689" s="83"/>
      <c r="E689" s="118"/>
      <c r="F689" s="118"/>
      <c r="G689" s="118"/>
      <c r="H689" s="118"/>
      <c r="I689" s="118"/>
      <c r="J689" s="118"/>
      <c r="K689" s="118"/>
      <c r="L689" s="118"/>
      <c r="M689" s="118"/>
      <c r="N689" s="83"/>
      <c r="O689" s="83"/>
      <c r="P689" s="83"/>
      <c r="Q689" s="83"/>
      <c r="R689" s="83"/>
      <c r="S689" s="83"/>
      <c r="T689" s="83"/>
      <c r="U689" s="83"/>
      <c r="V689" s="83"/>
      <c r="W689" s="83"/>
      <c r="X689" s="83"/>
      <c r="Y689" s="83"/>
      <c r="Z689" s="83"/>
      <c r="AA689" s="83"/>
      <c r="AB689" s="83"/>
      <c r="AC689" s="83"/>
      <c r="AD689" s="83"/>
      <c r="AE689" s="83"/>
      <c r="AF689" s="83"/>
      <c r="AG689" s="83"/>
      <c r="AH689" s="83"/>
      <c r="AI689" s="83"/>
      <c r="AJ689" s="83"/>
      <c r="AK689" s="83"/>
    </row>
    <row r="690">
      <c r="A690" s="83"/>
      <c r="B690" s="83"/>
      <c r="C690" s="83"/>
      <c r="D690" s="83"/>
      <c r="E690" s="118"/>
      <c r="F690" s="118"/>
      <c r="G690" s="118"/>
      <c r="H690" s="118"/>
      <c r="I690" s="118"/>
      <c r="J690" s="118"/>
      <c r="K690" s="118"/>
      <c r="L690" s="118"/>
      <c r="M690" s="118"/>
      <c r="N690" s="83"/>
      <c r="O690" s="83"/>
      <c r="P690" s="83"/>
      <c r="Q690" s="83"/>
      <c r="R690" s="83"/>
      <c r="S690" s="83"/>
      <c r="T690" s="83"/>
      <c r="U690" s="83"/>
      <c r="V690" s="83"/>
      <c r="W690" s="83"/>
      <c r="X690" s="83"/>
      <c r="Y690" s="83"/>
      <c r="Z690" s="83"/>
      <c r="AA690" s="83"/>
      <c r="AB690" s="83"/>
      <c r="AC690" s="83"/>
      <c r="AD690" s="83"/>
      <c r="AE690" s="83"/>
      <c r="AF690" s="83"/>
      <c r="AG690" s="83"/>
      <c r="AH690" s="83"/>
      <c r="AI690" s="83"/>
      <c r="AJ690" s="83"/>
      <c r="AK690" s="83"/>
    </row>
    <row r="691">
      <c r="A691" s="83"/>
      <c r="B691" s="83"/>
      <c r="C691" s="83"/>
      <c r="D691" s="83"/>
      <c r="E691" s="118"/>
      <c r="F691" s="118"/>
      <c r="G691" s="118"/>
      <c r="H691" s="118"/>
      <c r="I691" s="118"/>
      <c r="J691" s="118"/>
      <c r="K691" s="118"/>
      <c r="L691" s="118"/>
      <c r="M691" s="118"/>
      <c r="N691" s="83"/>
      <c r="O691" s="83"/>
      <c r="P691" s="83"/>
      <c r="Q691" s="83"/>
      <c r="R691" s="83"/>
      <c r="S691" s="83"/>
      <c r="T691" s="83"/>
      <c r="U691" s="83"/>
      <c r="V691" s="83"/>
      <c r="W691" s="83"/>
      <c r="X691" s="83"/>
      <c r="Y691" s="83"/>
      <c r="Z691" s="83"/>
      <c r="AA691" s="83"/>
      <c r="AB691" s="83"/>
      <c r="AC691" s="83"/>
      <c r="AD691" s="83"/>
      <c r="AE691" s="83"/>
      <c r="AF691" s="83"/>
      <c r="AG691" s="83"/>
      <c r="AH691" s="83"/>
      <c r="AI691" s="83"/>
      <c r="AJ691" s="83"/>
      <c r="AK691" s="83"/>
    </row>
    <row r="692">
      <c r="A692" s="83"/>
      <c r="B692" s="83"/>
      <c r="C692" s="83"/>
      <c r="D692" s="83"/>
      <c r="E692" s="118"/>
      <c r="F692" s="118"/>
      <c r="G692" s="118"/>
      <c r="H692" s="118"/>
      <c r="I692" s="118"/>
      <c r="J692" s="118"/>
      <c r="K692" s="118"/>
      <c r="L692" s="118"/>
      <c r="M692" s="118"/>
      <c r="N692" s="83"/>
      <c r="O692" s="83"/>
      <c r="P692" s="83"/>
      <c r="Q692" s="83"/>
      <c r="R692" s="83"/>
      <c r="S692" s="83"/>
      <c r="T692" s="83"/>
      <c r="U692" s="83"/>
      <c r="V692" s="83"/>
      <c r="W692" s="83"/>
      <c r="X692" s="83"/>
      <c r="Y692" s="83"/>
      <c r="Z692" s="83"/>
      <c r="AA692" s="83"/>
      <c r="AB692" s="83"/>
      <c r="AC692" s="83"/>
      <c r="AD692" s="83"/>
      <c r="AE692" s="83"/>
      <c r="AF692" s="83"/>
      <c r="AG692" s="83"/>
      <c r="AH692" s="83"/>
      <c r="AI692" s="83"/>
      <c r="AJ692" s="83"/>
      <c r="AK692" s="83"/>
    </row>
    <row r="693">
      <c r="A693" s="83"/>
      <c r="B693" s="83"/>
      <c r="C693" s="83"/>
      <c r="D693" s="83"/>
      <c r="E693" s="118"/>
      <c r="F693" s="118"/>
      <c r="G693" s="118"/>
      <c r="H693" s="118"/>
      <c r="I693" s="118"/>
      <c r="J693" s="118"/>
      <c r="K693" s="118"/>
      <c r="L693" s="118"/>
      <c r="M693" s="118"/>
      <c r="N693" s="83"/>
      <c r="O693" s="83"/>
      <c r="P693" s="83"/>
      <c r="Q693" s="83"/>
      <c r="R693" s="83"/>
      <c r="S693" s="83"/>
      <c r="T693" s="83"/>
      <c r="U693" s="83"/>
      <c r="V693" s="83"/>
      <c r="W693" s="83"/>
      <c r="X693" s="83"/>
      <c r="Y693" s="83"/>
      <c r="Z693" s="83"/>
      <c r="AA693" s="83"/>
      <c r="AB693" s="83"/>
      <c r="AC693" s="83"/>
      <c r="AD693" s="83"/>
      <c r="AE693" s="83"/>
      <c r="AF693" s="83"/>
      <c r="AG693" s="83"/>
      <c r="AH693" s="83"/>
      <c r="AI693" s="83"/>
      <c r="AJ693" s="83"/>
      <c r="AK693" s="83"/>
    </row>
    <row r="694">
      <c r="A694" s="83"/>
      <c r="B694" s="83"/>
      <c r="C694" s="83"/>
      <c r="D694" s="83"/>
      <c r="E694" s="118"/>
      <c r="F694" s="118"/>
      <c r="G694" s="118"/>
      <c r="H694" s="118"/>
      <c r="I694" s="118"/>
      <c r="J694" s="118"/>
      <c r="K694" s="118"/>
      <c r="L694" s="118"/>
      <c r="M694" s="118"/>
      <c r="N694" s="83"/>
      <c r="O694" s="83"/>
      <c r="P694" s="83"/>
      <c r="Q694" s="83"/>
      <c r="R694" s="83"/>
      <c r="S694" s="83"/>
      <c r="T694" s="83"/>
      <c r="U694" s="83"/>
      <c r="V694" s="83"/>
      <c r="W694" s="83"/>
      <c r="X694" s="83"/>
      <c r="Y694" s="83"/>
      <c r="Z694" s="83"/>
      <c r="AA694" s="83"/>
      <c r="AB694" s="83"/>
      <c r="AC694" s="83"/>
      <c r="AD694" s="83"/>
      <c r="AE694" s="83"/>
      <c r="AF694" s="83"/>
      <c r="AG694" s="83"/>
      <c r="AH694" s="83"/>
      <c r="AI694" s="83"/>
      <c r="AJ694" s="83"/>
      <c r="AK694" s="83"/>
    </row>
    <row r="695">
      <c r="A695" s="83"/>
      <c r="B695" s="83"/>
      <c r="C695" s="83"/>
      <c r="D695" s="83"/>
      <c r="E695" s="118"/>
      <c r="F695" s="118"/>
      <c r="G695" s="118"/>
      <c r="H695" s="118"/>
      <c r="I695" s="118"/>
      <c r="J695" s="118"/>
      <c r="K695" s="118"/>
      <c r="L695" s="118"/>
      <c r="M695" s="118"/>
      <c r="N695" s="83"/>
      <c r="O695" s="83"/>
      <c r="P695" s="83"/>
      <c r="Q695" s="83"/>
      <c r="R695" s="83"/>
      <c r="S695" s="83"/>
      <c r="T695" s="83"/>
      <c r="U695" s="83"/>
      <c r="V695" s="83"/>
      <c r="W695" s="83"/>
      <c r="X695" s="83"/>
      <c r="Y695" s="83"/>
      <c r="Z695" s="83"/>
      <c r="AA695" s="83"/>
      <c r="AB695" s="83"/>
      <c r="AC695" s="83"/>
      <c r="AD695" s="83"/>
      <c r="AE695" s="83"/>
      <c r="AF695" s="83"/>
      <c r="AG695" s="83"/>
      <c r="AH695" s="83"/>
      <c r="AI695" s="83"/>
      <c r="AJ695" s="83"/>
      <c r="AK695" s="83"/>
    </row>
    <row r="696">
      <c r="A696" s="83"/>
      <c r="B696" s="83"/>
      <c r="C696" s="83"/>
      <c r="D696" s="83"/>
      <c r="E696" s="118"/>
      <c r="F696" s="118"/>
      <c r="G696" s="118"/>
      <c r="H696" s="118"/>
      <c r="I696" s="118"/>
      <c r="J696" s="118"/>
      <c r="K696" s="118"/>
      <c r="L696" s="118"/>
      <c r="M696" s="118"/>
      <c r="N696" s="83"/>
      <c r="O696" s="83"/>
      <c r="P696" s="83"/>
      <c r="Q696" s="83"/>
      <c r="R696" s="83"/>
      <c r="S696" s="83"/>
      <c r="T696" s="83"/>
      <c r="U696" s="83"/>
      <c r="V696" s="83"/>
      <c r="W696" s="83"/>
      <c r="X696" s="83"/>
      <c r="Y696" s="83"/>
      <c r="Z696" s="83"/>
      <c r="AA696" s="83"/>
      <c r="AB696" s="83"/>
      <c r="AC696" s="83"/>
      <c r="AD696" s="83"/>
      <c r="AE696" s="83"/>
      <c r="AF696" s="83"/>
      <c r="AG696" s="83"/>
      <c r="AH696" s="83"/>
      <c r="AI696" s="83"/>
      <c r="AJ696" s="83"/>
      <c r="AK696" s="83"/>
    </row>
    <row r="697">
      <c r="A697" s="83"/>
      <c r="B697" s="83"/>
      <c r="C697" s="83"/>
      <c r="D697" s="83"/>
      <c r="E697" s="118"/>
      <c r="F697" s="118"/>
      <c r="G697" s="118"/>
      <c r="H697" s="118"/>
      <c r="I697" s="118"/>
      <c r="J697" s="118"/>
      <c r="K697" s="118"/>
      <c r="L697" s="118"/>
      <c r="M697" s="118"/>
      <c r="N697" s="83"/>
      <c r="O697" s="83"/>
      <c r="P697" s="83"/>
      <c r="Q697" s="83"/>
      <c r="R697" s="83"/>
      <c r="S697" s="83"/>
      <c r="T697" s="83"/>
      <c r="U697" s="83"/>
      <c r="V697" s="83"/>
      <c r="W697" s="83"/>
      <c r="X697" s="83"/>
      <c r="Y697" s="83"/>
      <c r="Z697" s="83"/>
      <c r="AA697" s="83"/>
      <c r="AB697" s="83"/>
      <c r="AC697" s="83"/>
      <c r="AD697" s="83"/>
      <c r="AE697" s="83"/>
      <c r="AF697" s="83"/>
      <c r="AG697" s="83"/>
      <c r="AH697" s="83"/>
      <c r="AI697" s="83"/>
      <c r="AJ697" s="83"/>
      <c r="AK697" s="83"/>
    </row>
    <row r="698">
      <c r="A698" s="83"/>
      <c r="B698" s="83"/>
      <c r="C698" s="83"/>
      <c r="D698" s="83"/>
      <c r="E698" s="118"/>
      <c r="F698" s="118"/>
      <c r="G698" s="118"/>
      <c r="H698" s="118"/>
      <c r="I698" s="118"/>
      <c r="J698" s="118"/>
      <c r="K698" s="118"/>
      <c r="L698" s="118"/>
      <c r="M698" s="118"/>
      <c r="N698" s="83"/>
      <c r="O698" s="83"/>
      <c r="P698" s="83"/>
      <c r="Q698" s="83"/>
      <c r="R698" s="83"/>
      <c r="S698" s="83"/>
      <c r="T698" s="83"/>
      <c r="U698" s="83"/>
      <c r="V698" s="83"/>
      <c r="W698" s="83"/>
      <c r="X698" s="83"/>
      <c r="Y698" s="83"/>
      <c r="Z698" s="83"/>
      <c r="AA698" s="83"/>
      <c r="AB698" s="83"/>
      <c r="AC698" s="83"/>
      <c r="AD698" s="83"/>
      <c r="AE698" s="83"/>
      <c r="AF698" s="83"/>
      <c r="AG698" s="83"/>
      <c r="AH698" s="83"/>
      <c r="AI698" s="83"/>
      <c r="AJ698" s="83"/>
      <c r="AK698" s="83"/>
    </row>
    <row r="699">
      <c r="A699" s="83"/>
      <c r="B699" s="83"/>
      <c r="C699" s="83"/>
      <c r="D699" s="83"/>
      <c r="E699" s="118"/>
      <c r="F699" s="118"/>
      <c r="G699" s="118"/>
      <c r="H699" s="118"/>
      <c r="I699" s="118"/>
      <c r="J699" s="118"/>
      <c r="K699" s="118"/>
      <c r="L699" s="118"/>
      <c r="M699" s="118"/>
      <c r="N699" s="83"/>
      <c r="O699" s="83"/>
      <c r="P699" s="83"/>
      <c r="Q699" s="83"/>
      <c r="R699" s="83"/>
      <c r="S699" s="83"/>
      <c r="T699" s="83"/>
      <c r="U699" s="83"/>
      <c r="V699" s="83"/>
      <c r="W699" s="83"/>
      <c r="X699" s="83"/>
      <c r="Y699" s="83"/>
      <c r="Z699" s="83"/>
      <c r="AA699" s="83"/>
      <c r="AB699" s="83"/>
      <c r="AC699" s="83"/>
      <c r="AD699" s="83"/>
      <c r="AE699" s="83"/>
      <c r="AF699" s="83"/>
      <c r="AG699" s="83"/>
      <c r="AH699" s="83"/>
      <c r="AI699" s="83"/>
      <c r="AJ699" s="83"/>
      <c r="AK699" s="83"/>
    </row>
    <row r="700">
      <c r="A700" s="83"/>
      <c r="B700" s="83"/>
      <c r="C700" s="83"/>
      <c r="D700" s="83"/>
      <c r="E700" s="118"/>
      <c r="F700" s="118"/>
      <c r="G700" s="118"/>
      <c r="H700" s="118"/>
      <c r="I700" s="118"/>
      <c r="J700" s="118"/>
      <c r="K700" s="118"/>
      <c r="L700" s="118"/>
      <c r="M700" s="118"/>
      <c r="N700" s="83"/>
      <c r="O700" s="83"/>
      <c r="P700" s="83"/>
      <c r="Q700" s="83"/>
      <c r="R700" s="83"/>
      <c r="S700" s="83"/>
      <c r="T700" s="83"/>
      <c r="U700" s="83"/>
      <c r="V700" s="83"/>
      <c r="W700" s="83"/>
      <c r="X700" s="83"/>
      <c r="Y700" s="83"/>
      <c r="Z700" s="83"/>
      <c r="AA700" s="83"/>
      <c r="AB700" s="83"/>
      <c r="AC700" s="83"/>
      <c r="AD700" s="83"/>
      <c r="AE700" s="83"/>
      <c r="AF700" s="83"/>
      <c r="AG700" s="83"/>
      <c r="AH700" s="83"/>
      <c r="AI700" s="83"/>
      <c r="AJ700" s="83"/>
      <c r="AK700" s="83"/>
    </row>
    <row r="701">
      <c r="A701" s="83"/>
      <c r="B701" s="83"/>
      <c r="C701" s="83"/>
      <c r="D701" s="83"/>
      <c r="E701" s="118"/>
      <c r="F701" s="118"/>
      <c r="G701" s="118"/>
      <c r="H701" s="118"/>
      <c r="I701" s="118"/>
      <c r="J701" s="118"/>
      <c r="K701" s="118"/>
      <c r="L701" s="118"/>
      <c r="M701" s="118"/>
      <c r="N701" s="83"/>
      <c r="O701" s="83"/>
      <c r="P701" s="83"/>
      <c r="Q701" s="83"/>
      <c r="R701" s="83"/>
      <c r="S701" s="83"/>
      <c r="T701" s="83"/>
      <c r="U701" s="83"/>
      <c r="V701" s="83"/>
      <c r="W701" s="83"/>
      <c r="X701" s="83"/>
      <c r="Y701" s="83"/>
      <c r="Z701" s="83"/>
      <c r="AA701" s="83"/>
      <c r="AB701" s="83"/>
      <c r="AC701" s="83"/>
      <c r="AD701" s="83"/>
      <c r="AE701" s="83"/>
      <c r="AF701" s="83"/>
      <c r="AG701" s="83"/>
      <c r="AH701" s="83"/>
      <c r="AI701" s="83"/>
      <c r="AJ701" s="83"/>
      <c r="AK701" s="83"/>
    </row>
    <row r="702">
      <c r="A702" s="83"/>
      <c r="B702" s="83"/>
      <c r="C702" s="83"/>
      <c r="D702" s="83"/>
      <c r="E702" s="118"/>
      <c r="F702" s="118"/>
      <c r="G702" s="118"/>
      <c r="H702" s="118"/>
      <c r="I702" s="118"/>
      <c r="J702" s="118"/>
      <c r="K702" s="118"/>
      <c r="L702" s="118"/>
      <c r="M702" s="118"/>
      <c r="N702" s="83"/>
      <c r="O702" s="83"/>
      <c r="P702" s="83"/>
      <c r="Q702" s="83"/>
      <c r="R702" s="83"/>
      <c r="S702" s="83"/>
      <c r="T702" s="83"/>
      <c r="U702" s="83"/>
      <c r="V702" s="83"/>
      <c r="W702" s="83"/>
      <c r="X702" s="83"/>
      <c r="Y702" s="83"/>
      <c r="Z702" s="83"/>
      <c r="AA702" s="83"/>
      <c r="AB702" s="83"/>
      <c r="AC702" s="83"/>
      <c r="AD702" s="83"/>
      <c r="AE702" s="83"/>
      <c r="AF702" s="83"/>
      <c r="AG702" s="83"/>
      <c r="AH702" s="83"/>
      <c r="AI702" s="83"/>
      <c r="AJ702" s="83"/>
      <c r="AK702" s="83"/>
    </row>
    <row r="703">
      <c r="A703" s="83"/>
      <c r="B703" s="83"/>
      <c r="C703" s="83"/>
      <c r="D703" s="83"/>
      <c r="E703" s="118"/>
      <c r="F703" s="118"/>
      <c r="G703" s="118"/>
      <c r="H703" s="118"/>
      <c r="I703" s="118"/>
      <c r="J703" s="118"/>
      <c r="K703" s="118"/>
      <c r="L703" s="118"/>
      <c r="M703" s="118"/>
      <c r="N703" s="83"/>
      <c r="O703" s="83"/>
      <c r="P703" s="83"/>
      <c r="Q703" s="83"/>
      <c r="R703" s="83"/>
      <c r="S703" s="83"/>
      <c r="T703" s="83"/>
      <c r="U703" s="83"/>
      <c r="V703" s="83"/>
      <c r="W703" s="83"/>
      <c r="X703" s="83"/>
      <c r="Y703" s="83"/>
      <c r="Z703" s="83"/>
      <c r="AA703" s="83"/>
      <c r="AB703" s="83"/>
      <c r="AC703" s="83"/>
      <c r="AD703" s="83"/>
      <c r="AE703" s="83"/>
      <c r="AF703" s="83"/>
      <c r="AG703" s="83"/>
      <c r="AH703" s="83"/>
      <c r="AI703" s="83"/>
      <c r="AJ703" s="83"/>
      <c r="AK703" s="83"/>
    </row>
    <row r="704">
      <c r="A704" s="83"/>
      <c r="B704" s="83"/>
      <c r="C704" s="83"/>
      <c r="D704" s="83"/>
      <c r="E704" s="118"/>
      <c r="F704" s="118"/>
      <c r="G704" s="118"/>
      <c r="H704" s="118"/>
      <c r="I704" s="118"/>
      <c r="J704" s="118"/>
      <c r="K704" s="118"/>
      <c r="L704" s="118"/>
      <c r="M704" s="118"/>
      <c r="N704" s="83"/>
      <c r="O704" s="83"/>
      <c r="P704" s="83"/>
      <c r="Q704" s="83"/>
      <c r="R704" s="83"/>
      <c r="S704" s="83"/>
      <c r="T704" s="83"/>
      <c r="U704" s="83"/>
      <c r="V704" s="83"/>
      <c r="W704" s="83"/>
      <c r="X704" s="83"/>
      <c r="Y704" s="83"/>
      <c r="Z704" s="83"/>
      <c r="AA704" s="83"/>
      <c r="AB704" s="83"/>
      <c r="AC704" s="83"/>
      <c r="AD704" s="83"/>
      <c r="AE704" s="83"/>
      <c r="AF704" s="83"/>
      <c r="AG704" s="83"/>
      <c r="AH704" s="83"/>
      <c r="AI704" s="83"/>
      <c r="AJ704" s="83"/>
      <c r="AK704" s="83"/>
    </row>
    <row r="705">
      <c r="A705" s="83"/>
      <c r="B705" s="83"/>
      <c r="C705" s="83"/>
      <c r="D705" s="83"/>
      <c r="E705" s="118"/>
      <c r="F705" s="118"/>
      <c r="G705" s="118"/>
      <c r="H705" s="118"/>
      <c r="I705" s="118"/>
      <c r="J705" s="118"/>
      <c r="K705" s="118"/>
      <c r="L705" s="118"/>
      <c r="M705" s="118"/>
      <c r="N705" s="83"/>
      <c r="O705" s="83"/>
      <c r="P705" s="83"/>
      <c r="Q705" s="83"/>
      <c r="R705" s="83"/>
      <c r="S705" s="83"/>
      <c r="T705" s="83"/>
      <c r="U705" s="83"/>
      <c r="V705" s="83"/>
      <c r="W705" s="83"/>
      <c r="X705" s="83"/>
      <c r="Y705" s="83"/>
      <c r="Z705" s="83"/>
      <c r="AA705" s="83"/>
      <c r="AB705" s="83"/>
      <c r="AC705" s="83"/>
      <c r="AD705" s="83"/>
      <c r="AE705" s="83"/>
      <c r="AF705" s="83"/>
      <c r="AG705" s="83"/>
      <c r="AH705" s="83"/>
      <c r="AI705" s="83"/>
      <c r="AJ705" s="83"/>
      <c r="AK705" s="83"/>
    </row>
    <row r="706">
      <c r="A706" s="83"/>
      <c r="B706" s="83"/>
      <c r="C706" s="83"/>
      <c r="D706" s="83"/>
      <c r="E706" s="118"/>
      <c r="F706" s="118"/>
      <c r="G706" s="118"/>
      <c r="H706" s="118"/>
      <c r="I706" s="118"/>
      <c r="J706" s="118"/>
      <c r="K706" s="118"/>
      <c r="L706" s="118"/>
      <c r="M706" s="118"/>
      <c r="N706" s="83"/>
      <c r="O706" s="83"/>
      <c r="P706" s="83"/>
      <c r="Q706" s="83"/>
      <c r="R706" s="83"/>
      <c r="S706" s="83"/>
      <c r="T706" s="83"/>
      <c r="U706" s="83"/>
      <c r="V706" s="83"/>
      <c r="W706" s="83"/>
      <c r="X706" s="83"/>
      <c r="Y706" s="83"/>
      <c r="Z706" s="83"/>
      <c r="AA706" s="83"/>
      <c r="AB706" s="83"/>
      <c r="AC706" s="83"/>
      <c r="AD706" s="83"/>
      <c r="AE706" s="83"/>
      <c r="AF706" s="83"/>
      <c r="AG706" s="83"/>
      <c r="AH706" s="83"/>
      <c r="AI706" s="83"/>
      <c r="AJ706" s="83"/>
      <c r="AK706" s="83"/>
    </row>
    <row r="707">
      <c r="A707" s="83"/>
      <c r="B707" s="83"/>
      <c r="C707" s="83"/>
      <c r="D707" s="83"/>
      <c r="E707" s="118"/>
      <c r="F707" s="118"/>
      <c r="G707" s="118"/>
      <c r="H707" s="118"/>
      <c r="I707" s="118"/>
      <c r="J707" s="118"/>
      <c r="K707" s="118"/>
      <c r="L707" s="118"/>
      <c r="M707" s="118"/>
      <c r="N707" s="83"/>
      <c r="O707" s="83"/>
      <c r="P707" s="83"/>
      <c r="Q707" s="83"/>
      <c r="R707" s="83"/>
      <c r="S707" s="83"/>
      <c r="T707" s="83"/>
      <c r="U707" s="83"/>
      <c r="V707" s="83"/>
      <c r="W707" s="83"/>
      <c r="X707" s="83"/>
      <c r="Y707" s="83"/>
      <c r="Z707" s="83"/>
      <c r="AA707" s="83"/>
      <c r="AB707" s="83"/>
      <c r="AC707" s="83"/>
      <c r="AD707" s="83"/>
      <c r="AE707" s="83"/>
      <c r="AF707" s="83"/>
      <c r="AG707" s="83"/>
      <c r="AH707" s="83"/>
      <c r="AI707" s="83"/>
      <c r="AJ707" s="83"/>
      <c r="AK707" s="83"/>
    </row>
    <row r="708">
      <c r="A708" s="83"/>
      <c r="B708" s="83"/>
      <c r="C708" s="83"/>
      <c r="D708" s="83"/>
      <c r="E708" s="118"/>
      <c r="F708" s="118"/>
      <c r="G708" s="118"/>
      <c r="H708" s="118"/>
      <c r="I708" s="118"/>
      <c r="J708" s="118"/>
      <c r="K708" s="118"/>
      <c r="L708" s="118"/>
      <c r="M708" s="118"/>
      <c r="N708" s="83"/>
      <c r="O708" s="83"/>
      <c r="P708" s="83"/>
      <c r="Q708" s="83"/>
      <c r="R708" s="83"/>
      <c r="S708" s="83"/>
      <c r="T708" s="83"/>
      <c r="U708" s="83"/>
      <c r="V708" s="83"/>
      <c r="W708" s="83"/>
      <c r="X708" s="83"/>
      <c r="Y708" s="83"/>
      <c r="Z708" s="83"/>
      <c r="AA708" s="83"/>
      <c r="AB708" s="83"/>
      <c r="AC708" s="83"/>
      <c r="AD708" s="83"/>
      <c r="AE708" s="83"/>
      <c r="AF708" s="83"/>
      <c r="AG708" s="83"/>
      <c r="AH708" s="83"/>
      <c r="AI708" s="83"/>
      <c r="AJ708" s="83"/>
      <c r="AK708" s="83"/>
    </row>
    <row r="709">
      <c r="A709" s="83"/>
      <c r="B709" s="83"/>
      <c r="C709" s="83"/>
      <c r="D709" s="83"/>
      <c r="E709" s="118"/>
      <c r="F709" s="118"/>
      <c r="G709" s="118"/>
      <c r="H709" s="118"/>
      <c r="I709" s="118"/>
      <c r="J709" s="118"/>
      <c r="K709" s="118"/>
      <c r="L709" s="118"/>
      <c r="M709" s="118"/>
      <c r="N709" s="83"/>
      <c r="O709" s="83"/>
      <c r="P709" s="83"/>
      <c r="Q709" s="83"/>
      <c r="R709" s="83"/>
      <c r="S709" s="83"/>
      <c r="T709" s="83"/>
      <c r="U709" s="83"/>
      <c r="V709" s="83"/>
      <c r="W709" s="83"/>
      <c r="X709" s="83"/>
      <c r="Y709" s="83"/>
      <c r="Z709" s="83"/>
      <c r="AA709" s="83"/>
      <c r="AB709" s="83"/>
      <c r="AC709" s="83"/>
      <c r="AD709" s="83"/>
      <c r="AE709" s="83"/>
      <c r="AF709" s="83"/>
      <c r="AG709" s="83"/>
      <c r="AH709" s="83"/>
      <c r="AI709" s="83"/>
      <c r="AJ709" s="83"/>
      <c r="AK709" s="83"/>
    </row>
    <row r="710">
      <c r="A710" s="83"/>
      <c r="B710" s="83"/>
      <c r="C710" s="83"/>
      <c r="D710" s="83"/>
      <c r="E710" s="118"/>
      <c r="F710" s="118"/>
      <c r="G710" s="118"/>
      <c r="H710" s="118"/>
      <c r="I710" s="118"/>
      <c r="J710" s="118"/>
      <c r="K710" s="118"/>
      <c r="L710" s="118"/>
      <c r="M710" s="118"/>
      <c r="N710" s="83"/>
      <c r="O710" s="83"/>
      <c r="P710" s="83"/>
      <c r="Q710" s="83"/>
      <c r="R710" s="83"/>
      <c r="S710" s="83"/>
      <c r="T710" s="83"/>
      <c r="U710" s="83"/>
      <c r="V710" s="83"/>
      <c r="W710" s="83"/>
      <c r="X710" s="83"/>
      <c r="Y710" s="83"/>
      <c r="Z710" s="83"/>
      <c r="AA710" s="83"/>
      <c r="AB710" s="83"/>
      <c r="AC710" s="83"/>
      <c r="AD710" s="83"/>
      <c r="AE710" s="83"/>
      <c r="AF710" s="83"/>
      <c r="AG710" s="83"/>
      <c r="AH710" s="83"/>
      <c r="AI710" s="83"/>
      <c r="AJ710" s="83"/>
      <c r="AK710" s="83"/>
    </row>
    <row r="711">
      <c r="A711" s="83"/>
      <c r="B711" s="83"/>
      <c r="C711" s="83"/>
      <c r="D711" s="83"/>
      <c r="E711" s="118"/>
      <c r="F711" s="118"/>
      <c r="G711" s="118"/>
      <c r="H711" s="118"/>
      <c r="I711" s="118"/>
      <c r="J711" s="118"/>
      <c r="K711" s="118"/>
      <c r="L711" s="118"/>
      <c r="M711" s="118"/>
      <c r="N711" s="83"/>
      <c r="O711" s="83"/>
      <c r="P711" s="83"/>
      <c r="Q711" s="83"/>
      <c r="R711" s="83"/>
      <c r="S711" s="83"/>
      <c r="T711" s="83"/>
      <c r="U711" s="83"/>
      <c r="V711" s="83"/>
      <c r="W711" s="83"/>
      <c r="X711" s="83"/>
      <c r="Y711" s="83"/>
      <c r="Z711" s="83"/>
      <c r="AA711" s="83"/>
      <c r="AB711" s="83"/>
      <c r="AC711" s="83"/>
      <c r="AD711" s="83"/>
      <c r="AE711" s="83"/>
      <c r="AF711" s="83"/>
      <c r="AG711" s="83"/>
      <c r="AH711" s="83"/>
      <c r="AI711" s="83"/>
      <c r="AJ711" s="83"/>
      <c r="AK711" s="83"/>
    </row>
    <row r="712">
      <c r="A712" s="83"/>
      <c r="B712" s="83"/>
      <c r="C712" s="83"/>
      <c r="D712" s="83"/>
      <c r="E712" s="118"/>
      <c r="F712" s="118"/>
      <c r="G712" s="118"/>
      <c r="H712" s="118"/>
      <c r="I712" s="118"/>
      <c r="J712" s="118"/>
      <c r="K712" s="118"/>
      <c r="L712" s="118"/>
      <c r="M712" s="118"/>
      <c r="N712" s="83"/>
      <c r="O712" s="83"/>
      <c r="P712" s="83"/>
      <c r="Q712" s="83"/>
      <c r="R712" s="83"/>
      <c r="S712" s="83"/>
      <c r="T712" s="83"/>
      <c r="U712" s="83"/>
      <c r="V712" s="83"/>
      <c r="W712" s="83"/>
      <c r="X712" s="83"/>
      <c r="Y712" s="83"/>
      <c r="Z712" s="83"/>
      <c r="AA712" s="83"/>
      <c r="AB712" s="83"/>
      <c r="AC712" s="83"/>
      <c r="AD712" s="83"/>
      <c r="AE712" s="83"/>
      <c r="AF712" s="83"/>
      <c r="AG712" s="83"/>
      <c r="AH712" s="83"/>
      <c r="AI712" s="83"/>
      <c r="AJ712" s="83"/>
      <c r="AK712" s="83"/>
    </row>
    <row r="713">
      <c r="A713" s="83"/>
      <c r="B713" s="83"/>
      <c r="C713" s="83"/>
      <c r="D713" s="83"/>
      <c r="E713" s="118"/>
      <c r="F713" s="118"/>
      <c r="G713" s="118"/>
      <c r="H713" s="118"/>
      <c r="I713" s="118"/>
      <c r="J713" s="118"/>
      <c r="K713" s="118"/>
      <c r="L713" s="118"/>
      <c r="M713" s="118"/>
      <c r="N713" s="83"/>
      <c r="O713" s="83"/>
      <c r="P713" s="83"/>
      <c r="Q713" s="83"/>
      <c r="R713" s="83"/>
      <c r="S713" s="83"/>
      <c r="T713" s="83"/>
      <c r="U713" s="83"/>
      <c r="V713" s="83"/>
      <c r="W713" s="83"/>
      <c r="X713" s="83"/>
      <c r="Y713" s="83"/>
      <c r="Z713" s="83"/>
      <c r="AA713" s="83"/>
      <c r="AB713" s="83"/>
      <c r="AC713" s="83"/>
      <c r="AD713" s="83"/>
      <c r="AE713" s="83"/>
      <c r="AF713" s="83"/>
      <c r="AG713" s="83"/>
      <c r="AH713" s="83"/>
      <c r="AI713" s="83"/>
      <c r="AJ713" s="83"/>
      <c r="AK713" s="83"/>
    </row>
    <row r="714">
      <c r="A714" s="83"/>
      <c r="B714" s="83"/>
      <c r="C714" s="83"/>
      <c r="D714" s="83"/>
      <c r="E714" s="118"/>
      <c r="F714" s="118"/>
      <c r="G714" s="118"/>
      <c r="H714" s="118"/>
      <c r="I714" s="118"/>
      <c r="J714" s="118"/>
      <c r="K714" s="118"/>
      <c r="L714" s="118"/>
      <c r="M714" s="118"/>
      <c r="N714" s="83"/>
      <c r="O714" s="83"/>
      <c r="P714" s="83"/>
      <c r="Q714" s="83"/>
      <c r="R714" s="83"/>
      <c r="S714" s="83"/>
      <c r="T714" s="83"/>
      <c r="U714" s="83"/>
      <c r="V714" s="83"/>
      <c r="W714" s="83"/>
      <c r="X714" s="83"/>
      <c r="Y714" s="83"/>
      <c r="Z714" s="83"/>
      <c r="AA714" s="83"/>
      <c r="AB714" s="83"/>
      <c r="AC714" s="83"/>
      <c r="AD714" s="83"/>
      <c r="AE714" s="83"/>
      <c r="AF714" s="83"/>
      <c r="AG714" s="83"/>
      <c r="AH714" s="83"/>
      <c r="AI714" s="83"/>
      <c r="AJ714" s="83"/>
      <c r="AK714" s="83"/>
    </row>
    <row r="715">
      <c r="A715" s="83"/>
      <c r="B715" s="83"/>
      <c r="C715" s="83"/>
      <c r="D715" s="83"/>
      <c r="E715" s="118"/>
      <c r="F715" s="118"/>
      <c r="G715" s="118"/>
      <c r="H715" s="118"/>
      <c r="I715" s="118"/>
      <c r="J715" s="118"/>
      <c r="K715" s="118"/>
      <c r="L715" s="118"/>
      <c r="M715" s="118"/>
      <c r="N715" s="83"/>
      <c r="O715" s="83"/>
      <c r="P715" s="83"/>
      <c r="Q715" s="83"/>
      <c r="R715" s="83"/>
      <c r="S715" s="83"/>
      <c r="T715" s="83"/>
      <c r="U715" s="83"/>
      <c r="V715" s="83"/>
      <c r="W715" s="83"/>
      <c r="X715" s="83"/>
      <c r="Y715" s="83"/>
      <c r="Z715" s="83"/>
      <c r="AA715" s="83"/>
      <c r="AB715" s="83"/>
      <c r="AC715" s="83"/>
      <c r="AD715" s="83"/>
      <c r="AE715" s="83"/>
      <c r="AF715" s="83"/>
      <c r="AG715" s="83"/>
      <c r="AH715" s="83"/>
      <c r="AI715" s="83"/>
      <c r="AJ715" s="83"/>
      <c r="AK715" s="83"/>
    </row>
    <row r="716">
      <c r="A716" s="83"/>
      <c r="B716" s="83"/>
      <c r="C716" s="83"/>
      <c r="D716" s="83"/>
      <c r="E716" s="118"/>
      <c r="F716" s="118"/>
      <c r="G716" s="118"/>
      <c r="H716" s="118"/>
      <c r="I716" s="118"/>
      <c r="J716" s="118"/>
      <c r="K716" s="118"/>
      <c r="L716" s="118"/>
      <c r="M716" s="118"/>
      <c r="N716" s="83"/>
      <c r="O716" s="83"/>
      <c r="P716" s="83"/>
      <c r="Q716" s="83"/>
      <c r="R716" s="83"/>
      <c r="S716" s="83"/>
      <c r="T716" s="83"/>
      <c r="U716" s="83"/>
      <c r="V716" s="83"/>
      <c r="W716" s="83"/>
      <c r="X716" s="83"/>
      <c r="Y716" s="83"/>
      <c r="Z716" s="83"/>
      <c r="AA716" s="83"/>
      <c r="AB716" s="83"/>
      <c r="AC716" s="83"/>
      <c r="AD716" s="83"/>
      <c r="AE716" s="83"/>
      <c r="AF716" s="83"/>
      <c r="AG716" s="83"/>
      <c r="AH716" s="83"/>
      <c r="AI716" s="83"/>
      <c r="AJ716" s="83"/>
      <c r="AK716" s="83"/>
    </row>
    <row r="717">
      <c r="A717" s="83"/>
      <c r="B717" s="83"/>
      <c r="C717" s="83"/>
      <c r="D717" s="83"/>
      <c r="E717" s="118"/>
      <c r="F717" s="118"/>
      <c r="G717" s="118"/>
      <c r="H717" s="118"/>
      <c r="I717" s="118"/>
      <c r="J717" s="118"/>
      <c r="K717" s="118"/>
      <c r="L717" s="118"/>
      <c r="M717" s="118"/>
      <c r="N717" s="83"/>
      <c r="O717" s="83"/>
      <c r="P717" s="83"/>
      <c r="Q717" s="83"/>
      <c r="R717" s="83"/>
      <c r="S717" s="83"/>
      <c r="T717" s="83"/>
      <c r="U717" s="83"/>
      <c r="V717" s="83"/>
      <c r="W717" s="83"/>
      <c r="X717" s="83"/>
      <c r="Y717" s="83"/>
      <c r="Z717" s="83"/>
      <c r="AA717" s="83"/>
      <c r="AB717" s="83"/>
      <c r="AC717" s="83"/>
      <c r="AD717" s="83"/>
      <c r="AE717" s="83"/>
      <c r="AF717" s="83"/>
      <c r="AG717" s="83"/>
      <c r="AH717" s="83"/>
      <c r="AI717" s="83"/>
      <c r="AJ717" s="83"/>
      <c r="AK717" s="83"/>
    </row>
    <row r="718">
      <c r="A718" s="83"/>
      <c r="B718" s="83"/>
      <c r="C718" s="83"/>
      <c r="D718" s="83"/>
      <c r="E718" s="118"/>
      <c r="F718" s="118"/>
      <c r="G718" s="118"/>
      <c r="H718" s="118"/>
      <c r="I718" s="118"/>
      <c r="J718" s="118"/>
      <c r="K718" s="118"/>
      <c r="L718" s="118"/>
      <c r="M718" s="118"/>
      <c r="N718" s="83"/>
      <c r="O718" s="83"/>
      <c r="P718" s="83"/>
      <c r="Q718" s="83"/>
      <c r="R718" s="83"/>
      <c r="S718" s="83"/>
      <c r="T718" s="83"/>
      <c r="U718" s="83"/>
      <c r="V718" s="83"/>
      <c r="W718" s="83"/>
      <c r="X718" s="83"/>
      <c r="Y718" s="83"/>
      <c r="Z718" s="83"/>
      <c r="AA718" s="83"/>
      <c r="AB718" s="83"/>
      <c r="AC718" s="83"/>
      <c r="AD718" s="83"/>
      <c r="AE718" s="83"/>
      <c r="AF718" s="83"/>
      <c r="AG718" s="83"/>
      <c r="AH718" s="83"/>
      <c r="AI718" s="83"/>
      <c r="AJ718" s="83"/>
      <c r="AK718" s="83"/>
    </row>
    <row r="719">
      <c r="A719" s="83"/>
      <c r="B719" s="83"/>
      <c r="C719" s="83"/>
      <c r="D719" s="83"/>
      <c r="E719" s="118"/>
      <c r="F719" s="118"/>
      <c r="G719" s="118"/>
      <c r="H719" s="118"/>
      <c r="I719" s="118"/>
      <c r="J719" s="118"/>
      <c r="K719" s="118"/>
      <c r="L719" s="118"/>
      <c r="M719" s="118"/>
      <c r="N719" s="83"/>
      <c r="O719" s="83"/>
      <c r="P719" s="83"/>
      <c r="Q719" s="83"/>
      <c r="R719" s="83"/>
      <c r="S719" s="83"/>
      <c r="T719" s="83"/>
      <c r="U719" s="83"/>
      <c r="V719" s="83"/>
      <c r="W719" s="83"/>
      <c r="X719" s="83"/>
      <c r="Y719" s="83"/>
      <c r="Z719" s="83"/>
      <c r="AA719" s="83"/>
      <c r="AB719" s="83"/>
      <c r="AC719" s="83"/>
      <c r="AD719" s="83"/>
      <c r="AE719" s="83"/>
      <c r="AF719" s="83"/>
      <c r="AG719" s="83"/>
      <c r="AH719" s="83"/>
      <c r="AI719" s="83"/>
      <c r="AJ719" s="83"/>
      <c r="AK719" s="83"/>
    </row>
    <row r="720">
      <c r="A720" s="83"/>
      <c r="B720" s="83"/>
      <c r="C720" s="83"/>
      <c r="D720" s="83"/>
      <c r="E720" s="118"/>
      <c r="F720" s="118"/>
      <c r="G720" s="118"/>
      <c r="H720" s="118"/>
      <c r="I720" s="118"/>
      <c r="J720" s="118"/>
      <c r="K720" s="118"/>
      <c r="L720" s="118"/>
      <c r="M720" s="118"/>
      <c r="N720" s="83"/>
      <c r="O720" s="83"/>
      <c r="P720" s="83"/>
      <c r="Q720" s="83"/>
      <c r="R720" s="83"/>
      <c r="S720" s="83"/>
      <c r="T720" s="83"/>
      <c r="U720" s="83"/>
      <c r="V720" s="83"/>
      <c r="W720" s="83"/>
      <c r="X720" s="83"/>
      <c r="Y720" s="83"/>
      <c r="Z720" s="83"/>
      <c r="AA720" s="83"/>
      <c r="AB720" s="83"/>
      <c r="AC720" s="83"/>
      <c r="AD720" s="83"/>
      <c r="AE720" s="83"/>
      <c r="AF720" s="83"/>
      <c r="AG720" s="83"/>
      <c r="AH720" s="83"/>
      <c r="AI720" s="83"/>
      <c r="AJ720" s="83"/>
      <c r="AK720" s="83"/>
    </row>
    <row r="721">
      <c r="A721" s="83"/>
      <c r="B721" s="83"/>
      <c r="C721" s="83"/>
      <c r="D721" s="83"/>
      <c r="E721" s="118"/>
      <c r="F721" s="118"/>
      <c r="G721" s="118"/>
      <c r="H721" s="118"/>
      <c r="I721" s="118"/>
      <c r="J721" s="118"/>
      <c r="K721" s="118"/>
      <c r="L721" s="118"/>
      <c r="M721" s="118"/>
      <c r="N721" s="83"/>
      <c r="O721" s="83"/>
      <c r="P721" s="83"/>
      <c r="Q721" s="83"/>
      <c r="R721" s="83"/>
      <c r="S721" s="83"/>
      <c r="T721" s="83"/>
      <c r="U721" s="83"/>
      <c r="V721" s="83"/>
      <c r="W721" s="83"/>
      <c r="X721" s="83"/>
      <c r="Y721" s="83"/>
      <c r="Z721" s="83"/>
      <c r="AA721" s="83"/>
      <c r="AB721" s="83"/>
      <c r="AC721" s="83"/>
      <c r="AD721" s="83"/>
      <c r="AE721" s="83"/>
      <c r="AF721" s="83"/>
      <c r="AG721" s="83"/>
      <c r="AH721" s="83"/>
      <c r="AI721" s="83"/>
      <c r="AJ721" s="83"/>
      <c r="AK721" s="83"/>
    </row>
    <row r="722">
      <c r="A722" s="83"/>
      <c r="B722" s="83"/>
      <c r="C722" s="83"/>
      <c r="D722" s="83"/>
      <c r="E722" s="118"/>
      <c r="F722" s="118"/>
      <c r="G722" s="118"/>
      <c r="H722" s="118"/>
      <c r="I722" s="118"/>
      <c r="J722" s="118"/>
      <c r="K722" s="118"/>
      <c r="L722" s="118"/>
      <c r="M722" s="118"/>
      <c r="N722" s="83"/>
      <c r="O722" s="83"/>
      <c r="P722" s="83"/>
      <c r="Q722" s="83"/>
      <c r="R722" s="83"/>
      <c r="S722" s="83"/>
      <c r="T722" s="83"/>
      <c r="U722" s="83"/>
      <c r="V722" s="83"/>
      <c r="W722" s="83"/>
      <c r="X722" s="83"/>
      <c r="Y722" s="83"/>
      <c r="Z722" s="83"/>
      <c r="AA722" s="83"/>
      <c r="AB722" s="83"/>
      <c r="AC722" s="83"/>
      <c r="AD722" s="83"/>
      <c r="AE722" s="83"/>
      <c r="AF722" s="83"/>
      <c r="AG722" s="83"/>
      <c r="AH722" s="83"/>
      <c r="AI722" s="83"/>
      <c r="AJ722" s="83"/>
      <c r="AK722" s="83"/>
    </row>
    <row r="723">
      <c r="A723" s="83"/>
      <c r="B723" s="83"/>
      <c r="C723" s="83"/>
      <c r="D723" s="83"/>
      <c r="E723" s="118"/>
      <c r="F723" s="118"/>
      <c r="G723" s="118"/>
      <c r="H723" s="118"/>
      <c r="I723" s="118"/>
      <c r="J723" s="118"/>
      <c r="K723" s="118"/>
      <c r="L723" s="118"/>
      <c r="M723" s="118"/>
      <c r="N723" s="83"/>
      <c r="O723" s="83"/>
      <c r="P723" s="83"/>
      <c r="Q723" s="83"/>
      <c r="R723" s="83"/>
      <c r="S723" s="83"/>
      <c r="T723" s="83"/>
      <c r="U723" s="83"/>
      <c r="V723" s="83"/>
      <c r="W723" s="83"/>
      <c r="X723" s="83"/>
      <c r="Y723" s="83"/>
      <c r="Z723" s="83"/>
      <c r="AA723" s="83"/>
      <c r="AB723" s="83"/>
      <c r="AC723" s="83"/>
      <c r="AD723" s="83"/>
      <c r="AE723" s="83"/>
      <c r="AF723" s="83"/>
      <c r="AG723" s="83"/>
      <c r="AH723" s="83"/>
      <c r="AI723" s="83"/>
      <c r="AJ723" s="83"/>
      <c r="AK723" s="83"/>
    </row>
    <row r="724">
      <c r="A724" s="83"/>
      <c r="B724" s="83"/>
      <c r="C724" s="83"/>
      <c r="D724" s="83"/>
      <c r="E724" s="118"/>
      <c r="F724" s="118"/>
      <c r="G724" s="118"/>
      <c r="H724" s="118"/>
      <c r="I724" s="118"/>
      <c r="J724" s="118"/>
      <c r="K724" s="118"/>
      <c r="L724" s="118"/>
      <c r="M724" s="118"/>
      <c r="N724" s="83"/>
      <c r="O724" s="83"/>
      <c r="P724" s="83"/>
      <c r="Q724" s="83"/>
      <c r="R724" s="83"/>
      <c r="S724" s="83"/>
      <c r="T724" s="83"/>
      <c r="U724" s="83"/>
      <c r="V724" s="83"/>
      <c r="W724" s="83"/>
      <c r="X724" s="83"/>
      <c r="Y724" s="83"/>
      <c r="Z724" s="83"/>
      <c r="AA724" s="83"/>
      <c r="AB724" s="83"/>
      <c r="AC724" s="83"/>
      <c r="AD724" s="83"/>
      <c r="AE724" s="83"/>
      <c r="AF724" s="83"/>
      <c r="AG724" s="83"/>
      <c r="AH724" s="83"/>
      <c r="AI724" s="83"/>
      <c r="AJ724" s="83"/>
      <c r="AK724" s="83"/>
    </row>
    <row r="725">
      <c r="A725" s="83"/>
      <c r="B725" s="83"/>
      <c r="C725" s="83"/>
      <c r="D725" s="83"/>
      <c r="E725" s="118"/>
      <c r="F725" s="118"/>
      <c r="G725" s="118"/>
      <c r="H725" s="118"/>
      <c r="I725" s="118"/>
      <c r="J725" s="118"/>
      <c r="K725" s="118"/>
      <c r="L725" s="118"/>
      <c r="M725" s="118"/>
      <c r="N725" s="83"/>
      <c r="O725" s="83"/>
      <c r="P725" s="83"/>
      <c r="Q725" s="83"/>
      <c r="R725" s="83"/>
      <c r="S725" s="83"/>
      <c r="T725" s="83"/>
      <c r="U725" s="83"/>
      <c r="V725" s="83"/>
      <c r="W725" s="83"/>
      <c r="X725" s="83"/>
      <c r="Y725" s="83"/>
      <c r="Z725" s="83"/>
      <c r="AA725" s="83"/>
      <c r="AB725" s="83"/>
      <c r="AC725" s="83"/>
      <c r="AD725" s="83"/>
      <c r="AE725" s="83"/>
      <c r="AF725" s="83"/>
      <c r="AG725" s="83"/>
      <c r="AH725" s="83"/>
      <c r="AI725" s="83"/>
      <c r="AJ725" s="83"/>
      <c r="AK725" s="83"/>
    </row>
    <row r="726">
      <c r="A726" s="83"/>
      <c r="B726" s="83"/>
      <c r="C726" s="83"/>
      <c r="D726" s="83"/>
      <c r="E726" s="118"/>
      <c r="F726" s="118"/>
      <c r="G726" s="118"/>
      <c r="H726" s="118"/>
      <c r="I726" s="118"/>
      <c r="J726" s="118"/>
      <c r="K726" s="118"/>
      <c r="L726" s="118"/>
      <c r="M726" s="118"/>
      <c r="N726" s="83"/>
      <c r="O726" s="83"/>
      <c r="P726" s="83"/>
      <c r="Q726" s="83"/>
      <c r="R726" s="83"/>
      <c r="S726" s="83"/>
      <c r="T726" s="83"/>
      <c r="U726" s="83"/>
      <c r="V726" s="83"/>
      <c r="W726" s="83"/>
      <c r="X726" s="83"/>
      <c r="Y726" s="83"/>
      <c r="Z726" s="83"/>
      <c r="AA726" s="83"/>
      <c r="AB726" s="83"/>
      <c r="AC726" s="83"/>
      <c r="AD726" s="83"/>
      <c r="AE726" s="83"/>
      <c r="AF726" s="83"/>
      <c r="AG726" s="83"/>
      <c r="AH726" s="83"/>
      <c r="AI726" s="83"/>
      <c r="AJ726" s="83"/>
      <c r="AK726" s="83"/>
    </row>
    <row r="727">
      <c r="A727" s="83"/>
      <c r="B727" s="83"/>
      <c r="C727" s="83"/>
      <c r="D727" s="83"/>
      <c r="E727" s="118"/>
      <c r="F727" s="118"/>
      <c r="G727" s="118"/>
      <c r="H727" s="118"/>
      <c r="I727" s="118"/>
      <c r="J727" s="118"/>
      <c r="K727" s="118"/>
      <c r="L727" s="118"/>
      <c r="M727" s="118"/>
      <c r="N727" s="83"/>
      <c r="O727" s="83"/>
      <c r="P727" s="83"/>
      <c r="Q727" s="83"/>
      <c r="R727" s="83"/>
      <c r="S727" s="83"/>
      <c r="T727" s="83"/>
      <c r="U727" s="83"/>
      <c r="V727" s="83"/>
      <c r="W727" s="83"/>
      <c r="X727" s="83"/>
      <c r="Y727" s="83"/>
      <c r="Z727" s="83"/>
      <c r="AA727" s="83"/>
      <c r="AB727" s="83"/>
      <c r="AC727" s="83"/>
      <c r="AD727" s="83"/>
      <c r="AE727" s="83"/>
      <c r="AF727" s="83"/>
      <c r="AG727" s="83"/>
      <c r="AH727" s="83"/>
      <c r="AI727" s="83"/>
      <c r="AJ727" s="83"/>
      <c r="AK727" s="83"/>
    </row>
    <row r="728">
      <c r="A728" s="83"/>
      <c r="B728" s="83"/>
      <c r="C728" s="83"/>
      <c r="D728" s="83"/>
      <c r="E728" s="118"/>
      <c r="F728" s="118"/>
      <c r="G728" s="118"/>
      <c r="H728" s="118"/>
      <c r="I728" s="118"/>
      <c r="J728" s="118"/>
      <c r="K728" s="118"/>
      <c r="L728" s="118"/>
      <c r="M728" s="118"/>
      <c r="N728" s="83"/>
      <c r="O728" s="83"/>
      <c r="P728" s="83"/>
      <c r="Q728" s="83"/>
      <c r="R728" s="83"/>
      <c r="S728" s="83"/>
      <c r="T728" s="83"/>
      <c r="U728" s="83"/>
      <c r="V728" s="83"/>
      <c r="W728" s="83"/>
      <c r="X728" s="83"/>
      <c r="Y728" s="83"/>
      <c r="Z728" s="83"/>
      <c r="AA728" s="83"/>
      <c r="AB728" s="83"/>
      <c r="AC728" s="83"/>
      <c r="AD728" s="83"/>
      <c r="AE728" s="83"/>
      <c r="AF728" s="83"/>
      <c r="AG728" s="83"/>
      <c r="AH728" s="83"/>
      <c r="AI728" s="83"/>
      <c r="AJ728" s="83"/>
      <c r="AK728" s="83"/>
    </row>
    <row r="729">
      <c r="A729" s="83"/>
      <c r="B729" s="83"/>
      <c r="C729" s="83"/>
      <c r="D729" s="83"/>
      <c r="E729" s="118"/>
      <c r="F729" s="118"/>
      <c r="G729" s="118"/>
      <c r="H729" s="118"/>
      <c r="I729" s="118"/>
      <c r="J729" s="118"/>
      <c r="K729" s="118"/>
      <c r="L729" s="118"/>
      <c r="M729" s="118"/>
      <c r="N729" s="83"/>
      <c r="O729" s="83"/>
      <c r="P729" s="83"/>
      <c r="Q729" s="83"/>
      <c r="R729" s="83"/>
      <c r="S729" s="83"/>
      <c r="T729" s="83"/>
      <c r="U729" s="83"/>
      <c r="V729" s="83"/>
      <c r="W729" s="83"/>
      <c r="X729" s="83"/>
      <c r="Y729" s="83"/>
      <c r="Z729" s="83"/>
      <c r="AA729" s="83"/>
      <c r="AB729" s="83"/>
      <c r="AC729" s="83"/>
      <c r="AD729" s="83"/>
      <c r="AE729" s="83"/>
      <c r="AF729" s="83"/>
      <c r="AG729" s="83"/>
      <c r="AH729" s="83"/>
      <c r="AI729" s="83"/>
      <c r="AJ729" s="83"/>
      <c r="AK729" s="83"/>
    </row>
    <row r="730">
      <c r="A730" s="83"/>
      <c r="B730" s="83"/>
      <c r="C730" s="83"/>
      <c r="D730" s="83"/>
      <c r="E730" s="118"/>
      <c r="F730" s="118"/>
      <c r="G730" s="118"/>
      <c r="H730" s="118"/>
      <c r="I730" s="118"/>
      <c r="J730" s="118"/>
      <c r="K730" s="118"/>
      <c r="L730" s="118"/>
      <c r="M730" s="118"/>
      <c r="N730" s="83"/>
      <c r="O730" s="83"/>
      <c r="P730" s="83"/>
      <c r="Q730" s="83"/>
      <c r="R730" s="83"/>
      <c r="S730" s="83"/>
      <c r="T730" s="83"/>
      <c r="U730" s="83"/>
      <c r="V730" s="83"/>
      <c r="W730" s="83"/>
      <c r="X730" s="83"/>
      <c r="Y730" s="83"/>
      <c r="Z730" s="83"/>
      <c r="AA730" s="83"/>
      <c r="AB730" s="83"/>
      <c r="AC730" s="83"/>
      <c r="AD730" s="83"/>
      <c r="AE730" s="83"/>
      <c r="AF730" s="83"/>
      <c r="AG730" s="83"/>
      <c r="AH730" s="83"/>
      <c r="AI730" s="83"/>
      <c r="AJ730" s="83"/>
      <c r="AK730" s="83"/>
    </row>
    <row r="731">
      <c r="A731" s="83"/>
      <c r="B731" s="83"/>
      <c r="C731" s="83"/>
      <c r="D731" s="83"/>
      <c r="E731" s="118"/>
      <c r="F731" s="118"/>
      <c r="G731" s="118"/>
      <c r="H731" s="118"/>
      <c r="I731" s="118"/>
      <c r="J731" s="118"/>
      <c r="K731" s="118"/>
      <c r="L731" s="118"/>
      <c r="M731" s="118"/>
      <c r="N731" s="83"/>
      <c r="O731" s="83"/>
      <c r="P731" s="83"/>
      <c r="Q731" s="83"/>
      <c r="R731" s="83"/>
      <c r="S731" s="83"/>
      <c r="T731" s="83"/>
      <c r="U731" s="83"/>
      <c r="V731" s="83"/>
      <c r="W731" s="83"/>
      <c r="X731" s="83"/>
      <c r="Y731" s="83"/>
      <c r="Z731" s="83"/>
      <c r="AA731" s="83"/>
      <c r="AB731" s="83"/>
      <c r="AC731" s="83"/>
      <c r="AD731" s="83"/>
      <c r="AE731" s="83"/>
      <c r="AF731" s="83"/>
      <c r="AG731" s="83"/>
      <c r="AH731" s="83"/>
      <c r="AI731" s="83"/>
      <c r="AJ731" s="83"/>
      <c r="AK731" s="83"/>
    </row>
    <row r="732">
      <c r="A732" s="83"/>
      <c r="B732" s="83"/>
      <c r="C732" s="83"/>
      <c r="D732" s="83"/>
      <c r="E732" s="118"/>
      <c r="F732" s="118"/>
      <c r="G732" s="118"/>
      <c r="H732" s="118"/>
      <c r="I732" s="118"/>
      <c r="J732" s="118"/>
      <c r="K732" s="118"/>
      <c r="L732" s="118"/>
      <c r="M732" s="118"/>
      <c r="N732" s="83"/>
      <c r="O732" s="83"/>
      <c r="P732" s="83"/>
      <c r="Q732" s="83"/>
      <c r="R732" s="83"/>
      <c r="S732" s="83"/>
      <c r="T732" s="83"/>
      <c r="U732" s="83"/>
      <c r="V732" s="83"/>
      <c r="W732" s="83"/>
      <c r="X732" s="83"/>
      <c r="Y732" s="83"/>
      <c r="Z732" s="83"/>
      <c r="AA732" s="83"/>
      <c r="AB732" s="83"/>
      <c r="AC732" s="83"/>
      <c r="AD732" s="83"/>
      <c r="AE732" s="83"/>
      <c r="AF732" s="83"/>
      <c r="AG732" s="83"/>
      <c r="AH732" s="83"/>
      <c r="AI732" s="83"/>
      <c r="AJ732" s="83"/>
      <c r="AK732" s="83"/>
    </row>
    <row r="733">
      <c r="A733" s="83"/>
      <c r="B733" s="83"/>
      <c r="C733" s="83"/>
      <c r="D733" s="83"/>
      <c r="E733" s="118"/>
      <c r="F733" s="118"/>
      <c r="G733" s="118"/>
      <c r="H733" s="118"/>
      <c r="I733" s="118"/>
      <c r="J733" s="118"/>
      <c r="K733" s="118"/>
      <c r="L733" s="118"/>
      <c r="M733" s="118"/>
      <c r="N733" s="83"/>
      <c r="O733" s="83"/>
      <c r="P733" s="83"/>
      <c r="Q733" s="83"/>
      <c r="R733" s="83"/>
      <c r="S733" s="83"/>
      <c r="T733" s="83"/>
      <c r="U733" s="83"/>
      <c r="V733" s="83"/>
      <c r="W733" s="83"/>
      <c r="X733" s="83"/>
      <c r="Y733" s="83"/>
      <c r="Z733" s="83"/>
      <c r="AA733" s="83"/>
      <c r="AB733" s="83"/>
      <c r="AC733" s="83"/>
      <c r="AD733" s="83"/>
      <c r="AE733" s="83"/>
      <c r="AF733" s="83"/>
      <c r="AG733" s="83"/>
      <c r="AH733" s="83"/>
      <c r="AI733" s="83"/>
      <c r="AJ733" s="83"/>
      <c r="AK733" s="83"/>
    </row>
    <row r="734">
      <c r="A734" s="83"/>
      <c r="B734" s="83"/>
      <c r="C734" s="83"/>
      <c r="D734" s="83"/>
      <c r="E734" s="118"/>
      <c r="F734" s="118"/>
      <c r="G734" s="118"/>
      <c r="H734" s="118"/>
      <c r="I734" s="118"/>
      <c r="J734" s="118"/>
      <c r="K734" s="118"/>
      <c r="L734" s="118"/>
      <c r="M734" s="118"/>
      <c r="N734" s="83"/>
      <c r="O734" s="83"/>
      <c r="P734" s="83"/>
      <c r="Q734" s="83"/>
      <c r="R734" s="83"/>
      <c r="S734" s="83"/>
      <c r="T734" s="83"/>
      <c r="U734" s="83"/>
      <c r="V734" s="83"/>
      <c r="W734" s="83"/>
      <c r="X734" s="83"/>
      <c r="Y734" s="83"/>
      <c r="Z734" s="83"/>
      <c r="AA734" s="83"/>
      <c r="AB734" s="83"/>
      <c r="AC734" s="83"/>
      <c r="AD734" s="83"/>
      <c r="AE734" s="83"/>
      <c r="AF734" s="83"/>
      <c r="AG734" s="83"/>
      <c r="AH734" s="83"/>
      <c r="AI734" s="83"/>
      <c r="AJ734" s="83"/>
      <c r="AK734" s="83"/>
    </row>
    <row r="735">
      <c r="A735" s="83"/>
      <c r="B735" s="83"/>
      <c r="C735" s="83"/>
      <c r="D735" s="83"/>
      <c r="E735" s="118"/>
      <c r="F735" s="118"/>
      <c r="G735" s="118"/>
      <c r="H735" s="118"/>
      <c r="I735" s="118"/>
      <c r="J735" s="118"/>
      <c r="K735" s="118"/>
      <c r="L735" s="118"/>
      <c r="M735" s="118"/>
      <c r="N735" s="83"/>
      <c r="O735" s="83"/>
      <c r="P735" s="83"/>
      <c r="Q735" s="83"/>
      <c r="R735" s="83"/>
      <c r="S735" s="83"/>
      <c r="T735" s="83"/>
      <c r="U735" s="83"/>
      <c r="V735" s="83"/>
      <c r="W735" s="83"/>
      <c r="X735" s="83"/>
      <c r="Y735" s="83"/>
      <c r="Z735" s="83"/>
      <c r="AA735" s="83"/>
      <c r="AB735" s="83"/>
      <c r="AC735" s="83"/>
      <c r="AD735" s="83"/>
      <c r="AE735" s="83"/>
      <c r="AF735" s="83"/>
      <c r="AG735" s="83"/>
      <c r="AH735" s="83"/>
      <c r="AI735" s="83"/>
      <c r="AJ735" s="83"/>
      <c r="AK735" s="83"/>
    </row>
    <row r="736">
      <c r="A736" s="83"/>
      <c r="B736" s="83"/>
      <c r="C736" s="83"/>
      <c r="D736" s="83"/>
      <c r="E736" s="118"/>
      <c r="F736" s="118"/>
      <c r="G736" s="118"/>
      <c r="H736" s="118"/>
      <c r="I736" s="118"/>
      <c r="J736" s="118"/>
      <c r="K736" s="118"/>
      <c r="L736" s="118"/>
      <c r="M736" s="118"/>
      <c r="N736" s="83"/>
      <c r="O736" s="83"/>
      <c r="P736" s="83"/>
      <c r="Q736" s="83"/>
      <c r="R736" s="83"/>
      <c r="S736" s="83"/>
      <c r="T736" s="83"/>
      <c r="U736" s="83"/>
      <c r="V736" s="83"/>
      <c r="W736" s="83"/>
      <c r="X736" s="83"/>
      <c r="Y736" s="83"/>
      <c r="Z736" s="83"/>
      <c r="AA736" s="83"/>
      <c r="AB736" s="83"/>
      <c r="AC736" s="83"/>
      <c r="AD736" s="83"/>
      <c r="AE736" s="83"/>
      <c r="AF736" s="83"/>
      <c r="AG736" s="83"/>
      <c r="AH736" s="83"/>
      <c r="AI736" s="83"/>
      <c r="AJ736" s="83"/>
      <c r="AK736" s="83"/>
    </row>
    <row r="737">
      <c r="A737" s="83"/>
      <c r="B737" s="83"/>
      <c r="C737" s="83"/>
      <c r="D737" s="83"/>
      <c r="E737" s="118"/>
      <c r="F737" s="118"/>
      <c r="G737" s="118"/>
      <c r="H737" s="118"/>
      <c r="I737" s="118"/>
      <c r="J737" s="118"/>
      <c r="K737" s="118"/>
      <c r="L737" s="118"/>
      <c r="M737" s="118"/>
      <c r="N737" s="83"/>
      <c r="O737" s="83"/>
      <c r="P737" s="83"/>
      <c r="Q737" s="83"/>
      <c r="R737" s="83"/>
      <c r="S737" s="83"/>
      <c r="T737" s="83"/>
      <c r="U737" s="83"/>
      <c r="V737" s="83"/>
      <c r="W737" s="83"/>
      <c r="X737" s="83"/>
      <c r="Y737" s="83"/>
      <c r="Z737" s="83"/>
      <c r="AA737" s="83"/>
      <c r="AB737" s="83"/>
      <c r="AC737" s="83"/>
      <c r="AD737" s="83"/>
      <c r="AE737" s="83"/>
      <c r="AF737" s="83"/>
      <c r="AG737" s="83"/>
      <c r="AH737" s="83"/>
      <c r="AI737" s="83"/>
      <c r="AJ737" s="83"/>
      <c r="AK737" s="83"/>
    </row>
    <row r="738">
      <c r="A738" s="83"/>
      <c r="B738" s="83"/>
      <c r="C738" s="83"/>
      <c r="D738" s="83"/>
      <c r="E738" s="118"/>
      <c r="F738" s="118"/>
      <c r="G738" s="118"/>
      <c r="H738" s="118"/>
      <c r="I738" s="118"/>
      <c r="J738" s="118"/>
      <c r="K738" s="118"/>
      <c r="L738" s="118"/>
      <c r="M738" s="118"/>
      <c r="N738" s="83"/>
      <c r="O738" s="83"/>
      <c r="P738" s="83"/>
      <c r="Q738" s="83"/>
      <c r="R738" s="83"/>
      <c r="S738" s="83"/>
      <c r="T738" s="83"/>
      <c r="U738" s="83"/>
      <c r="V738" s="83"/>
      <c r="W738" s="83"/>
      <c r="X738" s="83"/>
      <c r="Y738" s="83"/>
      <c r="Z738" s="83"/>
      <c r="AA738" s="83"/>
      <c r="AB738" s="83"/>
      <c r="AC738" s="83"/>
      <c r="AD738" s="83"/>
      <c r="AE738" s="83"/>
      <c r="AF738" s="83"/>
      <c r="AG738" s="83"/>
      <c r="AH738" s="83"/>
      <c r="AI738" s="83"/>
      <c r="AJ738" s="83"/>
      <c r="AK738" s="83"/>
    </row>
    <row r="739">
      <c r="A739" s="83"/>
      <c r="B739" s="83"/>
      <c r="C739" s="83"/>
      <c r="D739" s="83"/>
      <c r="E739" s="118"/>
      <c r="F739" s="118"/>
      <c r="G739" s="118"/>
      <c r="H739" s="118"/>
      <c r="I739" s="118"/>
      <c r="J739" s="118"/>
      <c r="K739" s="118"/>
      <c r="L739" s="118"/>
      <c r="M739" s="118"/>
      <c r="N739" s="83"/>
      <c r="O739" s="83"/>
      <c r="P739" s="83"/>
      <c r="Q739" s="83"/>
      <c r="R739" s="83"/>
      <c r="S739" s="83"/>
      <c r="T739" s="83"/>
      <c r="U739" s="83"/>
      <c r="V739" s="83"/>
      <c r="W739" s="83"/>
      <c r="X739" s="83"/>
      <c r="Y739" s="83"/>
      <c r="Z739" s="83"/>
      <c r="AA739" s="83"/>
      <c r="AB739" s="83"/>
      <c r="AC739" s="83"/>
      <c r="AD739" s="83"/>
      <c r="AE739" s="83"/>
      <c r="AF739" s="83"/>
      <c r="AG739" s="83"/>
      <c r="AH739" s="83"/>
      <c r="AI739" s="83"/>
      <c r="AJ739" s="83"/>
      <c r="AK739" s="83"/>
    </row>
    <row r="740">
      <c r="A740" s="83"/>
      <c r="B740" s="83"/>
      <c r="C740" s="83"/>
      <c r="D740" s="83"/>
      <c r="E740" s="118"/>
      <c r="F740" s="118"/>
      <c r="G740" s="118"/>
      <c r="H740" s="118"/>
      <c r="I740" s="118"/>
      <c r="J740" s="118"/>
      <c r="K740" s="118"/>
      <c r="L740" s="118"/>
      <c r="M740" s="118"/>
      <c r="N740" s="83"/>
      <c r="O740" s="83"/>
      <c r="P740" s="83"/>
      <c r="Q740" s="83"/>
      <c r="R740" s="83"/>
      <c r="S740" s="83"/>
      <c r="T740" s="83"/>
      <c r="U740" s="83"/>
      <c r="V740" s="83"/>
      <c r="W740" s="83"/>
      <c r="X740" s="83"/>
      <c r="Y740" s="83"/>
      <c r="Z740" s="83"/>
      <c r="AA740" s="83"/>
      <c r="AB740" s="83"/>
      <c r="AC740" s="83"/>
      <c r="AD740" s="83"/>
      <c r="AE740" s="83"/>
      <c r="AF740" s="83"/>
      <c r="AG740" s="83"/>
      <c r="AH740" s="83"/>
      <c r="AI740" s="83"/>
      <c r="AJ740" s="83"/>
      <c r="AK740" s="83"/>
    </row>
    <row r="741">
      <c r="A741" s="83"/>
      <c r="B741" s="83"/>
      <c r="C741" s="83"/>
      <c r="D741" s="83"/>
      <c r="E741" s="118"/>
      <c r="F741" s="118"/>
      <c r="G741" s="118"/>
      <c r="H741" s="118"/>
      <c r="I741" s="118"/>
      <c r="J741" s="118"/>
      <c r="K741" s="118"/>
      <c r="L741" s="118"/>
      <c r="M741" s="118"/>
      <c r="N741" s="83"/>
      <c r="O741" s="83"/>
      <c r="P741" s="83"/>
      <c r="Q741" s="83"/>
      <c r="R741" s="83"/>
      <c r="S741" s="83"/>
      <c r="T741" s="83"/>
      <c r="U741" s="83"/>
      <c r="V741" s="83"/>
      <c r="W741" s="83"/>
      <c r="X741" s="83"/>
      <c r="Y741" s="83"/>
      <c r="Z741" s="83"/>
      <c r="AA741" s="83"/>
      <c r="AB741" s="83"/>
      <c r="AC741" s="83"/>
      <c r="AD741" s="83"/>
      <c r="AE741" s="83"/>
      <c r="AF741" s="83"/>
      <c r="AG741" s="83"/>
      <c r="AH741" s="83"/>
      <c r="AI741" s="83"/>
      <c r="AJ741" s="83"/>
      <c r="AK741" s="83"/>
    </row>
    <row r="742">
      <c r="A742" s="83"/>
      <c r="B742" s="83"/>
      <c r="C742" s="83"/>
      <c r="D742" s="83"/>
      <c r="E742" s="118"/>
      <c r="F742" s="118"/>
      <c r="G742" s="118"/>
      <c r="H742" s="118"/>
      <c r="I742" s="118"/>
      <c r="J742" s="118"/>
      <c r="K742" s="118"/>
      <c r="L742" s="118"/>
      <c r="M742" s="118"/>
      <c r="N742" s="83"/>
      <c r="O742" s="83"/>
      <c r="P742" s="83"/>
      <c r="Q742" s="83"/>
      <c r="R742" s="83"/>
      <c r="S742" s="83"/>
      <c r="T742" s="83"/>
      <c r="U742" s="83"/>
      <c r="V742" s="83"/>
      <c r="W742" s="83"/>
      <c r="X742" s="83"/>
      <c r="Y742" s="83"/>
      <c r="Z742" s="83"/>
      <c r="AA742" s="83"/>
      <c r="AB742" s="83"/>
      <c r="AC742" s="83"/>
      <c r="AD742" s="83"/>
      <c r="AE742" s="83"/>
      <c r="AF742" s="83"/>
      <c r="AG742" s="83"/>
      <c r="AH742" s="83"/>
      <c r="AI742" s="83"/>
      <c r="AJ742" s="83"/>
      <c r="AK742" s="83"/>
    </row>
    <row r="743">
      <c r="A743" s="83"/>
      <c r="B743" s="83"/>
      <c r="C743" s="83"/>
      <c r="D743" s="83"/>
      <c r="E743" s="118"/>
      <c r="F743" s="118"/>
      <c r="G743" s="118"/>
      <c r="H743" s="118"/>
      <c r="I743" s="118"/>
      <c r="J743" s="118"/>
      <c r="K743" s="118"/>
      <c r="L743" s="118"/>
      <c r="M743" s="118"/>
      <c r="N743" s="83"/>
      <c r="O743" s="83"/>
      <c r="P743" s="83"/>
      <c r="Q743" s="83"/>
      <c r="R743" s="83"/>
      <c r="S743" s="83"/>
      <c r="T743" s="83"/>
      <c r="U743" s="83"/>
      <c r="V743" s="83"/>
      <c r="W743" s="83"/>
      <c r="X743" s="83"/>
      <c r="Y743" s="83"/>
      <c r="Z743" s="83"/>
      <c r="AA743" s="83"/>
      <c r="AB743" s="83"/>
      <c r="AC743" s="83"/>
      <c r="AD743" s="83"/>
      <c r="AE743" s="83"/>
      <c r="AF743" s="83"/>
      <c r="AG743" s="83"/>
      <c r="AH743" s="83"/>
      <c r="AI743" s="83"/>
      <c r="AJ743" s="83"/>
      <c r="AK743" s="83"/>
    </row>
    <row r="744">
      <c r="A744" s="83"/>
      <c r="B744" s="83"/>
      <c r="C744" s="83"/>
      <c r="D744" s="83"/>
      <c r="E744" s="118"/>
      <c r="F744" s="118"/>
      <c r="G744" s="118"/>
      <c r="H744" s="118"/>
      <c r="I744" s="118"/>
      <c r="J744" s="118"/>
      <c r="K744" s="118"/>
      <c r="L744" s="118"/>
      <c r="M744" s="118"/>
      <c r="N744" s="83"/>
      <c r="O744" s="83"/>
      <c r="P744" s="83"/>
      <c r="Q744" s="83"/>
      <c r="R744" s="83"/>
      <c r="S744" s="83"/>
      <c r="T744" s="83"/>
      <c r="U744" s="83"/>
      <c r="V744" s="83"/>
      <c r="W744" s="83"/>
      <c r="X744" s="83"/>
      <c r="Y744" s="83"/>
      <c r="Z744" s="83"/>
      <c r="AA744" s="83"/>
      <c r="AB744" s="83"/>
      <c r="AC744" s="83"/>
      <c r="AD744" s="83"/>
      <c r="AE744" s="83"/>
      <c r="AF744" s="83"/>
      <c r="AG744" s="83"/>
      <c r="AH744" s="83"/>
      <c r="AI744" s="83"/>
      <c r="AJ744" s="83"/>
      <c r="AK744" s="83"/>
    </row>
    <row r="745">
      <c r="A745" s="83"/>
      <c r="B745" s="83"/>
      <c r="C745" s="83"/>
      <c r="D745" s="83"/>
      <c r="E745" s="118"/>
      <c r="F745" s="118"/>
      <c r="G745" s="118"/>
      <c r="H745" s="118"/>
      <c r="I745" s="118"/>
      <c r="J745" s="118"/>
      <c r="K745" s="118"/>
      <c r="L745" s="118"/>
      <c r="M745" s="118"/>
      <c r="N745" s="83"/>
      <c r="O745" s="83"/>
      <c r="P745" s="83"/>
      <c r="Q745" s="83"/>
      <c r="R745" s="83"/>
      <c r="S745" s="83"/>
      <c r="T745" s="83"/>
      <c r="U745" s="83"/>
      <c r="V745" s="83"/>
      <c r="W745" s="83"/>
      <c r="X745" s="83"/>
      <c r="Y745" s="83"/>
      <c r="Z745" s="83"/>
      <c r="AA745" s="83"/>
      <c r="AB745" s="83"/>
      <c r="AC745" s="83"/>
      <c r="AD745" s="83"/>
      <c r="AE745" s="83"/>
      <c r="AF745" s="83"/>
      <c r="AG745" s="83"/>
      <c r="AH745" s="83"/>
      <c r="AI745" s="83"/>
      <c r="AJ745" s="83"/>
      <c r="AK745" s="83"/>
    </row>
    <row r="746">
      <c r="A746" s="83"/>
      <c r="B746" s="83"/>
      <c r="C746" s="83"/>
      <c r="D746" s="83"/>
      <c r="E746" s="118"/>
      <c r="F746" s="118"/>
      <c r="G746" s="118"/>
      <c r="H746" s="118"/>
      <c r="I746" s="118"/>
      <c r="J746" s="118"/>
      <c r="K746" s="118"/>
      <c r="L746" s="118"/>
      <c r="M746" s="118"/>
      <c r="N746" s="83"/>
      <c r="O746" s="83"/>
      <c r="P746" s="83"/>
      <c r="Q746" s="83"/>
      <c r="R746" s="83"/>
      <c r="S746" s="83"/>
      <c r="T746" s="83"/>
      <c r="U746" s="83"/>
      <c r="V746" s="83"/>
      <c r="W746" s="83"/>
      <c r="X746" s="83"/>
      <c r="Y746" s="83"/>
      <c r="Z746" s="83"/>
      <c r="AA746" s="83"/>
      <c r="AB746" s="83"/>
      <c r="AC746" s="83"/>
      <c r="AD746" s="83"/>
      <c r="AE746" s="83"/>
      <c r="AF746" s="83"/>
      <c r="AG746" s="83"/>
      <c r="AH746" s="83"/>
      <c r="AI746" s="83"/>
      <c r="AJ746" s="83"/>
      <c r="AK746" s="83"/>
    </row>
    <row r="747">
      <c r="A747" s="83"/>
      <c r="B747" s="83"/>
      <c r="C747" s="83"/>
      <c r="D747" s="83"/>
      <c r="E747" s="118"/>
      <c r="F747" s="118"/>
      <c r="G747" s="118"/>
      <c r="H747" s="118"/>
      <c r="I747" s="118"/>
      <c r="J747" s="118"/>
      <c r="K747" s="118"/>
      <c r="L747" s="118"/>
      <c r="M747" s="118"/>
      <c r="N747" s="83"/>
      <c r="O747" s="83"/>
      <c r="P747" s="83"/>
      <c r="Q747" s="83"/>
      <c r="R747" s="83"/>
      <c r="S747" s="83"/>
      <c r="T747" s="83"/>
      <c r="U747" s="83"/>
      <c r="V747" s="83"/>
      <c r="W747" s="83"/>
      <c r="X747" s="83"/>
      <c r="Y747" s="83"/>
      <c r="Z747" s="83"/>
      <c r="AA747" s="83"/>
      <c r="AB747" s="83"/>
      <c r="AC747" s="83"/>
      <c r="AD747" s="83"/>
      <c r="AE747" s="83"/>
      <c r="AF747" s="83"/>
      <c r="AG747" s="83"/>
      <c r="AH747" s="83"/>
      <c r="AI747" s="83"/>
      <c r="AJ747" s="83"/>
      <c r="AK747" s="83"/>
    </row>
    <row r="748">
      <c r="A748" s="83"/>
      <c r="B748" s="83"/>
      <c r="C748" s="83"/>
      <c r="D748" s="83"/>
      <c r="E748" s="118"/>
      <c r="F748" s="118"/>
      <c r="G748" s="118"/>
      <c r="H748" s="118"/>
      <c r="I748" s="118"/>
      <c r="J748" s="118"/>
      <c r="K748" s="118"/>
      <c r="L748" s="118"/>
      <c r="M748" s="118"/>
      <c r="N748" s="83"/>
      <c r="O748" s="83"/>
      <c r="P748" s="83"/>
      <c r="Q748" s="83"/>
      <c r="R748" s="83"/>
      <c r="S748" s="83"/>
      <c r="T748" s="83"/>
      <c r="U748" s="83"/>
      <c r="V748" s="83"/>
      <c r="W748" s="83"/>
      <c r="X748" s="83"/>
      <c r="Y748" s="83"/>
      <c r="Z748" s="83"/>
      <c r="AA748" s="83"/>
      <c r="AB748" s="83"/>
      <c r="AC748" s="83"/>
      <c r="AD748" s="83"/>
      <c r="AE748" s="83"/>
      <c r="AF748" s="83"/>
      <c r="AG748" s="83"/>
      <c r="AH748" s="83"/>
      <c r="AI748" s="83"/>
      <c r="AJ748" s="83"/>
      <c r="AK748" s="83"/>
    </row>
    <row r="749">
      <c r="A749" s="83"/>
      <c r="B749" s="83"/>
      <c r="C749" s="83"/>
      <c r="D749" s="83"/>
      <c r="E749" s="118"/>
      <c r="F749" s="118"/>
      <c r="G749" s="118"/>
      <c r="H749" s="118"/>
      <c r="I749" s="118"/>
      <c r="J749" s="118"/>
      <c r="K749" s="118"/>
      <c r="L749" s="118"/>
      <c r="M749" s="118"/>
      <c r="N749" s="83"/>
      <c r="O749" s="83"/>
      <c r="P749" s="83"/>
      <c r="Q749" s="83"/>
      <c r="R749" s="83"/>
      <c r="S749" s="83"/>
      <c r="T749" s="83"/>
      <c r="U749" s="83"/>
      <c r="V749" s="83"/>
      <c r="W749" s="83"/>
      <c r="X749" s="83"/>
      <c r="Y749" s="83"/>
      <c r="Z749" s="83"/>
      <c r="AA749" s="83"/>
      <c r="AB749" s="83"/>
      <c r="AC749" s="83"/>
      <c r="AD749" s="83"/>
      <c r="AE749" s="83"/>
      <c r="AF749" s="83"/>
      <c r="AG749" s="83"/>
      <c r="AH749" s="83"/>
      <c r="AI749" s="83"/>
      <c r="AJ749" s="83"/>
      <c r="AK749" s="83"/>
    </row>
    <row r="750">
      <c r="A750" s="83"/>
      <c r="B750" s="83"/>
      <c r="C750" s="83"/>
      <c r="D750" s="83"/>
      <c r="E750" s="118"/>
      <c r="F750" s="118"/>
      <c r="G750" s="118"/>
      <c r="H750" s="118"/>
      <c r="I750" s="118"/>
      <c r="J750" s="118"/>
      <c r="K750" s="118"/>
      <c r="L750" s="118"/>
      <c r="M750" s="118"/>
      <c r="N750" s="83"/>
      <c r="O750" s="83"/>
      <c r="P750" s="83"/>
      <c r="Q750" s="83"/>
      <c r="R750" s="83"/>
      <c r="S750" s="83"/>
      <c r="T750" s="83"/>
      <c r="U750" s="83"/>
      <c r="V750" s="83"/>
      <c r="W750" s="83"/>
      <c r="X750" s="83"/>
      <c r="Y750" s="83"/>
      <c r="Z750" s="83"/>
      <c r="AA750" s="83"/>
      <c r="AB750" s="83"/>
      <c r="AC750" s="83"/>
      <c r="AD750" s="83"/>
      <c r="AE750" s="83"/>
      <c r="AF750" s="83"/>
      <c r="AG750" s="83"/>
      <c r="AH750" s="83"/>
      <c r="AI750" s="83"/>
      <c r="AJ750" s="83"/>
      <c r="AK750" s="83"/>
    </row>
    <row r="751">
      <c r="A751" s="83"/>
      <c r="B751" s="83"/>
      <c r="C751" s="83"/>
      <c r="D751" s="83"/>
      <c r="E751" s="118"/>
      <c r="F751" s="118"/>
      <c r="G751" s="118"/>
      <c r="H751" s="118"/>
      <c r="I751" s="118"/>
      <c r="J751" s="118"/>
      <c r="K751" s="118"/>
      <c r="L751" s="118"/>
      <c r="M751" s="118"/>
      <c r="N751" s="83"/>
      <c r="O751" s="83"/>
      <c r="P751" s="83"/>
      <c r="Q751" s="83"/>
      <c r="R751" s="83"/>
      <c r="S751" s="83"/>
      <c r="T751" s="83"/>
      <c r="U751" s="83"/>
      <c r="V751" s="83"/>
      <c r="W751" s="83"/>
      <c r="X751" s="83"/>
      <c r="Y751" s="83"/>
      <c r="Z751" s="83"/>
      <c r="AA751" s="83"/>
      <c r="AB751" s="83"/>
      <c r="AC751" s="83"/>
      <c r="AD751" s="83"/>
      <c r="AE751" s="83"/>
      <c r="AF751" s="83"/>
      <c r="AG751" s="83"/>
      <c r="AH751" s="83"/>
      <c r="AI751" s="83"/>
      <c r="AJ751" s="83"/>
      <c r="AK751" s="83"/>
    </row>
    <row r="752">
      <c r="A752" s="83"/>
      <c r="B752" s="83"/>
      <c r="C752" s="83"/>
      <c r="D752" s="83"/>
      <c r="E752" s="118"/>
      <c r="F752" s="118"/>
      <c r="G752" s="118"/>
      <c r="H752" s="118"/>
      <c r="I752" s="118"/>
      <c r="J752" s="118"/>
      <c r="K752" s="118"/>
      <c r="L752" s="118"/>
      <c r="M752" s="118"/>
      <c r="N752" s="83"/>
      <c r="O752" s="83"/>
      <c r="P752" s="83"/>
      <c r="Q752" s="83"/>
      <c r="R752" s="83"/>
      <c r="S752" s="83"/>
      <c r="T752" s="83"/>
      <c r="U752" s="83"/>
      <c r="V752" s="83"/>
      <c r="W752" s="83"/>
      <c r="X752" s="83"/>
      <c r="Y752" s="83"/>
      <c r="Z752" s="83"/>
      <c r="AA752" s="83"/>
      <c r="AB752" s="83"/>
      <c r="AC752" s="83"/>
      <c r="AD752" s="83"/>
      <c r="AE752" s="83"/>
      <c r="AF752" s="83"/>
      <c r="AG752" s="83"/>
      <c r="AH752" s="83"/>
      <c r="AI752" s="83"/>
      <c r="AJ752" s="83"/>
      <c r="AK752" s="83"/>
    </row>
    <row r="753">
      <c r="A753" s="83"/>
      <c r="B753" s="83"/>
      <c r="C753" s="83"/>
      <c r="D753" s="83"/>
      <c r="E753" s="118"/>
      <c r="F753" s="118"/>
      <c r="G753" s="118"/>
      <c r="H753" s="118"/>
      <c r="I753" s="118"/>
      <c r="J753" s="118"/>
      <c r="K753" s="118"/>
      <c r="L753" s="118"/>
      <c r="M753" s="118"/>
      <c r="N753" s="83"/>
      <c r="O753" s="83"/>
      <c r="P753" s="83"/>
      <c r="Q753" s="83"/>
      <c r="R753" s="83"/>
      <c r="S753" s="83"/>
      <c r="T753" s="83"/>
      <c r="U753" s="83"/>
      <c r="V753" s="83"/>
      <c r="W753" s="83"/>
      <c r="X753" s="83"/>
      <c r="Y753" s="83"/>
      <c r="Z753" s="83"/>
      <c r="AA753" s="83"/>
      <c r="AB753" s="83"/>
      <c r="AC753" s="83"/>
      <c r="AD753" s="83"/>
      <c r="AE753" s="83"/>
      <c r="AF753" s="83"/>
      <c r="AG753" s="83"/>
      <c r="AH753" s="83"/>
      <c r="AI753" s="83"/>
      <c r="AJ753" s="83"/>
      <c r="AK753" s="83"/>
    </row>
    <row r="754">
      <c r="A754" s="83"/>
      <c r="B754" s="83"/>
      <c r="C754" s="83"/>
      <c r="D754" s="83"/>
      <c r="E754" s="118"/>
      <c r="F754" s="118"/>
      <c r="G754" s="118"/>
      <c r="H754" s="118"/>
      <c r="I754" s="118"/>
      <c r="J754" s="118"/>
      <c r="K754" s="118"/>
      <c r="L754" s="118"/>
      <c r="M754" s="118"/>
      <c r="N754" s="83"/>
      <c r="O754" s="83"/>
      <c r="P754" s="83"/>
      <c r="Q754" s="83"/>
      <c r="R754" s="83"/>
      <c r="S754" s="83"/>
      <c r="T754" s="83"/>
      <c r="U754" s="83"/>
      <c r="V754" s="83"/>
      <c r="W754" s="83"/>
      <c r="X754" s="83"/>
      <c r="Y754" s="83"/>
      <c r="Z754" s="83"/>
      <c r="AA754" s="83"/>
      <c r="AB754" s="83"/>
      <c r="AC754" s="83"/>
      <c r="AD754" s="83"/>
      <c r="AE754" s="83"/>
      <c r="AF754" s="83"/>
      <c r="AG754" s="83"/>
      <c r="AH754" s="83"/>
      <c r="AI754" s="83"/>
      <c r="AJ754" s="83"/>
      <c r="AK754" s="83"/>
    </row>
    <row r="755">
      <c r="A755" s="83"/>
      <c r="B755" s="83"/>
      <c r="C755" s="83"/>
      <c r="D755" s="83"/>
      <c r="E755" s="118"/>
      <c r="F755" s="118"/>
      <c r="G755" s="118"/>
      <c r="H755" s="118"/>
      <c r="I755" s="118"/>
      <c r="J755" s="118"/>
      <c r="K755" s="118"/>
      <c r="L755" s="118"/>
      <c r="M755" s="118"/>
      <c r="N755" s="83"/>
      <c r="O755" s="83"/>
      <c r="P755" s="83"/>
      <c r="Q755" s="83"/>
      <c r="R755" s="83"/>
      <c r="S755" s="83"/>
      <c r="T755" s="83"/>
      <c r="U755" s="83"/>
      <c r="V755" s="83"/>
      <c r="W755" s="83"/>
      <c r="X755" s="83"/>
      <c r="Y755" s="83"/>
      <c r="Z755" s="83"/>
      <c r="AA755" s="83"/>
      <c r="AB755" s="83"/>
      <c r="AC755" s="83"/>
      <c r="AD755" s="83"/>
      <c r="AE755" s="83"/>
      <c r="AF755" s="83"/>
      <c r="AG755" s="83"/>
      <c r="AH755" s="83"/>
      <c r="AI755" s="83"/>
      <c r="AJ755" s="83"/>
      <c r="AK755" s="83"/>
    </row>
    <row r="756">
      <c r="A756" s="83"/>
      <c r="B756" s="83"/>
      <c r="C756" s="83"/>
      <c r="D756" s="83"/>
      <c r="E756" s="118"/>
      <c r="F756" s="118"/>
      <c r="G756" s="118"/>
      <c r="H756" s="118"/>
      <c r="I756" s="118"/>
      <c r="J756" s="118"/>
      <c r="K756" s="118"/>
      <c r="L756" s="118"/>
      <c r="M756" s="118"/>
      <c r="N756" s="83"/>
      <c r="O756" s="83"/>
      <c r="P756" s="83"/>
      <c r="Q756" s="83"/>
      <c r="R756" s="83"/>
      <c r="S756" s="83"/>
      <c r="T756" s="83"/>
      <c r="U756" s="83"/>
      <c r="V756" s="83"/>
      <c r="W756" s="83"/>
      <c r="X756" s="83"/>
      <c r="Y756" s="83"/>
      <c r="Z756" s="83"/>
      <c r="AA756" s="83"/>
      <c r="AB756" s="83"/>
      <c r="AC756" s="83"/>
      <c r="AD756" s="83"/>
      <c r="AE756" s="83"/>
      <c r="AF756" s="83"/>
      <c r="AG756" s="83"/>
      <c r="AH756" s="83"/>
      <c r="AI756" s="83"/>
      <c r="AJ756" s="83"/>
      <c r="AK756" s="83"/>
    </row>
    <row r="757">
      <c r="A757" s="83"/>
      <c r="B757" s="83"/>
      <c r="C757" s="83"/>
      <c r="D757" s="83"/>
      <c r="E757" s="118"/>
      <c r="F757" s="118"/>
      <c r="G757" s="118"/>
      <c r="H757" s="118"/>
      <c r="I757" s="118"/>
      <c r="J757" s="118"/>
      <c r="K757" s="118"/>
      <c r="L757" s="118"/>
      <c r="M757" s="118"/>
      <c r="N757" s="83"/>
      <c r="O757" s="83"/>
      <c r="P757" s="83"/>
      <c r="Q757" s="83"/>
      <c r="R757" s="83"/>
      <c r="S757" s="83"/>
      <c r="T757" s="83"/>
      <c r="U757" s="83"/>
      <c r="V757" s="83"/>
      <c r="W757" s="83"/>
      <c r="X757" s="83"/>
      <c r="Y757" s="83"/>
      <c r="Z757" s="83"/>
      <c r="AA757" s="83"/>
      <c r="AB757" s="83"/>
      <c r="AC757" s="83"/>
      <c r="AD757" s="83"/>
      <c r="AE757" s="83"/>
      <c r="AF757" s="83"/>
      <c r="AG757" s="83"/>
      <c r="AH757" s="83"/>
      <c r="AI757" s="83"/>
      <c r="AJ757" s="83"/>
      <c r="AK757" s="83"/>
    </row>
    <row r="758">
      <c r="A758" s="83"/>
      <c r="B758" s="83"/>
      <c r="C758" s="83"/>
      <c r="D758" s="83"/>
      <c r="E758" s="118"/>
      <c r="F758" s="118"/>
      <c r="G758" s="118"/>
      <c r="H758" s="118"/>
      <c r="I758" s="118"/>
      <c r="J758" s="118"/>
      <c r="K758" s="118"/>
      <c r="L758" s="118"/>
      <c r="M758" s="118"/>
      <c r="N758" s="83"/>
      <c r="O758" s="83"/>
      <c r="P758" s="83"/>
      <c r="Q758" s="83"/>
      <c r="R758" s="83"/>
      <c r="S758" s="83"/>
      <c r="T758" s="83"/>
      <c r="U758" s="83"/>
      <c r="V758" s="83"/>
      <c r="W758" s="83"/>
      <c r="X758" s="83"/>
      <c r="Y758" s="83"/>
      <c r="Z758" s="83"/>
      <c r="AA758" s="83"/>
      <c r="AB758" s="83"/>
      <c r="AC758" s="83"/>
      <c r="AD758" s="83"/>
      <c r="AE758" s="83"/>
      <c r="AF758" s="83"/>
      <c r="AG758" s="83"/>
      <c r="AH758" s="83"/>
      <c r="AI758" s="83"/>
      <c r="AJ758" s="83"/>
      <c r="AK758" s="83"/>
    </row>
    <row r="759">
      <c r="A759" s="83"/>
      <c r="B759" s="83"/>
      <c r="C759" s="83"/>
      <c r="D759" s="83"/>
      <c r="E759" s="118"/>
      <c r="F759" s="118"/>
      <c r="G759" s="118"/>
      <c r="H759" s="118"/>
      <c r="I759" s="118"/>
      <c r="J759" s="118"/>
      <c r="K759" s="118"/>
      <c r="L759" s="118"/>
      <c r="M759" s="118"/>
      <c r="N759" s="83"/>
      <c r="O759" s="83"/>
      <c r="P759" s="83"/>
      <c r="Q759" s="83"/>
      <c r="R759" s="83"/>
      <c r="S759" s="83"/>
      <c r="T759" s="83"/>
      <c r="U759" s="83"/>
      <c r="V759" s="83"/>
      <c r="W759" s="83"/>
      <c r="X759" s="83"/>
      <c r="Y759" s="83"/>
      <c r="Z759" s="83"/>
      <c r="AA759" s="83"/>
      <c r="AB759" s="83"/>
      <c r="AC759" s="83"/>
      <c r="AD759" s="83"/>
      <c r="AE759" s="83"/>
      <c r="AF759" s="83"/>
      <c r="AG759" s="83"/>
      <c r="AH759" s="83"/>
      <c r="AI759" s="83"/>
      <c r="AJ759" s="83"/>
      <c r="AK759" s="83"/>
    </row>
    <row r="760">
      <c r="A760" s="83"/>
      <c r="B760" s="83"/>
      <c r="C760" s="83"/>
      <c r="D760" s="83"/>
      <c r="E760" s="118"/>
      <c r="F760" s="118"/>
      <c r="G760" s="118"/>
      <c r="H760" s="118"/>
      <c r="I760" s="118"/>
      <c r="J760" s="118"/>
      <c r="K760" s="118"/>
      <c r="L760" s="118"/>
      <c r="M760" s="118"/>
      <c r="N760" s="83"/>
      <c r="O760" s="83"/>
      <c r="P760" s="83"/>
      <c r="Q760" s="83"/>
      <c r="R760" s="83"/>
      <c r="S760" s="83"/>
      <c r="T760" s="83"/>
      <c r="U760" s="83"/>
      <c r="V760" s="83"/>
      <c r="W760" s="83"/>
      <c r="X760" s="83"/>
      <c r="Y760" s="83"/>
      <c r="Z760" s="83"/>
      <c r="AA760" s="83"/>
      <c r="AB760" s="83"/>
      <c r="AC760" s="83"/>
      <c r="AD760" s="83"/>
      <c r="AE760" s="83"/>
      <c r="AF760" s="83"/>
      <c r="AG760" s="83"/>
      <c r="AH760" s="83"/>
      <c r="AI760" s="83"/>
      <c r="AJ760" s="83"/>
      <c r="AK760" s="83"/>
    </row>
    <row r="761">
      <c r="A761" s="83"/>
      <c r="B761" s="83"/>
      <c r="C761" s="83"/>
      <c r="D761" s="83"/>
      <c r="E761" s="118"/>
      <c r="F761" s="118"/>
      <c r="G761" s="118"/>
      <c r="H761" s="118"/>
      <c r="I761" s="118"/>
      <c r="J761" s="118"/>
      <c r="K761" s="118"/>
      <c r="L761" s="118"/>
      <c r="M761" s="118"/>
      <c r="N761" s="83"/>
      <c r="O761" s="83"/>
      <c r="P761" s="83"/>
      <c r="Q761" s="83"/>
      <c r="R761" s="83"/>
      <c r="S761" s="83"/>
      <c r="T761" s="83"/>
      <c r="U761" s="83"/>
      <c r="V761" s="83"/>
      <c r="W761" s="83"/>
      <c r="X761" s="83"/>
      <c r="Y761" s="83"/>
      <c r="Z761" s="83"/>
      <c r="AA761" s="83"/>
      <c r="AB761" s="83"/>
      <c r="AC761" s="83"/>
      <c r="AD761" s="83"/>
      <c r="AE761" s="83"/>
      <c r="AF761" s="83"/>
      <c r="AG761" s="83"/>
      <c r="AH761" s="83"/>
      <c r="AI761" s="83"/>
      <c r="AJ761" s="83"/>
      <c r="AK761" s="83"/>
    </row>
    <row r="762">
      <c r="A762" s="83"/>
      <c r="B762" s="83"/>
      <c r="C762" s="83"/>
      <c r="D762" s="83"/>
      <c r="E762" s="118"/>
      <c r="F762" s="118"/>
      <c r="G762" s="118"/>
      <c r="H762" s="118"/>
      <c r="I762" s="118"/>
      <c r="J762" s="118"/>
      <c r="K762" s="118"/>
      <c r="L762" s="118"/>
      <c r="M762" s="118"/>
      <c r="N762" s="83"/>
      <c r="O762" s="83"/>
      <c r="P762" s="83"/>
      <c r="Q762" s="83"/>
      <c r="R762" s="83"/>
      <c r="S762" s="83"/>
      <c r="T762" s="83"/>
      <c r="U762" s="83"/>
      <c r="V762" s="83"/>
      <c r="W762" s="83"/>
      <c r="X762" s="83"/>
      <c r="Y762" s="83"/>
      <c r="Z762" s="83"/>
      <c r="AA762" s="83"/>
      <c r="AB762" s="83"/>
      <c r="AC762" s="83"/>
      <c r="AD762" s="83"/>
      <c r="AE762" s="83"/>
      <c r="AF762" s="83"/>
      <c r="AG762" s="83"/>
      <c r="AH762" s="83"/>
      <c r="AI762" s="83"/>
      <c r="AJ762" s="83"/>
      <c r="AK762" s="83"/>
    </row>
    <row r="763">
      <c r="A763" s="83"/>
      <c r="B763" s="83"/>
      <c r="C763" s="83"/>
      <c r="D763" s="83"/>
      <c r="E763" s="118"/>
      <c r="F763" s="118"/>
      <c r="G763" s="118"/>
      <c r="H763" s="118"/>
      <c r="I763" s="118"/>
      <c r="J763" s="118"/>
      <c r="K763" s="118"/>
      <c r="L763" s="118"/>
      <c r="M763" s="118"/>
      <c r="N763" s="83"/>
      <c r="O763" s="83"/>
      <c r="P763" s="83"/>
      <c r="Q763" s="83"/>
      <c r="R763" s="83"/>
      <c r="S763" s="83"/>
      <c r="T763" s="83"/>
      <c r="U763" s="83"/>
      <c r="V763" s="83"/>
      <c r="W763" s="83"/>
      <c r="X763" s="83"/>
      <c r="Y763" s="83"/>
      <c r="Z763" s="83"/>
      <c r="AA763" s="83"/>
      <c r="AB763" s="83"/>
      <c r="AC763" s="83"/>
      <c r="AD763" s="83"/>
      <c r="AE763" s="83"/>
      <c r="AF763" s="83"/>
      <c r="AG763" s="83"/>
      <c r="AH763" s="83"/>
      <c r="AI763" s="83"/>
      <c r="AJ763" s="83"/>
      <c r="AK763" s="83"/>
    </row>
    <row r="764">
      <c r="A764" s="83"/>
      <c r="B764" s="83"/>
      <c r="C764" s="83"/>
      <c r="D764" s="83"/>
      <c r="E764" s="118"/>
      <c r="F764" s="118"/>
      <c r="G764" s="118"/>
      <c r="H764" s="118"/>
      <c r="I764" s="118"/>
      <c r="J764" s="118"/>
      <c r="K764" s="118"/>
      <c r="L764" s="118"/>
      <c r="M764" s="118"/>
      <c r="N764" s="83"/>
      <c r="O764" s="83"/>
      <c r="P764" s="83"/>
      <c r="Q764" s="83"/>
      <c r="R764" s="83"/>
      <c r="S764" s="83"/>
      <c r="T764" s="83"/>
      <c r="U764" s="83"/>
      <c r="V764" s="83"/>
      <c r="W764" s="83"/>
      <c r="X764" s="83"/>
      <c r="Y764" s="83"/>
      <c r="Z764" s="83"/>
      <c r="AA764" s="83"/>
      <c r="AB764" s="83"/>
      <c r="AC764" s="83"/>
      <c r="AD764" s="83"/>
      <c r="AE764" s="83"/>
      <c r="AF764" s="83"/>
      <c r="AG764" s="83"/>
      <c r="AH764" s="83"/>
      <c r="AI764" s="83"/>
      <c r="AJ764" s="83"/>
      <c r="AK764" s="83"/>
    </row>
    <row r="765">
      <c r="A765" s="83"/>
      <c r="B765" s="83"/>
      <c r="C765" s="83"/>
      <c r="D765" s="83"/>
      <c r="E765" s="118"/>
      <c r="F765" s="118"/>
      <c r="G765" s="118"/>
      <c r="H765" s="118"/>
      <c r="I765" s="118"/>
      <c r="J765" s="118"/>
      <c r="K765" s="118"/>
      <c r="L765" s="118"/>
      <c r="M765" s="118"/>
      <c r="N765" s="83"/>
      <c r="O765" s="83"/>
      <c r="P765" s="83"/>
      <c r="Q765" s="83"/>
      <c r="R765" s="83"/>
      <c r="S765" s="83"/>
      <c r="T765" s="83"/>
      <c r="U765" s="83"/>
      <c r="V765" s="83"/>
      <c r="W765" s="83"/>
      <c r="X765" s="83"/>
      <c r="Y765" s="83"/>
      <c r="Z765" s="83"/>
      <c r="AA765" s="83"/>
      <c r="AB765" s="83"/>
      <c r="AC765" s="83"/>
      <c r="AD765" s="83"/>
      <c r="AE765" s="83"/>
      <c r="AF765" s="83"/>
      <c r="AG765" s="83"/>
      <c r="AH765" s="83"/>
      <c r="AI765" s="83"/>
      <c r="AJ765" s="83"/>
      <c r="AK765" s="83"/>
    </row>
    <row r="766">
      <c r="A766" s="83"/>
      <c r="B766" s="83"/>
      <c r="C766" s="83"/>
      <c r="D766" s="83"/>
      <c r="E766" s="118"/>
      <c r="F766" s="118"/>
      <c r="G766" s="118"/>
      <c r="H766" s="118"/>
      <c r="I766" s="118"/>
      <c r="J766" s="118"/>
      <c r="K766" s="118"/>
      <c r="L766" s="118"/>
      <c r="M766" s="118"/>
      <c r="N766" s="83"/>
      <c r="O766" s="83"/>
      <c r="P766" s="83"/>
      <c r="Q766" s="83"/>
      <c r="R766" s="83"/>
      <c r="S766" s="83"/>
      <c r="T766" s="83"/>
      <c r="U766" s="83"/>
      <c r="V766" s="83"/>
      <c r="W766" s="83"/>
      <c r="X766" s="83"/>
      <c r="Y766" s="83"/>
      <c r="Z766" s="83"/>
      <c r="AA766" s="83"/>
      <c r="AB766" s="83"/>
      <c r="AC766" s="83"/>
      <c r="AD766" s="83"/>
      <c r="AE766" s="83"/>
      <c r="AF766" s="83"/>
      <c r="AG766" s="83"/>
      <c r="AH766" s="83"/>
      <c r="AI766" s="83"/>
      <c r="AJ766" s="83"/>
      <c r="AK766" s="83"/>
    </row>
    <row r="767">
      <c r="A767" s="83"/>
      <c r="B767" s="83"/>
      <c r="C767" s="83"/>
      <c r="D767" s="83"/>
      <c r="E767" s="118"/>
      <c r="F767" s="118"/>
      <c r="G767" s="118"/>
      <c r="H767" s="118"/>
      <c r="I767" s="118"/>
      <c r="J767" s="118"/>
      <c r="K767" s="118"/>
      <c r="L767" s="118"/>
      <c r="M767" s="118"/>
      <c r="N767" s="83"/>
      <c r="O767" s="83"/>
      <c r="P767" s="83"/>
      <c r="Q767" s="83"/>
      <c r="R767" s="83"/>
      <c r="S767" s="83"/>
      <c r="T767" s="83"/>
      <c r="U767" s="83"/>
      <c r="V767" s="83"/>
      <c r="W767" s="83"/>
      <c r="X767" s="83"/>
      <c r="Y767" s="83"/>
      <c r="Z767" s="83"/>
      <c r="AA767" s="83"/>
      <c r="AB767" s="83"/>
      <c r="AC767" s="83"/>
      <c r="AD767" s="83"/>
      <c r="AE767" s="83"/>
      <c r="AF767" s="83"/>
      <c r="AG767" s="83"/>
      <c r="AH767" s="83"/>
      <c r="AI767" s="83"/>
      <c r="AJ767" s="83"/>
      <c r="AK767" s="83"/>
    </row>
    <row r="768">
      <c r="A768" s="83"/>
      <c r="B768" s="83"/>
      <c r="C768" s="83"/>
      <c r="D768" s="83"/>
      <c r="E768" s="118"/>
      <c r="F768" s="118"/>
      <c r="G768" s="118"/>
      <c r="H768" s="118"/>
      <c r="I768" s="118"/>
      <c r="J768" s="118"/>
      <c r="K768" s="118"/>
      <c r="L768" s="118"/>
      <c r="M768" s="118"/>
      <c r="N768" s="83"/>
      <c r="O768" s="83"/>
      <c r="P768" s="83"/>
      <c r="Q768" s="83"/>
      <c r="R768" s="83"/>
      <c r="S768" s="83"/>
      <c r="T768" s="83"/>
      <c r="U768" s="83"/>
      <c r="V768" s="83"/>
      <c r="W768" s="83"/>
      <c r="X768" s="83"/>
      <c r="Y768" s="83"/>
      <c r="Z768" s="83"/>
      <c r="AA768" s="83"/>
      <c r="AB768" s="83"/>
      <c r="AC768" s="83"/>
      <c r="AD768" s="83"/>
      <c r="AE768" s="83"/>
      <c r="AF768" s="83"/>
      <c r="AG768" s="83"/>
      <c r="AH768" s="83"/>
      <c r="AI768" s="83"/>
      <c r="AJ768" s="83"/>
      <c r="AK768" s="83"/>
    </row>
    <row r="769">
      <c r="A769" s="83"/>
      <c r="B769" s="83"/>
      <c r="C769" s="83"/>
      <c r="D769" s="83"/>
      <c r="E769" s="118"/>
      <c r="F769" s="118"/>
      <c r="G769" s="118"/>
      <c r="H769" s="118"/>
      <c r="I769" s="118"/>
      <c r="J769" s="118"/>
      <c r="K769" s="118"/>
      <c r="L769" s="118"/>
      <c r="M769" s="118"/>
      <c r="N769" s="83"/>
      <c r="O769" s="83"/>
      <c r="P769" s="83"/>
      <c r="Q769" s="83"/>
      <c r="R769" s="83"/>
      <c r="S769" s="83"/>
      <c r="T769" s="83"/>
      <c r="U769" s="83"/>
      <c r="V769" s="83"/>
      <c r="W769" s="83"/>
      <c r="X769" s="83"/>
      <c r="Y769" s="83"/>
      <c r="Z769" s="83"/>
      <c r="AA769" s="83"/>
      <c r="AB769" s="83"/>
      <c r="AC769" s="83"/>
      <c r="AD769" s="83"/>
      <c r="AE769" s="83"/>
      <c r="AF769" s="83"/>
      <c r="AG769" s="83"/>
      <c r="AH769" s="83"/>
      <c r="AI769" s="83"/>
      <c r="AJ769" s="83"/>
      <c r="AK769" s="83"/>
    </row>
    <row r="770">
      <c r="A770" s="83"/>
      <c r="B770" s="83"/>
      <c r="C770" s="83"/>
      <c r="D770" s="83"/>
      <c r="E770" s="118"/>
      <c r="F770" s="118"/>
      <c r="G770" s="118"/>
      <c r="H770" s="118"/>
      <c r="I770" s="118"/>
      <c r="J770" s="118"/>
      <c r="K770" s="118"/>
      <c r="L770" s="118"/>
      <c r="M770" s="118"/>
      <c r="N770" s="83"/>
      <c r="O770" s="83"/>
      <c r="P770" s="83"/>
      <c r="Q770" s="83"/>
      <c r="R770" s="83"/>
      <c r="S770" s="83"/>
      <c r="T770" s="83"/>
      <c r="U770" s="83"/>
      <c r="V770" s="83"/>
      <c r="W770" s="83"/>
      <c r="X770" s="83"/>
      <c r="Y770" s="83"/>
      <c r="Z770" s="83"/>
      <c r="AA770" s="83"/>
      <c r="AB770" s="83"/>
      <c r="AC770" s="83"/>
      <c r="AD770" s="83"/>
      <c r="AE770" s="83"/>
      <c r="AF770" s="83"/>
      <c r="AG770" s="83"/>
      <c r="AH770" s="83"/>
      <c r="AI770" s="83"/>
      <c r="AJ770" s="83"/>
      <c r="AK770" s="83"/>
    </row>
    <row r="771">
      <c r="A771" s="83"/>
      <c r="B771" s="83"/>
      <c r="C771" s="83"/>
      <c r="D771" s="83"/>
      <c r="E771" s="118"/>
      <c r="F771" s="118"/>
      <c r="G771" s="118"/>
      <c r="H771" s="118"/>
      <c r="I771" s="118"/>
      <c r="J771" s="118"/>
      <c r="K771" s="118"/>
      <c r="L771" s="118"/>
      <c r="M771" s="118"/>
      <c r="N771" s="83"/>
      <c r="O771" s="83"/>
      <c r="P771" s="83"/>
      <c r="Q771" s="83"/>
      <c r="R771" s="83"/>
      <c r="S771" s="83"/>
      <c r="T771" s="83"/>
      <c r="U771" s="83"/>
      <c r="V771" s="83"/>
      <c r="W771" s="83"/>
      <c r="X771" s="83"/>
      <c r="Y771" s="83"/>
      <c r="Z771" s="83"/>
      <c r="AA771" s="83"/>
      <c r="AB771" s="83"/>
      <c r="AC771" s="83"/>
      <c r="AD771" s="83"/>
      <c r="AE771" s="83"/>
      <c r="AF771" s="83"/>
      <c r="AG771" s="83"/>
      <c r="AH771" s="83"/>
      <c r="AI771" s="83"/>
      <c r="AJ771" s="83"/>
      <c r="AK771" s="83"/>
    </row>
    <row r="772">
      <c r="A772" s="83"/>
      <c r="B772" s="83"/>
      <c r="C772" s="83"/>
      <c r="D772" s="83"/>
      <c r="E772" s="118"/>
      <c r="F772" s="118"/>
      <c r="G772" s="118"/>
      <c r="H772" s="118"/>
      <c r="I772" s="118"/>
      <c r="J772" s="118"/>
      <c r="K772" s="118"/>
      <c r="L772" s="118"/>
      <c r="M772" s="118"/>
      <c r="N772" s="83"/>
      <c r="O772" s="83"/>
      <c r="P772" s="83"/>
      <c r="Q772" s="83"/>
      <c r="R772" s="83"/>
      <c r="S772" s="83"/>
      <c r="T772" s="83"/>
      <c r="U772" s="83"/>
      <c r="V772" s="83"/>
      <c r="W772" s="83"/>
      <c r="X772" s="83"/>
      <c r="Y772" s="83"/>
      <c r="Z772" s="83"/>
      <c r="AA772" s="83"/>
      <c r="AB772" s="83"/>
      <c r="AC772" s="83"/>
      <c r="AD772" s="83"/>
      <c r="AE772" s="83"/>
      <c r="AF772" s="83"/>
      <c r="AG772" s="83"/>
      <c r="AH772" s="83"/>
      <c r="AI772" s="83"/>
      <c r="AJ772" s="83"/>
      <c r="AK772" s="83"/>
    </row>
    <row r="773">
      <c r="A773" s="83"/>
      <c r="B773" s="83"/>
      <c r="C773" s="83"/>
      <c r="D773" s="83"/>
      <c r="E773" s="118"/>
      <c r="F773" s="118"/>
      <c r="G773" s="118"/>
      <c r="H773" s="118"/>
      <c r="I773" s="118"/>
      <c r="J773" s="118"/>
      <c r="K773" s="118"/>
      <c r="L773" s="118"/>
      <c r="M773" s="118"/>
      <c r="N773" s="83"/>
      <c r="O773" s="83"/>
      <c r="P773" s="83"/>
      <c r="Q773" s="83"/>
      <c r="R773" s="83"/>
      <c r="S773" s="83"/>
      <c r="T773" s="83"/>
      <c r="U773" s="83"/>
      <c r="V773" s="83"/>
      <c r="W773" s="83"/>
      <c r="X773" s="83"/>
      <c r="Y773" s="83"/>
      <c r="Z773" s="83"/>
      <c r="AA773" s="83"/>
      <c r="AB773" s="83"/>
      <c r="AC773" s="83"/>
      <c r="AD773" s="83"/>
      <c r="AE773" s="83"/>
      <c r="AF773" s="83"/>
      <c r="AG773" s="83"/>
      <c r="AH773" s="83"/>
      <c r="AI773" s="83"/>
      <c r="AJ773" s="83"/>
      <c r="AK773" s="83"/>
    </row>
    <row r="774">
      <c r="A774" s="83"/>
      <c r="B774" s="83"/>
      <c r="C774" s="83"/>
      <c r="D774" s="83"/>
      <c r="E774" s="118"/>
      <c r="F774" s="118"/>
      <c r="G774" s="118"/>
      <c r="H774" s="118"/>
      <c r="I774" s="118"/>
      <c r="J774" s="118"/>
      <c r="K774" s="118"/>
      <c r="L774" s="118"/>
      <c r="M774" s="118"/>
      <c r="N774" s="83"/>
      <c r="O774" s="83"/>
      <c r="P774" s="83"/>
      <c r="Q774" s="83"/>
      <c r="R774" s="83"/>
      <c r="S774" s="83"/>
      <c r="T774" s="83"/>
      <c r="U774" s="83"/>
      <c r="V774" s="83"/>
      <c r="W774" s="83"/>
      <c r="X774" s="83"/>
      <c r="Y774" s="83"/>
      <c r="Z774" s="83"/>
      <c r="AA774" s="83"/>
      <c r="AB774" s="83"/>
      <c r="AC774" s="83"/>
      <c r="AD774" s="83"/>
      <c r="AE774" s="83"/>
      <c r="AF774" s="83"/>
      <c r="AG774" s="83"/>
      <c r="AH774" s="83"/>
      <c r="AI774" s="83"/>
      <c r="AJ774" s="83"/>
      <c r="AK774" s="83"/>
    </row>
    <row r="775">
      <c r="A775" s="83"/>
      <c r="B775" s="83"/>
      <c r="C775" s="83"/>
      <c r="D775" s="83"/>
      <c r="E775" s="118"/>
      <c r="F775" s="118"/>
      <c r="G775" s="118"/>
      <c r="H775" s="118"/>
      <c r="I775" s="118"/>
      <c r="J775" s="118"/>
      <c r="K775" s="118"/>
      <c r="L775" s="118"/>
      <c r="M775" s="118"/>
      <c r="N775" s="83"/>
      <c r="O775" s="83"/>
      <c r="P775" s="83"/>
      <c r="Q775" s="83"/>
      <c r="R775" s="83"/>
      <c r="S775" s="83"/>
      <c r="T775" s="83"/>
      <c r="U775" s="83"/>
      <c r="V775" s="83"/>
      <c r="W775" s="83"/>
      <c r="X775" s="83"/>
      <c r="Y775" s="83"/>
      <c r="Z775" s="83"/>
      <c r="AA775" s="83"/>
      <c r="AB775" s="83"/>
      <c r="AC775" s="83"/>
      <c r="AD775" s="83"/>
      <c r="AE775" s="83"/>
      <c r="AF775" s="83"/>
      <c r="AG775" s="83"/>
      <c r="AH775" s="83"/>
      <c r="AI775" s="83"/>
      <c r="AJ775" s="83"/>
      <c r="AK775" s="83"/>
    </row>
    <row r="776">
      <c r="A776" s="83"/>
      <c r="B776" s="83"/>
      <c r="C776" s="83"/>
      <c r="D776" s="83"/>
      <c r="E776" s="118"/>
      <c r="F776" s="118"/>
      <c r="G776" s="118"/>
      <c r="H776" s="118"/>
      <c r="I776" s="118"/>
      <c r="J776" s="118"/>
      <c r="K776" s="118"/>
      <c r="L776" s="118"/>
      <c r="M776" s="118"/>
      <c r="N776" s="83"/>
      <c r="O776" s="83"/>
      <c r="P776" s="83"/>
      <c r="Q776" s="83"/>
      <c r="R776" s="83"/>
      <c r="S776" s="83"/>
      <c r="T776" s="83"/>
      <c r="U776" s="83"/>
      <c r="V776" s="83"/>
      <c r="W776" s="83"/>
      <c r="X776" s="83"/>
      <c r="Y776" s="83"/>
      <c r="Z776" s="83"/>
      <c r="AA776" s="83"/>
      <c r="AB776" s="83"/>
      <c r="AC776" s="83"/>
      <c r="AD776" s="83"/>
      <c r="AE776" s="83"/>
      <c r="AF776" s="83"/>
      <c r="AG776" s="83"/>
      <c r="AH776" s="83"/>
      <c r="AI776" s="83"/>
      <c r="AJ776" s="83"/>
      <c r="AK776" s="83"/>
    </row>
    <row r="777">
      <c r="A777" s="83"/>
      <c r="B777" s="83"/>
      <c r="C777" s="83"/>
      <c r="D777" s="83"/>
      <c r="E777" s="118"/>
      <c r="F777" s="118"/>
      <c r="G777" s="118"/>
      <c r="H777" s="118"/>
      <c r="I777" s="118"/>
      <c r="J777" s="118"/>
      <c r="K777" s="118"/>
      <c r="L777" s="118"/>
      <c r="M777" s="118"/>
      <c r="N777" s="83"/>
      <c r="O777" s="83"/>
      <c r="P777" s="83"/>
      <c r="Q777" s="83"/>
      <c r="R777" s="83"/>
      <c r="S777" s="83"/>
      <c r="T777" s="83"/>
      <c r="U777" s="83"/>
      <c r="V777" s="83"/>
      <c r="W777" s="83"/>
      <c r="X777" s="83"/>
      <c r="Y777" s="83"/>
      <c r="Z777" s="83"/>
      <c r="AA777" s="83"/>
      <c r="AB777" s="83"/>
      <c r="AC777" s="83"/>
      <c r="AD777" s="83"/>
      <c r="AE777" s="83"/>
      <c r="AF777" s="83"/>
      <c r="AG777" s="83"/>
      <c r="AH777" s="83"/>
      <c r="AI777" s="83"/>
      <c r="AJ777" s="83"/>
      <c r="AK777" s="83"/>
    </row>
    <row r="778">
      <c r="A778" s="83"/>
      <c r="B778" s="83"/>
      <c r="C778" s="83"/>
      <c r="D778" s="83"/>
      <c r="E778" s="118"/>
      <c r="F778" s="118"/>
      <c r="G778" s="118"/>
      <c r="H778" s="118"/>
      <c r="I778" s="118"/>
      <c r="J778" s="118"/>
      <c r="K778" s="118"/>
      <c r="L778" s="118"/>
      <c r="M778" s="118"/>
      <c r="N778" s="83"/>
      <c r="O778" s="83"/>
      <c r="P778" s="83"/>
      <c r="Q778" s="83"/>
      <c r="R778" s="83"/>
      <c r="S778" s="83"/>
      <c r="T778" s="83"/>
      <c r="U778" s="83"/>
      <c r="V778" s="83"/>
      <c r="W778" s="83"/>
      <c r="X778" s="83"/>
      <c r="Y778" s="83"/>
      <c r="Z778" s="83"/>
      <c r="AA778" s="83"/>
      <c r="AB778" s="83"/>
      <c r="AC778" s="83"/>
      <c r="AD778" s="83"/>
      <c r="AE778" s="83"/>
      <c r="AF778" s="83"/>
      <c r="AG778" s="83"/>
      <c r="AH778" s="83"/>
      <c r="AI778" s="83"/>
      <c r="AJ778" s="83"/>
      <c r="AK778" s="83"/>
    </row>
    <row r="779">
      <c r="A779" s="83"/>
      <c r="B779" s="83"/>
      <c r="C779" s="83"/>
      <c r="D779" s="83"/>
      <c r="E779" s="118"/>
      <c r="F779" s="118"/>
      <c r="G779" s="118"/>
      <c r="H779" s="118"/>
      <c r="I779" s="118"/>
      <c r="J779" s="118"/>
      <c r="K779" s="118"/>
      <c r="L779" s="118"/>
      <c r="M779" s="118"/>
      <c r="N779" s="83"/>
      <c r="O779" s="83"/>
      <c r="P779" s="83"/>
      <c r="Q779" s="83"/>
      <c r="R779" s="83"/>
      <c r="S779" s="83"/>
      <c r="T779" s="83"/>
      <c r="U779" s="83"/>
      <c r="V779" s="83"/>
      <c r="W779" s="83"/>
      <c r="X779" s="83"/>
      <c r="Y779" s="83"/>
      <c r="Z779" s="83"/>
      <c r="AA779" s="83"/>
      <c r="AB779" s="83"/>
      <c r="AC779" s="83"/>
      <c r="AD779" s="83"/>
      <c r="AE779" s="83"/>
      <c r="AF779" s="83"/>
      <c r="AG779" s="83"/>
      <c r="AH779" s="83"/>
      <c r="AI779" s="83"/>
      <c r="AJ779" s="83"/>
      <c r="AK779" s="83"/>
    </row>
    <row r="780">
      <c r="A780" s="83"/>
      <c r="B780" s="83"/>
      <c r="C780" s="83"/>
      <c r="D780" s="83"/>
      <c r="E780" s="118"/>
      <c r="F780" s="118"/>
      <c r="G780" s="118"/>
      <c r="H780" s="118"/>
      <c r="I780" s="118"/>
      <c r="J780" s="118"/>
      <c r="K780" s="118"/>
      <c r="L780" s="118"/>
      <c r="M780" s="118"/>
      <c r="N780" s="83"/>
      <c r="O780" s="83"/>
      <c r="P780" s="83"/>
      <c r="Q780" s="83"/>
      <c r="R780" s="83"/>
      <c r="S780" s="83"/>
      <c r="T780" s="83"/>
      <c r="U780" s="83"/>
      <c r="V780" s="83"/>
      <c r="W780" s="83"/>
      <c r="X780" s="83"/>
      <c r="Y780" s="83"/>
      <c r="Z780" s="83"/>
      <c r="AA780" s="83"/>
      <c r="AB780" s="83"/>
      <c r="AC780" s="83"/>
      <c r="AD780" s="83"/>
      <c r="AE780" s="83"/>
      <c r="AF780" s="83"/>
      <c r="AG780" s="83"/>
      <c r="AH780" s="83"/>
      <c r="AI780" s="83"/>
      <c r="AJ780" s="83"/>
      <c r="AK780" s="83"/>
    </row>
    <row r="781">
      <c r="A781" s="83"/>
      <c r="B781" s="83"/>
      <c r="C781" s="83"/>
      <c r="D781" s="83"/>
      <c r="E781" s="118"/>
      <c r="F781" s="118"/>
      <c r="G781" s="118"/>
      <c r="H781" s="118"/>
      <c r="I781" s="118"/>
      <c r="J781" s="118"/>
      <c r="K781" s="118"/>
      <c r="L781" s="118"/>
      <c r="M781" s="118"/>
      <c r="N781" s="83"/>
      <c r="O781" s="83"/>
      <c r="P781" s="83"/>
      <c r="Q781" s="83"/>
      <c r="R781" s="83"/>
      <c r="S781" s="83"/>
      <c r="T781" s="83"/>
      <c r="U781" s="83"/>
      <c r="V781" s="83"/>
      <c r="W781" s="83"/>
      <c r="X781" s="83"/>
      <c r="Y781" s="83"/>
      <c r="Z781" s="83"/>
      <c r="AA781" s="83"/>
      <c r="AB781" s="83"/>
      <c r="AC781" s="83"/>
      <c r="AD781" s="83"/>
      <c r="AE781" s="83"/>
      <c r="AF781" s="83"/>
      <c r="AG781" s="83"/>
      <c r="AH781" s="83"/>
      <c r="AI781" s="83"/>
      <c r="AJ781" s="83"/>
      <c r="AK781" s="83"/>
    </row>
    <row r="782">
      <c r="A782" s="83"/>
      <c r="B782" s="83"/>
      <c r="C782" s="83"/>
      <c r="D782" s="83"/>
      <c r="E782" s="118"/>
      <c r="F782" s="118"/>
      <c r="G782" s="118"/>
      <c r="H782" s="118"/>
      <c r="I782" s="118"/>
      <c r="J782" s="118"/>
      <c r="K782" s="118"/>
      <c r="L782" s="118"/>
      <c r="M782" s="118"/>
      <c r="N782" s="83"/>
      <c r="O782" s="83"/>
      <c r="P782" s="83"/>
      <c r="Q782" s="83"/>
      <c r="R782" s="83"/>
      <c r="S782" s="83"/>
      <c r="T782" s="83"/>
      <c r="U782" s="83"/>
      <c r="V782" s="83"/>
      <c r="W782" s="83"/>
      <c r="X782" s="83"/>
      <c r="Y782" s="83"/>
      <c r="Z782" s="83"/>
      <c r="AA782" s="83"/>
      <c r="AB782" s="83"/>
      <c r="AC782" s="83"/>
      <c r="AD782" s="83"/>
      <c r="AE782" s="83"/>
      <c r="AF782" s="83"/>
      <c r="AG782" s="83"/>
      <c r="AH782" s="83"/>
      <c r="AI782" s="83"/>
      <c r="AJ782" s="83"/>
      <c r="AK782" s="83"/>
    </row>
    <row r="783">
      <c r="A783" s="83"/>
      <c r="B783" s="83"/>
      <c r="C783" s="83"/>
      <c r="D783" s="83"/>
      <c r="E783" s="118"/>
      <c r="F783" s="118"/>
      <c r="G783" s="118"/>
      <c r="H783" s="118"/>
      <c r="I783" s="118"/>
      <c r="J783" s="118"/>
      <c r="K783" s="118"/>
      <c r="L783" s="118"/>
      <c r="M783" s="118"/>
      <c r="N783" s="83"/>
      <c r="O783" s="83"/>
      <c r="P783" s="83"/>
      <c r="Q783" s="83"/>
      <c r="R783" s="83"/>
      <c r="S783" s="83"/>
      <c r="T783" s="83"/>
      <c r="U783" s="83"/>
      <c r="V783" s="83"/>
      <c r="W783" s="83"/>
      <c r="X783" s="83"/>
      <c r="Y783" s="83"/>
      <c r="Z783" s="83"/>
      <c r="AA783" s="83"/>
      <c r="AB783" s="83"/>
      <c r="AC783" s="83"/>
      <c r="AD783" s="83"/>
      <c r="AE783" s="83"/>
      <c r="AF783" s="83"/>
      <c r="AG783" s="83"/>
      <c r="AH783" s="83"/>
      <c r="AI783" s="83"/>
      <c r="AJ783" s="83"/>
      <c r="AK783" s="83"/>
    </row>
    <row r="784">
      <c r="A784" s="83"/>
      <c r="B784" s="83"/>
      <c r="C784" s="83"/>
      <c r="D784" s="83"/>
      <c r="E784" s="118"/>
      <c r="F784" s="118"/>
      <c r="G784" s="118"/>
      <c r="H784" s="118"/>
      <c r="I784" s="118"/>
      <c r="J784" s="118"/>
      <c r="K784" s="118"/>
      <c r="L784" s="118"/>
      <c r="M784" s="118"/>
      <c r="N784" s="83"/>
      <c r="O784" s="83"/>
      <c r="P784" s="83"/>
      <c r="Q784" s="83"/>
      <c r="R784" s="83"/>
      <c r="S784" s="83"/>
      <c r="T784" s="83"/>
      <c r="U784" s="83"/>
      <c r="V784" s="83"/>
      <c r="W784" s="83"/>
      <c r="X784" s="83"/>
      <c r="Y784" s="83"/>
      <c r="Z784" s="83"/>
      <c r="AA784" s="83"/>
      <c r="AB784" s="83"/>
      <c r="AC784" s="83"/>
      <c r="AD784" s="83"/>
      <c r="AE784" s="83"/>
      <c r="AF784" s="83"/>
      <c r="AG784" s="83"/>
      <c r="AH784" s="83"/>
      <c r="AI784" s="83"/>
      <c r="AJ784" s="83"/>
      <c r="AK784" s="83"/>
    </row>
    <row r="785">
      <c r="A785" s="83"/>
      <c r="B785" s="83"/>
      <c r="C785" s="83"/>
      <c r="D785" s="83"/>
      <c r="E785" s="118"/>
      <c r="F785" s="118"/>
      <c r="G785" s="118"/>
      <c r="H785" s="118"/>
      <c r="I785" s="118"/>
      <c r="J785" s="118"/>
      <c r="K785" s="118"/>
      <c r="L785" s="118"/>
      <c r="M785" s="118"/>
      <c r="N785" s="83"/>
      <c r="O785" s="83"/>
      <c r="P785" s="83"/>
      <c r="Q785" s="83"/>
      <c r="R785" s="83"/>
      <c r="S785" s="83"/>
      <c r="T785" s="83"/>
      <c r="U785" s="83"/>
      <c r="V785" s="83"/>
      <c r="W785" s="83"/>
      <c r="X785" s="83"/>
      <c r="Y785" s="83"/>
      <c r="Z785" s="83"/>
      <c r="AA785" s="83"/>
      <c r="AB785" s="83"/>
      <c r="AC785" s="83"/>
      <c r="AD785" s="83"/>
      <c r="AE785" s="83"/>
      <c r="AF785" s="83"/>
      <c r="AG785" s="83"/>
      <c r="AH785" s="83"/>
      <c r="AI785" s="83"/>
      <c r="AJ785" s="83"/>
      <c r="AK785" s="83"/>
    </row>
    <row r="786">
      <c r="A786" s="83"/>
      <c r="B786" s="83"/>
      <c r="C786" s="83"/>
      <c r="D786" s="83"/>
      <c r="E786" s="118"/>
      <c r="F786" s="118"/>
      <c r="G786" s="118"/>
      <c r="H786" s="118"/>
      <c r="I786" s="118"/>
      <c r="J786" s="118"/>
      <c r="K786" s="118"/>
      <c r="L786" s="118"/>
      <c r="M786" s="118"/>
      <c r="N786" s="83"/>
      <c r="O786" s="83"/>
      <c r="P786" s="83"/>
      <c r="Q786" s="83"/>
      <c r="R786" s="83"/>
      <c r="S786" s="83"/>
      <c r="T786" s="83"/>
      <c r="U786" s="83"/>
      <c r="V786" s="83"/>
      <c r="W786" s="83"/>
      <c r="X786" s="83"/>
      <c r="Y786" s="83"/>
      <c r="Z786" s="83"/>
      <c r="AA786" s="83"/>
      <c r="AB786" s="83"/>
      <c r="AC786" s="83"/>
      <c r="AD786" s="83"/>
      <c r="AE786" s="83"/>
      <c r="AF786" s="83"/>
      <c r="AG786" s="83"/>
      <c r="AH786" s="83"/>
      <c r="AI786" s="83"/>
      <c r="AJ786" s="83"/>
      <c r="AK786" s="83"/>
    </row>
    <row r="787">
      <c r="A787" s="83"/>
      <c r="B787" s="83"/>
      <c r="C787" s="83"/>
      <c r="D787" s="83"/>
      <c r="E787" s="118"/>
      <c r="F787" s="118"/>
      <c r="G787" s="118"/>
      <c r="H787" s="118"/>
      <c r="I787" s="118"/>
      <c r="J787" s="118"/>
      <c r="K787" s="118"/>
      <c r="L787" s="118"/>
      <c r="M787" s="118"/>
      <c r="N787" s="83"/>
      <c r="O787" s="83"/>
      <c r="P787" s="83"/>
      <c r="Q787" s="83"/>
      <c r="R787" s="83"/>
      <c r="S787" s="83"/>
      <c r="T787" s="83"/>
      <c r="U787" s="83"/>
      <c r="V787" s="83"/>
      <c r="W787" s="83"/>
      <c r="X787" s="83"/>
      <c r="Y787" s="83"/>
      <c r="Z787" s="83"/>
      <c r="AA787" s="83"/>
      <c r="AB787" s="83"/>
      <c r="AC787" s="83"/>
      <c r="AD787" s="83"/>
      <c r="AE787" s="83"/>
      <c r="AF787" s="83"/>
      <c r="AG787" s="83"/>
      <c r="AH787" s="83"/>
      <c r="AI787" s="83"/>
      <c r="AJ787" s="83"/>
      <c r="AK787" s="83"/>
    </row>
    <row r="788">
      <c r="A788" s="83"/>
      <c r="B788" s="83"/>
      <c r="C788" s="83"/>
      <c r="D788" s="83"/>
      <c r="E788" s="118"/>
      <c r="F788" s="118"/>
      <c r="G788" s="118"/>
      <c r="H788" s="118"/>
      <c r="I788" s="118"/>
      <c r="J788" s="118"/>
      <c r="K788" s="118"/>
      <c r="L788" s="118"/>
      <c r="M788" s="118"/>
      <c r="N788" s="83"/>
      <c r="O788" s="83"/>
      <c r="P788" s="83"/>
      <c r="Q788" s="83"/>
      <c r="R788" s="83"/>
      <c r="S788" s="83"/>
      <c r="T788" s="83"/>
      <c r="U788" s="83"/>
      <c r="V788" s="83"/>
      <c r="W788" s="83"/>
      <c r="X788" s="83"/>
      <c r="Y788" s="83"/>
      <c r="Z788" s="83"/>
      <c r="AA788" s="83"/>
      <c r="AB788" s="83"/>
      <c r="AC788" s="83"/>
      <c r="AD788" s="83"/>
      <c r="AE788" s="83"/>
      <c r="AF788" s="83"/>
      <c r="AG788" s="83"/>
      <c r="AH788" s="83"/>
      <c r="AI788" s="83"/>
      <c r="AJ788" s="83"/>
      <c r="AK788" s="83"/>
    </row>
    <row r="789">
      <c r="A789" s="83"/>
      <c r="B789" s="83"/>
      <c r="C789" s="83"/>
      <c r="D789" s="83"/>
      <c r="E789" s="118"/>
      <c r="F789" s="118"/>
      <c r="G789" s="118"/>
      <c r="H789" s="118"/>
      <c r="I789" s="118"/>
      <c r="J789" s="118"/>
      <c r="K789" s="118"/>
      <c r="L789" s="118"/>
      <c r="M789" s="118"/>
      <c r="N789" s="83"/>
      <c r="O789" s="83"/>
      <c r="P789" s="83"/>
      <c r="Q789" s="83"/>
      <c r="R789" s="83"/>
      <c r="S789" s="83"/>
      <c r="T789" s="83"/>
      <c r="U789" s="83"/>
      <c r="V789" s="83"/>
      <c r="W789" s="83"/>
      <c r="X789" s="83"/>
      <c r="Y789" s="83"/>
      <c r="Z789" s="83"/>
      <c r="AA789" s="83"/>
      <c r="AB789" s="83"/>
      <c r="AC789" s="83"/>
      <c r="AD789" s="83"/>
      <c r="AE789" s="83"/>
      <c r="AF789" s="83"/>
      <c r="AG789" s="83"/>
      <c r="AH789" s="83"/>
      <c r="AI789" s="83"/>
      <c r="AJ789" s="83"/>
      <c r="AK789" s="83"/>
    </row>
    <row r="790">
      <c r="A790" s="83"/>
      <c r="B790" s="83"/>
      <c r="C790" s="83"/>
      <c r="D790" s="83"/>
      <c r="E790" s="118"/>
      <c r="F790" s="118"/>
      <c r="G790" s="118"/>
      <c r="H790" s="118"/>
      <c r="I790" s="118"/>
      <c r="J790" s="118"/>
      <c r="K790" s="118"/>
      <c r="L790" s="118"/>
      <c r="M790" s="118"/>
      <c r="N790" s="83"/>
      <c r="O790" s="83"/>
      <c r="P790" s="83"/>
      <c r="Q790" s="83"/>
      <c r="R790" s="83"/>
      <c r="S790" s="83"/>
      <c r="T790" s="83"/>
      <c r="U790" s="83"/>
      <c r="V790" s="83"/>
      <c r="W790" s="83"/>
      <c r="X790" s="83"/>
      <c r="Y790" s="83"/>
      <c r="Z790" s="83"/>
      <c r="AA790" s="83"/>
      <c r="AB790" s="83"/>
      <c r="AC790" s="83"/>
      <c r="AD790" s="83"/>
      <c r="AE790" s="83"/>
      <c r="AF790" s="83"/>
      <c r="AG790" s="83"/>
      <c r="AH790" s="83"/>
      <c r="AI790" s="83"/>
      <c r="AJ790" s="83"/>
      <c r="AK790" s="83"/>
    </row>
    <row r="791">
      <c r="A791" s="83"/>
      <c r="B791" s="83"/>
      <c r="C791" s="83"/>
      <c r="D791" s="83"/>
      <c r="E791" s="118"/>
      <c r="F791" s="118"/>
      <c r="G791" s="118"/>
      <c r="H791" s="118"/>
      <c r="I791" s="118"/>
      <c r="J791" s="118"/>
      <c r="K791" s="118"/>
      <c r="L791" s="118"/>
      <c r="M791" s="118"/>
      <c r="N791" s="83"/>
      <c r="O791" s="83"/>
      <c r="P791" s="83"/>
      <c r="Q791" s="83"/>
      <c r="R791" s="83"/>
      <c r="S791" s="83"/>
      <c r="T791" s="83"/>
      <c r="U791" s="83"/>
      <c r="V791" s="83"/>
      <c r="W791" s="83"/>
      <c r="X791" s="83"/>
      <c r="Y791" s="83"/>
      <c r="Z791" s="83"/>
      <c r="AA791" s="83"/>
      <c r="AB791" s="83"/>
      <c r="AC791" s="83"/>
      <c r="AD791" s="83"/>
      <c r="AE791" s="83"/>
      <c r="AF791" s="83"/>
      <c r="AG791" s="83"/>
      <c r="AH791" s="83"/>
      <c r="AI791" s="83"/>
      <c r="AJ791" s="83"/>
      <c r="AK791" s="83"/>
    </row>
    <row r="792">
      <c r="A792" s="83"/>
      <c r="B792" s="83"/>
      <c r="C792" s="83"/>
      <c r="D792" s="83"/>
      <c r="E792" s="118"/>
      <c r="F792" s="118"/>
      <c r="G792" s="118"/>
      <c r="H792" s="118"/>
      <c r="I792" s="118"/>
      <c r="J792" s="118"/>
      <c r="K792" s="118"/>
      <c r="L792" s="118"/>
      <c r="M792" s="118"/>
      <c r="N792" s="83"/>
      <c r="O792" s="83"/>
      <c r="P792" s="83"/>
      <c r="Q792" s="83"/>
      <c r="R792" s="83"/>
      <c r="S792" s="83"/>
      <c r="T792" s="83"/>
      <c r="U792" s="83"/>
      <c r="V792" s="83"/>
      <c r="W792" s="83"/>
      <c r="X792" s="83"/>
      <c r="Y792" s="83"/>
      <c r="Z792" s="83"/>
      <c r="AA792" s="83"/>
      <c r="AB792" s="83"/>
      <c r="AC792" s="83"/>
      <c r="AD792" s="83"/>
      <c r="AE792" s="83"/>
      <c r="AF792" s="83"/>
      <c r="AG792" s="83"/>
      <c r="AH792" s="83"/>
      <c r="AI792" s="83"/>
      <c r="AJ792" s="83"/>
      <c r="AK792" s="83"/>
    </row>
    <row r="793">
      <c r="A793" s="83"/>
      <c r="B793" s="83"/>
      <c r="C793" s="83"/>
      <c r="D793" s="83"/>
      <c r="E793" s="118"/>
      <c r="F793" s="118"/>
      <c r="G793" s="118"/>
      <c r="H793" s="118"/>
      <c r="I793" s="118"/>
      <c r="J793" s="118"/>
      <c r="K793" s="118"/>
      <c r="L793" s="118"/>
      <c r="M793" s="118"/>
      <c r="N793" s="83"/>
      <c r="O793" s="83"/>
      <c r="P793" s="83"/>
      <c r="Q793" s="83"/>
      <c r="R793" s="83"/>
      <c r="S793" s="83"/>
      <c r="T793" s="83"/>
      <c r="U793" s="83"/>
      <c r="V793" s="83"/>
      <c r="W793" s="83"/>
      <c r="X793" s="83"/>
      <c r="Y793" s="83"/>
      <c r="Z793" s="83"/>
      <c r="AA793" s="83"/>
      <c r="AB793" s="83"/>
      <c r="AC793" s="83"/>
      <c r="AD793" s="83"/>
      <c r="AE793" s="83"/>
      <c r="AF793" s="83"/>
      <c r="AG793" s="83"/>
      <c r="AH793" s="83"/>
      <c r="AI793" s="83"/>
      <c r="AJ793" s="83"/>
      <c r="AK793" s="83"/>
    </row>
    <row r="794">
      <c r="A794" s="83"/>
      <c r="B794" s="83"/>
      <c r="C794" s="83"/>
      <c r="D794" s="83"/>
      <c r="E794" s="118"/>
      <c r="F794" s="118"/>
      <c r="G794" s="118"/>
      <c r="H794" s="118"/>
      <c r="I794" s="118"/>
      <c r="J794" s="118"/>
      <c r="K794" s="118"/>
      <c r="L794" s="118"/>
      <c r="M794" s="118"/>
      <c r="N794" s="83"/>
      <c r="O794" s="83"/>
      <c r="P794" s="83"/>
      <c r="Q794" s="83"/>
      <c r="R794" s="83"/>
      <c r="S794" s="83"/>
      <c r="T794" s="83"/>
      <c r="U794" s="83"/>
      <c r="V794" s="83"/>
      <c r="W794" s="83"/>
      <c r="X794" s="83"/>
      <c r="Y794" s="83"/>
      <c r="Z794" s="83"/>
      <c r="AA794" s="83"/>
      <c r="AB794" s="83"/>
      <c r="AC794" s="83"/>
      <c r="AD794" s="83"/>
      <c r="AE794" s="83"/>
      <c r="AF794" s="83"/>
      <c r="AG794" s="83"/>
      <c r="AH794" s="83"/>
      <c r="AI794" s="83"/>
      <c r="AJ794" s="83"/>
      <c r="AK794" s="83"/>
    </row>
    <row r="795">
      <c r="A795" s="83"/>
      <c r="B795" s="83"/>
      <c r="C795" s="83"/>
      <c r="D795" s="83"/>
      <c r="E795" s="118"/>
      <c r="F795" s="118"/>
      <c r="G795" s="118"/>
      <c r="H795" s="118"/>
      <c r="I795" s="118"/>
      <c r="J795" s="118"/>
      <c r="K795" s="118"/>
      <c r="L795" s="118"/>
      <c r="M795" s="118"/>
      <c r="N795" s="83"/>
      <c r="O795" s="83"/>
      <c r="P795" s="83"/>
      <c r="Q795" s="83"/>
      <c r="R795" s="83"/>
      <c r="S795" s="83"/>
      <c r="T795" s="83"/>
      <c r="U795" s="83"/>
      <c r="V795" s="83"/>
      <c r="W795" s="83"/>
      <c r="X795" s="83"/>
      <c r="Y795" s="83"/>
      <c r="Z795" s="83"/>
      <c r="AA795" s="83"/>
      <c r="AB795" s="83"/>
      <c r="AC795" s="83"/>
      <c r="AD795" s="83"/>
      <c r="AE795" s="83"/>
      <c r="AF795" s="83"/>
      <c r="AG795" s="83"/>
      <c r="AH795" s="83"/>
      <c r="AI795" s="83"/>
      <c r="AJ795" s="83"/>
      <c r="AK795" s="83"/>
    </row>
    <row r="796">
      <c r="A796" s="83"/>
      <c r="B796" s="83"/>
      <c r="C796" s="83"/>
      <c r="D796" s="83"/>
      <c r="E796" s="118"/>
      <c r="F796" s="118"/>
      <c r="G796" s="118"/>
      <c r="H796" s="118"/>
      <c r="I796" s="118"/>
      <c r="J796" s="118"/>
      <c r="K796" s="118"/>
      <c r="L796" s="118"/>
      <c r="M796" s="118"/>
      <c r="N796" s="83"/>
      <c r="O796" s="83"/>
      <c r="P796" s="83"/>
      <c r="Q796" s="83"/>
      <c r="R796" s="83"/>
      <c r="S796" s="83"/>
      <c r="T796" s="83"/>
      <c r="U796" s="83"/>
      <c r="V796" s="83"/>
      <c r="W796" s="83"/>
      <c r="X796" s="83"/>
      <c r="Y796" s="83"/>
      <c r="Z796" s="83"/>
      <c r="AA796" s="83"/>
      <c r="AB796" s="83"/>
      <c r="AC796" s="83"/>
      <c r="AD796" s="83"/>
      <c r="AE796" s="83"/>
      <c r="AF796" s="83"/>
      <c r="AG796" s="83"/>
      <c r="AH796" s="83"/>
      <c r="AI796" s="83"/>
      <c r="AJ796" s="83"/>
      <c r="AK796" s="83"/>
    </row>
    <row r="797">
      <c r="A797" s="83"/>
      <c r="B797" s="83"/>
      <c r="C797" s="83"/>
      <c r="D797" s="83"/>
      <c r="E797" s="118"/>
      <c r="F797" s="118"/>
      <c r="G797" s="118"/>
      <c r="H797" s="118"/>
      <c r="I797" s="118"/>
      <c r="J797" s="118"/>
      <c r="K797" s="118"/>
      <c r="L797" s="118"/>
      <c r="M797" s="118"/>
      <c r="N797" s="83"/>
      <c r="O797" s="83"/>
      <c r="P797" s="83"/>
      <c r="Q797" s="83"/>
      <c r="R797" s="83"/>
      <c r="S797" s="83"/>
      <c r="T797" s="83"/>
      <c r="U797" s="83"/>
      <c r="V797" s="83"/>
      <c r="W797" s="83"/>
      <c r="X797" s="83"/>
      <c r="Y797" s="83"/>
      <c r="Z797" s="83"/>
      <c r="AA797" s="83"/>
      <c r="AB797" s="83"/>
      <c r="AC797" s="83"/>
      <c r="AD797" s="83"/>
      <c r="AE797" s="83"/>
      <c r="AF797" s="83"/>
      <c r="AG797" s="83"/>
      <c r="AH797" s="83"/>
      <c r="AI797" s="83"/>
      <c r="AJ797" s="83"/>
      <c r="AK797" s="83"/>
    </row>
    <row r="798">
      <c r="A798" s="83"/>
      <c r="B798" s="83"/>
      <c r="C798" s="83"/>
      <c r="D798" s="83"/>
      <c r="E798" s="118"/>
      <c r="F798" s="118"/>
      <c r="G798" s="118"/>
      <c r="H798" s="118"/>
      <c r="I798" s="118"/>
      <c r="J798" s="118"/>
      <c r="K798" s="118"/>
      <c r="L798" s="118"/>
      <c r="M798" s="118"/>
      <c r="N798" s="83"/>
      <c r="O798" s="83"/>
      <c r="P798" s="83"/>
      <c r="Q798" s="83"/>
      <c r="R798" s="83"/>
      <c r="S798" s="83"/>
      <c r="T798" s="83"/>
      <c r="U798" s="83"/>
      <c r="V798" s="83"/>
      <c r="W798" s="83"/>
      <c r="X798" s="83"/>
      <c r="Y798" s="83"/>
      <c r="Z798" s="83"/>
      <c r="AA798" s="83"/>
      <c r="AB798" s="83"/>
      <c r="AC798" s="83"/>
      <c r="AD798" s="83"/>
      <c r="AE798" s="83"/>
      <c r="AF798" s="83"/>
      <c r="AG798" s="83"/>
      <c r="AH798" s="83"/>
      <c r="AI798" s="83"/>
      <c r="AJ798" s="83"/>
      <c r="AK798" s="83"/>
    </row>
    <row r="799">
      <c r="A799" s="83"/>
      <c r="B799" s="83"/>
      <c r="C799" s="83"/>
      <c r="D799" s="83"/>
      <c r="E799" s="118"/>
      <c r="F799" s="118"/>
      <c r="G799" s="118"/>
      <c r="H799" s="118"/>
      <c r="I799" s="118"/>
      <c r="J799" s="118"/>
      <c r="K799" s="118"/>
      <c r="L799" s="118"/>
      <c r="M799" s="118"/>
      <c r="N799" s="83"/>
      <c r="O799" s="83"/>
      <c r="P799" s="83"/>
      <c r="Q799" s="83"/>
      <c r="R799" s="83"/>
      <c r="S799" s="83"/>
      <c r="T799" s="83"/>
      <c r="U799" s="83"/>
      <c r="V799" s="83"/>
      <c r="W799" s="83"/>
      <c r="X799" s="83"/>
      <c r="Y799" s="83"/>
      <c r="Z799" s="83"/>
      <c r="AA799" s="83"/>
      <c r="AB799" s="83"/>
      <c r="AC799" s="83"/>
      <c r="AD799" s="83"/>
      <c r="AE799" s="83"/>
      <c r="AF799" s="83"/>
      <c r="AG799" s="83"/>
      <c r="AH799" s="83"/>
      <c r="AI799" s="83"/>
      <c r="AJ799" s="83"/>
      <c r="AK799" s="83"/>
    </row>
    <row r="800">
      <c r="A800" s="83"/>
      <c r="B800" s="83"/>
      <c r="C800" s="83"/>
      <c r="D800" s="83"/>
      <c r="E800" s="118"/>
      <c r="F800" s="118"/>
      <c r="G800" s="118"/>
      <c r="H800" s="118"/>
      <c r="I800" s="118"/>
      <c r="J800" s="118"/>
      <c r="K800" s="118"/>
      <c r="L800" s="118"/>
      <c r="M800" s="118"/>
      <c r="N800" s="83"/>
      <c r="O800" s="83"/>
      <c r="P800" s="83"/>
      <c r="Q800" s="83"/>
      <c r="R800" s="83"/>
      <c r="S800" s="83"/>
      <c r="T800" s="83"/>
      <c r="U800" s="83"/>
      <c r="V800" s="83"/>
      <c r="W800" s="83"/>
      <c r="X800" s="83"/>
      <c r="Y800" s="83"/>
      <c r="Z800" s="83"/>
      <c r="AA800" s="83"/>
      <c r="AB800" s="83"/>
      <c r="AC800" s="83"/>
      <c r="AD800" s="83"/>
      <c r="AE800" s="83"/>
      <c r="AF800" s="83"/>
      <c r="AG800" s="83"/>
      <c r="AH800" s="83"/>
      <c r="AI800" s="83"/>
      <c r="AJ800" s="83"/>
      <c r="AK800" s="83"/>
    </row>
    <row r="801">
      <c r="A801" s="83"/>
      <c r="B801" s="83"/>
      <c r="C801" s="83"/>
      <c r="D801" s="83"/>
      <c r="E801" s="118"/>
      <c r="F801" s="118"/>
      <c r="G801" s="118"/>
      <c r="H801" s="118"/>
      <c r="I801" s="118"/>
      <c r="J801" s="118"/>
      <c r="K801" s="118"/>
      <c r="L801" s="118"/>
      <c r="M801" s="118"/>
      <c r="N801" s="83"/>
      <c r="O801" s="83"/>
      <c r="P801" s="83"/>
      <c r="Q801" s="83"/>
      <c r="R801" s="83"/>
      <c r="S801" s="83"/>
      <c r="T801" s="83"/>
      <c r="U801" s="83"/>
      <c r="V801" s="83"/>
      <c r="W801" s="83"/>
      <c r="X801" s="83"/>
      <c r="Y801" s="83"/>
      <c r="Z801" s="83"/>
      <c r="AA801" s="83"/>
      <c r="AB801" s="83"/>
      <c r="AC801" s="83"/>
      <c r="AD801" s="83"/>
      <c r="AE801" s="83"/>
      <c r="AF801" s="83"/>
      <c r="AG801" s="83"/>
      <c r="AH801" s="83"/>
      <c r="AI801" s="83"/>
      <c r="AJ801" s="83"/>
      <c r="AK801" s="83"/>
    </row>
    <row r="802">
      <c r="A802" s="83"/>
      <c r="B802" s="83"/>
      <c r="C802" s="83"/>
      <c r="D802" s="83"/>
      <c r="E802" s="118"/>
      <c r="F802" s="118"/>
      <c r="G802" s="118"/>
      <c r="H802" s="118"/>
      <c r="I802" s="118"/>
      <c r="J802" s="118"/>
      <c r="K802" s="118"/>
      <c r="L802" s="118"/>
      <c r="M802" s="118"/>
      <c r="N802" s="83"/>
      <c r="O802" s="83"/>
      <c r="P802" s="83"/>
      <c r="Q802" s="83"/>
      <c r="R802" s="83"/>
      <c r="S802" s="83"/>
      <c r="T802" s="83"/>
      <c r="U802" s="83"/>
      <c r="V802" s="83"/>
      <c r="W802" s="83"/>
      <c r="X802" s="83"/>
      <c r="Y802" s="83"/>
      <c r="Z802" s="83"/>
      <c r="AA802" s="83"/>
      <c r="AB802" s="83"/>
      <c r="AC802" s="83"/>
      <c r="AD802" s="83"/>
      <c r="AE802" s="83"/>
      <c r="AF802" s="83"/>
      <c r="AG802" s="83"/>
      <c r="AH802" s="83"/>
      <c r="AI802" s="83"/>
      <c r="AJ802" s="83"/>
      <c r="AK802" s="83"/>
    </row>
    <row r="803">
      <c r="A803" s="83"/>
      <c r="B803" s="83"/>
      <c r="C803" s="83"/>
      <c r="D803" s="83"/>
      <c r="E803" s="118"/>
      <c r="F803" s="118"/>
      <c r="G803" s="118"/>
      <c r="H803" s="118"/>
      <c r="I803" s="118"/>
      <c r="J803" s="118"/>
      <c r="K803" s="118"/>
      <c r="L803" s="118"/>
      <c r="M803" s="118"/>
      <c r="N803" s="83"/>
      <c r="O803" s="83"/>
      <c r="P803" s="83"/>
      <c r="Q803" s="83"/>
      <c r="R803" s="83"/>
      <c r="S803" s="83"/>
      <c r="T803" s="83"/>
      <c r="U803" s="83"/>
      <c r="V803" s="83"/>
      <c r="W803" s="83"/>
      <c r="X803" s="83"/>
      <c r="Y803" s="83"/>
      <c r="Z803" s="83"/>
      <c r="AA803" s="83"/>
      <c r="AB803" s="83"/>
      <c r="AC803" s="83"/>
      <c r="AD803" s="83"/>
      <c r="AE803" s="83"/>
      <c r="AF803" s="83"/>
      <c r="AG803" s="83"/>
      <c r="AH803" s="83"/>
      <c r="AI803" s="83"/>
      <c r="AJ803" s="83"/>
      <c r="AK803" s="83"/>
    </row>
    <row r="804">
      <c r="A804" s="83"/>
      <c r="B804" s="83"/>
      <c r="C804" s="83"/>
      <c r="D804" s="83"/>
      <c r="E804" s="118"/>
      <c r="F804" s="118"/>
      <c r="G804" s="118"/>
      <c r="H804" s="118"/>
      <c r="I804" s="118"/>
      <c r="J804" s="118"/>
      <c r="K804" s="118"/>
      <c r="L804" s="118"/>
      <c r="M804" s="118"/>
      <c r="N804" s="83"/>
      <c r="O804" s="83"/>
      <c r="P804" s="83"/>
      <c r="Q804" s="83"/>
      <c r="R804" s="83"/>
      <c r="S804" s="83"/>
      <c r="T804" s="83"/>
      <c r="U804" s="83"/>
      <c r="V804" s="83"/>
      <c r="W804" s="83"/>
      <c r="X804" s="83"/>
      <c r="Y804" s="83"/>
      <c r="Z804" s="83"/>
      <c r="AA804" s="83"/>
      <c r="AB804" s="83"/>
      <c r="AC804" s="83"/>
      <c r="AD804" s="83"/>
      <c r="AE804" s="83"/>
      <c r="AF804" s="83"/>
      <c r="AG804" s="83"/>
      <c r="AH804" s="83"/>
      <c r="AI804" s="83"/>
      <c r="AJ804" s="83"/>
      <c r="AK804" s="83"/>
    </row>
    <row r="805">
      <c r="A805" s="83"/>
      <c r="B805" s="83"/>
      <c r="C805" s="83"/>
      <c r="D805" s="83"/>
      <c r="E805" s="118"/>
      <c r="F805" s="118"/>
      <c r="G805" s="118"/>
      <c r="H805" s="118"/>
      <c r="I805" s="118"/>
      <c r="J805" s="118"/>
      <c r="K805" s="118"/>
      <c r="L805" s="118"/>
      <c r="M805" s="118"/>
      <c r="N805" s="83"/>
      <c r="O805" s="83"/>
      <c r="P805" s="83"/>
      <c r="Q805" s="83"/>
      <c r="R805" s="83"/>
      <c r="S805" s="83"/>
      <c r="T805" s="83"/>
      <c r="U805" s="83"/>
      <c r="V805" s="83"/>
      <c r="W805" s="83"/>
      <c r="X805" s="83"/>
      <c r="Y805" s="83"/>
      <c r="Z805" s="83"/>
      <c r="AA805" s="83"/>
      <c r="AB805" s="83"/>
      <c r="AC805" s="83"/>
      <c r="AD805" s="83"/>
      <c r="AE805" s="83"/>
      <c r="AF805" s="83"/>
      <c r="AG805" s="83"/>
      <c r="AH805" s="83"/>
      <c r="AI805" s="83"/>
      <c r="AJ805" s="83"/>
      <c r="AK805" s="83"/>
    </row>
    <row r="806">
      <c r="A806" s="83"/>
      <c r="B806" s="83"/>
      <c r="C806" s="83"/>
      <c r="D806" s="83"/>
      <c r="E806" s="118"/>
      <c r="F806" s="118"/>
      <c r="G806" s="118"/>
      <c r="H806" s="118"/>
      <c r="I806" s="118"/>
      <c r="J806" s="118"/>
      <c r="K806" s="118"/>
      <c r="L806" s="118"/>
      <c r="M806" s="118"/>
      <c r="N806" s="83"/>
      <c r="O806" s="83"/>
      <c r="P806" s="83"/>
      <c r="Q806" s="83"/>
      <c r="R806" s="83"/>
      <c r="S806" s="83"/>
      <c r="T806" s="83"/>
      <c r="U806" s="83"/>
      <c r="V806" s="83"/>
      <c r="W806" s="83"/>
      <c r="X806" s="83"/>
      <c r="Y806" s="83"/>
      <c r="Z806" s="83"/>
      <c r="AA806" s="83"/>
      <c r="AB806" s="83"/>
      <c r="AC806" s="83"/>
      <c r="AD806" s="83"/>
      <c r="AE806" s="83"/>
      <c r="AF806" s="83"/>
      <c r="AG806" s="83"/>
      <c r="AH806" s="83"/>
      <c r="AI806" s="83"/>
      <c r="AJ806" s="83"/>
      <c r="AK806" s="83"/>
    </row>
    <row r="807">
      <c r="A807" s="83"/>
      <c r="B807" s="83"/>
      <c r="C807" s="83"/>
      <c r="D807" s="83"/>
      <c r="E807" s="118"/>
      <c r="F807" s="118"/>
      <c r="G807" s="118"/>
      <c r="H807" s="118"/>
      <c r="I807" s="118"/>
      <c r="J807" s="118"/>
      <c r="K807" s="118"/>
      <c r="L807" s="118"/>
      <c r="M807" s="118"/>
      <c r="N807" s="83"/>
      <c r="O807" s="83"/>
      <c r="P807" s="83"/>
      <c r="Q807" s="83"/>
      <c r="R807" s="83"/>
      <c r="S807" s="83"/>
      <c r="T807" s="83"/>
      <c r="U807" s="83"/>
      <c r="V807" s="83"/>
      <c r="W807" s="83"/>
      <c r="X807" s="83"/>
      <c r="Y807" s="83"/>
      <c r="Z807" s="83"/>
      <c r="AA807" s="83"/>
      <c r="AB807" s="83"/>
      <c r="AC807" s="83"/>
      <c r="AD807" s="83"/>
      <c r="AE807" s="83"/>
      <c r="AF807" s="83"/>
      <c r="AG807" s="83"/>
      <c r="AH807" s="83"/>
      <c r="AI807" s="83"/>
      <c r="AJ807" s="83"/>
      <c r="AK807" s="83"/>
    </row>
    <row r="808">
      <c r="A808" s="83"/>
      <c r="B808" s="83"/>
      <c r="C808" s="83"/>
      <c r="D808" s="83"/>
      <c r="E808" s="118"/>
      <c r="F808" s="118"/>
      <c r="G808" s="118"/>
      <c r="H808" s="118"/>
      <c r="I808" s="118"/>
      <c r="J808" s="118"/>
      <c r="K808" s="118"/>
      <c r="L808" s="118"/>
      <c r="M808" s="118"/>
      <c r="N808" s="83"/>
      <c r="O808" s="83"/>
      <c r="P808" s="83"/>
      <c r="Q808" s="83"/>
      <c r="R808" s="83"/>
      <c r="S808" s="83"/>
      <c r="T808" s="83"/>
      <c r="U808" s="83"/>
      <c r="V808" s="83"/>
      <c r="W808" s="83"/>
      <c r="X808" s="83"/>
      <c r="Y808" s="83"/>
      <c r="Z808" s="83"/>
      <c r="AA808" s="83"/>
      <c r="AB808" s="83"/>
      <c r="AC808" s="83"/>
      <c r="AD808" s="83"/>
      <c r="AE808" s="83"/>
      <c r="AF808" s="83"/>
      <c r="AG808" s="83"/>
      <c r="AH808" s="83"/>
      <c r="AI808" s="83"/>
      <c r="AJ808" s="83"/>
      <c r="AK808" s="83"/>
    </row>
    <row r="809">
      <c r="A809" s="83"/>
      <c r="B809" s="83"/>
      <c r="C809" s="83"/>
      <c r="D809" s="83"/>
      <c r="E809" s="118"/>
      <c r="F809" s="118"/>
      <c r="G809" s="118"/>
      <c r="H809" s="118"/>
      <c r="I809" s="118"/>
      <c r="J809" s="118"/>
      <c r="K809" s="118"/>
      <c r="L809" s="118"/>
      <c r="M809" s="118"/>
      <c r="N809" s="83"/>
      <c r="O809" s="83"/>
      <c r="P809" s="83"/>
      <c r="Q809" s="83"/>
      <c r="R809" s="83"/>
      <c r="S809" s="83"/>
      <c r="T809" s="83"/>
      <c r="U809" s="83"/>
      <c r="V809" s="83"/>
      <c r="W809" s="83"/>
      <c r="X809" s="83"/>
      <c r="Y809" s="83"/>
      <c r="Z809" s="83"/>
      <c r="AA809" s="83"/>
      <c r="AB809" s="83"/>
      <c r="AC809" s="83"/>
      <c r="AD809" s="83"/>
      <c r="AE809" s="83"/>
      <c r="AF809" s="83"/>
      <c r="AG809" s="83"/>
      <c r="AH809" s="83"/>
      <c r="AI809" s="83"/>
      <c r="AJ809" s="83"/>
      <c r="AK809" s="83"/>
    </row>
    <row r="810">
      <c r="A810" s="83"/>
      <c r="B810" s="83"/>
      <c r="C810" s="83"/>
      <c r="D810" s="83"/>
      <c r="E810" s="118"/>
      <c r="F810" s="118"/>
      <c r="G810" s="118"/>
      <c r="H810" s="118"/>
      <c r="I810" s="118"/>
      <c r="J810" s="118"/>
      <c r="K810" s="118"/>
      <c r="L810" s="118"/>
      <c r="M810" s="118"/>
      <c r="N810" s="83"/>
      <c r="O810" s="83"/>
      <c r="P810" s="83"/>
      <c r="Q810" s="83"/>
      <c r="R810" s="83"/>
      <c r="S810" s="83"/>
      <c r="T810" s="83"/>
      <c r="U810" s="83"/>
      <c r="V810" s="83"/>
      <c r="W810" s="83"/>
      <c r="X810" s="83"/>
      <c r="Y810" s="83"/>
      <c r="Z810" s="83"/>
      <c r="AA810" s="83"/>
      <c r="AB810" s="83"/>
      <c r="AC810" s="83"/>
      <c r="AD810" s="83"/>
      <c r="AE810" s="83"/>
      <c r="AF810" s="83"/>
      <c r="AG810" s="83"/>
      <c r="AH810" s="83"/>
      <c r="AI810" s="83"/>
      <c r="AJ810" s="83"/>
      <c r="AK810" s="83"/>
    </row>
    <row r="811">
      <c r="A811" s="83"/>
      <c r="B811" s="83"/>
      <c r="C811" s="83"/>
      <c r="D811" s="83"/>
      <c r="E811" s="118"/>
      <c r="F811" s="118"/>
      <c r="G811" s="118"/>
      <c r="H811" s="118"/>
      <c r="I811" s="118"/>
      <c r="J811" s="118"/>
      <c r="K811" s="118"/>
      <c r="L811" s="118"/>
      <c r="M811" s="118"/>
      <c r="N811" s="83"/>
      <c r="O811" s="83"/>
      <c r="P811" s="83"/>
      <c r="Q811" s="83"/>
      <c r="R811" s="83"/>
      <c r="S811" s="83"/>
      <c r="T811" s="83"/>
      <c r="U811" s="83"/>
      <c r="V811" s="83"/>
      <c r="W811" s="83"/>
      <c r="X811" s="83"/>
      <c r="Y811" s="83"/>
      <c r="Z811" s="83"/>
      <c r="AA811" s="83"/>
      <c r="AB811" s="83"/>
      <c r="AC811" s="83"/>
      <c r="AD811" s="83"/>
      <c r="AE811" s="83"/>
      <c r="AF811" s="83"/>
      <c r="AG811" s="83"/>
      <c r="AH811" s="83"/>
      <c r="AI811" s="83"/>
      <c r="AJ811" s="83"/>
      <c r="AK811" s="83"/>
    </row>
    <row r="812">
      <c r="A812" s="83"/>
      <c r="B812" s="83"/>
      <c r="C812" s="83"/>
      <c r="D812" s="83"/>
      <c r="E812" s="118"/>
      <c r="F812" s="118"/>
      <c r="G812" s="118"/>
      <c r="H812" s="118"/>
      <c r="I812" s="118"/>
      <c r="J812" s="118"/>
      <c r="K812" s="118"/>
      <c r="L812" s="118"/>
      <c r="M812" s="118"/>
      <c r="N812" s="83"/>
      <c r="O812" s="83"/>
      <c r="P812" s="83"/>
      <c r="Q812" s="83"/>
      <c r="R812" s="83"/>
      <c r="S812" s="83"/>
      <c r="T812" s="83"/>
      <c r="U812" s="83"/>
      <c r="V812" s="83"/>
      <c r="W812" s="83"/>
      <c r="X812" s="83"/>
      <c r="Y812" s="83"/>
      <c r="Z812" s="83"/>
      <c r="AA812" s="83"/>
      <c r="AB812" s="83"/>
      <c r="AC812" s="83"/>
      <c r="AD812" s="83"/>
      <c r="AE812" s="83"/>
      <c r="AF812" s="83"/>
      <c r="AG812" s="83"/>
      <c r="AH812" s="83"/>
      <c r="AI812" s="83"/>
      <c r="AJ812" s="83"/>
      <c r="AK812" s="83"/>
    </row>
    <row r="813">
      <c r="A813" s="83"/>
      <c r="B813" s="83"/>
      <c r="C813" s="83"/>
      <c r="D813" s="83"/>
      <c r="E813" s="118"/>
      <c r="F813" s="118"/>
      <c r="G813" s="118"/>
      <c r="H813" s="118"/>
      <c r="I813" s="118"/>
      <c r="J813" s="118"/>
      <c r="K813" s="118"/>
      <c r="L813" s="118"/>
      <c r="M813" s="118"/>
      <c r="N813" s="83"/>
      <c r="O813" s="83"/>
      <c r="P813" s="83"/>
      <c r="Q813" s="83"/>
      <c r="R813" s="83"/>
      <c r="S813" s="83"/>
      <c r="T813" s="83"/>
      <c r="U813" s="83"/>
      <c r="V813" s="83"/>
      <c r="W813" s="83"/>
      <c r="X813" s="83"/>
      <c r="Y813" s="83"/>
      <c r="Z813" s="83"/>
      <c r="AA813" s="83"/>
      <c r="AB813" s="83"/>
      <c r="AC813" s="83"/>
      <c r="AD813" s="83"/>
      <c r="AE813" s="83"/>
      <c r="AF813" s="83"/>
      <c r="AG813" s="83"/>
      <c r="AH813" s="83"/>
      <c r="AI813" s="83"/>
      <c r="AJ813" s="83"/>
      <c r="AK813" s="83"/>
    </row>
    <row r="814">
      <c r="A814" s="83"/>
      <c r="B814" s="83"/>
      <c r="C814" s="83"/>
      <c r="D814" s="83"/>
      <c r="E814" s="118"/>
      <c r="F814" s="118"/>
      <c r="G814" s="118"/>
      <c r="H814" s="118"/>
      <c r="I814" s="118"/>
      <c r="J814" s="118"/>
      <c r="K814" s="118"/>
      <c r="L814" s="118"/>
      <c r="M814" s="118"/>
      <c r="N814" s="83"/>
      <c r="O814" s="83"/>
      <c r="P814" s="83"/>
      <c r="Q814" s="83"/>
      <c r="R814" s="83"/>
      <c r="S814" s="83"/>
      <c r="T814" s="83"/>
      <c r="U814" s="83"/>
      <c r="V814" s="83"/>
      <c r="W814" s="83"/>
      <c r="X814" s="83"/>
      <c r="Y814" s="83"/>
      <c r="Z814" s="83"/>
      <c r="AA814" s="83"/>
      <c r="AB814" s="83"/>
      <c r="AC814" s="83"/>
      <c r="AD814" s="83"/>
      <c r="AE814" s="83"/>
      <c r="AF814" s="83"/>
      <c r="AG814" s="83"/>
      <c r="AH814" s="83"/>
      <c r="AI814" s="83"/>
      <c r="AJ814" s="83"/>
      <c r="AK814" s="83"/>
    </row>
    <row r="815">
      <c r="A815" s="83"/>
      <c r="B815" s="83"/>
      <c r="C815" s="83"/>
      <c r="D815" s="83"/>
      <c r="E815" s="118"/>
      <c r="F815" s="118"/>
      <c r="G815" s="118"/>
      <c r="H815" s="118"/>
      <c r="I815" s="118"/>
      <c r="J815" s="118"/>
      <c r="K815" s="118"/>
      <c r="L815" s="118"/>
      <c r="M815" s="118"/>
      <c r="N815" s="83"/>
      <c r="O815" s="83"/>
      <c r="P815" s="83"/>
      <c r="Q815" s="83"/>
      <c r="R815" s="83"/>
      <c r="S815" s="83"/>
      <c r="T815" s="83"/>
      <c r="U815" s="83"/>
      <c r="V815" s="83"/>
      <c r="W815" s="83"/>
      <c r="X815" s="83"/>
      <c r="Y815" s="83"/>
      <c r="Z815" s="83"/>
      <c r="AA815" s="83"/>
      <c r="AB815" s="83"/>
      <c r="AC815" s="83"/>
      <c r="AD815" s="83"/>
      <c r="AE815" s="83"/>
      <c r="AF815" s="83"/>
      <c r="AG815" s="83"/>
      <c r="AH815" s="83"/>
      <c r="AI815" s="83"/>
      <c r="AJ815" s="83"/>
      <c r="AK815" s="83"/>
    </row>
    <row r="816">
      <c r="A816" s="83"/>
      <c r="B816" s="83"/>
      <c r="C816" s="83"/>
      <c r="D816" s="83"/>
      <c r="E816" s="118"/>
      <c r="F816" s="118"/>
      <c r="G816" s="118"/>
      <c r="H816" s="118"/>
      <c r="I816" s="118"/>
      <c r="J816" s="118"/>
      <c r="K816" s="118"/>
      <c r="L816" s="118"/>
      <c r="M816" s="118"/>
      <c r="N816" s="83"/>
      <c r="O816" s="83"/>
      <c r="P816" s="83"/>
      <c r="Q816" s="83"/>
      <c r="R816" s="83"/>
      <c r="S816" s="83"/>
      <c r="T816" s="83"/>
      <c r="U816" s="83"/>
      <c r="V816" s="83"/>
      <c r="W816" s="83"/>
      <c r="X816" s="83"/>
      <c r="Y816" s="83"/>
      <c r="Z816" s="83"/>
      <c r="AA816" s="83"/>
      <c r="AB816" s="83"/>
      <c r="AC816" s="83"/>
      <c r="AD816" s="83"/>
      <c r="AE816" s="83"/>
      <c r="AF816" s="83"/>
      <c r="AG816" s="83"/>
      <c r="AH816" s="83"/>
      <c r="AI816" s="83"/>
      <c r="AJ816" s="83"/>
      <c r="AK816" s="83"/>
    </row>
    <row r="817">
      <c r="A817" s="83"/>
      <c r="B817" s="83"/>
      <c r="C817" s="83"/>
      <c r="D817" s="83"/>
      <c r="E817" s="118"/>
      <c r="F817" s="118"/>
      <c r="G817" s="118"/>
      <c r="H817" s="118"/>
      <c r="I817" s="118"/>
      <c r="J817" s="118"/>
      <c r="K817" s="118"/>
      <c r="L817" s="118"/>
      <c r="M817" s="118"/>
      <c r="N817" s="83"/>
      <c r="O817" s="83"/>
      <c r="P817" s="83"/>
      <c r="Q817" s="83"/>
      <c r="R817" s="83"/>
      <c r="S817" s="83"/>
      <c r="T817" s="83"/>
      <c r="U817" s="83"/>
      <c r="V817" s="83"/>
      <c r="W817" s="83"/>
      <c r="X817" s="83"/>
      <c r="Y817" s="83"/>
      <c r="Z817" s="83"/>
      <c r="AA817" s="83"/>
      <c r="AB817" s="83"/>
      <c r="AC817" s="83"/>
      <c r="AD817" s="83"/>
      <c r="AE817" s="83"/>
      <c r="AF817" s="83"/>
      <c r="AG817" s="83"/>
      <c r="AH817" s="83"/>
      <c r="AI817" s="83"/>
      <c r="AJ817" s="83"/>
      <c r="AK817" s="83"/>
    </row>
    <row r="818">
      <c r="A818" s="83"/>
      <c r="B818" s="83"/>
      <c r="C818" s="83"/>
      <c r="D818" s="83"/>
      <c r="E818" s="118"/>
      <c r="F818" s="118"/>
      <c r="G818" s="118"/>
      <c r="H818" s="118"/>
      <c r="I818" s="118"/>
      <c r="J818" s="118"/>
      <c r="K818" s="118"/>
      <c r="L818" s="118"/>
      <c r="M818" s="118"/>
      <c r="N818" s="83"/>
      <c r="O818" s="83"/>
      <c r="P818" s="83"/>
      <c r="Q818" s="83"/>
      <c r="R818" s="83"/>
      <c r="S818" s="83"/>
      <c r="T818" s="83"/>
      <c r="U818" s="83"/>
      <c r="V818" s="83"/>
      <c r="W818" s="83"/>
      <c r="X818" s="83"/>
      <c r="Y818" s="83"/>
      <c r="Z818" s="83"/>
      <c r="AA818" s="83"/>
      <c r="AB818" s="83"/>
      <c r="AC818" s="83"/>
      <c r="AD818" s="83"/>
      <c r="AE818" s="83"/>
      <c r="AF818" s="83"/>
      <c r="AG818" s="83"/>
      <c r="AH818" s="83"/>
      <c r="AI818" s="83"/>
      <c r="AJ818" s="83"/>
      <c r="AK818" s="83"/>
    </row>
    <row r="819">
      <c r="A819" s="83"/>
      <c r="B819" s="83"/>
      <c r="C819" s="83"/>
      <c r="D819" s="83"/>
      <c r="E819" s="118"/>
      <c r="F819" s="118"/>
      <c r="G819" s="118"/>
      <c r="H819" s="118"/>
      <c r="I819" s="118"/>
      <c r="J819" s="118"/>
      <c r="K819" s="118"/>
      <c r="L819" s="118"/>
      <c r="M819" s="118"/>
      <c r="N819" s="83"/>
      <c r="O819" s="83"/>
      <c r="P819" s="83"/>
      <c r="Q819" s="83"/>
      <c r="R819" s="83"/>
      <c r="S819" s="83"/>
      <c r="T819" s="83"/>
      <c r="U819" s="83"/>
      <c r="V819" s="83"/>
      <c r="W819" s="83"/>
      <c r="X819" s="83"/>
      <c r="Y819" s="83"/>
      <c r="Z819" s="83"/>
      <c r="AA819" s="83"/>
      <c r="AB819" s="83"/>
      <c r="AC819" s="83"/>
      <c r="AD819" s="83"/>
      <c r="AE819" s="83"/>
      <c r="AF819" s="83"/>
      <c r="AG819" s="83"/>
      <c r="AH819" s="83"/>
      <c r="AI819" s="83"/>
      <c r="AJ819" s="83"/>
      <c r="AK819" s="83"/>
    </row>
    <row r="820">
      <c r="A820" s="83"/>
      <c r="B820" s="83"/>
      <c r="C820" s="83"/>
      <c r="D820" s="83"/>
      <c r="E820" s="118"/>
      <c r="F820" s="118"/>
      <c r="G820" s="118"/>
      <c r="H820" s="118"/>
      <c r="I820" s="118"/>
      <c r="J820" s="118"/>
      <c r="K820" s="118"/>
      <c r="L820" s="118"/>
      <c r="M820" s="118"/>
      <c r="N820" s="83"/>
      <c r="O820" s="83"/>
      <c r="P820" s="83"/>
      <c r="Q820" s="83"/>
      <c r="R820" s="83"/>
      <c r="S820" s="83"/>
      <c r="T820" s="83"/>
      <c r="U820" s="83"/>
      <c r="V820" s="83"/>
      <c r="W820" s="83"/>
      <c r="X820" s="83"/>
      <c r="Y820" s="83"/>
      <c r="Z820" s="83"/>
      <c r="AA820" s="83"/>
      <c r="AB820" s="83"/>
      <c r="AC820" s="83"/>
      <c r="AD820" s="83"/>
      <c r="AE820" s="83"/>
      <c r="AF820" s="83"/>
      <c r="AG820" s="83"/>
      <c r="AH820" s="83"/>
      <c r="AI820" s="83"/>
      <c r="AJ820" s="83"/>
      <c r="AK820" s="83"/>
    </row>
    <row r="821">
      <c r="A821" s="83"/>
      <c r="B821" s="83"/>
      <c r="C821" s="83"/>
      <c r="D821" s="83"/>
      <c r="E821" s="118"/>
      <c r="F821" s="118"/>
      <c r="G821" s="118"/>
      <c r="H821" s="118"/>
      <c r="I821" s="118"/>
      <c r="J821" s="118"/>
      <c r="K821" s="118"/>
      <c r="L821" s="118"/>
      <c r="M821" s="118"/>
      <c r="N821" s="83"/>
      <c r="O821" s="83"/>
      <c r="P821" s="83"/>
      <c r="Q821" s="83"/>
      <c r="R821" s="83"/>
      <c r="S821" s="83"/>
      <c r="T821" s="83"/>
      <c r="U821" s="83"/>
      <c r="V821" s="83"/>
      <c r="W821" s="83"/>
      <c r="X821" s="83"/>
      <c r="Y821" s="83"/>
      <c r="Z821" s="83"/>
      <c r="AA821" s="83"/>
      <c r="AB821" s="83"/>
      <c r="AC821" s="83"/>
      <c r="AD821" s="83"/>
      <c r="AE821" s="83"/>
      <c r="AF821" s="83"/>
      <c r="AG821" s="83"/>
      <c r="AH821" s="83"/>
      <c r="AI821" s="83"/>
      <c r="AJ821" s="83"/>
      <c r="AK821" s="83"/>
    </row>
    <row r="822">
      <c r="A822" s="83"/>
      <c r="B822" s="83"/>
      <c r="C822" s="83"/>
      <c r="D822" s="83"/>
      <c r="E822" s="118"/>
      <c r="F822" s="118"/>
      <c r="G822" s="118"/>
      <c r="H822" s="118"/>
      <c r="I822" s="118"/>
      <c r="J822" s="118"/>
      <c r="K822" s="118"/>
      <c r="L822" s="118"/>
      <c r="M822" s="118"/>
      <c r="N822" s="83"/>
      <c r="O822" s="83"/>
      <c r="P822" s="83"/>
      <c r="Q822" s="83"/>
      <c r="R822" s="83"/>
      <c r="S822" s="83"/>
      <c r="T822" s="83"/>
      <c r="U822" s="83"/>
      <c r="V822" s="83"/>
      <c r="W822" s="83"/>
      <c r="X822" s="83"/>
      <c r="Y822" s="83"/>
      <c r="Z822" s="83"/>
      <c r="AA822" s="83"/>
      <c r="AB822" s="83"/>
      <c r="AC822" s="83"/>
      <c r="AD822" s="83"/>
      <c r="AE822" s="83"/>
      <c r="AF822" s="83"/>
      <c r="AG822" s="83"/>
      <c r="AH822" s="83"/>
      <c r="AI822" s="83"/>
      <c r="AJ822" s="83"/>
      <c r="AK822" s="83"/>
    </row>
    <row r="823">
      <c r="A823" s="83"/>
      <c r="B823" s="83"/>
      <c r="C823" s="83"/>
      <c r="D823" s="83"/>
      <c r="E823" s="118"/>
      <c r="F823" s="118"/>
      <c r="G823" s="118"/>
      <c r="H823" s="118"/>
      <c r="I823" s="118"/>
      <c r="J823" s="118"/>
      <c r="K823" s="118"/>
      <c r="L823" s="118"/>
      <c r="M823" s="118"/>
      <c r="N823" s="83"/>
      <c r="O823" s="83"/>
      <c r="P823" s="83"/>
      <c r="Q823" s="83"/>
      <c r="R823" s="83"/>
      <c r="S823" s="83"/>
      <c r="T823" s="83"/>
      <c r="U823" s="83"/>
      <c r="V823" s="83"/>
      <c r="W823" s="83"/>
      <c r="X823" s="83"/>
      <c r="Y823" s="83"/>
      <c r="Z823" s="83"/>
      <c r="AA823" s="83"/>
      <c r="AB823" s="83"/>
      <c r="AC823" s="83"/>
      <c r="AD823" s="83"/>
      <c r="AE823" s="83"/>
      <c r="AF823" s="83"/>
      <c r="AG823" s="83"/>
      <c r="AH823" s="83"/>
      <c r="AI823" s="83"/>
      <c r="AJ823" s="83"/>
      <c r="AK823" s="83"/>
    </row>
    <row r="824">
      <c r="A824" s="83"/>
      <c r="B824" s="83"/>
      <c r="C824" s="83"/>
      <c r="D824" s="83"/>
      <c r="E824" s="118"/>
      <c r="F824" s="118"/>
      <c r="G824" s="118"/>
      <c r="H824" s="118"/>
      <c r="I824" s="118"/>
      <c r="J824" s="118"/>
      <c r="K824" s="118"/>
      <c r="L824" s="118"/>
      <c r="M824" s="118"/>
      <c r="N824" s="83"/>
      <c r="O824" s="83"/>
      <c r="P824" s="83"/>
      <c r="Q824" s="83"/>
      <c r="R824" s="83"/>
      <c r="S824" s="83"/>
      <c r="T824" s="83"/>
      <c r="U824" s="83"/>
      <c r="V824" s="83"/>
      <c r="W824" s="83"/>
      <c r="X824" s="83"/>
      <c r="Y824" s="83"/>
      <c r="Z824" s="83"/>
      <c r="AA824" s="83"/>
      <c r="AB824" s="83"/>
      <c r="AC824" s="83"/>
      <c r="AD824" s="83"/>
      <c r="AE824" s="83"/>
      <c r="AF824" s="83"/>
      <c r="AG824" s="83"/>
      <c r="AH824" s="83"/>
      <c r="AI824" s="83"/>
      <c r="AJ824" s="83"/>
      <c r="AK824" s="83"/>
    </row>
    <row r="825">
      <c r="A825" s="83"/>
      <c r="B825" s="83"/>
      <c r="C825" s="83"/>
      <c r="D825" s="83"/>
      <c r="E825" s="118"/>
      <c r="F825" s="118"/>
      <c r="G825" s="118"/>
      <c r="H825" s="118"/>
      <c r="I825" s="118"/>
      <c r="J825" s="118"/>
      <c r="K825" s="118"/>
      <c r="L825" s="118"/>
      <c r="M825" s="118"/>
      <c r="N825" s="83"/>
      <c r="O825" s="83"/>
      <c r="P825" s="83"/>
      <c r="Q825" s="83"/>
      <c r="R825" s="83"/>
      <c r="S825" s="83"/>
      <c r="T825" s="83"/>
      <c r="U825" s="83"/>
      <c r="V825" s="83"/>
      <c r="W825" s="83"/>
      <c r="X825" s="83"/>
      <c r="Y825" s="83"/>
      <c r="Z825" s="83"/>
      <c r="AA825" s="83"/>
      <c r="AB825" s="83"/>
      <c r="AC825" s="83"/>
      <c r="AD825" s="83"/>
      <c r="AE825" s="83"/>
      <c r="AF825" s="83"/>
      <c r="AG825" s="83"/>
      <c r="AH825" s="83"/>
      <c r="AI825" s="83"/>
      <c r="AJ825" s="83"/>
      <c r="AK825" s="83"/>
    </row>
    <row r="826">
      <c r="A826" s="83"/>
      <c r="B826" s="83"/>
      <c r="C826" s="83"/>
      <c r="D826" s="83"/>
      <c r="E826" s="118"/>
      <c r="F826" s="118"/>
      <c r="G826" s="118"/>
      <c r="H826" s="118"/>
      <c r="I826" s="118"/>
      <c r="J826" s="118"/>
      <c r="K826" s="118"/>
      <c r="L826" s="118"/>
      <c r="M826" s="118"/>
      <c r="N826" s="83"/>
      <c r="O826" s="83"/>
      <c r="P826" s="83"/>
      <c r="Q826" s="83"/>
      <c r="R826" s="83"/>
      <c r="S826" s="83"/>
      <c r="T826" s="83"/>
      <c r="U826" s="83"/>
      <c r="V826" s="83"/>
      <c r="W826" s="83"/>
      <c r="X826" s="83"/>
      <c r="Y826" s="83"/>
      <c r="Z826" s="83"/>
      <c r="AA826" s="83"/>
      <c r="AB826" s="83"/>
      <c r="AC826" s="83"/>
      <c r="AD826" s="83"/>
      <c r="AE826" s="83"/>
      <c r="AF826" s="83"/>
      <c r="AG826" s="83"/>
      <c r="AH826" s="83"/>
      <c r="AI826" s="83"/>
      <c r="AJ826" s="83"/>
      <c r="AK826" s="83"/>
    </row>
    <row r="827">
      <c r="A827" s="83"/>
      <c r="B827" s="83"/>
      <c r="C827" s="83"/>
      <c r="D827" s="83"/>
      <c r="E827" s="118"/>
      <c r="F827" s="118"/>
      <c r="G827" s="118"/>
      <c r="H827" s="118"/>
      <c r="I827" s="118"/>
      <c r="J827" s="118"/>
      <c r="K827" s="118"/>
      <c r="L827" s="118"/>
      <c r="M827" s="118"/>
      <c r="N827" s="83"/>
      <c r="O827" s="83"/>
      <c r="P827" s="83"/>
      <c r="Q827" s="83"/>
      <c r="R827" s="83"/>
      <c r="S827" s="83"/>
      <c r="T827" s="83"/>
      <c r="U827" s="83"/>
      <c r="V827" s="83"/>
      <c r="W827" s="83"/>
      <c r="X827" s="83"/>
      <c r="Y827" s="83"/>
      <c r="Z827" s="83"/>
      <c r="AA827" s="83"/>
      <c r="AB827" s="83"/>
      <c r="AC827" s="83"/>
      <c r="AD827" s="83"/>
      <c r="AE827" s="83"/>
      <c r="AF827" s="83"/>
      <c r="AG827" s="83"/>
      <c r="AH827" s="83"/>
      <c r="AI827" s="83"/>
      <c r="AJ827" s="83"/>
      <c r="AK827" s="83"/>
    </row>
    <row r="828">
      <c r="A828" s="83"/>
      <c r="B828" s="83"/>
      <c r="C828" s="83"/>
      <c r="D828" s="83"/>
      <c r="E828" s="118"/>
      <c r="F828" s="118"/>
      <c r="G828" s="118"/>
      <c r="H828" s="118"/>
      <c r="I828" s="118"/>
      <c r="J828" s="118"/>
      <c r="K828" s="118"/>
      <c r="L828" s="118"/>
      <c r="M828" s="118"/>
      <c r="N828" s="83"/>
      <c r="O828" s="83"/>
      <c r="P828" s="83"/>
      <c r="Q828" s="83"/>
      <c r="R828" s="83"/>
      <c r="S828" s="83"/>
      <c r="T828" s="83"/>
      <c r="U828" s="83"/>
      <c r="V828" s="83"/>
      <c r="W828" s="83"/>
      <c r="X828" s="83"/>
      <c r="Y828" s="83"/>
      <c r="Z828" s="83"/>
      <c r="AA828" s="83"/>
      <c r="AB828" s="83"/>
      <c r="AC828" s="83"/>
      <c r="AD828" s="83"/>
      <c r="AE828" s="83"/>
      <c r="AF828" s="83"/>
      <c r="AG828" s="83"/>
      <c r="AH828" s="83"/>
      <c r="AI828" s="83"/>
      <c r="AJ828" s="83"/>
      <c r="AK828" s="83"/>
    </row>
    <row r="829">
      <c r="A829" s="83"/>
      <c r="B829" s="83"/>
      <c r="C829" s="83"/>
      <c r="D829" s="83"/>
      <c r="E829" s="118"/>
      <c r="F829" s="118"/>
      <c r="G829" s="118"/>
      <c r="H829" s="118"/>
      <c r="I829" s="118"/>
      <c r="J829" s="118"/>
      <c r="K829" s="118"/>
      <c r="L829" s="118"/>
      <c r="M829" s="118"/>
      <c r="N829" s="83"/>
      <c r="O829" s="83"/>
      <c r="P829" s="83"/>
      <c r="Q829" s="83"/>
      <c r="R829" s="83"/>
      <c r="S829" s="83"/>
      <c r="T829" s="83"/>
      <c r="U829" s="83"/>
      <c r="V829" s="83"/>
      <c r="W829" s="83"/>
      <c r="X829" s="83"/>
      <c r="Y829" s="83"/>
      <c r="Z829" s="83"/>
      <c r="AA829" s="83"/>
      <c r="AB829" s="83"/>
      <c r="AC829" s="83"/>
      <c r="AD829" s="83"/>
      <c r="AE829" s="83"/>
      <c r="AF829" s="83"/>
      <c r="AG829" s="83"/>
      <c r="AH829" s="83"/>
      <c r="AI829" s="83"/>
      <c r="AJ829" s="83"/>
      <c r="AK829" s="83"/>
    </row>
    <row r="830">
      <c r="A830" s="83"/>
      <c r="B830" s="83"/>
      <c r="C830" s="83"/>
      <c r="D830" s="83"/>
      <c r="E830" s="118"/>
      <c r="F830" s="118"/>
      <c r="G830" s="118"/>
      <c r="H830" s="118"/>
      <c r="I830" s="118"/>
      <c r="J830" s="118"/>
      <c r="K830" s="118"/>
      <c r="L830" s="118"/>
      <c r="M830" s="118"/>
      <c r="N830" s="83"/>
      <c r="O830" s="83"/>
      <c r="P830" s="83"/>
      <c r="Q830" s="83"/>
      <c r="R830" s="83"/>
      <c r="S830" s="83"/>
      <c r="T830" s="83"/>
      <c r="U830" s="83"/>
      <c r="V830" s="83"/>
      <c r="W830" s="83"/>
      <c r="X830" s="83"/>
      <c r="Y830" s="83"/>
      <c r="Z830" s="83"/>
      <c r="AA830" s="83"/>
      <c r="AB830" s="83"/>
      <c r="AC830" s="83"/>
      <c r="AD830" s="83"/>
      <c r="AE830" s="83"/>
      <c r="AF830" s="83"/>
      <c r="AG830" s="83"/>
      <c r="AH830" s="83"/>
      <c r="AI830" s="83"/>
      <c r="AJ830" s="83"/>
      <c r="AK830" s="83"/>
    </row>
    <row r="831">
      <c r="A831" s="83"/>
      <c r="B831" s="83"/>
      <c r="C831" s="83"/>
      <c r="D831" s="83"/>
      <c r="E831" s="118"/>
      <c r="F831" s="118"/>
      <c r="G831" s="118"/>
      <c r="H831" s="118"/>
      <c r="I831" s="118"/>
      <c r="J831" s="118"/>
      <c r="K831" s="118"/>
      <c r="L831" s="118"/>
      <c r="M831" s="118"/>
      <c r="N831" s="83"/>
      <c r="O831" s="83"/>
      <c r="P831" s="83"/>
      <c r="Q831" s="83"/>
      <c r="R831" s="83"/>
      <c r="S831" s="83"/>
      <c r="T831" s="83"/>
      <c r="U831" s="83"/>
      <c r="V831" s="83"/>
      <c r="W831" s="83"/>
      <c r="X831" s="83"/>
      <c r="Y831" s="83"/>
      <c r="Z831" s="83"/>
      <c r="AA831" s="83"/>
      <c r="AB831" s="83"/>
      <c r="AC831" s="83"/>
      <c r="AD831" s="83"/>
      <c r="AE831" s="83"/>
      <c r="AF831" s="83"/>
      <c r="AG831" s="83"/>
      <c r="AH831" s="83"/>
      <c r="AI831" s="83"/>
      <c r="AJ831" s="83"/>
      <c r="AK831" s="83"/>
    </row>
    <row r="832">
      <c r="A832" s="83"/>
      <c r="B832" s="83"/>
      <c r="C832" s="83"/>
      <c r="D832" s="83"/>
      <c r="E832" s="118"/>
      <c r="F832" s="118"/>
      <c r="G832" s="118"/>
      <c r="H832" s="118"/>
      <c r="I832" s="118"/>
      <c r="J832" s="118"/>
      <c r="K832" s="118"/>
      <c r="L832" s="118"/>
      <c r="M832" s="118"/>
      <c r="N832" s="83"/>
      <c r="O832" s="83"/>
      <c r="P832" s="83"/>
      <c r="Q832" s="83"/>
      <c r="R832" s="83"/>
      <c r="S832" s="83"/>
      <c r="T832" s="83"/>
      <c r="U832" s="83"/>
      <c r="V832" s="83"/>
      <c r="W832" s="83"/>
      <c r="X832" s="83"/>
      <c r="Y832" s="83"/>
      <c r="Z832" s="83"/>
      <c r="AA832" s="83"/>
      <c r="AB832" s="83"/>
      <c r="AC832" s="83"/>
      <c r="AD832" s="83"/>
      <c r="AE832" s="83"/>
      <c r="AF832" s="83"/>
      <c r="AG832" s="83"/>
      <c r="AH832" s="83"/>
      <c r="AI832" s="83"/>
      <c r="AJ832" s="83"/>
      <c r="AK832" s="83"/>
    </row>
    <row r="833">
      <c r="A833" s="83"/>
      <c r="B833" s="83"/>
      <c r="C833" s="83"/>
      <c r="D833" s="83"/>
      <c r="E833" s="118"/>
      <c r="F833" s="118"/>
      <c r="G833" s="118"/>
      <c r="H833" s="118"/>
      <c r="I833" s="118"/>
      <c r="J833" s="118"/>
      <c r="K833" s="118"/>
      <c r="L833" s="118"/>
      <c r="M833" s="118"/>
      <c r="N833" s="83"/>
      <c r="O833" s="83"/>
      <c r="P833" s="83"/>
      <c r="Q833" s="83"/>
      <c r="R833" s="83"/>
      <c r="S833" s="83"/>
      <c r="T833" s="83"/>
      <c r="U833" s="83"/>
      <c r="V833" s="83"/>
      <c r="W833" s="83"/>
      <c r="X833" s="83"/>
      <c r="Y833" s="83"/>
      <c r="Z833" s="83"/>
      <c r="AA833" s="83"/>
      <c r="AB833" s="83"/>
      <c r="AC833" s="83"/>
      <c r="AD833" s="83"/>
      <c r="AE833" s="83"/>
      <c r="AF833" s="83"/>
      <c r="AG833" s="83"/>
      <c r="AH833" s="83"/>
      <c r="AI833" s="83"/>
      <c r="AJ833" s="83"/>
      <c r="AK833" s="83"/>
    </row>
    <row r="834">
      <c r="A834" s="83"/>
      <c r="B834" s="83"/>
      <c r="C834" s="83"/>
      <c r="D834" s="83"/>
      <c r="E834" s="118"/>
      <c r="F834" s="118"/>
      <c r="G834" s="118"/>
      <c r="H834" s="118"/>
      <c r="I834" s="118"/>
      <c r="J834" s="118"/>
      <c r="K834" s="118"/>
      <c r="L834" s="118"/>
      <c r="M834" s="118"/>
      <c r="N834" s="83"/>
      <c r="O834" s="83"/>
      <c r="P834" s="83"/>
      <c r="Q834" s="83"/>
      <c r="R834" s="83"/>
      <c r="S834" s="83"/>
      <c r="T834" s="83"/>
      <c r="U834" s="83"/>
      <c r="V834" s="83"/>
      <c r="W834" s="83"/>
      <c r="X834" s="83"/>
      <c r="Y834" s="83"/>
      <c r="Z834" s="83"/>
      <c r="AA834" s="83"/>
      <c r="AB834" s="83"/>
      <c r="AC834" s="83"/>
      <c r="AD834" s="83"/>
      <c r="AE834" s="83"/>
      <c r="AF834" s="83"/>
      <c r="AG834" s="83"/>
      <c r="AH834" s="83"/>
      <c r="AI834" s="83"/>
      <c r="AJ834" s="83"/>
      <c r="AK834" s="83"/>
    </row>
    <row r="835">
      <c r="A835" s="83"/>
      <c r="B835" s="83"/>
      <c r="C835" s="83"/>
      <c r="D835" s="83"/>
      <c r="E835" s="118"/>
      <c r="F835" s="118"/>
      <c r="G835" s="118"/>
      <c r="H835" s="118"/>
      <c r="I835" s="118"/>
      <c r="J835" s="118"/>
      <c r="K835" s="118"/>
      <c r="L835" s="118"/>
      <c r="M835" s="118"/>
      <c r="N835" s="83"/>
      <c r="O835" s="83"/>
      <c r="P835" s="83"/>
      <c r="Q835" s="83"/>
      <c r="R835" s="83"/>
      <c r="S835" s="83"/>
      <c r="T835" s="83"/>
      <c r="U835" s="83"/>
      <c r="V835" s="83"/>
      <c r="W835" s="83"/>
      <c r="X835" s="83"/>
      <c r="Y835" s="83"/>
      <c r="Z835" s="83"/>
      <c r="AA835" s="83"/>
      <c r="AB835" s="83"/>
      <c r="AC835" s="83"/>
      <c r="AD835" s="83"/>
      <c r="AE835" s="83"/>
      <c r="AF835" s="83"/>
      <c r="AG835" s="83"/>
      <c r="AH835" s="83"/>
      <c r="AI835" s="83"/>
      <c r="AJ835" s="83"/>
      <c r="AK835" s="83"/>
    </row>
    <row r="836">
      <c r="A836" s="83"/>
      <c r="B836" s="83"/>
      <c r="C836" s="83"/>
      <c r="D836" s="83"/>
      <c r="E836" s="118"/>
      <c r="F836" s="118"/>
      <c r="G836" s="118"/>
      <c r="H836" s="118"/>
      <c r="I836" s="118"/>
      <c r="J836" s="118"/>
      <c r="K836" s="118"/>
      <c r="L836" s="118"/>
      <c r="M836" s="118"/>
      <c r="N836" s="83"/>
      <c r="O836" s="83"/>
      <c r="P836" s="83"/>
      <c r="Q836" s="83"/>
      <c r="R836" s="83"/>
      <c r="S836" s="83"/>
      <c r="T836" s="83"/>
      <c r="U836" s="83"/>
      <c r="V836" s="83"/>
      <c r="W836" s="83"/>
      <c r="X836" s="83"/>
      <c r="Y836" s="83"/>
      <c r="Z836" s="83"/>
      <c r="AA836" s="83"/>
      <c r="AB836" s="83"/>
      <c r="AC836" s="83"/>
      <c r="AD836" s="83"/>
      <c r="AE836" s="83"/>
      <c r="AF836" s="83"/>
      <c r="AG836" s="83"/>
      <c r="AH836" s="83"/>
      <c r="AI836" s="83"/>
      <c r="AJ836" s="83"/>
      <c r="AK836" s="83"/>
    </row>
    <row r="837">
      <c r="A837" s="83"/>
      <c r="B837" s="83"/>
      <c r="C837" s="83"/>
      <c r="D837" s="83"/>
      <c r="E837" s="118"/>
      <c r="F837" s="118"/>
      <c r="G837" s="118"/>
      <c r="H837" s="118"/>
      <c r="I837" s="118"/>
      <c r="J837" s="118"/>
      <c r="K837" s="118"/>
      <c r="L837" s="118"/>
      <c r="M837" s="118"/>
      <c r="N837" s="83"/>
      <c r="O837" s="83"/>
      <c r="P837" s="83"/>
      <c r="Q837" s="83"/>
      <c r="R837" s="83"/>
      <c r="S837" s="83"/>
      <c r="T837" s="83"/>
      <c r="U837" s="83"/>
      <c r="V837" s="83"/>
      <c r="W837" s="83"/>
      <c r="X837" s="83"/>
      <c r="Y837" s="83"/>
      <c r="Z837" s="83"/>
      <c r="AA837" s="83"/>
      <c r="AB837" s="83"/>
      <c r="AC837" s="83"/>
      <c r="AD837" s="83"/>
      <c r="AE837" s="83"/>
      <c r="AF837" s="83"/>
      <c r="AG837" s="83"/>
      <c r="AH837" s="83"/>
      <c r="AI837" s="83"/>
      <c r="AJ837" s="83"/>
      <c r="AK837" s="83"/>
    </row>
    <row r="838">
      <c r="A838" s="83"/>
      <c r="B838" s="83"/>
      <c r="C838" s="83"/>
      <c r="D838" s="83"/>
      <c r="E838" s="118"/>
      <c r="F838" s="118"/>
      <c r="G838" s="118"/>
      <c r="H838" s="118"/>
      <c r="I838" s="118"/>
      <c r="J838" s="118"/>
      <c r="K838" s="118"/>
      <c r="L838" s="118"/>
      <c r="M838" s="118"/>
      <c r="N838" s="83"/>
      <c r="O838" s="83"/>
      <c r="P838" s="83"/>
      <c r="Q838" s="83"/>
      <c r="R838" s="83"/>
      <c r="S838" s="83"/>
      <c r="T838" s="83"/>
      <c r="U838" s="83"/>
      <c r="V838" s="83"/>
      <c r="W838" s="83"/>
      <c r="X838" s="83"/>
      <c r="Y838" s="83"/>
      <c r="Z838" s="83"/>
      <c r="AA838" s="83"/>
      <c r="AB838" s="83"/>
      <c r="AC838" s="83"/>
      <c r="AD838" s="83"/>
      <c r="AE838" s="83"/>
      <c r="AF838" s="83"/>
      <c r="AG838" s="83"/>
      <c r="AH838" s="83"/>
      <c r="AI838" s="83"/>
      <c r="AJ838" s="83"/>
      <c r="AK838" s="83"/>
    </row>
    <row r="839">
      <c r="A839" s="83"/>
      <c r="B839" s="83"/>
      <c r="C839" s="83"/>
      <c r="D839" s="83"/>
      <c r="E839" s="118"/>
      <c r="F839" s="118"/>
      <c r="G839" s="118"/>
      <c r="H839" s="118"/>
      <c r="I839" s="118"/>
      <c r="J839" s="118"/>
      <c r="K839" s="118"/>
      <c r="L839" s="118"/>
      <c r="M839" s="118"/>
      <c r="N839" s="83"/>
      <c r="O839" s="83"/>
      <c r="P839" s="83"/>
      <c r="Q839" s="83"/>
      <c r="R839" s="83"/>
      <c r="S839" s="83"/>
      <c r="T839" s="83"/>
      <c r="U839" s="83"/>
      <c r="V839" s="83"/>
      <c r="W839" s="83"/>
      <c r="X839" s="83"/>
      <c r="Y839" s="83"/>
      <c r="Z839" s="83"/>
      <c r="AA839" s="83"/>
      <c r="AB839" s="83"/>
      <c r="AC839" s="83"/>
      <c r="AD839" s="83"/>
      <c r="AE839" s="83"/>
      <c r="AF839" s="83"/>
      <c r="AG839" s="83"/>
      <c r="AH839" s="83"/>
      <c r="AI839" s="83"/>
      <c r="AJ839" s="83"/>
      <c r="AK839" s="83"/>
    </row>
    <row r="840">
      <c r="A840" s="83"/>
      <c r="B840" s="83"/>
      <c r="C840" s="83"/>
      <c r="D840" s="83"/>
      <c r="E840" s="118"/>
      <c r="F840" s="118"/>
      <c r="G840" s="118"/>
      <c r="H840" s="118"/>
      <c r="I840" s="118"/>
      <c r="J840" s="118"/>
      <c r="K840" s="118"/>
      <c r="L840" s="118"/>
      <c r="M840" s="118"/>
      <c r="N840" s="83"/>
      <c r="O840" s="83"/>
      <c r="P840" s="83"/>
      <c r="Q840" s="83"/>
      <c r="R840" s="83"/>
      <c r="S840" s="83"/>
      <c r="T840" s="83"/>
      <c r="U840" s="83"/>
      <c r="V840" s="83"/>
      <c r="W840" s="83"/>
      <c r="X840" s="83"/>
      <c r="Y840" s="83"/>
      <c r="Z840" s="83"/>
      <c r="AA840" s="83"/>
      <c r="AB840" s="83"/>
      <c r="AC840" s="83"/>
      <c r="AD840" s="83"/>
      <c r="AE840" s="83"/>
      <c r="AF840" s="83"/>
      <c r="AG840" s="83"/>
      <c r="AH840" s="83"/>
      <c r="AI840" s="83"/>
      <c r="AJ840" s="83"/>
      <c r="AK840" s="83"/>
    </row>
    <row r="841">
      <c r="A841" s="83"/>
      <c r="B841" s="83"/>
      <c r="C841" s="83"/>
      <c r="D841" s="83"/>
      <c r="E841" s="118"/>
      <c r="F841" s="118"/>
      <c r="G841" s="118"/>
      <c r="H841" s="118"/>
      <c r="I841" s="118"/>
      <c r="J841" s="118"/>
      <c r="K841" s="118"/>
      <c r="L841" s="118"/>
      <c r="M841" s="118"/>
      <c r="N841" s="83"/>
      <c r="O841" s="83"/>
      <c r="P841" s="83"/>
      <c r="Q841" s="83"/>
      <c r="R841" s="83"/>
      <c r="S841" s="83"/>
      <c r="T841" s="83"/>
      <c r="U841" s="83"/>
      <c r="V841" s="83"/>
      <c r="W841" s="83"/>
      <c r="X841" s="83"/>
      <c r="Y841" s="83"/>
      <c r="Z841" s="83"/>
      <c r="AA841" s="83"/>
      <c r="AB841" s="83"/>
      <c r="AC841" s="83"/>
      <c r="AD841" s="83"/>
      <c r="AE841" s="83"/>
      <c r="AF841" s="83"/>
      <c r="AG841" s="83"/>
      <c r="AH841" s="83"/>
      <c r="AI841" s="83"/>
      <c r="AJ841" s="83"/>
      <c r="AK841" s="83"/>
    </row>
    <row r="842">
      <c r="A842" s="83"/>
      <c r="B842" s="83"/>
      <c r="C842" s="83"/>
      <c r="D842" s="83"/>
      <c r="E842" s="118"/>
      <c r="F842" s="118"/>
      <c r="G842" s="118"/>
      <c r="H842" s="118"/>
      <c r="I842" s="118"/>
      <c r="J842" s="118"/>
      <c r="K842" s="118"/>
      <c r="L842" s="118"/>
      <c r="M842" s="118"/>
      <c r="N842" s="83"/>
      <c r="O842" s="83"/>
      <c r="P842" s="83"/>
      <c r="Q842" s="83"/>
      <c r="R842" s="83"/>
      <c r="S842" s="83"/>
      <c r="T842" s="83"/>
      <c r="U842" s="83"/>
      <c r="V842" s="83"/>
      <c r="W842" s="83"/>
      <c r="X842" s="83"/>
      <c r="Y842" s="83"/>
      <c r="Z842" s="83"/>
      <c r="AA842" s="83"/>
      <c r="AB842" s="83"/>
      <c r="AC842" s="83"/>
      <c r="AD842" s="83"/>
      <c r="AE842" s="83"/>
      <c r="AF842" s="83"/>
      <c r="AG842" s="83"/>
      <c r="AH842" s="83"/>
      <c r="AI842" s="83"/>
      <c r="AJ842" s="83"/>
      <c r="AK842" s="83"/>
    </row>
    <row r="843">
      <c r="A843" s="83"/>
      <c r="B843" s="83"/>
      <c r="C843" s="83"/>
      <c r="D843" s="83"/>
      <c r="E843" s="118"/>
      <c r="F843" s="118"/>
      <c r="G843" s="118"/>
      <c r="H843" s="118"/>
      <c r="I843" s="118"/>
      <c r="J843" s="118"/>
      <c r="K843" s="118"/>
      <c r="L843" s="118"/>
      <c r="M843" s="118"/>
      <c r="N843" s="83"/>
      <c r="O843" s="83"/>
      <c r="P843" s="83"/>
      <c r="Q843" s="83"/>
      <c r="R843" s="83"/>
      <c r="S843" s="83"/>
      <c r="T843" s="83"/>
      <c r="U843" s="83"/>
      <c r="V843" s="83"/>
      <c r="W843" s="83"/>
      <c r="X843" s="83"/>
      <c r="Y843" s="83"/>
      <c r="Z843" s="83"/>
      <c r="AA843" s="83"/>
      <c r="AB843" s="83"/>
      <c r="AC843" s="83"/>
      <c r="AD843" s="83"/>
      <c r="AE843" s="83"/>
      <c r="AF843" s="83"/>
      <c r="AG843" s="83"/>
      <c r="AH843" s="83"/>
      <c r="AI843" s="83"/>
      <c r="AJ843" s="83"/>
      <c r="AK843" s="83"/>
    </row>
    <row r="844">
      <c r="A844" s="83"/>
      <c r="B844" s="83"/>
      <c r="C844" s="83"/>
      <c r="D844" s="83"/>
      <c r="E844" s="118"/>
      <c r="F844" s="118"/>
      <c r="G844" s="118"/>
      <c r="H844" s="118"/>
      <c r="I844" s="118"/>
      <c r="J844" s="118"/>
      <c r="K844" s="118"/>
      <c r="L844" s="118"/>
      <c r="M844" s="118"/>
      <c r="N844" s="83"/>
      <c r="O844" s="83"/>
      <c r="P844" s="83"/>
      <c r="Q844" s="83"/>
      <c r="R844" s="83"/>
      <c r="S844" s="83"/>
      <c r="T844" s="83"/>
      <c r="U844" s="83"/>
      <c r="V844" s="83"/>
      <c r="W844" s="83"/>
      <c r="X844" s="83"/>
      <c r="Y844" s="83"/>
      <c r="Z844" s="83"/>
      <c r="AA844" s="83"/>
      <c r="AB844" s="83"/>
      <c r="AC844" s="83"/>
      <c r="AD844" s="83"/>
      <c r="AE844" s="83"/>
      <c r="AF844" s="83"/>
      <c r="AG844" s="83"/>
      <c r="AH844" s="83"/>
      <c r="AI844" s="83"/>
      <c r="AJ844" s="83"/>
      <c r="AK844" s="83"/>
    </row>
    <row r="845">
      <c r="A845" s="83"/>
      <c r="B845" s="83"/>
      <c r="C845" s="83"/>
      <c r="D845" s="83"/>
      <c r="E845" s="118"/>
      <c r="F845" s="118"/>
      <c r="G845" s="118"/>
      <c r="H845" s="118"/>
      <c r="I845" s="118"/>
      <c r="J845" s="118"/>
      <c r="K845" s="118"/>
      <c r="L845" s="118"/>
      <c r="M845" s="118"/>
      <c r="N845" s="83"/>
      <c r="O845" s="83"/>
      <c r="P845" s="83"/>
      <c r="Q845" s="83"/>
      <c r="R845" s="83"/>
      <c r="S845" s="83"/>
      <c r="T845" s="83"/>
      <c r="U845" s="83"/>
      <c r="V845" s="83"/>
      <c r="W845" s="83"/>
      <c r="X845" s="83"/>
      <c r="Y845" s="83"/>
      <c r="Z845" s="83"/>
      <c r="AA845" s="83"/>
      <c r="AB845" s="83"/>
      <c r="AC845" s="83"/>
      <c r="AD845" s="83"/>
      <c r="AE845" s="83"/>
      <c r="AF845" s="83"/>
      <c r="AG845" s="83"/>
      <c r="AH845" s="83"/>
      <c r="AI845" s="83"/>
      <c r="AJ845" s="83"/>
      <c r="AK845" s="83"/>
    </row>
    <row r="846">
      <c r="A846" s="83"/>
      <c r="B846" s="83"/>
      <c r="C846" s="83"/>
      <c r="D846" s="83"/>
      <c r="E846" s="118"/>
      <c r="F846" s="118"/>
      <c r="G846" s="118"/>
      <c r="H846" s="118"/>
      <c r="I846" s="118"/>
      <c r="J846" s="118"/>
      <c r="K846" s="118"/>
      <c r="L846" s="118"/>
      <c r="M846" s="118"/>
      <c r="N846" s="83"/>
      <c r="O846" s="83"/>
      <c r="P846" s="83"/>
      <c r="Q846" s="83"/>
      <c r="R846" s="83"/>
      <c r="S846" s="83"/>
      <c r="T846" s="83"/>
      <c r="U846" s="83"/>
      <c r="V846" s="83"/>
      <c r="W846" s="83"/>
      <c r="X846" s="83"/>
      <c r="Y846" s="83"/>
      <c r="Z846" s="83"/>
      <c r="AA846" s="83"/>
      <c r="AB846" s="83"/>
      <c r="AC846" s="83"/>
      <c r="AD846" s="83"/>
      <c r="AE846" s="83"/>
      <c r="AF846" s="83"/>
      <c r="AG846" s="83"/>
      <c r="AH846" s="83"/>
      <c r="AI846" s="83"/>
      <c r="AJ846" s="83"/>
      <c r="AK846" s="83"/>
    </row>
    <row r="847">
      <c r="A847" s="83"/>
      <c r="B847" s="83"/>
      <c r="C847" s="83"/>
      <c r="D847" s="83"/>
      <c r="E847" s="118"/>
      <c r="F847" s="118"/>
      <c r="G847" s="118"/>
      <c r="H847" s="118"/>
      <c r="I847" s="118"/>
      <c r="J847" s="118"/>
      <c r="K847" s="118"/>
      <c r="L847" s="118"/>
      <c r="M847" s="118"/>
      <c r="N847" s="83"/>
      <c r="O847" s="83"/>
      <c r="P847" s="83"/>
      <c r="Q847" s="83"/>
      <c r="R847" s="83"/>
      <c r="S847" s="83"/>
      <c r="T847" s="83"/>
      <c r="U847" s="83"/>
      <c r="V847" s="83"/>
      <c r="W847" s="83"/>
      <c r="X847" s="83"/>
      <c r="Y847" s="83"/>
      <c r="Z847" s="83"/>
      <c r="AA847" s="83"/>
      <c r="AB847" s="83"/>
      <c r="AC847" s="83"/>
      <c r="AD847" s="83"/>
      <c r="AE847" s="83"/>
      <c r="AF847" s="83"/>
      <c r="AG847" s="83"/>
      <c r="AH847" s="83"/>
      <c r="AI847" s="83"/>
      <c r="AJ847" s="83"/>
      <c r="AK847" s="83"/>
    </row>
    <row r="848">
      <c r="A848" s="83"/>
      <c r="B848" s="83"/>
      <c r="C848" s="83"/>
      <c r="D848" s="83"/>
      <c r="E848" s="118"/>
      <c r="F848" s="118"/>
      <c r="G848" s="118"/>
      <c r="H848" s="118"/>
      <c r="I848" s="118"/>
      <c r="J848" s="118"/>
      <c r="K848" s="118"/>
      <c r="L848" s="118"/>
      <c r="M848" s="118"/>
      <c r="N848" s="83"/>
      <c r="O848" s="83"/>
      <c r="P848" s="83"/>
      <c r="Q848" s="83"/>
      <c r="R848" s="83"/>
      <c r="S848" s="83"/>
      <c r="T848" s="83"/>
      <c r="U848" s="83"/>
      <c r="V848" s="83"/>
      <c r="W848" s="83"/>
      <c r="X848" s="83"/>
      <c r="Y848" s="83"/>
      <c r="Z848" s="83"/>
      <c r="AA848" s="83"/>
      <c r="AB848" s="83"/>
      <c r="AC848" s="83"/>
      <c r="AD848" s="83"/>
      <c r="AE848" s="83"/>
      <c r="AF848" s="83"/>
      <c r="AG848" s="83"/>
      <c r="AH848" s="83"/>
      <c r="AI848" s="83"/>
      <c r="AJ848" s="83"/>
      <c r="AK848" s="83"/>
    </row>
    <row r="849">
      <c r="A849" s="83"/>
      <c r="B849" s="83"/>
      <c r="C849" s="83"/>
      <c r="D849" s="83"/>
      <c r="E849" s="118"/>
      <c r="F849" s="118"/>
      <c r="G849" s="118"/>
      <c r="H849" s="118"/>
      <c r="I849" s="118"/>
      <c r="J849" s="118"/>
      <c r="K849" s="118"/>
      <c r="L849" s="118"/>
      <c r="M849" s="118"/>
      <c r="N849" s="83"/>
      <c r="O849" s="83"/>
      <c r="P849" s="83"/>
      <c r="Q849" s="83"/>
      <c r="R849" s="83"/>
      <c r="S849" s="83"/>
      <c r="T849" s="83"/>
      <c r="U849" s="83"/>
      <c r="V849" s="83"/>
      <c r="W849" s="83"/>
      <c r="X849" s="83"/>
      <c r="Y849" s="83"/>
      <c r="Z849" s="83"/>
      <c r="AA849" s="83"/>
      <c r="AB849" s="83"/>
      <c r="AC849" s="83"/>
      <c r="AD849" s="83"/>
      <c r="AE849" s="83"/>
      <c r="AF849" s="83"/>
      <c r="AG849" s="83"/>
      <c r="AH849" s="83"/>
      <c r="AI849" s="83"/>
      <c r="AJ849" s="83"/>
      <c r="AK849" s="83"/>
    </row>
    <row r="850">
      <c r="A850" s="83"/>
      <c r="B850" s="83"/>
      <c r="C850" s="83"/>
      <c r="D850" s="83"/>
      <c r="E850" s="118"/>
      <c r="F850" s="118"/>
      <c r="G850" s="118"/>
      <c r="H850" s="118"/>
      <c r="I850" s="118"/>
      <c r="J850" s="118"/>
      <c r="K850" s="118"/>
      <c r="L850" s="118"/>
      <c r="M850" s="118"/>
      <c r="N850" s="83"/>
      <c r="O850" s="83"/>
      <c r="P850" s="83"/>
      <c r="Q850" s="83"/>
      <c r="R850" s="83"/>
      <c r="S850" s="83"/>
      <c r="T850" s="83"/>
      <c r="U850" s="83"/>
      <c r="V850" s="83"/>
      <c r="W850" s="83"/>
      <c r="X850" s="83"/>
      <c r="Y850" s="83"/>
      <c r="Z850" s="83"/>
      <c r="AA850" s="83"/>
      <c r="AB850" s="83"/>
      <c r="AC850" s="83"/>
      <c r="AD850" s="83"/>
      <c r="AE850" s="83"/>
      <c r="AF850" s="83"/>
      <c r="AG850" s="83"/>
      <c r="AH850" s="83"/>
      <c r="AI850" s="83"/>
      <c r="AJ850" s="83"/>
      <c r="AK850" s="83"/>
    </row>
    <row r="851">
      <c r="A851" s="83"/>
      <c r="B851" s="83"/>
      <c r="C851" s="83"/>
      <c r="D851" s="83"/>
      <c r="E851" s="118"/>
      <c r="F851" s="118"/>
      <c r="G851" s="118"/>
      <c r="H851" s="118"/>
      <c r="I851" s="118"/>
      <c r="J851" s="118"/>
      <c r="K851" s="118"/>
      <c r="L851" s="118"/>
      <c r="M851" s="118"/>
      <c r="N851" s="83"/>
      <c r="O851" s="83"/>
      <c r="P851" s="83"/>
      <c r="Q851" s="83"/>
      <c r="R851" s="83"/>
      <c r="S851" s="83"/>
      <c r="T851" s="83"/>
      <c r="U851" s="83"/>
      <c r="V851" s="83"/>
      <c r="W851" s="83"/>
      <c r="X851" s="83"/>
      <c r="Y851" s="83"/>
      <c r="Z851" s="83"/>
      <c r="AA851" s="83"/>
      <c r="AB851" s="83"/>
      <c r="AC851" s="83"/>
      <c r="AD851" s="83"/>
      <c r="AE851" s="83"/>
      <c r="AF851" s="83"/>
      <c r="AG851" s="83"/>
      <c r="AH851" s="83"/>
      <c r="AI851" s="83"/>
      <c r="AJ851" s="83"/>
      <c r="AK851" s="83"/>
    </row>
    <row r="852">
      <c r="A852" s="83"/>
      <c r="B852" s="83"/>
      <c r="C852" s="83"/>
      <c r="D852" s="83"/>
      <c r="E852" s="118"/>
      <c r="F852" s="118"/>
      <c r="G852" s="118"/>
      <c r="H852" s="118"/>
      <c r="I852" s="118"/>
      <c r="J852" s="118"/>
      <c r="K852" s="118"/>
      <c r="L852" s="118"/>
      <c r="M852" s="118"/>
      <c r="N852" s="83"/>
      <c r="O852" s="83"/>
      <c r="P852" s="83"/>
      <c r="Q852" s="83"/>
      <c r="R852" s="83"/>
      <c r="S852" s="83"/>
      <c r="T852" s="83"/>
      <c r="U852" s="83"/>
      <c r="V852" s="83"/>
      <c r="W852" s="83"/>
      <c r="X852" s="83"/>
      <c r="Y852" s="83"/>
      <c r="Z852" s="83"/>
      <c r="AA852" s="83"/>
      <c r="AB852" s="83"/>
      <c r="AC852" s="83"/>
      <c r="AD852" s="83"/>
      <c r="AE852" s="83"/>
      <c r="AF852" s="83"/>
      <c r="AG852" s="83"/>
      <c r="AH852" s="83"/>
      <c r="AI852" s="83"/>
      <c r="AJ852" s="83"/>
      <c r="AK852" s="83"/>
    </row>
    <row r="853">
      <c r="A853" s="83"/>
      <c r="B853" s="83"/>
      <c r="C853" s="83"/>
      <c r="D853" s="83"/>
      <c r="E853" s="118"/>
      <c r="F853" s="118"/>
      <c r="G853" s="118"/>
      <c r="H853" s="118"/>
      <c r="I853" s="118"/>
      <c r="J853" s="118"/>
      <c r="K853" s="118"/>
      <c r="L853" s="118"/>
      <c r="M853" s="118"/>
      <c r="N853" s="83"/>
      <c r="O853" s="83"/>
      <c r="P853" s="83"/>
      <c r="Q853" s="83"/>
      <c r="R853" s="83"/>
      <c r="S853" s="83"/>
      <c r="T853" s="83"/>
      <c r="U853" s="83"/>
      <c r="V853" s="83"/>
      <c r="W853" s="83"/>
      <c r="X853" s="83"/>
      <c r="Y853" s="83"/>
      <c r="Z853" s="83"/>
      <c r="AA853" s="83"/>
      <c r="AB853" s="83"/>
      <c r="AC853" s="83"/>
      <c r="AD853" s="83"/>
      <c r="AE853" s="83"/>
      <c r="AF853" s="83"/>
      <c r="AG853" s="83"/>
      <c r="AH853" s="83"/>
      <c r="AI853" s="83"/>
      <c r="AJ853" s="83"/>
      <c r="AK853" s="83"/>
    </row>
    <row r="854">
      <c r="A854" s="83"/>
      <c r="B854" s="83"/>
      <c r="C854" s="83"/>
      <c r="D854" s="83"/>
      <c r="E854" s="118"/>
      <c r="F854" s="118"/>
      <c r="G854" s="118"/>
      <c r="H854" s="118"/>
      <c r="I854" s="118"/>
      <c r="J854" s="118"/>
      <c r="K854" s="118"/>
      <c r="L854" s="118"/>
      <c r="M854" s="118"/>
      <c r="N854" s="83"/>
      <c r="O854" s="83"/>
      <c r="P854" s="83"/>
      <c r="Q854" s="83"/>
      <c r="R854" s="83"/>
      <c r="S854" s="83"/>
      <c r="T854" s="83"/>
      <c r="U854" s="83"/>
      <c r="V854" s="83"/>
      <c r="W854" s="83"/>
      <c r="X854" s="83"/>
      <c r="Y854" s="83"/>
      <c r="Z854" s="83"/>
      <c r="AA854" s="83"/>
      <c r="AB854" s="83"/>
      <c r="AC854" s="83"/>
      <c r="AD854" s="83"/>
      <c r="AE854" s="83"/>
      <c r="AF854" s="83"/>
      <c r="AG854" s="83"/>
      <c r="AH854" s="83"/>
      <c r="AI854" s="83"/>
      <c r="AJ854" s="83"/>
      <c r="AK854" s="83"/>
    </row>
    <row r="855">
      <c r="A855" s="83"/>
      <c r="B855" s="83"/>
      <c r="C855" s="83"/>
      <c r="D855" s="83"/>
      <c r="E855" s="118"/>
      <c r="F855" s="118"/>
      <c r="G855" s="118"/>
      <c r="H855" s="118"/>
      <c r="I855" s="118"/>
      <c r="J855" s="118"/>
      <c r="K855" s="118"/>
      <c r="L855" s="118"/>
      <c r="M855" s="118"/>
      <c r="N855" s="83"/>
      <c r="O855" s="83"/>
      <c r="P855" s="83"/>
      <c r="Q855" s="83"/>
      <c r="R855" s="83"/>
      <c r="S855" s="83"/>
      <c r="T855" s="83"/>
      <c r="U855" s="83"/>
      <c r="V855" s="83"/>
      <c r="W855" s="83"/>
      <c r="X855" s="83"/>
      <c r="Y855" s="83"/>
      <c r="Z855" s="83"/>
      <c r="AA855" s="83"/>
      <c r="AB855" s="83"/>
      <c r="AC855" s="83"/>
      <c r="AD855" s="83"/>
      <c r="AE855" s="83"/>
      <c r="AF855" s="83"/>
      <c r="AG855" s="83"/>
      <c r="AH855" s="83"/>
      <c r="AI855" s="83"/>
      <c r="AJ855" s="83"/>
      <c r="AK855" s="83"/>
    </row>
    <row r="856">
      <c r="A856" s="83"/>
      <c r="B856" s="83"/>
      <c r="C856" s="83"/>
      <c r="D856" s="83"/>
      <c r="E856" s="118"/>
      <c r="F856" s="118"/>
      <c r="G856" s="118"/>
      <c r="H856" s="118"/>
      <c r="I856" s="118"/>
      <c r="J856" s="118"/>
      <c r="K856" s="118"/>
      <c r="L856" s="118"/>
      <c r="M856" s="118"/>
      <c r="N856" s="83"/>
      <c r="O856" s="83"/>
      <c r="P856" s="83"/>
      <c r="Q856" s="83"/>
      <c r="R856" s="83"/>
      <c r="S856" s="83"/>
      <c r="T856" s="83"/>
      <c r="U856" s="83"/>
      <c r="V856" s="83"/>
      <c r="W856" s="83"/>
      <c r="X856" s="83"/>
      <c r="Y856" s="83"/>
      <c r="Z856" s="83"/>
      <c r="AA856" s="83"/>
      <c r="AB856" s="83"/>
      <c r="AC856" s="83"/>
      <c r="AD856" s="83"/>
      <c r="AE856" s="83"/>
      <c r="AF856" s="83"/>
      <c r="AG856" s="83"/>
      <c r="AH856" s="83"/>
      <c r="AI856" s="83"/>
      <c r="AJ856" s="83"/>
      <c r="AK856" s="83"/>
    </row>
    <row r="857">
      <c r="A857" s="83"/>
      <c r="B857" s="83"/>
      <c r="C857" s="83"/>
      <c r="D857" s="83"/>
      <c r="E857" s="118"/>
      <c r="F857" s="118"/>
      <c r="G857" s="118"/>
      <c r="H857" s="118"/>
      <c r="I857" s="118"/>
      <c r="J857" s="118"/>
      <c r="K857" s="118"/>
      <c r="L857" s="118"/>
      <c r="M857" s="118"/>
      <c r="N857" s="83"/>
      <c r="O857" s="83"/>
      <c r="P857" s="83"/>
      <c r="Q857" s="83"/>
      <c r="R857" s="83"/>
      <c r="S857" s="83"/>
      <c r="T857" s="83"/>
      <c r="U857" s="83"/>
      <c r="V857" s="83"/>
      <c r="W857" s="83"/>
      <c r="X857" s="83"/>
      <c r="Y857" s="83"/>
      <c r="Z857" s="83"/>
      <c r="AA857" s="83"/>
      <c r="AB857" s="83"/>
      <c r="AC857" s="83"/>
      <c r="AD857" s="83"/>
      <c r="AE857" s="83"/>
      <c r="AF857" s="83"/>
      <c r="AG857" s="83"/>
      <c r="AH857" s="83"/>
      <c r="AI857" s="83"/>
      <c r="AJ857" s="83"/>
      <c r="AK857" s="83"/>
    </row>
    <row r="858">
      <c r="A858" s="83"/>
      <c r="B858" s="83"/>
      <c r="C858" s="83"/>
      <c r="D858" s="83"/>
      <c r="E858" s="118"/>
      <c r="F858" s="118"/>
      <c r="G858" s="118"/>
      <c r="H858" s="118"/>
      <c r="I858" s="118"/>
      <c r="J858" s="118"/>
      <c r="K858" s="118"/>
      <c r="L858" s="118"/>
      <c r="M858" s="118"/>
      <c r="N858" s="83"/>
      <c r="O858" s="83"/>
      <c r="P858" s="83"/>
      <c r="Q858" s="83"/>
      <c r="R858" s="83"/>
      <c r="S858" s="83"/>
      <c r="T858" s="83"/>
      <c r="U858" s="83"/>
      <c r="V858" s="83"/>
      <c r="W858" s="83"/>
      <c r="X858" s="83"/>
      <c r="Y858" s="83"/>
      <c r="Z858" s="83"/>
      <c r="AA858" s="83"/>
      <c r="AB858" s="83"/>
      <c r="AC858" s="83"/>
      <c r="AD858" s="83"/>
      <c r="AE858" s="83"/>
      <c r="AF858" s="83"/>
      <c r="AG858" s="83"/>
      <c r="AH858" s="83"/>
      <c r="AI858" s="83"/>
      <c r="AJ858" s="83"/>
      <c r="AK858" s="83"/>
    </row>
    <row r="859">
      <c r="A859" s="83"/>
      <c r="B859" s="83"/>
      <c r="C859" s="83"/>
      <c r="D859" s="83"/>
      <c r="E859" s="118"/>
      <c r="F859" s="118"/>
      <c r="G859" s="118"/>
      <c r="H859" s="118"/>
      <c r="I859" s="118"/>
      <c r="J859" s="118"/>
      <c r="K859" s="118"/>
      <c r="L859" s="118"/>
      <c r="M859" s="118"/>
      <c r="N859" s="83"/>
      <c r="O859" s="83"/>
      <c r="P859" s="83"/>
      <c r="Q859" s="83"/>
      <c r="R859" s="83"/>
      <c r="S859" s="83"/>
      <c r="T859" s="83"/>
      <c r="U859" s="83"/>
      <c r="V859" s="83"/>
      <c r="W859" s="83"/>
      <c r="X859" s="83"/>
      <c r="Y859" s="83"/>
      <c r="Z859" s="83"/>
      <c r="AA859" s="83"/>
      <c r="AB859" s="83"/>
      <c r="AC859" s="83"/>
      <c r="AD859" s="83"/>
      <c r="AE859" s="83"/>
      <c r="AF859" s="83"/>
      <c r="AG859" s="83"/>
      <c r="AH859" s="83"/>
      <c r="AI859" s="83"/>
      <c r="AJ859" s="83"/>
      <c r="AK859" s="83"/>
    </row>
    <row r="860">
      <c r="A860" s="83"/>
      <c r="B860" s="83"/>
      <c r="C860" s="83"/>
      <c r="D860" s="83"/>
      <c r="E860" s="118"/>
      <c r="F860" s="118"/>
      <c r="G860" s="118"/>
      <c r="H860" s="118"/>
      <c r="I860" s="118"/>
      <c r="J860" s="118"/>
      <c r="K860" s="118"/>
      <c r="L860" s="118"/>
      <c r="M860" s="118"/>
      <c r="N860" s="83"/>
      <c r="O860" s="83"/>
      <c r="P860" s="83"/>
      <c r="Q860" s="83"/>
      <c r="R860" s="83"/>
      <c r="S860" s="83"/>
      <c r="T860" s="83"/>
      <c r="U860" s="83"/>
      <c r="V860" s="83"/>
      <c r="W860" s="83"/>
      <c r="X860" s="83"/>
      <c r="Y860" s="83"/>
      <c r="Z860" s="83"/>
      <c r="AA860" s="83"/>
      <c r="AB860" s="83"/>
      <c r="AC860" s="83"/>
      <c r="AD860" s="83"/>
      <c r="AE860" s="83"/>
      <c r="AF860" s="83"/>
      <c r="AG860" s="83"/>
      <c r="AH860" s="83"/>
      <c r="AI860" s="83"/>
      <c r="AJ860" s="83"/>
      <c r="AK860" s="83"/>
    </row>
    <row r="861">
      <c r="A861" s="83"/>
      <c r="B861" s="83"/>
      <c r="C861" s="83"/>
      <c r="D861" s="83"/>
      <c r="E861" s="118"/>
      <c r="F861" s="118"/>
      <c r="G861" s="118"/>
      <c r="H861" s="118"/>
      <c r="I861" s="118"/>
      <c r="J861" s="118"/>
      <c r="K861" s="118"/>
      <c r="L861" s="118"/>
      <c r="M861" s="118"/>
      <c r="N861" s="83"/>
      <c r="O861" s="83"/>
      <c r="P861" s="83"/>
      <c r="Q861" s="83"/>
      <c r="R861" s="83"/>
      <c r="S861" s="83"/>
      <c r="T861" s="83"/>
      <c r="U861" s="83"/>
      <c r="V861" s="83"/>
      <c r="W861" s="83"/>
      <c r="X861" s="83"/>
      <c r="Y861" s="83"/>
      <c r="Z861" s="83"/>
      <c r="AA861" s="83"/>
      <c r="AB861" s="83"/>
      <c r="AC861" s="83"/>
      <c r="AD861" s="83"/>
      <c r="AE861" s="83"/>
      <c r="AF861" s="83"/>
      <c r="AG861" s="83"/>
      <c r="AH861" s="83"/>
      <c r="AI861" s="83"/>
      <c r="AJ861" s="83"/>
      <c r="AK861" s="83"/>
    </row>
    <row r="862">
      <c r="A862" s="83"/>
      <c r="B862" s="83"/>
      <c r="C862" s="83"/>
      <c r="D862" s="83"/>
      <c r="E862" s="118"/>
      <c r="F862" s="118"/>
      <c r="G862" s="118"/>
      <c r="H862" s="118"/>
      <c r="I862" s="118"/>
      <c r="J862" s="118"/>
      <c r="K862" s="118"/>
      <c r="L862" s="118"/>
      <c r="M862" s="118"/>
      <c r="N862" s="83"/>
      <c r="O862" s="83"/>
      <c r="P862" s="83"/>
      <c r="Q862" s="83"/>
      <c r="R862" s="83"/>
      <c r="S862" s="83"/>
      <c r="T862" s="83"/>
      <c r="U862" s="83"/>
      <c r="V862" s="83"/>
      <c r="W862" s="83"/>
      <c r="X862" s="83"/>
      <c r="Y862" s="83"/>
      <c r="Z862" s="83"/>
      <c r="AA862" s="83"/>
      <c r="AB862" s="83"/>
      <c r="AC862" s="83"/>
      <c r="AD862" s="83"/>
      <c r="AE862" s="83"/>
      <c r="AF862" s="83"/>
      <c r="AG862" s="83"/>
      <c r="AH862" s="83"/>
      <c r="AI862" s="83"/>
      <c r="AJ862" s="83"/>
      <c r="AK862" s="83"/>
    </row>
    <row r="863">
      <c r="A863" s="83"/>
      <c r="B863" s="83"/>
      <c r="C863" s="83"/>
      <c r="D863" s="83"/>
      <c r="E863" s="118"/>
      <c r="F863" s="118"/>
      <c r="G863" s="118"/>
      <c r="H863" s="118"/>
      <c r="I863" s="118"/>
      <c r="J863" s="118"/>
      <c r="K863" s="118"/>
      <c r="L863" s="118"/>
      <c r="M863" s="118"/>
      <c r="N863" s="83"/>
      <c r="O863" s="83"/>
      <c r="P863" s="83"/>
      <c r="Q863" s="83"/>
      <c r="R863" s="83"/>
      <c r="S863" s="83"/>
      <c r="T863" s="83"/>
      <c r="U863" s="83"/>
      <c r="V863" s="83"/>
      <c r="W863" s="83"/>
      <c r="X863" s="83"/>
      <c r="Y863" s="83"/>
      <c r="Z863" s="83"/>
      <c r="AA863" s="83"/>
      <c r="AB863" s="83"/>
      <c r="AC863" s="83"/>
      <c r="AD863" s="83"/>
      <c r="AE863" s="83"/>
      <c r="AF863" s="83"/>
      <c r="AG863" s="83"/>
      <c r="AH863" s="83"/>
      <c r="AI863" s="83"/>
      <c r="AJ863" s="83"/>
      <c r="AK863" s="83"/>
    </row>
    <row r="864">
      <c r="A864" s="83"/>
      <c r="B864" s="83"/>
      <c r="C864" s="83"/>
      <c r="D864" s="83"/>
      <c r="E864" s="118"/>
      <c r="F864" s="118"/>
      <c r="G864" s="118"/>
      <c r="H864" s="118"/>
      <c r="I864" s="118"/>
      <c r="J864" s="118"/>
      <c r="K864" s="118"/>
      <c r="L864" s="118"/>
      <c r="M864" s="118"/>
      <c r="N864" s="83"/>
      <c r="O864" s="83"/>
      <c r="P864" s="83"/>
      <c r="Q864" s="83"/>
      <c r="R864" s="83"/>
      <c r="S864" s="83"/>
      <c r="T864" s="83"/>
      <c r="U864" s="83"/>
      <c r="V864" s="83"/>
      <c r="W864" s="83"/>
      <c r="X864" s="83"/>
      <c r="Y864" s="83"/>
      <c r="Z864" s="83"/>
      <c r="AA864" s="83"/>
      <c r="AB864" s="83"/>
      <c r="AC864" s="83"/>
      <c r="AD864" s="83"/>
      <c r="AE864" s="83"/>
      <c r="AF864" s="83"/>
      <c r="AG864" s="83"/>
      <c r="AH864" s="83"/>
      <c r="AI864" s="83"/>
      <c r="AJ864" s="83"/>
      <c r="AK864" s="83"/>
    </row>
    <row r="865">
      <c r="A865" s="83"/>
      <c r="B865" s="83"/>
      <c r="C865" s="83"/>
      <c r="D865" s="83"/>
      <c r="E865" s="118"/>
      <c r="F865" s="118"/>
      <c r="G865" s="118"/>
      <c r="H865" s="118"/>
      <c r="I865" s="118"/>
      <c r="J865" s="118"/>
      <c r="K865" s="118"/>
      <c r="L865" s="118"/>
      <c r="M865" s="118"/>
      <c r="N865" s="83"/>
      <c r="O865" s="83"/>
      <c r="P865" s="83"/>
      <c r="Q865" s="83"/>
      <c r="R865" s="83"/>
      <c r="S865" s="83"/>
      <c r="T865" s="83"/>
      <c r="U865" s="83"/>
      <c r="V865" s="83"/>
      <c r="W865" s="83"/>
      <c r="X865" s="83"/>
      <c r="Y865" s="83"/>
      <c r="Z865" s="83"/>
      <c r="AA865" s="83"/>
      <c r="AB865" s="83"/>
      <c r="AC865" s="83"/>
      <c r="AD865" s="83"/>
      <c r="AE865" s="83"/>
      <c r="AF865" s="83"/>
      <c r="AG865" s="83"/>
      <c r="AH865" s="83"/>
      <c r="AI865" s="83"/>
      <c r="AJ865" s="83"/>
      <c r="AK865" s="83"/>
    </row>
    <row r="866">
      <c r="A866" s="83"/>
      <c r="B866" s="83"/>
      <c r="C866" s="83"/>
      <c r="D866" s="83"/>
      <c r="E866" s="118"/>
      <c r="F866" s="118"/>
      <c r="G866" s="118"/>
      <c r="H866" s="118"/>
      <c r="I866" s="118"/>
      <c r="J866" s="118"/>
      <c r="K866" s="118"/>
      <c r="L866" s="118"/>
      <c r="M866" s="118"/>
      <c r="N866" s="83"/>
      <c r="O866" s="83"/>
      <c r="P866" s="83"/>
      <c r="Q866" s="83"/>
      <c r="R866" s="83"/>
      <c r="S866" s="83"/>
      <c r="T866" s="83"/>
      <c r="U866" s="83"/>
      <c r="V866" s="83"/>
      <c r="W866" s="83"/>
      <c r="X866" s="83"/>
      <c r="Y866" s="83"/>
      <c r="Z866" s="83"/>
      <c r="AA866" s="83"/>
      <c r="AB866" s="83"/>
      <c r="AC866" s="83"/>
      <c r="AD866" s="83"/>
      <c r="AE866" s="83"/>
      <c r="AF866" s="83"/>
      <c r="AG866" s="83"/>
      <c r="AH866" s="83"/>
      <c r="AI866" s="83"/>
      <c r="AJ866" s="83"/>
      <c r="AK866" s="83"/>
    </row>
    <row r="867">
      <c r="A867" s="83"/>
      <c r="B867" s="83"/>
      <c r="C867" s="83"/>
      <c r="D867" s="83"/>
      <c r="E867" s="118"/>
      <c r="F867" s="118"/>
      <c r="G867" s="118"/>
      <c r="H867" s="118"/>
      <c r="I867" s="118"/>
      <c r="J867" s="118"/>
      <c r="K867" s="118"/>
      <c r="L867" s="118"/>
      <c r="M867" s="118"/>
      <c r="N867" s="83"/>
      <c r="O867" s="83"/>
      <c r="P867" s="83"/>
      <c r="Q867" s="83"/>
      <c r="R867" s="83"/>
      <c r="S867" s="83"/>
      <c r="T867" s="83"/>
      <c r="U867" s="83"/>
      <c r="V867" s="83"/>
      <c r="W867" s="83"/>
      <c r="X867" s="83"/>
      <c r="Y867" s="83"/>
      <c r="Z867" s="83"/>
      <c r="AA867" s="83"/>
      <c r="AB867" s="83"/>
      <c r="AC867" s="83"/>
      <c r="AD867" s="83"/>
      <c r="AE867" s="83"/>
      <c r="AF867" s="83"/>
      <c r="AG867" s="83"/>
      <c r="AH867" s="83"/>
      <c r="AI867" s="83"/>
      <c r="AJ867" s="83"/>
      <c r="AK867" s="83"/>
    </row>
    <row r="868">
      <c r="A868" s="83"/>
      <c r="B868" s="83"/>
      <c r="C868" s="83"/>
      <c r="D868" s="83"/>
      <c r="E868" s="118"/>
      <c r="F868" s="118"/>
      <c r="G868" s="118"/>
      <c r="H868" s="118"/>
      <c r="I868" s="118"/>
      <c r="J868" s="118"/>
      <c r="K868" s="118"/>
      <c r="L868" s="118"/>
      <c r="M868" s="118"/>
      <c r="N868" s="83"/>
      <c r="O868" s="83"/>
      <c r="P868" s="83"/>
      <c r="Q868" s="83"/>
      <c r="R868" s="83"/>
      <c r="S868" s="83"/>
      <c r="T868" s="83"/>
      <c r="U868" s="83"/>
      <c r="V868" s="83"/>
      <c r="W868" s="83"/>
      <c r="X868" s="83"/>
      <c r="Y868" s="83"/>
      <c r="Z868" s="83"/>
      <c r="AA868" s="83"/>
      <c r="AB868" s="83"/>
      <c r="AC868" s="83"/>
      <c r="AD868" s="83"/>
      <c r="AE868" s="83"/>
      <c r="AF868" s="83"/>
      <c r="AG868" s="83"/>
      <c r="AH868" s="83"/>
      <c r="AI868" s="83"/>
      <c r="AJ868" s="83"/>
      <c r="AK868" s="83"/>
    </row>
    <row r="869">
      <c r="A869" s="83"/>
      <c r="B869" s="83"/>
      <c r="C869" s="83"/>
      <c r="D869" s="83"/>
      <c r="E869" s="118"/>
      <c r="F869" s="118"/>
      <c r="G869" s="118"/>
      <c r="H869" s="118"/>
      <c r="I869" s="118"/>
      <c r="J869" s="118"/>
      <c r="K869" s="118"/>
      <c r="L869" s="118"/>
      <c r="M869" s="118"/>
      <c r="N869" s="83"/>
      <c r="O869" s="83"/>
      <c r="P869" s="83"/>
      <c r="Q869" s="83"/>
      <c r="R869" s="83"/>
      <c r="S869" s="83"/>
      <c r="T869" s="83"/>
      <c r="U869" s="83"/>
      <c r="V869" s="83"/>
      <c r="W869" s="83"/>
      <c r="X869" s="83"/>
      <c r="Y869" s="83"/>
      <c r="Z869" s="83"/>
      <c r="AA869" s="83"/>
      <c r="AB869" s="83"/>
      <c r="AC869" s="83"/>
      <c r="AD869" s="83"/>
      <c r="AE869" s="83"/>
      <c r="AF869" s="83"/>
      <c r="AG869" s="83"/>
      <c r="AH869" s="83"/>
      <c r="AI869" s="83"/>
      <c r="AJ869" s="83"/>
      <c r="AK869" s="83"/>
    </row>
    <row r="870">
      <c r="A870" s="83"/>
      <c r="B870" s="83"/>
      <c r="C870" s="83"/>
      <c r="D870" s="83"/>
      <c r="E870" s="118"/>
      <c r="F870" s="118"/>
      <c r="G870" s="118"/>
      <c r="H870" s="118"/>
      <c r="I870" s="118"/>
      <c r="J870" s="118"/>
      <c r="K870" s="118"/>
      <c r="L870" s="118"/>
      <c r="M870" s="118"/>
      <c r="N870" s="83"/>
      <c r="O870" s="83"/>
      <c r="P870" s="83"/>
      <c r="Q870" s="83"/>
      <c r="R870" s="83"/>
      <c r="S870" s="83"/>
      <c r="T870" s="83"/>
      <c r="U870" s="83"/>
      <c r="V870" s="83"/>
      <c r="W870" s="83"/>
      <c r="X870" s="83"/>
      <c r="Y870" s="83"/>
      <c r="Z870" s="83"/>
      <c r="AA870" s="83"/>
      <c r="AB870" s="83"/>
      <c r="AC870" s="83"/>
      <c r="AD870" s="83"/>
      <c r="AE870" s="83"/>
      <c r="AF870" s="83"/>
      <c r="AG870" s="83"/>
      <c r="AH870" s="83"/>
      <c r="AI870" s="83"/>
      <c r="AJ870" s="83"/>
      <c r="AK870" s="83"/>
    </row>
    <row r="871">
      <c r="A871" s="83"/>
      <c r="B871" s="83"/>
      <c r="C871" s="83"/>
      <c r="D871" s="83"/>
      <c r="E871" s="118"/>
      <c r="F871" s="118"/>
      <c r="G871" s="118"/>
      <c r="H871" s="118"/>
      <c r="I871" s="118"/>
      <c r="J871" s="118"/>
      <c r="K871" s="118"/>
      <c r="L871" s="118"/>
      <c r="M871" s="118"/>
      <c r="N871" s="83"/>
      <c r="O871" s="83"/>
      <c r="P871" s="83"/>
      <c r="Q871" s="83"/>
      <c r="R871" s="83"/>
      <c r="S871" s="83"/>
      <c r="T871" s="83"/>
      <c r="U871" s="83"/>
      <c r="V871" s="83"/>
      <c r="W871" s="83"/>
      <c r="X871" s="83"/>
      <c r="Y871" s="83"/>
      <c r="Z871" s="83"/>
      <c r="AA871" s="83"/>
      <c r="AB871" s="83"/>
      <c r="AC871" s="83"/>
      <c r="AD871" s="83"/>
      <c r="AE871" s="83"/>
      <c r="AF871" s="83"/>
      <c r="AG871" s="83"/>
      <c r="AH871" s="83"/>
      <c r="AI871" s="83"/>
      <c r="AJ871" s="83"/>
      <c r="AK871" s="83"/>
    </row>
    <row r="872">
      <c r="A872" s="83"/>
      <c r="B872" s="83"/>
      <c r="C872" s="83"/>
      <c r="D872" s="83"/>
      <c r="E872" s="118"/>
      <c r="F872" s="118"/>
      <c r="G872" s="118"/>
      <c r="H872" s="118"/>
      <c r="I872" s="118"/>
      <c r="J872" s="118"/>
      <c r="K872" s="118"/>
      <c r="L872" s="118"/>
      <c r="M872" s="118"/>
      <c r="N872" s="83"/>
      <c r="O872" s="83"/>
      <c r="P872" s="83"/>
      <c r="Q872" s="83"/>
      <c r="R872" s="83"/>
      <c r="S872" s="83"/>
      <c r="T872" s="83"/>
      <c r="U872" s="83"/>
      <c r="V872" s="83"/>
      <c r="W872" s="83"/>
      <c r="X872" s="83"/>
      <c r="Y872" s="83"/>
      <c r="Z872" s="83"/>
      <c r="AA872" s="83"/>
      <c r="AB872" s="83"/>
      <c r="AC872" s="83"/>
      <c r="AD872" s="83"/>
      <c r="AE872" s="83"/>
      <c r="AF872" s="83"/>
      <c r="AG872" s="83"/>
      <c r="AH872" s="83"/>
      <c r="AI872" s="83"/>
      <c r="AJ872" s="83"/>
      <c r="AK872" s="83"/>
    </row>
    <row r="873">
      <c r="A873" s="83"/>
      <c r="B873" s="83"/>
      <c r="C873" s="83"/>
      <c r="D873" s="83"/>
      <c r="E873" s="118"/>
      <c r="F873" s="118"/>
      <c r="G873" s="118"/>
      <c r="H873" s="118"/>
      <c r="I873" s="118"/>
      <c r="J873" s="118"/>
      <c r="K873" s="118"/>
      <c r="L873" s="118"/>
      <c r="M873" s="118"/>
      <c r="N873" s="83"/>
      <c r="O873" s="83"/>
      <c r="P873" s="83"/>
      <c r="Q873" s="83"/>
      <c r="R873" s="83"/>
      <c r="S873" s="83"/>
      <c r="T873" s="83"/>
      <c r="U873" s="83"/>
      <c r="V873" s="83"/>
      <c r="W873" s="83"/>
      <c r="X873" s="83"/>
      <c r="Y873" s="83"/>
      <c r="Z873" s="83"/>
      <c r="AA873" s="83"/>
      <c r="AB873" s="83"/>
      <c r="AC873" s="83"/>
      <c r="AD873" s="83"/>
      <c r="AE873" s="83"/>
      <c r="AF873" s="83"/>
      <c r="AG873" s="83"/>
      <c r="AH873" s="83"/>
      <c r="AI873" s="83"/>
      <c r="AJ873" s="83"/>
      <c r="AK873" s="83"/>
    </row>
    <row r="874">
      <c r="A874" s="83"/>
      <c r="B874" s="83"/>
      <c r="C874" s="83"/>
      <c r="D874" s="83"/>
      <c r="E874" s="118"/>
      <c r="F874" s="118"/>
      <c r="G874" s="118"/>
      <c r="H874" s="118"/>
      <c r="I874" s="118"/>
      <c r="J874" s="118"/>
      <c r="K874" s="118"/>
      <c r="L874" s="118"/>
      <c r="M874" s="118"/>
      <c r="N874" s="83"/>
      <c r="O874" s="83"/>
      <c r="P874" s="83"/>
      <c r="Q874" s="83"/>
      <c r="R874" s="83"/>
      <c r="S874" s="83"/>
      <c r="T874" s="83"/>
      <c r="U874" s="83"/>
      <c r="V874" s="83"/>
      <c r="W874" s="83"/>
      <c r="X874" s="83"/>
      <c r="Y874" s="83"/>
      <c r="Z874" s="83"/>
      <c r="AA874" s="83"/>
      <c r="AB874" s="83"/>
      <c r="AC874" s="83"/>
      <c r="AD874" s="83"/>
      <c r="AE874" s="83"/>
      <c r="AF874" s="83"/>
      <c r="AG874" s="83"/>
      <c r="AH874" s="83"/>
      <c r="AI874" s="83"/>
      <c r="AJ874" s="83"/>
      <c r="AK874" s="83"/>
    </row>
    <row r="875">
      <c r="A875" s="83"/>
      <c r="B875" s="83"/>
      <c r="C875" s="83"/>
      <c r="D875" s="83"/>
      <c r="E875" s="118"/>
      <c r="F875" s="118"/>
      <c r="G875" s="118"/>
      <c r="H875" s="118"/>
      <c r="I875" s="118"/>
      <c r="J875" s="118"/>
      <c r="K875" s="118"/>
      <c r="L875" s="118"/>
      <c r="M875" s="118"/>
      <c r="N875" s="83"/>
      <c r="O875" s="83"/>
      <c r="P875" s="83"/>
      <c r="Q875" s="83"/>
      <c r="R875" s="83"/>
      <c r="S875" s="83"/>
      <c r="T875" s="83"/>
      <c r="U875" s="83"/>
      <c r="V875" s="83"/>
      <c r="W875" s="83"/>
      <c r="X875" s="83"/>
      <c r="Y875" s="83"/>
      <c r="Z875" s="83"/>
      <c r="AA875" s="83"/>
      <c r="AB875" s="83"/>
      <c r="AC875" s="83"/>
      <c r="AD875" s="83"/>
      <c r="AE875" s="83"/>
      <c r="AF875" s="83"/>
      <c r="AG875" s="83"/>
      <c r="AH875" s="83"/>
      <c r="AI875" s="83"/>
      <c r="AJ875" s="83"/>
      <c r="AK875" s="83"/>
    </row>
    <row r="876">
      <c r="A876" s="83"/>
      <c r="B876" s="83"/>
      <c r="C876" s="83"/>
      <c r="D876" s="83"/>
      <c r="E876" s="118"/>
      <c r="F876" s="118"/>
      <c r="G876" s="118"/>
      <c r="H876" s="118"/>
      <c r="I876" s="118"/>
      <c r="J876" s="118"/>
      <c r="K876" s="118"/>
      <c r="L876" s="118"/>
      <c r="M876" s="118"/>
      <c r="N876" s="83"/>
      <c r="O876" s="83"/>
      <c r="P876" s="83"/>
      <c r="Q876" s="83"/>
      <c r="R876" s="83"/>
      <c r="S876" s="83"/>
      <c r="T876" s="83"/>
      <c r="U876" s="83"/>
      <c r="V876" s="83"/>
      <c r="W876" s="83"/>
      <c r="X876" s="83"/>
      <c r="Y876" s="83"/>
      <c r="Z876" s="83"/>
      <c r="AA876" s="83"/>
      <c r="AB876" s="83"/>
      <c r="AC876" s="83"/>
      <c r="AD876" s="83"/>
      <c r="AE876" s="83"/>
      <c r="AF876" s="83"/>
      <c r="AG876" s="83"/>
      <c r="AH876" s="83"/>
      <c r="AI876" s="83"/>
      <c r="AJ876" s="83"/>
      <c r="AK876" s="83"/>
    </row>
    <row r="877">
      <c r="A877" s="83"/>
      <c r="B877" s="83"/>
      <c r="C877" s="83"/>
      <c r="D877" s="83"/>
      <c r="E877" s="118"/>
      <c r="F877" s="118"/>
      <c r="G877" s="118"/>
      <c r="H877" s="118"/>
      <c r="I877" s="118"/>
      <c r="J877" s="118"/>
      <c r="K877" s="118"/>
      <c r="L877" s="118"/>
      <c r="M877" s="118"/>
      <c r="N877" s="83"/>
      <c r="O877" s="83"/>
      <c r="P877" s="83"/>
      <c r="Q877" s="83"/>
      <c r="R877" s="83"/>
      <c r="S877" s="83"/>
      <c r="T877" s="83"/>
      <c r="U877" s="83"/>
      <c r="V877" s="83"/>
      <c r="W877" s="83"/>
      <c r="X877" s="83"/>
      <c r="Y877" s="83"/>
      <c r="Z877" s="83"/>
      <c r="AA877" s="83"/>
      <c r="AB877" s="83"/>
      <c r="AC877" s="83"/>
      <c r="AD877" s="83"/>
      <c r="AE877" s="83"/>
      <c r="AF877" s="83"/>
      <c r="AG877" s="83"/>
      <c r="AH877" s="83"/>
      <c r="AI877" s="83"/>
      <c r="AJ877" s="83"/>
      <c r="AK877" s="83"/>
    </row>
    <row r="878">
      <c r="A878" s="83"/>
      <c r="B878" s="83"/>
      <c r="C878" s="83"/>
      <c r="D878" s="83"/>
      <c r="E878" s="118"/>
      <c r="F878" s="118"/>
      <c r="G878" s="118"/>
      <c r="H878" s="118"/>
      <c r="I878" s="118"/>
      <c r="J878" s="118"/>
      <c r="K878" s="118"/>
      <c r="L878" s="118"/>
      <c r="M878" s="118"/>
      <c r="N878" s="83"/>
      <c r="O878" s="83"/>
      <c r="P878" s="83"/>
      <c r="Q878" s="83"/>
      <c r="R878" s="83"/>
      <c r="S878" s="83"/>
      <c r="T878" s="83"/>
      <c r="U878" s="83"/>
      <c r="V878" s="83"/>
      <c r="W878" s="83"/>
      <c r="X878" s="83"/>
      <c r="Y878" s="83"/>
      <c r="Z878" s="83"/>
      <c r="AA878" s="83"/>
      <c r="AB878" s="83"/>
      <c r="AC878" s="83"/>
      <c r="AD878" s="83"/>
      <c r="AE878" s="83"/>
      <c r="AF878" s="83"/>
      <c r="AG878" s="83"/>
      <c r="AH878" s="83"/>
      <c r="AI878" s="83"/>
      <c r="AJ878" s="83"/>
      <c r="AK878" s="83"/>
    </row>
    <row r="879">
      <c r="A879" s="83"/>
      <c r="B879" s="83"/>
      <c r="C879" s="83"/>
      <c r="D879" s="83"/>
      <c r="E879" s="118"/>
      <c r="F879" s="118"/>
      <c r="G879" s="118"/>
      <c r="H879" s="118"/>
      <c r="I879" s="118"/>
      <c r="J879" s="118"/>
      <c r="K879" s="118"/>
      <c r="L879" s="118"/>
      <c r="M879" s="118"/>
      <c r="N879" s="83"/>
      <c r="O879" s="83"/>
      <c r="P879" s="83"/>
      <c r="Q879" s="83"/>
      <c r="R879" s="83"/>
      <c r="S879" s="83"/>
      <c r="T879" s="83"/>
      <c r="U879" s="83"/>
      <c r="V879" s="83"/>
      <c r="W879" s="83"/>
      <c r="X879" s="83"/>
      <c r="Y879" s="83"/>
      <c r="Z879" s="83"/>
      <c r="AA879" s="83"/>
      <c r="AB879" s="83"/>
      <c r="AC879" s="83"/>
      <c r="AD879" s="83"/>
      <c r="AE879" s="83"/>
      <c r="AF879" s="83"/>
      <c r="AG879" s="83"/>
      <c r="AH879" s="83"/>
      <c r="AI879" s="83"/>
      <c r="AJ879" s="83"/>
      <c r="AK879" s="83"/>
    </row>
    <row r="880">
      <c r="A880" s="83"/>
      <c r="B880" s="83"/>
      <c r="C880" s="83"/>
      <c r="D880" s="83"/>
      <c r="E880" s="118"/>
      <c r="F880" s="118"/>
      <c r="G880" s="118"/>
      <c r="H880" s="118"/>
      <c r="I880" s="118"/>
      <c r="J880" s="118"/>
      <c r="K880" s="118"/>
      <c r="L880" s="118"/>
      <c r="M880" s="118"/>
      <c r="N880" s="83"/>
      <c r="O880" s="83"/>
      <c r="P880" s="83"/>
      <c r="Q880" s="83"/>
      <c r="R880" s="83"/>
      <c r="S880" s="83"/>
      <c r="T880" s="83"/>
      <c r="U880" s="83"/>
      <c r="V880" s="83"/>
      <c r="W880" s="83"/>
      <c r="X880" s="83"/>
      <c r="Y880" s="83"/>
      <c r="Z880" s="83"/>
      <c r="AA880" s="83"/>
      <c r="AB880" s="83"/>
      <c r="AC880" s="83"/>
      <c r="AD880" s="83"/>
      <c r="AE880" s="83"/>
      <c r="AF880" s="83"/>
      <c r="AG880" s="83"/>
      <c r="AH880" s="83"/>
      <c r="AI880" s="83"/>
      <c r="AJ880" s="83"/>
      <c r="AK880" s="83"/>
    </row>
    <row r="881">
      <c r="A881" s="83"/>
      <c r="B881" s="83"/>
      <c r="C881" s="83"/>
      <c r="D881" s="83"/>
      <c r="E881" s="118"/>
      <c r="F881" s="118"/>
      <c r="G881" s="118"/>
      <c r="H881" s="118"/>
      <c r="I881" s="118"/>
      <c r="J881" s="118"/>
      <c r="K881" s="118"/>
      <c r="L881" s="118"/>
      <c r="M881" s="118"/>
      <c r="N881" s="83"/>
      <c r="O881" s="83"/>
      <c r="P881" s="83"/>
      <c r="Q881" s="83"/>
      <c r="R881" s="83"/>
      <c r="S881" s="83"/>
      <c r="T881" s="83"/>
      <c r="U881" s="83"/>
      <c r="V881" s="83"/>
      <c r="W881" s="83"/>
      <c r="X881" s="83"/>
      <c r="Y881" s="83"/>
      <c r="Z881" s="83"/>
      <c r="AA881" s="83"/>
      <c r="AB881" s="83"/>
      <c r="AC881" s="83"/>
      <c r="AD881" s="83"/>
      <c r="AE881" s="83"/>
      <c r="AF881" s="83"/>
      <c r="AG881" s="83"/>
      <c r="AH881" s="83"/>
      <c r="AI881" s="83"/>
      <c r="AJ881" s="83"/>
      <c r="AK881" s="83"/>
    </row>
    <row r="882">
      <c r="A882" s="83"/>
      <c r="B882" s="83"/>
      <c r="C882" s="83"/>
      <c r="D882" s="83"/>
      <c r="E882" s="118"/>
      <c r="F882" s="118"/>
      <c r="G882" s="118"/>
      <c r="H882" s="118"/>
      <c r="I882" s="118"/>
      <c r="J882" s="118"/>
      <c r="K882" s="118"/>
      <c r="L882" s="118"/>
      <c r="M882" s="118"/>
      <c r="N882" s="83"/>
      <c r="O882" s="83"/>
      <c r="P882" s="83"/>
      <c r="Q882" s="83"/>
      <c r="R882" s="83"/>
      <c r="S882" s="83"/>
      <c r="T882" s="83"/>
      <c r="U882" s="83"/>
      <c r="V882" s="83"/>
      <c r="W882" s="83"/>
      <c r="X882" s="83"/>
      <c r="Y882" s="83"/>
      <c r="Z882" s="83"/>
      <c r="AA882" s="83"/>
      <c r="AB882" s="83"/>
      <c r="AC882" s="83"/>
      <c r="AD882" s="83"/>
      <c r="AE882" s="83"/>
      <c r="AF882" s="83"/>
      <c r="AG882" s="83"/>
      <c r="AH882" s="83"/>
      <c r="AI882" s="83"/>
      <c r="AJ882" s="83"/>
      <c r="AK882" s="83"/>
    </row>
    <row r="883">
      <c r="A883" s="83"/>
      <c r="B883" s="83"/>
      <c r="C883" s="83"/>
      <c r="D883" s="83"/>
      <c r="E883" s="118"/>
      <c r="F883" s="118"/>
      <c r="G883" s="118"/>
      <c r="H883" s="118"/>
      <c r="I883" s="118"/>
      <c r="J883" s="118"/>
      <c r="K883" s="118"/>
      <c r="L883" s="118"/>
      <c r="M883" s="118"/>
      <c r="N883" s="83"/>
      <c r="O883" s="83"/>
      <c r="P883" s="83"/>
      <c r="Q883" s="83"/>
      <c r="R883" s="83"/>
      <c r="S883" s="83"/>
      <c r="T883" s="83"/>
      <c r="U883" s="83"/>
      <c r="V883" s="83"/>
      <c r="W883" s="83"/>
      <c r="X883" s="83"/>
      <c r="Y883" s="83"/>
      <c r="Z883" s="83"/>
      <c r="AA883" s="83"/>
      <c r="AB883" s="83"/>
      <c r="AC883" s="83"/>
      <c r="AD883" s="83"/>
      <c r="AE883" s="83"/>
      <c r="AF883" s="83"/>
      <c r="AG883" s="83"/>
      <c r="AH883" s="83"/>
      <c r="AI883" s="83"/>
      <c r="AJ883" s="83"/>
      <c r="AK883" s="83"/>
    </row>
    <row r="884">
      <c r="A884" s="83"/>
      <c r="B884" s="83"/>
      <c r="C884" s="83"/>
      <c r="D884" s="83"/>
      <c r="E884" s="118"/>
      <c r="F884" s="118"/>
      <c r="G884" s="118"/>
      <c r="H884" s="118"/>
      <c r="I884" s="118"/>
      <c r="J884" s="118"/>
      <c r="K884" s="118"/>
      <c r="L884" s="118"/>
      <c r="M884" s="118"/>
      <c r="N884" s="83"/>
      <c r="O884" s="83"/>
      <c r="P884" s="83"/>
      <c r="Q884" s="83"/>
      <c r="R884" s="83"/>
      <c r="S884" s="83"/>
      <c r="T884" s="83"/>
      <c r="U884" s="83"/>
      <c r="V884" s="83"/>
      <c r="W884" s="83"/>
      <c r="X884" s="83"/>
      <c r="Y884" s="83"/>
      <c r="Z884" s="83"/>
      <c r="AA884" s="83"/>
      <c r="AB884" s="83"/>
      <c r="AC884" s="83"/>
      <c r="AD884" s="83"/>
      <c r="AE884" s="83"/>
      <c r="AF884" s="83"/>
      <c r="AG884" s="83"/>
      <c r="AH884" s="83"/>
      <c r="AI884" s="83"/>
      <c r="AJ884" s="83"/>
      <c r="AK884" s="83"/>
    </row>
    <row r="885">
      <c r="A885" s="83"/>
      <c r="B885" s="83"/>
      <c r="C885" s="83"/>
      <c r="D885" s="83"/>
      <c r="E885" s="118"/>
      <c r="F885" s="118"/>
      <c r="G885" s="118"/>
      <c r="H885" s="118"/>
      <c r="I885" s="118"/>
      <c r="J885" s="118"/>
      <c r="K885" s="118"/>
      <c r="L885" s="118"/>
      <c r="M885" s="118"/>
      <c r="N885" s="83"/>
      <c r="O885" s="83"/>
      <c r="P885" s="83"/>
      <c r="Q885" s="83"/>
      <c r="R885" s="83"/>
      <c r="S885" s="83"/>
      <c r="T885" s="83"/>
      <c r="U885" s="83"/>
      <c r="V885" s="83"/>
      <c r="W885" s="83"/>
      <c r="X885" s="83"/>
      <c r="Y885" s="83"/>
      <c r="Z885" s="83"/>
      <c r="AA885" s="83"/>
      <c r="AB885" s="83"/>
      <c r="AC885" s="83"/>
      <c r="AD885" s="83"/>
      <c r="AE885" s="83"/>
      <c r="AF885" s="83"/>
      <c r="AG885" s="83"/>
      <c r="AH885" s="83"/>
      <c r="AI885" s="83"/>
      <c r="AJ885" s="83"/>
      <c r="AK885" s="83"/>
    </row>
    <row r="886">
      <c r="A886" s="83"/>
      <c r="B886" s="83"/>
      <c r="C886" s="83"/>
      <c r="D886" s="83"/>
      <c r="E886" s="118"/>
      <c r="F886" s="118"/>
      <c r="G886" s="118"/>
      <c r="H886" s="118"/>
      <c r="I886" s="118"/>
      <c r="J886" s="118"/>
      <c r="K886" s="118"/>
      <c r="L886" s="118"/>
      <c r="M886" s="118"/>
      <c r="N886" s="83"/>
      <c r="O886" s="83"/>
      <c r="P886" s="83"/>
      <c r="Q886" s="83"/>
      <c r="R886" s="83"/>
      <c r="S886" s="83"/>
      <c r="T886" s="83"/>
      <c r="U886" s="83"/>
      <c r="V886" s="83"/>
      <c r="W886" s="83"/>
      <c r="X886" s="83"/>
      <c r="Y886" s="83"/>
      <c r="Z886" s="83"/>
      <c r="AA886" s="83"/>
      <c r="AB886" s="83"/>
      <c r="AC886" s="83"/>
      <c r="AD886" s="83"/>
      <c r="AE886" s="83"/>
      <c r="AF886" s="83"/>
      <c r="AG886" s="83"/>
      <c r="AH886" s="83"/>
      <c r="AI886" s="83"/>
      <c r="AJ886" s="83"/>
      <c r="AK886" s="83"/>
    </row>
    <row r="887">
      <c r="A887" s="83"/>
      <c r="B887" s="83"/>
      <c r="C887" s="83"/>
      <c r="D887" s="83"/>
      <c r="E887" s="118"/>
      <c r="F887" s="118"/>
      <c r="G887" s="118"/>
      <c r="H887" s="118"/>
      <c r="I887" s="118"/>
      <c r="J887" s="118"/>
      <c r="K887" s="118"/>
      <c r="L887" s="118"/>
      <c r="M887" s="118"/>
      <c r="N887" s="83"/>
      <c r="O887" s="83"/>
      <c r="P887" s="83"/>
      <c r="Q887" s="83"/>
      <c r="R887" s="83"/>
      <c r="S887" s="83"/>
      <c r="T887" s="83"/>
      <c r="U887" s="83"/>
      <c r="V887" s="83"/>
      <c r="W887" s="83"/>
      <c r="X887" s="83"/>
      <c r="Y887" s="83"/>
      <c r="Z887" s="83"/>
      <c r="AA887" s="83"/>
      <c r="AB887" s="83"/>
      <c r="AC887" s="83"/>
      <c r="AD887" s="83"/>
      <c r="AE887" s="83"/>
      <c r="AF887" s="83"/>
      <c r="AG887" s="83"/>
      <c r="AH887" s="83"/>
      <c r="AI887" s="83"/>
      <c r="AJ887" s="83"/>
      <c r="AK887" s="83"/>
    </row>
    <row r="888">
      <c r="A888" s="83"/>
      <c r="B888" s="83"/>
      <c r="C888" s="83"/>
      <c r="D888" s="83"/>
      <c r="E888" s="118"/>
      <c r="F888" s="118"/>
      <c r="G888" s="118"/>
      <c r="H888" s="118"/>
      <c r="I888" s="118"/>
      <c r="J888" s="118"/>
      <c r="K888" s="118"/>
      <c r="L888" s="118"/>
      <c r="M888" s="118"/>
      <c r="N888" s="83"/>
      <c r="O888" s="83"/>
      <c r="P888" s="83"/>
      <c r="Q888" s="83"/>
      <c r="R888" s="83"/>
      <c r="S888" s="83"/>
      <c r="T888" s="83"/>
      <c r="U888" s="83"/>
      <c r="V888" s="83"/>
      <c r="W888" s="83"/>
      <c r="X888" s="83"/>
      <c r="Y888" s="83"/>
      <c r="Z888" s="83"/>
      <c r="AA888" s="83"/>
      <c r="AB888" s="83"/>
      <c r="AC888" s="83"/>
      <c r="AD888" s="83"/>
      <c r="AE888" s="83"/>
      <c r="AF888" s="83"/>
      <c r="AG888" s="83"/>
      <c r="AH888" s="83"/>
      <c r="AI888" s="83"/>
      <c r="AJ888" s="83"/>
      <c r="AK888" s="83"/>
    </row>
    <row r="889">
      <c r="A889" s="83"/>
      <c r="B889" s="83"/>
      <c r="C889" s="83"/>
      <c r="D889" s="83"/>
      <c r="E889" s="118"/>
      <c r="F889" s="118"/>
      <c r="G889" s="118"/>
      <c r="H889" s="118"/>
      <c r="I889" s="118"/>
      <c r="J889" s="118"/>
      <c r="K889" s="118"/>
      <c r="L889" s="118"/>
      <c r="M889" s="118"/>
      <c r="N889" s="83"/>
      <c r="O889" s="83"/>
      <c r="P889" s="83"/>
      <c r="Q889" s="83"/>
      <c r="R889" s="83"/>
      <c r="S889" s="83"/>
      <c r="T889" s="83"/>
      <c r="U889" s="83"/>
      <c r="V889" s="83"/>
      <c r="W889" s="83"/>
      <c r="X889" s="83"/>
      <c r="Y889" s="83"/>
      <c r="Z889" s="83"/>
      <c r="AA889" s="83"/>
      <c r="AB889" s="83"/>
      <c r="AC889" s="83"/>
      <c r="AD889" s="83"/>
      <c r="AE889" s="83"/>
      <c r="AF889" s="83"/>
      <c r="AG889" s="83"/>
      <c r="AH889" s="83"/>
      <c r="AI889" s="83"/>
      <c r="AJ889" s="83"/>
      <c r="AK889" s="83"/>
    </row>
    <row r="890">
      <c r="A890" s="83"/>
      <c r="B890" s="83"/>
      <c r="C890" s="83"/>
      <c r="D890" s="83"/>
      <c r="E890" s="118"/>
      <c r="F890" s="118"/>
      <c r="G890" s="118"/>
      <c r="H890" s="118"/>
      <c r="I890" s="118"/>
      <c r="J890" s="118"/>
      <c r="K890" s="118"/>
      <c r="L890" s="118"/>
      <c r="M890" s="118"/>
      <c r="N890" s="83"/>
      <c r="O890" s="83"/>
      <c r="P890" s="83"/>
      <c r="Q890" s="83"/>
      <c r="R890" s="83"/>
      <c r="S890" s="83"/>
      <c r="T890" s="83"/>
      <c r="U890" s="83"/>
      <c r="V890" s="83"/>
      <c r="W890" s="83"/>
      <c r="X890" s="83"/>
      <c r="Y890" s="83"/>
      <c r="Z890" s="83"/>
      <c r="AA890" s="83"/>
      <c r="AB890" s="83"/>
      <c r="AC890" s="83"/>
      <c r="AD890" s="83"/>
      <c r="AE890" s="83"/>
      <c r="AF890" s="83"/>
      <c r="AG890" s="83"/>
      <c r="AH890" s="83"/>
      <c r="AI890" s="83"/>
      <c r="AJ890" s="83"/>
      <c r="AK890" s="83"/>
    </row>
    <row r="891">
      <c r="A891" s="83"/>
      <c r="B891" s="83"/>
      <c r="C891" s="83"/>
      <c r="D891" s="83"/>
      <c r="E891" s="118"/>
      <c r="F891" s="118"/>
      <c r="G891" s="118"/>
      <c r="H891" s="118"/>
      <c r="I891" s="118"/>
      <c r="J891" s="118"/>
      <c r="K891" s="118"/>
      <c r="L891" s="118"/>
      <c r="M891" s="118"/>
      <c r="N891" s="83"/>
      <c r="O891" s="83"/>
      <c r="P891" s="83"/>
      <c r="Q891" s="83"/>
      <c r="R891" s="83"/>
      <c r="S891" s="83"/>
      <c r="T891" s="83"/>
      <c r="U891" s="83"/>
      <c r="V891" s="83"/>
      <c r="W891" s="83"/>
      <c r="X891" s="83"/>
      <c r="Y891" s="83"/>
      <c r="Z891" s="83"/>
      <c r="AA891" s="83"/>
      <c r="AB891" s="83"/>
      <c r="AC891" s="83"/>
      <c r="AD891" s="83"/>
      <c r="AE891" s="83"/>
      <c r="AF891" s="83"/>
      <c r="AG891" s="83"/>
      <c r="AH891" s="83"/>
      <c r="AI891" s="83"/>
      <c r="AJ891" s="83"/>
      <c r="AK891" s="83"/>
    </row>
    <row r="892">
      <c r="A892" s="83"/>
      <c r="B892" s="83"/>
      <c r="C892" s="83"/>
      <c r="D892" s="83"/>
      <c r="E892" s="118"/>
      <c r="F892" s="118"/>
      <c r="G892" s="118"/>
      <c r="H892" s="118"/>
      <c r="I892" s="118"/>
      <c r="J892" s="118"/>
      <c r="K892" s="118"/>
      <c r="L892" s="118"/>
      <c r="M892" s="118"/>
      <c r="N892" s="83"/>
      <c r="O892" s="83"/>
      <c r="P892" s="83"/>
      <c r="Q892" s="83"/>
      <c r="R892" s="83"/>
      <c r="S892" s="83"/>
      <c r="T892" s="83"/>
      <c r="U892" s="83"/>
      <c r="V892" s="83"/>
      <c r="W892" s="83"/>
      <c r="X892" s="83"/>
      <c r="Y892" s="83"/>
      <c r="Z892" s="83"/>
      <c r="AA892" s="83"/>
      <c r="AB892" s="83"/>
      <c r="AC892" s="83"/>
      <c r="AD892" s="83"/>
      <c r="AE892" s="83"/>
      <c r="AF892" s="83"/>
      <c r="AG892" s="83"/>
      <c r="AH892" s="83"/>
      <c r="AI892" s="83"/>
      <c r="AJ892" s="83"/>
      <c r="AK892" s="83"/>
    </row>
    <row r="893">
      <c r="A893" s="83"/>
      <c r="B893" s="83"/>
      <c r="C893" s="83"/>
      <c r="D893" s="83"/>
      <c r="E893" s="118"/>
      <c r="F893" s="118"/>
      <c r="G893" s="118"/>
      <c r="H893" s="118"/>
      <c r="I893" s="118"/>
      <c r="J893" s="118"/>
      <c r="K893" s="118"/>
      <c r="L893" s="118"/>
      <c r="M893" s="118"/>
      <c r="N893" s="83"/>
      <c r="O893" s="83"/>
      <c r="P893" s="83"/>
      <c r="Q893" s="83"/>
      <c r="R893" s="83"/>
      <c r="S893" s="83"/>
      <c r="T893" s="83"/>
      <c r="U893" s="83"/>
      <c r="V893" s="83"/>
      <c r="W893" s="83"/>
      <c r="X893" s="83"/>
      <c r="Y893" s="83"/>
      <c r="Z893" s="83"/>
      <c r="AA893" s="83"/>
      <c r="AB893" s="83"/>
      <c r="AC893" s="83"/>
      <c r="AD893" s="83"/>
      <c r="AE893" s="83"/>
      <c r="AF893" s="83"/>
      <c r="AG893" s="83"/>
      <c r="AH893" s="83"/>
      <c r="AI893" s="83"/>
      <c r="AJ893" s="83"/>
      <c r="AK893" s="83"/>
    </row>
    <row r="894">
      <c r="A894" s="83"/>
      <c r="B894" s="83"/>
      <c r="C894" s="83"/>
      <c r="D894" s="83"/>
      <c r="E894" s="118"/>
      <c r="F894" s="118"/>
      <c r="G894" s="118"/>
      <c r="H894" s="118"/>
      <c r="I894" s="118"/>
      <c r="J894" s="118"/>
      <c r="K894" s="118"/>
      <c r="L894" s="118"/>
      <c r="M894" s="118"/>
      <c r="N894" s="83"/>
      <c r="O894" s="83"/>
      <c r="P894" s="83"/>
      <c r="Q894" s="83"/>
      <c r="R894" s="83"/>
      <c r="S894" s="83"/>
      <c r="T894" s="83"/>
      <c r="U894" s="83"/>
      <c r="V894" s="83"/>
      <c r="W894" s="83"/>
      <c r="X894" s="83"/>
      <c r="Y894" s="83"/>
      <c r="Z894" s="83"/>
      <c r="AA894" s="83"/>
      <c r="AB894" s="83"/>
      <c r="AC894" s="83"/>
      <c r="AD894" s="83"/>
      <c r="AE894" s="83"/>
      <c r="AF894" s="83"/>
      <c r="AG894" s="83"/>
      <c r="AH894" s="83"/>
      <c r="AI894" s="83"/>
      <c r="AJ894" s="83"/>
      <c r="AK894" s="83"/>
    </row>
    <row r="895">
      <c r="A895" s="83"/>
      <c r="B895" s="83"/>
      <c r="C895" s="83"/>
      <c r="D895" s="83"/>
      <c r="E895" s="118"/>
      <c r="F895" s="118"/>
      <c r="G895" s="118"/>
      <c r="H895" s="118"/>
      <c r="I895" s="118"/>
      <c r="J895" s="118"/>
      <c r="K895" s="118"/>
      <c r="L895" s="118"/>
      <c r="M895" s="118"/>
      <c r="N895" s="83"/>
      <c r="O895" s="83"/>
      <c r="P895" s="83"/>
      <c r="Q895" s="83"/>
      <c r="R895" s="83"/>
      <c r="S895" s="83"/>
      <c r="T895" s="83"/>
      <c r="U895" s="83"/>
      <c r="V895" s="83"/>
      <c r="W895" s="83"/>
      <c r="X895" s="83"/>
      <c r="Y895" s="83"/>
      <c r="Z895" s="83"/>
      <c r="AA895" s="83"/>
      <c r="AB895" s="83"/>
      <c r="AC895" s="83"/>
      <c r="AD895" s="83"/>
      <c r="AE895" s="83"/>
      <c r="AF895" s="83"/>
      <c r="AG895" s="83"/>
      <c r="AH895" s="83"/>
      <c r="AI895" s="83"/>
      <c r="AJ895" s="83"/>
      <c r="AK895" s="83"/>
    </row>
    <row r="896">
      <c r="A896" s="83"/>
      <c r="B896" s="83"/>
      <c r="C896" s="83"/>
      <c r="D896" s="83"/>
      <c r="E896" s="118"/>
      <c r="F896" s="118"/>
      <c r="G896" s="118"/>
      <c r="H896" s="118"/>
      <c r="I896" s="118"/>
      <c r="J896" s="118"/>
      <c r="K896" s="118"/>
      <c r="L896" s="118"/>
      <c r="M896" s="118"/>
      <c r="N896" s="83"/>
      <c r="O896" s="83"/>
      <c r="P896" s="83"/>
      <c r="Q896" s="83"/>
      <c r="R896" s="83"/>
      <c r="S896" s="83"/>
      <c r="T896" s="83"/>
      <c r="U896" s="83"/>
      <c r="V896" s="83"/>
      <c r="W896" s="83"/>
      <c r="X896" s="83"/>
      <c r="Y896" s="83"/>
      <c r="Z896" s="83"/>
      <c r="AA896" s="83"/>
      <c r="AB896" s="83"/>
      <c r="AC896" s="83"/>
      <c r="AD896" s="83"/>
      <c r="AE896" s="83"/>
      <c r="AF896" s="83"/>
      <c r="AG896" s="83"/>
      <c r="AH896" s="83"/>
      <c r="AI896" s="83"/>
      <c r="AJ896" s="83"/>
      <c r="AK896" s="83"/>
    </row>
    <row r="897">
      <c r="A897" s="83"/>
      <c r="B897" s="83"/>
      <c r="C897" s="83"/>
      <c r="D897" s="83"/>
      <c r="E897" s="118"/>
      <c r="F897" s="118"/>
      <c r="G897" s="118"/>
      <c r="H897" s="118"/>
      <c r="I897" s="118"/>
      <c r="J897" s="118"/>
      <c r="K897" s="118"/>
      <c r="L897" s="118"/>
      <c r="M897" s="118"/>
      <c r="N897" s="83"/>
      <c r="O897" s="83"/>
      <c r="P897" s="83"/>
      <c r="Q897" s="83"/>
      <c r="R897" s="83"/>
      <c r="S897" s="83"/>
      <c r="T897" s="83"/>
      <c r="U897" s="83"/>
      <c r="V897" s="83"/>
      <c r="W897" s="83"/>
      <c r="X897" s="83"/>
      <c r="Y897" s="83"/>
      <c r="Z897" s="83"/>
      <c r="AA897" s="83"/>
      <c r="AB897" s="83"/>
      <c r="AC897" s="83"/>
      <c r="AD897" s="83"/>
      <c r="AE897" s="83"/>
      <c r="AF897" s="83"/>
      <c r="AG897" s="83"/>
      <c r="AH897" s="83"/>
      <c r="AI897" s="83"/>
      <c r="AJ897" s="83"/>
      <c r="AK897" s="83"/>
    </row>
    <row r="898">
      <c r="A898" s="83"/>
      <c r="B898" s="83"/>
      <c r="C898" s="83"/>
      <c r="D898" s="83"/>
      <c r="E898" s="118"/>
      <c r="F898" s="118"/>
      <c r="G898" s="118"/>
      <c r="H898" s="118"/>
      <c r="I898" s="118"/>
      <c r="J898" s="118"/>
      <c r="K898" s="118"/>
      <c r="L898" s="118"/>
      <c r="M898" s="118"/>
      <c r="N898" s="83"/>
      <c r="O898" s="83"/>
      <c r="P898" s="83"/>
      <c r="Q898" s="83"/>
      <c r="R898" s="83"/>
      <c r="S898" s="83"/>
      <c r="T898" s="83"/>
      <c r="U898" s="83"/>
      <c r="V898" s="83"/>
      <c r="W898" s="83"/>
      <c r="X898" s="83"/>
      <c r="Y898" s="83"/>
      <c r="Z898" s="83"/>
      <c r="AA898" s="83"/>
      <c r="AB898" s="83"/>
      <c r="AC898" s="83"/>
      <c r="AD898" s="83"/>
      <c r="AE898" s="83"/>
      <c r="AF898" s="83"/>
      <c r="AG898" s="83"/>
      <c r="AH898" s="83"/>
      <c r="AI898" s="83"/>
      <c r="AJ898" s="83"/>
      <c r="AK898" s="83"/>
    </row>
    <row r="899">
      <c r="A899" s="83"/>
      <c r="B899" s="83"/>
      <c r="C899" s="83"/>
      <c r="D899" s="83"/>
      <c r="E899" s="118"/>
      <c r="F899" s="118"/>
      <c r="G899" s="118"/>
      <c r="H899" s="118"/>
      <c r="I899" s="118"/>
      <c r="J899" s="118"/>
      <c r="K899" s="118"/>
      <c r="L899" s="118"/>
      <c r="M899" s="118"/>
      <c r="N899" s="83"/>
      <c r="O899" s="83"/>
      <c r="P899" s="83"/>
      <c r="Q899" s="83"/>
      <c r="R899" s="83"/>
      <c r="S899" s="83"/>
      <c r="T899" s="83"/>
      <c r="U899" s="83"/>
      <c r="V899" s="83"/>
      <c r="W899" s="83"/>
      <c r="X899" s="83"/>
      <c r="Y899" s="83"/>
      <c r="Z899" s="83"/>
      <c r="AA899" s="83"/>
      <c r="AB899" s="83"/>
      <c r="AC899" s="83"/>
      <c r="AD899" s="83"/>
      <c r="AE899" s="83"/>
      <c r="AF899" s="83"/>
      <c r="AG899" s="83"/>
      <c r="AH899" s="83"/>
      <c r="AI899" s="83"/>
      <c r="AJ899" s="83"/>
      <c r="AK899" s="83"/>
    </row>
    <row r="900">
      <c r="A900" s="83"/>
      <c r="B900" s="83"/>
      <c r="C900" s="83"/>
      <c r="D900" s="83"/>
      <c r="E900" s="118"/>
      <c r="F900" s="118"/>
      <c r="G900" s="118"/>
      <c r="H900" s="118"/>
      <c r="I900" s="118"/>
      <c r="J900" s="118"/>
      <c r="K900" s="118"/>
      <c r="L900" s="118"/>
      <c r="M900" s="118"/>
      <c r="N900" s="83"/>
      <c r="O900" s="83"/>
      <c r="P900" s="83"/>
      <c r="Q900" s="83"/>
      <c r="R900" s="83"/>
      <c r="S900" s="83"/>
      <c r="T900" s="83"/>
      <c r="U900" s="83"/>
      <c r="V900" s="83"/>
      <c r="W900" s="83"/>
      <c r="X900" s="83"/>
      <c r="Y900" s="83"/>
      <c r="Z900" s="83"/>
      <c r="AA900" s="83"/>
      <c r="AB900" s="83"/>
      <c r="AC900" s="83"/>
      <c r="AD900" s="83"/>
      <c r="AE900" s="83"/>
      <c r="AF900" s="83"/>
      <c r="AG900" s="83"/>
      <c r="AH900" s="83"/>
      <c r="AI900" s="83"/>
      <c r="AJ900" s="83"/>
      <c r="AK900" s="83"/>
    </row>
    <row r="901">
      <c r="A901" s="83"/>
      <c r="B901" s="83"/>
      <c r="C901" s="83"/>
      <c r="D901" s="83"/>
      <c r="E901" s="118"/>
      <c r="F901" s="118"/>
      <c r="G901" s="118"/>
      <c r="H901" s="118"/>
      <c r="I901" s="118"/>
      <c r="J901" s="118"/>
      <c r="K901" s="118"/>
      <c r="L901" s="118"/>
      <c r="M901" s="118"/>
      <c r="N901" s="83"/>
      <c r="O901" s="83"/>
      <c r="P901" s="83"/>
      <c r="Q901" s="83"/>
      <c r="R901" s="83"/>
      <c r="S901" s="83"/>
      <c r="T901" s="83"/>
      <c r="U901" s="83"/>
      <c r="V901" s="83"/>
      <c r="W901" s="83"/>
      <c r="X901" s="83"/>
      <c r="Y901" s="83"/>
      <c r="Z901" s="83"/>
      <c r="AA901" s="83"/>
      <c r="AB901" s="83"/>
      <c r="AC901" s="83"/>
      <c r="AD901" s="83"/>
      <c r="AE901" s="83"/>
      <c r="AF901" s="83"/>
      <c r="AG901" s="83"/>
      <c r="AH901" s="83"/>
      <c r="AI901" s="83"/>
      <c r="AJ901" s="83"/>
      <c r="AK901" s="83"/>
    </row>
    <row r="902">
      <c r="A902" s="83"/>
      <c r="B902" s="83"/>
      <c r="C902" s="83"/>
      <c r="D902" s="83"/>
      <c r="E902" s="118"/>
      <c r="F902" s="118"/>
      <c r="G902" s="118"/>
      <c r="H902" s="118"/>
      <c r="I902" s="118"/>
      <c r="J902" s="118"/>
      <c r="K902" s="118"/>
      <c r="L902" s="118"/>
      <c r="M902" s="118"/>
      <c r="N902" s="83"/>
      <c r="O902" s="83"/>
      <c r="P902" s="83"/>
      <c r="Q902" s="83"/>
      <c r="R902" s="83"/>
      <c r="S902" s="83"/>
      <c r="T902" s="83"/>
      <c r="U902" s="83"/>
      <c r="V902" s="83"/>
      <c r="W902" s="83"/>
      <c r="X902" s="83"/>
      <c r="Y902" s="83"/>
      <c r="Z902" s="83"/>
      <c r="AA902" s="83"/>
      <c r="AB902" s="83"/>
      <c r="AC902" s="83"/>
      <c r="AD902" s="83"/>
      <c r="AE902" s="83"/>
      <c r="AF902" s="83"/>
      <c r="AG902" s="83"/>
      <c r="AH902" s="83"/>
      <c r="AI902" s="83"/>
      <c r="AJ902" s="83"/>
      <c r="AK902" s="83"/>
    </row>
    <row r="903">
      <c r="A903" s="83"/>
      <c r="B903" s="83"/>
      <c r="C903" s="83"/>
      <c r="D903" s="83"/>
      <c r="E903" s="118"/>
      <c r="F903" s="118"/>
      <c r="G903" s="118"/>
      <c r="H903" s="118"/>
      <c r="I903" s="118"/>
      <c r="J903" s="118"/>
      <c r="K903" s="118"/>
      <c r="L903" s="118"/>
      <c r="M903" s="118"/>
      <c r="N903" s="83"/>
      <c r="O903" s="83"/>
      <c r="P903" s="83"/>
      <c r="Q903" s="83"/>
      <c r="R903" s="83"/>
      <c r="S903" s="83"/>
      <c r="T903" s="83"/>
      <c r="U903" s="83"/>
      <c r="V903" s="83"/>
      <c r="W903" s="83"/>
      <c r="X903" s="83"/>
      <c r="Y903" s="83"/>
      <c r="Z903" s="83"/>
      <c r="AA903" s="83"/>
      <c r="AB903" s="83"/>
      <c r="AC903" s="83"/>
      <c r="AD903" s="83"/>
      <c r="AE903" s="83"/>
      <c r="AF903" s="83"/>
      <c r="AG903" s="83"/>
      <c r="AH903" s="83"/>
      <c r="AI903" s="83"/>
      <c r="AJ903" s="83"/>
      <c r="AK903" s="83"/>
    </row>
    <row r="904">
      <c r="A904" s="83"/>
      <c r="B904" s="83"/>
      <c r="C904" s="83"/>
      <c r="D904" s="83"/>
      <c r="E904" s="118"/>
      <c r="F904" s="118"/>
      <c r="G904" s="118"/>
      <c r="H904" s="118"/>
      <c r="I904" s="118"/>
      <c r="J904" s="118"/>
      <c r="K904" s="118"/>
      <c r="L904" s="118"/>
      <c r="M904" s="118"/>
      <c r="N904" s="83"/>
      <c r="O904" s="83"/>
      <c r="P904" s="83"/>
      <c r="Q904" s="83"/>
      <c r="R904" s="83"/>
      <c r="S904" s="83"/>
      <c r="T904" s="83"/>
      <c r="U904" s="83"/>
      <c r="V904" s="83"/>
      <c r="W904" s="83"/>
      <c r="X904" s="83"/>
      <c r="Y904" s="83"/>
      <c r="Z904" s="83"/>
      <c r="AA904" s="83"/>
      <c r="AB904" s="83"/>
      <c r="AC904" s="83"/>
      <c r="AD904" s="83"/>
      <c r="AE904" s="83"/>
      <c r="AF904" s="83"/>
      <c r="AG904" s="83"/>
      <c r="AH904" s="83"/>
      <c r="AI904" s="83"/>
      <c r="AJ904" s="83"/>
      <c r="AK904" s="83"/>
    </row>
    <row r="905">
      <c r="A905" s="83"/>
      <c r="B905" s="83"/>
      <c r="C905" s="83"/>
      <c r="D905" s="83"/>
      <c r="E905" s="118"/>
      <c r="F905" s="118"/>
      <c r="G905" s="118"/>
      <c r="H905" s="118"/>
      <c r="I905" s="118"/>
      <c r="J905" s="118"/>
      <c r="K905" s="118"/>
      <c r="L905" s="118"/>
      <c r="M905" s="118"/>
      <c r="N905" s="83"/>
      <c r="O905" s="83"/>
      <c r="P905" s="83"/>
      <c r="Q905" s="83"/>
      <c r="R905" s="83"/>
      <c r="S905" s="83"/>
      <c r="T905" s="83"/>
      <c r="U905" s="83"/>
      <c r="V905" s="83"/>
      <c r="W905" s="83"/>
      <c r="X905" s="83"/>
      <c r="Y905" s="83"/>
      <c r="Z905" s="83"/>
      <c r="AA905" s="83"/>
      <c r="AB905" s="83"/>
      <c r="AC905" s="83"/>
      <c r="AD905" s="83"/>
      <c r="AE905" s="83"/>
      <c r="AF905" s="83"/>
      <c r="AG905" s="83"/>
      <c r="AH905" s="83"/>
      <c r="AI905" s="83"/>
      <c r="AJ905" s="83"/>
      <c r="AK905" s="83"/>
    </row>
    <row r="906">
      <c r="A906" s="83"/>
      <c r="B906" s="83"/>
      <c r="C906" s="83"/>
      <c r="D906" s="83"/>
      <c r="E906" s="118"/>
      <c r="F906" s="118"/>
      <c r="G906" s="118"/>
      <c r="H906" s="118"/>
      <c r="I906" s="118"/>
      <c r="J906" s="118"/>
      <c r="K906" s="118"/>
      <c r="L906" s="118"/>
      <c r="M906" s="118"/>
      <c r="N906" s="83"/>
      <c r="O906" s="83"/>
      <c r="P906" s="83"/>
      <c r="Q906" s="83"/>
      <c r="R906" s="83"/>
      <c r="S906" s="83"/>
      <c r="T906" s="83"/>
      <c r="U906" s="83"/>
      <c r="V906" s="83"/>
      <c r="W906" s="83"/>
      <c r="X906" s="83"/>
      <c r="Y906" s="83"/>
      <c r="Z906" s="83"/>
      <c r="AA906" s="83"/>
      <c r="AB906" s="83"/>
      <c r="AC906" s="83"/>
      <c r="AD906" s="83"/>
      <c r="AE906" s="83"/>
      <c r="AF906" s="83"/>
      <c r="AG906" s="83"/>
      <c r="AH906" s="83"/>
      <c r="AI906" s="83"/>
      <c r="AJ906" s="83"/>
      <c r="AK906" s="83"/>
    </row>
    <row r="907">
      <c r="A907" s="83"/>
      <c r="B907" s="83"/>
      <c r="C907" s="83"/>
      <c r="D907" s="83"/>
      <c r="E907" s="118"/>
      <c r="F907" s="118"/>
      <c r="G907" s="118"/>
      <c r="H907" s="118"/>
      <c r="I907" s="118"/>
      <c r="J907" s="118"/>
      <c r="K907" s="118"/>
      <c r="L907" s="118"/>
      <c r="M907" s="118"/>
      <c r="N907" s="83"/>
      <c r="O907" s="83"/>
      <c r="P907" s="83"/>
      <c r="Q907" s="83"/>
      <c r="R907" s="83"/>
      <c r="S907" s="83"/>
      <c r="T907" s="83"/>
      <c r="U907" s="83"/>
      <c r="V907" s="83"/>
      <c r="W907" s="83"/>
      <c r="X907" s="83"/>
      <c r="Y907" s="83"/>
      <c r="Z907" s="83"/>
      <c r="AA907" s="83"/>
      <c r="AB907" s="83"/>
      <c r="AC907" s="83"/>
      <c r="AD907" s="83"/>
      <c r="AE907" s="83"/>
      <c r="AF907" s="83"/>
      <c r="AG907" s="83"/>
      <c r="AH907" s="83"/>
      <c r="AI907" s="83"/>
      <c r="AJ907" s="83"/>
      <c r="AK907" s="83"/>
    </row>
    <row r="908">
      <c r="A908" s="83"/>
      <c r="B908" s="83"/>
      <c r="C908" s="83"/>
      <c r="D908" s="83"/>
      <c r="E908" s="118"/>
      <c r="F908" s="118"/>
      <c r="G908" s="118"/>
      <c r="H908" s="118"/>
      <c r="I908" s="118"/>
      <c r="J908" s="118"/>
      <c r="K908" s="118"/>
      <c r="L908" s="118"/>
      <c r="M908" s="118"/>
      <c r="N908" s="83"/>
      <c r="O908" s="83"/>
      <c r="P908" s="83"/>
      <c r="Q908" s="83"/>
      <c r="R908" s="83"/>
      <c r="S908" s="83"/>
      <c r="T908" s="83"/>
      <c r="U908" s="83"/>
      <c r="V908" s="83"/>
      <c r="W908" s="83"/>
      <c r="X908" s="83"/>
      <c r="Y908" s="83"/>
      <c r="Z908" s="83"/>
      <c r="AA908" s="83"/>
      <c r="AB908" s="83"/>
      <c r="AC908" s="83"/>
      <c r="AD908" s="83"/>
      <c r="AE908" s="83"/>
      <c r="AF908" s="83"/>
      <c r="AG908" s="83"/>
      <c r="AH908" s="83"/>
      <c r="AI908" s="83"/>
      <c r="AJ908" s="83"/>
      <c r="AK908" s="83"/>
    </row>
    <row r="909">
      <c r="A909" s="83"/>
      <c r="B909" s="83"/>
      <c r="C909" s="83"/>
      <c r="D909" s="83"/>
      <c r="E909" s="118"/>
      <c r="F909" s="118"/>
      <c r="G909" s="118"/>
      <c r="H909" s="118"/>
      <c r="I909" s="118"/>
      <c r="J909" s="118"/>
      <c r="K909" s="118"/>
      <c r="L909" s="118"/>
      <c r="M909" s="118"/>
      <c r="N909" s="83"/>
      <c r="O909" s="83"/>
      <c r="P909" s="83"/>
      <c r="Q909" s="83"/>
      <c r="R909" s="83"/>
      <c r="S909" s="83"/>
      <c r="T909" s="83"/>
      <c r="U909" s="83"/>
      <c r="V909" s="83"/>
      <c r="W909" s="83"/>
      <c r="X909" s="83"/>
      <c r="Y909" s="83"/>
      <c r="Z909" s="83"/>
      <c r="AA909" s="83"/>
      <c r="AB909" s="83"/>
      <c r="AC909" s="83"/>
      <c r="AD909" s="83"/>
      <c r="AE909" s="83"/>
      <c r="AF909" s="83"/>
      <c r="AG909" s="83"/>
      <c r="AH909" s="83"/>
      <c r="AI909" s="83"/>
      <c r="AJ909" s="83"/>
      <c r="AK909" s="83"/>
    </row>
    <row r="910">
      <c r="A910" s="83"/>
      <c r="B910" s="83"/>
      <c r="C910" s="83"/>
      <c r="D910" s="83"/>
      <c r="E910" s="118"/>
      <c r="F910" s="118"/>
      <c r="G910" s="118"/>
      <c r="H910" s="118"/>
      <c r="I910" s="118"/>
      <c r="J910" s="118"/>
      <c r="K910" s="118"/>
      <c r="L910" s="118"/>
      <c r="M910" s="118"/>
      <c r="N910" s="83"/>
      <c r="O910" s="83"/>
      <c r="P910" s="83"/>
      <c r="Q910" s="83"/>
      <c r="R910" s="83"/>
      <c r="S910" s="83"/>
      <c r="T910" s="83"/>
      <c r="U910" s="83"/>
      <c r="V910" s="83"/>
      <c r="W910" s="83"/>
      <c r="X910" s="83"/>
      <c r="Y910" s="83"/>
      <c r="Z910" s="83"/>
      <c r="AA910" s="83"/>
      <c r="AB910" s="83"/>
      <c r="AC910" s="83"/>
      <c r="AD910" s="83"/>
      <c r="AE910" s="83"/>
      <c r="AF910" s="83"/>
      <c r="AG910" s="83"/>
      <c r="AH910" s="83"/>
      <c r="AI910" s="83"/>
      <c r="AJ910" s="83"/>
      <c r="AK910" s="83"/>
    </row>
    <row r="911">
      <c r="A911" s="83"/>
      <c r="B911" s="83"/>
      <c r="C911" s="83"/>
      <c r="D911" s="83"/>
      <c r="E911" s="118"/>
      <c r="F911" s="118"/>
      <c r="G911" s="118"/>
      <c r="H911" s="118"/>
      <c r="I911" s="118"/>
      <c r="J911" s="118"/>
      <c r="K911" s="118"/>
      <c r="L911" s="118"/>
      <c r="M911" s="118"/>
      <c r="N911" s="83"/>
      <c r="O911" s="83"/>
      <c r="P911" s="83"/>
      <c r="Q911" s="83"/>
      <c r="R911" s="83"/>
      <c r="S911" s="83"/>
      <c r="T911" s="83"/>
      <c r="U911" s="83"/>
      <c r="V911" s="83"/>
      <c r="W911" s="83"/>
      <c r="X911" s="83"/>
      <c r="Y911" s="83"/>
      <c r="Z911" s="83"/>
      <c r="AA911" s="83"/>
      <c r="AB911" s="83"/>
      <c r="AC911" s="83"/>
      <c r="AD911" s="83"/>
      <c r="AE911" s="83"/>
      <c r="AF911" s="83"/>
      <c r="AG911" s="83"/>
      <c r="AH911" s="83"/>
      <c r="AI911" s="83"/>
      <c r="AJ911" s="83"/>
      <c r="AK911" s="83"/>
    </row>
    <row r="912">
      <c r="A912" s="83"/>
      <c r="B912" s="83"/>
      <c r="C912" s="83"/>
      <c r="D912" s="83"/>
      <c r="E912" s="118"/>
      <c r="F912" s="118"/>
      <c r="G912" s="118"/>
      <c r="H912" s="118"/>
      <c r="I912" s="118"/>
      <c r="J912" s="118"/>
      <c r="K912" s="118"/>
      <c r="L912" s="118"/>
      <c r="M912" s="118"/>
      <c r="N912" s="83"/>
      <c r="O912" s="83"/>
      <c r="P912" s="83"/>
      <c r="Q912" s="83"/>
      <c r="R912" s="83"/>
      <c r="S912" s="83"/>
      <c r="T912" s="83"/>
      <c r="U912" s="83"/>
      <c r="V912" s="83"/>
      <c r="W912" s="83"/>
      <c r="X912" s="83"/>
      <c r="Y912" s="83"/>
      <c r="Z912" s="83"/>
      <c r="AA912" s="83"/>
      <c r="AB912" s="83"/>
      <c r="AC912" s="83"/>
      <c r="AD912" s="83"/>
      <c r="AE912" s="83"/>
      <c r="AF912" s="83"/>
      <c r="AG912" s="83"/>
      <c r="AH912" s="83"/>
      <c r="AI912" s="83"/>
      <c r="AJ912" s="83"/>
      <c r="AK912" s="83"/>
    </row>
    <row r="913">
      <c r="A913" s="83"/>
      <c r="B913" s="83"/>
      <c r="C913" s="83"/>
      <c r="D913" s="83"/>
      <c r="E913" s="118"/>
      <c r="F913" s="118"/>
      <c r="G913" s="118"/>
      <c r="H913" s="118"/>
      <c r="I913" s="118"/>
      <c r="J913" s="118"/>
      <c r="K913" s="118"/>
      <c r="L913" s="118"/>
      <c r="M913" s="118"/>
      <c r="N913" s="83"/>
      <c r="O913" s="83"/>
      <c r="P913" s="83"/>
      <c r="Q913" s="83"/>
      <c r="R913" s="83"/>
      <c r="S913" s="83"/>
      <c r="T913" s="83"/>
      <c r="U913" s="83"/>
      <c r="V913" s="83"/>
      <c r="W913" s="83"/>
      <c r="X913" s="83"/>
      <c r="Y913" s="83"/>
      <c r="Z913" s="83"/>
      <c r="AA913" s="83"/>
      <c r="AB913" s="83"/>
      <c r="AC913" s="83"/>
      <c r="AD913" s="83"/>
      <c r="AE913" s="83"/>
      <c r="AF913" s="83"/>
      <c r="AG913" s="83"/>
      <c r="AH913" s="83"/>
      <c r="AI913" s="83"/>
      <c r="AJ913" s="83"/>
      <c r="AK913" s="83"/>
    </row>
    <row r="914">
      <c r="A914" s="83"/>
      <c r="B914" s="83"/>
      <c r="C914" s="83"/>
      <c r="D914" s="83"/>
      <c r="E914" s="118"/>
      <c r="F914" s="118"/>
      <c r="G914" s="118"/>
      <c r="H914" s="118"/>
      <c r="I914" s="118"/>
      <c r="J914" s="118"/>
      <c r="K914" s="118"/>
      <c r="L914" s="118"/>
      <c r="M914" s="118"/>
      <c r="N914" s="83"/>
      <c r="O914" s="83"/>
      <c r="P914" s="83"/>
      <c r="Q914" s="83"/>
      <c r="R914" s="83"/>
      <c r="S914" s="83"/>
      <c r="T914" s="83"/>
      <c r="U914" s="83"/>
      <c r="V914" s="83"/>
      <c r="W914" s="83"/>
      <c r="X914" s="83"/>
      <c r="Y914" s="83"/>
      <c r="Z914" s="83"/>
      <c r="AA914" s="83"/>
      <c r="AB914" s="83"/>
      <c r="AC914" s="83"/>
      <c r="AD914" s="83"/>
      <c r="AE914" s="83"/>
      <c r="AF914" s="83"/>
      <c r="AG914" s="83"/>
      <c r="AH914" s="83"/>
      <c r="AI914" s="83"/>
      <c r="AJ914" s="83"/>
      <c r="AK914" s="83"/>
    </row>
    <row r="915">
      <c r="A915" s="83"/>
      <c r="B915" s="83"/>
      <c r="C915" s="83"/>
      <c r="D915" s="83"/>
      <c r="E915" s="118"/>
      <c r="F915" s="118"/>
      <c r="G915" s="118"/>
      <c r="H915" s="118"/>
      <c r="I915" s="118"/>
      <c r="J915" s="118"/>
      <c r="K915" s="118"/>
      <c r="L915" s="118"/>
      <c r="M915" s="118"/>
      <c r="N915" s="83"/>
      <c r="O915" s="83"/>
      <c r="P915" s="83"/>
      <c r="Q915" s="83"/>
      <c r="R915" s="83"/>
      <c r="S915" s="83"/>
      <c r="T915" s="83"/>
      <c r="U915" s="83"/>
      <c r="V915" s="83"/>
      <c r="W915" s="83"/>
      <c r="X915" s="83"/>
      <c r="Y915" s="83"/>
      <c r="Z915" s="83"/>
      <c r="AA915" s="83"/>
      <c r="AB915" s="83"/>
      <c r="AC915" s="83"/>
      <c r="AD915" s="83"/>
      <c r="AE915" s="83"/>
      <c r="AF915" s="83"/>
      <c r="AG915" s="83"/>
      <c r="AH915" s="83"/>
      <c r="AI915" s="83"/>
      <c r="AJ915" s="83"/>
      <c r="AK915" s="83"/>
    </row>
    <row r="916">
      <c r="A916" s="83"/>
      <c r="B916" s="83"/>
      <c r="C916" s="83"/>
      <c r="D916" s="83"/>
      <c r="E916" s="118"/>
      <c r="F916" s="118"/>
      <c r="G916" s="118"/>
      <c r="H916" s="118"/>
      <c r="I916" s="118"/>
      <c r="J916" s="118"/>
      <c r="K916" s="118"/>
      <c r="L916" s="118"/>
      <c r="M916" s="118"/>
      <c r="N916" s="83"/>
      <c r="O916" s="83"/>
      <c r="P916" s="83"/>
      <c r="Q916" s="83"/>
      <c r="R916" s="83"/>
      <c r="S916" s="83"/>
      <c r="T916" s="83"/>
      <c r="U916" s="83"/>
      <c r="V916" s="83"/>
      <c r="W916" s="83"/>
      <c r="X916" s="83"/>
      <c r="Y916" s="83"/>
      <c r="Z916" s="83"/>
      <c r="AA916" s="83"/>
      <c r="AB916" s="83"/>
      <c r="AC916" s="83"/>
      <c r="AD916" s="83"/>
      <c r="AE916" s="83"/>
      <c r="AF916" s="83"/>
      <c r="AG916" s="83"/>
      <c r="AH916" s="83"/>
      <c r="AI916" s="83"/>
      <c r="AJ916" s="83"/>
      <c r="AK916" s="83"/>
    </row>
    <row r="917">
      <c r="A917" s="83"/>
      <c r="B917" s="83"/>
      <c r="C917" s="83"/>
      <c r="D917" s="83"/>
      <c r="E917" s="118"/>
      <c r="F917" s="118"/>
      <c r="G917" s="118"/>
      <c r="H917" s="118"/>
      <c r="I917" s="118"/>
      <c r="J917" s="118"/>
      <c r="K917" s="118"/>
      <c r="L917" s="118"/>
      <c r="M917" s="118"/>
      <c r="N917" s="83"/>
      <c r="O917" s="83"/>
      <c r="P917" s="83"/>
      <c r="Q917" s="83"/>
      <c r="R917" s="83"/>
      <c r="S917" s="83"/>
      <c r="T917" s="83"/>
      <c r="U917" s="83"/>
      <c r="V917" s="83"/>
      <c r="W917" s="83"/>
      <c r="X917" s="83"/>
      <c r="Y917" s="83"/>
      <c r="Z917" s="83"/>
      <c r="AA917" s="83"/>
      <c r="AB917" s="83"/>
      <c r="AC917" s="83"/>
      <c r="AD917" s="83"/>
      <c r="AE917" s="83"/>
      <c r="AF917" s="83"/>
      <c r="AG917" s="83"/>
      <c r="AH917" s="83"/>
      <c r="AI917" s="83"/>
      <c r="AJ917" s="83"/>
      <c r="AK917" s="83"/>
    </row>
    <row r="918">
      <c r="A918" s="83"/>
      <c r="B918" s="83"/>
      <c r="C918" s="83"/>
      <c r="D918" s="83"/>
      <c r="E918" s="118"/>
      <c r="F918" s="118"/>
      <c r="G918" s="118"/>
      <c r="H918" s="118"/>
      <c r="I918" s="118"/>
      <c r="J918" s="118"/>
      <c r="K918" s="118"/>
      <c r="L918" s="118"/>
      <c r="M918" s="118"/>
      <c r="N918" s="83"/>
      <c r="O918" s="83"/>
      <c r="P918" s="83"/>
      <c r="Q918" s="83"/>
      <c r="R918" s="83"/>
      <c r="S918" s="83"/>
      <c r="T918" s="83"/>
      <c r="U918" s="83"/>
      <c r="V918" s="83"/>
      <c r="W918" s="83"/>
      <c r="X918" s="83"/>
      <c r="Y918" s="83"/>
      <c r="Z918" s="83"/>
      <c r="AA918" s="83"/>
      <c r="AB918" s="83"/>
      <c r="AC918" s="83"/>
      <c r="AD918" s="83"/>
      <c r="AE918" s="83"/>
      <c r="AF918" s="83"/>
      <c r="AG918" s="83"/>
      <c r="AH918" s="83"/>
      <c r="AI918" s="83"/>
      <c r="AJ918" s="83"/>
      <c r="AK918" s="83"/>
    </row>
    <row r="919">
      <c r="A919" s="83"/>
      <c r="B919" s="83"/>
      <c r="C919" s="83"/>
      <c r="D919" s="83"/>
      <c r="E919" s="118"/>
      <c r="F919" s="118"/>
      <c r="G919" s="118"/>
      <c r="H919" s="118"/>
      <c r="I919" s="118"/>
      <c r="J919" s="118"/>
      <c r="K919" s="118"/>
      <c r="L919" s="118"/>
      <c r="M919" s="118"/>
      <c r="N919" s="83"/>
      <c r="O919" s="83"/>
      <c r="P919" s="83"/>
      <c r="Q919" s="83"/>
      <c r="R919" s="83"/>
      <c r="S919" s="83"/>
      <c r="T919" s="83"/>
      <c r="U919" s="83"/>
      <c r="V919" s="83"/>
      <c r="W919" s="83"/>
      <c r="X919" s="83"/>
      <c r="Y919" s="83"/>
      <c r="Z919" s="83"/>
      <c r="AA919" s="83"/>
      <c r="AB919" s="83"/>
      <c r="AC919" s="83"/>
      <c r="AD919" s="83"/>
      <c r="AE919" s="83"/>
      <c r="AF919" s="83"/>
      <c r="AG919" s="83"/>
      <c r="AH919" s="83"/>
      <c r="AI919" s="83"/>
      <c r="AJ919" s="83"/>
      <c r="AK919" s="83"/>
    </row>
    <row r="920">
      <c r="A920" s="83"/>
      <c r="B920" s="83"/>
      <c r="C920" s="83"/>
      <c r="D920" s="83"/>
      <c r="E920" s="118"/>
      <c r="F920" s="118"/>
      <c r="G920" s="118"/>
      <c r="H920" s="118"/>
      <c r="I920" s="118"/>
      <c r="J920" s="118"/>
      <c r="K920" s="118"/>
      <c r="L920" s="118"/>
      <c r="M920" s="118"/>
      <c r="N920" s="83"/>
      <c r="O920" s="83"/>
      <c r="P920" s="83"/>
      <c r="Q920" s="83"/>
      <c r="R920" s="83"/>
      <c r="S920" s="83"/>
      <c r="T920" s="83"/>
      <c r="U920" s="83"/>
      <c r="V920" s="83"/>
      <c r="W920" s="83"/>
      <c r="X920" s="83"/>
      <c r="Y920" s="83"/>
      <c r="Z920" s="83"/>
      <c r="AA920" s="83"/>
      <c r="AB920" s="83"/>
      <c r="AC920" s="83"/>
      <c r="AD920" s="83"/>
      <c r="AE920" s="83"/>
      <c r="AF920" s="83"/>
      <c r="AG920" s="83"/>
      <c r="AH920" s="83"/>
      <c r="AI920" s="83"/>
      <c r="AJ920" s="83"/>
      <c r="AK920" s="83"/>
    </row>
    <row r="921">
      <c r="A921" s="83"/>
      <c r="B921" s="83"/>
      <c r="C921" s="83"/>
      <c r="D921" s="83"/>
      <c r="E921" s="118"/>
      <c r="F921" s="118"/>
      <c r="G921" s="118"/>
      <c r="H921" s="118"/>
      <c r="I921" s="118"/>
      <c r="J921" s="118"/>
      <c r="K921" s="118"/>
      <c r="L921" s="118"/>
      <c r="M921" s="118"/>
      <c r="N921" s="83"/>
      <c r="O921" s="83"/>
      <c r="P921" s="83"/>
      <c r="Q921" s="83"/>
      <c r="R921" s="83"/>
      <c r="S921" s="83"/>
      <c r="T921" s="83"/>
      <c r="U921" s="83"/>
      <c r="V921" s="83"/>
      <c r="W921" s="83"/>
      <c r="X921" s="83"/>
      <c r="Y921" s="83"/>
      <c r="Z921" s="83"/>
      <c r="AA921" s="83"/>
      <c r="AB921" s="83"/>
      <c r="AC921" s="83"/>
      <c r="AD921" s="83"/>
      <c r="AE921" s="83"/>
      <c r="AF921" s="83"/>
      <c r="AG921" s="83"/>
      <c r="AH921" s="83"/>
      <c r="AI921" s="83"/>
      <c r="AJ921" s="83"/>
      <c r="AK921" s="83"/>
    </row>
    <row r="922">
      <c r="A922" s="83"/>
      <c r="B922" s="83"/>
      <c r="C922" s="83"/>
      <c r="D922" s="83"/>
      <c r="E922" s="118"/>
      <c r="F922" s="118"/>
      <c r="G922" s="118"/>
      <c r="H922" s="118"/>
      <c r="I922" s="118"/>
      <c r="J922" s="118"/>
      <c r="K922" s="118"/>
      <c r="L922" s="118"/>
      <c r="M922" s="118"/>
      <c r="N922" s="83"/>
      <c r="O922" s="83"/>
      <c r="P922" s="83"/>
      <c r="Q922" s="83"/>
      <c r="R922" s="83"/>
      <c r="S922" s="83"/>
      <c r="T922" s="83"/>
      <c r="U922" s="83"/>
      <c r="V922" s="83"/>
      <c r="W922" s="83"/>
      <c r="X922" s="83"/>
      <c r="Y922" s="83"/>
      <c r="Z922" s="83"/>
      <c r="AA922" s="83"/>
      <c r="AB922" s="83"/>
      <c r="AC922" s="83"/>
      <c r="AD922" s="83"/>
      <c r="AE922" s="83"/>
      <c r="AF922" s="83"/>
      <c r="AG922" s="83"/>
      <c r="AH922" s="83"/>
      <c r="AI922" s="83"/>
      <c r="AJ922" s="83"/>
      <c r="AK922" s="83"/>
    </row>
    <row r="923">
      <c r="A923" s="83"/>
      <c r="B923" s="83"/>
      <c r="C923" s="83"/>
      <c r="D923" s="83"/>
      <c r="E923" s="118"/>
      <c r="F923" s="118"/>
      <c r="G923" s="118"/>
      <c r="H923" s="118"/>
      <c r="I923" s="118"/>
      <c r="J923" s="118"/>
      <c r="K923" s="118"/>
      <c r="L923" s="118"/>
      <c r="M923" s="118"/>
      <c r="N923" s="83"/>
      <c r="O923" s="83"/>
      <c r="P923" s="83"/>
      <c r="Q923" s="83"/>
      <c r="R923" s="83"/>
      <c r="S923" s="83"/>
      <c r="T923" s="83"/>
      <c r="U923" s="83"/>
      <c r="V923" s="83"/>
      <c r="W923" s="83"/>
      <c r="X923" s="83"/>
      <c r="Y923" s="83"/>
      <c r="Z923" s="83"/>
      <c r="AA923" s="83"/>
      <c r="AB923" s="83"/>
      <c r="AC923" s="83"/>
      <c r="AD923" s="83"/>
      <c r="AE923" s="83"/>
      <c r="AF923" s="83"/>
      <c r="AG923" s="83"/>
      <c r="AH923" s="83"/>
      <c r="AI923" s="83"/>
      <c r="AJ923" s="83"/>
      <c r="AK923" s="83"/>
    </row>
    <row r="924">
      <c r="A924" s="83"/>
      <c r="B924" s="83"/>
      <c r="C924" s="83"/>
      <c r="D924" s="83"/>
      <c r="E924" s="118"/>
      <c r="F924" s="118"/>
      <c r="G924" s="118"/>
      <c r="H924" s="118"/>
      <c r="I924" s="118"/>
      <c r="J924" s="118"/>
      <c r="K924" s="118"/>
      <c r="L924" s="118"/>
      <c r="M924" s="118"/>
      <c r="N924" s="83"/>
      <c r="O924" s="83"/>
      <c r="P924" s="83"/>
      <c r="Q924" s="83"/>
      <c r="R924" s="83"/>
      <c r="S924" s="83"/>
      <c r="T924" s="83"/>
      <c r="U924" s="83"/>
      <c r="V924" s="83"/>
      <c r="W924" s="83"/>
      <c r="X924" s="83"/>
      <c r="Y924" s="83"/>
      <c r="Z924" s="83"/>
      <c r="AA924" s="83"/>
      <c r="AB924" s="83"/>
      <c r="AC924" s="83"/>
      <c r="AD924" s="83"/>
      <c r="AE924" s="83"/>
      <c r="AF924" s="83"/>
      <c r="AG924" s="83"/>
      <c r="AH924" s="83"/>
      <c r="AI924" s="83"/>
      <c r="AJ924" s="83"/>
      <c r="AK924" s="83"/>
    </row>
    <row r="925">
      <c r="A925" s="83"/>
      <c r="B925" s="83"/>
      <c r="C925" s="83"/>
      <c r="D925" s="83"/>
      <c r="E925" s="118"/>
      <c r="F925" s="118"/>
      <c r="G925" s="118"/>
      <c r="H925" s="118"/>
      <c r="I925" s="118"/>
      <c r="J925" s="118"/>
      <c r="K925" s="118"/>
      <c r="L925" s="118"/>
      <c r="M925" s="118"/>
      <c r="N925" s="83"/>
      <c r="O925" s="83"/>
      <c r="P925" s="83"/>
      <c r="Q925" s="83"/>
      <c r="R925" s="83"/>
      <c r="S925" s="83"/>
      <c r="T925" s="83"/>
      <c r="U925" s="83"/>
      <c r="V925" s="83"/>
      <c r="W925" s="83"/>
      <c r="X925" s="83"/>
      <c r="Y925" s="83"/>
      <c r="Z925" s="83"/>
      <c r="AA925" s="83"/>
      <c r="AB925" s="83"/>
      <c r="AC925" s="83"/>
      <c r="AD925" s="83"/>
      <c r="AE925" s="83"/>
      <c r="AF925" s="83"/>
      <c r="AG925" s="83"/>
      <c r="AH925" s="83"/>
      <c r="AI925" s="83"/>
      <c r="AJ925" s="83"/>
      <c r="AK925" s="83"/>
    </row>
    <row r="926">
      <c r="A926" s="83"/>
      <c r="B926" s="83"/>
      <c r="C926" s="83"/>
      <c r="D926" s="83"/>
      <c r="E926" s="118"/>
      <c r="F926" s="118"/>
      <c r="G926" s="118"/>
      <c r="H926" s="118"/>
      <c r="I926" s="118"/>
      <c r="J926" s="118"/>
      <c r="K926" s="118"/>
      <c r="L926" s="118"/>
      <c r="M926" s="118"/>
      <c r="N926" s="83"/>
      <c r="O926" s="83"/>
      <c r="P926" s="83"/>
      <c r="Q926" s="83"/>
      <c r="R926" s="83"/>
      <c r="S926" s="83"/>
      <c r="T926" s="83"/>
      <c r="U926" s="83"/>
      <c r="V926" s="83"/>
      <c r="W926" s="83"/>
      <c r="X926" s="83"/>
      <c r="Y926" s="83"/>
      <c r="Z926" s="83"/>
      <c r="AA926" s="83"/>
      <c r="AB926" s="83"/>
      <c r="AC926" s="83"/>
      <c r="AD926" s="83"/>
      <c r="AE926" s="83"/>
      <c r="AF926" s="83"/>
      <c r="AG926" s="83"/>
      <c r="AH926" s="83"/>
      <c r="AI926" s="83"/>
      <c r="AJ926" s="83"/>
      <c r="AK926" s="83"/>
    </row>
    <row r="927">
      <c r="A927" s="83"/>
      <c r="B927" s="83"/>
      <c r="C927" s="83"/>
      <c r="D927" s="83"/>
      <c r="E927" s="118"/>
      <c r="F927" s="118"/>
      <c r="G927" s="118"/>
      <c r="H927" s="118"/>
      <c r="I927" s="118"/>
      <c r="J927" s="118"/>
      <c r="K927" s="118"/>
      <c r="L927" s="118"/>
      <c r="M927" s="118"/>
      <c r="N927" s="83"/>
      <c r="O927" s="83"/>
      <c r="P927" s="83"/>
      <c r="Q927" s="83"/>
      <c r="R927" s="83"/>
      <c r="S927" s="83"/>
      <c r="T927" s="83"/>
      <c r="U927" s="83"/>
      <c r="V927" s="83"/>
      <c r="W927" s="83"/>
      <c r="X927" s="83"/>
      <c r="Y927" s="83"/>
      <c r="Z927" s="83"/>
      <c r="AA927" s="83"/>
      <c r="AB927" s="83"/>
      <c r="AC927" s="83"/>
      <c r="AD927" s="83"/>
      <c r="AE927" s="83"/>
      <c r="AF927" s="83"/>
      <c r="AG927" s="83"/>
      <c r="AH927" s="83"/>
      <c r="AI927" s="83"/>
      <c r="AJ927" s="83"/>
      <c r="AK927" s="83"/>
    </row>
    <row r="928">
      <c r="A928" s="83"/>
      <c r="B928" s="83"/>
      <c r="C928" s="83"/>
      <c r="D928" s="83"/>
      <c r="E928" s="118"/>
      <c r="F928" s="118"/>
      <c r="G928" s="118"/>
      <c r="H928" s="118"/>
      <c r="I928" s="118"/>
      <c r="J928" s="118"/>
      <c r="K928" s="118"/>
      <c r="L928" s="118"/>
      <c r="M928" s="118"/>
      <c r="N928" s="83"/>
      <c r="O928" s="83"/>
      <c r="P928" s="83"/>
      <c r="Q928" s="83"/>
      <c r="R928" s="83"/>
      <c r="S928" s="83"/>
      <c r="T928" s="83"/>
      <c r="U928" s="83"/>
      <c r="V928" s="83"/>
      <c r="W928" s="83"/>
      <c r="X928" s="83"/>
      <c r="Y928" s="83"/>
      <c r="Z928" s="83"/>
      <c r="AA928" s="83"/>
      <c r="AB928" s="83"/>
      <c r="AC928" s="83"/>
      <c r="AD928" s="83"/>
      <c r="AE928" s="83"/>
      <c r="AF928" s="83"/>
      <c r="AG928" s="83"/>
      <c r="AH928" s="83"/>
      <c r="AI928" s="83"/>
      <c r="AJ928" s="83"/>
      <c r="AK928" s="83"/>
    </row>
    <row r="929">
      <c r="A929" s="83"/>
      <c r="B929" s="83"/>
      <c r="C929" s="83"/>
      <c r="D929" s="83"/>
      <c r="E929" s="118"/>
      <c r="F929" s="118"/>
      <c r="G929" s="118"/>
      <c r="H929" s="118"/>
      <c r="I929" s="118"/>
      <c r="J929" s="118"/>
      <c r="K929" s="118"/>
      <c r="L929" s="118"/>
      <c r="M929" s="118"/>
      <c r="N929" s="83"/>
      <c r="O929" s="83"/>
      <c r="P929" s="83"/>
      <c r="Q929" s="83"/>
      <c r="R929" s="83"/>
      <c r="S929" s="83"/>
      <c r="T929" s="83"/>
      <c r="U929" s="83"/>
      <c r="V929" s="83"/>
      <c r="W929" s="83"/>
      <c r="X929" s="83"/>
      <c r="Y929" s="83"/>
      <c r="Z929" s="83"/>
      <c r="AA929" s="83"/>
      <c r="AB929" s="83"/>
      <c r="AC929" s="83"/>
      <c r="AD929" s="83"/>
      <c r="AE929" s="83"/>
      <c r="AF929" s="83"/>
      <c r="AG929" s="83"/>
      <c r="AH929" s="83"/>
      <c r="AI929" s="83"/>
      <c r="AJ929" s="83"/>
      <c r="AK929" s="83"/>
    </row>
    <row r="930">
      <c r="A930" s="83"/>
      <c r="B930" s="83"/>
      <c r="C930" s="83"/>
      <c r="D930" s="83"/>
      <c r="E930" s="118"/>
      <c r="F930" s="118"/>
      <c r="G930" s="118"/>
      <c r="H930" s="118"/>
      <c r="I930" s="118"/>
      <c r="J930" s="118"/>
      <c r="K930" s="118"/>
      <c r="L930" s="118"/>
      <c r="M930" s="118"/>
      <c r="N930" s="83"/>
      <c r="O930" s="83"/>
      <c r="P930" s="83"/>
      <c r="Q930" s="83"/>
      <c r="R930" s="83"/>
      <c r="S930" s="83"/>
      <c r="T930" s="83"/>
      <c r="U930" s="83"/>
      <c r="V930" s="83"/>
      <c r="W930" s="83"/>
      <c r="X930" s="83"/>
      <c r="Y930" s="83"/>
      <c r="Z930" s="83"/>
      <c r="AA930" s="83"/>
      <c r="AB930" s="83"/>
      <c r="AC930" s="83"/>
      <c r="AD930" s="83"/>
      <c r="AE930" s="83"/>
      <c r="AF930" s="83"/>
      <c r="AG930" s="83"/>
      <c r="AH930" s="83"/>
      <c r="AI930" s="83"/>
      <c r="AJ930" s="83"/>
      <c r="AK930" s="83"/>
    </row>
    <row r="931">
      <c r="A931" s="83"/>
      <c r="B931" s="83"/>
      <c r="C931" s="83"/>
      <c r="D931" s="83"/>
      <c r="E931" s="118"/>
      <c r="F931" s="118"/>
      <c r="G931" s="118"/>
      <c r="H931" s="118"/>
      <c r="I931" s="118"/>
      <c r="J931" s="118"/>
      <c r="K931" s="118"/>
      <c r="L931" s="118"/>
      <c r="M931" s="118"/>
      <c r="N931" s="83"/>
      <c r="O931" s="83"/>
      <c r="P931" s="83"/>
      <c r="Q931" s="83"/>
      <c r="R931" s="83"/>
      <c r="S931" s="83"/>
      <c r="T931" s="83"/>
      <c r="U931" s="83"/>
      <c r="V931" s="83"/>
      <c r="W931" s="83"/>
      <c r="X931" s="83"/>
      <c r="Y931" s="83"/>
      <c r="Z931" s="83"/>
      <c r="AA931" s="83"/>
      <c r="AB931" s="83"/>
      <c r="AC931" s="83"/>
      <c r="AD931" s="83"/>
      <c r="AE931" s="83"/>
      <c r="AF931" s="83"/>
      <c r="AG931" s="83"/>
      <c r="AH931" s="83"/>
      <c r="AI931" s="83"/>
      <c r="AJ931" s="83"/>
      <c r="AK931" s="83"/>
    </row>
    <row r="932">
      <c r="A932" s="83"/>
      <c r="B932" s="83"/>
      <c r="C932" s="83"/>
      <c r="D932" s="83"/>
      <c r="E932" s="118"/>
      <c r="F932" s="118"/>
      <c r="G932" s="118"/>
      <c r="H932" s="118"/>
      <c r="I932" s="118"/>
      <c r="J932" s="118"/>
      <c r="K932" s="118"/>
      <c r="L932" s="118"/>
      <c r="M932" s="118"/>
      <c r="N932" s="83"/>
      <c r="O932" s="83"/>
      <c r="P932" s="83"/>
      <c r="Q932" s="83"/>
      <c r="R932" s="83"/>
      <c r="S932" s="83"/>
      <c r="T932" s="83"/>
      <c r="U932" s="83"/>
      <c r="V932" s="83"/>
      <c r="W932" s="83"/>
      <c r="X932" s="83"/>
      <c r="Y932" s="83"/>
      <c r="Z932" s="83"/>
      <c r="AA932" s="83"/>
      <c r="AB932" s="83"/>
      <c r="AC932" s="83"/>
      <c r="AD932" s="83"/>
      <c r="AE932" s="83"/>
      <c r="AF932" s="83"/>
      <c r="AG932" s="83"/>
      <c r="AH932" s="83"/>
      <c r="AI932" s="83"/>
      <c r="AJ932" s="83"/>
      <c r="AK932" s="83"/>
    </row>
    <row r="933">
      <c r="A933" s="83"/>
      <c r="B933" s="83"/>
      <c r="C933" s="83"/>
      <c r="D933" s="83"/>
      <c r="E933" s="118"/>
      <c r="F933" s="118"/>
      <c r="G933" s="118"/>
      <c r="H933" s="118"/>
      <c r="I933" s="118"/>
      <c r="J933" s="118"/>
      <c r="K933" s="118"/>
      <c r="L933" s="118"/>
      <c r="M933" s="118"/>
      <c r="N933" s="83"/>
      <c r="O933" s="83"/>
      <c r="P933" s="83"/>
      <c r="Q933" s="83"/>
      <c r="R933" s="83"/>
      <c r="S933" s="83"/>
      <c r="T933" s="83"/>
      <c r="U933" s="83"/>
      <c r="V933" s="83"/>
      <c r="W933" s="83"/>
      <c r="X933" s="83"/>
      <c r="Y933" s="83"/>
      <c r="Z933" s="83"/>
      <c r="AA933" s="83"/>
      <c r="AB933" s="83"/>
      <c r="AC933" s="83"/>
      <c r="AD933" s="83"/>
      <c r="AE933" s="83"/>
      <c r="AF933" s="83"/>
      <c r="AG933" s="83"/>
      <c r="AH933" s="83"/>
      <c r="AI933" s="83"/>
      <c r="AJ933" s="83"/>
      <c r="AK933" s="83"/>
    </row>
    <row r="934">
      <c r="A934" s="83"/>
      <c r="B934" s="83"/>
      <c r="C934" s="83"/>
      <c r="D934" s="83"/>
      <c r="E934" s="118"/>
      <c r="F934" s="118"/>
      <c r="G934" s="118"/>
      <c r="H934" s="118"/>
      <c r="I934" s="118"/>
      <c r="J934" s="118"/>
      <c r="K934" s="118"/>
      <c r="L934" s="118"/>
      <c r="M934" s="118"/>
      <c r="N934" s="83"/>
      <c r="O934" s="83"/>
      <c r="P934" s="83"/>
      <c r="Q934" s="83"/>
      <c r="R934" s="83"/>
      <c r="S934" s="83"/>
      <c r="T934" s="83"/>
      <c r="U934" s="83"/>
      <c r="V934" s="83"/>
      <c r="W934" s="83"/>
      <c r="X934" s="83"/>
      <c r="Y934" s="83"/>
      <c r="Z934" s="83"/>
      <c r="AA934" s="83"/>
      <c r="AB934" s="83"/>
      <c r="AC934" s="83"/>
      <c r="AD934" s="83"/>
      <c r="AE934" s="83"/>
      <c r="AF934" s="83"/>
      <c r="AG934" s="83"/>
      <c r="AH934" s="83"/>
      <c r="AI934" s="83"/>
      <c r="AJ934" s="83"/>
      <c r="AK934" s="83"/>
    </row>
    <row r="935">
      <c r="A935" s="83"/>
      <c r="B935" s="83"/>
      <c r="C935" s="83"/>
      <c r="D935" s="83"/>
      <c r="E935" s="118"/>
      <c r="F935" s="118"/>
      <c r="G935" s="118"/>
      <c r="H935" s="118"/>
      <c r="I935" s="118"/>
      <c r="J935" s="118"/>
      <c r="K935" s="118"/>
      <c r="L935" s="118"/>
      <c r="M935" s="118"/>
      <c r="N935" s="83"/>
      <c r="O935" s="83"/>
      <c r="P935" s="83"/>
      <c r="Q935" s="83"/>
      <c r="R935" s="83"/>
      <c r="S935" s="83"/>
      <c r="T935" s="83"/>
      <c r="U935" s="83"/>
      <c r="V935" s="83"/>
      <c r="W935" s="83"/>
      <c r="X935" s="83"/>
      <c r="Y935" s="83"/>
      <c r="Z935" s="83"/>
      <c r="AA935" s="83"/>
      <c r="AB935" s="83"/>
      <c r="AC935" s="83"/>
      <c r="AD935" s="83"/>
      <c r="AE935" s="83"/>
      <c r="AF935" s="83"/>
      <c r="AG935" s="83"/>
      <c r="AH935" s="83"/>
      <c r="AI935" s="83"/>
      <c r="AJ935" s="83"/>
      <c r="AK935" s="83"/>
    </row>
    <row r="936">
      <c r="A936" s="83"/>
      <c r="B936" s="83"/>
      <c r="C936" s="83"/>
      <c r="D936" s="83"/>
      <c r="E936" s="118"/>
      <c r="F936" s="118"/>
      <c r="G936" s="118"/>
      <c r="H936" s="118"/>
      <c r="I936" s="118"/>
      <c r="J936" s="118"/>
      <c r="K936" s="118"/>
      <c r="L936" s="118"/>
      <c r="M936" s="118"/>
      <c r="N936" s="83"/>
      <c r="O936" s="83"/>
      <c r="P936" s="83"/>
      <c r="Q936" s="83"/>
      <c r="R936" s="83"/>
      <c r="S936" s="83"/>
      <c r="T936" s="83"/>
      <c r="U936" s="83"/>
      <c r="V936" s="83"/>
      <c r="W936" s="83"/>
      <c r="X936" s="83"/>
      <c r="Y936" s="83"/>
      <c r="Z936" s="83"/>
      <c r="AA936" s="83"/>
      <c r="AB936" s="83"/>
      <c r="AC936" s="83"/>
      <c r="AD936" s="83"/>
      <c r="AE936" s="83"/>
      <c r="AF936" s="83"/>
      <c r="AG936" s="83"/>
      <c r="AH936" s="83"/>
      <c r="AI936" s="83"/>
      <c r="AJ936" s="83"/>
      <c r="AK936" s="83"/>
    </row>
    <row r="937">
      <c r="A937" s="83"/>
      <c r="B937" s="83"/>
      <c r="C937" s="83"/>
      <c r="D937" s="83"/>
      <c r="E937" s="118"/>
      <c r="F937" s="118"/>
      <c r="G937" s="118"/>
      <c r="H937" s="118"/>
      <c r="I937" s="118"/>
      <c r="J937" s="118"/>
      <c r="K937" s="118"/>
      <c r="L937" s="118"/>
      <c r="M937" s="118"/>
      <c r="N937" s="83"/>
      <c r="O937" s="83"/>
      <c r="P937" s="83"/>
      <c r="Q937" s="83"/>
      <c r="R937" s="83"/>
      <c r="S937" s="83"/>
      <c r="T937" s="83"/>
      <c r="U937" s="83"/>
      <c r="V937" s="83"/>
      <c r="W937" s="83"/>
      <c r="X937" s="83"/>
      <c r="Y937" s="83"/>
      <c r="Z937" s="83"/>
      <c r="AA937" s="83"/>
      <c r="AB937" s="83"/>
      <c r="AC937" s="83"/>
      <c r="AD937" s="83"/>
      <c r="AE937" s="83"/>
      <c r="AF937" s="83"/>
      <c r="AG937" s="83"/>
      <c r="AH937" s="83"/>
      <c r="AI937" s="83"/>
      <c r="AJ937" s="83"/>
      <c r="AK937" s="83"/>
    </row>
    <row r="938">
      <c r="A938" s="83"/>
      <c r="B938" s="83"/>
      <c r="C938" s="83"/>
      <c r="D938" s="83"/>
      <c r="E938" s="118"/>
      <c r="F938" s="118"/>
      <c r="G938" s="118"/>
      <c r="H938" s="118"/>
      <c r="I938" s="118"/>
      <c r="J938" s="118"/>
      <c r="K938" s="118"/>
      <c r="L938" s="118"/>
      <c r="M938" s="118"/>
      <c r="N938" s="83"/>
      <c r="O938" s="83"/>
      <c r="P938" s="83"/>
      <c r="Q938" s="83"/>
      <c r="R938" s="83"/>
      <c r="S938" s="83"/>
      <c r="T938" s="83"/>
      <c r="U938" s="83"/>
      <c r="V938" s="83"/>
      <c r="W938" s="83"/>
      <c r="X938" s="83"/>
      <c r="Y938" s="83"/>
      <c r="Z938" s="83"/>
      <c r="AA938" s="83"/>
      <c r="AB938" s="83"/>
      <c r="AC938" s="83"/>
      <c r="AD938" s="83"/>
      <c r="AE938" s="83"/>
      <c r="AF938" s="83"/>
      <c r="AG938" s="83"/>
      <c r="AH938" s="83"/>
      <c r="AI938" s="83"/>
      <c r="AJ938" s="83"/>
      <c r="AK938" s="83"/>
    </row>
    <row r="939">
      <c r="A939" s="83"/>
      <c r="B939" s="83"/>
      <c r="C939" s="83"/>
      <c r="D939" s="83"/>
      <c r="E939" s="118"/>
      <c r="F939" s="118"/>
      <c r="G939" s="118"/>
      <c r="H939" s="118"/>
      <c r="I939" s="118"/>
      <c r="J939" s="118"/>
      <c r="K939" s="118"/>
      <c r="L939" s="118"/>
      <c r="M939" s="118"/>
      <c r="N939" s="83"/>
      <c r="O939" s="83"/>
      <c r="P939" s="83"/>
      <c r="Q939" s="83"/>
      <c r="R939" s="83"/>
      <c r="S939" s="83"/>
      <c r="T939" s="83"/>
      <c r="U939" s="83"/>
      <c r="V939" s="83"/>
      <c r="W939" s="83"/>
      <c r="X939" s="83"/>
      <c r="Y939" s="83"/>
      <c r="Z939" s="83"/>
      <c r="AA939" s="83"/>
      <c r="AB939" s="83"/>
      <c r="AC939" s="83"/>
      <c r="AD939" s="83"/>
      <c r="AE939" s="83"/>
      <c r="AF939" s="83"/>
      <c r="AG939" s="83"/>
      <c r="AH939" s="83"/>
      <c r="AI939" s="83"/>
      <c r="AJ939" s="83"/>
      <c r="AK939" s="83"/>
    </row>
    <row r="940">
      <c r="A940" s="83"/>
      <c r="B940" s="83"/>
      <c r="C940" s="83"/>
      <c r="D940" s="83"/>
      <c r="E940" s="118"/>
      <c r="F940" s="118"/>
      <c r="G940" s="118"/>
      <c r="H940" s="118"/>
      <c r="I940" s="118"/>
      <c r="J940" s="118"/>
      <c r="K940" s="118"/>
      <c r="L940" s="118"/>
      <c r="M940" s="118"/>
      <c r="N940" s="83"/>
      <c r="O940" s="83"/>
      <c r="P940" s="83"/>
      <c r="Q940" s="83"/>
      <c r="R940" s="83"/>
      <c r="S940" s="83"/>
      <c r="T940" s="83"/>
      <c r="U940" s="83"/>
      <c r="V940" s="83"/>
      <c r="W940" s="83"/>
      <c r="X940" s="83"/>
      <c r="Y940" s="83"/>
      <c r="Z940" s="83"/>
      <c r="AA940" s="83"/>
      <c r="AB940" s="83"/>
      <c r="AC940" s="83"/>
      <c r="AD940" s="83"/>
      <c r="AE940" s="83"/>
      <c r="AF940" s="83"/>
      <c r="AG940" s="83"/>
      <c r="AH940" s="83"/>
      <c r="AI940" s="83"/>
      <c r="AJ940" s="83"/>
      <c r="AK940" s="83"/>
    </row>
    <row r="941">
      <c r="A941" s="83"/>
      <c r="B941" s="83"/>
      <c r="C941" s="83"/>
      <c r="D941" s="83"/>
      <c r="E941" s="118"/>
      <c r="F941" s="118"/>
      <c r="G941" s="118"/>
      <c r="H941" s="118"/>
      <c r="I941" s="118"/>
      <c r="J941" s="118"/>
      <c r="K941" s="118"/>
      <c r="L941" s="118"/>
      <c r="M941" s="118"/>
      <c r="N941" s="83"/>
      <c r="O941" s="83"/>
      <c r="P941" s="83"/>
      <c r="Q941" s="83"/>
      <c r="R941" s="83"/>
      <c r="S941" s="83"/>
      <c r="T941" s="83"/>
      <c r="U941" s="83"/>
      <c r="V941" s="83"/>
      <c r="W941" s="83"/>
      <c r="X941" s="83"/>
      <c r="Y941" s="83"/>
      <c r="Z941" s="83"/>
      <c r="AA941" s="83"/>
      <c r="AB941" s="83"/>
      <c r="AC941" s="83"/>
      <c r="AD941" s="83"/>
      <c r="AE941" s="83"/>
      <c r="AF941" s="83"/>
      <c r="AG941" s="83"/>
      <c r="AH941" s="83"/>
      <c r="AI941" s="83"/>
      <c r="AJ941" s="83"/>
      <c r="AK941" s="83"/>
    </row>
    <row r="942">
      <c r="A942" s="83"/>
      <c r="B942" s="83"/>
      <c r="C942" s="83"/>
      <c r="D942" s="83"/>
      <c r="E942" s="118"/>
      <c r="F942" s="118"/>
      <c r="G942" s="118"/>
      <c r="H942" s="118"/>
      <c r="I942" s="118"/>
      <c r="J942" s="118"/>
      <c r="K942" s="118"/>
      <c r="L942" s="118"/>
      <c r="M942" s="118"/>
      <c r="N942" s="83"/>
      <c r="O942" s="83"/>
      <c r="P942" s="83"/>
      <c r="Q942" s="83"/>
      <c r="R942" s="83"/>
      <c r="S942" s="83"/>
      <c r="T942" s="83"/>
      <c r="U942" s="83"/>
      <c r="V942" s="83"/>
      <c r="W942" s="83"/>
      <c r="X942" s="83"/>
      <c r="Y942" s="83"/>
      <c r="Z942" s="83"/>
      <c r="AA942" s="83"/>
      <c r="AB942" s="83"/>
      <c r="AC942" s="83"/>
      <c r="AD942" s="83"/>
      <c r="AE942" s="83"/>
      <c r="AF942" s="83"/>
      <c r="AG942" s="83"/>
      <c r="AH942" s="83"/>
      <c r="AI942" s="83"/>
      <c r="AJ942" s="83"/>
      <c r="AK942" s="83"/>
    </row>
    <row r="943">
      <c r="A943" s="83"/>
      <c r="B943" s="83"/>
      <c r="C943" s="83"/>
      <c r="D943" s="83"/>
      <c r="E943" s="118"/>
      <c r="F943" s="118"/>
      <c r="G943" s="118"/>
      <c r="H943" s="118"/>
      <c r="I943" s="118"/>
      <c r="J943" s="118"/>
      <c r="K943" s="118"/>
      <c r="L943" s="118"/>
      <c r="M943" s="118"/>
      <c r="N943" s="83"/>
      <c r="O943" s="83"/>
      <c r="P943" s="83"/>
      <c r="Q943" s="83"/>
      <c r="R943" s="83"/>
      <c r="S943" s="83"/>
      <c r="T943" s="83"/>
      <c r="U943" s="83"/>
      <c r="V943" s="83"/>
      <c r="W943" s="83"/>
      <c r="X943" s="83"/>
      <c r="Y943" s="83"/>
      <c r="Z943" s="83"/>
      <c r="AA943" s="83"/>
      <c r="AB943" s="83"/>
      <c r="AC943" s="83"/>
      <c r="AD943" s="83"/>
      <c r="AE943" s="83"/>
      <c r="AF943" s="83"/>
      <c r="AG943" s="83"/>
      <c r="AH943" s="83"/>
      <c r="AI943" s="83"/>
      <c r="AJ943" s="83"/>
      <c r="AK943" s="83"/>
    </row>
    <row r="944">
      <c r="A944" s="83"/>
      <c r="B944" s="83"/>
      <c r="C944" s="83"/>
      <c r="D944" s="83"/>
      <c r="E944" s="118"/>
      <c r="F944" s="118"/>
      <c r="G944" s="118"/>
      <c r="H944" s="118"/>
      <c r="I944" s="118"/>
      <c r="J944" s="118"/>
      <c r="K944" s="118"/>
      <c r="L944" s="118"/>
      <c r="M944" s="118"/>
      <c r="N944" s="83"/>
      <c r="O944" s="83"/>
      <c r="P944" s="83"/>
      <c r="Q944" s="83"/>
      <c r="R944" s="83"/>
      <c r="S944" s="83"/>
      <c r="T944" s="83"/>
      <c r="U944" s="83"/>
      <c r="V944" s="83"/>
      <c r="W944" s="83"/>
      <c r="X944" s="83"/>
      <c r="Y944" s="83"/>
      <c r="Z944" s="83"/>
      <c r="AA944" s="83"/>
      <c r="AB944" s="83"/>
      <c r="AC944" s="83"/>
      <c r="AD944" s="83"/>
      <c r="AE944" s="83"/>
      <c r="AF944" s="83"/>
      <c r="AG944" s="83"/>
      <c r="AH944" s="83"/>
      <c r="AI944" s="83"/>
      <c r="AJ944" s="83"/>
      <c r="AK944" s="83"/>
    </row>
    <row r="945">
      <c r="A945" s="83"/>
      <c r="B945" s="83"/>
      <c r="C945" s="83"/>
      <c r="D945" s="83"/>
      <c r="E945" s="118"/>
      <c r="F945" s="118"/>
      <c r="G945" s="118"/>
      <c r="H945" s="118"/>
      <c r="I945" s="118"/>
      <c r="J945" s="118"/>
      <c r="K945" s="118"/>
      <c r="L945" s="118"/>
      <c r="M945" s="118"/>
      <c r="N945" s="83"/>
      <c r="O945" s="83"/>
      <c r="P945" s="83"/>
      <c r="Q945" s="83"/>
      <c r="R945" s="83"/>
      <c r="S945" s="83"/>
      <c r="T945" s="83"/>
      <c r="U945" s="83"/>
      <c r="V945" s="83"/>
      <c r="W945" s="83"/>
      <c r="X945" s="83"/>
      <c r="Y945" s="83"/>
      <c r="Z945" s="83"/>
      <c r="AA945" s="83"/>
      <c r="AB945" s="83"/>
      <c r="AC945" s="83"/>
      <c r="AD945" s="83"/>
      <c r="AE945" s="83"/>
      <c r="AF945" s="83"/>
      <c r="AG945" s="83"/>
      <c r="AH945" s="83"/>
      <c r="AI945" s="83"/>
      <c r="AJ945" s="83"/>
      <c r="AK945" s="83"/>
    </row>
    <row r="946">
      <c r="A946" s="83"/>
      <c r="B946" s="83"/>
      <c r="C946" s="83"/>
      <c r="D946" s="83"/>
      <c r="E946" s="118"/>
      <c r="F946" s="118"/>
      <c r="G946" s="118"/>
      <c r="H946" s="118"/>
      <c r="I946" s="118"/>
      <c r="J946" s="118"/>
      <c r="K946" s="118"/>
      <c r="L946" s="118"/>
      <c r="M946" s="118"/>
      <c r="N946" s="83"/>
      <c r="O946" s="83"/>
      <c r="P946" s="83"/>
      <c r="Q946" s="83"/>
      <c r="R946" s="83"/>
      <c r="S946" s="83"/>
      <c r="T946" s="83"/>
      <c r="U946" s="83"/>
      <c r="V946" s="83"/>
      <c r="W946" s="83"/>
      <c r="X946" s="83"/>
      <c r="Y946" s="83"/>
      <c r="Z946" s="83"/>
      <c r="AA946" s="83"/>
      <c r="AB946" s="83"/>
      <c r="AC946" s="83"/>
      <c r="AD946" s="83"/>
      <c r="AE946" s="83"/>
      <c r="AF946" s="83"/>
      <c r="AG946" s="83"/>
      <c r="AH946" s="83"/>
      <c r="AI946" s="83"/>
      <c r="AJ946" s="83"/>
      <c r="AK946" s="83"/>
    </row>
    <row r="947">
      <c r="A947" s="83"/>
      <c r="B947" s="83"/>
      <c r="C947" s="83"/>
      <c r="D947" s="83"/>
      <c r="E947" s="118"/>
      <c r="F947" s="118"/>
      <c r="G947" s="118"/>
      <c r="H947" s="118"/>
      <c r="I947" s="118"/>
      <c r="J947" s="118"/>
      <c r="K947" s="118"/>
      <c r="L947" s="118"/>
      <c r="M947" s="118"/>
      <c r="N947" s="83"/>
      <c r="O947" s="83"/>
      <c r="P947" s="83"/>
      <c r="Q947" s="83"/>
      <c r="R947" s="83"/>
      <c r="S947" s="83"/>
      <c r="T947" s="83"/>
      <c r="U947" s="83"/>
      <c r="V947" s="83"/>
      <c r="W947" s="83"/>
      <c r="X947" s="83"/>
      <c r="Y947" s="83"/>
      <c r="Z947" s="83"/>
      <c r="AA947" s="83"/>
      <c r="AB947" s="83"/>
      <c r="AC947" s="83"/>
      <c r="AD947" s="83"/>
      <c r="AE947" s="83"/>
      <c r="AF947" s="83"/>
      <c r="AG947" s="83"/>
      <c r="AH947" s="83"/>
      <c r="AI947" s="83"/>
      <c r="AJ947" s="83"/>
      <c r="AK947" s="83"/>
    </row>
    <row r="948">
      <c r="A948" s="83"/>
      <c r="B948" s="83"/>
      <c r="C948" s="83"/>
      <c r="D948" s="83"/>
      <c r="E948" s="118"/>
      <c r="F948" s="118"/>
      <c r="G948" s="118"/>
      <c r="H948" s="118"/>
      <c r="I948" s="118"/>
      <c r="J948" s="118"/>
      <c r="K948" s="118"/>
      <c r="L948" s="118"/>
      <c r="M948" s="118"/>
      <c r="N948" s="83"/>
      <c r="O948" s="83"/>
      <c r="P948" s="83"/>
      <c r="Q948" s="83"/>
      <c r="R948" s="83"/>
      <c r="S948" s="83"/>
      <c r="T948" s="83"/>
      <c r="U948" s="83"/>
      <c r="V948" s="83"/>
      <c r="W948" s="83"/>
      <c r="X948" s="83"/>
      <c r="Y948" s="83"/>
      <c r="Z948" s="83"/>
      <c r="AA948" s="83"/>
      <c r="AB948" s="83"/>
      <c r="AC948" s="83"/>
      <c r="AD948" s="83"/>
      <c r="AE948" s="83"/>
      <c r="AF948" s="83"/>
      <c r="AG948" s="83"/>
      <c r="AH948" s="83"/>
      <c r="AI948" s="83"/>
      <c r="AJ948" s="83"/>
      <c r="AK948" s="83"/>
    </row>
    <row r="949">
      <c r="A949" s="83"/>
      <c r="B949" s="83"/>
      <c r="C949" s="83"/>
      <c r="D949" s="83"/>
      <c r="E949" s="118"/>
      <c r="F949" s="118"/>
      <c r="G949" s="118"/>
      <c r="H949" s="118"/>
      <c r="I949" s="118"/>
      <c r="J949" s="118"/>
      <c r="K949" s="118"/>
      <c r="L949" s="118"/>
      <c r="M949" s="118"/>
      <c r="N949" s="83"/>
      <c r="O949" s="83"/>
      <c r="P949" s="83"/>
      <c r="Q949" s="83"/>
      <c r="R949" s="83"/>
      <c r="S949" s="83"/>
      <c r="T949" s="83"/>
      <c r="U949" s="83"/>
      <c r="V949" s="83"/>
      <c r="W949" s="83"/>
      <c r="X949" s="83"/>
      <c r="Y949" s="83"/>
      <c r="Z949" s="83"/>
      <c r="AA949" s="83"/>
      <c r="AB949" s="83"/>
      <c r="AC949" s="83"/>
      <c r="AD949" s="83"/>
      <c r="AE949" s="83"/>
      <c r="AF949" s="83"/>
      <c r="AG949" s="83"/>
      <c r="AH949" s="83"/>
      <c r="AI949" s="83"/>
      <c r="AJ949" s="83"/>
      <c r="AK949" s="83"/>
    </row>
    <row r="950">
      <c r="A950" s="83"/>
      <c r="B950" s="83"/>
      <c r="C950" s="83"/>
      <c r="D950" s="83"/>
      <c r="E950" s="118"/>
      <c r="F950" s="118"/>
      <c r="G950" s="118"/>
      <c r="H950" s="118"/>
      <c r="I950" s="118"/>
      <c r="J950" s="118"/>
      <c r="K950" s="118"/>
      <c r="L950" s="118"/>
      <c r="M950" s="118"/>
      <c r="N950" s="83"/>
      <c r="O950" s="83"/>
      <c r="P950" s="83"/>
      <c r="Q950" s="83"/>
      <c r="R950" s="83"/>
      <c r="S950" s="83"/>
      <c r="T950" s="83"/>
      <c r="U950" s="83"/>
      <c r="V950" s="83"/>
      <c r="W950" s="83"/>
      <c r="X950" s="83"/>
      <c r="Y950" s="83"/>
      <c r="Z950" s="83"/>
      <c r="AA950" s="83"/>
      <c r="AB950" s="83"/>
      <c r="AC950" s="83"/>
      <c r="AD950" s="83"/>
      <c r="AE950" s="83"/>
      <c r="AF950" s="83"/>
      <c r="AG950" s="83"/>
      <c r="AH950" s="83"/>
      <c r="AI950" s="83"/>
      <c r="AJ950" s="83"/>
      <c r="AK950" s="83"/>
    </row>
    <row r="951">
      <c r="A951" s="83"/>
      <c r="B951" s="83"/>
      <c r="C951" s="83"/>
      <c r="D951" s="83"/>
      <c r="E951" s="118"/>
      <c r="F951" s="118"/>
      <c r="G951" s="118"/>
      <c r="H951" s="118"/>
      <c r="I951" s="118"/>
      <c r="J951" s="118"/>
      <c r="K951" s="118"/>
      <c r="L951" s="118"/>
      <c r="M951" s="118"/>
      <c r="N951" s="83"/>
      <c r="O951" s="83"/>
      <c r="P951" s="83"/>
      <c r="Q951" s="83"/>
      <c r="R951" s="83"/>
      <c r="S951" s="83"/>
      <c r="T951" s="83"/>
      <c r="U951" s="83"/>
      <c r="V951" s="83"/>
      <c r="W951" s="83"/>
      <c r="X951" s="83"/>
      <c r="Y951" s="83"/>
      <c r="Z951" s="83"/>
      <c r="AA951" s="83"/>
      <c r="AB951" s="83"/>
      <c r="AC951" s="83"/>
      <c r="AD951" s="83"/>
      <c r="AE951" s="83"/>
      <c r="AF951" s="83"/>
      <c r="AG951" s="83"/>
      <c r="AH951" s="83"/>
      <c r="AI951" s="83"/>
      <c r="AJ951" s="83"/>
      <c r="AK951" s="83"/>
    </row>
    <row r="952">
      <c r="A952" s="83"/>
      <c r="B952" s="83"/>
      <c r="C952" s="83"/>
      <c r="D952" s="83"/>
      <c r="E952" s="118"/>
      <c r="F952" s="118"/>
      <c r="G952" s="118"/>
      <c r="H952" s="118"/>
      <c r="I952" s="118"/>
      <c r="J952" s="118"/>
      <c r="K952" s="118"/>
      <c r="L952" s="118"/>
      <c r="M952" s="118"/>
      <c r="N952" s="83"/>
      <c r="O952" s="83"/>
      <c r="P952" s="83"/>
      <c r="Q952" s="83"/>
      <c r="R952" s="83"/>
      <c r="S952" s="83"/>
      <c r="T952" s="83"/>
      <c r="U952" s="83"/>
      <c r="V952" s="83"/>
      <c r="W952" s="83"/>
      <c r="X952" s="83"/>
      <c r="Y952" s="83"/>
      <c r="Z952" s="83"/>
      <c r="AA952" s="83"/>
      <c r="AB952" s="83"/>
      <c r="AC952" s="83"/>
      <c r="AD952" s="83"/>
      <c r="AE952" s="83"/>
      <c r="AF952" s="83"/>
      <c r="AG952" s="83"/>
      <c r="AH952" s="83"/>
      <c r="AI952" s="83"/>
      <c r="AJ952" s="83"/>
      <c r="AK952" s="83"/>
    </row>
    <row r="953">
      <c r="A953" s="83"/>
      <c r="B953" s="83"/>
      <c r="C953" s="83"/>
      <c r="D953" s="83"/>
      <c r="E953" s="118"/>
      <c r="F953" s="118"/>
      <c r="G953" s="118"/>
      <c r="H953" s="118"/>
      <c r="I953" s="118"/>
      <c r="J953" s="118"/>
      <c r="K953" s="118"/>
      <c r="L953" s="118"/>
      <c r="M953" s="118"/>
      <c r="N953" s="83"/>
      <c r="O953" s="83"/>
      <c r="P953" s="83"/>
      <c r="Q953" s="83"/>
      <c r="R953" s="83"/>
      <c r="S953" s="83"/>
      <c r="T953" s="83"/>
      <c r="U953" s="83"/>
      <c r="V953" s="83"/>
      <c r="W953" s="83"/>
      <c r="X953" s="83"/>
      <c r="Y953" s="83"/>
      <c r="Z953" s="83"/>
      <c r="AA953" s="83"/>
      <c r="AB953" s="83"/>
      <c r="AC953" s="83"/>
      <c r="AD953" s="83"/>
      <c r="AE953" s="83"/>
      <c r="AF953" s="83"/>
      <c r="AG953" s="83"/>
      <c r="AH953" s="83"/>
      <c r="AI953" s="83"/>
      <c r="AJ953" s="83"/>
      <c r="AK953" s="83"/>
    </row>
    <row r="954">
      <c r="A954" s="83"/>
      <c r="B954" s="83"/>
      <c r="C954" s="83"/>
      <c r="D954" s="83"/>
      <c r="E954" s="118"/>
      <c r="F954" s="118"/>
      <c r="G954" s="118"/>
      <c r="H954" s="118"/>
      <c r="I954" s="118"/>
      <c r="J954" s="118"/>
      <c r="K954" s="118"/>
      <c r="L954" s="118"/>
      <c r="M954" s="118"/>
      <c r="N954" s="83"/>
      <c r="O954" s="83"/>
      <c r="P954" s="83"/>
      <c r="Q954" s="83"/>
      <c r="R954" s="83"/>
      <c r="S954" s="83"/>
      <c r="T954" s="83"/>
      <c r="U954" s="83"/>
      <c r="V954" s="83"/>
      <c r="W954" s="83"/>
      <c r="X954" s="83"/>
      <c r="Y954" s="83"/>
      <c r="Z954" s="83"/>
      <c r="AA954" s="83"/>
      <c r="AB954" s="83"/>
      <c r="AC954" s="83"/>
      <c r="AD954" s="83"/>
      <c r="AE954" s="83"/>
      <c r="AF954" s="83"/>
      <c r="AG954" s="83"/>
      <c r="AH954" s="83"/>
      <c r="AI954" s="83"/>
      <c r="AJ954" s="83"/>
      <c r="AK954" s="83"/>
    </row>
    <row r="955">
      <c r="A955" s="83"/>
      <c r="B955" s="83"/>
      <c r="C955" s="83"/>
      <c r="D955" s="83"/>
      <c r="E955" s="118"/>
      <c r="F955" s="118"/>
      <c r="G955" s="118"/>
      <c r="H955" s="118"/>
      <c r="I955" s="118"/>
      <c r="J955" s="118"/>
      <c r="K955" s="118"/>
      <c r="L955" s="118"/>
      <c r="M955" s="118"/>
      <c r="N955" s="83"/>
      <c r="O955" s="83"/>
      <c r="P955" s="83"/>
      <c r="Q955" s="83"/>
      <c r="R955" s="83"/>
      <c r="S955" s="83"/>
      <c r="T955" s="83"/>
      <c r="U955" s="83"/>
      <c r="V955" s="83"/>
      <c r="W955" s="83"/>
      <c r="X955" s="83"/>
      <c r="Y955" s="83"/>
      <c r="Z955" s="83"/>
      <c r="AA955" s="83"/>
      <c r="AB955" s="83"/>
      <c r="AC955" s="83"/>
      <c r="AD955" s="83"/>
      <c r="AE955" s="83"/>
      <c r="AF955" s="83"/>
      <c r="AG955" s="83"/>
      <c r="AH955" s="83"/>
      <c r="AI955" s="83"/>
      <c r="AJ955" s="83"/>
      <c r="AK955" s="83"/>
    </row>
    <row r="956">
      <c r="A956" s="83"/>
      <c r="B956" s="83"/>
      <c r="C956" s="83"/>
      <c r="D956" s="83"/>
      <c r="E956" s="118"/>
      <c r="F956" s="118"/>
      <c r="G956" s="118"/>
      <c r="H956" s="118"/>
      <c r="I956" s="118"/>
      <c r="J956" s="118"/>
      <c r="K956" s="118"/>
      <c r="L956" s="118"/>
      <c r="M956" s="118"/>
      <c r="N956" s="83"/>
      <c r="O956" s="83"/>
      <c r="P956" s="83"/>
      <c r="Q956" s="83"/>
      <c r="R956" s="83"/>
      <c r="S956" s="83"/>
      <c r="T956" s="83"/>
      <c r="U956" s="83"/>
      <c r="V956" s="83"/>
      <c r="W956" s="83"/>
      <c r="X956" s="83"/>
      <c r="Y956" s="83"/>
      <c r="Z956" s="83"/>
      <c r="AA956" s="83"/>
      <c r="AB956" s="83"/>
      <c r="AC956" s="83"/>
      <c r="AD956" s="83"/>
      <c r="AE956" s="83"/>
      <c r="AF956" s="83"/>
      <c r="AG956" s="83"/>
      <c r="AH956" s="83"/>
      <c r="AI956" s="83"/>
      <c r="AJ956" s="83"/>
      <c r="AK956" s="83"/>
    </row>
    <row r="957">
      <c r="A957" s="83"/>
      <c r="B957" s="83"/>
      <c r="C957" s="83"/>
      <c r="D957" s="83"/>
      <c r="E957" s="118"/>
      <c r="F957" s="118"/>
      <c r="G957" s="118"/>
      <c r="H957" s="118"/>
      <c r="I957" s="118"/>
      <c r="J957" s="118"/>
      <c r="K957" s="118"/>
      <c r="L957" s="118"/>
      <c r="M957" s="118"/>
      <c r="N957" s="83"/>
      <c r="O957" s="83"/>
      <c r="P957" s="83"/>
      <c r="Q957" s="83"/>
      <c r="R957" s="83"/>
      <c r="S957" s="83"/>
      <c r="T957" s="83"/>
      <c r="U957" s="83"/>
      <c r="V957" s="83"/>
      <c r="W957" s="83"/>
      <c r="X957" s="83"/>
      <c r="Y957" s="83"/>
      <c r="Z957" s="83"/>
      <c r="AA957" s="83"/>
      <c r="AB957" s="83"/>
      <c r="AC957" s="83"/>
      <c r="AD957" s="83"/>
      <c r="AE957" s="83"/>
      <c r="AF957" s="83"/>
      <c r="AG957" s="83"/>
      <c r="AH957" s="83"/>
      <c r="AI957" s="83"/>
      <c r="AJ957" s="83"/>
      <c r="AK957" s="83"/>
    </row>
    <row r="958">
      <c r="A958" s="83"/>
      <c r="B958" s="83"/>
      <c r="C958" s="83"/>
      <c r="D958" s="83"/>
      <c r="E958" s="118"/>
      <c r="F958" s="118"/>
      <c r="G958" s="118"/>
      <c r="H958" s="118"/>
      <c r="I958" s="118"/>
      <c r="J958" s="118"/>
      <c r="K958" s="118"/>
      <c r="L958" s="118"/>
      <c r="M958" s="118"/>
      <c r="N958" s="83"/>
      <c r="O958" s="83"/>
      <c r="P958" s="83"/>
      <c r="Q958" s="83"/>
      <c r="R958" s="83"/>
      <c r="S958" s="83"/>
      <c r="T958" s="83"/>
      <c r="U958" s="83"/>
      <c r="V958" s="83"/>
      <c r="W958" s="83"/>
      <c r="X958" s="83"/>
      <c r="Y958" s="83"/>
      <c r="Z958" s="83"/>
      <c r="AA958" s="83"/>
      <c r="AB958" s="83"/>
      <c r="AC958" s="83"/>
      <c r="AD958" s="83"/>
      <c r="AE958" s="83"/>
      <c r="AF958" s="83"/>
      <c r="AG958" s="83"/>
      <c r="AH958" s="83"/>
      <c r="AI958" s="83"/>
      <c r="AJ958" s="83"/>
      <c r="AK958" s="83"/>
    </row>
    <row r="959">
      <c r="A959" s="83"/>
      <c r="B959" s="83"/>
      <c r="C959" s="83"/>
      <c r="D959" s="83"/>
      <c r="E959" s="118"/>
      <c r="F959" s="118"/>
      <c r="G959" s="118"/>
      <c r="H959" s="118"/>
      <c r="I959" s="118"/>
      <c r="J959" s="118"/>
      <c r="K959" s="118"/>
      <c r="L959" s="118"/>
      <c r="M959" s="118"/>
      <c r="N959" s="83"/>
      <c r="O959" s="83"/>
      <c r="P959" s="83"/>
      <c r="Q959" s="83"/>
      <c r="R959" s="83"/>
      <c r="S959" s="83"/>
      <c r="T959" s="83"/>
      <c r="U959" s="83"/>
      <c r="V959" s="83"/>
      <c r="W959" s="83"/>
      <c r="X959" s="83"/>
      <c r="Y959" s="83"/>
      <c r="Z959" s="83"/>
      <c r="AA959" s="83"/>
      <c r="AB959" s="83"/>
      <c r="AC959" s="83"/>
      <c r="AD959" s="83"/>
      <c r="AE959" s="83"/>
      <c r="AF959" s="83"/>
      <c r="AG959" s="83"/>
      <c r="AH959" s="83"/>
      <c r="AI959" s="83"/>
      <c r="AJ959" s="83"/>
      <c r="AK959" s="83"/>
    </row>
    <row r="960">
      <c r="A960" s="83"/>
      <c r="B960" s="83"/>
      <c r="C960" s="83"/>
      <c r="D960" s="83"/>
      <c r="E960" s="118"/>
      <c r="F960" s="118"/>
      <c r="G960" s="118"/>
      <c r="H960" s="118"/>
      <c r="I960" s="118"/>
      <c r="J960" s="118"/>
      <c r="K960" s="118"/>
      <c r="L960" s="118"/>
      <c r="M960" s="118"/>
      <c r="N960" s="83"/>
      <c r="O960" s="83"/>
      <c r="P960" s="83"/>
      <c r="Q960" s="83"/>
      <c r="R960" s="83"/>
      <c r="S960" s="83"/>
      <c r="T960" s="83"/>
      <c r="U960" s="83"/>
      <c r="V960" s="83"/>
      <c r="W960" s="83"/>
      <c r="X960" s="83"/>
      <c r="Y960" s="83"/>
      <c r="Z960" s="83"/>
      <c r="AA960" s="83"/>
      <c r="AB960" s="83"/>
      <c r="AC960" s="83"/>
      <c r="AD960" s="83"/>
      <c r="AE960" s="83"/>
      <c r="AF960" s="83"/>
      <c r="AG960" s="83"/>
      <c r="AH960" s="83"/>
      <c r="AI960" s="83"/>
      <c r="AJ960" s="83"/>
      <c r="AK960" s="83"/>
    </row>
    <row r="961">
      <c r="A961" s="83"/>
      <c r="B961" s="83"/>
      <c r="C961" s="83"/>
      <c r="D961" s="83"/>
      <c r="E961" s="118"/>
      <c r="F961" s="118"/>
      <c r="G961" s="118"/>
      <c r="H961" s="118"/>
      <c r="I961" s="118"/>
      <c r="J961" s="118"/>
      <c r="K961" s="118"/>
      <c r="L961" s="118"/>
      <c r="M961" s="118"/>
      <c r="N961" s="83"/>
      <c r="O961" s="83"/>
      <c r="P961" s="83"/>
      <c r="Q961" s="83"/>
      <c r="R961" s="83"/>
      <c r="S961" s="83"/>
      <c r="T961" s="83"/>
      <c r="U961" s="83"/>
      <c r="V961" s="83"/>
      <c r="W961" s="83"/>
      <c r="X961" s="83"/>
      <c r="Y961" s="83"/>
      <c r="Z961" s="83"/>
      <c r="AA961" s="83"/>
      <c r="AB961" s="83"/>
      <c r="AC961" s="83"/>
      <c r="AD961" s="83"/>
      <c r="AE961" s="83"/>
      <c r="AF961" s="83"/>
      <c r="AG961" s="83"/>
      <c r="AH961" s="83"/>
      <c r="AI961" s="83"/>
      <c r="AJ961" s="83"/>
      <c r="AK961" s="83"/>
    </row>
    <row r="962">
      <c r="A962" s="83"/>
      <c r="B962" s="83"/>
      <c r="C962" s="83"/>
      <c r="D962" s="83"/>
      <c r="E962" s="118"/>
      <c r="F962" s="118"/>
      <c r="G962" s="118"/>
      <c r="H962" s="118"/>
      <c r="I962" s="118"/>
      <c r="J962" s="118"/>
      <c r="K962" s="118"/>
      <c r="L962" s="118"/>
      <c r="M962" s="118"/>
      <c r="N962" s="83"/>
      <c r="O962" s="83"/>
      <c r="P962" s="83"/>
      <c r="Q962" s="83"/>
      <c r="R962" s="83"/>
      <c r="S962" s="83"/>
      <c r="T962" s="83"/>
      <c r="U962" s="83"/>
      <c r="V962" s="83"/>
      <c r="W962" s="83"/>
      <c r="X962" s="83"/>
      <c r="Y962" s="83"/>
      <c r="Z962" s="83"/>
      <c r="AA962" s="83"/>
      <c r="AB962" s="83"/>
      <c r="AC962" s="83"/>
      <c r="AD962" s="83"/>
      <c r="AE962" s="83"/>
      <c r="AF962" s="83"/>
      <c r="AG962" s="83"/>
      <c r="AH962" s="83"/>
      <c r="AI962" s="83"/>
      <c r="AJ962" s="83"/>
      <c r="AK962" s="83"/>
    </row>
    <row r="963">
      <c r="A963" s="83"/>
      <c r="B963" s="83"/>
      <c r="C963" s="83"/>
      <c r="D963" s="83"/>
      <c r="E963" s="118"/>
      <c r="F963" s="118"/>
      <c r="G963" s="118"/>
      <c r="H963" s="118"/>
      <c r="I963" s="118"/>
      <c r="J963" s="118"/>
      <c r="K963" s="118"/>
      <c r="L963" s="118"/>
      <c r="M963" s="118"/>
      <c r="N963" s="83"/>
      <c r="O963" s="83"/>
      <c r="P963" s="83"/>
      <c r="Q963" s="83"/>
      <c r="R963" s="83"/>
      <c r="S963" s="83"/>
      <c r="T963" s="83"/>
      <c r="U963" s="83"/>
      <c r="V963" s="83"/>
      <c r="W963" s="83"/>
      <c r="X963" s="83"/>
      <c r="Y963" s="83"/>
      <c r="Z963" s="83"/>
      <c r="AA963" s="83"/>
      <c r="AB963" s="83"/>
      <c r="AC963" s="83"/>
      <c r="AD963" s="83"/>
      <c r="AE963" s="83"/>
      <c r="AF963" s="83"/>
      <c r="AG963" s="83"/>
      <c r="AH963" s="83"/>
      <c r="AI963" s="83"/>
      <c r="AJ963" s="83"/>
      <c r="AK963" s="83"/>
    </row>
    <row r="964">
      <c r="A964" s="83"/>
      <c r="B964" s="83"/>
      <c r="C964" s="83"/>
      <c r="D964" s="83"/>
      <c r="E964" s="118"/>
      <c r="F964" s="118"/>
      <c r="G964" s="118"/>
      <c r="H964" s="118"/>
      <c r="I964" s="118"/>
      <c r="J964" s="118"/>
      <c r="K964" s="118"/>
      <c r="L964" s="118"/>
      <c r="M964" s="118"/>
      <c r="N964" s="83"/>
      <c r="O964" s="83"/>
      <c r="P964" s="83"/>
      <c r="Q964" s="83"/>
      <c r="R964" s="83"/>
      <c r="S964" s="83"/>
      <c r="T964" s="83"/>
      <c r="U964" s="83"/>
      <c r="V964" s="83"/>
      <c r="W964" s="83"/>
      <c r="X964" s="83"/>
      <c r="Y964" s="83"/>
      <c r="Z964" s="83"/>
      <c r="AA964" s="83"/>
      <c r="AB964" s="83"/>
      <c r="AC964" s="83"/>
      <c r="AD964" s="83"/>
      <c r="AE964" s="83"/>
      <c r="AF964" s="83"/>
      <c r="AG964" s="83"/>
      <c r="AH964" s="83"/>
      <c r="AI964" s="83"/>
      <c r="AJ964" s="83"/>
      <c r="AK964" s="83"/>
    </row>
    <row r="965">
      <c r="A965" s="83"/>
      <c r="B965" s="83"/>
      <c r="C965" s="83"/>
      <c r="D965" s="83"/>
      <c r="E965" s="118"/>
      <c r="F965" s="118"/>
      <c r="G965" s="118"/>
      <c r="H965" s="118"/>
      <c r="I965" s="118"/>
      <c r="J965" s="118"/>
      <c r="K965" s="118"/>
      <c r="L965" s="118"/>
      <c r="M965" s="118"/>
      <c r="N965" s="83"/>
      <c r="O965" s="83"/>
      <c r="P965" s="83"/>
      <c r="Q965" s="83"/>
      <c r="R965" s="83"/>
      <c r="S965" s="83"/>
      <c r="T965" s="83"/>
      <c r="U965" s="83"/>
      <c r="V965" s="83"/>
      <c r="W965" s="83"/>
      <c r="X965" s="83"/>
      <c r="Y965" s="83"/>
      <c r="Z965" s="83"/>
      <c r="AA965" s="83"/>
      <c r="AB965" s="83"/>
      <c r="AC965" s="83"/>
      <c r="AD965" s="83"/>
      <c r="AE965" s="83"/>
      <c r="AF965" s="83"/>
      <c r="AG965" s="83"/>
      <c r="AH965" s="83"/>
      <c r="AI965" s="83"/>
      <c r="AJ965" s="83"/>
      <c r="AK965" s="83"/>
    </row>
    <row r="966">
      <c r="A966" s="83"/>
      <c r="B966" s="83"/>
      <c r="C966" s="83"/>
      <c r="D966" s="83"/>
      <c r="E966" s="118"/>
      <c r="F966" s="118"/>
      <c r="G966" s="118"/>
      <c r="H966" s="118"/>
      <c r="I966" s="118"/>
      <c r="J966" s="118"/>
      <c r="K966" s="118"/>
      <c r="L966" s="118"/>
      <c r="M966" s="118"/>
      <c r="N966" s="83"/>
      <c r="O966" s="83"/>
      <c r="P966" s="83"/>
      <c r="Q966" s="83"/>
      <c r="R966" s="83"/>
      <c r="S966" s="83"/>
      <c r="T966" s="83"/>
      <c r="U966" s="83"/>
      <c r="V966" s="83"/>
      <c r="W966" s="83"/>
      <c r="X966" s="83"/>
      <c r="Y966" s="83"/>
      <c r="Z966" s="83"/>
      <c r="AA966" s="83"/>
      <c r="AB966" s="83"/>
      <c r="AC966" s="83"/>
      <c r="AD966" s="83"/>
      <c r="AE966" s="83"/>
      <c r="AF966" s="83"/>
      <c r="AG966" s="83"/>
      <c r="AH966" s="83"/>
      <c r="AI966" s="83"/>
      <c r="AJ966" s="83"/>
      <c r="AK966" s="83"/>
    </row>
    <row r="967">
      <c r="A967" s="83"/>
      <c r="B967" s="83"/>
      <c r="C967" s="83"/>
      <c r="D967" s="83"/>
      <c r="E967" s="118"/>
      <c r="F967" s="118"/>
      <c r="G967" s="118"/>
      <c r="H967" s="118"/>
      <c r="I967" s="118"/>
      <c r="J967" s="118"/>
      <c r="K967" s="118"/>
      <c r="L967" s="118"/>
      <c r="M967" s="118"/>
      <c r="N967" s="83"/>
      <c r="O967" s="83"/>
      <c r="P967" s="83"/>
      <c r="Q967" s="83"/>
      <c r="R967" s="83"/>
      <c r="S967" s="83"/>
      <c r="T967" s="83"/>
      <c r="U967" s="83"/>
      <c r="V967" s="83"/>
      <c r="W967" s="83"/>
      <c r="X967" s="83"/>
      <c r="Y967" s="83"/>
      <c r="Z967" s="83"/>
      <c r="AA967" s="83"/>
      <c r="AB967" s="83"/>
      <c r="AC967" s="83"/>
      <c r="AD967" s="83"/>
      <c r="AE967" s="83"/>
      <c r="AF967" s="83"/>
      <c r="AG967" s="83"/>
      <c r="AH967" s="83"/>
      <c r="AI967" s="83"/>
      <c r="AJ967" s="83"/>
      <c r="AK967" s="83"/>
    </row>
    <row r="968">
      <c r="A968" s="83"/>
      <c r="B968" s="83"/>
      <c r="C968" s="83"/>
      <c r="D968" s="83"/>
      <c r="E968" s="118"/>
      <c r="F968" s="118"/>
      <c r="G968" s="118"/>
      <c r="H968" s="118"/>
      <c r="I968" s="118"/>
      <c r="J968" s="118"/>
      <c r="K968" s="118"/>
      <c r="L968" s="118"/>
      <c r="M968" s="118"/>
      <c r="N968" s="83"/>
      <c r="O968" s="83"/>
      <c r="P968" s="83"/>
      <c r="Q968" s="83"/>
      <c r="R968" s="83"/>
      <c r="S968" s="83"/>
      <c r="T968" s="83"/>
      <c r="U968" s="83"/>
      <c r="V968" s="83"/>
      <c r="W968" s="83"/>
      <c r="X968" s="83"/>
      <c r="Y968" s="83"/>
      <c r="Z968" s="83"/>
      <c r="AA968" s="83"/>
      <c r="AB968" s="83"/>
      <c r="AC968" s="83"/>
      <c r="AD968" s="83"/>
      <c r="AE968" s="83"/>
      <c r="AF968" s="83"/>
      <c r="AG968" s="83"/>
      <c r="AH968" s="83"/>
      <c r="AI968" s="83"/>
      <c r="AJ968" s="83"/>
      <c r="AK968" s="83"/>
    </row>
    <row r="969">
      <c r="A969" s="83"/>
      <c r="B969" s="83"/>
      <c r="C969" s="83"/>
      <c r="D969" s="83"/>
      <c r="E969" s="118"/>
      <c r="F969" s="118"/>
      <c r="G969" s="118"/>
      <c r="H969" s="118"/>
      <c r="I969" s="118"/>
      <c r="J969" s="118"/>
      <c r="K969" s="118"/>
      <c r="L969" s="118"/>
      <c r="M969" s="118"/>
      <c r="N969" s="83"/>
      <c r="O969" s="83"/>
      <c r="P969" s="83"/>
      <c r="Q969" s="83"/>
      <c r="R969" s="83"/>
      <c r="S969" s="83"/>
      <c r="T969" s="83"/>
      <c r="U969" s="83"/>
      <c r="V969" s="83"/>
      <c r="W969" s="83"/>
      <c r="X969" s="83"/>
      <c r="Y969" s="83"/>
      <c r="Z969" s="83"/>
      <c r="AA969" s="83"/>
      <c r="AB969" s="83"/>
      <c r="AC969" s="83"/>
      <c r="AD969" s="83"/>
      <c r="AE969" s="83"/>
      <c r="AF969" s="83"/>
      <c r="AG969" s="83"/>
      <c r="AH969" s="83"/>
      <c r="AI969" s="83"/>
      <c r="AJ969" s="83"/>
      <c r="AK969" s="83"/>
    </row>
    <row r="970">
      <c r="A970" s="83"/>
      <c r="B970" s="83"/>
      <c r="C970" s="83"/>
      <c r="D970" s="83"/>
      <c r="E970" s="118"/>
      <c r="F970" s="118"/>
      <c r="G970" s="118"/>
      <c r="H970" s="118"/>
      <c r="I970" s="118"/>
      <c r="J970" s="118"/>
      <c r="K970" s="118"/>
      <c r="L970" s="118"/>
      <c r="M970" s="118"/>
      <c r="N970" s="83"/>
      <c r="O970" s="83"/>
      <c r="P970" s="83"/>
      <c r="Q970" s="83"/>
      <c r="R970" s="83"/>
      <c r="S970" s="83"/>
      <c r="T970" s="83"/>
      <c r="U970" s="83"/>
      <c r="V970" s="83"/>
      <c r="W970" s="83"/>
      <c r="X970" s="83"/>
      <c r="Y970" s="83"/>
      <c r="Z970" s="83"/>
      <c r="AA970" s="83"/>
      <c r="AB970" s="83"/>
      <c r="AC970" s="83"/>
      <c r="AD970" s="83"/>
      <c r="AE970" s="83"/>
      <c r="AF970" s="83"/>
      <c r="AG970" s="83"/>
      <c r="AH970" s="83"/>
      <c r="AI970" s="83"/>
      <c r="AJ970" s="83"/>
      <c r="AK970" s="83"/>
    </row>
    <row r="971">
      <c r="A971" s="83"/>
      <c r="B971" s="83"/>
      <c r="C971" s="83"/>
      <c r="D971" s="83"/>
      <c r="E971" s="118"/>
      <c r="F971" s="118"/>
      <c r="G971" s="118"/>
      <c r="H971" s="118"/>
      <c r="I971" s="118"/>
      <c r="J971" s="118"/>
      <c r="K971" s="118"/>
      <c r="L971" s="118"/>
      <c r="M971" s="118"/>
      <c r="N971" s="83"/>
      <c r="O971" s="83"/>
      <c r="P971" s="83"/>
      <c r="Q971" s="83"/>
      <c r="R971" s="83"/>
      <c r="S971" s="83"/>
      <c r="T971" s="83"/>
      <c r="U971" s="83"/>
      <c r="V971" s="83"/>
      <c r="W971" s="83"/>
      <c r="X971" s="83"/>
      <c r="Y971" s="83"/>
      <c r="Z971" s="83"/>
      <c r="AA971" s="83"/>
      <c r="AB971" s="83"/>
      <c r="AC971" s="83"/>
      <c r="AD971" s="83"/>
      <c r="AE971" s="83"/>
      <c r="AF971" s="83"/>
      <c r="AG971" s="83"/>
      <c r="AH971" s="83"/>
      <c r="AI971" s="83"/>
      <c r="AJ971" s="83"/>
      <c r="AK971" s="83"/>
    </row>
    <row r="972">
      <c r="A972" s="83"/>
      <c r="B972" s="83"/>
      <c r="C972" s="83"/>
      <c r="D972" s="83"/>
      <c r="E972" s="118"/>
      <c r="F972" s="118"/>
      <c r="G972" s="118"/>
      <c r="H972" s="118"/>
      <c r="I972" s="118"/>
      <c r="J972" s="118"/>
      <c r="K972" s="118"/>
      <c r="L972" s="118"/>
      <c r="M972" s="118"/>
      <c r="N972" s="83"/>
      <c r="O972" s="83"/>
      <c r="P972" s="83"/>
      <c r="Q972" s="83"/>
      <c r="R972" s="83"/>
      <c r="S972" s="83"/>
      <c r="T972" s="83"/>
      <c r="U972" s="83"/>
      <c r="V972" s="83"/>
      <c r="W972" s="83"/>
      <c r="X972" s="83"/>
      <c r="Y972" s="83"/>
      <c r="Z972" s="83"/>
      <c r="AA972" s="83"/>
      <c r="AB972" s="83"/>
      <c r="AC972" s="83"/>
      <c r="AD972" s="83"/>
      <c r="AE972" s="83"/>
      <c r="AF972" s="83"/>
      <c r="AG972" s="83"/>
      <c r="AH972" s="83"/>
      <c r="AI972" s="83"/>
      <c r="AJ972" s="83"/>
      <c r="AK972" s="83"/>
    </row>
    <row r="973">
      <c r="A973" s="83"/>
      <c r="B973" s="83"/>
      <c r="C973" s="83"/>
      <c r="D973" s="83"/>
      <c r="E973" s="118"/>
      <c r="F973" s="118"/>
      <c r="G973" s="118"/>
      <c r="H973" s="118"/>
      <c r="I973" s="118"/>
      <c r="J973" s="118"/>
      <c r="K973" s="118"/>
      <c r="L973" s="118"/>
      <c r="M973" s="118"/>
      <c r="N973" s="83"/>
      <c r="O973" s="83"/>
      <c r="P973" s="83"/>
      <c r="Q973" s="83"/>
      <c r="R973" s="83"/>
      <c r="S973" s="83"/>
      <c r="T973" s="83"/>
      <c r="U973" s="83"/>
      <c r="V973" s="83"/>
      <c r="W973" s="83"/>
      <c r="X973" s="83"/>
      <c r="Y973" s="83"/>
      <c r="Z973" s="83"/>
      <c r="AA973" s="83"/>
      <c r="AB973" s="83"/>
      <c r="AC973" s="83"/>
      <c r="AD973" s="83"/>
      <c r="AE973" s="83"/>
      <c r="AF973" s="83"/>
      <c r="AG973" s="83"/>
      <c r="AH973" s="83"/>
      <c r="AI973" s="83"/>
      <c r="AJ973" s="83"/>
      <c r="AK973" s="83"/>
    </row>
    <row r="974">
      <c r="A974" s="83"/>
      <c r="B974" s="83"/>
      <c r="C974" s="83"/>
      <c r="D974" s="83"/>
      <c r="E974" s="118"/>
      <c r="F974" s="118"/>
      <c r="G974" s="118"/>
      <c r="H974" s="118"/>
      <c r="I974" s="118"/>
      <c r="J974" s="118"/>
      <c r="K974" s="118"/>
      <c r="L974" s="118"/>
      <c r="M974" s="118"/>
      <c r="N974" s="83"/>
      <c r="O974" s="83"/>
      <c r="P974" s="83"/>
      <c r="Q974" s="83"/>
      <c r="R974" s="83"/>
      <c r="S974" s="83"/>
      <c r="T974" s="83"/>
      <c r="U974" s="83"/>
      <c r="V974" s="83"/>
      <c r="W974" s="83"/>
      <c r="X974" s="83"/>
      <c r="Y974" s="83"/>
      <c r="Z974" s="83"/>
      <c r="AA974" s="83"/>
      <c r="AB974" s="83"/>
      <c r="AC974" s="83"/>
      <c r="AD974" s="83"/>
      <c r="AE974" s="83"/>
      <c r="AF974" s="83"/>
      <c r="AG974" s="83"/>
      <c r="AH974" s="83"/>
      <c r="AI974" s="83"/>
      <c r="AJ974" s="83"/>
      <c r="AK974" s="83"/>
    </row>
    <row r="975">
      <c r="A975" s="83"/>
      <c r="B975" s="83"/>
      <c r="C975" s="83"/>
      <c r="D975" s="83"/>
      <c r="E975" s="118"/>
      <c r="F975" s="118"/>
      <c r="G975" s="118"/>
      <c r="H975" s="118"/>
      <c r="I975" s="118"/>
      <c r="J975" s="118"/>
      <c r="K975" s="118"/>
      <c r="L975" s="118"/>
      <c r="M975" s="118"/>
      <c r="N975" s="83"/>
      <c r="O975" s="83"/>
      <c r="P975" s="83"/>
      <c r="Q975" s="83"/>
      <c r="R975" s="83"/>
      <c r="S975" s="83"/>
      <c r="T975" s="83"/>
      <c r="U975" s="83"/>
      <c r="V975" s="83"/>
      <c r="W975" s="83"/>
      <c r="X975" s="83"/>
      <c r="Y975" s="83"/>
      <c r="Z975" s="83"/>
      <c r="AA975" s="83"/>
      <c r="AB975" s="83"/>
      <c r="AC975" s="83"/>
      <c r="AD975" s="83"/>
      <c r="AE975" s="83"/>
      <c r="AF975" s="83"/>
      <c r="AG975" s="83"/>
      <c r="AH975" s="83"/>
      <c r="AI975" s="83"/>
      <c r="AJ975" s="83"/>
      <c r="AK975" s="83"/>
    </row>
    <row r="976">
      <c r="A976" s="83"/>
      <c r="B976" s="83"/>
      <c r="C976" s="83"/>
      <c r="D976" s="83"/>
      <c r="E976" s="118"/>
      <c r="F976" s="118"/>
      <c r="G976" s="118"/>
      <c r="H976" s="118"/>
      <c r="I976" s="118"/>
      <c r="J976" s="118"/>
      <c r="K976" s="118"/>
      <c r="L976" s="118"/>
      <c r="M976" s="118"/>
      <c r="N976" s="83"/>
      <c r="O976" s="83"/>
      <c r="P976" s="83"/>
      <c r="Q976" s="83"/>
      <c r="R976" s="83"/>
      <c r="S976" s="83"/>
      <c r="T976" s="83"/>
      <c r="U976" s="83"/>
      <c r="V976" s="83"/>
      <c r="W976" s="83"/>
      <c r="X976" s="83"/>
      <c r="Y976" s="83"/>
      <c r="Z976" s="83"/>
      <c r="AA976" s="83"/>
      <c r="AB976" s="83"/>
      <c r="AC976" s="83"/>
      <c r="AD976" s="83"/>
      <c r="AE976" s="83"/>
      <c r="AF976" s="83"/>
      <c r="AG976" s="83"/>
      <c r="AH976" s="83"/>
      <c r="AI976" s="83"/>
      <c r="AJ976" s="83"/>
      <c r="AK976" s="83"/>
    </row>
    <row r="977">
      <c r="A977" s="83"/>
      <c r="B977" s="83"/>
      <c r="C977" s="83"/>
      <c r="D977" s="83"/>
      <c r="E977" s="118"/>
      <c r="F977" s="118"/>
      <c r="G977" s="118"/>
      <c r="H977" s="118"/>
      <c r="I977" s="118"/>
      <c r="J977" s="118"/>
      <c r="K977" s="118"/>
      <c r="L977" s="118"/>
      <c r="M977" s="118"/>
      <c r="N977" s="83"/>
      <c r="O977" s="83"/>
      <c r="P977" s="83"/>
      <c r="Q977" s="83"/>
      <c r="R977" s="83"/>
      <c r="S977" s="83"/>
      <c r="T977" s="83"/>
      <c r="U977" s="83"/>
      <c r="V977" s="83"/>
      <c r="W977" s="83"/>
      <c r="X977" s="83"/>
      <c r="Y977" s="83"/>
      <c r="Z977" s="83"/>
      <c r="AA977" s="83"/>
      <c r="AB977" s="83"/>
      <c r="AC977" s="83"/>
      <c r="AD977" s="83"/>
      <c r="AE977" s="83"/>
      <c r="AF977" s="83"/>
      <c r="AG977" s="83"/>
      <c r="AH977" s="83"/>
      <c r="AI977" s="83"/>
      <c r="AJ977" s="83"/>
      <c r="AK977" s="83"/>
    </row>
    <row r="978">
      <c r="A978" s="83"/>
      <c r="B978" s="83"/>
      <c r="C978" s="83"/>
      <c r="D978" s="83"/>
      <c r="E978" s="118"/>
      <c r="F978" s="118"/>
      <c r="G978" s="118"/>
      <c r="H978" s="118"/>
      <c r="I978" s="118"/>
      <c r="J978" s="118"/>
      <c r="K978" s="118"/>
      <c r="L978" s="118"/>
      <c r="M978" s="118"/>
      <c r="N978" s="83"/>
      <c r="O978" s="83"/>
      <c r="P978" s="83"/>
      <c r="Q978" s="83"/>
      <c r="R978" s="83"/>
      <c r="S978" s="83"/>
      <c r="T978" s="83"/>
      <c r="U978" s="83"/>
      <c r="V978" s="83"/>
      <c r="W978" s="83"/>
      <c r="X978" s="83"/>
      <c r="Y978" s="83"/>
      <c r="Z978" s="83"/>
      <c r="AA978" s="83"/>
      <c r="AB978" s="83"/>
      <c r="AC978" s="83"/>
      <c r="AD978" s="83"/>
      <c r="AE978" s="83"/>
      <c r="AF978" s="83"/>
      <c r="AG978" s="83"/>
      <c r="AH978" s="83"/>
      <c r="AI978" s="83"/>
      <c r="AJ978" s="83"/>
      <c r="AK978" s="83"/>
    </row>
    <row r="979">
      <c r="A979" s="83"/>
      <c r="B979" s="83"/>
      <c r="C979" s="83"/>
      <c r="D979" s="83"/>
      <c r="E979" s="118"/>
      <c r="F979" s="118"/>
      <c r="G979" s="118"/>
      <c r="H979" s="118"/>
      <c r="I979" s="118"/>
      <c r="J979" s="118"/>
      <c r="K979" s="118"/>
      <c r="L979" s="118"/>
      <c r="M979" s="118"/>
      <c r="N979" s="83"/>
      <c r="O979" s="83"/>
      <c r="P979" s="83"/>
      <c r="Q979" s="83"/>
      <c r="R979" s="83"/>
      <c r="S979" s="83"/>
      <c r="T979" s="83"/>
      <c r="U979" s="83"/>
      <c r="V979" s="83"/>
      <c r="W979" s="83"/>
      <c r="X979" s="83"/>
      <c r="Y979" s="83"/>
      <c r="Z979" s="83"/>
      <c r="AA979" s="83"/>
      <c r="AB979" s="83"/>
      <c r="AC979" s="83"/>
      <c r="AD979" s="83"/>
      <c r="AE979" s="83"/>
      <c r="AF979" s="83"/>
      <c r="AG979" s="83"/>
      <c r="AH979" s="83"/>
      <c r="AI979" s="83"/>
      <c r="AJ979" s="83"/>
      <c r="AK979" s="83"/>
    </row>
    <row r="980">
      <c r="A980" s="83"/>
      <c r="B980" s="83"/>
      <c r="C980" s="83"/>
      <c r="D980" s="83"/>
      <c r="E980" s="118"/>
      <c r="F980" s="118"/>
      <c r="G980" s="118"/>
      <c r="H980" s="118"/>
      <c r="I980" s="118"/>
      <c r="J980" s="118"/>
      <c r="K980" s="118"/>
      <c r="L980" s="118"/>
      <c r="M980" s="118"/>
      <c r="N980" s="83"/>
      <c r="O980" s="83"/>
      <c r="P980" s="83"/>
      <c r="Q980" s="83"/>
      <c r="R980" s="83"/>
      <c r="S980" s="83"/>
      <c r="T980" s="83"/>
      <c r="U980" s="83"/>
      <c r="V980" s="83"/>
      <c r="W980" s="83"/>
      <c r="X980" s="83"/>
      <c r="Y980" s="83"/>
      <c r="Z980" s="83"/>
      <c r="AA980" s="83"/>
      <c r="AB980" s="83"/>
      <c r="AC980" s="83"/>
      <c r="AD980" s="83"/>
      <c r="AE980" s="83"/>
      <c r="AF980" s="83"/>
      <c r="AG980" s="83"/>
      <c r="AH980" s="83"/>
      <c r="AI980" s="83"/>
      <c r="AJ980" s="83"/>
      <c r="AK980" s="83"/>
    </row>
    <row r="981">
      <c r="A981" s="83"/>
      <c r="B981" s="83"/>
      <c r="C981" s="83"/>
      <c r="D981" s="83"/>
      <c r="E981" s="118"/>
      <c r="F981" s="118"/>
      <c r="G981" s="118"/>
      <c r="H981" s="118"/>
      <c r="I981" s="118"/>
      <c r="J981" s="118"/>
      <c r="K981" s="118"/>
      <c r="L981" s="118"/>
      <c r="M981" s="118"/>
      <c r="N981" s="83"/>
      <c r="O981" s="83"/>
      <c r="P981" s="83"/>
      <c r="Q981" s="83"/>
      <c r="R981" s="83"/>
      <c r="S981" s="83"/>
      <c r="T981" s="83"/>
      <c r="U981" s="83"/>
      <c r="V981" s="83"/>
      <c r="W981" s="83"/>
      <c r="X981" s="83"/>
      <c r="Y981" s="83"/>
      <c r="Z981" s="83"/>
      <c r="AA981" s="83"/>
      <c r="AB981" s="83"/>
      <c r="AC981" s="83"/>
      <c r="AD981" s="83"/>
      <c r="AE981" s="83"/>
      <c r="AF981" s="83"/>
      <c r="AG981" s="83"/>
      <c r="AH981" s="83"/>
      <c r="AI981" s="83"/>
      <c r="AJ981" s="83"/>
      <c r="AK981" s="83"/>
    </row>
    <row r="982">
      <c r="A982" s="83"/>
      <c r="B982" s="83"/>
      <c r="C982" s="83"/>
      <c r="D982" s="83"/>
      <c r="E982" s="118"/>
      <c r="F982" s="118"/>
      <c r="G982" s="118"/>
      <c r="H982" s="118"/>
      <c r="I982" s="118"/>
      <c r="J982" s="118"/>
      <c r="K982" s="118"/>
      <c r="L982" s="118"/>
      <c r="M982" s="118"/>
      <c r="N982" s="83"/>
      <c r="O982" s="83"/>
      <c r="P982" s="83"/>
      <c r="Q982" s="83"/>
      <c r="R982" s="83"/>
      <c r="S982" s="83"/>
      <c r="T982" s="83"/>
      <c r="U982" s="83"/>
      <c r="V982" s="83"/>
      <c r="W982" s="83"/>
      <c r="X982" s="83"/>
      <c r="Y982" s="83"/>
      <c r="Z982" s="83"/>
      <c r="AA982" s="83"/>
      <c r="AB982" s="83"/>
      <c r="AC982" s="83"/>
      <c r="AD982" s="83"/>
      <c r="AE982" s="83"/>
      <c r="AF982" s="83"/>
      <c r="AG982" s="83"/>
      <c r="AH982" s="83"/>
      <c r="AI982" s="83"/>
      <c r="AJ982" s="83"/>
      <c r="AK982" s="83"/>
    </row>
    <row r="983">
      <c r="A983" s="83"/>
      <c r="B983" s="83"/>
      <c r="C983" s="83"/>
      <c r="D983" s="83"/>
      <c r="E983" s="118"/>
      <c r="F983" s="118"/>
      <c r="G983" s="118"/>
      <c r="H983" s="118"/>
      <c r="I983" s="118"/>
      <c r="J983" s="118"/>
      <c r="K983" s="118"/>
      <c r="L983" s="118"/>
      <c r="M983" s="118"/>
      <c r="N983" s="83"/>
      <c r="O983" s="83"/>
      <c r="P983" s="83"/>
      <c r="Q983" s="83"/>
      <c r="R983" s="83"/>
      <c r="S983" s="83"/>
      <c r="T983" s="83"/>
      <c r="U983" s="83"/>
      <c r="V983" s="83"/>
      <c r="W983" s="83"/>
      <c r="X983" s="83"/>
      <c r="Y983" s="83"/>
      <c r="Z983" s="83"/>
      <c r="AA983" s="83"/>
      <c r="AB983" s="83"/>
      <c r="AC983" s="83"/>
      <c r="AD983" s="83"/>
      <c r="AE983" s="83"/>
      <c r="AF983" s="83"/>
      <c r="AG983" s="83"/>
      <c r="AH983" s="83"/>
      <c r="AI983" s="83"/>
      <c r="AJ983" s="83"/>
      <c r="AK983" s="83"/>
    </row>
    <row r="984">
      <c r="A984" s="83"/>
      <c r="B984" s="83"/>
      <c r="C984" s="83"/>
      <c r="D984" s="83"/>
      <c r="E984" s="118"/>
      <c r="F984" s="118"/>
      <c r="G984" s="118"/>
      <c r="H984" s="118"/>
      <c r="I984" s="118"/>
      <c r="J984" s="118"/>
      <c r="K984" s="118"/>
      <c r="L984" s="118"/>
      <c r="M984" s="118"/>
      <c r="N984" s="83"/>
      <c r="O984" s="83"/>
      <c r="P984" s="83"/>
      <c r="Q984" s="83"/>
      <c r="R984" s="83"/>
      <c r="S984" s="83"/>
      <c r="T984" s="83"/>
      <c r="U984" s="83"/>
      <c r="V984" s="83"/>
      <c r="W984" s="83"/>
      <c r="X984" s="83"/>
      <c r="Y984" s="83"/>
      <c r="Z984" s="83"/>
      <c r="AA984" s="83"/>
      <c r="AB984" s="83"/>
      <c r="AC984" s="83"/>
      <c r="AD984" s="83"/>
      <c r="AE984" s="83"/>
      <c r="AF984" s="83"/>
      <c r="AG984" s="83"/>
      <c r="AH984" s="83"/>
      <c r="AI984" s="83"/>
      <c r="AJ984" s="83"/>
      <c r="AK984" s="83"/>
    </row>
    <row r="985">
      <c r="A985" s="83"/>
      <c r="B985" s="83"/>
      <c r="C985" s="83"/>
      <c r="D985" s="83"/>
      <c r="E985" s="118"/>
      <c r="F985" s="118"/>
      <c r="G985" s="118"/>
      <c r="H985" s="118"/>
      <c r="I985" s="118"/>
      <c r="J985" s="118"/>
      <c r="K985" s="118"/>
      <c r="L985" s="118"/>
      <c r="M985" s="118"/>
      <c r="N985" s="83"/>
      <c r="O985" s="83"/>
      <c r="P985" s="83"/>
      <c r="Q985" s="83"/>
      <c r="R985" s="83"/>
      <c r="S985" s="83"/>
      <c r="T985" s="83"/>
      <c r="U985" s="83"/>
      <c r="V985" s="83"/>
      <c r="W985" s="83"/>
      <c r="X985" s="83"/>
      <c r="Y985" s="83"/>
      <c r="Z985" s="83"/>
      <c r="AA985" s="83"/>
      <c r="AB985" s="83"/>
      <c r="AC985" s="83"/>
      <c r="AD985" s="83"/>
      <c r="AE985" s="83"/>
      <c r="AF985" s="83"/>
      <c r="AG985" s="83"/>
      <c r="AH985" s="83"/>
      <c r="AI985" s="83"/>
      <c r="AJ985" s="83"/>
      <c r="AK985" s="83"/>
    </row>
  </sheetData>
  <mergeCells count="7">
    <mergeCell ref="A1:N1"/>
    <mergeCell ref="A2:A3"/>
    <mergeCell ref="B2:B3"/>
    <mergeCell ref="C2:C3"/>
    <mergeCell ref="D2:D3"/>
    <mergeCell ref="E2:G2"/>
    <mergeCell ref="I2:J2"/>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3.5"/>
    <col customWidth="1" min="2" max="2" width="20.38"/>
    <col customWidth="1" min="3" max="3" width="16.63"/>
    <col customWidth="1" min="4" max="4" width="22.75"/>
    <col customWidth="1" min="5" max="5" width="11.88"/>
    <col customWidth="1" min="6" max="6" width="16.0"/>
  </cols>
  <sheetData>
    <row r="1">
      <c r="A1" s="563" t="s">
        <v>1413</v>
      </c>
      <c r="B1" s="564" t="s">
        <v>2821</v>
      </c>
      <c r="C1" s="565" t="s">
        <v>1414</v>
      </c>
      <c r="D1" s="566" t="s">
        <v>1953</v>
      </c>
      <c r="F1" s="65"/>
    </row>
    <row r="2">
      <c r="A2" s="567">
        <v>1.0</v>
      </c>
      <c r="B2" s="65"/>
      <c r="C2" s="568" t="s">
        <v>2771</v>
      </c>
      <c r="D2" s="569"/>
      <c r="F2" s="65"/>
    </row>
    <row r="3">
      <c r="A3" s="567">
        <v>1.0</v>
      </c>
      <c r="B3" s="65"/>
      <c r="C3" s="568" t="s">
        <v>2795</v>
      </c>
      <c r="D3" s="537"/>
      <c r="E3" s="65"/>
      <c r="F3" s="65"/>
      <c r="G3" s="65"/>
      <c r="I3" s="65"/>
      <c r="K3" s="65"/>
    </row>
    <row r="4">
      <c r="A4" s="53"/>
      <c r="B4" s="570"/>
      <c r="D4" s="537"/>
      <c r="E4" s="65"/>
      <c r="F4" s="65"/>
      <c r="G4" s="65"/>
      <c r="I4" s="65"/>
      <c r="K4" s="65"/>
    </row>
    <row r="5">
      <c r="A5" s="567">
        <v>2.0</v>
      </c>
      <c r="B5" s="97" t="s">
        <v>2801</v>
      </c>
      <c r="C5" s="159"/>
      <c r="D5" s="571" t="s">
        <v>2803</v>
      </c>
    </row>
    <row r="6">
      <c r="A6" s="567">
        <v>1.0</v>
      </c>
      <c r="B6" s="65"/>
      <c r="C6" s="568" t="s">
        <v>2776</v>
      </c>
      <c r="D6" s="220"/>
    </row>
    <row r="7">
      <c r="A7" s="53"/>
      <c r="B7" s="570"/>
      <c r="D7" s="537"/>
    </row>
    <row r="8">
      <c r="A8" s="567">
        <v>2.0</v>
      </c>
      <c r="B8" s="97" t="s">
        <v>2804</v>
      </c>
      <c r="C8" s="159"/>
      <c r="D8" s="571" t="s">
        <v>2805</v>
      </c>
    </row>
    <row r="9">
      <c r="A9" s="567">
        <v>1.0</v>
      </c>
      <c r="B9" s="65"/>
      <c r="C9" s="568" t="s">
        <v>2774</v>
      </c>
      <c r="D9" s="537"/>
    </row>
    <row r="10">
      <c r="A10" s="53"/>
      <c r="B10" s="570"/>
      <c r="D10" s="537"/>
    </row>
    <row r="11">
      <c r="A11" s="567">
        <v>2.0</v>
      </c>
      <c r="B11" s="97" t="s">
        <v>2806</v>
      </c>
      <c r="C11" s="159"/>
      <c r="D11" s="571" t="s">
        <v>2807</v>
      </c>
    </row>
    <row r="12" ht="15.75" customHeight="1">
      <c r="A12" s="567">
        <v>1.0</v>
      </c>
      <c r="B12" s="65"/>
      <c r="C12" s="568" t="s">
        <v>2798</v>
      </c>
      <c r="D12" s="537"/>
    </row>
    <row r="13" ht="15.75" customHeight="1">
      <c r="A13" s="53"/>
      <c r="B13" s="570"/>
      <c r="D13" s="537"/>
    </row>
    <row r="14">
      <c r="A14" s="567">
        <v>2.0</v>
      </c>
      <c r="B14" s="97" t="s">
        <v>2808</v>
      </c>
      <c r="C14" s="159"/>
      <c r="D14" s="571" t="s">
        <v>2809</v>
      </c>
    </row>
    <row r="15">
      <c r="A15" s="567">
        <v>1.0</v>
      </c>
      <c r="B15" s="65"/>
      <c r="C15" s="568" t="s">
        <v>2772</v>
      </c>
      <c r="D15" s="537"/>
    </row>
    <row r="16">
      <c r="A16" s="53"/>
      <c r="B16" s="570"/>
      <c r="D16" s="537"/>
    </row>
    <row r="17">
      <c r="A17" s="567">
        <v>2.0</v>
      </c>
      <c r="B17" s="572" t="s">
        <v>2810</v>
      </c>
      <c r="C17" s="66"/>
      <c r="D17" s="573" t="s">
        <v>1416</v>
      </c>
    </row>
    <row r="18">
      <c r="A18" s="567"/>
      <c r="B18" s="574"/>
      <c r="C18" s="575" t="s">
        <v>2822</v>
      </c>
      <c r="D18" s="576"/>
    </row>
    <row r="19">
      <c r="A19" s="567">
        <v>1.0</v>
      </c>
      <c r="B19" s="97" t="s">
        <v>2800</v>
      </c>
      <c r="D19" s="99" t="s">
        <v>1496</v>
      </c>
    </row>
    <row r="20">
      <c r="A20" s="567"/>
      <c r="B20" s="65"/>
      <c r="C20" s="575" t="s">
        <v>2823</v>
      </c>
      <c r="D20" s="220"/>
    </row>
    <row r="21">
      <c r="A21" s="577">
        <v>2.0</v>
      </c>
      <c r="B21" s="572" t="s">
        <v>2811</v>
      </c>
      <c r="C21" s="84"/>
      <c r="D21" s="578" t="s">
        <v>2813</v>
      </c>
    </row>
    <row r="22">
      <c r="A22" s="65"/>
      <c r="B22" s="65"/>
      <c r="C22" s="159"/>
      <c r="D22" s="159"/>
    </row>
    <row r="23">
      <c r="A23" s="65"/>
      <c r="B23" s="65"/>
      <c r="C23" s="159"/>
      <c r="D23" s="159"/>
    </row>
    <row r="24">
      <c r="A24" s="65"/>
      <c r="B24" s="65"/>
      <c r="C24" s="159"/>
      <c r="D24" s="159"/>
    </row>
    <row r="25">
      <c r="A25" s="65"/>
      <c r="B25" s="65"/>
      <c r="C25" s="159"/>
      <c r="D25" s="159"/>
    </row>
    <row r="26">
      <c r="A26" s="65"/>
      <c r="B26" s="65"/>
      <c r="C26" s="159"/>
      <c r="D26" s="159"/>
    </row>
    <row r="27">
      <c r="A27" s="65"/>
      <c r="B27" s="65"/>
      <c r="C27" s="159"/>
      <c r="D27" s="159"/>
    </row>
    <row r="28">
      <c r="A28" s="65"/>
      <c r="B28" s="65"/>
      <c r="C28" s="159"/>
      <c r="D28" s="159"/>
    </row>
    <row r="29">
      <c r="A29" s="65"/>
      <c r="B29" s="65"/>
      <c r="C29" s="159"/>
      <c r="D29" s="159"/>
    </row>
    <row r="30">
      <c r="A30" s="65"/>
      <c r="B30" s="65"/>
      <c r="C30" s="159"/>
      <c r="D30" s="159"/>
    </row>
    <row r="31">
      <c r="B31" s="579"/>
      <c r="C31" s="159"/>
      <c r="D31" s="159"/>
    </row>
    <row r="32">
      <c r="B32" s="65"/>
      <c r="C32" s="159"/>
      <c r="D32" s="159"/>
    </row>
    <row r="33">
      <c r="B33" s="65"/>
      <c r="C33" s="159"/>
      <c r="D33" s="159"/>
    </row>
    <row r="34">
      <c r="B34" s="65"/>
      <c r="C34" s="159"/>
      <c r="D34" s="159"/>
    </row>
    <row r="35">
      <c r="B35" s="65"/>
      <c r="C35" s="159"/>
      <c r="D35" s="159"/>
    </row>
    <row r="36">
      <c r="B36" s="65"/>
      <c r="C36" s="159"/>
      <c r="D36" s="159"/>
    </row>
    <row r="37">
      <c r="B37" s="65"/>
      <c r="C37" s="159"/>
      <c r="D37" s="159"/>
    </row>
    <row r="38">
      <c r="B38" s="65"/>
      <c r="C38" s="159"/>
      <c r="D38" s="159"/>
    </row>
    <row r="39">
      <c r="B39" s="65"/>
      <c r="C39" s="159"/>
      <c r="D39" s="159"/>
    </row>
    <row r="40">
      <c r="B40" s="65"/>
      <c r="C40" s="159"/>
      <c r="D40" s="159"/>
    </row>
    <row r="41">
      <c r="B41" s="65"/>
      <c r="C41" s="159"/>
      <c r="D41" s="159"/>
    </row>
    <row r="42">
      <c r="B42" s="65"/>
      <c r="C42" s="159"/>
      <c r="D42" s="159"/>
    </row>
    <row r="43">
      <c r="B43" s="65"/>
      <c r="C43" s="159"/>
      <c r="D43" s="159"/>
    </row>
    <row r="44">
      <c r="B44" s="65"/>
      <c r="C44" s="159"/>
      <c r="D44" s="159"/>
    </row>
    <row r="45">
      <c r="B45" s="65"/>
      <c r="C45" s="159"/>
      <c r="D45" s="159"/>
    </row>
    <row r="46">
      <c r="B46" s="65"/>
      <c r="C46" s="159"/>
      <c r="D46" s="159"/>
    </row>
    <row r="47">
      <c r="B47" s="65"/>
      <c r="C47" s="159"/>
      <c r="D47" s="159"/>
    </row>
    <row r="48">
      <c r="B48" s="65"/>
      <c r="C48" s="159"/>
      <c r="D48" s="159"/>
    </row>
    <row r="49">
      <c r="B49" s="65"/>
      <c r="C49" s="159"/>
      <c r="D49" s="159"/>
    </row>
    <row r="50">
      <c r="B50" s="65"/>
      <c r="C50" s="159"/>
      <c r="D50" s="159"/>
    </row>
    <row r="51">
      <c r="B51" s="65"/>
      <c r="C51" s="159"/>
      <c r="D51" s="159"/>
    </row>
    <row r="52">
      <c r="B52" s="65"/>
      <c r="C52" s="159"/>
      <c r="D52" s="159"/>
    </row>
    <row r="53">
      <c r="B53" s="65"/>
      <c r="C53" s="159"/>
      <c r="D53" s="159"/>
    </row>
    <row r="54">
      <c r="B54" s="65"/>
      <c r="C54" s="159"/>
      <c r="D54" s="159"/>
    </row>
    <row r="55">
      <c r="B55" s="65"/>
      <c r="C55" s="159"/>
      <c r="D55" s="159"/>
    </row>
    <row r="56">
      <c r="B56" s="65"/>
      <c r="C56" s="159"/>
      <c r="D56" s="159"/>
    </row>
    <row r="57">
      <c r="B57" s="65"/>
      <c r="C57" s="159"/>
      <c r="D57" s="159"/>
    </row>
    <row r="58">
      <c r="B58" s="65"/>
      <c r="C58" s="159"/>
      <c r="D58" s="159"/>
    </row>
    <row r="59">
      <c r="B59" s="65"/>
      <c r="C59" s="159"/>
      <c r="D59" s="159"/>
    </row>
    <row r="60">
      <c r="B60" s="65"/>
      <c r="C60" s="159"/>
      <c r="D60" s="159"/>
    </row>
    <row r="61">
      <c r="B61" s="65"/>
      <c r="C61" s="159"/>
      <c r="D61" s="159"/>
    </row>
    <row r="62">
      <c r="B62" s="65"/>
      <c r="C62" s="159"/>
      <c r="D62" s="159"/>
    </row>
    <row r="63">
      <c r="B63" s="65"/>
      <c r="C63" s="159"/>
      <c r="D63" s="159"/>
    </row>
    <row r="64">
      <c r="B64" s="65"/>
      <c r="C64" s="159"/>
      <c r="D64" s="159"/>
    </row>
    <row r="65">
      <c r="B65" s="65"/>
      <c r="C65" s="159"/>
      <c r="D65" s="159"/>
    </row>
    <row r="66">
      <c r="B66" s="65"/>
      <c r="C66" s="159"/>
      <c r="D66" s="159"/>
    </row>
    <row r="67">
      <c r="B67" s="65"/>
      <c r="C67" s="159"/>
      <c r="D67" s="159"/>
    </row>
    <row r="68">
      <c r="B68" s="65"/>
      <c r="C68" s="159"/>
      <c r="D68" s="159"/>
    </row>
    <row r="69">
      <c r="B69" s="65"/>
      <c r="C69" s="159"/>
      <c r="D69" s="159"/>
    </row>
    <row r="70">
      <c r="B70" s="65"/>
      <c r="C70" s="159"/>
      <c r="D70" s="159"/>
    </row>
    <row r="71">
      <c r="B71" s="65"/>
      <c r="C71" s="159"/>
      <c r="D71" s="159"/>
    </row>
    <row r="72">
      <c r="B72" s="65"/>
      <c r="C72" s="159"/>
      <c r="D72" s="159"/>
    </row>
    <row r="73">
      <c r="B73" s="65"/>
      <c r="C73" s="159"/>
      <c r="D73" s="159"/>
    </row>
    <row r="74">
      <c r="B74" s="65"/>
      <c r="C74" s="159"/>
      <c r="D74" s="159"/>
    </row>
    <row r="75">
      <c r="B75" s="65"/>
      <c r="C75" s="159"/>
      <c r="D75" s="159"/>
    </row>
    <row r="76">
      <c r="B76" s="65"/>
      <c r="C76" s="159"/>
      <c r="D76" s="159"/>
    </row>
    <row r="77">
      <c r="B77" s="65"/>
      <c r="C77" s="159"/>
      <c r="D77" s="159"/>
    </row>
    <row r="78">
      <c r="B78" s="65"/>
      <c r="C78" s="159"/>
      <c r="D78" s="159"/>
    </row>
    <row r="79">
      <c r="B79" s="65"/>
      <c r="C79" s="159"/>
      <c r="D79" s="159"/>
    </row>
    <row r="80">
      <c r="B80" s="65"/>
      <c r="C80" s="159"/>
      <c r="D80" s="159"/>
    </row>
    <row r="81">
      <c r="B81" s="65"/>
      <c r="C81" s="159"/>
      <c r="D81" s="159"/>
    </row>
    <row r="82">
      <c r="B82" s="65"/>
      <c r="C82" s="159"/>
      <c r="D82" s="159"/>
    </row>
    <row r="83">
      <c r="B83" s="65"/>
      <c r="C83" s="159"/>
      <c r="D83" s="159"/>
    </row>
    <row r="84">
      <c r="B84" s="65"/>
      <c r="C84" s="159"/>
      <c r="D84" s="159"/>
    </row>
    <row r="85">
      <c r="B85" s="65"/>
      <c r="C85" s="159"/>
      <c r="D85" s="159"/>
    </row>
    <row r="86">
      <c r="B86" s="65"/>
      <c r="C86" s="159"/>
      <c r="D86" s="159"/>
    </row>
    <row r="87">
      <c r="B87" s="65"/>
      <c r="C87" s="159"/>
      <c r="D87" s="159"/>
    </row>
    <row r="88">
      <c r="B88" s="65"/>
      <c r="C88" s="159"/>
      <c r="D88" s="159"/>
    </row>
    <row r="89">
      <c r="B89" s="65"/>
      <c r="C89" s="159"/>
      <c r="D89" s="159"/>
    </row>
    <row r="90">
      <c r="B90" s="65"/>
      <c r="C90" s="159"/>
      <c r="D90" s="159"/>
    </row>
    <row r="91">
      <c r="B91" s="65"/>
      <c r="C91" s="159"/>
      <c r="D91" s="159"/>
    </row>
    <row r="92">
      <c r="B92" s="65"/>
      <c r="C92" s="159"/>
      <c r="D92" s="159"/>
    </row>
    <row r="93">
      <c r="B93" s="65"/>
      <c r="C93" s="159"/>
      <c r="D93" s="159"/>
    </row>
    <row r="94">
      <c r="B94" s="65"/>
      <c r="C94" s="159"/>
      <c r="D94" s="159"/>
    </row>
    <row r="95">
      <c r="B95" s="65"/>
      <c r="C95" s="159"/>
      <c r="D95" s="159"/>
    </row>
    <row r="96">
      <c r="B96" s="65"/>
      <c r="C96" s="159"/>
      <c r="D96" s="159"/>
    </row>
    <row r="97">
      <c r="B97" s="65"/>
      <c r="C97" s="159"/>
      <c r="D97" s="159"/>
    </row>
    <row r="98">
      <c r="B98" s="65"/>
      <c r="C98" s="159"/>
      <c r="D98" s="159"/>
    </row>
    <row r="99">
      <c r="B99" s="65"/>
      <c r="C99" s="159"/>
      <c r="D99" s="159"/>
    </row>
    <row r="100">
      <c r="B100" s="65"/>
      <c r="C100" s="159"/>
      <c r="D100" s="159"/>
    </row>
    <row r="101">
      <c r="B101" s="65"/>
      <c r="C101" s="159"/>
      <c r="D101" s="159"/>
    </row>
    <row r="102">
      <c r="B102" s="65"/>
      <c r="C102" s="159"/>
      <c r="D102" s="159"/>
    </row>
    <row r="103">
      <c r="B103" s="65"/>
      <c r="C103" s="159"/>
      <c r="D103" s="159"/>
    </row>
    <row r="104">
      <c r="B104" s="65"/>
      <c r="C104" s="159"/>
      <c r="D104" s="159"/>
    </row>
    <row r="105">
      <c r="B105" s="65"/>
      <c r="C105" s="159"/>
      <c r="D105" s="159"/>
    </row>
    <row r="106">
      <c r="B106" s="65"/>
      <c r="C106" s="159"/>
      <c r="D106" s="159"/>
    </row>
    <row r="107">
      <c r="B107" s="65"/>
      <c r="C107" s="159"/>
      <c r="D107" s="159"/>
    </row>
    <row r="108">
      <c r="B108" s="65"/>
      <c r="C108" s="159"/>
      <c r="D108" s="159"/>
    </row>
    <row r="109">
      <c r="B109" s="65"/>
      <c r="C109" s="159"/>
      <c r="D109" s="159"/>
    </row>
    <row r="110">
      <c r="B110" s="65"/>
      <c r="C110" s="159"/>
      <c r="D110" s="159"/>
    </row>
    <row r="111">
      <c r="B111" s="65"/>
      <c r="C111" s="159"/>
      <c r="D111" s="159"/>
    </row>
    <row r="112">
      <c r="B112" s="65"/>
      <c r="C112" s="159"/>
      <c r="D112" s="159"/>
    </row>
    <row r="113">
      <c r="B113" s="65"/>
      <c r="C113" s="159"/>
      <c r="D113" s="159"/>
    </row>
    <row r="114">
      <c r="B114" s="65"/>
      <c r="C114" s="159"/>
      <c r="D114" s="159"/>
    </row>
    <row r="115">
      <c r="B115" s="65"/>
      <c r="C115" s="159"/>
      <c r="D115" s="159"/>
    </row>
    <row r="116">
      <c r="B116" s="65"/>
      <c r="C116" s="159"/>
      <c r="D116" s="159"/>
    </row>
    <row r="117">
      <c r="B117" s="65"/>
      <c r="C117" s="159"/>
      <c r="D117" s="159"/>
    </row>
    <row r="118">
      <c r="B118" s="65"/>
      <c r="C118" s="159"/>
      <c r="D118" s="159"/>
    </row>
    <row r="119">
      <c r="B119" s="65"/>
      <c r="C119" s="159"/>
      <c r="D119" s="159"/>
    </row>
    <row r="120">
      <c r="B120" s="65"/>
      <c r="C120" s="159"/>
      <c r="D120" s="159"/>
    </row>
    <row r="121">
      <c r="B121" s="65"/>
      <c r="C121" s="159"/>
      <c r="D121" s="159"/>
    </row>
    <row r="122">
      <c r="B122" s="65"/>
      <c r="C122" s="159"/>
      <c r="D122" s="159"/>
    </row>
    <row r="123">
      <c r="B123" s="65"/>
      <c r="C123" s="159"/>
      <c r="D123" s="159"/>
    </row>
    <row r="124">
      <c r="B124" s="65"/>
      <c r="C124" s="159"/>
      <c r="D124" s="159"/>
    </row>
    <row r="125">
      <c r="B125" s="65"/>
      <c r="C125" s="159"/>
      <c r="D125" s="159"/>
    </row>
    <row r="126">
      <c r="B126" s="65"/>
      <c r="C126" s="159"/>
      <c r="D126" s="159"/>
    </row>
    <row r="127">
      <c r="B127" s="65"/>
      <c r="C127" s="159"/>
      <c r="D127" s="159"/>
    </row>
    <row r="128">
      <c r="B128" s="65"/>
      <c r="C128" s="159"/>
      <c r="D128" s="159"/>
    </row>
    <row r="129">
      <c r="B129" s="65"/>
      <c r="C129" s="159"/>
      <c r="D129" s="159"/>
    </row>
    <row r="130">
      <c r="B130" s="65"/>
      <c r="C130" s="159"/>
      <c r="D130" s="159"/>
    </row>
    <row r="131">
      <c r="B131" s="65"/>
      <c r="C131" s="159"/>
      <c r="D131" s="159"/>
    </row>
    <row r="132">
      <c r="B132" s="65"/>
      <c r="C132" s="159"/>
      <c r="D132" s="159"/>
    </row>
    <row r="133">
      <c r="B133" s="65"/>
      <c r="C133" s="159"/>
      <c r="D133" s="159"/>
    </row>
    <row r="134">
      <c r="B134" s="65"/>
      <c r="C134" s="159"/>
      <c r="D134" s="159"/>
    </row>
    <row r="135">
      <c r="B135" s="65"/>
      <c r="C135" s="159"/>
      <c r="D135" s="159"/>
    </row>
    <row r="136">
      <c r="B136" s="65"/>
      <c r="C136" s="159"/>
      <c r="D136" s="159"/>
    </row>
    <row r="137">
      <c r="B137" s="65"/>
      <c r="C137" s="159"/>
      <c r="D137" s="159"/>
    </row>
    <row r="138">
      <c r="B138" s="65"/>
      <c r="C138" s="159"/>
      <c r="D138" s="159"/>
    </row>
    <row r="139">
      <c r="B139" s="65"/>
      <c r="C139" s="159"/>
      <c r="D139" s="159"/>
    </row>
    <row r="140">
      <c r="B140" s="65"/>
      <c r="C140" s="159"/>
      <c r="D140" s="159"/>
    </row>
    <row r="141">
      <c r="B141" s="65"/>
      <c r="C141" s="159"/>
      <c r="D141" s="159"/>
    </row>
    <row r="142">
      <c r="B142" s="65"/>
      <c r="C142" s="159"/>
      <c r="D142" s="159"/>
    </row>
    <row r="143">
      <c r="B143" s="65"/>
      <c r="C143" s="159"/>
      <c r="D143" s="159"/>
    </row>
    <row r="144">
      <c r="B144" s="65"/>
      <c r="C144" s="159"/>
      <c r="D144" s="159"/>
    </row>
    <row r="145">
      <c r="B145" s="65"/>
      <c r="C145" s="159"/>
      <c r="D145" s="159"/>
    </row>
    <row r="146">
      <c r="B146" s="65"/>
      <c r="C146" s="159"/>
      <c r="D146" s="159"/>
    </row>
    <row r="147">
      <c r="B147" s="65"/>
      <c r="C147" s="159"/>
      <c r="D147" s="159"/>
    </row>
    <row r="148">
      <c r="B148" s="65"/>
      <c r="C148" s="159"/>
      <c r="D148" s="159"/>
    </row>
    <row r="149">
      <c r="B149" s="65"/>
      <c r="C149" s="159"/>
      <c r="D149" s="159"/>
    </row>
    <row r="150">
      <c r="B150" s="65"/>
      <c r="C150" s="159"/>
      <c r="D150" s="159"/>
    </row>
    <row r="151">
      <c r="B151" s="65"/>
      <c r="C151" s="159"/>
      <c r="D151" s="159"/>
    </row>
    <row r="152">
      <c r="B152" s="65"/>
      <c r="C152" s="159"/>
      <c r="D152" s="159"/>
    </row>
    <row r="153">
      <c r="B153" s="65"/>
      <c r="C153" s="159"/>
      <c r="D153" s="159"/>
    </row>
    <row r="154">
      <c r="B154" s="65"/>
      <c r="C154" s="159"/>
      <c r="D154" s="159"/>
    </row>
    <row r="155">
      <c r="B155" s="65"/>
      <c r="C155" s="159"/>
      <c r="D155" s="159"/>
    </row>
    <row r="156">
      <c r="B156" s="65"/>
      <c r="C156" s="159"/>
      <c r="D156" s="159"/>
    </row>
    <row r="157">
      <c r="B157" s="65"/>
      <c r="C157" s="159"/>
      <c r="D157" s="159"/>
    </row>
    <row r="158">
      <c r="B158" s="65"/>
      <c r="C158" s="159"/>
      <c r="D158" s="159"/>
    </row>
    <row r="159">
      <c r="B159" s="65"/>
      <c r="C159" s="159"/>
      <c r="D159" s="159"/>
    </row>
    <row r="160">
      <c r="B160" s="65"/>
      <c r="C160" s="159"/>
      <c r="D160" s="159"/>
    </row>
    <row r="161">
      <c r="B161" s="65"/>
      <c r="C161" s="159"/>
      <c r="D161" s="159"/>
    </row>
    <row r="162">
      <c r="B162" s="65"/>
      <c r="C162" s="159"/>
      <c r="D162" s="159"/>
    </row>
    <row r="163">
      <c r="B163" s="65"/>
      <c r="C163" s="159"/>
      <c r="D163" s="159"/>
    </row>
    <row r="164">
      <c r="B164" s="65"/>
      <c r="C164" s="159"/>
      <c r="D164" s="159"/>
    </row>
    <row r="165">
      <c r="B165" s="65"/>
      <c r="C165" s="159"/>
      <c r="D165" s="159"/>
    </row>
    <row r="166">
      <c r="B166" s="65"/>
      <c r="C166" s="159"/>
      <c r="D166" s="159"/>
    </row>
    <row r="167">
      <c r="B167" s="65"/>
      <c r="C167" s="159"/>
      <c r="D167" s="159"/>
    </row>
    <row r="168">
      <c r="B168" s="65"/>
      <c r="C168" s="159"/>
      <c r="D168" s="159"/>
    </row>
    <row r="169">
      <c r="B169" s="65"/>
      <c r="C169" s="159"/>
      <c r="D169" s="159"/>
    </row>
    <row r="170">
      <c r="B170" s="65"/>
      <c r="C170" s="159"/>
      <c r="D170" s="159"/>
    </row>
    <row r="171">
      <c r="B171" s="65"/>
      <c r="C171" s="159"/>
      <c r="D171" s="159"/>
    </row>
    <row r="172">
      <c r="B172" s="65"/>
      <c r="C172" s="159"/>
      <c r="D172" s="159"/>
    </row>
    <row r="173">
      <c r="B173" s="65"/>
      <c r="C173" s="159"/>
      <c r="D173" s="159"/>
    </row>
    <row r="174">
      <c r="B174" s="65"/>
      <c r="C174" s="159"/>
      <c r="D174" s="159"/>
    </row>
    <row r="175">
      <c r="B175" s="65"/>
      <c r="C175" s="159"/>
      <c r="D175" s="159"/>
    </row>
    <row r="176">
      <c r="B176" s="65"/>
      <c r="C176" s="159"/>
      <c r="D176" s="159"/>
    </row>
    <row r="177">
      <c r="B177" s="65"/>
      <c r="C177" s="159"/>
      <c r="D177" s="159"/>
    </row>
    <row r="178">
      <c r="B178" s="65"/>
      <c r="C178" s="159"/>
      <c r="D178" s="159"/>
    </row>
    <row r="179">
      <c r="B179" s="65"/>
      <c r="C179" s="159"/>
      <c r="D179" s="159"/>
    </row>
    <row r="180">
      <c r="B180" s="65"/>
      <c r="C180" s="159"/>
      <c r="D180" s="159"/>
    </row>
    <row r="181">
      <c r="B181" s="65"/>
      <c r="C181" s="159"/>
      <c r="D181" s="159"/>
    </row>
    <row r="182">
      <c r="B182" s="65"/>
      <c r="C182" s="159"/>
      <c r="D182" s="159"/>
    </row>
    <row r="183">
      <c r="B183" s="65"/>
      <c r="C183" s="159"/>
      <c r="D183" s="159"/>
    </row>
    <row r="184">
      <c r="B184" s="65"/>
      <c r="C184" s="159"/>
      <c r="D184" s="159"/>
    </row>
    <row r="185">
      <c r="B185" s="65"/>
      <c r="C185" s="159"/>
      <c r="D185" s="159"/>
    </row>
    <row r="186">
      <c r="B186" s="65"/>
      <c r="C186" s="159"/>
      <c r="D186" s="159"/>
    </row>
    <row r="187">
      <c r="B187" s="65"/>
      <c r="C187" s="159"/>
      <c r="D187" s="159"/>
    </row>
    <row r="188">
      <c r="B188" s="65"/>
      <c r="C188" s="159"/>
      <c r="D188" s="159"/>
    </row>
    <row r="189">
      <c r="B189" s="65"/>
      <c r="C189" s="159"/>
      <c r="D189" s="159"/>
    </row>
    <row r="190">
      <c r="B190" s="65"/>
      <c r="C190" s="159"/>
      <c r="D190" s="159"/>
    </row>
    <row r="191">
      <c r="B191" s="65"/>
      <c r="C191" s="159"/>
      <c r="D191" s="159"/>
    </row>
    <row r="192">
      <c r="B192" s="65"/>
      <c r="C192" s="159"/>
      <c r="D192" s="159"/>
    </row>
    <row r="193">
      <c r="B193" s="65"/>
      <c r="C193" s="159"/>
      <c r="D193" s="159"/>
    </row>
    <row r="194">
      <c r="B194" s="65"/>
      <c r="C194" s="159"/>
      <c r="D194" s="159"/>
    </row>
    <row r="195">
      <c r="B195" s="65"/>
      <c r="C195" s="159"/>
      <c r="D195" s="159"/>
    </row>
    <row r="196">
      <c r="B196" s="65"/>
      <c r="C196" s="159"/>
      <c r="D196" s="159"/>
    </row>
    <row r="197">
      <c r="B197" s="65"/>
      <c r="C197" s="159"/>
      <c r="D197" s="159"/>
    </row>
    <row r="198">
      <c r="B198" s="65"/>
      <c r="C198" s="159"/>
      <c r="D198" s="159"/>
    </row>
    <row r="199">
      <c r="B199" s="65"/>
      <c r="C199" s="159"/>
      <c r="D199" s="159"/>
    </row>
    <row r="200">
      <c r="B200" s="65"/>
      <c r="C200" s="159"/>
      <c r="D200" s="159"/>
    </row>
    <row r="201">
      <c r="B201" s="65"/>
      <c r="C201" s="159"/>
      <c r="D201" s="159"/>
    </row>
    <row r="202">
      <c r="B202" s="65"/>
      <c r="C202" s="159"/>
      <c r="D202" s="159"/>
    </row>
    <row r="203">
      <c r="B203" s="65"/>
      <c r="C203" s="159"/>
      <c r="D203" s="159"/>
    </row>
    <row r="204">
      <c r="B204" s="65"/>
      <c r="C204" s="159"/>
      <c r="D204" s="159"/>
    </row>
    <row r="205">
      <c r="B205" s="65"/>
      <c r="C205" s="159"/>
      <c r="D205" s="159"/>
    </row>
    <row r="206">
      <c r="B206" s="65"/>
      <c r="C206" s="159"/>
      <c r="D206" s="159"/>
    </row>
    <row r="207">
      <c r="B207" s="65"/>
      <c r="C207" s="159"/>
      <c r="D207" s="159"/>
    </row>
    <row r="208">
      <c r="B208" s="65"/>
      <c r="C208" s="159"/>
      <c r="D208" s="159"/>
    </row>
    <row r="209">
      <c r="B209" s="65"/>
      <c r="C209" s="159"/>
      <c r="D209" s="159"/>
    </row>
    <row r="210">
      <c r="B210" s="65"/>
      <c r="C210" s="159"/>
      <c r="D210" s="159"/>
    </row>
    <row r="211">
      <c r="B211" s="65"/>
      <c r="C211" s="159"/>
      <c r="D211" s="159"/>
    </row>
    <row r="212">
      <c r="B212" s="65"/>
      <c r="C212" s="159"/>
      <c r="D212" s="159"/>
    </row>
    <row r="213">
      <c r="B213" s="65"/>
      <c r="C213" s="159"/>
      <c r="D213" s="159"/>
    </row>
    <row r="214">
      <c r="B214" s="65"/>
      <c r="C214" s="159"/>
      <c r="D214" s="159"/>
    </row>
    <row r="215">
      <c r="B215" s="65"/>
      <c r="C215" s="159"/>
      <c r="D215" s="159"/>
    </row>
    <row r="216">
      <c r="B216" s="65"/>
      <c r="C216" s="159"/>
      <c r="D216" s="159"/>
    </row>
    <row r="217">
      <c r="B217" s="65"/>
      <c r="C217" s="159"/>
      <c r="D217" s="159"/>
    </row>
    <row r="218">
      <c r="B218" s="65"/>
      <c r="C218" s="159"/>
      <c r="D218" s="159"/>
    </row>
    <row r="219">
      <c r="B219" s="65"/>
      <c r="C219" s="159"/>
      <c r="D219" s="159"/>
    </row>
    <row r="220">
      <c r="B220" s="65"/>
      <c r="C220" s="159"/>
      <c r="D220" s="159"/>
    </row>
    <row r="221">
      <c r="B221" s="65"/>
      <c r="C221" s="159"/>
      <c r="D221" s="159"/>
    </row>
    <row r="222">
      <c r="B222" s="65"/>
      <c r="C222" s="159"/>
      <c r="D222" s="159"/>
    </row>
    <row r="223">
      <c r="B223" s="65"/>
      <c r="C223" s="159"/>
      <c r="D223" s="159"/>
    </row>
    <row r="224">
      <c r="B224" s="65"/>
      <c r="C224" s="159"/>
      <c r="D224" s="159"/>
    </row>
    <row r="225">
      <c r="B225" s="65"/>
      <c r="C225" s="159"/>
      <c r="D225" s="159"/>
    </row>
    <row r="226">
      <c r="B226" s="65"/>
      <c r="C226" s="159"/>
      <c r="D226" s="159"/>
    </row>
    <row r="227">
      <c r="B227" s="65"/>
      <c r="C227" s="159"/>
      <c r="D227" s="159"/>
    </row>
    <row r="228">
      <c r="B228" s="65"/>
      <c r="C228" s="159"/>
      <c r="D228" s="159"/>
    </row>
    <row r="229">
      <c r="B229" s="65"/>
      <c r="C229" s="159"/>
      <c r="D229" s="159"/>
    </row>
    <row r="230">
      <c r="B230" s="65"/>
      <c r="C230" s="159"/>
      <c r="D230" s="159"/>
    </row>
    <row r="231">
      <c r="B231" s="65"/>
      <c r="C231" s="159"/>
      <c r="D231" s="159"/>
    </row>
    <row r="232">
      <c r="B232" s="65"/>
      <c r="C232" s="159"/>
      <c r="D232" s="159"/>
    </row>
    <row r="233">
      <c r="B233" s="65"/>
      <c r="C233" s="159"/>
      <c r="D233" s="159"/>
    </row>
    <row r="234">
      <c r="B234" s="65"/>
      <c r="C234" s="159"/>
      <c r="D234" s="159"/>
    </row>
    <row r="235">
      <c r="B235" s="65"/>
      <c r="C235" s="159"/>
      <c r="D235" s="159"/>
    </row>
    <row r="236">
      <c r="B236" s="65"/>
      <c r="C236" s="159"/>
      <c r="D236" s="159"/>
    </row>
    <row r="237">
      <c r="B237" s="65"/>
      <c r="C237" s="159"/>
      <c r="D237" s="159"/>
    </row>
    <row r="238">
      <c r="B238" s="65"/>
      <c r="C238" s="159"/>
      <c r="D238" s="159"/>
    </row>
    <row r="239">
      <c r="B239" s="65"/>
      <c r="C239" s="159"/>
      <c r="D239" s="159"/>
    </row>
    <row r="240">
      <c r="B240" s="65"/>
      <c r="C240" s="159"/>
      <c r="D240" s="159"/>
    </row>
    <row r="241">
      <c r="B241" s="65"/>
      <c r="C241" s="159"/>
      <c r="D241" s="159"/>
    </row>
    <row r="242">
      <c r="B242" s="65"/>
      <c r="C242" s="159"/>
      <c r="D242" s="159"/>
    </row>
    <row r="243">
      <c r="B243" s="65"/>
      <c r="C243" s="159"/>
      <c r="D243" s="159"/>
    </row>
    <row r="244">
      <c r="B244" s="65"/>
      <c r="C244" s="159"/>
      <c r="D244" s="159"/>
    </row>
    <row r="245">
      <c r="B245" s="65"/>
      <c r="C245" s="159"/>
      <c r="D245" s="159"/>
    </row>
    <row r="246">
      <c r="B246" s="65"/>
      <c r="C246" s="159"/>
      <c r="D246" s="159"/>
    </row>
    <row r="247">
      <c r="B247" s="65"/>
      <c r="C247" s="159"/>
      <c r="D247" s="159"/>
    </row>
    <row r="248">
      <c r="B248" s="65"/>
      <c r="C248" s="159"/>
      <c r="D248" s="159"/>
    </row>
    <row r="249">
      <c r="B249" s="65"/>
      <c r="C249" s="159"/>
      <c r="D249" s="159"/>
    </row>
    <row r="250">
      <c r="B250" s="65"/>
      <c r="C250" s="159"/>
      <c r="D250" s="159"/>
    </row>
    <row r="251">
      <c r="B251" s="65"/>
      <c r="C251" s="159"/>
      <c r="D251" s="159"/>
    </row>
    <row r="252">
      <c r="B252" s="65"/>
      <c r="C252" s="159"/>
      <c r="D252" s="159"/>
    </row>
    <row r="253">
      <c r="B253" s="65"/>
      <c r="C253" s="159"/>
      <c r="D253" s="159"/>
    </row>
    <row r="254">
      <c r="B254" s="65"/>
      <c r="C254" s="159"/>
      <c r="D254" s="159"/>
    </row>
    <row r="255">
      <c r="B255" s="65"/>
      <c r="C255" s="159"/>
      <c r="D255" s="159"/>
    </row>
    <row r="256">
      <c r="B256" s="65"/>
      <c r="C256" s="159"/>
      <c r="D256" s="159"/>
    </row>
    <row r="257">
      <c r="B257" s="65"/>
      <c r="C257" s="159"/>
      <c r="D257" s="159"/>
    </row>
    <row r="258">
      <c r="B258" s="65"/>
      <c r="C258" s="159"/>
      <c r="D258" s="159"/>
    </row>
    <row r="259">
      <c r="B259" s="65"/>
      <c r="C259" s="159"/>
      <c r="D259" s="159"/>
    </row>
    <row r="260">
      <c r="B260" s="65"/>
      <c r="C260" s="159"/>
      <c r="D260" s="159"/>
    </row>
    <row r="261">
      <c r="B261" s="65"/>
      <c r="C261" s="159"/>
      <c r="D261" s="159"/>
    </row>
    <row r="262">
      <c r="B262" s="65"/>
      <c r="C262" s="159"/>
      <c r="D262" s="159"/>
    </row>
    <row r="263">
      <c r="B263" s="65"/>
      <c r="C263" s="159"/>
      <c r="D263" s="159"/>
    </row>
    <row r="264">
      <c r="B264" s="65"/>
      <c r="C264" s="159"/>
      <c r="D264" s="159"/>
    </row>
    <row r="265">
      <c r="B265" s="65"/>
      <c r="C265" s="159"/>
      <c r="D265" s="159"/>
    </row>
    <row r="266">
      <c r="B266" s="65"/>
      <c r="C266" s="159"/>
      <c r="D266" s="159"/>
    </row>
    <row r="267">
      <c r="B267" s="65"/>
      <c r="C267" s="159"/>
      <c r="D267" s="159"/>
    </row>
    <row r="268">
      <c r="B268" s="65"/>
      <c r="C268" s="159"/>
      <c r="D268" s="159"/>
    </row>
    <row r="269">
      <c r="B269" s="65"/>
      <c r="C269" s="159"/>
      <c r="D269" s="159"/>
    </row>
    <row r="270">
      <c r="B270" s="65"/>
      <c r="C270" s="159"/>
      <c r="D270" s="159"/>
    </row>
    <row r="271">
      <c r="B271" s="65"/>
      <c r="C271" s="159"/>
      <c r="D271" s="159"/>
    </row>
    <row r="272">
      <c r="B272" s="65"/>
      <c r="C272" s="159"/>
      <c r="D272" s="159"/>
    </row>
    <row r="273">
      <c r="B273" s="65"/>
      <c r="C273" s="159"/>
      <c r="D273" s="159"/>
    </row>
    <row r="274">
      <c r="B274" s="65"/>
      <c r="C274" s="159"/>
      <c r="D274" s="159"/>
    </row>
    <row r="275">
      <c r="B275" s="65"/>
      <c r="C275" s="159"/>
      <c r="D275" s="159"/>
    </row>
    <row r="276">
      <c r="B276" s="65"/>
      <c r="C276" s="159"/>
      <c r="D276" s="159"/>
    </row>
    <row r="277">
      <c r="B277" s="65"/>
      <c r="C277" s="159"/>
      <c r="D277" s="159"/>
    </row>
    <row r="278">
      <c r="B278" s="65"/>
      <c r="C278" s="159"/>
      <c r="D278" s="159"/>
    </row>
    <row r="279">
      <c r="B279" s="65"/>
      <c r="C279" s="159"/>
      <c r="D279" s="159"/>
    </row>
    <row r="280">
      <c r="B280" s="65"/>
      <c r="C280" s="159"/>
      <c r="D280" s="159"/>
    </row>
    <row r="281">
      <c r="B281" s="65"/>
      <c r="C281" s="159"/>
      <c r="D281" s="159"/>
    </row>
    <row r="282">
      <c r="B282" s="65"/>
      <c r="C282" s="159"/>
      <c r="D282" s="159"/>
    </row>
    <row r="283">
      <c r="B283" s="65"/>
      <c r="C283" s="159"/>
      <c r="D283" s="159"/>
    </row>
    <row r="284">
      <c r="B284" s="65"/>
      <c r="C284" s="159"/>
      <c r="D284" s="159"/>
    </row>
    <row r="285">
      <c r="B285" s="65"/>
      <c r="C285" s="159"/>
      <c r="D285" s="159"/>
    </row>
    <row r="286">
      <c r="B286" s="65"/>
      <c r="C286" s="159"/>
      <c r="D286" s="159"/>
    </row>
    <row r="287">
      <c r="B287" s="65"/>
      <c r="C287" s="159"/>
      <c r="D287" s="159"/>
    </row>
    <row r="288">
      <c r="B288" s="65"/>
      <c r="C288" s="159"/>
      <c r="D288" s="159"/>
    </row>
    <row r="289">
      <c r="B289" s="65"/>
      <c r="C289" s="159"/>
      <c r="D289" s="159"/>
    </row>
    <row r="290">
      <c r="B290" s="65"/>
      <c r="C290" s="159"/>
      <c r="D290" s="159"/>
    </row>
    <row r="291">
      <c r="B291" s="65"/>
      <c r="C291" s="159"/>
      <c r="D291" s="159"/>
    </row>
    <row r="292">
      <c r="B292" s="65"/>
      <c r="C292" s="159"/>
      <c r="D292" s="159"/>
    </row>
    <row r="293">
      <c r="B293" s="65"/>
      <c r="C293" s="159"/>
      <c r="D293" s="159"/>
    </row>
    <row r="294">
      <c r="B294" s="65"/>
      <c r="C294" s="159"/>
      <c r="D294" s="159"/>
    </row>
    <row r="295">
      <c r="B295" s="65"/>
      <c r="C295" s="159"/>
      <c r="D295" s="159"/>
    </row>
    <row r="296">
      <c r="B296" s="65"/>
      <c r="C296" s="159"/>
      <c r="D296" s="159"/>
    </row>
    <row r="297">
      <c r="B297" s="65"/>
      <c r="C297" s="159"/>
      <c r="D297" s="159"/>
    </row>
    <row r="298">
      <c r="B298" s="65"/>
      <c r="C298" s="159"/>
      <c r="D298" s="159"/>
    </row>
    <row r="299">
      <c r="B299" s="65"/>
      <c r="C299" s="159"/>
      <c r="D299" s="159"/>
    </row>
    <row r="300">
      <c r="B300" s="65"/>
      <c r="C300" s="159"/>
      <c r="D300" s="159"/>
    </row>
    <row r="301">
      <c r="B301" s="65"/>
      <c r="C301" s="159"/>
      <c r="D301" s="159"/>
    </row>
    <row r="302">
      <c r="B302" s="65"/>
      <c r="C302" s="159"/>
      <c r="D302" s="159"/>
    </row>
    <row r="303">
      <c r="B303" s="65"/>
      <c r="C303" s="159"/>
      <c r="D303" s="159"/>
    </row>
    <row r="304">
      <c r="B304" s="65"/>
      <c r="C304" s="159"/>
      <c r="D304" s="159"/>
    </row>
    <row r="305">
      <c r="B305" s="65"/>
      <c r="C305" s="159"/>
      <c r="D305" s="159"/>
    </row>
    <row r="306">
      <c r="B306" s="65"/>
      <c r="C306" s="159"/>
      <c r="D306" s="159"/>
    </row>
    <row r="307">
      <c r="B307" s="65"/>
      <c r="C307" s="159"/>
      <c r="D307" s="159"/>
    </row>
    <row r="308">
      <c r="B308" s="65"/>
      <c r="C308" s="159"/>
      <c r="D308" s="159"/>
    </row>
    <row r="309">
      <c r="B309" s="65"/>
      <c r="C309" s="159"/>
      <c r="D309" s="159"/>
    </row>
    <row r="310">
      <c r="B310" s="65"/>
      <c r="C310" s="159"/>
      <c r="D310" s="159"/>
    </row>
    <row r="311">
      <c r="B311" s="65"/>
      <c r="C311" s="159"/>
      <c r="D311" s="159"/>
    </row>
    <row r="312">
      <c r="B312" s="65"/>
      <c r="C312" s="159"/>
      <c r="D312" s="159"/>
    </row>
    <row r="313">
      <c r="B313" s="65"/>
      <c r="C313" s="159"/>
      <c r="D313" s="159"/>
    </row>
    <row r="314">
      <c r="B314" s="65"/>
      <c r="C314" s="159"/>
      <c r="D314" s="159"/>
    </row>
    <row r="315">
      <c r="B315" s="65"/>
      <c r="C315" s="159"/>
      <c r="D315" s="159"/>
    </row>
    <row r="316">
      <c r="B316" s="65"/>
      <c r="C316" s="159"/>
      <c r="D316" s="159"/>
    </row>
    <row r="317">
      <c r="B317" s="65"/>
      <c r="C317" s="159"/>
      <c r="D317" s="159"/>
    </row>
    <row r="318">
      <c r="B318" s="65"/>
      <c r="C318" s="159"/>
      <c r="D318" s="159"/>
    </row>
    <row r="319">
      <c r="B319" s="65"/>
      <c r="C319" s="159"/>
      <c r="D319" s="159"/>
    </row>
    <row r="320">
      <c r="B320" s="65"/>
      <c r="C320" s="159"/>
      <c r="D320" s="159"/>
    </row>
    <row r="321">
      <c r="B321" s="65"/>
      <c r="C321" s="159"/>
      <c r="D321" s="159"/>
    </row>
    <row r="322">
      <c r="B322" s="65"/>
      <c r="C322" s="159"/>
      <c r="D322" s="159"/>
    </row>
    <row r="323">
      <c r="B323" s="65"/>
      <c r="C323" s="159"/>
      <c r="D323" s="159"/>
    </row>
    <row r="324">
      <c r="B324" s="65"/>
      <c r="C324" s="159"/>
      <c r="D324" s="159"/>
    </row>
    <row r="325">
      <c r="B325" s="65"/>
      <c r="C325" s="159"/>
      <c r="D325" s="159"/>
    </row>
    <row r="326">
      <c r="B326" s="65"/>
      <c r="C326" s="159"/>
      <c r="D326" s="159"/>
    </row>
    <row r="327">
      <c r="B327" s="65"/>
      <c r="C327" s="159"/>
      <c r="D327" s="159"/>
    </row>
    <row r="328">
      <c r="B328" s="65"/>
      <c r="C328" s="159"/>
      <c r="D328" s="159"/>
    </row>
    <row r="329">
      <c r="B329" s="65"/>
      <c r="C329" s="159"/>
      <c r="D329" s="159"/>
    </row>
    <row r="330">
      <c r="B330" s="65"/>
      <c r="C330" s="159"/>
      <c r="D330" s="159"/>
    </row>
    <row r="331">
      <c r="B331" s="65"/>
      <c r="C331" s="159"/>
      <c r="D331" s="159"/>
    </row>
    <row r="332">
      <c r="B332" s="65"/>
      <c r="C332" s="159"/>
      <c r="D332" s="159"/>
    </row>
    <row r="333">
      <c r="B333" s="65"/>
      <c r="C333" s="159"/>
      <c r="D333" s="159"/>
    </row>
    <row r="334">
      <c r="B334" s="65"/>
      <c r="C334" s="159"/>
      <c r="D334" s="159"/>
    </row>
    <row r="335">
      <c r="B335" s="65"/>
      <c r="C335" s="159"/>
      <c r="D335" s="159"/>
    </row>
    <row r="336">
      <c r="B336" s="65"/>
      <c r="C336" s="159"/>
      <c r="D336" s="159"/>
    </row>
    <row r="337">
      <c r="B337" s="65"/>
      <c r="C337" s="159"/>
      <c r="D337" s="159"/>
    </row>
    <row r="338">
      <c r="B338" s="65"/>
      <c r="C338" s="159"/>
      <c r="D338" s="159"/>
    </row>
    <row r="339">
      <c r="B339" s="65"/>
      <c r="C339" s="159"/>
      <c r="D339" s="159"/>
    </row>
    <row r="340">
      <c r="B340" s="65"/>
      <c r="C340" s="159"/>
      <c r="D340" s="159"/>
    </row>
    <row r="341">
      <c r="B341" s="65"/>
      <c r="C341" s="159"/>
      <c r="D341" s="159"/>
    </row>
    <row r="342">
      <c r="B342" s="65"/>
      <c r="C342" s="159"/>
      <c r="D342" s="159"/>
    </row>
    <row r="343">
      <c r="B343" s="65"/>
      <c r="C343" s="159"/>
      <c r="D343" s="159"/>
    </row>
    <row r="344">
      <c r="B344" s="65"/>
      <c r="C344" s="159"/>
      <c r="D344" s="159"/>
    </row>
    <row r="345">
      <c r="B345" s="65"/>
      <c r="C345" s="159"/>
      <c r="D345" s="159"/>
    </row>
    <row r="346">
      <c r="B346" s="65"/>
      <c r="C346" s="159"/>
      <c r="D346" s="159"/>
    </row>
    <row r="347">
      <c r="B347" s="65"/>
      <c r="C347" s="159"/>
      <c r="D347" s="159"/>
    </row>
    <row r="348">
      <c r="B348" s="65"/>
      <c r="C348" s="159"/>
      <c r="D348" s="159"/>
    </row>
    <row r="349">
      <c r="B349" s="65"/>
      <c r="C349" s="159"/>
      <c r="D349" s="159"/>
    </row>
    <row r="350">
      <c r="B350" s="65"/>
      <c r="C350" s="159"/>
      <c r="D350" s="159"/>
    </row>
    <row r="351">
      <c r="B351" s="65"/>
      <c r="C351" s="159"/>
      <c r="D351" s="159"/>
    </row>
    <row r="352">
      <c r="B352" s="65"/>
      <c r="C352" s="159"/>
      <c r="D352" s="159"/>
    </row>
    <row r="353">
      <c r="B353" s="65"/>
      <c r="C353" s="159"/>
      <c r="D353" s="159"/>
    </row>
    <row r="354">
      <c r="B354" s="65"/>
      <c r="C354" s="159"/>
      <c r="D354" s="159"/>
    </row>
    <row r="355">
      <c r="B355" s="65"/>
      <c r="C355" s="159"/>
      <c r="D355" s="159"/>
    </row>
    <row r="356">
      <c r="B356" s="65"/>
      <c r="C356" s="159"/>
      <c r="D356" s="159"/>
    </row>
    <row r="357">
      <c r="B357" s="65"/>
      <c r="C357" s="159"/>
      <c r="D357" s="159"/>
    </row>
    <row r="358">
      <c r="B358" s="65"/>
      <c r="C358" s="159"/>
      <c r="D358" s="159"/>
    </row>
    <row r="359">
      <c r="B359" s="65"/>
      <c r="C359" s="159"/>
      <c r="D359" s="159"/>
    </row>
    <row r="360">
      <c r="B360" s="65"/>
      <c r="C360" s="159"/>
      <c r="D360" s="159"/>
    </row>
    <row r="361">
      <c r="B361" s="65"/>
      <c r="C361" s="159"/>
      <c r="D361" s="159"/>
    </row>
    <row r="362">
      <c r="B362" s="65"/>
      <c r="C362" s="159"/>
      <c r="D362" s="159"/>
    </row>
    <row r="363">
      <c r="B363" s="65"/>
      <c r="C363" s="159"/>
      <c r="D363" s="159"/>
    </row>
    <row r="364">
      <c r="B364" s="65"/>
      <c r="C364" s="159"/>
      <c r="D364" s="159"/>
    </row>
    <row r="365">
      <c r="B365" s="65"/>
      <c r="C365" s="159"/>
      <c r="D365" s="159"/>
    </row>
    <row r="366">
      <c r="B366" s="65"/>
      <c r="C366" s="159"/>
      <c r="D366" s="159"/>
    </row>
    <row r="367">
      <c r="B367" s="65"/>
      <c r="C367" s="159"/>
      <c r="D367" s="159"/>
    </row>
    <row r="368">
      <c r="B368" s="65"/>
      <c r="C368" s="159"/>
      <c r="D368" s="159"/>
    </row>
    <row r="369">
      <c r="B369" s="65"/>
      <c r="C369" s="159"/>
      <c r="D369" s="159"/>
    </row>
    <row r="370">
      <c r="B370" s="65"/>
      <c r="C370" s="159"/>
      <c r="D370" s="159"/>
    </row>
    <row r="371">
      <c r="B371" s="65"/>
      <c r="C371" s="159"/>
      <c r="D371" s="159"/>
    </row>
    <row r="372">
      <c r="B372" s="65"/>
      <c r="C372" s="159"/>
      <c r="D372" s="159"/>
    </row>
    <row r="373">
      <c r="B373" s="65"/>
      <c r="C373" s="159"/>
      <c r="D373" s="159"/>
    </row>
    <row r="374">
      <c r="B374" s="65"/>
      <c r="C374" s="159"/>
      <c r="D374" s="159"/>
    </row>
    <row r="375">
      <c r="B375" s="65"/>
      <c r="C375" s="159"/>
      <c r="D375" s="159"/>
    </row>
    <row r="376">
      <c r="B376" s="65"/>
      <c r="C376" s="159"/>
      <c r="D376" s="159"/>
    </row>
    <row r="377">
      <c r="B377" s="65"/>
      <c r="C377" s="159"/>
      <c r="D377" s="159"/>
    </row>
    <row r="378">
      <c r="B378" s="65"/>
      <c r="C378" s="159"/>
      <c r="D378" s="159"/>
    </row>
    <row r="379">
      <c r="B379" s="65"/>
      <c r="C379" s="159"/>
      <c r="D379" s="159"/>
    </row>
    <row r="380">
      <c r="B380" s="65"/>
      <c r="C380" s="159"/>
      <c r="D380" s="159"/>
    </row>
    <row r="381">
      <c r="B381" s="65"/>
      <c r="C381" s="159"/>
      <c r="D381" s="159"/>
    </row>
    <row r="382">
      <c r="B382" s="65"/>
      <c r="C382" s="159"/>
      <c r="D382" s="159"/>
    </row>
    <row r="383">
      <c r="B383" s="65"/>
      <c r="C383" s="159"/>
      <c r="D383" s="159"/>
    </row>
    <row r="384">
      <c r="B384" s="65"/>
      <c r="C384" s="159"/>
      <c r="D384" s="159"/>
    </row>
    <row r="385">
      <c r="B385" s="65"/>
      <c r="C385" s="159"/>
      <c r="D385" s="159"/>
    </row>
    <row r="386">
      <c r="B386" s="65"/>
      <c r="C386" s="159"/>
      <c r="D386" s="159"/>
    </row>
    <row r="387">
      <c r="B387" s="65"/>
      <c r="C387" s="159"/>
      <c r="D387" s="159"/>
    </row>
    <row r="388">
      <c r="B388" s="65"/>
      <c r="C388" s="159"/>
      <c r="D388" s="159"/>
    </row>
    <row r="389">
      <c r="B389" s="65"/>
      <c r="C389" s="159"/>
      <c r="D389" s="159"/>
    </row>
    <row r="390">
      <c r="B390" s="65"/>
      <c r="C390" s="159"/>
      <c r="D390" s="159"/>
    </row>
    <row r="391">
      <c r="B391" s="65"/>
      <c r="C391" s="159"/>
      <c r="D391" s="159"/>
    </row>
    <row r="392">
      <c r="B392" s="65"/>
      <c r="C392" s="159"/>
      <c r="D392" s="159"/>
    </row>
    <row r="393">
      <c r="B393" s="65"/>
      <c r="C393" s="159"/>
      <c r="D393" s="159"/>
    </row>
    <row r="394">
      <c r="B394" s="65"/>
      <c r="C394" s="159"/>
      <c r="D394" s="159"/>
    </row>
    <row r="395">
      <c r="B395" s="65"/>
      <c r="C395" s="159"/>
      <c r="D395" s="159"/>
    </row>
    <row r="396">
      <c r="B396" s="65"/>
      <c r="C396" s="159"/>
      <c r="D396" s="159"/>
    </row>
    <row r="397">
      <c r="B397" s="65"/>
      <c r="C397" s="159"/>
      <c r="D397" s="159"/>
    </row>
    <row r="398">
      <c r="B398" s="65"/>
      <c r="C398" s="159"/>
      <c r="D398" s="159"/>
    </row>
    <row r="399">
      <c r="B399" s="65"/>
      <c r="C399" s="159"/>
      <c r="D399" s="159"/>
    </row>
    <row r="400">
      <c r="B400" s="65"/>
      <c r="C400" s="159"/>
      <c r="D400" s="159"/>
    </row>
    <row r="401">
      <c r="B401" s="65"/>
      <c r="C401" s="159"/>
      <c r="D401" s="159"/>
    </row>
    <row r="402">
      <c r="B402" s="65"/>
      <c r="C402" s="159"/>
      <c r="D402" s="159"/>
    </row>
    <row r="403">
      <c r="B403" s="65"/>
      <c r="C403" s="159"/>
      <c r="D403" s="159"/>
    </row>
    <row r="404">
      <c r="B404" s="65"/>
      <c r="C404" s="159"/>
      <c r="D404" s="159"/>
    </row>
    <row r="405">
      <c r="B405" s="65"/>
      <c r="C405" s="159"/>
      <c r="D405" s="159"/>
    </row>
    <row r="406">
      <c r="B406" s="65"/>
      <c r="C406" s="159"/>
      <c r="D406" s="159"/>
    </row>
    <row r="407">
      <c r="B407" s="65"/>
      <c r="C407" s="159"/>
      <c r="D407" s="159"/>
    </row>
    <row r="408">
      <c r="B408" s="65"/>
      <c r="C408" s="159"/>
      <c r="D408" s="159"/>
    </row>
    <row r="409">
      <c r="B409" s="65"/>
      <c r="C409" s="159"/>
      <c r="D409" s="159"/>
    </row>
    <row r="410">
      <c r="B410" s="65"/>
      <c r="C410" s="159"/>
      <c r="D410" s="159"/>
    </row>
    <row r="411">
      <c r="B411" s="65"/>
      <c r="C411" s="159"/>
      <c r="D411" s="159"/>
    </row>
    <row r="412">
      <c r="B412" s="65"/>
      <c r="C412" s="159"/>
      <c r="D412" s="159"/>
    </row>
    <row r="413">
      <c r="B413" s="65"/>
      <c r="C413" s="159"/>
      <c r="D413" s="159"/>
    </row>
    <row r="414">
      <c r="B414" s="65"/>
      <c r="C414" s="159"/>
      <c r="D414" s="159"/>
    </row>
    <row r="415">
      <c r="B415" s="65"/>
      <c r="C415" s="159"/>
      <c r="D415" s="159"/>
    </row>
    <row r="416">
      <c r="B416" s="65"/>
      <c r="C416" s="159"/>
      <c r="D416" s="159"/>
    </row>
    <row r="417">
      <c r="B417" s="65"/>
      <c r="C417" s="159"/>
      <c r="D417" s="159"/>
    </row>
    <row r="418">
      <c r="B418" s="65"/>
      <c r="C418" s="159"/>
      <c r="D418" s="159"/>
    </row>
    <row r="419">
      <c r="B419" s="65"/>
      <c r="C419" s="159"/>
      <c r="D419" s="159"/>
    </row>
    <row r="420">
      <c r="B420" s="65"/>
      <c r="C420" s="159"/>
      <c r="D420" s="159"/>
    </row>
    <row r="421">
      <c r="B421" s="65"/>
      <c r="C421" s="159"/>
      <c r="D421" s="159"/>
    </row>
    <row r="422">
      <c r="B422" s="65"/>
      <c r="C422" s="159"/>
      <c r="D422" s="159"/>
    </row>
    <row r="423">
      <c r="B423" s="65"/>
      <c r="C423" s="159"/>
      <c r="D423" s="159"/>
    </row>
    <row r="424">
      <c r="B424" s="65"/>
      <c r="C424" s="159"/>
      <c r="D424" s="159"/>
    </row>
    <row r="425">
      <c r="B425" s="65"/>
      <c r="C425" s="159"/>
      <c r="D425" s="159"/>
    </row>
    <row r="426">
      <c r="B426" s="65"/>
      <c r="C426" s="159"/>
      <c r="D426" s="159"/>
    </row>
    <row r="427">
      <c r="B427" s="65"/>
      <c r="C427" s="159"/>
      <c r="D427" s="159"/>
    </row>
    <row r="428">
      <c r="B428" s="65"/>
      <c r="C428" s="159"/>
      <c r="D428" s="159"/>
    </row>
    <row r="429">
      <c r="B429" s="65"/>
      <c r="C429" s="159"/>
      <c r="D429" s="159"/>
    </row>
    <row r="430">
      <c r="B430" s="65"/>
      <c r="C430" s="159"/>
      <c r="D430" s="159"/>
    </row>
    <row r="431">
      <c r="B431" s="65"/>
      <c r="C431" s="159"/>
      <c r="D431" s="159"/>
    </row>
    <row r="432">
      <c r="B432" s="65"/>
      <c r="C432" s="159"/>
      <c r="D432" s="159"/>
    </row>
    <row r="433">
      <c r="B433" s="65"/>
      <c r="C433" s="159"/>
      <c r="D433" s="159"/>
    </row>
    <row r="434">
      <c r="B434" s="65"/>
      <c r="C434" s="159"/>
      <c r="D434" s="159"/>
    </row>
    <row r="435">
      <c r="B435" s="65"/>
      <c r="C435" s="159"/>
      <c r="D435" s="159"/>
    </row>
    <row r="436">
      <c r="B436" s="65"/>
      <c r="C436" s="159"/>
      <c r="D436" s="159"/>
    </row>
    <row r="437">
      <c r="B437" s="65"/>
      <c r="C437" s="159"/>
      <c r="D437" s="159"/>
    </row>
    <row r="438">
      <c r="B438" s="65"/>
      <c r="C438" s="159"/>
      <c r="D438" s="159"/>
    </row>
    <row r="439">
      <c r="B439" s="65"/>
      <c r="C439" s="159"/>
      <c r="D439" s="159"/>
    </row>
    <row r="440">
      <c r="B440" s="65"/>
      <c r="C440" s="159"/>
      <c r="D440" s="159"/>
    </row>
    <row r="441">
      <c r="B441" s="65"/>
      <c r="C441" s="159"/>
      <c r="D441" s="159"/>
    </row>
    <row r="442">
      <c r="B442" s="65"/>
      <c r="C442" s="159"/>
      <c r="D442" s="159"/>
    </row>
    <row r="443">
      <c r="B443" s="65"/>
      <c r="C443" s="159"/>
      <c r="D443" s="159"/>
    </row>
    <row r="444">
      <c r="B444" s="65"/>
      <c r="C444" s="159"/>
      <c r="D444" s="159"/>
    </row>
    <row r="445">
      <c r="B445" s="65"/>
      <c r="C445" s="159"/>
      <c r="D445" s="159"/>
    </row>
    <row r="446">
      <c r="B446" s="65"/>
      <c r="C446" s="159"/>
      <c r="D446" s="159"/>
    </row>
    <row r="447">
      <c r="B447" s="65"/>
      <c r="C447" s="159"/>
      <c r="D447" s="159"/>
    </row>
    <row r="448">
      <c r="B448" s="65"/>
      <c r="C448" s="159"/>
      <c r="D448" s="159"/>
    </row>
    <row r="449">
      <c r="B449" s="65"/>
      <c r="C449" s="159"/>
      <c r="D449" s="159"/>
    </row>
    <row r="450">
      <c r="B450" s="65"/>
      <c r="C450" s="159"/>
      <c r="D450" s="159"/>
    </row>
    <row r="451">
      <c r="B451" s="65"/>
      <c r="C451" s="159"/>
      <c r="D451" s="159"/>
    </row>
    <row r="452">
      <c r="B452" s="65"/>
      <c r="C452" s="159"/>
      <c r="D452" s="159"/>
    </row>
    <row r="453">
      <c r="B453" s="65"/>
      <c r="C453" s="159"/>
      <c r="D453" s="159"/>
    </row>
    <row r="454">
      <c r="B454" s="65"/>
      <c r="C454" s="159"/>
      <c r="D454" s="159"/>
    </row>
    <row r="455">
      <c r="B455" s="65"/>
      <c r="C455" s="159"/>
      <c r="D455" s="159"/>
    </row>
    <row r="456">
      <c r="B456" s="65"/>
      <c r="C456" s="159"/>
      <c r="D456" s="159"/>
    </row>
    <row r="457">
      <c r="B457" s="65"/>
      <c r="C457" s="159"/>
      <c r="D457" s="159"/>
    </row>
    <row r="458">
      <c r="B458" s="65"/>
      <c r="C458" s="159"/>
      <c r="D458" s="159"/>
    </row>
    <row r="459">
      <c r="B459" s="65"/>
      <c r="C459" s="159"/>
      <c r="D459" s="159"/>
    </row>
    <row r="460">
      <c r="B460" s="65"/>
      <c r="C460" s="159"/>
      <c r="D460" s="159"/>
    </row>
    <row r="461">
      <c r="B461" s="65"/>
      <c r="C461" s="159"/>
      <c r="D461" s="159"/>
    </row>
    <row r="462">
      <c r="B462" s="65"/>
      <c r="C462" s="159"/>
      <c r="D462" s="159"/>
    </row>
    <row r="463">
      <c r="B463" s="65"/>
      <c r="C463" s="159"/>
      <c r="D463" s="159"/>
    </row>
    <row r="464">
      <c r="B464" s="65"/>
      <c r="C464" s="159"/>
      <c r="D464" s="159"/>
    </row>
    <row r="465">
      <c r="B465" s="65"/>
      <c r="C465" s="159"/>
      <c r="D465" s="159"/>
    </row>
    <row r="466">
      <c r="B466" s="65"/>
      <c r="C466" s="159"/>
      <c r="D466" s="159"/>
    </row>
    <row r="467">
      <c r="B467" s="65"/>
      <c r="C467" s="159"/>
      <c r="D467" s="159"/>
    </row>
    <row r="468">
      <c r="B468" s="65"/>
      <c r="C468" s="159"/>
      <c r="D468" s="159"/>
    </row>
    <row r="469">
      <c r="B469" s="65"/>
      <c r="C469" s="159"/>
      <c r="D469" s="159"/>
    </row>
    <row r="470">
      <c r="B470" s="65"/>
      <c r="C470" s="159"/>
      <c r="D470" s="159"/>
    </row>
    <row r="471">
      <c r="B471" s="65"/>
      <c r="C471" s="159"/>
      <c r="D471" s="159"/>
    </row>
    <row r="472">
      <c r="B472" s="65"/>
      <c r="C472" s="159"/>
      <c r="D472" s="159"/>
    </row>
    <row r="473">
      <c r="B473" s="65"/>
      <c r="C473" s="159"/>
      <c r="D473" s="159"/>
    </row>
    <row r="474">
      <c r="B474" s="65"/>
      <c r="C474" s="159"/>
      <c r="D474" s="159"/>
    </row>
    <row r="475">
      <c r="B475" s="65"/>
      <c r="C475" s="159"/>
      <c r="D475" s="159"/>
    </row>
    <row r="476">
      <c r="B476" s="65"/>
      <c r="C476" s="159"/>
      <c r="D476" s="159"/>
    </row>
    <row r="477">
      <c r="B477" s="65"/>
      <c r="C477" s="159"/>
      <c r="D477" s="159"/>
    </row>
    <row r="478">
      <c r="B478" s="65"/>
      <c r="C478" s="159"/>
      <c r="D478" s="159"/>
    </row>
    <row r="479">
      <c r="B479" s="65"/>
      <c r="C479" s="159"/>
      <c r="D479" s="159"/>
    </row>
    <row r="480">
      <c r="B480" s="65"/>
      <c r="C480" s="159"/>
      <c r="D480" s="159"/>
    </row>
    <row r="481">
      <c r="B481" s="65"/>
      <c r="C481" s="159"/>
      <c r="D481" s="159"/>
    </row>
    <row r="482">
      <c r="B482" s="65"/>
      <c r="C482" s="159"/>
      <c r="D482" s="159"/>
    </row>
    <row r="483">
      <c r="B483" s="65"/>
      <c r="C483" s="159"/>
      <c r="D483" s="159"/>
    </row>
    <row r="484">
      <c r="B484" s="65"/>
      <c r="C484" s="159"/>
      <c r="D484" s="159"/>
    </row>
    <row r="485">
      <c r="B485" s="65"/>
      <c r="C485" s="159"/>
      <c r="D485" s="159"/>
    </row>
    <row r="486">
      <c r="B486" s="65"/>
      <c r="C486" s="159"/>
      <c r="D486" s="159"/>
    </row>
    <row r="487">
      <c r="B487" s="65"/>
      <c r="C487" s="159"/>
      <c r="D487" s="159"/>
    </row>
    <row r="488">
      <c r="B488" s="65"/>
      <c r="C488" s="159"/>
      <c r="D488" s="159"/>
    </row>
    <row r="489">
      <c r="B489" s="65"/>
      <c r="C489" s="159"/>
      <c r="D489" s="159"/>
    </row>
    <row r="490">
      <c r="B490" s="65"/>
      <c r="C490" s="159"/>
      <c r="D490" s="159"/>
    </row>
    <row r="491">
      <c r="B491" s="65"/>
      <c r="C491" s="159"/>
      <c r="D491" s="159"/>
    </row>
    <row r="492">
      <c r="B492" s="65"/>
      <c r="C492" s="159"/>
      <c r="D492" s="159"/>
    </row>
    <row r="493">
      <c r="B493" s="65"/>
      <c r="C493" s="159"/>
      <c r="D493" s="159"/>
    </row>
    <row r="494">
      <c r="B494" s="65"/>
      <c r="C494" s="159"/>
      <c r="D494" s="159"/>
    </row>
    <row r="495">
      <c r="B495" s="65"/>
      <c r="C495" s="159"/>
      <c r="D495" s="159"/>
    </row>
    <row r="496">
      <c r="B496" s="65"/>
      <c r="C496" s="159"/>
      <c r="D496" s="159"/>
    </row>
    <row r="497">
      <c r="B497" s="65"/>
      <c r="C497" s="159"/>
      <c r="D497" s="159"/>
    </row>
    <row r="498">
      <c r="B498" s="65"/>
      <c r="C498" s="159"/>
      <c r="D498" s="159"/>
    </row>
    <row r="499">
      <c r="B499" s="65"/>
      <c r="C499" s="159"/>
      <c r="D499" s="159"/>
    </row>
    <row r="500">
      <c r="B500" s="65"/>
      <c r="C500" s="159"/>
      <c r="D500" s="159"/>
    </row>
    <row r="501">
      <c r="B501" s="65"/>
      <c r="C501" s="159"/>
      <c r="D501" s="159"/>
    </row>
    <row r="502">
      <c r="B502" s="65"/>
      <c r="C502" s="159"/>
      <c r="D502" s="159"/>
    </row>
    <row r="503">
      <c r="B503" s="65"/>
      <c r="C503" s="159"/>
      <c r="D503" s="159"/>
    </row>
    <row r="504">
      <c r="B504" s="65"/>
      <c r="C504" s="159"/>
      <c r="D504" s="159"/>
    </row>
    <row r="505">
      <c r="B505" s="65"/>
      <c r="C505" s="159"/>
      <c r="D505" s="159"/>
    </row>
    <row r="506">
      <c r="B506" s="65"/>
      <c r="C506" s="159"/>
      <c r="D506" s="159"/>
    </row>
    <row r="507">
      <c r="B507" s="65"/>
      <c r="C507" s="159"/>
      <c r="D507" s="159"/>
    </row>
    <row r="508">
      <c r="B508" s="65"/>
      <c r="C508" s="159"/>
      <c r="D508" s="159"/>
    </row>
    <row r="509">
      <c r="B509" s="65"/>
      <c r="C509" s="159"/>
      <c r="D509" s="159"/>
    </row>
    <row r="510">
      <c r="B510" s="65"/>
      <c r="C510" s="159"/>
      <c r="D510" s="159"/>
    </row>
    <row r="511">
      <c r="B511" s="65"/>
      <c r="C511" s="159"/>
      <c r="D511" s="159"/>
    </row>
    <row r="512">
      <c r="B512" s="65"/>
      <c r="C512" s="159"/>
      <c r="D512" s="159"/>
    </row>
    <row r="513">
      <c r="B513" s="65"/>
      <c r="C513" s="159"/>
      <c r="D513" s="159"/>
    </row>
    <row r="514">
      <c r="B514" s="65"/>
      <c r="C514" s="159"/>
      <c r="D514" s="159"/>
    </row>
    <row r="515">
      <c r="B515" s="65"/>
      <c r="C515" s="159"/>
      <c r="D515" s="159"/>
    </row>
    <row r="516">
      <c r="B516" s="65"/>
      <c r="C516" s="159"/>
      <c r="D516" s="159"/>
    </row>
    <row r="517">
      <c r="B517" s="65"/>
      <c r="C517" s="159"/>
      <c r="D517" s="159"/>
    </row>
    <row r="518">
      <c r="B518" s="65"/>
      <c r="C518" s="159"/>
      <c r="D518" s="159"/>
    </row>
    <row r="519">
      <c r="B519" s="65"/>
      <c r="C519" s="159"/>
      <c r="D519" s="159"/>
    </row>
    <row r="520">
      <c r="B520" s="65"/>
      <c r="C520" s="159"/>
      <c r="D520" s="159"/>
    </row>
    <row r="521">
      <c r="B521" s="65"/>
      <c r="C521" s="159"/>
      <c r="D521" s="159"/>
    </row>
    <row r="522">
      <c r="B522" s="65"/>
      <c r="C522" s="159"/>
      <c r="D522" s="159"/>
    </row>
    <row r="523">
      <c r="B523" s="65"/>
      <c r="C523" s="159"/>
      <c r="D523" s="159"/>
    </row>
    <row r="524">
      <c r="B524" s="65"/>
      <c r="C524" s="159"/>
      <c r="D524" s="159"/>
    </row>
    <row r="525">
      <c r="B525" s="65"/>
      <c r="C525" s="159"/>
      <c r="D525" s="159"/>
    </row>
    <row r="526">
      <c r="B526" s="65"/>
      <c r="C526" s="159"/>
      <c r="D526" s="159"/>
    </row>
    <row r="527">
      <c r="B527" s="65"/>
      <c r="C527" s="159"/>
      <c r="D527" s="159"/>
    </row>
    <row r="528">
      <c r="B528" s="65"/>
      <c r="C528" s="159"/>
      <c r="D528" s="159"/>
    </row>
    <row r="529">
      <c r="B529" s="65"/>
      <c r="C529" s="159"/>
      <c r="D529" s="159"/>
    </row>
    <row r="530">
      <c r="B530" s="65"/>
      <c r="C530" s="159"/>
      <c r="D530" s="159"/>
    </row>
    <row r="531">
      <c r="B531" s="65"/>
      <c r="C531" s="159"/>
      <c r="D531" s="159"/>
    </row>
    <row r="532">
      <c r="B532" s="65"/>
      <c r="C532" s="159"/>
      <c r="D532" s="159"/>
    </row>
    <row r="533">
      <c r="B533" s="65"/>
      <c r="C533" s="159"/>
      <c r="D533" s="159"/>
    </row>
    <row r="534">
      <c r="B534" s="65"/>
      <c r="C534" s="159"/>
      <c r="D534" s="159"/>
    </row>
    <row r="535">
      <c r="B535" s="65"/>
      <c r="C535" s="159"/>
      <c r="D535" s="159"/>
    </row>
    <row r="536">
      <c r="B536" s="65"/>
      <c r="C536" s="159"/>
      <c r="D536" s="159"/>
    </row>
    <row r="537">
      <c r="B537" s="65"/>
      <c r="C537" s="159"/>
      <c r="D537" s="159"/>
    </row>
    <row r="538">
      <c r="B538" s="65"/>
      <c r="C538" s="159"/>
      <c r="D538" s="159"/>
    </row>
    <row r="539">
      <c r="B539" s="65"/>
      <c r="C539" s="159"/>
      <c r="D539" s="159"/>
    </row>
    <row r="540">
      <c r="B540" s="65"/>
      <c r="C540" s="159"/>
      <c r="D540" s="159"/>
    </row>
    <row r="541">
      <c r="B541" s="65"/>
      <c r="C541" s="159"/>
      <c r="D541" s="159"/>
    </row>
    <row r="542">
      <c r="B542" s="65"/>
      <c r="C542" s="159"/>
      <c r="D542" s="159"/>
    </row>
    <row r="543">
      <c r="B543" s="65"/>
      <c r="C543" s="159"/>
      <c r="D543" s="159"/>
    </row>
    <row r="544">
      <c r="B544" s="65"/>
      <c r="C544" s="159"/>
      <c r="D544" s="159"/>
    </row>
    <row r="545">
      <c r="B545" s="65"/>
      <c r="C545" s="159"/>
      <c r="D545" s="159"/>
    </row>
    <row r="546">
      <c r="B546" s="65"/>
      <c r="C546" s="159"/>
      <c r="D546" s="159"/>
    </row>
    <row r="547">
      <c r="B547" s="65"/>
      <c r="C547" s="159"/>
      <c r="D547" s="159"/>
    </row>
    <row r="548">
      <c r="B548" s="65"/>
      <c r="C548" s="159"/>
      <c r="D548" s="159"/>
    </row>
    <row r="549">
      <c r="B549" s="65"/>
      <c r="C549" s="159"/>
      <c r="D549" s="159"/>
    </row>
    <row r="550">
      <c r="B550" s="65"/>
      <c r="C550" s="159"/>
      <c r="D550" s="159"/>
    </row>
    <row r="551">
      <c r="B551" s="65"/>
      <c r="C551" s="159"/>
      <c r="D551" s="159"/>
    </row>
    <row r="552">
      <c r="B552" s="65"/>
      <c r="C552" s="159"/>
      <c r="D552" s="159"/>
    </row>
    <row r="553">
      <c r="B553" s="65"/>
      <c r="C553" s="159"/>
      <c r="D553" s="159"/>
    </row>
    <row r="554">
      <c r="B554" s="65"/>
      <c r="C554" s="159"/>
      <c r="D554" s="159"/>
    </row>
    <row r="555">
      <c r="B555" s="65"/>
      <c r="C555" s="159"/>
      <c r="D555" s="159"/>
    </row>
    <row r="556">
      <c r="B556" s="65"/>
      <c r="C556" s="159"/>
      <c r="D556" s="159"/>
    </row>
    <row r="557">
      <c r="B557" s="65"/>
      <c r="C557" s="159"/>
      <c r="D557" s="159"/>
    </row>
    <row r="558">
      <c r="B558" s="65"/>
      <c r="C558" s="159"/>
      <c r="D558" s="159"/>
    </row>
    <row r="559">
      <c r="B559" s="65"/>
      <c r="C559" s="159"/>
      <c r="D559" s="159"/>
    </row>
    <row r="560">
      <c r="B560" s="65"/>
      <c r="C560" s="159"/>
      <c r="D560" s="159"/>
    </row>
    <row r="561">
      <c r="B561" s="65"/>
      <c r="C561" s="159"/>
      <c r="D561" s="159"/>
    </row>
    <row r="562">
      <c r="B562" s="65"/>
      <c r="C562" s="159"/>
      <c r="D562" s="159"/>
    </row>
    <row r="563">
      <c r="B563" s="65"/>
      <c r="C563" s="159"/>
      <c r="D563" s="159"/>
    </row>
    <row r="564">
      <c r="B564" s="65"/>
      <c r="C564" s="159"/>
      <c r="D564" s="159"/>
    </row>
    <row r="565">
      <c r="B565" s="65"/>
      <c r="C565" s="159"/>
      <c r="D565" s="159"/>
    </row>
    <row r="566">
      <c r="B566" s="65"/>
      <c r="C566" s="159"/>
      <c r="D566" s="159"/>
    </row>
    <row r="567">
      <c r="B567" s="65"/>
      <c r="C567" s="159"/>
      <c r="D567" s="159"/>
    </row>
    <row r="568">
      <c r="B568" s="65"/>
      <c r="C568" s="159"/>
      <c r="D568" s="159"/>
    </row>
    <row r="569">
      <c r="B569" s="65"/>
      <c r="C569" s="159"/>
      <c r="D569" s="159"/>
    </row>
    <row r="570">
      <c r="B570" s="65"/>
      <c r="C570" s="159"/>
      <c r="D570" s="159"/>
    </row>
    <row r="571">
      <c r="B571" s="65"/>
      <c r="C571" s="159"/>
      <c r="D571" s="159"/>
    </row>
    <row r="572">
      <c r="B572" s="65"/>
      <c r="C572" s="159"/>
      <c r="D572" s="159"/>
    </row>
    <row r="573">
      <c r="B573" s="65"/>
      <c r="C573" s="159"/>
      <c r="D573" s="159"/>
    </row>
    <row r="574">
      <c r="B574" s="65"/>
      <c r="C574" s="159"/>
      <c r="D574" s="159"/>
    </row>
    <row r="575">
      <c r="B575" s="65"/>
      <c r="C575" s="159"/>
      <c r="D575" s="159"/>
    </row>
    <row r="576">
      <c r="B576" s="65"/>
      <c r="C576" s="159"/>
      <c r="D576" s="159"/>
    </row>
    <row r="577">
      <c r="B577" s="65"/>
      <c r="C577" s="159"/>
      <c r="D577" s="159"/>
    </row>
    <row r="578">
      <c r="B578" s="65"/>
      <c r="C578" s="159"/>
      <c r="D578" s="159"/>
    </row>
    <row r="579">
      <c r="B579" s="65"/>
      <c r="C579" s="159"/>
      <c r="D579" s="159"/>
    </row>
    <row r="580">
      <c r="B580" s="65"/>
      <c r="C580" s="159"/>
      <c r="D580" s="159"/>
    </row>
    <row r="581">
      <c r="B581" s="65"/>
      <c r="C581" s="159"/>
      <c r="D581" s="159"/>
    </row>
    <row r="582">
      <c r="B582" s="65"/>
      <c r="C582" s="159"/>
      <c r="D582" s="159"/>
    </row>
    <row r="583">
      <c r="B583" s="65"/>
      <c r="C583" s="159"/>
      <c r="D583" s="159"/>
    </row>
    <row r="584">
      <c r="B584" s="65"/>
      <c r="C584" s="159"/>
      <c r="D584" s="159"/>
    </row>
    <row r="585">
      <c r="B585" s="65"/>
      <c r="C585" s="159"/>
      <c r="D585" s="159"/>
    </row>
    <row r="586">
      <c r="B586" s="65"/>
      <c r="C586" s="159"/>
      <c r="D586" s="159"/>
    </row>
    <row r="587">
      <c r="B587" s="65"/>
      <c r="C587" s="159"/>
      <c r="D587" s="159"/>
    </row>
    <row r="588">
      <c r="B588" s="65"/>
      <c r="C588" s="159"/>
      <c r="D588" s="159"/>
    </row>
    <row r="589">
      <c r="B589" s="65"/>
      <c r="C589" s="159"/>
      <c r="D589" s="159"/>
    </row>
    <row r="590">
      <c r="B590" s="65"/>
      <c r="C590" s="159"/>
      <c r="D590" s="159"/>
    </row>
    <row r="591">
      <c r="B591" s="65"/>
      <c r="C591" s="159"/>
      <c r="D591" s="159"/>
    </row>
    <row r="592">
      <c r="B592" s="65"/>
      <c r="C592" s="159"/>
      <c r="D592" s="159"/>
    </row>
    <row r="593">
      <c r="B593" s="65"/>
      <c r="C593" s="159"/>
      <c r="D593" s="159"/>
    </row>
    <row r="594">
      <c r="B594" s="65"/>
      <c r="C594" s="159"/>
      <c r="D594" s="159"/>
    </row>
    <row r="595">
      <c r="B595" s="65"/>
      <c r="C595" s="159"/>
      <c r="D595" s="159"/>
    </row>
    <row r="596">
      <c r="B596" s="65"/>
      <c r="C596" s="159"/>
      <c r="D596" s="159"/>
    </row>
    <row r="597">
      <c r="B597" s="65"/>
      <c r="C597" s="159"/>
      <c r="D597" s="159"/>
    </row>
    <row r="598">
      <c r="B598" s="65"/>
      <c r="C598" s="159"/>
      <c r="D598" s="159"/>
    </row>
    <row r="599">
      <c r="B599" s="65"/>
      <c r="C599" s="159"/>
      <c r="D599" s="159"/>
    </row>
    <row r="600">
      <c r="B600" s="65"/>
      <c r="C600" s="159"/>
      <c r="D600" s="159"/>
    </row>
    <row r="601">
      <c r="B601" s="65"/>
      <c r="C601" s="159"/>
      <c r="D601" s="159"/>
    </row>
    <row r="602">
      <c r="B602" s="65"/>
      <c r="C602" s="159"/>
      <c r="D602" s="159"/>
    </row>
    <row r="603">
      <c r="B603" s="65"/>
      <c r="C603" s="159"/>
      <c r="D603" s="159"/>
    </row>
    <row r="604">
      <c r="B604" s="65"/>
      <c r="C604" s="159"/>
      <c r="D604" s="159"/>
    </row>
    <row r="605">
      <c r="B605" s="65"/>
      <c r="C605" s="159"/>
      <c r="D605" s="159"/>
    </row>
    <row r="606">
      <c r="B606" s="65"/>
      <c r="C606" s="159"/>
      <c r="D606" s="159"/>
    </row>
    <row r="607">
      <c r="B607" s="65"/>
      <c r="C607" s="159"/>
      <c r="D607" s="159"/>
    </row>
    <row r="608">
      <c r="B608" s="65"/>
      <c r="C608" s="159"/>
      <c r="D608" s="159"/>
    </row>
    <row r="609">
      <c r="B609" s="65"/>
      <c r="C609" s="159"/>
      <c r="D609" s="159"/>
    </row>
    <row r="610">
      <c r="B610" s="65"/>
      <c r="C610" s="159"/>
      <c r="D610" s="159"/>
    </row>
    <row r="611">
      <c r="B611" s="65"/>
      <c r="C611" s="159"/>
      <c r="D611" s="159"/>
    </row>
    <row r="612">
      <c r="B612" s="65"/>
      <c r="C612" s="159"/>
      <c r="D612" s="159"/>
    </row>
    <row r="613">
      <c r="B613" s="65"/>
      <c r="C613" s="159"/>
      <c r="D613" s="159"/>
    </row>
    <row r="614">
      <c r="B614" s="65"/>
      <c r="C614" s="159"/>
      <c r="D614" s="159"/>
    </row>
    <row r="615">
      <c r="B615" s="65"/>
      <c r="C615" s="159"/>
      <c r="D615" s="159"/>
    </row>
    <row r="616">
      <c r="B616" s="65"/>
      <c r="C616" s="159"/>
      <c r="D616" s="159"/>
    </row>
    <row r="617">
      <c r="B617" s="65"/>
      <c r="C617" s="159"/>
      <c r="D617" s="159"/>
    </row>
    <row r="618">
      <c r="B618" s="65"/>
      <c r="C618" s="159"/>
      <c r="D618" s="159"/>
    </row>
    <row r="619">
      <c r="B619" s="65"/>
      <c r="C619" s="159"/>
      <c r="D619" s="159"/>
    </row>
    <row r="620">
      <c r="B620" s="65"/>
      <c r="C620" s="159"/>
      <c r="D620" s="159"/>
    </row>
    <row r="621">
      <c r="B621" s="65"/>
      <c r="C621" s="159"/>
      <c r="D621" s="159"/>
    </row>
    <row r="622">
      <c r="B622" s="65"/>
      <c r="C622" s="159"/>
      <c r="D622" s="159"/>
    </row>
    <row r="623">
      <c r="B623" s="65"/>
      <c r="C623" s="159"/>
      <c r="D623" s="159"/>
    </row>
    <row r="624">
      <c r="B624" s="65"/>
      <c r="C624" s="159"/>
      <c r="D624" s="159"/>
    </row>
    <row r="625">
      <c r="B625" s="65"/>
      <c r="C625" s="159"/>
      <c r="D625" s="159"/>
    </row>
    <row r="626">
      <c r="B626" s="65"/>
      <c r="C626" s="159"/>
      <c r="D626" s="159"/>
    </row>
    <row r="627">
      <c r="B627" s="65"/>
      <c r="C627" s="159"/>
      <c r="D627" s="159"/>
    </row>
    <row r="628">
      <c r="B628" s="65"/>
      <c r="C628" s="159"/>
      <c r="D628" s="159"/>
    </row>
    <row r="629">
      <c r="B629" s="65"/>
      <c r="C629" s="159"/>
      <c r="D629" s="159"/>
    </row>
    <row r="630">
      <c r="B630" s="65"/>
      <c r="C630" s="159"/>
      <c r="D630" s="159"/>
    </row>
    <row r="631">
      <c r="B631" s="65"/>
      <c r="C631" s="159"/>
      <c r="D631" s="159"/>
    </row>
    <row r="632">
      <c r="B632" s="65"/>
      <c r="C632" s="159"/>
      <c r="D632" s="159"/>
    </row>
    <row r="633">
      <c r="B633" s="65"/>
      <c r="C633" s="159"/>
      <c r="D633" s="159"/>
    </row>
    <row r="634">
      <c r="B634" s="65"/>
      <c r="C634" s="159"/>
      <c r="D634" s="159"/>
    </row>
    <row r="635">
      <c r="B635" s="65"/>
      <c r="C635" s="159"/>
      <c r="D635" s="159"/>
    </row>
    <row r="636">
      <c r="B636" s="65"/>
      <c r="C636" s="159"/>
      <c r="D636" s="159"/>
    </row>
    <row r="637">
      <c r="B637" s="65"/>
      <c r="C637" s="159"/>
      <c r="D637" s="159"/>
    </row>
    <row r="638">
      <c r="B638" s="65"/>
      <c r="C638" s="159"/>
      <c r="D638" s="159"/>
    </row>
    <row r="639">
      <c r="B639" s="65"/>
      <c r="C639" s="159"/>
      <c r="D639" s="159"/>
    </row>
    <row r="640">
      <c r="B640" s="65"/>
      <c r="C640" s="159"/>
      <c r="D640" s="159"/>
    </row>
    <row r="641">
      <c r="B641" s="65"/>
      <c r="C641" s="159"/>
      <c r="D641" s="159"/>
    </row>
    <row r="642">
      <c r="B642" s="65"/>
      <c r="C642" s="159"/>
      <c r="D642" s="159"/>
    </row>
    <row r="643">
      <c r="B643" s="65"/>
      <c r="C643" s="159"/>
      <c r="D643" s="159"/>
    </row>
    <row r="644">
      <c r="B644" s="65"/>
      <c r="C644" s="159"/>
      <c r="D644" s="159"/>
    </row>
    <row r="645">
      <c r="B645" s="65"/>
      <c r="C645" s="159"/>
      <c r="D645" s="159"/>
    </row>
    <row r="646">
      <c r="B646" s="65"/>
      <c r="C646" s="159"/>
      <c r="D646" s="159"/>
    </row>
    <row r="647">
      <c r="B647" s="65"/>
      <c r="C647" s="159"/>
      <c r="D647" s="159"/>
    </row>
    <row r="648">
      <c r="B648" s="65"/>
      <c r="C648" s="159"/>
      <c r="D648" s="159"/>
    </row>
    <row r="649">
      <c r="B649" s="65"/>
      <c r="C649" s="159"/>
      <c r="D649" s="159"/>
    </row>
    <row r="650">
      <c r="B650" s="65"/>
      <c r="C650" s="159"/>
      <c r="D650" s="159"/>
    </row>
    <row r="651">
      <c r="B651" s="65"/>
      <c r="C651" s="159"/>
      <c r="D651" s="159"/>
    </row>
    <row r="652">
      <c r="B652" s="65"/>
      <c r="C652" s="159"/>
      <c r="D652" s="159"/>
    </row>
    <row r="653">
      <c r="B653" s="65"/>
      <c r="C653" s="159"/>
      <c r="D653" s="159"/>
    </row>
    <row r="654">
      <c r="B654" s="65"/>
      <c r="C654" s="159"/>
      <c r="D654" s="159"/>
    </row>
    <row r="655">
      <c r="B655" s="65"/>
      <c r="C655" s="159"/>
      <c r="D655" s="159"/>
    </row>
    <row r="656">
      <c r="B656" s="65"/>
      <c r="C656" s="159"/>
      <c r="D656" s="159"/>
    </row>
    <row r="657">
      <c r="B657" s="65"/>
      <c r="C657" s="159"/>
      <c r="D657" s="159"/>
    </row>
    <row r="658">
      <c r="B658" s="65"/>
      <c r="C658" s="159"/>
      <c r="D658" s="159"/>
    </row>
    <row r="659">
      <c r="B659" s="65"/>
      <c r="C659" s="159"/>
      <c r="D659" s="159"/>
    </row>
    <row r="660">
      <c r="B660" s="65"/>
      <c r="C660" s="159"/>
      <c r="D660" s="159"/>
    </row>
    <row r="661">
      <c r="B661" s="65"/>
      <c r="C661" s="159"/>
      <c r="D661" s="159"/>
    </row>
    <row r="662">
      <c r="B662" s="65"/>
      <c r="C662" s="159"/>
      <c r="D662" s="159"/>
    </row>
    <row r="663">
      <c r="B663" s="65"/>
      <c r="C663" s="159"/>
      <c r="D663" s="159"/>
    </row>
    <row r="664">
      <c r="B664" s="65"/>
      <c r="C664" s="159"/>
      <c r="D664" s="159"/>
    </row>
    <row r="665">
      <c r="B665" s="65"/>
      <c r="C665" s="159"/>
      <c r="D665" s="159"/>
    </row>
    <row r="666">
      <c r="B666" s="65"/>
      <c r="C666" s="159"/>
      <c r="D666" s="159"/>
    </row>
    <row r="667">
      <c r="B667" s="65"/>
      <c r="C667" s="159"/>
      <c r="D667" s="159"/>
    </row>
    <row r="668">
      <c r="B668" s="65"/>
      <c r="C668" s="159"/>
      <c r="D668" s="159"/>
    </row>
    <row r="669">
      <c r="B669" s="65"/>
      <c r="C669" s="159"/>
      <c r="D669" s="159"/>
    </row>
    <row r="670">
      <c r="B670" s="65"/>
      <c r="C670" s="159"/>
      <c r="D670" s="159"/>
    </row>
    <row r="671">
      <c r="B671" s="65"/>
      <c r="C671" s="159"/>
      <c r="D671" s="159"/>
    </row>
    <row r="672">
      <c r="B672" s="65"/>
      <c r="C672" s="159"/>
      <c r="D672" s="159"/>
    </row>
    <row r="673">
      <c r="B673" s="65"/>
      <c r="C673" s="159"/>
      <c r="D673" s="159"/>
    </row>
    <row r="674">
      <c r="B674" s="65"/>
      <c r="C674" s="159"/>
      <c r="D674" s="159"/>
    </row>
    <row r="675">
      <c r="B675" s="65"/>
      <c r="C675" s="159"/>
      <c r="D675" s="159"/>
    </row>
    <row r="676">
      <c r="B676" s="65"/>
      <c r="C676" s="159"/>
      <c r="D676" s="159"/>
    </row>
    <row r="677">
      <c r="B677" s="65"/>
      <c r="C677" s="159"/>
      <c r="D677" s="159"/>
    </row>
    <row r="678">
      <c r="B678" s="65"/>
      <c r="C678" s="159"/>
      <c r="D678" s="159"/>
    </row>
    <row r="679">
      <c r="B679" s="65"/>
      <c r="C679" s="159"/>
      <c r="D679" s="159"/>
    </row>
    <row r="680">
      <c r="B680" s="65"/>
      <c r="C680" s="159"/>
      <c r="D680" s="159"/>
    </row>
    <row r="681">
      <c r="B681" s="65"/>
      <c r="C681" s="159"/>
      <c r="D681" s="159"/>
    </row>
    <row r="682">
      <c r="B682" s="65"/>
      <c r="C682" s="159"/>
      <c r="D682" s="159"/>
    </row>
    <row r="683">
      <c r="B683" s="65"/>
      <c r="C683" s="159"/>
      <c r="D683" s="159"/>
    </row>
    <row r="684">
      <c r="B684" s="65"/>
      <c r="C684" s="159"/>
      <c r="D684" s="159"/>
    </row>
    <row r="685">
      <c r="B685" s="65"/>
      <c r="C685" s="159"/>
      <c r="D685" s="159"/>
    </row>
    <row r="686">
      <c r="B686" s="65"/>
      <c r="C686" s="159"/>
      <c r="D686" s="159"/>
    </row>
    <row r="687">
      <c r="B687" s="65"/>
      <c r="C687" s="159"/>
      <c r="D687" s="159"/>
    </row>
    <row r="688">
      <c r="B688" s="65"/>
      <c r="C688" s="159"/>
      <c r="D688" s="159"/>
    </row>
    <row r="689">
      <c r="B689" s="65"/>
      <c r="C689" s="159"/>
      <c r="D689" s="159"/>
    </row>
    <row r="690">
      <c r="B690" s="65"/>
      <c r="C690" s="159"/>
      <c r="D690" s="159"/>
    </row>
    <row r="691">
      <c r="B691" s="65"/>
      <c r="C691" s="159"/>
      <c r="D691" s="159"/>
    </row>
    <row r="692">
      <c r="B692" s="65"/>
      <c r="C692" s="159"/>
      <c r="D692" s="159"/>
    </row>
    <row r="693">
      <c r="B693" s="65"/>
      <c r="C693" s="159"/>
      <c r="D693" s="159"/>
    </row>
    <row r="694">
      <c r="B694" s="65"/>
      <c r="C694" s="159"/>
      <c r="D694" s="159"/>
    </row>
    <row r="695">
      <c r="B695" s="65"/>
      <c r="C695" s="159"/>
      <c r="D695" s="159"/>
    </row>
    <row r="696">
      <c r="B696" s="65"/>
      <c r="C696" s="159"/>
      <c r="D696" s="159"/>
    </row>
    <row r="697">
      <c r="B697" s="65"/>
      <c r="C697" s="159"/>
      <c r="D697" s="159"/>
    </row>
    <row r="698">
      <c r="B698" s="65"/>
      <c r="C698" s="159"/>
      <c r="D698" s="159"/>
    </row>
    <row r="699">
      <c r="B699" s="65"/>
      <c r="C699" s="159"/>
      <c r="D699" s="159"/>
    </row>
    <row r="700">
      <c r="B700" s="65"/>
      <c r="C700" s="159"/>
      <c r="D700" s="159"/>
    </row>
    <row r="701">
      <c r="B701" s="65"/>
      <c r="C701" s="159"/>
      <c r="D701" s="159"/>
    </row>
    <row r="702">
      <c r="B702" s="65"/>
      <c r="C702" s="159"/>
      <c r="D702" s="159"/>
    </row>
    <row r="703">
      <c r="B703" s="65"/>
      <c r="C703" s="159"/>
      <c r="D703" s="159"/>
    </row>
    <row r="704">
      <c r="B704" s="65"/>
      <c r="C704" s="159"/>
      <c r="D704" s="159"/>
    </row>
    <row r="705">
      <c r="B705" s="65"/>
      <c r="C705" s="159"/>
      <c r="D705" s="159"/>
    </row>
    <row r="706">
      <c r="B706" s="65"/>
      <c r="C706" s="159"/>
      <c r="D706" s="159"/>
    </row>
    <row r="707">
      <c r="B707" s="65"/>
      <c r="C707" s="159"/>
      <c r="D707" s="159"/>
    </row>
    <row r="708">
      <c r="B708" s="65"/>
      <c r="C708" s="159"/>
      <c r="D708" s="159"/>
    </row>
    <row r="709">
      <c r="B709" s="65"/>
      <c r="C709" s="159"/>
      <c r="D709" s="159"/>
    </row>
    <row r="710">
      <c r="B710" s="65"/>
      <c r="C710" s="159"/>
      <c r="D710" s="159"/>
    </row>
    <row r="711">
      <c r="B711" s="65"/>
      <c r="C711" s="159"/>
      <c r="D711" s="159"/>
    </row>
    <row r="712">
      <c r="B712" s="65"/>
      <c r="C712" s="159"/>
      <c r="D712" s="159"/>
    </row>
    <row r="713">
      <c r="B713" s="65"/>
      <c r="C713" s="159"/>
      <c r="D713" s="159"/>
    </row>
    <row r="714">
      <c r="B714" s="65"/>
      <c r="C714" s="159"/>
      <c r="D714" s="159"/>
    </row>
    <row r="715">
      <c r="B715" s="65"/>
      <c r="C715" s="159"/>
      <c r="D715" s="159"/>
    </row>
    <row r="716">
      <c r="B716" s="65"/>
      <c r="C716" s="159"/>
      <c r="D716" s="159"/>
    </row>
    <row r="717">
      <c r="B717" s="65"/>
      <c r="C717" s="159"/>
      <c r="D717" s="159"/>
    </row>
    <row r="718">
      <c r="B718" s="65"/>
      <c r="C718" s="159"/>
      <c r="D718" s="159"/>
    </row>
    <row r="719">
      <c r="B719" s="65"/>
      <c r="C719" s="159"/>
      <c r="D719" s="159"/>
    </row>
    <row r="720">
      <c r="B720" s="65"/>
      <c r="C720" s="159"/>
      <c r="D720" s="159"/>
    </row>
    <row r="721">
      <c r="B721" s="65"/>
      <c r="C721" s="159"/>
      <c r="D721" s="159"/>
    </row>
    <row r="722">
      <c r="B722" s="65"/>
      <c r="C722" s="159"/>
      <c r="D722" s="159"/>
    </row>
    <row r="723">
      <c r="B723" s="65"/>
      <c r="C723" s="159"/>
      <c r="D723" s="159"/>
    </row>
    <row r="724">
      <c r="B724" s="65"/>
      <c r="C724" s="159"/>
      <c r="D724" s="159"/>
    </row>
    <row r="725">
      <c r="B725" s="65"/>
      <c r="C725" s="159"/>
      <c r="D725" s="159"/>
    </row>
    <row r="726">
      <c r="B726" s="65"/>
      <c r="C726" s="159"/>
      <c r="D726" s="159"/>
    </row>
    <row r="727">
      <c r="B727" s="65"/>
      <c r="C727" s="159"/>
      <c r="D727" s="159"/>
    </row>
    <row r="728">
      <c r="B728" s="65"/>
      <c r="C728" s="159"/>
      <c r="D728" s="159"/>
    </row>
    <row r="729">
      <c r="B729" s="65"/>
      <c r="C729" s="159"/>
      <c r="D729" s="159"/>
    </row>
    <row r="730">
      <c r="B730" s="65"/>
      <c r="C730" s="159"/>
      <c r="D730" s="159"/>
    </row>
    <row r="731">
      <c r="B731" s="65"/>
      <c r="C731" s="159"/>
      <c r="D731" s="159"/>
    </row>
    <row r="732">
      <c r="B732" s="65"/>
      <c r="C732" s="159"/>
      <c r="D732" s="159"/>
    </row>
    <row r="733">
      <c r="B733" s="65"/>
      <c r="C733" s="159"/>
      <c r="D733" s="159"/>
    </row>
    <row r="734">
      <c r="B734" s="65"/>
      <c r="C734" s="159"/>
      <c r="D734" s="159"/>
    </row>
    <row r="735">
      <c r="B735" s="65"/>
      <c r="C735" s="159"/>
      <c r="D735" s="159"/>
    </row>
    <row r="736">
      <c r="B736" s="65"/>
      <c r="C736" s="159"/>
      <c r="D736" s="159"/>
    </row>
    <row r="737">
      <c r="B737" s="65"/>
      <c r="C737" s="159"/>
      <c r="D737" s="159"/>
    </row>
    <row r="738">
      <c r="B738" s="65"/>
      <c r="C738" s="159"/>
      <c r="D738" s="159"/>
    </row>
    <row r="739">
      <c r="B739" s="65"/>
      <c r="C739" s="159"/>
      <c r="D739" s="159"/>
    </row>
    <row r="740">
      <c r="B740" s="65"/>
      <c r="C740" s="159"/>
      <c r="D740" s="159"/>
    </row>
    <row r="741">
      <c r="B741" s="65"/>
      <c r="C741" s="159"/>
      <c r="D741" s="159"/>
    </row>
    <row r="742">
      <c r="B742" s="65"/>
      <c r="C742" s="159"/>
      <c r="D742" s="159"/>
    </row>
    <row r="743">
      <c r="B743" s="65"/>
      <c r="C743" s="159"/>
      <c r="D743" s="159"/>
    </row>
    <row r="744">
      <c r="B744" s="65"/>
      <c r="C744" s="159"/>
      <c r="D744" s="159"/>
    </row>
    <row r="745">
      <c r="B745" s="65"/>
      <c r="C745" s="159"/>
      <c r="D745" s="159"/>
    </row>
    <row r="746">
      <c r="B746" s="65"/>
      <c r="C746" s="159"/>
      <c r="D746" s="159"/>
    </row>
    <row r="747">
      <c r="B747" s="65"/>
      <c r="C747" s="159"/>
      <c r="D747" s="159"/>
    </row>
    <row r="748">
      <c r="B748" s="65"/>
      <c r="C748" s="159"/>
      <c r="D748" s="159"/>
    </row>
    <row r="749">
      <c r="B749" s="65"/>
      <c r="C749" s="159"/>
      <c r="D749" s="159"/>
    </row>
    <row r="750">
      <c r="B750" s="65"/>
      <c r="C750" s="159"/>
      <c r="D750" s="159"/>
    </row>
    <row r="751">
      <c r="B751" s="65"/>
      <c r="C751" s="159"/>
      <c r="D751" s="159"/>
    </row>
    <row r="752">
      <c r="B752" s="65"/>
      <c r="C752" s="159"/>
      <c r="D752" s="159"/>
    </row>
    <row r="753">
      <c r="B753" s="65"/>
      <c r="C753" s="159"/>
      <c r="D753" s="159"/>
    </row>
    <row r="754">
      <c r="B754" s="65"/>
      <c r="C754" s="159"/>
      <c r="D754" s="159"/>
    </row>
    <row r="755">
      <c r="B755" s="65"/>
      <c r="C755" s="159"/>
      <c r="D755" s="159"/>
    </row>
    <row r="756">
      <c r="B756" s="65"/>
      <c r="C756" s="159"/>
      <c r="D756" s="159"/>
    </row>
    <row r="757">
      <c r="B757" s="65"/>
      <c r="C757" s="159"/>
      <c r="D757" s="159"/>
    </row>
    <row r="758">
      <c r="B758" s="65"/>
      <c r="C758" s="159"/>
      <c r="D758" s="159"/>
    </row>
    <row r="759">
      <c r="B759" s="65"/>
      <c r="C759" s="159"/>
      <c r="D759" s="159"/>
    </row>
    <row r="760">
      <c r="B760" s="65"/>
      <c r="C760" s="159"/>
      <c r="D760" s="159"/>
    </row>
    <row r="761">
      <c r="B761" s="65"/>
      <c r="C761" s="159"/>
      <c r="D761" s="159"/>
    </row>
    <row r="762">
      <c r="B762" s="65"/>
      <c r="C762" s="159"/>
      <c r="D762" s="159"/>
    </row>
    <row r="763">
      <c r="B763" s="65"/>
      <c r="C763" s="159"/>
      <c r="D763" s="159"/>
    </row>
    <row r="764">
      <c r="B764" s="65"/>
      <c r="C764" s="159"/>
      <c r="D764" s="159"/>
    </row>
    <row r="765">
      <c r="B765" s="65"/>
      <c r="C765" s="159"/>
      <c r="D765" s="159"/>
    </row>
    <row r="766">
      <c r="B766" s="65"/>
      <c r="C766" s="159"/>
      <c r="D766" s="159"/>
    </row>
    <row r="767">
      <c r="B767" s="65"/>
      <c r="C767" s="159"/>
      <c r="D767" s="159"/>
    </row>
    <row r="768">
      <c r="B768" s="65"/>
      <c r="C768" s="159"/>
      <c r="D768" s="159"/>
    </row>
    <row r="769">
      <c r="B769" s="65"/>
      <c r="C769" s="159"/>
      <c r="D769" s="159"/>
    </row>
    <row r="770">
      <c r="B770" s="65"/>
      <c r="C770" s="159"/>
      <c r="D770" s="159"/>
    </row>
    <row r="771">
      <c r="B771" s="65"/>
      <c r="C771" s="159"/>
      <c r="D771" s="159"/>
    </row>
    <row r="772">
      <c r="B772" s="65"/>
      <c r="C772" s="159"/>
      <c r="D772" s="159"/>
    </row>
    <row r="773">
      <c r="B773" s="65"/>
      <c r="C773" s="159"/>
      <c r="D773" s="159"/>
    </row>
    <row r="774">
      <c r="B774" s="65"/>
      <c r="C774" s="159"/>
      <c r="D774" s="159"/>
    </row>
    <row r="775">
      <c r="B775" s="65"/>
      <c r="C775" s="159"/>
      <c r="D775" s="159"/>
    </row>
    <row r="776">
      <c r="B776" s="65"/>
      <c r="C776" s="159"/>
      <c r="D776" s="159"/>
    </row>
    <row r="777">
      <c r="B777" s="65"/>
      <c r="C777" s="159"/>
      <c r="D777" s="159"/>
    </row>
    <row r="778">
      <c r="B778" s="65"/>
      <c r="C778" s="159"/>
      <c r="D778" s="159"/>
    </row>
    <row r="779">
      <c r="B779" s="65"/>
      <c r="C779" s="159"/>
      <c r="D779" s="159"/>
    </row>
    <row r="780">
      <c r="B780" s="65"/>
      <c r="C780" s="159"/>
      <c r="D780" s="159"/>
    </row>
    <row r="781">
      <c r="B781" s="65"/>
      <c r="C781" s="159"/>
      <c r="D781" s="159"/>
    </row>
    <row r="782">
      <c r="B782" s="65"/>
      <c r="C782" s="159"/>
      <c r="D782" s="159"/>
    </row>
    <row r="783">
      <c r="B783" s="65"/>
      <c r="C783" s="159"/>
      <c r="D783" s="159"/>
    </row>
    <row r="784">
      <c r="B784" s="65"/>
      <c r="C784" s="159"/>
      <c r="D784" s="159"/>
    </row>
    <row r="785">
      <c r="B785" s="65"/>
      <c r="C785" s="159"/>
      <c r="D785" s="159"/>
    </row>
    <row r="786">
      <c r="B786" s="65"/>
      <c r="C786" s="159"/>
      <c r="D786" s="159"/>
    </row>
    <row r="787">
      <c r="B787" s="65"/>
      <c r="C787" s="159"/>
      <c r="D787" s="159"/>
    </row>
    <row r="788">
      <c r="B788" s="65"/>
      <c r="C788" s="159"/>
      <c r="D788" s="159"/>
    </row>
    <row r="789">
      <c r="B789" s="65"/>
      <c r="C789" s="159"/>
      <c r="D789" s="159"/>
    </row>
    <row r="790">
      <c r="B790" s="65"/>
      <c r="C790" s="159"/>
      <c r="D790" s="159"/>
    </row>
    <row r="791">
      <c r="B791" s="65"/>
      <c r="C791" s="159"/>
      <c r="D791" s="159"/>
    </row>
    <row r="792">
      <c r="B792" s="65"/>
      <c r="C792" s="159"/>
      <c r="D792" s="159"/>
    </row>
    <row r="793">
      <c r="B793" s="65"/>
      <c r="C793" s="159"/>
      <c r="D793" s="159"/>
    </row>
    <row r="794">
      <c r="B794" s="65"/>
      <c r="C794" s="159"/>
      <c r="D794" s="159"/>
    </row>
    <row r="795">
      <c r="B795" s="65"/>
      <c r="C795" s="159"/>
      <c r="D795" s="159"/>
    </row>
    <row r="796">
      <c r="B796" s="65"/>
      <c r="C796" s="159"/>
      <c r="D796" s="159"/>
    </row>
    <row r="797">
      <c r="B797" s="65"/>
      <c r="C797" s="159"/>
      <c r="D797" s="159"/>
    </row>
    <row r="798">
      <c r="B798" s="65"/>
      <c r="C798" s="159"/>
      <c r="D798" s="159"/>
    </row>
    <row r="799">
      <c r="B799" s="65"/>
      <c r="C799" s="159"/>
      <c r="D799" s="159"/>
    </row>
    <row r="800">
      <c r="B800" s="65"/>
      <c r="C800" s="159"/>
      <c r="D800" s="159"/>
    </row>
    <row r="801">
      <c r="B801" s="65"/>
      <c r="C801" s="159"/>
      <c r="D801" s="159"/>
    </row>
    <row r="802">
      <c r="B802" s="65"/>
      <c r="C802" s="159"/>
      <c r="D802" s="159"/>
    </row>
    <row r="803">
      <c r="B803" s="65"/>
      <c r="C803" s="159"/>
      <c r="D803" s="159"/>
    </row>
    <row r="804">
      <c r="B804" s="65"/>
      <c r="C804" s="159"/>
      <c r="D804" s="159"/>
    </row>
    <row r="805">
      <c r="B805" s="65"/>
      <c r="C805" s="159"/>
      <c r="D805" s="159"/>
    </row>
    <row r="806">
      <c r="B806" s="65"/>
      <c r="C806" s="159"/>
      <c r="D806" s="159"/>
    </row>
    <row r="807">
      <c r="B807" s="65"/>
      <c r="C807" s="159"/>
      <c r="D807" s="159"/>
    </row>
    <row r="808">
      <c r="B808" s="65"/>
      <c r="C808" s="159"/>
      <c r="D808" s="159"/>
    </row>
    <row r="809">
      <c r="B809" s="65"/>
      <c r="C809" s="159"/>
      <c r="D809" s="159"/>
    </row>
    <row r="810">
      <c r="B810" s="65"/>
      <c r="C810" s="159"/>
      <c r="D810" s="159"/>
    </row>
    <row r="811">
      <c r="B811" s="65"/>
      <c r="C811" s="159"/>
      <c r="D811" s="159"/>
    </row>
    <row r="812">
      <c r="B812" s="65"/>
      <c r="C812" s="159"/>
      <c r="D812" s="159"/>
    </row>
    <row r="813">
      <c r="B813" s="65"/>
      <c r="C813" s="159"/>
      <c r="D813" s="159"/>
    </row>
    <row r="814">
      <c r="B814" s="65"/>
      <c r="C814" s="159"/>
      <c r="D814" s="159"/>
    </row>
    <row r="815">
      <c r="B815" s="65"/>
      <c r="C815" s="159"/>
      <c r="D815" s="159"/>
    </row>
    <row r="816">
      <c r="B816" s="65"/>
      <c r="C816" s="159"/>
      <c r="D816" s="159"/>
    </row>
    <row r="817">
      <c r="B817" s="65"/>
      <c r="C817" s="159"/>
      <c r="D817" s="159"/>
    </row>
    <row r="818">
      <c r="B818" s="65"/>
      <c r="C818" s="159"/>
      <c r="D818" s="159"/>
    </row>
    <row r="819">
      <c r="B819" s="65"/>
      <c r="C819" s="159"/>
      <c r="D819" s="159"/>
    </row>
    <row r="820">
      <c r="B820" s="65"/>
      <c r="C820" s="159"/>
      <c r="D820" s="159"/>
    </row>
    <row r="821">
      <c r="B821" s="65"/>
      <c r="C821" s="159"/>
      <c r="D821" s="159"/>
    </row>
    <row r="822">
      <c r="B822" s="65"/>
      <c r="C822" s="159"/>
      <c r="D822" s="159"/>
    </row>
    <row r="823">
      <c r="B823" s="65"/>
      <c r="C823" s="159"/>
      <c r="D823" s="159"/>
    </row>
    <row r="824">
      <c r="B824" s="65"/>
      <c r="C824" s="159"/>
      <c r="D824" s="159"/>
    </row>
    <row r="825">
      <c r="B825" s="65"/>
      <c r="C825" s="159"/>
      <c r="D825" s="159"/>
    </row>
    <row r="826">
      <c r="B826" s="65"/>
      <c r="C826" s="159"/>
      <c r="D826" s="159"/>
    </row>
    <row r="827">
      <c r="B827" s="65"/>
      <c r="C827" s="159"/>
      <c r="D827" s="159"/>
    </row>
    <row r="828">
      <c r="B828" s="65"/>
      <c r="C828" s="159"/>
      <c r="D828" s="159"/>
    </row>
    <row r="829">
      <c r="B829" s="65"/>
      <c r="C829" s="159"/>
      <c r="D829" s="159"/>
    </row>
    <row r="830">
      <c r="B830" s="65"/>
      <c r="C830" s="159"/>
      <c r="D830" s="159"/>
    </row>
    <row r="831">
      <c r="B831" s="65"/>
      <c r="C831" s="159"/>
      <c r="D831" s="159"/>
    </row>
    <row r="832">
      <c r="B832" s="65"/>
      <c r="C832" s="159"/>
      <c r="D832" s="159"/>
    </row>
    <row r="833">
      <c r="B833" s="65"/>
      <c r="C833" s="159"/>
      <c r="D833" s="159"/>
    </row>
    <row r="834">
      <c r="B834" s="65"/>
      <c r="C834" s="159"/>
      <c r="D834" s="159"/>
    </row>
    <row r="835">
      <c r="B835" s="65"/>
      <c r="C835" s="159"/>
      <c r="D835" s="159"/>
    </row>
    <row r="836">
      <c r="B836" s="65"/>
      <c r="C836" s="159"/>
      <c r="D836" s="159"/>
    </row>
    <row r="837">
      <c r="B837" s="65"/>
      <c r="C837" s="159"/>
      <c r="D837" s="159"/>
    </row>
    <row r="838">
      <c r="B838" s="65"/>
      <c r="C838" s="159"/>
      <c r="D838" s="159"/>
    </row>
    <row r="839">
      <c r="B839" s="65"/>
      <c r="C839" s="159"/>
      <c r="D839" s="159"/>
    </row>
    <row r="840">
      <c r="B840" s="65"/>
      <c r="C840" s="159"/>
      <c r="D840" s="159"/>
    </row>
    <row r="841">
      <c r="B841" s="65"/>
      <c r="C841" s="159"/>
      <c r="D841" s="159"/>
    </row>
    <row r="842">
      <c r="B842" s="65"/>
      <c r="C842" s="159"/>
      <c r="D842" s="159"/>
    </row>
    <row r="843">
      <c r="B843" s="65"/>
      <c r="C843" s="159"/>
      <c r="D843" s="159"/>
    </row>
    <row r="844">
      <c r="B844" s="65"/>
      <c r="C844" s="159"/>
      <c r="D844" s="159"/>
    </row>
    <row r="845">
      <c r="B845" s="65"/>
      <c r="C845" s="159"/>
      <c r="D845" s="159"/>
    </row>
    <row r="846">
      <c r="B846" s="65"/>
      <c r="C846" s="159"/>
      <c r="D846" s="159"/>
    </row>
    <row r="847">
      <c r="B847" s="65"/>
      <c r="C847" s="159"/>
      <c r="D847" s="159"/>
    </row>
    <row r="848">
      <c r="B848" s="65"/>
      <c r="C848" s="159"/>
      <c r="D848" s="159"/>
    </row>
    <row r="849">
      <c r="B849" s="65"/>
      <c r="C849" s="159"/>
      <c r="D849" s="159"/>
    </row>
    <row r="850">
      <c r="B850" s="65"/>
      <c r="C850" s="159"/>
      <c r="D850" s="159"/>
    </row>
    <row r="851">
      <c r="B851" s="65"/>
      <c r="C851" s="159"/>
      <c r="D851" s="159"/>
    </row>
    <row r="852">
      <c r="B852" s="65"/>
      <c r="C852" s="159"/>
      <c r="D852" s="159"/>
    </row>
    <row r="853">
      <c r="B853" s="65"/>
      <c r="C853" s="159"/>
      <c r="D853" s="159"/>
    </row>
    <row r="854">
      <c r="B854" s="65"/>
      <c r="C854" s="159"/>
      <c r="D854" s="159"/>
    </row>
    <row r="855">
      <c r="B855" s="65"/>
      <c r="C855" s="159"/>
      <c r="D855" s="159"/>
    </row>
    <row r="856">
      <c r="B856" s="65"/>
      <c r="C856" s="159"/>
      <c r="D856" s="159"/>
    </row>
    <row r="857">
      <c r="B857" s="65"/>
      <c r="C857" s="159"/>
      <c r="D857" s="159"/>
    </row>
    <row r="858">
      <c r="B858" s="65"/>
      <c r="C858" s="159"/>
      <c r="D858" s="159"/>
    </row>
    <row r="859">
      <c r="B859" s="65"/>
      <c r="C859" s="159"/>
      <c r="D859" s="159"/>
    </row>
    <row r="860">
      <c r="B860" s="65"/>
      <c r="C860" s="159"/>
      <c r="D860" s="159"/>
    </row>
    <row r="861">
      <c r="B861" s="65"/>
      <c r="C861" s="159"/>
      <c r="D861" s="159"/>
    </row>
    <row r="862">
      <c r="B862" s="65"/>
      <c r="C862" s="159"/>
      <c r="D862" s="159"/>
    </row>
    <row r="863">
      <c r="B863" s="65"/>
      <c r="C863" s="159"/>
      <c r="D863" s="159"/>
    </row>
    <row r="864">
      <c r="B864" s="65"/>
      <c r="C864" s="159"/>
      <c r="D864" s="159"/>
    </row>
    <row r="865">
      <c r="B865" s="65"/>
      <c r="C865" s="159"/>
      <c r="D865" s="159"/>
    </row>
    <row r="866">
      <c r="B866" s="65"/>
      <c r="C866" s="159"/>
      <c r="D866" s="159"/>
    </row>
    <row r="867">
      <c r="B867" s="65"/>
      <c r="C867" s="159"/>
      <c r="D867" s="159"/>
    </row>
    <row r="868">
      <c r="B868" s="65"/>
      <c r="C868" s="159"/>
      <c r="D868" s="159"/>
    </row>
    <row r="869">
      <c r="B869" s="65"/>
      <c r="C869" s="159"/>
      <c r="D869" s="159"/>
    </row>
    <row r="870">
      <c r="B870" s="65"/>
      <c r="C870" s="159"/>
      <c r="D870" s="159"/>
    </row>
    <row r="871">
      <c r="B871" s="65"/>
      <c r="C871" s="159"/>
      <c r="D871" s="159"/>
    </row>
    <row r="872">
      <c r="B872" s="65"/>
      <c r="C872" s="159"/>
      <c r="D872" s="159"/>
    </row>
    <row r="873">
      <c r="B873" s="65"/>
      <c r="C873" s="159"/>
      <c r="D873" s="159"/>
    </row>
    <row r="874">
      <c r="B874" s="65"/>
      <c r="C874" s="159"/>
      <c r="D874" s="159"/>
    </row>
    <row r="875">
      <c r="B875" s="65"/>
      <c r="C875" s="159"/>
      <c r="D875" s="159"/>
    </row>
    <row r="876">
      <c r="B876" s="65"/>
      <c r="C876" s="159"/>
      <c r="D876" s="159"/>
    </row>
    <row r="877">
      <c r="B877" s="65"/>
      <c r="C877" s="159"/>
      <c r="D877" s="159"/>
    </row>
    <row r="878">
      <c r="B878" s="65"/>
      <c r="C878" s="159"/>
      <c r="D878" s="159"/>
    </row>
    <row r="879">
      <c r="B879" s="65"/>
      <c r="C879" s="159"/>
      <c r="D879" s="159"/>
    </row>
    <row r="880">
      <c r="B880" s="65"/>
      <c r="C880" s="159"/>
      <c r="D880" s="159"/>
    </row>
    <row r="881">
      <c r="B881" s="65"/>
      <c r="C881" s="159"/>
      <c r="D881" s="159"/>
    </row>
    <row r="882">
      <c r="B882" s="65"/>
      <c r="C882" s="159"/>
      <c r="D882" s="159"/>
    </row>
    <row r="883">
      <c r="B883" s="65"/>
      <c r="C883" s="159"/>
      <c r="D883" s="159"/>
    </row>
    <row r="884">
      <c r="B884" s="65"/>
      <c r="C884" s="159"/>
      <c r="D884" s="159"/>
    </row>
    <row r="885">
      <c r="B885" s="65"/>
      <c r="C885" s="159"/>
      <c r="D885" s="159"/>
    </row>
    <row r="886">
      <c r="B886" s="65"/>
      <c r="C886" s="159"/>
      <c r="D886" s="159"/>
    </row>
    <row r="887">
      <c r="B887" s="65"/>
      <c r="C887" s="159"/>
      <c r="D887" s="159"/>
    </row>
    <row r="888">
      <c r="B888" s="65"/>
      <c r="C888" s="159"/>
      <c r="D888" s="159"/>
    </row>
    <row r="889">
      <c r="B889" s="65"/>
      <c r="C889" s="159"/>
      <c r="D889" s="159"/>
    </row>
    <row r="890">
      <c r="B890" s="65"/>
      <c r="C890" s="159"/>
      <c r="D890" s="159"/>
    </row>
    <row r="891">
      <c r="B891" s="65"/>
      <c r="C891" s="159"/>
      <c r="D891" s="159"/>
    </row>
    <row r="892">
      <c r="B892" s="65"/>
      <c r="C892" s="159"/>
      <c r="D892" s="159"/>
    </row>
    <row r="893">
      <c r="B893" s="65"/>
      <c r="C893" s="159"/>
      <c r="D893" s="159"/>
    </row>
    <row r="894">
      <c r="B894" s="65"/>
      <c r="C894" s="159"/>
      <c r="D894" s="159"/>
    </row>
    <row r="895">
      <c r="B895" s="65"/>
      <c r="C895" s="159"/>
      <c r="D895" s="159"/>
    </row>
    <row r="896">
      <c r="B896" s="65"/>
      <c r="C896" s="159"/>
      <c r="D896" s="159"/>
    </row>
    <row r="897">
      <c r="B897" s="65"/>
      <c r="C897" s="159"/>
      <c r="D897" s="159"/>
    </row>
    <row r="898">
      <c r="B898" s="65"/>
      <c r="C898" s="159"/>
      <c r="D898" s="159"/>
    </row>
    <row r="899">
      <c r="B899" s="65"/>
      <c r="C899" s="159"/>
      <c r="D899" s="159"/>
    </row>
    <row r="900">
      <c r="B900" s="65"/>
      <c r="C900" s="159"/>
      <c r="D900" s="159"/>
    </row>
    <row r="901">
      <c r="B901" s="65"/>
      <c r="C901" s="159"/>
      <c r="D901" s="159"/>
    </row>
    <row r="902">
      <c r="B902" s="65"/>
      <c r="C902" s="159"/>
      <c r="D902" s="159"/>
    </row>
    <row r="903">
      <c r="B903" s="65"/>
      <c r="C903" s="159"/>
      <c r="D903" s="159"/>
    </row>
    <row r="904">
      <c r="B904" s="65"/>
      <c r="C904" s="159"/>
      <c r="D904" s="159"/>
    </row>
    <row r="905">
      <c r="B905" s="65"/>
      <c r="C905" s="159"/>
      <c r="D905" s="159"/>
    </row>
    <row r="906">
      <c r="B906" s="65"/>
      <c r="C906" s="159"/>
      <c r="D906" s="159"/>
    </row>
    <row r="907">
      <c r="B907" s="65"/>
      <c r="C907" s="159"/>
      <c r="D907" s="159"/>
    </row>
    <row r="908">
      <c r="B908" s="65"/>
      <c r="C908" s="159"/>
      <c r="D908" s="159"/>
    </row>
    <row r="909">
      <c r="B909" s="65"/>
      <c r="C909" s="159"/>
      <c r="D909" s="159"/>
    </row>
    <row r="910">
      <c r="B910" s="65"/>
      <c r="C910" s="159"/>
      <c r="D910" s="159"/>
    </row>
    <row r="911">
      <c r="B911" s="65"/>
      <c r="C911" s="159"/>
      <c r="D911" s="159"/>
    </row>
    <row r="912">
      <c r="B912" s="65"/>
      <c r="C912" s="159"/>
      <c r="D912" s="159"/>
    </row>
    <row r="913">
      <c r="B913" s="65"/>
      <c r="C913" s="159"/>
      <c r="D913" s="159"/>
    </row>
    <row r="914">
      <c r="B914" s="65"/>
      <c r="C914" s="159"/>
      <c r="D914" s="159"/>
    </row>
    <row r="915">
      <c r="B915" s="65"/>
      <c r="C915" s="159"/>
      <c r="D915" s="159"/>
    </row>
    <row r="916">
      <c r="B916" s="65"/>
      <c r="C916" s="159"/>
      <c r="D916" s="159"/>
    </row>
    <row r="917">
      <c r="B917" s="65"/>
      <c r="C917" s="159"/>
      <c r="D917" s="159"/>
    </row>
    <row r="918">
      <c r="B918" s="65"/>
      <c r="C918" s="159"/>
      <c r="D918" s="159"/>
    </row>
    <row r="919">
      <c r="B919" s="65"/>
      <c r="C919" s="159"/>
      <c r="D919" s="159"/>
    </row>
    <row r="920">
      <c r="B920" s="65"/>
      <c r="C920" s="159"/>
      <c r="D920" s="159"/>
    </row>
    <row r="921">
      <c r="B921" s="65"/>
      <c r="C921" s="159"/>
      <c r="D921" s="159"/>
    </row>
    <row r="922">
      <c r="B922" s="65"/>
      <c r="C922" s="159"/>
      <c r="D922" s="159"/>
    </row>
    <row r="923">
      <c r="B923" s="65"/>
      <c r="C923" s="159"/>
      <c r="D923" s="159"/>
    </row>
    <row r="924">
      <c r="B924" s="65"/>
      <c r="C924" s="159"/>
      <c r="D924" s="159"/>
    </row>
    <row r="925">
      <c r="B925" s="65"/>
      <c r="C925" s="159"/>
      <c r="D925" s="159"/>
    </row>
    <row r="926">
      <c r="B926" s="65"/>
      <c r="C926" s="159"/>
      <c r="D926" s="159"/>
    </row>
    <row r="927">
      <c r="B927" s="65"/>
      <c r="C927" s="159"/>
      <c r="D927" s="159"/>
    </row>
    <row r="928">
      <c r="B928" s="65"/>
      <c r="C928" s="159"/>
      <c r="D928" s="159"/>
    </row>
    <row r="929">
      <c r="B929" s="65"/>
      <c r="C929" s="159"/>
      <c r="D929" s="159"/>
    </row>
    <row r="930">
      <c r="B930" s="65"/>
      <c r="C930" s="159"/>
      <c r="D930" s="159"/>
    </row>
    <row r="931">
      <c r="B931" s="65"/>
      <c r="C931" s="159"/>
      <c r="D931" s="159"/>
    </row>
    <row r="932">
      <c r="B932" s="65"/>
      <c r="C932" s="159"/>
      <c r="D932" s="159"/>
    </row>
    <row r="933">
      <c r="B933" s="65"/>
      <c r="C933" s="159"/>
      <c r="D933" s="159"/>
    </row>
    <row r="934">
      <c r="B934" s="65"/>
      <c r="C934" s="159"/>
      <c r="D934" s="159"/>
    </row>
    <row r="935">
      <c r="B935" s="65"/>
      <c r="C935" s="159"/>
      <c r="D935" s="159"/>
    </row>
    <row r="936">
      <c r="B936" s="65"/>
      <c r="C936" s="159"/>
      <c r="D936" s="159"/>
    </row>
    <row r="937">
      <c r="B937" s="65"/>
      <c r="C937" s="159"/>
      <c r="D937" s="159"/>
    </row>
    <row r="938">
      <c r="B938" s="65"/>
      <c r="C938" s="159"/>
      <c r="D938" s="159"/>
    </row>
    <row r="939">
      <c r="B939" s="65"/>
      <c r="C939" s="159"/>
      <c r="D939" s="159"/>
    </row>
    <row r="940">
      <c r="B940" s="65"/>
      <c r="C940" s="159"/>
      <c r="D940" s="159"/>
    </row>
    <row r="941">
      <c r="B941" s="65"/>
      <c r="C941" s="159"/>
      <c r="D941" s="159"/>
    </row>
    <row r="942">
      <c r="B942" s="65"/>
      <c r="C942" s="159"/>
      <c r="D942" s="159"/>
    </row>
    <row r="943">
      <c r="B943" s="65"/>
      <c r="C943" s="159"/>
      <c r="D943" s="159"/>
    </row>
    <row r="944">
      <c r="B944" s="65"/>
      <c r="C944" s="159"/>
      <c r="D944" s="159"/>
    </row>
    <row r="945">
      <c r="B945" s="65"/>
      <c r="C945" s="159"/>
      <c r="D945" s="159"/>
    </row>
    <row r="946">
      <c r="B946" s="65"/>
      <c r="C946" s="159"/>
      <c r="D946" s="159"/>
    </row>
    <row r="947">
      <c r="B947" s="65"/>
      <c r="C947" s="159"/>
      <c r="D947" s="159"/>
    </row>
    <row r="948">
      <c r="B948" s="65"/>
      <c r="C948" s="159"/>
      <c r="D948" s="159"/>
    </row>
    <row r="949">
      <c r="B949" s="65"/>
      <c r="C949" s="159"/>
      <c r="D949" s="159"/>
    </row>
    <row r="950">
      <c r="B950" s="65"/>
      <c r="C950" s="159"/>
      <c r="D950" s="159"/>
    </row>
    <row r="951">
      <c r="B951" s="65"/>
      <c r="C951" s="159"/>
      <c r="D951" s="159"/>
    </row>
    <row r="952">
      <c r="B952" s="65"/>
      <c r="C952" s="159"/>
      <c r="D952" s="159"/>
    </row>
    <row r="953">
      <c r="B953" s="65"/>
      <c r="C953" s="159"/>
      <c r="D953" s="159"/>
    </row>
    <row r="954">
      <c r="B954" s="65"/>
      <c r="C954" s="159"/>
      <c r="D954" s="159"/>
    </row>
    <row r="955">
      <c r="B955" s="65"/>
      <c r="C955" s="159"/>
      <c r="D955" s="159"/>
    </row>
    <row r="956">
      <c r="B956" s="65"/>
      <c r="C956" s="159"/>
      <c r="D956" s="159"/>
    </row>
    <row r="957">
      <c r="B957" s="65"/>
      <c r="C957" s="159"/>
      <c r="D957" s="159"/>
    </row>
    <row r="958">
      <c r="B958" s="65"/>
      <c r="C958" s="159"/>
      <c r="D958" s="159"/>
    </row>
    <row r="959">
      <c r="B959" s="65"/>
      <c r="C959" s="159"/>
      <c r="D959" s="159"/>
    </row>
    <row r="960">
      <c r="B960" s="65"/>
      <c r="C960" s="159"/>
      <c r="D960" s="159"/>
    </row>
    <row r="961">
      <c r="B961" s="65"/>
      <c r="C961" s="159"/>
      <c r="D961" s="159"/>
    </row>
    <row r="962">
      <c r="B962" s="65"/>
      <c r="C962" s="159"/>
      <c r="D962" s="159"/>
    </row>
    <row r="963">
      <c r="B963" s="65"/>
      <c r="C963" s="159"/>
      <c r="D963" s="159"/>
    </row>
    <row r="964">
      <c r="B964" s="65"/>
      <c r="C964" s="159"/>
      <c r="D964" s="159"/>
    </row>
    <row r="965">
      <c r="B965" s="65"/>
      <c r="C965" s="159"/>
      <c r="D965" s="159"/>
    </row>
    <row r="966">
      <c r="B966" s="65"/>
      <c r="C966" s="159"/>
      <c r="D966" s="159"/>
    </row>
    <row r="967">
      <c r="B967" s="65"/>
      <c r="C967" s="159"/>
      <c r="D967" s="159"/>
    </row>
    <row r="968">
      <c r="B968" s="65"/>
      <c r="C968" s="159"/>
      <c r="D968" s="159"/>
    </row>
    <row r="969">
      <c r="B969" s="65"/>
      <c r="C969" s="159"/>
      <c r="D969" s="159"/>
    </row>
    <row r="970">
      <c r="B970" s="65"/>
      <c r="C970" s="159"/>
      <c r="D970" s="159"/>
    </row>
    <row r="971">
      <c r="B971" s="65"/>
      <c r="C971" s="159"/>
      <c r="D971" s="159"/>
    </row>
    <row r="972">
      <c r="B972" s="65"/>
      <c r="C972" s="159"/>
      <c r="D972" s="159"/>
    </row>
    <row r="973">
      <c r="B973" s="65"/>
      <c r="C973" s="159"/>
      <c r="D973" s="159"/>
    </row>
    <row r="974">
      <c r="B974" s="65"/>
      <c r="C974" s="159"/>
      <c r="D974" s="159"/>
    </row>
    <row r="975">
      <c r="B975" s="65"/>
      <c r="C975" s="159"/>
      <c r="D975" s="159"/>
    </row>
    <row r="976">
      <c r="B976" s="65"/>
      <c r="C976" s="159"/>
      <c r="D976" s="159"/>
    </row>
    <row r="977">
      <c r="B977" s="65"/>
      <c r="C977" s="159"/>
      <c r="D977" s="159"/>
    </row>
    <row r="978">
      <c r="B978" s="65"/>
      <c r="C978" s="159"/>
      <c r="D978" s="159"/>
    </row>
    <row r="979">
      <c r="B979" s="65"/>
      <c r="C979" s="159"/>
      <c r="D979" s="159"/>
    </row>
    <row r="980">
      <c r="B980" s="65"/>
      <c r="C980" s="159"/>
      <c r="D980" s="159"/>
    </row>
    <row r="981">
      <c r="B981" s="65"/>
      <c r="C981" s="159"/>
      <c r="D981" s="159"/>
    </row>
    <row r="982">
      <c r="B982" s="65"/>
      <c r="C982" s="159"/>
      <c r="D982" s="159"/>
    </row>
    <row r="983">
      <c r="B983" s="65"/>
      <c r="C983" s="159"/>
      <c r="D983" s="159"/>
    </row>
    <row r="984">
      <c r="B984" s="65"/>
      <c r="C984" s="159"/>
      <c r="D984" s="159"/>
    </row>
    <row r="985">
      <c r="B985" s="65"/>
      <c r="C985" s="159"/>
      <c r="D985" s="159"/>
    </row>
    <row r="986">
      <c r="B986" s="65"/>
      <c r="C986" s="159"/>
      <c r="D986" s="159"/>
    </row>
    <row r="987">
      <c r="B987" s="65"/>
      <c r="C987" s="159"/>
      <c r="D987" s="159"/>
    </row>
    <row r="988">
      <c r="B988" s="65"/>
      <c r="C988" s="159"/>
      <c r="D988" s="159"/>
    </row>
    <row r="989">
      <c r="B989" s="65"/>
      <c r="C989" s="159"/>
      <c r="D989" s="159"/>
    </row>
    <row r="990">
      <c r="B990" s="65"/>
      <c r="C990" s="159"/>
      <c r="D990" s="159"/>
    </row>
    <row r="991">
      <c r="B991" s="65"/>
      <c r="C991" s="159"/>
      <c r="D991" s="159"/>
    </row>
    <row r="992">
      <c r="B992" s="65"/>
      <c r="C992" s="159"/>
      <c r="D992" s="159"/>
    </row>
    <row r="993">
      <c r="B993" s="65"/>
      <c r="C993" s="159"/>
      <c r="D993" s="159"/>
    </row>
    <row r="994">
      <c r="B994" s="65"/>
      <c r="C994" s="159"/>
      <c r="D994" s="159"/>
    </row>
    <row r="995">
      <c r="B995" s="65"/>
      <c r="C995" s="159"/>
      <c r="D995" s="159"/>
    </row>
    <row r="996">
      <c r="B996" s="65"/>
      <c r="C996" s="159"/>
      <c r="D996" s="159"/>
    </row>
    <row r="997">
      <c r="B997" s="65"/>
      <c r="C997" s="159"/>
      <c r="D997" s="159"/>
    </row>
    <row r="998">
      <c r="B998" s="65"/>
      <c r="C998" s="159"/>
      <c r="D998" s="159"/>
    </row>
    <row r="999">
      <c r="B999" s="65"/>
      <c r="C999" s="159"/>
      <c r="D999" s="159"/>
    </row>
    <row r="1000">
      <c r="B1000" s="65"/>
      <c r="C1000" s="159"/>
      <c r="D1000" s="159"/>
    </row>
    <row r="1001">
      <c r="B1001" s="65"/>
      <c r="C1001" s="159"/>
      <c r="D1001" s="159"/>
    </row>
    <row r="1002">
      <c r="B1002" s="65"/>
      <c r="C1002" s="159"/>
      <c r="D1002" s="159"/>
    </row>
    <row r="1003">
      <c r="B1003" s="65"/>
      <c r="C1003" s="159"/>
      <c r="D1003" s="159"/>
    </row>
    <row r="1004">
      <c r="B1004" s="65"/>
      <c r="C1004" s="159"/>
      <c r="D1004" s="159"/>
    </row>
    <row r="1005">
      <c r="B1005" s="65"/>
      <c r="C1005" s="159"/>
      <c r="D1005" s="159"/>
    </row>
    <row r="1006">
      <c r="B1006" s="65"/>
      <c r="C1006" s="159"/>
      <c r="D1006" s="159"/>
    </row>
  </sheetData>
  <mergeCells count="12">
    <mergeCell ref="A12:A13"/>
    <mergeCell ref="A15:A16"/>
    <mergeCell ref="C15:C16"/>
    <mergeCell ref="C18:C19"/>
    <mergeCell ref="C20:C21"/>
    <mergeCell ref="A3:A4"/>
    <mergeCell ref="C3:C4"/>
    <mergeCell ref="A6:A7"/>
    <mergeCell ref="C6:C7"/>
    <mergeCell ref="A9:A10"/>
    <mergeCell ref="C9:C10"/>
    <mergeCell ref="C12:C13"/>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6.88"/>
    <col customWidth="1" min="2" max="2" width="9.88"/>
    <col customWidth="1" min="3" max="5" width="6.88"/>
    <col customWidth="1" min="6" max="6" width="7.13"/>
    <col customWidth="1" min="7" max="7" width="7.63"/>
    <col customWidth="1" min="8" max="8" width="8.25"/>
    <col customWidth="1" min="9" max="9" width="6.75"/>
    <col customWidth="1" min="10" max="10" width="8.25"/>
    <col customWidth="1" min="11" max="11" width="7.25"/>
    <col customWidth="1" min="12" max="12" width="54.38"/>
    <col customWidth="1" min="13" max="13" width="55.38"/>
    <col customWidth="1" min="14" max="14" width="15.5"/>
    <col customWidth="1" min="15" max="15" width="30.25"/>
  </cols>
  <sheetData>
    <row r="1" ht="33.75" customHeight="1">
      <c r="A1" s="580" t="s">
        <v>435</v>
      </c>
      <c r="B1" s="581" t="s">
        <v>438</v>
      </c>
      <c r="C1" s="580" t="s">
        <v>2824</v>
      </c>
      <c r="D1" s="582" t="s">
        <v>1476</v>
      </c>
      <c r="E1" s="582" t="s">
        <v>1477</v>
      </c>
      <c r="F1" s="582" t="s">
        <v>1480</v>
      </c>
      <c r="G1" s="582" t="s">
        <v>1702</v>
      </c>
      <c r="H1" s="582" t="s">
        <v>1703</v>
      </c>
      <c r="I1" s="582" t="s">
        <v>1704</v>
      </c>
      <c r="J1" s="582" t="s">
        <v>1705</v>
      </c>
      <c r="K1" s="582" t="s">
        <v>1706</v>
      </c>
      <c r="L1" s="580" t="s">
        <v>1707</v>
      </c>
      <c r="M1" s="580" t="s">
        <v>1708</v>
      </c>
      <c r="N1" s="580" t="s">
        <v>1709</v>
      </c>
      <c r="O1" s="583" t="s">
        <v>2825</v>
      </c>
    </row>
    <row r="2" ht="63.0" customHeight="1">
      <c r="A2" s="584" t="s">
        <v>1801</v>
      </c>
      <c r="B2" s="585" t="s">
        <v>1717</v>
      </c>
      <c r="C2" s="586"/>
      <c r="D2" s="587">
        <v>4.0</v>
      </c>
      <c r="E2" s="587">
        <v>12.0</v>
      </c>
      <c r="F2" s="587">
        <v>4.0</v>
      </c>
      <c r="G2" s="588" t="s">
        <v>1663</v>
      </c>
      <c r="H2" s="587">
        <v>3.0</v>
      </c>
      <c r="I2" s="587">
        <v>3.0</v>
      </c>
      <c r="J2" s="587">
        <v>4.0</v>
      </c>
      <c r="K2" s="587">
        <v>1.0</v>
      </c>
      <c r="L2" s="589" t="s">
        <v>1802</v>
      </c>
      <c r="M2" s="589" t="s">
        <v>1803</v>
      </c>
      <c r="N2" s="590" t="s">
        <v>1804</v>
      </c>
      <c r="O2" s="591" t="s">
        <v>2826</v>
      </c>
    </row>
    <row r="3" ht="63.0" customHeight="1">
      <c r="A3" s="584" t="s">
        <v>1794</v>
      </c>
      <c r="B3" s="585" t="s">
        <v>1721</v>
      </c>
      <c r="C3" s="592" t="s">
        <v>2824</v>
      </c>
      <c r="D3" s="587">
        <v>4.0</v>
      </c>
      <c r="E3" s="587">
        <v>12.0</v>
      </c>
      <c r="F3" s="587">
        <v>4.0</v>
      </c>
      <c r="G3" s="588" t="s">
        <v>1663</v>
      </c>
      <c r="H3" s="587">
        <v>2.0</v>
      </c>
      <c r="I3" s="587">
        <v>4.0</v>
      </c>
      <c r="J3" s="587">
        <v>3.0</v>
      </c>
      <c r="K3" s="587">
        <v>2.0</v>
      </c>
      <c r="L3" s="589" t="s">
        <v>2827</v>
      </c>
      <c r="M3" s="589" t="s">
        <v>2828</v>
      </c>
      <c r="N3" s="590" t="s">
        <v>2829</v>
      </c>
      <c r="O3" s="591" t="s">
        <v>2830</v>
      </c>
    </row>
    <row r="4" ht="63.0" customHeight="1">
      <c r="A4" s="584" t="s">
        <v>1794</v>
      </c>
      <c r="B4" s="585" t="s">
        <v>1721</v>
      </c>
      <c r="C4" s="586"/>
      <c r="D4" s="587">
        <v>4.0</v>
      </c>
      <c r="E4" s="587">
        <v>12.0</v>
      </c>
      <c r="F4" s="587">
        <v>4.0</v>
      </c>
      <c r="G4" s="588" t="s">
        <v>1663</v>
      </c>
      <c r="H4" s="587">
        <v>2.0</v>
      </c>
      <c r="I4" s="587">
        <v>4.0</v>
      </c>
      <c r="J4" s="587">
        <v>3.0</v>
      </c>
      <c r="K4" s="587">
        <v>2.0</v>
      </c>
      <c r="L4" s="589" t="s">
        <v>2831</v>
      </c>
      <c r="M4" s="589" t="s">
        <v>2832</v>
      </c>
      <c r="N4" s="590" t="s">
        <v>1797</v>
      </c>
      <c r="O4" s="591" t="s">
        <v>2833</v>
      </c>
    </row>
    <row r="5" ht="63.0" customHeight="1">
      <c r="A5" s="584" t="s">
        <v>1887</v>
      </c>
      <c r="B5" s="585" t="s">
        <v>1738</v>
      </c>
      <c r="C5" s="586"/>
      <c r="D5" s="587">
        <v>4.0</v>
      </c>
      <c r="E5" s="587">
        <v>10.0</v>
      </c>
      <c r="F5" s="587">
        <v>4.0</v>
      </c>
      <c r="G5" s="588" t="s">
        <v>1663</v>
      </c>
      <c r="H5" s="587">
        <v>3.0</v>
      </c>
      <c r="I5" s="587">
        <v>3.0</v>
      </c>
      <c r="J5" s="587">
        <v>3.0</v>
      </c>
      <c r="K5" s="587">
        <v>3.0</v>
      </c>
      <c r="L5" s="589" t="s">
        <v>2834</v>
      </c>
      <c r="M5" s="589" t="s">
        <v>1889</v>
      </c>
      <c r="N5" s="590" t="s">
        <v>1758</v>
      </c>
      <c r="O5" s="591" t="s">
        <v>2835</v>
      </c>
    </row>
    <row r="6" ht="63.0" customHeight="1">
      <c r="A6" s="584" t="s">
        <v>1887</v>
      </c>
      <c r="B6" s="585" t="s">
        <v>1738</v>
      </c>
      <c r="C6" s="592" t="s">
        <v>2824</v>
      </c>
      <c r="D6" s="587">
        <v>4.0</v>
      </c>
      <c r="E6" s="587">
        <v>10.0</v>
      </c>
      <c r="F6" s="587">
        <v>4.0</v>
      </c>
      <c r="G6" s="588" t="s">
        <v>1663</v>
      </c>
      <c r="H6" s="587">
        <v>3.0</v>
      </c>
      <c r="I6" s="587">
        <v>3.0</v>
      </c>
      <c r="J6" s="587">
        <v>3.0</v>
      </c>
      <c r="K6" s="587">
        <v>3.0</v>
      </c>
      <c r="L6" s="589" t="s">
        <v>2836</v>
      </c>
      <c r="M6" s="589" t="s">
        <v>2837</v>
      </c>
      <c r="N6" s="590" t="s">
        <v>2838</v>
      </c>
      <c r="O6" s="591" t="s">
        <v>2839</v>
      </c>
    </row>
    <row r="7" ht="63.0" customHeight="1">
      <c r="A7" s="584" t="s">
        <v>1784</v>
      </c>
      <c r="B7" s="585" t="s">
        <v>1721</v>
      </c>
      <c r="C7" s="586"/>
      <c r="D7" s="587">
        <v>5.0</v>
      </c>
      <c r="E7" s="587">
        <v>10.0</v>
      </c>
      <c r="F7" s="587">
        <v>4.0</v>
      </c>
      <c r="G7" s="588" t="s">
        <v>1663</v>
      </c>
      <c r="H7" s="587">
        <v>2.0</v>
      </c>
      <c r="I7" s="587">
        <v>3.0</v>
      </c>
      <c r="J7" s="587">
        <v>2.0</v>
      </c>
      <c r="K7" s="587">
        <v>4.0</v>
      </c>
      <c r="L7" s="589" t="s">
        <v>1785</v>
      </c>
      <c r="M7" s="589" t="s">
        <v>1786</v>
      </c>
      <c r="N7" s="590" t="s">
        <v>1724</v>
      </c>
      <c r="O7" s="591" t="s">
        <v>2833</v>
      </c>
    </row>
    <row r="8" ht="63.0" customHeight="1">
      <c r="A8" s="584" t="s">
        <v>1842</v>
      </c>
      <c r="B8" s="585" t="s">
        <v>1730</v>
      </c>
      <c r="C8" s="586"/>
      <c r="D8" s="587">
        <v>4.0</v>
      </c>
      <c r="E8" s="587">
        <v>10.0</v>
      </c>
      <c r="F8" s="587">
        <v>5.0</v>
      </c>
      <c r="G8" s="588" t="s">
        <v>1663</v>
      </c>
      <c r="H8" s="587">
        <v>1.0</v>
      </c>
      <c r="I8" s="587">
        <v>4.0</v>
      </c>
      <c r="J8" s="587">
        <v>4.0</v>
      </c>
      <c r="K8" s="587">
        <v>2.0</v>
      </c>
      <c r="L8" s="589" t="s">
        <v>1843</v>
      </c>
      <c r="M8" s="589" t="s">
        <v>1844</v>
      </c>
      <c r="N8" s="590" t="s">
        <v>1797</v>
      </c>
      <c r="O8" s="591" t="s">
        <v>2840</v>
      </c>
    </row>
    <row r="9" ht="63.0" customHeight="1">
      <c r="A9" s="584" t="s">
        <v>1842</v>
      </c>
      <c r="B9" s="585" t="s">
        <v>1730</v>
      </c>
      <c r="C9" s="592" t="s">
        <v>2824</v>
      </c>
      <c r="D9" s="587">
        <v>4.0</v>
      </c>
      <c r="E9" s="587">
        <v>10.0</v>
      </c>
      <c r="F9" s="587">
        <v>5.0</v>
      </c>
      <c r="G9" s="588" t="s">
        <v>1663</v>
      </c>
      <c r="H9" s="587">
        <v>1.0</v>
      </c>
      <c r="I9" s="587">
        <v>4.0</v>
      </c>
      <c r="J9" s="587">
        <v>4.0</v>
      </c>
      <c r="K9" s="587">
        <v>2.0</v>
      </c>
      <c r="L9" s="589" t="s">
        <v>2841</v>
      </c>
      <c r="M9" s="589" t="s">
        <v>2842</v>
      </c>
      <c r="N9" s="590" t="s">
        <v>2829</v>
      </c>
      <c r="O9" s="591" t="s">
        <v>2843</v>
      </c>
    </row>
    <row r="10" ht="63.0" customHeight="1">
      <c r="A10" s="584" t="s">
        <v>1763</v>
      </c>
      <c r="B10" s="585" t="s">
        <v>1721</v>
      </c>
      <c r="C10" s="592"/>
      <c r="D10" s="587">
        <v>3.0</v>
      </c>
      <c r="E10" s="587">
        <v>12.0</v>
      </c>
      <c r="F10" s="587">
        <v>5.0</v>
      </c>
      <c r="G10" s="588" t="s">
        <v>1663</v>
      </c>
      <c r="H10" s="587">
        <v>4.0</v>
      </c>
      <c r="I10" s="587">
        <v>3.0</v>
      </c>
      <c r="J10" s="587">
        <v>2.0</v>
      </c>
      <c r="K10" s="587">
        <v>2.0</v>
      </c>
      <c r="L10" s="589" t="s">
        <v>2844</v>
      </c>
      <c r="M10" s="589" t="s">
        <v>1765</v>
      </c>
      <c r="N10" s="590" t="s">
        <v>1766</v>
      </c>
      <c r="O10" s="591" t="s">
        <v>2845</v>
      </c>
    </row>
    <row r="11" ht="63.0" customHeight="1">
      <c r="A11" s="584" t="s">
        <v>2846</v>
      </c>
      <c r="B11" s="585" t="s">
        <v>1721</v>
      </c>
      <c r="C11" s="592" t="s">
        <v>2824</v>
      </c>
      <c r="D11" s="587">
        <v>5.0</v>
      </c>
      <c r="E11" s="587">
        <v>8.0</v>
      </c>
      <c r="F11" s="587">
        <v>5.0</v>
      </c>
      <c r="G11" s="588" t="s">
        <v>1663</v>
      </c>
      <c r="H11" s="587">
        <v>2.0</v>
      </c>
      <c r="I11" s="587">
        <v>3.0</v>
      </c>
      <c r="J11" s="587">
        <v>4.0</v>
      </c>
      <c r="K11" s="587">
        <v>2.0</v>
      </c>
      <c r="L11" s="589" t="s">
        <v>2847</v>
      </c>
      <c r="M11" s="589" t="s">
        <v>2848</v>
      </c>
      <c r="N11" s="590" t="s">
        <v>2849</v>
      </c>
      <c r="O11" s="591" t="s">
        <v>2850</v>
      </c>
    </row>
    <row r="12" ht="63.0" customHeight="1">
      <c r="A12" s="584" t="s">
        <v>1451</v>
      </c>
      <c r="B12" s="585" t="s">
        <v>1721</v>
      </c>
      <c r="C12" s="586"/>
      <c r="D12" s="587">
        <v>4.0</v>
      </c>
      <c r="E12" s="587">
        <v>12.0</v>
      </c>
      <c r="F12" s="587">
        <v>4.0</v>
      </c>
      <c r="G12" s="588" t="s">
        <v>1663</v>
      </c>
      <c r="H12" s="587">
        <v>2.0</v>
      </c>
      <c r="I12" s="587">
        <v>4.0</v>
      </c>
      <c r="J12" s="587">
        <v>3.0</v>
      </c>
      <c r="K12" s="587">
        <v>2.0</v>
      </c>
      <c r="L12" s="589" t="s">
        <v>2851</v>
      </c>
      <c r="M12" s="589" t="s">
        <v>1723</v>
      </c>
      <c r="N12" s="590" t="s">
        <v>1724</v>
      </c>
      <c r="O12" s="591" t="s">
        <v>2852</v>
      </c>
    </row>
    <row r="13" ht="63.0" customHeight="1">
      <c r="A13" s="584" t="s">
        <v>2853</v>
      </c>
      <c r="B13" s="585" t="s">
        <v>1738</v>
      </c>
      <c r="C13" s="592" t="s">
        <v>2824</v>
      </c>
      <c r="D13" s="587">
        <v>4.0</v>
      </c>
      <c r="E13" s="587">
        <v>10.0</v>
      </c>
      <c r="F13" s="587">
        <v>4.0</v>
      </c>
      <c r="G13" s="588" t="s">
        <v>1663</v>
      </c>
      <c r="H13" s="587">
        <v>2.0</v>
      </c>
      <c r="I13" s="587">
        <v>3.0</v>
      </c>
      <c r="J13" s="587">
        <v>2.0</v>
      </c>
      <c r="K13" s="587">
        <v>4.0</v>
      </c>
      <c r="L13" s="589" t="s">
        <v>2854</v>
      </c>
      <c r="M13" s="589" t="s">
        <v>2855</v>
      </c>
      <c r="N13" s="590" t="s">
        <v>2829</v>
      </c>
      <c r="O13" s="591" t="s">
        <v>2856</v>
      </c>
    </row>
    <row r="14" ht="63.0" customHeight="1">
      <c r="A14" s="584" t="s">
        <v>1781</v>
      </c>
      <c r="B14" s="585" t="s">
        <v>1721</v>
      </c>
      <c r="C14" s="593"/>
      <c r="D14" s="587">
        <v>3.0</v>
      </c>
      <c r="E14" s="587">
        <v>12.0</v>
      </c>
      <c r="F14" s="587">
        <v>4.0</v>
      </c>
      <c r="G14" s="588" t="s">
        <v>1663</v>
      </c>
      <c r="H14" s="587">
        <v>1.0</v>
      </c>
      <c r="I14" s="587">
        <v>4.0</v>
      </c>
      <c r="J14" s="587">
        <v>4.0</v>
      </c>
      <c r="K14" s="587">
        <v>2.0</v>
      </c>
      <c r="L14" s="589" t="s">
        <v>2857</v>
      </c>
      <c r="M14" s="589" t="s">
        <v>2858</v>
      </c>
      <c r="N14" s="590" t="s">
        <v>1762</v>
      </c>
      <c r="O14" s="591" t="s">
        <v>2859</v>
      </c>
    </row>
    <row r="15" ht="63.0" customHeight="1">
      <c r="A15" s="584" t="s">
        <v>1781</v>
      </c>
      <c r="B15" s="585" t="s">
        <v>1721</v>
      </c>
      <c r="C15" s="592" t="s">
        <v>2824</v>
      </c>
      <c r="D15" s="587">
        <v>3.0</v>
      </c>
      <c r="E15" s="587">
        <v>12.0</v>
      </c>
      <c r="F15" s="587">
        <v>4.0</v>
      </c>
      <c r="G15" s="588" t="s">
        <v>1663</v>
      </c>
      <c r="H15" s="587">
        <v>1.0</v>
      </c>
      <c r="I15" s="587">
        <v>4.0</v>
      </c>
      <c r="J15" s="587">
        <v>4.0</v>
      </c>
      <c r="K15" s="587">
        <v>2.0</v>
      </c>
      <c r="L15" s="589" t="s">
        <v>2857</v>
      </c>
      <c r="M15" s="589" t="s">
        <v>2858</v>
      </c>
      <c r="N15" s="594" t="s">
        <v>2860</v>
      </c>
      <c r="O15" s="591" t="s">
        <v>2861</v>
      </c>
    </row>
    <row r="16" ht="63.0" customHeight="1">
      <c r="A16" s="584" t="s">
        <v>2862</v>
      </c>
      <c r="B16" s="585" t="s">
        <v>1721</v>
      </c>
      <c r="C16" s="592" t="s">
        <v>2824</v>
      </c>
      <c r="D16" s="587">
        <v>2.0</v>
      </c>
      <c r="E16" s="587">
        <v>12.0</v>
      </c>
      <c r="F16" s="587">
        <v>3.0</v>
      </c>
      <c r="G16" s="588" t="s">
        <v>1663</v>
      </c>
      <c r="H16" s="587">
        <v>4.0</v>
      </c>
      <c r="I16" s="587">
        <v>3.0</v>
      </c>
      <c r="J16" s="587">
        <v>1.0</v>
      </c>
      <c r="K16" s="587">
        <v>3.0</v>
      </c>
      <c r="L16" s="589" t="s">
        <v>2863</v>
      </c>
      <c r="M16" s="589" t="s">
        <v>2864</v>
      </c>
      <c r="N16" s="590" t="s">
        <v>2865</v>
      </c>
      <c r="O16" s="591" t="s">
        <v>2866</v>
      </c>
    </row>
    <row r="17" ht="63.0" customHeight="1">
      <c r="A17" s="584" t="s">
        <v>1408</v>
      </c>
      <c r="B17" s="585" t="s">
        <v>1730</v>
      </c>
      <c r="C17" s="592" t="s">
        <v>2824</v>
      </c>
      <c r="D17" s="587">
        <v>3.0</v>
      </c>
      <c r="E17" s="587">
        <v>10.0</v>
      </c>
      <c r="F17" s="587">
        <v>5.0</v>
      </c>
      <c r="G17" s="588" t="s">
        <v>1663</v>
      </c>
      <c r="H17" s="587">
        <v>3.0</v>
      </c>
      <c r="I17" s="587">
        <v>3.0</v>
      </c>
      <c r="J17" s="587">
        <v>4.0</v>
      </c>
      <c r="K17" s="587">
        <v>1.0</v>
      </c>
      <c r="L17" s="589" t="s">
        <v>2867</v>
      </c>
      <c r="M17" s="589" t="s">
        <v>2868</v>
      </c>
      <c r="N17" s="590" t="s">
        <v>2860</v>
      </c>
      <c r="O17" s="591" t="s">
        <v>2869</v>
      </c>
    </row>
    <row r="18" ht="63.0" customHeight="1">
      <c r="A18" s="584" t="s">
        <v>1408</v>
      </c>
      <c r="B18" s="585" t="s">
        <v>1730</v>
      </c>
      <c r="C18" s="586"/>
      <c r="D18" s="587">
        <v>3.0</v>
      </c>
      <c r="E18" s="587">
        <v>10.0</v>
      </c>
      <c r="F18" s="587">
        <v>4.0</v>
      </c>
      <c r="G18" s="588" t="s">
        <v>1663</v>
      </c>
      <c r="H18" s="587">
        <v>3.0</v>
      </c>
      <c r="I18" s="587">
        <v>3.0</v>
      </c>
      <c r="J18" s="587">
        <v>4.0</v>
      </c>
      <c r="K18" s="587">
        <v>1.0</v>
      </c>
      <c r="L18" s="589" t="s">
        <v>2870</v>
      </c>
      <c r="M18" s="589" t="s">
        <v>1832</v>
      </c>
      <c r="N18" s="590" t="s">
        <v>1733</v>
      </c>
      <c r="O18" s="591" t="s">
        <v>2871</v>
      </c>
    </row>
    <row r="19" ht="63.0" customHeight="1">
      <c r="A19" s="584" t="s">
        <v>1767</v>
      </c>
      <c r="B19" s="585" t="s">
        <v>1717</v>
      </c>
      <c r="C19" s="592" t="s">
        <v>2824</v>
      </c>
      <c r="D19" s="587">
        <v>3.0</v>
      </c>
      <c r="E19" s="587">
        <v>12.0</v>
      </c>
      <c r="F19" s="587">
        <v>5.0</v>
      </c>
      <c r="G19" s="588" t="s">
        <v>1663</v>
      </c>
      <c r="H19" s="587">
        <v>5.0</v>
      </c>
      <c r="I19" s="587">
        <v>2.0</v>
      </c>
      <c r="J19" s="587">
        <v>2.0</v>
      </c>
      <c r="K19" s="587">
        <v>2.0</v>
      </c>
      <c r="L19" s="589" t="s">
        <v>2872</v>
      </c>
      <c r="M19" s="589" t="s">
        <v>2873</v>
      </c>
      <c r="N19" s="590" t="s">
        <v>2849</v>
      </c>
      <c r="O19" s="591" t="s">
        <v>2874</v>
      </c>
    </row>
    <row r="20" ht="63.0" customHeight="1">
      <c r="A20" s="584" t="s">
        <v>1767</v>
      </c>
      <c r="B20" s="585" t="s">
        <v>1717</v>
      </c>
      <c r="C20" s="586"/>
      <c r="D20" s="587">
        <v>3.0</v>
      </c>
      <c r="E20" s="587">
        <v>12.0</v>
      </c>
      <c r="F20" s="587">
        <v>5.0</v>
      </c>
      <c r="G20" s="588" t="s">
        <v>1663</v>
      </c>
      <c r="H20" s="587">
        <v>5.0</v>
      </c>
      <c r="I20" s="587">
        <v>2.0</v>
      </c>
      <c r="J20" s="587">
        <v>2.0</v>
      </c>
      <c r="K20" s="587">
        <v>2.0</v>
      </c>
      <c r="L20" s="589" t="s">
        <v>2875</v>
      </c>
      <c r="M20" s="589" t="s">
        <v>2876</v>
      </c>
      <c r="N20" s="590" t="s">
        <v>1762</v>
      </c>
      <c r="O20" s="591" t="s">
        <v>2877</v>
      </c>
    </row>
    <row r="21" ht="63.0" customHeight="1">
      <c r="A21" s="584" t="s">
        <v>1909</v>
      </c>
      <c r="B21" s="585" t="s">
        <v>1730</v>
      </c>
      <c r="C21" s="586"/>
      <c r="D21" s="587">
        <v>5.0</v>
      </c>
      <c r="E21" s="587">
        <v>8.0</v>
      </c>
      <c r="F21" s="587">
        <v>4.0</v>
      </c>
      <c r="G21" s="588" t="s">
        <v>1663</v>
      </c>
      <c r="H21" s="587">
        <v>2.0</v>
      </c>
      <c r="I21" s="587">
        <v>2.0</v>
      </c>
      <c r="J21" s="587">
        <v>4.0</v>
      </c>
      <c r="K21" s="587">
        <v>3.0</v>
      </c>
      <c r="L21" s="589" t="s">
        <v>2878</v>
      </c>
      <c r="M21" s="589" t="s">
        <v>2879</v>
      </c>
      <c r="N21" s="590" t="s">
        <v>2880</v>
      </c>
      <c r="O21" s="591" t="s">
        <v>2881</v>
      </c>
    </row>
    <row r="22" ht="63.0" customHeight="1">
      <c r="A22" s="584" t="s">
        <v>1862</v>
      </c>
      <c r="B22" s="585" t="s">
        <v>1721</v>
      </c>
      <c r="C22" s="586"/>
      <c r="D22" s="587">
        <v>4.0</v>
      </c>
      <c r="E22" s="587">
        <v>10.0</v>
      </c>
      <c r="F22" s="587">
        <v>4.0</v>
      </c>
      <c r="G22" s="588" t="s">
        <v>1663</v>
      </c>
      <c r="H22" s="587">
        <v>2.0</v>
      </c>
      <c r="I22" s="587">
        <v>4.0</v>
      </c>
      <c r="J22" s="587">
        <v>3.0</v>
      </c>
      <c r="K22" s="587">
        <v>2.0</v>
      </c>
      <c r="L22" s="589" t="s">
        <v>2882</v>
      </c>
      <c r="M22" s="589" t="s">
        <v>2883</v>
      </c>
      <c r="N22" s="590" t="s">
        <v>1748</v>
      </c>
      <c r="O22" s="591" t="s">
        <v>2884</v>
      </c>
    </row>
    <row r="23" ht="63.0" customHeight="1">
      <c r="A23" s="584" t="s">
        <v>1862</v>
      </c>
      <c r="B23" s="585" t="s">
        <v>1721</v>
      </c>
      <c r="C23" s="592" t="s">
        <v>2824</v>
      </c>
      <c r="D23" s="587">
        <v>4.0</v>
      </c>
      <c r="E23" s="587">
        <v>10.0</v>
      </c>
      <c r="F23" s="587">
        <v>4.0</v>
      </c>
      <c r="G23" s="588" t="s">
        <v>1663</v>
      </c>
      <c r="H23" s="587">
        <v>2.0</v>
      </c>
      <c r="I23" s="587">
        <v>4.0</v>
      </c>
      <c r="J23" s="587">
        <v>3.0</v>
      </c>
      <c r="K23" s="587">
        <v>2.0</v>
      </c>
      <c r="L23" s="589" t="s">
        <v>2885</v>
      </c>
      <c r="M23" s="589" t="s">
        <v>2886</v>
      </c>
      <c r="N23" s="590" t="s">
        <v>2829</v>
      </c>
      <c r="O23" s="591" t="s">
        <v>2887</v>
      </c>
    </row>
    <row r="24" ht="63.0" customHeight="1">
      <c r="A24" s="584" t="s">
        <v>2888</v>
      </c>
      <c r="B24" s="585" t="s">
        <v>1717</v>
      </c>
      <c r="C24" s="592" t="s">
        <v>2824</v>
      </c>
      <c r="D24" s="587">
        <v>5.0</v>
      </c>
      <c r="E24" s="587">
        <v>12.0</v>
      </c>
      <c r="F24" s="587">
        <v>5.0</v>
      </c>
      <c r="G24" s="595" t="s">
        <v>1858</v>
      </c>
      <c r="H24" s="587">
        <v>3.0</v>
      </c>
      <c r="I24" s="587">
        <v>3.0</v>
      </c>
      <c r="J24" s="587">
        <v>2.0</v>
      </c>
      <c r="K24" s="587">
        <v>3.0</v>
      </c>
      <c r="L24" s="589" t="s">
        <v>2889</v>
      </c>
      <c r="M24" s="589" t="s">
        <v>2890</v>
      </c>
      <c r="N24" s="590" t="s">
        <v>2849</v>
      </c>
      <c r="O24" s="591" t="s">
        <v>2891</v>
      </c>
    </row>
    <row r="25" ht="63.0" customHeight="1">
      <c r="A25" s="584" t="s">
        <v>1833</v>
      </c>
      <c r="B25" s="585" t="s">
        <v>1738</v>
      </c>
      <c r="C25" s="586"/>
      <c r="D25" s="587">
        <v>4.0</v>
      </c>
      <c r="E25" s="587">
        <v>12.0</v>
      </c>
      <c r="F25" s="587">
        <v>5.0</v>
      </c>
      <c r="G25" s="588" t="s">
        <v>1663</v>
      </c>
      <c r="H25" s="587">
        <v>3.0</v>
      </c>
      <c r="I25" s="587">
        <v>3.0</v>
      </c>
      <c r="J25" s="587">
        <v>2.0</v>
      </c>
      <c r="K25" s="587">
        <v>4.0</v>
      </c>
      <c r="L25" s="589" t="s">
        <v>2892</v>
      </c>
      <c r="M25" s="589" t="s">
        <v>2893</v>
      </c>
      <c r="N25" s="590" t="s">
        <v>1745</v>
      </c>
      <c r="O25" s="591" t="s">
        <v>2894</v>
      </c>
    </row>
    <row r="26" ht="63.0" customHeight="1">
      <c r="A26" s="584" t="s">
        <v>1833</v>
      </c>
      <c r="B26" s="585" t="s">
        <v>1738</v>
      </c>
      <c r="C26" s="592" t="s">
        <v>2824</v>
      </c>
      <c r="D26" s="587">
        <v>4.0</v>
      </c>
      <c r="E26" s="587">
        <v>10.0</v>
      </c>
      <c r="F26" s="587">
        <v>5.0</v>
      </c>
      <c r="G26" s="588" t="s">
        <v>1663</v>
      </c>
      <c r="H26" s="587">
        <v>2.0</v>
      </c>
      <c r="I26" s="587">
        <v>3.0</v>
      </c>
      <c r="J26" s="587">
        <v>2.0</v>
      </c>
      <c r="K26" s="587">
        <v>4.0</v>
      </c>
      <c r="L26" s="589" t="s">
        <v>2895</v>
      </c>
      <c r="M26" s="589" t="s">
        <v>2896</v>
      </c>
      <c r="N26" s="590" t="s">
        <v>2829</v>
      </c>
      <c r="O26" s="591" t="s">
        <v>2894</v>
      </c>
    </row>
    <row r="27" ht="63.0" customHeight="1">
      <c r="A27" s="584" t="s">
        <v>1791</v>
      </c>
      <c r="B27" s="585" t="s">
        <v>1717</v>
      </c>
      <c r="C27" s="586"/>
      <c r="D27" s="587">
        <v>3.0</v>
      </c>
      <c r="E27" s="587">
        <v>14.0</v>
      </c>
      <c r="F27" s="587">
        <v>4.0</v>
      </c>
      <c r="G27" s="588" t="s">
        <v>1663</v>
      </c>
      <c r="H27" s="587">
        <v>5.0</v>
      </c>
      <c r="I27" s="587">
        <v>3.0</v>
      </c>
      <c r="J27" s="587">
        <v>2.0</v>
      </c>
      <c r="K27" s="587">
        <v>1.0</v>
      </c>
      <c r="L27" s="589" t="s">
        <v>1792</v>
      </c>
      <c r="M27" s="589" t="s">
        <v>1793</v>
      </c>
      <c r="N27" s="590" t="s">
        <v>1724</v>
      </c>
      <c r="O27" s="591" t="s">
        <v>2897</v>
      </c>
    </row>
    <row r="28" ht="63.0" customHeight="1">
      <c r="A28" s="584" t="s">
        <v>1848</v>
      </c>
      <c r="B28" s="585" t="s">
        <v>1730</v>
      </c>
      <c r="C28" s="586"/>
      <c r="D28" s="587">
        <v>4.0</v>
      </c>
      <c r="E28" s="587">
        <v>10.0</v>
      </c>
      <c r="F28" s="587">
        <v>4.0</v>
      </c>
      <c r="G28" s="588" t="s">
        <v>1663</v>
      </c>
      <c r="H28" s="587">
        <v>1.0</v>
      </c>
      <c r="I28" s="587">
        <v>3.0</v>
      </c>
      <c r="J28" s="587">
        <v>5.0</v>
      </c>
      <c r="K28" s="587">
        <v>2.0</v>
      </c>
      <c r="L28" s="589" t="s">
        <v>2898</v>
      </c>
      <c r="M28" s="589" t="s">
        <v>2899</v>
      </c>
      <c r="N28" s="590" t="s">
        <v>1808</v>
      </c>
      <c r="O28" s="591" t="s">
        <v>2900</v>
      </c>
    </row>
    <row r="29" ht="63.0" customHeight="1">
      <c r="A29" s="584" t="s">
        <v>2901</v>
      </c>
      <c r="B29" s="585" t="s">
        <v>1717</v>
      </c>
      <c r="C29" s="592" t="s">
        <v>2824</v>
      </c>
      <c r="D29" s="587">
        <v>3.0</v>
      </c>
      <c r="E29" s="587">
        <v>12.0</v>
      </c>
      <c r="F29" s="587">
        <v>3.0</v>
      </c>
      <c r="G29" s="595" t="s">
        <v>1788</v>
      </c>
      <c r="H29" s="587">
        <v>4.0</v>
      </c>
      <c r="I29" s="587">
        <v>4.0</v>
      </c>
      <c r="J29" s="587">
        <v>1.0</v>
      </c>
      <c r="K29" s="587">
        <v>2.0</v>
      </c>
      <c r="L29" s="589" t="s">
        <v>2902</v>
      </c>
      <c r="M29" s="589" t="s">
        <v>2903</v>
      </c>
      <c r="N29" s="590" t="s">
        <v>2860</v>
      </c>
      <c r="O29" s="591" t="s">
        <v>2904</v>
      </c>
    </row>
    <row r="30" ht="63.0" customHeight="1">
      <c r="A30" s="584" t="s">
        <v>1798</v>
      </c>
      <c r="B30" s="585" t="s">
        <v>1721</v>
      </c>
      <c r="C30" s="592" t="s">
        <v>2824</v>
      </c>
      <c r="D30" s="587">
        <v>4.0</v>
      </c>
      <c r="E30" s="587">
        <v>8.0</v>
      </c>
      <c r="F30" s="587">
        <v>4.0</v>
      </c>
      <c r="G30" s="588" t="s">
        <v>1663</v>
      </c>
      <c r="H30" s="587">
        <v>2.0</v>
      </c>
      <c r="I30" s="587">
        <v>3.0</v>
      </c>
      <c r="J30" s="587">
        <v>3.0</v>
      </c>
      <c r="K30" s="587">
        <v>3.0</v>
      </c>
      <c r="L30" s="589" t="s">
        <v>2905</v>
      </c>
      <c r="M30" s="589" t="s">
        <v>2906</v>
      </c>
      <c r="N30" s="590" t="s">
        <v>2829</v>
      </c>
      <c r="O30" s="591" t="s">
        <v>2907</v>
      </c>
    </row>
    <row r="31" ht="63.0" customHeight="1">
      <c r="A31" s="584" t="s">
        <v>1798</v>
      </c>
      <c r="B31" s="585" t="s">
        <v>1721</v>
      </c>
      <c r="C31" s="586"/>
      <c r="D31" s="587">
        <v>4.0</v>
      </c>
      <c r="E31" s="587">
        <v>10.0</v>
      </c>
      <c r="F31" s="587">
        <v>4.0</v>
      </c>
      <c r="G31" s="588" t="s">
        <v>1663</v>
      </c>
      <c r="H31" s="587">
        <v>2.0</v>
      </c>
      <c r="I31" s="587">
        <v>3.0</v>
      </c>
      <c r="J31" s="587">
        <v>3.0</v>
      </c>
      <c r="K31" s="587">
        <v>3.0</v>
      </c>
      <c r="L31" s="589" t="s">
        <v>2908</v>
      </c>
      <c r="M31" s="589" t="s">
        <v>2909</v>
      </c>
      <c r="N31" s="590" t="s">
        <v>1728</v>
      </c>
      <c r="O31" s="591" t="s">
        <v>2910</v>
      </c>
    </row>
    <row r="32" ht="63.0" customHeight="1">
      <c r="A32" s="584" t="s">
        <v>1815</v>
      </c>
      <c r="B32" s="585" t="s">
        <v>1730</v>
      </c>
      <c r="C32" s="592" t="s">
        <v>2824</v>
      </c>
      <c r="D32" s="587">
        <v>4.0</v>
      </c>
      <c r="E32" s="587">
        <v>12.0</v>
      </c>
      <c r="F32" s="587">
        <v>3.0</v>
      </c>
      <c r="G32" s="588" t="s">
        <v>1663</v>
      </c>
      <c r="H32" s="587">
        <v>3.0</v>
      </c>
      <c r="I32" s="587">
        <v>2.0</v>
      </c>
      <c r="J32" s="587">
        <v>4.0</v>
      </c>
      <c r="K32" s="587">
        <v>2.0</v>
      </c>
      <c r="L32" s="589" t="s">
        <v>2911</v>
      </c>
      <c r="M32" s="589" t="s">
        <v>2912</v>
      </c>
      <c r="N32" s="590" t="s">
        <v>2829</v>
      </c>
      <c r="O32" s="591" t="s">
        <v>2913</v>
      </c>
    </row>
    <row r="33" ht="63.0" customHeight="1">
      <c r="A33" s="584" t="s">
        <v>1815</v>
      </c>
      <c r="B33" s="585" t="s">
        <v>1730</v>
      </c>
      <c r="C33" s="586"/>
      <c r="D33" s="587">
        <v>4.0</v>
      </c>
      <c r="E33" s="587">
        <v>12.0</v>
      </c>
      <c r="F33" s="587">
        <v>3.0</v>
      </c>
      <c r="G33" s="588" t="s">
        <v>1663</v>
      </c>
      <c r="H33" s="587">
        <v>3.0</v>
      </c>
      <c r="I33" s="587">
        <v>2.0</v>
      </c>
      <c r="J33" s="587">
        <v>4.0</v>
      </c>
      <c r="K33" s="587">
        <v>2.0</v>
      </c>
      <c r="L33" s="589" t="s">
        <v>2914</v>
      </c>
      <c r="M33" s="589" t="s">
        <v>2915</v>
      </c>
      <c r="N33" s="590" t="s">
        <v>1762</v>
      </c>
      <c r="O33" s="591" t="s">
        <v>2916</v>
      </c>
    </row>
    <row r="34" ht="63.0" customHeight="1">
      <c r="A34" s="584" t="s">
        <v>1449</v>
      </c>
      <c r="B34" s="585" t="s">
        <v>1738</v>
      </c>
      <c r="C34" s="586"/>
      <c r="D34" s="587">
        <v>5.0</v>
      </c>
      <c r="E34" s="587">
        <v>8.0</v>
      </c>
      <c r="F34" s="587">
        <v>5.0</v>
      </c>
      <c r="G34" s="588" t="s">
        <v>1663</v>
      </c>
      <c r="H34" s="587">
        <v>2.0</v>
      </c>
      <c r="I34" s="587">
        <v>2.0</v>
      </c>
      <c r="J34" s="587">
        <v>3.0</v>
      </c>
      <c r="K34" s="587">
        <v>4.0</v>
      </c>
      <c r="L34" s="589" t="s">
        <v>1776</v>
      </c>
      <c r="M34" s="589" t="s">
        <v>2917</v>
      </c>
      <c r="N34" s="590" t="s">
        <v>1724</v>
      </c>
      <c r="O34" s="591" t="s">
        <v>2918</v>
      </c>
    </row>
    <row r="35" ht="63.0" customHeight="1">
      <c r="A35" s="584" t="s">
        <v>1836</v>
      </c>
      <c r="B35" s="585" t="s">
        <v>1721</v>
      </c>
      <c r="C35" s="592" t="s">
        <v>2824</v>
      </c>
      <c r="D35" s="587">
        <v>4.0</v>
      </c>
      <c r="E35" s="587">
        <v>8.0</v>
      </c>
      <c r="F35" s="587">
        <v>4.0</v>
      </c>
      <c r="G35" s="588" t="s">
        <v>1663</v>
      </c>
      <c r="H35" s="587">
        <v>2.0</v>
      </c>
      <c r="I35" s="587">
        <v>4.0</v>
      </c>
      <c r="J35" s="587">
        <v>3.0</v>
      </c>
      <c r="K35" s="587">
        <v>2.0</v>
      </c>
      <c r="L35" s="589" t="s">
        <v>2919</v>
      </c>
      <c r="M35" s="589" t="s">
        <v>2920</v>
      </c>
      <c r="N35" s="590" t="s">
        <v>2921</v>
      </c>
      <c r="O35" s="591" t="s">
        <v>2922</v>
      </c>
    </row>
    <row r="36" ht="63.0" customHeight="1">
      <c r="A36" s="584" t="s">
        <v>1836</v>
      </c>
      <c r="B36" s="585" t="s">
        <v>1721</v>
      </c>
      <c r="C36" s="586"/>
      <c r="D36" s="587">
        <v>4.0</v>
      </c>
      <c r="E36" s="587">
        <v>10.0</v>
      </c>
      <c r="F36" s="587">
        <v>4.0</v>
      </c>
      <c r="G36" s="588" t="s">
        <v>1663</v>
      </c>
      <c r="H36" s="587">
        <v>2.0</v>
      </c>
      <c r="I36" s="587">
        <v>4.0</v>
      </c>
      <c r="J36" s="587">
        <v>3.0</v>
      </c>
      <c r="K36" s="587">
        <v>2.0</v>
      </c>
      <c r="L36" s="589" t="s">
        <v>2923</v>
      </c>
      <c r="M36" s="589" t="s">
        <v>2924</v>
      </c>
      <c r="N36" s="590" t="s">
        <v>1745</v>
      </c>
      <c r="O36" s="591" t="s">
        <v>2925</v>
      </c>
    </row>
    <row r="37" ht="63.0" customHeight="1">
      <c r="A37" s="584" t="s">
        <v>1778</v>
      </c>
      <c r="B37" s="585" t="s">
        <v>1717</v>
      </c>
      <c r="C37" s="592"/>
      <c r="D37" s="587">
        <v>4.0</v>
      </c>
      <c r="E37" s="587">
        <v>14.0</v>
      </c>
      <c r="F37" s="587">
        <v>3.0</v>
      </c>
      <c r="G37" s="588" t="s">
        <v>1663</v>
      </c>
      <c r="H37" s="587">
        <v>6.0</v>
      </c>
      <c r="I37" s="587">
        <v>2.0</v>
      </c>
      <c r="J37" s="587">
        <v>1.0</v>
      </c>
      <c r="K37" s="587">
        <v>2.0</v>
      </c>
      <c r="L37" s="589" t="s">
        <v>1779</v>
      </c>
      <c r="M37" s="589" t="s">
        <v>1780</v>
      </c>
      <c r="N37" s="590" t="s">
        <v>1758</v>
      </c>
      <c r="O37" s="591" t="s">
        <v>2926</v>
      </c>
    </row>
    <row r="38" ht="63.0" customHeight="1">
      <c r="A38" s="584" t="s">
        <v>1778</v>
      </c>
      <c r="B38" s="585" t="s">
        <v>1717</v>
      </c>
      <c r="C38" s="592" t="s">
        <v>2824</v>
      </c>
      <c r="D38" s="587">
        <v>4.0</v>
      </c>
      <c r="E38" s="587">
        <v>14.0</v>
      </c>
      <c r="F38" s="587">
        <v>3.0</v>
      </c>
      <c r="G38" s="588" t="s">
        <v>1663</v>
      </c>
      <c r="H38" s="587">
        <v>6.0</v>
      </c>
      <c r="I38" s="587">
        <v>2.0</v>
      </c>
      <c r="J38" s="587">
        <v>1.0</v>
      </c>
      <c r="K38" s="587">
        <v>2.0</v>
      </c>
      <c r="L38" s="589" t="s">
        <v>2927</v>
      </c>
      <c r="M38" s="589" t="s">
        <v>2928</v>
      </c>
      <c r="N38" s="590" t="s">
        <v>2838</v>
      </c>
      <c r="O38" s="591" t="s">
        <v>2929</v>
      </c>
    </row>
    <row r="39" ht="63.0" customHeight="1">
      <c r="A39" s="584" t="s">
        <v>2930</v>
      </c>
      <c r="B39" s="585" t="s">
        <v>1738</v>
      </c>
      <c r="C39" s="592" t="s">
        <v>2824</v>
      </c>
      <c r="D39" s="587">
        <v>4.0</v>
      </c>
      <c r="E39" s="587">
        <v>12.0</v>
      </c>
      <c r="F39" s="587">
        <v>3.0</v>
      </c>
      <c r="G39" s="588" t="s">
        <v>1663</v>
      </c>
      <c r="H39" s="587">
        <v>3.0</v>
      </c>
      <c r="I39" s="587">
        <v>1.0</v>
      </c>
      <c r="J39" s="587">
        <v>2.0</v>
      </c>
      <c r="K39" s="587">
        <v>5.0</v>
      </c>
      <c r="L39" s="589" t="s">
        <v>2931</v>
      </c>
      <c r="M39" s="589" t="s">
        <v>2932</v>
      </c>
      <c r="N39" s="590" t="s">
        <v>2849</v>
      </c>
      <c r="O39" s="591" t="s">
        <v>2933</v>
      </c>
    </row>
    <row r="40" ht="63.0" customHeight="1">
      <c r="A40" s="584" t="s">
        <v>1742</v>
      </c>
      <c r="B40" s="585" t="s">
        <v>1717</v>
      </c>
      <c r="C40" s="592" t="s">
        <v>2824</v>
      </c>
      <c r="D40" s="587">
        <v>3.0</v>
      </c>
      <c r="E40" s="587">
        <v>12.0</v>
      </c>
      <c r="F40" s="587">
        <v>3.0</v>
      </c>
      <c r="G40" s="588" t="s">
        <v>1663</v>
      </c>
      <c r="H40" s="587">
        <v>4.0</v>
      </c>
      <c r="I40" s="587">
        <v>3.0</v>
      </c>
      <c r="J40" s="587">
        <v>2.0</v>
      </c>
      <c r="K40" s="587">
        <v>2.0</v>
      </c>
      <c r="L40" s="589" t="s">
        <v>2934</v>
      </c>
      <c r="M40" s="589" t="s">
        <v>2935</v>
      </c>
      <c r="N40" s="590" t="s">
        <v>2860</v>
      </c>
      <c r="O40" s="591" t="s">
        <v>2936</v>
      </c>
    </row>
    <row r="41" ht="63.0" customHeight="1">
      <c r="A41" s="584" t="s">
        <v>1742</v>
      </c>
      <c r="B41" s="585" t="s">
        <v>1717</v>
      </c>
      <c r="C41" s="586"/>
      <c r="D41" s="587">
        <v>3.0</v>
      </c>
      <c r="E41" s="587">
        <v>12.0</v>
      </c>
      <c r="F41" s="587">
        <v>4.0</v>
      </c>
      <c r="G41" s="588" t="s">
        <v>1663</v>
      </c>
      <c r="H41" s="587">
        <v>4.0</v>
      </c>
      <c r="I41" s="587">
        <v>3.0</v>
      </c>
      <c r="J41" s="587">
        <v>2.0</v>
      </c>
      <c r="K41" s="587">
        <v>2.0</v>
      </c>
      <c r="L41" s="589" t="s">
        <v>1743</v>
      </c>
      <c r="M41" s="589" t="s">
        <v>2937</v>
      </c>
      <c r="N41" s="590" t="s">
        <v>1745</v>
      </c>
      <c r="O41" s="591" t="s">
        <v>2938</v>
      </c>
    </row>
    <row r="42" ht="63.0" customHeight="1">
      <c r="A42" s="584" t="s">
        <v>2939</v>
      </c>
      <c r="B42" s="585" t="s">
        <v>1730</v>
      </c>
      <c r="C42" s="592" t="s">
        <v>2824</v>
      </c>
      <c r="D42" s="587">
        <v>3.0</v>
      </c>
      <c r="E42" s="587">
        <v>10.0</v>
      </c>
      <c r="F42" s="587">
        <v>4.0</v>
      </c>
      <c r="G42" s="595" t="s">
        <v>1858</v>
      </c>
      <c r="H42" s="587">
        <v>1.0</v>
      </c>
      <c r="I42" s="587">
        <v>3.0</v>
      </c>
      <c r="J42" s="587">
        <v>5.0</v>
      </c>
      <c r="K42" s="587">
        <v>2.0</v>
      </c>
      <c r="L42" s="589" t="s">
        <v>2940</v>
      </c>
      <c r="M42" s="589" t="s">
        <v>2941</v>
      </c>
      <c r="N42" s="590" t="s">
        <v>2829</v>
      </c>
      <c r="O42" s="591" t="s">
        <v>2942</v>
      </c>
    </row>
    <row r="43" ht="63.0" customHeight="1">
      <c r="A43" s="584" t="s">
        <v>2943</v>
      </c>
      <c r="B43" s="585" t="s">
        <v>1717</v>
      </c>
      <c r="C43" s="592" t="s">
        <v>2824</v>
      </c>
      <c r="D43" s="587">
        <v>3.0</v>
      </c>
      <c r="E43" s="587">
        <v>14.0</v>
      </c>
      <c r="F43" s="587">
        <v>3.0</v>
      </c>
      <c r="G43" s="588" t="s">
        <v>1663</v>
      </c>
      <c r="H43" s="587">
        <v>4.0</v>
      </c>
      <c r="I43" s="587">
        <v>2.0</v>
      </c>
      <c r="J43" s="587">
        <v>2.0</v>
      </c>
      <c r="K43" s="587">
        <v>3.0</v>
      </c>
      <c r="L43" s="589" t="s">
        <v>2944</v>
      </c>
      <c r="M43" s="589" t="s">
        <v>2945</v>
      </c>
      <c r="N43" s="590" t="s">
        <v>2838</v>
      </c>
      <c r="O43" s="591" t="s">
        <v>2946</v>
      </c>
    </row>
    <row r="44" ht="63.0" customHeight="1">
      <c r="A44" s="584" t="s">
        <v>2947</v>
      </c>
      <c r="B44" s="585" t="s">
        <v>1738</v>
      </c>
      <c r="C44" s="592" t="s">
        <v>2824</v>
      </c>
      <c r="D44" s="587">
        <v>4.0</v>
      </c>
      <c r="E44" s="587">
        <v>8.0</v>
      </c>
      <c r="F44" s="587">
        <v>3.0</v>
      </c>
      <c r="G44" s="588" t="s">
        <v>1663</v>
      </c>
      <c r="H44" s="587">
        <v>2.0</v>
      </c>
      <c r="I44" s="587">
        <v>2.0</v>
      </c>
      <c r="J44" s="587">
        <v>3.0</v>
      </c>
      <c r="K44" s="587">
        <v>4.0</v>
      </c>
      <c r="L44" s="589" t="s">
        <v>2948</v>
      </c>
      <c r="M44" s="589" t="s">
        <v>2949</v>
      </c>
      <c r="N44" s="590" t="s">
        <v>2865</v>
      </c>
      <c r="O44" s="591" t="s">
        <v>2950</v>
      </c>
    </row>
    <row r="45" ht="63.0" customHeight="1">
      <c r="A45" s="584" t="s">
        <v>1845</v>
      </c>
      <c r="B45" s="585" t="s">
        <v>1738</v>
      </c>
      <c r="C45" s="586"/>
      <c r="D45" s="587">
        <v>4.0</v>
      </c>
      <c r="E45" s="587">
        <v>8.0</v>
      </c>
      <c r="F45" s="587">
        <v>5.0</v>
      </c>
      <c r="G45" s="588" t="s">
        <v>1663</v>
      </c>
      <c r="H45" s="587">
        <v>2.0</v>
      </c>
      <c r="I45" s="587">
        <v>2.0</v>
      </c>
      <c r="J45" s="587">
        <v>3.0</v>
      </c>
      <c r="K45" s="587">
        <v>4.0</v>
      </c>
      <c r="L45" s="589" t="s">
        <v>1846</v>
      </c>
      <c r="M45" s="589" t="s">
        <v>2951</v>
      </c>
      <c r="N45" s="590" t="s">
        <v>1748</v>
      </c>
      <c r="O45" s="591" t="s">
        <v>2952</v>
      </c>
    </row>
    <row r="46" ht="63.0" customHeight="1">
      <c r="A46" s="584" t="s">
        <v>1752</v>
      </c>
      <c r="B46" s="585" t="s">
        <v>1730</v>
      </c>
      <c r="C46" s="586"/>
      <c r="D46" s="587">
        <v>4.0</v>
      </c>
      <c r="E46" s="587">
        <v>8.0</v>
      </c>
      <c r="F46" s="587">
        <v>5.0</v>
      </c>
      <c r="G46" s="588" t="s">
        <v>1663</v>
      </c>
      <c r="H46" s="587">
        <v>1.0</v>
      </c>
      <c r="I46" s="587">
        <v>2.0</v>
      </c>
      <c r="J46" s="587">
        <v>5.0</v>
      </c>
      <c r="K46" s="587">
        <v>3.0</v>
      </c>
      <c r="L46" s="589" t="s">
        <v>2953</v>
      </c>
      <c r="M46" s="589" t="s">
        <v>1754</v>
      </c>
      <c r="N46" s="590" t="s">
        <v>1724</v>
      </c>
      <c r="O46" s="591" t="s">
        <v>2954</v>
      </c>
    </row>
    <row r="47" ht="63.0" customHeight="1">
      <c r="A47" s="584" t="s">
        <v>1759</v>
      </c>
      <c r="B47" s="585" t="s">
        <v>1738</v>
      </c>
      <c r="C47" s="586"/>
      <c r="D47" s="587">
        <v>5.0</v>
      </c>
      <c r="E47" s="587">
        <v>10.0</v>
      </c>
      <c r="F47" s="587">
        <v>5.0</v>
      </c>
      <c r="G47" s="588" t="s">
        <v>1663</v>
      </c>
      <c r="H47" s="587">
        <v>3.0</v>
      </c>
      <c r="I47" s="587">
        <v>3.0</v>
      </c>
      <c r="J47" s="587">
        <v>3.0</v>
      </c>
      <c r="K47" s="587">
        <v>3.0</v>
      </c>
      <c r="L47" s="596" t="s">
        <v>2955</v>
      </c>
      <c r="M47" s="589" t="s">
        <v>1761</v>
      </c>
      <c r="N47" s="590" t="s">
        <v>1762</v>
      </c>
      <c r="O47" s="591" t="s">
        <v>2956</v>
      </c>
    </row>
    <row r="48" ht="63.0" customHeight="1">
      <c r="A48" s="584" t="s">
        <v>1759</v>
      </c>
      <c r="B48" s="585" t="s">
        <v>1738</v>
      </c>
      <c r="C48" s="592" t="s">
        <v>2824</v>
      </c>
      <c r="D48" s="587">
        <v>5.0</v>
      </c>
      <c r="E48" s="587">
        <v>10.0</v>
      </c>
      <c r="F48" s="587">
        <v>5.0</v>
      </c>
      <c r="G48" s="588" t="s">
        <v>1663</v>
      </c>
      <c r="H48" s="587">
        <v>3.0</v>
      </c>
      <c r="I48" s="587">
        <v>3.0</v>
      </c>
      <c r="J48" s="587">
        <v>3.0</v>
      </c>
      <c r="K48" s="587">
        <v>3.0</v>
      </c>
      <c r="L48" s="596" t="s">
        <v>2957</v>
      </c>
      <c r="M48" s="589" t="s">
        <v>2958</v>
      </c>
      <c r="N48" s="590" t="s">
        <v>2860</v>
      </c>
      <c r="O48" s="591" t="s">
        <v>2959</v>
      </c>
    </row>
    <row r="49" ht="63.0" customHeight="1">
      <c r="A49" s="584" t="s">
        <v>1851</v>
      </c>
      <c r="B49" s="585" t="s">
        <v>1738</v>
      </c>
      <c r="C49" s="586"/>
      <c r="D49" s="587">
        <v>4.0</v>
      </c>
      <c r="E49" s="587">
        <v>10.0</v>
      </c>
      <c r="F49" s="587">
        <v>4.0</v>
      </c>
      <c r="G49" s="588" t="s">
        <v>1663</v>
      </c>
      <c r="H49" s="587">
        <v>3.0</v>
      </c>
      <c r="I49" s="587">
        <v>2.0</v>
      </c>
      <c r="J49" s="587">
        <v>2.0</v>
      </c>
      <c r="K49" s="587">
        <v>4.0</v>
      </c>
      <c r="L49" s="589" t="s">
        <v>1852</v>
      </c>
      <c r="M49" s="589" t="s">
        <v>1853</v>
      </c>
      <c r="N49" s="590" t="s">
        <v>1827</v>
      </c>
      <c r="O49" s="591" t="s">
        <v>2960</v>
      </c>
    </row>
    <row r="50" ht="63.0" customHeight="1">
      <c r="A50" s="584" t="s">
        <v>1716</v>
      </c>
      <c r="B50" s="585" t="s">
        <v>1717</v>
      </c>
      <c r="C50" s="592" t="s">
        <v>2824</v>
      </c>
      <c r="D50" s="587">
        <v>4.0</v>
      </c>
      <c r="E50" s="587">
        <v>12.0</v>
      </c>
      <c r="F50" s="587">
        <v>3.0</v>
      </c>
      <c r="G50" s="588" t="s">
        <v>1663</v>
      </c>
      <c r="H50" s="587">
        <v>4.0</v>
      </c>
      <c r="I50" s="587">
        <v>2.0</v>
      </c>
      <c r="J50" s="587">
        <v>3.0</v>
      </c>
      <c r="K50" s="587">
        <v>2.0</v>
      </c>
      <c r="L50" s="589" t="s">
        <v>2961</v>
      </c>
      <c r="M50" s="589" t="s">
        <v>1719</v>
      </c>
      <c r="N50" s="590" t="s">
        <v>2865</v>
      </c>
      <c r="O50" s="591" t="s">
        <v>2962</v>
      </c>
    </row>
    <row r="51" ht="63.0" customHeight="1">
      <c r="A51" s="584" t="s">
        <v>1716</v>
      </c>
      <c r="B51" s="585" t="s">
        <v>1717</v>
      </c>
      <c r="C51" s="586"/>
      <c r="D51" s="587">
        <v>4.0</v>
      </c>
      <c r="E51" s="587">
        <v>12.0</v>
      </c>
      <c r="F51" s="587">
        <v>3.0</v>
      </c>
      <c r="G51" s="588" t="s">
        <v>1663</v>
      </c>
      <c r="H51" s="587">
        <v>4.0</v>
      </c>
      <c r="I51" s="587">
        <v>2.0</v>
      </c>
      <c r="J51" s="587">
        <v>3.0</v>
      </c>
      <c r="K51" s="587">
        <v>2.0</v>
      </c>
      <c r="L51" s="589" t="s">
        <v>2963</v>
      </c>
      <c r="M51" s="589" t="s">
        <v>2964</v>
      </c>
      <c r="N51" s="590" t="s">
        <v>1720</v>
      </c>
      <c r="O51" s="591" t="s">
        <v>2965</v>
      </c>
    </row>
    <row r="52" ht="63.0" customHeight="1">
      <c r="A52" s="584" t="s">
        <v>1729</v>
      </c>
      <c r="B52" s="585" t="s">
        <v>1730</v>
      </c>
      <c r="C52" s="586"/>
      <c r="D52" s="587">
        <v>5.0</v>
      </c>
      <c r="E52" s="587">
        <v>8.0</v>
      </c>
      <c r="F52" s="587">
        <v>5.0</v>
      </c>
      <c r="G52" s="588" t="s">
        <v>1663</v>
      </c>
      <c r="H52" s="587">
        <v>2.0</v>
      </c>
      <c r="I52" s="587">
        <v>2.0</v>
      </c>
      <c r="J52" s="587">
        <v>3.0</v>
      </c>
      <c r="K52" s="587">
        <v>4.0</v>
      </c>
      <c r="L52" s="589" t="s">
        <v>1731</v>
      </c>
      <c r="M52" s="589" t="s">
        <v>1732</v>
      </c>
      <c r="N52" s="590" t="s">
        <v>1733</v>
      </c>
      <c r="O52" s="591" t="s">
        <v>2966</v>
      </c>
    </row>
    <row r="53" ht="63.0" customHeight="1">
      <c r="A53" s="584" t="s">
        <v>1729</v>
      </c>
      <c r="B53" s="585" t="s">
        <v>1730</v>
      </c>
      <c r="C53" s="592" t="s">
        <v>2824</v>
      </c>
      <c r="D53" s="587">
        <v>5.0</v>
      </c>
      <c r="E53" s="587">
        <v>8.0</v>
      </c>
      <c r="F53" s="587">
        <v>5.0</v>
      </c>
      <c r="G53" s="588" t="s">
        <v>1663</v>
      </c>
      <c r="H53" s="587">
        <v>2.0</v>
      </c>
      <c r="I53" s="587">
        <v>2.0</v>
      </c>
      <c r="J53" s="587">
        <v>3.0</v>
      </c>
      <c r="K53" s="587">
        <v>4.0</v>
      </c>
      <c r="L53" s="589" t="s">
        <v>2967</v>
      </c>
      <c r="M53" s="589" t="s">
        <v>2968</v>
      </c>
      <c r="N53" s="590" t="s">
        <v>2829</v>
      </c>
      <c r="O53" s="591" t="s">
        <v>2969</v>
      </c>
    </row>
    <row r="54" ht="63.0" customHeight="1">
      <c r="A54" s="584" t="s">
        <v>2970</v>
      </c>
      <c r="B54" s="585" t="s">
        <v>1730</v>
      </c>
      <c r="C54" s="592" t="s">
        <v>2824</v>
      </c>
      <c r="D54" s="587">
        <v>4.0</v>
      </c>
      <c r="E54" s="587">
        <v>8.0</v>
      </c>
      <c r="F54" s="587">
        <v>3.0</v>
      </c>
      <c r="G54" s="588" t="s">
        <v>1663</v>
      </c>
      <c r="H54" s="587">
        <v>1.0</v>
      </c>
      <c r="I54" s="587">
        <v>4.0</v>
      </c>
      <c r="J54" s="587">
        <v>4.0</v>
      </c>
      <c r="K54" s="587">
        <v>2.0</v>
      </c>
      <c r="L54" s="589" t="s">
        <v>2971</v>
      </c>
      <c r="M54" s="589" t="s">
        <v>2972</v>
      </c>
      <c r="N54" s="590" t="s">
        <v>2829</v>
      </c>
      <c r="O54" s="591" t="s">
        <v>2973</v>
      </c>
    </row>
    <row r="55" ht="63.0" customHeight="1">
      <c r="A55" s="584" t="s">
        <v>1890</v>
      </c>
      <c r="B55" s="585" t="s">
        <v>1730</v>
      </c>
      <c r="C55" s="592" t="s">
        <v>2824</v>
      </c>
      <c r="D55" s="587">
        <v>5.0</v>
      </c>
      <c r="E55" s="587">
        <v>8.0</v>
      </c>
      <c r="F55" s="587">
        <v>4.0</v>
      </c>
      <c r="G55" s="588" t="s">
        <v>1663</v>
      </c>
      <c r="H55" s="587">
        <v>1.0</v>
      </c>
      <c r="I55" s="587">
        <v>3.0</v>
      </c>
      <c r="J55" s="587">
        <v>5.0</v>
      </c>
      <c r="K55" s="587">
        <v>2.0</v>
      </c>
      <c r="L55" s="589" t="s">
        <v>2974</v>
      </c>
      <c r="M55" s="589" t="s">
        <v>2975</v>
      </c>
      <c r="N55" s="590" t="s">
        <v>2865</v>
      </c>
      <c r="O55" s="591" t="s">
        <v>2976</v>
      </c>
    </row>
    <row r="56" ht="63.0" customHeight="1">
      <c r="A56" s="584" t="s">
        <v>1890</v>
      </c>
      <c r="B56" s="585" t="s">
        <v>1730</v>
      </c>
      <c r="C56" s="593"/>
      <c r="D56" s="587">
        <v>5.0</v>
      </c>
      <c r="E56" s="587">
        <v>8.0</v>
      </c>
      <c r="F56" s="587">
        <v>4.0</v>
      </c>
      <c r="G56" s="588" t="s">
        <v>1663</v>
      </c>
      <c r="H56" s="587">
        <v>1.0</v>
      </c>
      <c r="I56" s="587">
        <v>3.0</v>
      </c>
      <c r="J56" s="587">
        <v>5.0</v>
      </c>
      <c r="K56" s="587">
        <v>2.0</v>
      </c>
      <c r="L56" s="589" t="s">
        <v>2977</v>
      </c>
      <c r="M56" s="589" t="s">
        <v>1892</v>
      </c>
      <c r="N56" s="590" t="s">
        <v>1728</v>
      </c>
      <c r="O56" s="591" t="s">
        <v>2978</v>
      </c>
    </row>
    <row r="57" ht="63.0" customHeight="1">
      <c r="A57" s="584" t="s">
        <v>1734</v>
      </c>
      <c r="B57" s="585" t="s">
        <v>1717</v>
      </c>
      <c r="C57" s="592" t="s">
        <v>2824</v>
      </c>
      <c r="D57" s="587">
        <v>3.0</v>
      </c>
      <c r="E57" s="587">
        <v>14.0</v>
      </c>
      <c r="F57" s="587">
        <v>3.0</v>
      </c>
      <c r="G57" s="588" t="s">
        <v>1663</v>
      </c>
      <c r="H57" s="587">
        <v>5.0</v>
      </c>
      <c r="I57" s="587">
        <v>3.0</v>
      </c>
      <c r="J57" s="587">
        <v>1.0</v>
      </c>
      <c r="K57" s="587">
        <v>2.0</v>
      </c>
      <c r="L57" s="589" t="s">
        <v>2979</v>
      </c>
      <c r="M57" s="589" t="s">
        <v>2980</v>
      </c>
      <c r="N57" s="590" t="s">
        <v>2829</v>
      </c>
      <c r="O57" s="591" t="s">
        <v>2981</v>
      </c>
    </row>
    <row r="58" ht="63.0" customHeight="1">
      <c r="A58" s="584" t="s">
        <v>1734</v>
      </c>
      <c r="B58" s="585" t="s">
        <v>1717</v>
      </c>
      <c r="C58" s="586"/>
      <c r="D58" s="587">
        <v>4.0</v>
      </c>
      <c r="E58" s="587">
        <v>14.0</v>
      </c>
      <c r="F58" s="587">
        <v>4.0</v>
      </c>
      <c r="G58" s="588" t="s">
        <v>1663</v>
      </c>
      <c r="H58" s="587">
        <v>5.0</v>
      </c>
      <c r="I58" s="587">
        <v>3.0</v>
      </c>
      <c r="J58" s="587">
        <v>1.0</v>
      </c>
      <c r="K58" s="587">
        <v>2.0</v>
      </c>
      <c r="L58" s="589" t="s">
        <v>1735</v>
      </c>
      <c r="M58" s="589" t="s">
        <v>1736</v>
      </c>
      <c r="N58" s="590" t="s">
        <v>1720</v>
      </c>
      <c r="O58" s="591" t="s">
        <v>2982</v>
      </c>
    </row>
    <row r="59" ht="63.0" customHeight="1">
      <c r="A59" s="584" t="s">
        <v>1787</v>
      </c>
      <c r="B59" s="585" t="s">
        <v>1717</v>
      </c>
      <c r="C59" s="586"/>
      <c r="D59" s="587">
        <v>4.0</v>
      </c>
      <c r="E59" s="587">
        <v>12.0</v>
      </c>
      <c r="F59" s="587">
        <v>4.0</v>
      </c>
      <c r="G59" s="595" t="s">
        <v>1788</v>
      </c>
      <c r="H59" s="587">
        <v>4.0</v>
      </c>
      <c r="I59" s="587">
        <v>2.0</v>
      </c>
      <c r="J59" s="587">
        <v>2.0</v>
      </c>
      <c r="K59" s="587">
        <v>3.0</v>
      </c>
      <c r="L59" s="589" t="s">
        <v>1789</v>
      </c>
      <c r="M59" s="589" t="s">
        <v>1790</v>
      </c>
      <c r="N59" s="590" t="s">
        <v>1741</v>
      </c>
      <c r="O59" s="591" t="s">
        <v>2983</v>
      </c>
    </row>
    <row r="60" ht="63.0" customHeight="1">
      <c r="A60" s="584" t="s">
        <v>1787</v>
      </c>
      <c r="B60" s="585" t="s">
        <v>1717</v>
      </c>
      <c r="C60" s="592" t="s">
        <v>2824</v>
      </c>
      <c r="D60" s="587">
        <v>4.0</v>
      </c>
      <c r="E60" s="587">
        <v>12.0</v>
      </c>
      <c r="F60" s="587">
        <v>4.0</v>
      </c>
      <c r="G60" s="595" t="s">
        <v>1788</v>
      </c>
      <c r="H60" s="587">
        <v>4.0</v>
      </c>
      <c r="I60" s="587">
        <v>2.0</v>
      </c>
      <c r="J60" s="587">
        <v>2.0</v>
      </c>
      <c r="K60" s="587">
        <v>3.0</v>
      </c>
      <c r="L60" s="589" t="s">
        <v>2984</v>
      </c>
      <c r="M60" s="589" t="s">
        <v>2985</v>
      </c>
      <c r="N60" s="590" t="s">
        <v>2865</v>
      </c>
      <c r="O60" s="591" t="s">
        <v>2986</v>
      </c>
    </row>
    <row r="61" ht="63.0" customHeight="1">
      <c r="A61" s="584" t="s">
        <v>1773</v>
      </c>
      <c r="B61" s="585" t="s">
        <v>1717</v>
      </c>
      <c r="C61" s="586"/>
      <c r="D61" s="587">
        <v>5.0</v>
      </c>
      <c r="E61" s="587">
        <v>10.0</v>
      </c>
      <c r="F61" s="587">
        <v>4.0</v>
      </c>
      <c r="G61" s="588" t="s">
        <v>1663</v>
      </c>
      <c r="H61" s="587">
        <v>4.0</v>
      </c>
      <c r="I61" s="587">
        <v>2.0</v>
      </c>
      <c r="J61" s="587">
        <v>1.0</v>
      </c>
      <c r="K61" s="587">
        <v>4.0</v>
      </c>
      <c r="L61" s="589" t="s">
        <v>2987</v>
      </c>
      <c r="M61" s="589" t="s">
        <v>2988</v>
      </c>
      <c r="N61" s="590" t="s">
        <v>1728</v>
      </c>
      <c r="O61" s="591" t="s">
        <v>2989</v>
      </c>
    </row>
    <row r="62" ht="63.0" customHeight="1">
      <c r="A62" s="584" t="s">
        <v>1773</v>
      </c>
      <c r="B62" s="585" t="s">
        <v>1717</v>
      </c>
      <c r="C62" s="592" t="s">
        <v>2824</v>
      </c>
      <c r="D62" s="587">
        <v>5.0</v>
      </c>
      <c r="E62" s="587">
        <v>10.0</v>
      </c>
      <c r="F62" s="587">
        <v>4.0</v>
      </c>
      <c r="G62" s="588" t="s">
        <v>1663</v>
      </c>
      <c r="H62" s="587">
        <v>4.0</v>
      </c>
      <c r="I62" s="587">
        <v>2.0</v>
      </c>
      <c r="J62" s="587">
        <v>1.0</v>
      </c>
      <c r="K62" s="587">
        <v>4.0</v>
      </c>
      <c r="L62" s="589" t="s">
        <v>2990</v>
      </c>
      <c r="M62" s="589" t="s">
        <v>2991</v>
      </c>
      <c r="N62" s="590" t="s">
        <v>2921</v>
      </c>
      <c r="O62" s="591" t="s">
        <v>2992</v>
      </c>
    </row>
    <row r="63" ht="63.0" customHeight="1">
      <c r="A63" s="584" t="s">
        <v>1900</v>
      </c>
      <c r="B63" s="585" t="s">
        <v>1721</v>
      </c>
      <c r="C63" s="586"/>
      <c r="D63" s="587">
        <v>2.0</v>
      </c>
      <c r="E63" s="587">
        <v>8.0</v>
      </c>
      <c r="F63" s="587">
        <v>3.0</v>
      </c>
      <c r="G63" s="588" t="s">
        <v>1663</v>
      </c>
      <c r="H63" s="587">
        <v>3.0</v>
      </c>
      <c r="I63" s="587">
        <v>3.0</v>
      </c>
      <c r="J63" s="587">
        <v>2.0</v>
      </c>
      <c r="K63" s="587">
        <v>3.0</v>
      </c>
      <c r="L63" s="589" t="s">
        <v>1901</v>
      </c>
      <c r="M63" s="589" t="s">
        <v>1902</v>
      </c>
      <c r="N63" s="590" t="s">
        <v>1741</v>
      </c>
      <c r="O63" s="591" t="s">
        <v>2993</v>
      </c>
    </row>
    <row r="64" ht="63.0" customHeight="1">
      <c r="A64" s="584" t="s">
        <v>1900</v>
      </c>
      <c r="B64" s="585" t="s">
        <v>1721</v>
      </c>
      <c r="C64" s="592" t="s">
        <v>2824</v>
      </c>
      <c r="D64" s="587">
        <v>2.0</v>
      </c>
      <c r="E64" s="587">
        <v>8.0</v>
      </c>
      <c r="F64" s="587">
        <v>3.0</v>
      </c>
      <c r="G64" s="588" t="s">
        <v>1663</v>
      </c>
      <c r="H64" s="587">
        <v>3.0</v>
      </c>
      <c r="I64" s="587">
        <v>3.0</v>
      </c>
      <c r="J64" s="587">
        <v>2.0</v>
      </c>
      <c r="K64" s="587">
        <v>3.0</v>
      </c>
      <c r="L64" s="589" t="s">
        <v>2994</v>
      </c>
      <c r="M64" s="589" t="s">
        <v>2995</v>
      </c>
      <c r="N64" s="590" t="s">
        <v>2838</v>
      </c>
      <c r="O64" s="591" t="s">
        <v>2996</v>
      </c>
    </row>
    <row r="65" ht="63.0" customHeight="1">
      <c r="A65" s="584" t="s">
        <v>1865</v>
      </c>
      <c r="B65" s="585" t="s">
        <v>1717</v>
      </c>
      <c r="C65" s="592" t="s">
        <v>2824</v>
      </c>
      <c r="D65" s="587">
        <v>4.0</v>
      </c>
      <c r="E65" s="587">
        <v>10.0</v>
      </c>
      <c r="F65" s="587">
        <v>4.0</v>
      </c>
      <c r="G65" s="588" t="s">
        <v>1663</v>
      </c>
      <c r="H65" s="587">
        <v>3.0</v>
      </c>
      <c r="I65" s="587">
        <v>3.0</v>
      </c>
      <c r="J65" s="587">
        <v>2.0</v>
      </c>
      <c r="K65" s="587">
        <v>3.0</v>
      </c>
      <c r="L65" s="589" t="s">
        <v>2997</v>
      </c>
      <c r="M65" s="589" t="s">
        <v>2998</v>
      </c>
      <c r="N65" s="590" t="s">
        <v>2829</v>
      </c>
      <c r="O65" s="591" t="s">
        <v>2999</v>
      </c>
    </row>
    <row r="66" ht="63.0" customHeight="1">
      <c r="A66" s="584" t="s">
        <v>1865</v>
      </c>
      <c r="B66" s="585" t="s">
        <v>1717</v>
      </c>
      <c r="C66" s="586"/>
      <c r="D66" s="587">
        <v>4.0</v>
      </c>
      <c r="E66" s="587">
        <v>10.0</v>
      </c>
      <c r="F66" s="587">
        <v>4.0</v>
      </c>
      <c r="G66" s="588" t="s">
        <v>1663</v>
      </c>
      <c r="H66" s="587">
        <v>3.0</v>
      </c>
      <c r="I66" s="587">
        <v>3.0</v>
      </c>
      <c r="J66" s="587">
        <v>2.0</v>
      </c>
      <c r="K66" s="587">
        <v>3.0</v>
      </c>
      <c r="L66" s="589" t="s">
        <v>1866</v>
      </c>
      <c r="M66" s="589" t="s">
        <v>1867</v>
      </c>
      <c r="N66" s="590" t="s">
        <v>1758</v>
      </c>
      <c r="O66" s="591" t="s">
        <v>3000</v>
      </c>
    </row>
    <row r="67" ht="63.0" customHeight="1">
      <c r="A67" s="584" t="s">
        <v>1857</v>
      </c>
      <c r="B67" s="585" t="s">
        <v>1717</v>
      </c>
      <c r="C67" s="586"/>
      <c r="D67" s="587">
        <v>5.0</v>
      </c>
      <c r="E67" s="587">
        <v>10.0</v>
      </c>
      <c r="F67" s="587">
        <v>5.0</v>
      </c>
      <c r="G67" s="595" t="s">
        <v>1858</v>
      </c>
      <c r="H67" s="587">
        <v>4.0</v>
      </c>
      <c r="I67" s="587">
        <v>2.0</v>
      </c>
      <c r="J67" s="587">
        <v>1.0</v>
      </c>
      <c r="K67" s="587">
        <v>4.0</v>
      </c>
      <c r="L67" s="589" t="s">
        <v>1859</v>
      </c>
      <c r="M67" s="589" t="s">
        <v>1860</v>
      </c>
      <c r="N67" s="590" t="s">
        <v>1861</v>
      </c>
      <c r="O67" s="591" t="s">
        <v>3001</v>
      </c>
    </row>
    <row r="68" ht="63.0" customHeight="1">
      <c r="A68" s="584" t="s">
        <v>1824</v>
      </c>
      <c r="B68" s="585" t="s">
        <v>1717</v>
      </c>
      <c r="C68" s="586"/>
      <c r="D68" s="587">
        <v>5.0</v>
      </c>
      <c r="E68" s="587">
        <v>10.0</v>
      </c>
      <c r="F68" s="587">
        <v>4.0</v>
      </c>
      <c r="G68" s="588" t="s">
        <v>1663</v>
      </c>
      <c r="H68" s="587">
        <v>3.0</v>
      </c>
      <c r="I68" s="587">
        <v>2.0</v>
      </c>
      <c r="J68" s="587">
        <v>2.0</v>
      </c>
      <c r="K68" s="587">
        <v>4.0</v>
      </c>
      <c r="L68" s="589" t="s">
        <v>3002</v>
      </c>
      <c r="M68" s="589" t="s">
        <v>1826</v>
      </c>
      <c r="N68" s="590" t="s">
        <v>1827</v>
      </c>
      <c r="O68" s="591" t="s">
        <v>3003</v>
      </c>
    </row>
    <row r="69" ht="63.0" customHeight="1">
      <c r="A69" s="584" t="s">
        <v>1868</v>
      </c>
      <c r="B69" s="585" t="s">
        <v>1730</v>
      </c>
      <c r="C69" s="586"/>
      <c r="D69" s="587">
        <v>4.0</v>
      </c>
      <c r="E69" s="587">
        <v>8.0</v>
      </c>
      <c r="F69" s="587">
        <v>5.0</v>
      </c>
      <c r="G69" s="595" t="s">
        <v>1788</v>
      </c>
      <c r="H69" s="587">
        <v>1.0</v>
      </c>
      <c r="I69" s="587">
        <v>2.0</v>
      </c>
      <c r="J69" s="587">
        <v>4.0</v>
      </c>
      <c r="K69" s="587">
        <v>4.0</v>
      </c>
      <c r="L69" s="589" t="s">
        <v>1869</v>
      </c>
      <c r="M69" s="589" t="s">
        <v>1870</v>
      </c>
      <c r="N69" s="590" t="s">
        <v>1861</v>
      </c>
      <c r="O69" s="591" t="s">
        <v>3004</v>
      </c>
    </row>
    <row r="70" ht="63.0" customHeight="1">
      <c r="A70" s="584" t="s">
        <v>1880</v>
      </c>
      <c r="B70" s="585" t="s">
        <v>1738</v>
      </c>
      <c r="C70" s="586"/>
      <c r="D70" s="587">
        <v>4.0</v>
      </c>
      <c r="E70" s="587">
        <v>14.0</v>
      </c>
      <c r="F70" s="587">
        <v>5.0</v>
      </c>
      <c r="G70" s="595" t="s">
        <v>1858</v>
      </c>
      <c r="H70" s="587">
        <v>3.0</v>
      </c>
      <c r="I70" s="587">
        <v>1.0</v>
      </c>
      <c r="J70" s="587">
        <v>2.0</v>
      </c>
      <c r="K70" s="587">
        <v>5.0</v>
      </c>
      <c r="L70" s="589" t="s">
        <v>1881</v>
      </c>
      <c r="M70" s="589" t="s">
        <v>1882</v>
      </c>
      <c r="N70" s="590" t="s">
        <v>1883</v>
      </c>
      <c r="O70" s="591" t="s">
        <v>3005</v>
      </c>
    </row>
    <row r="71" ht="63.0" customHeight="1">
      <c r="A71" s="584" t="s">
        <v>3006</v>
      </c>
      <c r="B71" s="585" t="s">
        <v>1738</v>
      </c>
      <c r="C71" s="592" t="s">
        <v>2824</v>
      </c>
      <c r="D71" s="587">
        <v>5.0</v>
      </c>
      <c r="E71" s="587">
        <v>8.0</v>
      </c>
      <c r="F71" s="587">
        <v>5.0</v>
      </c>
      <c r="G71" s="588" t="s">
        <v>1663</v>
      </c>
      <c r="H71" s="587">
        <v>3.0</v>
      </c>
      <c r="I71" s="587">
        <v>3.0</v>
      </c>
      <c r="J71" s="587">
        <v>3.0</v>
      </c>
      <c r="K71" s="587">
        <v>3.0</v>
      </c>
      <c r="L71" s="589" t="s">
        <v>3007</v>
      </c>
      <c r="M71" s="589" t="s">
        <v>3008</v>
      </c>
      <c r="N71" s="590" t="s">
        <v>2829</v>
      </c>
      <c r="O71" s="591" t="s">
        <v>3009</v>
      </c>
    </row>
    <row r="72" ht="63.0" customHeight="1">
      <c r="A72" s="584" t="s">
        <v>1903</v>
      </c>
      <c r="B72" s="585" t="s">
        <v>1721</v>
      </c>
      <c r="C72" s="586"/>
      <c r="D72" s="587">
        <v>5.0</v>
      </c>
      <c r="E72" s="587">
        <v>10.0</v>
      </c>
      <c r="F72" s="587">
        <v>4.0</v>
      </c>
      <c r="G72" s="588" t="s">
        <v>1663</v>
      </c>
      <c r="H72" s="587">
        <v>2.0</v>
      </c>
      <c r="I72" s="587">
        <v>5.0</v>
      </c>
      <c r="J72" s="587">
        <v>3.0</v>
      </c>
      <c r="K72" s="587">
        <v>1.0</v>
      </c>
      <c r="L72" s="589" t="s">
        <v>1904</v>
      </c>
      <c r="M72" s="589" t="s">
        <v>1905</v>
      </c>
      <c r="N72" s="590" t="s">
        <v>1861</v>
      </c>
      <c r="O72" s="591" t="s">
        <v>3010</v>
      </c>
    </row>
    <row r="73" ht="63.0" customHeight="1">
      <c r="A73" s="584" t="s">
        <v>1805</v>
      </c>
      <c r="B73" s="585" t="s">
        <v>1717</v>
      </c>
      <c r="C73" s="586"/>
      <c r="D73" s="587">
        <v>4.0</v>
      </c>
      <c r="E73" s="587">
        <v>12.0</v>
      </c>
      <c r="F73" s="587">
        <v>4.0</v>
      </c>
      <c r="G73" s="588" t="s">
        <v>1663</v>
      </c>
      <c r="H73" s="587">
        <v>3.0</v>
      </c>
      <c r="I73" s="587">
        <v>4.0</v>
      </c>
      <c r="J73" s="587">
        <v>1.0</v>
      </c>
      <c r="K73" s="587">
        <v>3.0</v>
      </c>
      <c r="L73" s="589" t="s">
        <v>1806</v>
      </c>
      <c r="M73" s="589" t="s">
        <v>1807</v>
      </c>
      <c r="N73" s="590" t="s">
        <v>1808</v>
      </c>
      <c r="O73" s="591" t="s">
        <v>3011</v>
      </c>
    </row>
    <row r="74" ht="63.0" customHeight="1">
      <c r="A74" s="584" t="s">
        <v>1839</v>
      </c>
      <c r="B74" s="585" t="s">
        <v>1738</v>
      </c>
      <c r="C74" s="586"/>
      <c r="D74" s="587">
        <v>5.0</v>
      </c>
      <c r="E74" s="587">
        <v>10.0</v>
      </c>
      <c r="F74" s="587">
        <v>4.0</v>
      </c>
      <c r="G74" s="588" t="s">
        <v>1663</v>
      </c>
      <c r="H74" s="587">
        <v>2.0</v>
      </c>
      <c r="I74" s="587">
        <v>4.0</v>
      </c>
      <c r="J74" s="587">
        <v>2.0</v>
      </c>
      <c r="K74" s="587">
        <v>3.0</v>
      </c>
      <c r="L74" s="589" t="s">
        <v>1840</v>
      </c>
      <c r="M74" s="589" t="s">
        <v>1841</v>
      </c>
      <c r="N74" s="590" t="s">
        <v>1766</v>
      </c>
      <c r="O74" s="591" t="s">
        <v>3012</v>
      </c>
    </row>
    <row r="75" ht="63.0" customHeight="1">
      <c r="A75" s="584" t="s">
        <v>1906</v>
      </c>
      <c r="B75" s="585" t="s">
        <v>1738</v>
      </c>
      <c r="C75" s="586"/>
      <c r="D75" s="587">
        <v>4.0</v>
      </c>
      <c r="E75" s="587">
        <v>10.0</v>
      </c>
      <c r="F75" s="587">
        <v>5.0</v>
      </c>
      <c r="G75" s="588" t="s">
        <v>1663</v>
      </c>
      <c r="H75" s="587">
        <v>3.0</v>
      </c>
      <c r="I75" s="587">
        <v>4.0</v>
      </c>
      <c r="J75" s="587">
        <v>1.0</v>
      </c>
      <c r="K75" s="587">
        <v>3.0</v>
      </c>
      <c r="L75" s="589" t="s">
        <v>1907</v>
      </c>
      <c r="M75" s="589" t="s">
        <v>1908</v>
      </c>
      <c r="N75" s="590" t="s">
        <v>1733</v>
      </c>
      <c r="O75" s="591" t="s">
        <v>3013</v>
      </c>
    </row>
    <row r="76" ht="63.0" customHeight="1">
      <c r="A76" s="584" t="s">
        <v>1906</v>
      </c>
      <c r="B76" s="585" t="s">
        <v>1738</v>
      </c>
      <c r="C76" s="592" t="s">
        <v>2824</v>
      </c>
      <c r="D76" s="587">
        <v>4.0</v>
      </c>
      <c r="E76" s="587">
        <v>10.0</v>
      </c>
      <c r="F76" s="587">
        <v>5.0</v>
      </c>
      <c r="G76" s="588" t="s">
        <v>1663</v>
      </c>
      <c r="H76" s="587">
        <v>3.0</v>
      </c>
      <c r="I76" s="587">
        <v>4.0</v>
      </c>
      <c r="J76" s="587">
        <v>1.0</v>
      </c>
      <c r="K76" s="587">
        <v>3.0</v>
      </c>
      <c r="L76" s="589" t="s">
        <v>3014</v>
      </c>
      <c r="M76" s="589" t="s">
        <v>3015</v>
      </c>
      <c r="N76" s="590" t="s">
        <v>2829</v>
      </c>
      <c r="O76" s="591" t="s">
        <v>3016</v>
      </c>
    </row>
    <row r="77" ht="63.0" customHeight="1">
      <c r="A77" s="584" t="s">
        <v>1874</v>
      </c>
      <c r="B77" s="585" t="s">
        <v>1721</v>
      </c>
      <c r="C77" s="586"/>
      <c r="D77" s="587">
        <v>4.0</v>
      </c>
      <c r="E77" s="587">
        <v>10.0</v>
      </c>
      <c r="F77" s="587">
        <v>4.0</v>
      </c>
      <c r="G77" s="588" t="s">
        <v>1663</v>
      </c>
      <c r="H77" s="587">
        <v>2.0</v>
      </c>
      <c r="I77" s="587">
        <v>3.0</v>
      </c>
      <c r="J77" s="587">
        <v>3.0</v>
      </c>
      <c r="K77" s="587">
        <v>3.0</v>
      </c>
      <c r="L77" s="589" t="s">
        <v>1875</v>
      </c>
      <c r="M77" s="589" t="s">
        <v>1876</v>
      </c>
      <c r="N77" s="590" t="s">
        <v>1720</v>
      </c>
      <c r="O77" s="591" t="s">
        <v>3017</v>
      </c>
    </row>
    <row r="78" ht="63.0" customHeight="1">
      <c r="A78" s="584" t="s">
        <v>1874</v>
      </c>
      <c r="B78" s="585" t="s">
        <v>1721</v>
      </c>
      <c r="C78" s="592" t="s">
        <v>2824</v>
      </c>
      <c r="D78" s="587">
        <v>4.0</v>
      </c>
      <c r="E78" s="587">
        <v>10.0</v>
      </c>
      <c r="F78" s="587">
        <v>4.0</v>
      </c>
      <c r="G78" s="588" t="s">
        <v>1663</v>
      </c>
      <c r="H78" s="587">
        <v>2.0</v>
      </c>
      <c r="I78" s="587">
        <v>3.0</v>
      </c>
      <c r="J78" s="587">
        <v>3.0</v>
      </c>
      <c r="K78" s="587">
        <v>3.0</v>
      </c>
      <c r="L78" s="589" t="s">
        <v>3018</v>
      </c>
      <c r="M78" s="589" t="s">
        <v>3019</v>
      </c>
      <c r="N78" s="590" t="s">
        <v>2849</v>
      </c>
      <c r="O78" s="591" t="s">
        <v>3020</v>
      </c>
    </row>
    <row r="79" ht="63.0" customHeight="1">
      <c r="A79" s="584" t="s">
        <v>1893</v>
      </c>
      <c r="B79" s="585" t="s">
        <v>1721</v>
      </c>
      <c r="C79" s="586"/>
      <c r="D79" s="587">
        <v>3.0</v>
      </c>
      <c r="E79" s="587">
        <v>8.0</v>
      </c>
      <c r="F79" s="587">
        <v>6.0</v>
      </c>
      <c r="G79" s="595" t="s">
        <v>1858</v>
      </c>
      <c r="H79" s="587">
        <v>1.0</v>
      </c>
      <c r="I79" s="587">
        <v>5.0</v>
      </c>
      <c r="J79" s="587">
        <v>3.0</v>
      </c>
      <c r="K79" s="587">
        <v>2.0</v>
      </c>
      <c r="L79" s="589" t="s">
        <v>1894</v>
      </c>
      <c r="M79" s="589" t="s">
        <v>1895</v>
      </c>
      <c r="N79" s="590" t="s">
        <v>3021</v>
      </c>
      <c r="O79" s="591" t="s">
        <v>3022</v>
      </c>
    </row>
    <row r="80" ht="63.0" customHeight="1">
      <c r="A80" s="584" t="s">
        <v>1770</v>
      </c>
      <c r="B80" s="585" t="s">
        <v>1730</v>
      </c>
      <c r="C80" s="586"/>
      <c r="D80" s="587">
        <v>4.0</v>
      </c>
      <c r="E80" s="587">
        <v>10.0</v>
      </c>
      <c r="F80" s="587">
        <v>4.0</v>
      </c>
      <c r="G80" s="588" t="s">
        <v>1663</v>
      </c>
      <c r="H80" s="587">
        <v>2.0</v>
      </c>
      <c r="I80" s="587">
        <v>3.0</v>
      </c>
      <c r="J80" s="587">
        <v>3.0</v>
      </c>
      <c r="K80" s="587">
        <v>3.0</v>
      </c>
      <c r="L80" s="589" t="s">
        <v>1771</v>
      </c>
      <c r="M80" s="589" t="s">
        <v>1772</v>
      </c>
      <c r="N80" s="590" t="s">
        <v>1748</v>
      </c>
      <c r="O80" s="591" t="s">
        <v>3023</v>
      </c>
    </row>
    <row r="81" ht="63.0" customHeight="1">
      <c r="A81" s="584" t="s">
        <v>1770</v>
      </c>
      <c r="B81" s="585" t="s">
        <v>1730</v>
      </c>
      <c r="C81" s="592" t="s">
        <v>2824</v>
      </c>
      <c r="D81" s="587">
        <v>4.0</v>
      </c>
      <c r="E81" s="587">
        <v>8.0</v>
      </c>
      <c r="F81" s="587">
        <v>4.0</v>
      </c>
      <c r="G81" s="588" t="s">
        <v>1663</v>
      </c>
      <c r="H81" s="587">
        <v>2.0</v>
      </c>
      <c r="I81" s="587">
        <v>3.0</v>
      </c>
      <c r="J81" s="587">
        <v>3.0</v>
      </c>
      <c r="K81" s="587">
        <v>3.0</v>
      </c>
      <c r="L81" s="589" t="s">
        <v>1771</v>
      </c>
      <c r="M81" s="589" t="s">
        <v>1772</v>
      </c>
      <c r="N81" s="590" t="s">
        <v>2838</v>
      </c>
      <c r="O81" s="591" t="s">
        <v>3024</v>
      </c>
    </row>
    <row r="82" ht="63.0" customHeight="1">
      <c r="A82" s="584" t="s">
        <v>1854</v>
      </c>
      <c r="B82" s="585" t="s">
        <v>1738</v>
      </c>
      <c r="C82" s="592" t="s">
        <v>2824</v>
      </c>
      <c r="D82" s="587">
        <v>5.0</v>
      </c>
      <c r="E82" s="587">
        <v>10.0</v>
      </c>
      <c r="F82" s="587">
        <v>4.0</v>
      </c>
      <c r="G82" s="588" t="s">
        <v>1663</v>
      </c>
      <c r="H82" s="587">
        <v>3.0</v>
      </c>
      <c r="I82" s="587">
        <v>1.0</v>
      </c>
      <c r="J82" s="587">
        <v>2.0</v>
      </c>
      <c r="K82" s="587">
        <v>5.0</v>
      </c>
      <c r="L82" s="589" t="s">
        <v>3025</v>
      </c>
      <c r="M82" s="589" t="s">
        <v>3026</v>
      </c>
      <c r="N82" s="590" t="s">
        <v>2829</v>
      </c>
      <c r="O82" s="591" t="s">
        <v>3027</v>
      </c>
    </row>
    <row r="83" ht="63.0" customHeight="1">
      <c r="A83" s="584" t="s">
        <v>1854</v>
      </c>
      <c r="B83" s="585" t="s">
        <v>1738</v>
      </c>
      <c r="C83" s="586"/>
      <c r="D83" s="587">
        <v>5.0</v>
      </c>
      <c r="E83" s="587">
        <v>10.0</v>
      </c>
      <c r="F83" s="587">
        <v>4.0</v>
      </c>
      <c r="G83" s="588" t="s">
        <v>1663</v>
      </c>
      <c r="H83" s="587">
        <v>3.0</v>
      </c>
      <c r="I83" s="587">
        <v>1.0</v>
      </c>
      <c r="J83" s="587">
        <v>2.0</v>
      </c>
      <c r="K83" s="587">
        <v>5.0</v>
      </c>
      <c r="L83" s="589" t="s">
        <v>1855</v>
      </c>
      <c r="M83" s="589" t="s">
        <v>1856</v>
      </c>
      <c r="N83" s="590" t="s">
        <v>1720</v>
      </c>
      <c r="O83" s="591" t="s">
        <v>3028</v>
      </c>
    </row>
    <row r="84" ht="63.0" customHeight="1">
      <c r="A84" s="584" t="s">
        <v>1725</v>
      </c>
      <c r="B84" s="585" t="s">
        <v>1717</v>
      </c>
      <c r="C84" s="586"/>
      <c r="D84" s="587">
        <v>4.0</v>
      </c>
      <c r="E84" s="587">
        <v>12.0</v>
      </c>
      <c r="F84" s="587">
        <v>4.0</v>
      </c>
      <c r="G84" s="588" t="s">
        <v>1663</v>
      </c>
      <c r="H84" s="587">
        <v>3.0</v>
      </c>
      <c r="I84" s="587">
        <v>4.0</v>
      </c>
      <c r="J84" s="587">
        <v>3.0</v>
      </c>
      <c r="K84" s="587">
        <v>1.0</v>
      </c>
      <c r="L84" s="589" t="s">
        <v>1726</v>
      </c>
      <c r="M84" s="589" t="s">
        <v>1727</v>
      </c>
      <c r="N84" s="590" t="s">
        <v>1728</v>
      </c>
      <c r="O84" s="591" t="s">
        <v>3029</v>
      </c>
    </row>
    <row r="85" ht="63.0" customHeight="1">
      <c r="A85" s="584" t="s">
        <v>1725</v>
      </c>
      <c r="B85" s="585" t="s">
        <v>1717</v>
      </c>
      <c r="C85" s="592" t="s">
        <v>2824</v>
      </c>
      <c r="D85" s="587">
        <v>4.0</v>
      </c>
      <c r="E85" s="587">
        <v>12.0</v>
      </c>
      <c r="F85" s="587">
        <v>3.0</v>
      </c>
      <c r="G85" s="588" t="s">
        <v>1663</v>
      </c>
      <c r="H85" s="587">
        <v>3.0</v>
      </c>
      <c r="I85" s="587">
        <v>4.0</v>
      </c>
      <c r="J85" s="587">
        <v>3.0</v>
      </c>
      <c r="K85" s="587">
        <v>1.0</v>
      </c>
      <c r="L85" s="589" t="s">
        <v>3030</v>
      </c>
      <c r="M85" s="589" t="s">
        <v>3031</v>
      </c>
      <c r="N85" s="590" t="s">
        <v>2829</v>
      </c>
      <c r="O85" s="591" t="s">
        <v>3032</v>
      </c>
    </row>
    <row r="86" ht="63.0" customHeight="1">
      <c r="A86" s="584" t="s">
        <v>1755</v>
      </c>
      <c r="B86" s="585" t="s">
        <v>1717</v>
      </c>
      <c r="C86" s="592" t="s">
        <v>2824</v>
      </c>
      <c r="D86" s="587">
        <v>4.0</v>
      </c>
      <c r="E86" s="587">
        <v>14.0</v>
      </c>
      <c r="F86" s="587">
        <v>3.0</v>
      </c>
      <c r="G86" s="588" t="s">
        <v>1663</v>
      </c>
      <c r="H86" s="587">
        <v>5.0</v>
      </c>
      <c r="I86" s="587">
        <v>3.0</v>
      </c>
      <c r="J86" s="587">
        <v>1.0</v>
      </c>
      <c r="K86" s="587">
        <v>2.0</v>
      </c>
      <c r="L86" s="589" t="s">
        <v>3033</v>
      </c>
      <c r="M86" s="589" t="s">
        <v>3034</v>
      </c>
      <c r="N86" s="590" t="s">
        <v>2829</v>
      </c>
      <c r="O86" s="591" t="s">
        <v>3035</v>
      </c>
    </row>
    <row r="87" ht="63.0" customHeight="1">
      <c r="A87" s="584" t="s">
        <v>1755</v>
      </c>
      <c r="B87" s="585" t="s">
        <v>1717</v>
      </c>
      <c r="C87" s="586"/>
      <c r="D87" s="587">
        <v>4.0</v>
      </c>
      <c r="E87" s="587">
        <v>14.0</v>
      </c>
      <c r="F87" s="587">
        <v>3.0</v>
      </c>
      <c r="G87" s="588" t="s">
        <v>1663</v>
      </c>
      <c r="H87" s="587">
        <v>5.0</v>
      </c>
      <c r="I87" s="587">
        <v>3.0</v>
      </c>
      <c r="J87" s="587">
        <v>1.0</v>
      </c>
      <c r="K87" s="587">
        <v>2.0</v>
      </c>
      <c r="L87" s="589" t="s">
        <v>1756</v>
      </c>
      <c r="M87" s="589" t="s">
        <v>3036</v>
      </c>
      <c r="N87" s="590" t="s">
        <v>1758</v>
      </c>
      <c r="O87" s="591" t="s">
        <v>3037</v>
      </c>
    </row>
    <row r="88" ht="63.0" customHeight="1">
      <c r="A88" s="584" t="s">
        <v>1821</v>
      </c>
      <c r="B88" s="585" t="s">
        <v>1717</v>
      </c>
      <c r="C88" s="586"/>
      <c r="D88" s="587">
        <v>4.0</v>
      </c>
      <c r="E88" s="587">
        <v>12.0</v>
      </c>
      <c r="F88" s="587">
        <v>4.0</v>
      </c>
      <c r="G88" s="588" t="s">
        <v>1663</v>
      </c>
      <c r="H88" s="587">
        <v>4.0</v>
      </c>
      <c r="I88" s="587">
        <v>2.0</v>
      </c>
      <c r="J88" s="587">
        <v>3.0</v>
      </c>
      <c r="K88" s="587">
        <v>2.0</v>
      </c>
      <c r="L88" s="589" t="s">
        <v>1822</v>
      </c>
      <c r="M88" s="589" t="s">
        <v>1823</v>
      </c>
      <c r="N88" s="590" t="s">
        <v>1724</v>
      </c>
      <c r="O88" s="591" t="s">
        <v>3038</v>
      </c>
    </row>
    <row r="89" ht="63.0" customHeight="1">
      <c r="A89" s="584" t="s">
        <v>1812</v>
      </c>
      <c r="B89" s="585" t="s">
        <v>1717</v>
      </c>
      <c r="C89" s="586"/>
      <c r="D89" s="587">
        <v>3.0</v>
      </c>
      <c r="E89" s="587">
        <v>14.0</v>
      </c>
      <c r="F89" s="587">
        <v>4.0</v>
      </c>
      <c r="G89" s="588" t="s">
        <v>1663</v>
      </c>
      <c r="H89" s="587">
        <v>3.0</v>
      </c>
      <c r="I89" s="587">
        <v>3.0</v>
      </c>
      <c r="J89" s="587">
        <v>2.0</v>
      </c>
      <c r="K89" s="587">
        <v>3.0</v>
      </c>
      <c r="L89" s="589" t="s">
        <v>1813</v>
      </c>
      <c r="M89" s="589" t="s">
        <v>1814</v>
      </c>
      <c r="N89" s="590" t="s">
        <v>1797</v>
      </c>
      <c r="O89" s="591" t="s">
        <v>3039</v>
      </c>
    </row>
    <row r="90" ht="63.0" customHeight="1">
      <c r="A90" s="584" t="s">
        <v>1812</v>
      </c>
      <c r="B90" s="585" t="s">
        <v>1717</v>
      </c>
      <c r="C90" s="592" t="s">
        <v>2824</v>
      </c>
      <c r="D90" s="587">
        <v>3.0</v>
      </c>
      <c r="E90" s="587">
        <v>14.0</v>
      </c>
      <c r="F90" s="587">
        <v>3.0</v>
      </c>
      <c r="G90" s="588" t="s">
        <v>1663</v>
      </c>
      <c r="H90" s="587">
        <v>3.0</v>
      </c>
      <c r="I90" s="587">
        <v>3.0</v>
      </c>
      <c r="J90" s="587">
        <v>2.0</v>
      </c>
      <c r="K90" s="587">
        <v>3.0</v>
      </c>
      <c r="L90" s="589" t="s">
        <v>1813</v>
      </c>
      <c r="M90" s="589" t="s">
        <v>3040</v>
      </c>
      <c r="N90" s="590" t="s">
        <v>2849</v>
      </c>
      <c r="O90" s="591" t="s">
        <v>3041</v>
      </c>
    </row>
    <row r="91" ht="63.0" customHeight="1">
      <c r="A91" s="584" t="s">
        <v>1737</v>
      </c>
      <c r="B91" s="585" t="s">
        <v>1738</v>
      </c>
      <c r="C91" s="586"/>
      <c r="D91" s="587">
        <v>5.0</v>
      </c>
      <c r="E91" s="587">
        <v>12.0</v>
      </c>
      <c r="F91" s="587">
        <v>4.0</v>
      </c>
      <c r="G91" s="588" t="s">
        <v>1663</v>
      </c>
      <c r="H91" s="587">
        <v>2.0</v>
      </c>
      <c r="I91" s="587">
        <v>2.0</v>
      </c>
      <c r="J91" s="587">
        <v>2.0</v>
      </c>
      <c r="K91" s="587">
        <v>5.0</v>
      </c>
      <c r="L91" s="589" t="s">
        <v>1739</v>
      </c>
      <c r="M91" s="589" t="s">
        <v>1740</v>
      </c>
      <c r="N91" s="590" t="s">
        <v>1741</v>
      </c>
      <c r="O91" s="591" t="s">
        <v>3042</v>
      </c>
    </row>
    <row r="92" ht="63.0" customHeight="1">
      <c r="A92" s="584" t="s">
        <v>1737</v>
      </c>
      <c r="B92" s="585" t="s">
        <v>1738</v>
      </c>
      <c r="C92" s="592" t="s">
        <v>2824</v>
      </c>
      <c r="D92" s="587">
        <v>5.0</v>
      </c>
      <c r="E92" s="587">
        <v>12.0</v>
      </c>
      <c r="F92" s="587">
        <v>4.0</v>
      </c>
      <c r="G92" s="588" t="s">
        <v>1663</v>
      </c>
      <c r="H92" s="587">
        <v>2.0</v>
      </c>
      <c r="I92" s="587">
        <v>2.0</v>
      </c>
      <c r="J92" s="587">
        <v>2.0</v>
      </c>
      <c r="K92" s="587">
        <v>5.0</v>
      </c>
      <c r="L92" s="589" t="s">
        <v>3043</v>
      </c>
      <c r="M92" s="589" t="s">
        <v>3044</v>
      </c>
      <c r="N92" s="590" t="s">
        <v>2860</v>
      </c>
      <c r="O92" s="591" t="s">
        <v>3045</v>
      </c>
    </row>
    <row r="93" ht="63.0" customHeight="1">
      <c r="A93" s="584" t="s">
        <v>1828</v>
      </c>
      <c r="B93" s="585" t="s">
        <v>1738</v>
      </c>
      <c r="C93" s="586"/>
      <c r="D93" s="587">
        <v>4.0</v>
      </c>
      <c r="E93" s="587">
        <v>10.0</v>
      </c>
      <c r="F93" s="587">
        <v>4.0</v>
      </c>
      <c r="G93" s="588" t="s">
        <v>1663</v>
      </c>
      <c r="H93" s="587">
        <v>3.0</v>
      </c>
      <c r="I93" s="587">
        <v>1.0</v>
      </c>
      <c r="J93" s="587">
        <v>2.0</v>
      </c>
      <c r="K93" s="587">
        <v>5.0</v>
      </c>
      <c r="L93" s="589" t="s">
        <v>1829</v>
      </c>
      <c r="M93" s="589" t="s">
        <v>1830</v>
      </c>
      <c r="N93" s="590" t="s">
        <v>1797</v>
      </c>
      <c r="O93" s="591" t="s">
        <v>3046</v>
      </c>
    </row>
    <row r="94" ht="63.0" customHeight="1">
      <c r="A94" s="584" t="s">
        <v>1828</v>
      </c>
      <c r="B94" s="585" t="s">
        <v>1738</v>
      </c>
      <c r="C94" s="592" t="s">
        <v>2824</v>
      </c>
      <c r="D94" s="587">
        <v>4.0</v>
      </c>
      <c r="E94" s="587">
        <v>10.0</v>
      </c>
      <c r="F94" s="587">
        <v>4.0</v>
      </c>
      <c r="G94" s="588" t="s">
        <v>1663</v>
      </c>
      <c r="H94" s="587">
        <v>3.0</v>
      </c>
      <c r="I94" s="587">
        <v>1.0</v>
      </c>
      <c r="J94" s="587">
        <v>2.0</v>
      </c>
      <c r="K94" s="587">
        <v>5.0</v>
      </c>
      <c r="L94" s="589" t="s">
        <v>3047</v>
      </c>
      <c r="M94" s="589" t="s">
        <v>3048</v>
      </c>
      <c r="N94" s="590" t="s">
        <v>2865</v>
      </c>
      <c r="O94" s="591" t="s">
        <v>3049</v>
      </c>
    </row>
    <row r="95" ht="63.0" customHeight="1">
      <c r="A95" s="584" t="s">
        <v>1897</v>
      </c>
      <c r="B95" s="585" t="s">
        <v>1738</v>
      </c>
      <c r="C95" s="586"/>
      <c r="D95" s="587">
        <v>4.0</v>
      </c>
      <c r="E95" s="587">
        <v>10.0</v>
      </c>
      <c r="F95" s="587">
        <v>5.0</v>
      </c>
      <c r="G95" s="588" t="s">
        <v>1663</v>
      </c>
      <c r="H95" s="587">
        <v>3.0</v>
      </c>
      <c r="I95" s="587">
        <v>2.0</v>
      </c>
      <c r="J95" s="587">
        <v>1.0</v>
      </c>
      <c r="K95" s="587">
        <v>5.0</v>
      </c>
      <c r="L95" s="589" t="s">
        <v>1898</v>
      </c>
      <c r="M95" s="589" t="s">
        <v>1899</v>
      </c>
      <c r="N95" s="590" t="s">
        <v>1804</v>
      </c>
      <c r="O95" s="591" t="s">
        <v>3050</v>
      </c>
    </row>
    <row r="96" ht="63.0" customHeight="1">
      <c r="A96" s="584" t="s">
        <v>1884</v>
      </c>
      <c r="B96" s="585" t="s">
        <v>1738</v>
      </c>
      <c r="C96" s="586"/>
      <c r="D96" s="587">
        <v>4.0</v>
      </c>
      <c r="E96" s="587">
        <v>12.0</v>
      </c>
      <c r="F96" s="587">
        <v>4.0</v>
      </c>
      <c r="G96" s="588" t="s">
        <v>1663</v>
      </c>
      <c r="H96" s="587">
        <v>3.0</v>
      </c>
      <c r="I96" s="587">
        <v>3.0</v>
      </c>
      <c r="J96" s="587">
        <v>2.0</v>
      </c>
      <c r="K96" s="587">
        <v>3.0</v>
      </c>
      <c r="L96" s="589" t="s">
        <v>1885</v>
      </c>
      <c r="M96" s="589" t="s">
        <v>3051</v>
      </c>
      <c r="N96" s="590" t="s">
        <v>1861</v>
      </c>
      <c r="O96" s="591" t="s">
        <v>3052</v>
      </c>
    </row>
    <row r="97" ht="63.0" customHeight="1">
      <c r="A97" s="584" t="s">
        <v>3053</v>
      </c>
      <c r="B97" s="585" t="s">
        <v>1738</v>
      </c>
      <c r="C97" s="592" t="s">
        <v>2824</v>
      </c>
      <c r="D97" s="587">
        <v>4.0</v>
      </c>
      <c r="E97" s="587">
        <v>12.0</v>
      </c>
      <c r="F97" s="587">
        <v>3.0</v>
      </c>
      <c r="G97" s="588" t="s">
        <v>1663</v>
      </c>
      <c r="H97" s="587">
        <v>3.0</v>
      </c>
      <c r="I97" s="587">
        <v>2.0</v>
      </c>
      <c r="J97" s="587">
        <v>2.0</v>
      </c>
      <c r="K97" s="587">
        <v>4.0</v>
      </c>
      <c r="L97" s="589" t="s">
        <v>3054</v>
      </c>
      <c r="M97" s="589" t="s">
        <v>3055</v>
      </c>
      <c r="N97" s="590" t="s">
        <v>2921</v>
      </c>
      <c r="O97" s="591" t="s">
        <v>3056</v>
      </c>
    </row>
    <row r="98" ht="63.0" customHeight="1">
      <c r="A98" s="584" t="s">
        <v>1877</v>
      </c>
      <c r="B98" s="585" t="s">
        <v>1738</v>
      </c>
      <c r="C98" s="586"/>
      <c r="D98" s="587">
        <v>4.0</v>
      </c>
      <c r="E98" s="587">
        <v>8.0</v>
      </c>
      <c r="F98" s="587">
        <v>5.0</v>
      </c>
      <c r="G98" s="588" t="s">
        <v>1663</v>
      </c>
      <c r="H98" s="587">
        <v>1.0</v>
      </c>
      <c r="I98" s="587">
        <v>3.0</v>
      </c>
      <c r="J98" s="587">
        <v>2.0</v>
      </c>
      <c r="K98" s="587">
        <v>5.0</v>
      </c>
      <c r="L98" s="589" t="s">
        <v>1878</v>
      </c>
      <c r="M98" s="589" t="s">
        <v>1879</v>
      </c>
      <c r="N98" s="590" t="s">
        <v>1724</v>
      </c>
      <c r="O98" s="591" t="s">
        <v>3057</v>
      </c>
    </row>
    <row r="99" ht="63.0" customHeight="1">
      <c r="A99" s="584" t="s">
        <v>1410</v>
      </c>
      <c r="B99" s="585" t="s">
        <v>1717</v>
      </c>
      <c r="C99" s="592" t="s">
        <v>2824</v>
      </c>
      <c r="D99" s="587">
        <v>3.0</v>
      </c>
      <c r="E99" s="587">
        <v>12.0</v>
      </c>
      <c r="F99" s="587">
        <v>3.0</v>
      </c>
      <c r="G99" s="588" t="s">
        <v>1663</v>
      </c>
      <c r="H99" s="587">
        <v>4.0</v>
      </c>
      <c r="I99" s="587">
        <v>4.0</v>
      </c>
      <c r="J99" s="587">
        <v>1.0</v>
      </c>
      <c r="K99" s="587">
        <v>2.0</v>
      </c>
      <c r="L99" s="589" t="s">
        <v>3058</v>
      </c>
      <c r="M99" s="589" t="s">
        <v>3059</v>
      </c>
      <c r="N99" s="590" t="s">
        <v>2829</v>
      </c>
      <c r="O99" s="591" t="s">
        <v>3060</v>
      </c>
    </row>
    <row r="100" ht="63.0" customHeight="1">
      <c r="A100" s="584" t="s">
        <v>1410</v>
      </c>
      <c r="B100" s="585" t="s">
        <v>1717</v>
      </c>
      <c r="C100" s="586"/>
      <c r="D100" s="587">
        <v>3.0</v>
      </c>
      <c r="E100" s="587">
        <v>12.0</v>
      </c>
      <c r="F100" s="587">
        <v>3.0</v>
      </c>
      <c r="G100" s="588" t="s">
        <v>1663</v>
      </c>
      <c r="H100" s="587">
        <v>4.0</v>
      </c>
      <c r="I100" s="587">
        <v>4.0</v>
      </c>
      <c r="J100" s="587">
        <v>1.0</v>
      </c>
      <c r="K100" s="587">
        <v>2.0</v>
      </c>
      <c r="L100" s="589" t="s">
        <v>3061</v>
      </c>
      <c r="M100" s="589" t="s">
        <v>1747</v>
      </c>
      <c r="N100" s="590" t="s">
        <v>1748</v>
      </c>
      <c r="O100" s="591" t="s">
        <v>3062</v>
      </c>
    </row>
    <row r="101" ht="63.0" customHeight="1">
      <c r="A101" s="584" t="s">
        <v>1809</v>
      </c>
      <c r="B101" s="585" t="s">
        <v>1730</v>
      </c>
      <c r="C101" s="592" t="s">
        <v>2824</v>
      </c>
      <c r="D101" s="587">
        <v>4.0</v>
      </c>
      <c r="E101" s="587">
        <v>10.0</v>
      </c>
      <c r="F101" s="587">
        <v>4.0</v>
      </c>
      <c r="G101" s="588" t="s">
        <v>1663</v>
      </c>
      <c r="H101" s="587">
        <v>1.0</v>
      </c>
      <c r="I101" s="587">
        <v>2.0</v>
      </c>
      <c r="J101" s="587">
        <v>4.0</v>
      </c>
      <c r="K101" s="587">
        <v>4.0</v>
      </c>
      <c r="L101" s="589" t="s">
        <v>1810</v>
      </c>
      <c r="M101" s="589" t="s">
        <v>1811</v>
      </c>
      <c r="N101" s="590" t="s">
        <v>2921</v>
      </c>
      <c r="O101" s="591" t="s">
        <v>3063</v>
      </c>
    </row>
    <row r="102" ht="63.0" customHeight="1">
      <c r="A102" s="584" t="s">
        <v>1809</v>
      </c>
      <c r="B102" s="585" t="s">
        <v>1730</v>
      </c>
      <c r="C102" s="586"/>
      <c r="D102" s="587">
        <v>4.0</v>
      </c>
      <c r="E102" s="587">
        <v>10.0</v>
      </c>
      <c r="F102" s="587">
        <v>4.0</v>
      </c>
      <c r="G102" s="588" t="s">
        <v>1663</v>
      </c>
      <c r="H102" s="587">
        <v>1.0</v>
      </c>
      <c r="I102" s="587">
        <v>2.0</v>
      </c>
      <c r="J102" s="587">
        <v>4.0</v>
      </c>
      <c r="K102" s="587">
        <v>4.0</v>
      </c>
      <c r="L102" s="589" t="s">
        <v>1810</v>
      </c>
      <c r="M102" s="589" t="s">
        <v>1811</v>
      </c>
      <c r="N102" s="590" t="s">
        <v>1741</v>
      </c>
      <c r="O102" s="591" t="s">
        <v>3064</v>
      </c>
    </row>
    <row r="103" ht="63.0" customHeight="1">
      <c r="A103" s="584" t="s">
        <v>1912</v>
      </c>
      <c r="B103" s="585" t="s">
        <v>1721</v>
      </c>
      <c r="C103" s="586"/>
      <c r="D103" s="587">
        <v>4.0</v>
      </c>
      <c r="E103" s="587">
        <v>8.0</v>
      </c>
      <c r="F103" s="587">
        <v>5.0</v>
      </c>
      <c r="G103" s="588" t="s">
        <v>1663</v>
      </c>
      <c r="H103" s="587">
        <v>2.0</v>
      </c>
      <c r="I103" s="587">
        <v>3.0</v>
      </c>
      <c r="J103" s="587">
        <v>4.0</v>
      </c>
      <c r="K103" s="587">
        <v>2.0</v>
      </c>
      <c r="L103" s="589" t="s">
        <v>1913</v>
      </c>
      <c r="M103" s="589" t="s">
        <v>1914</v>
      </c>
      <c r="N103" s="590" t="s">
        <v>1827</v>
      </c>
      <c r="O103" s="591" t="s">
        <v>3065</v>
      </c>
    </row>
    <row r="104" ht="63.0" customHeight="1">
      <c r="A104" s="584" t="s">
        <v>3066</v>
      </c>
      <c r="B104" s="585" t="s">
        <v>1717</v>
      </c>
      <c r="C104" s="592" t="s">
        <v>2824</v>
      </c>
      <c r="D104" s="587">
        <v>3.0</v>
      </c>
      <c r="E104" s="587">
        <v>12.0</v>
      </c>
      <c r="F104" s="587">
        <v>3.0</v>
      </c>
      <c r="G104" s="588" t="s">
        <v>1663</v>
      </c>
      <c r="H104" s="587">
        <v>4.0</v>
      </c>
      <c r="I104" s="587">
        <v>3.0</v>
      </c>
      <c r="J104" s="587">
        <v>2.0</v>
      </c>
      <c r="K104" s="587">
        <v>2.0</v>
      </c>
      <c r="L104" s="589" t="s">
        <v>3067</v>
      </c>
      <c r="M104" s="589" t="s">
        <v>3068</v>
      </c>
      <c r="N104" s="590" t="s">
        <v>2829</v>
      </c>
      <c r="O104" s="591" t="s">
        <v>3069</v>
      </c>
    </row>
    <row r="105" ht="63.0" customHeight="1">
      <c r="A105" s="584" t="s">
        <v>1818</v>
      </c>
      <c r="B105" s="585" t="s">
        <v>1738</v>
      </c>
      <c r="C105" s="586"/>
      <c r="D105" s="587">
        <v>4.0</v>
      </c>
      <c r="E105" s="587">
        <v>10.0</v>
      </c>
      <c r="F105" s="587">
        <v>4.0</v>
      </c>
      <c r="G105" s="588" t="s">
        <v>1663</v>
      </c>
      <c r="H105" s="587">
        <v>3.0</v>
      </c>
      <c r="I105" s="587">
        <v>2.0</v>
      </c>
      <c r="J105" s="587">
        <v>2.0</v>
      </c>
      <c r="K105" s="587">
        <v>4.0</v>
      </c>
      <c r="L105" s="589" t="s">
        <v>1819</v>
      </c>
      <c r="M105" s="589" t="s">
        <v>1820</v>
      </c>
      <c r="N105" s="590" t="s">
        <v>1733</v>
      </c>
      <c r="O105" s="591" t="s">
        <v>3070</v>
      </c>
    </row>
    <row r="106" ht="63.0" customHeight="1">
      <c r="A106" s="584" t="s">
        <v>1818</v>
      </c>
      <c r="B106" s="585" t="s">
        <v>1738</v>
      </c>
      <c r="C106" s="592" t="s">
        <v>2824</v>
      </c>
      <c r="D106" s="587">
        <v>4.0</v>
      </c>
      <c r="E106" s="587">
        <v>10.0</v>
      </c>
      <c r="F106" s="587">
        <v>4.0</v>
      </c>
      <c r="G106" s="588" t="s">
        <v>1663</v>
      </c>
      <c r="H106" s="587">
        <v>3.0</v>
      </c>
      <c r="I106" s="587">
        <v>2.0</v>
      </c>
      <c r="J106" s="587">
        <v>2.0</v>
      </c>
      <c r="K106" s="587">
        <v>4.0</v>
      </c>
      <c r="L106" s="589" t="s">
        <v>1819</v>
      </c>
      <c r="M106" s="589" t="s">
        <v>3071</v>
      </c>
      <c r="N106" s="590" t="s">
        <v>2829</v>
      </c>
      <c r="O106" s="591" t="s">
        <v>3072</v>
      </c>
    </row>
    <row r="107" ht="63.0" customHeight="1">
      <c r="A107" s="584" t="s">
        <v>1749</v>
      </c>
      <c r="B107" s="585" t="s">
        <v>1730</v>
      </c>
      <c r="C107" s="586"/>
      <c r="D107" s="587">
        <v>4.0</v>
      </c>
      <c r="E107" s="587">
        <v>10.0</v>
      </c>
      <c r="F107" s="587">
        <v>4.0</v>
      </c>
      <c r="G107" s="588" t="s">
        <v>1663</v>
      </c>
      <c r="H107" s="587">
        <v>2.0</v>
      </c>
      <c r="I107" s="587">
        <v>3.0</v>
      </c>
      <c r="J107" s="587">
        <v>4.0</v>
      </c>
      <c r="K107" s="587">
        <v>2.0</v>
      </c>
      <c r="L107" s="589" t="s">
        <v>1750</v>
      </c>
      <c r="M107" s="589" t="s">
        <v>1751</v>
      </c>
      <c r="N107" s="590" t="s">
        <v>1724</v>
      </c>
      <c r="O107" s="591" t="s">
        <v>3073</v>
      </c>
    </row>
    <row r="108" ht="63.0" customHeight="1">
      <c r="A108" s="584" t="s">
        <v>1871</v>
      </c>
      <c r="B108" s="585" t="s">
        <v>1730</v>
      </c>
      <c r="C108" s="586"/>
      <c r="D108" s="587">
        <v>5.0</v>
      </c>
      <c r="E108" s="587">
        <v>8.0</v>
      </c>
      <c r="F108" s="587">
        <v>5.0</v>
      </c>
      <c r="G108" s="588" t="s">
        <v>1663</v>
      </c>
      <c r="H108" s="587">
        <v>1.0</v>
      </c>
      <c r="I108" s="587">
        <v>3.0</v>
      </c>
      <c r="J108" s="587">
        <v>4.0</v>
      </c>
      <c r="K108" s="587">
        <v>3.0</v>
      </c>
      <c r="L108" s="589" t="s">
        <v>1872</v>
      </c>
      <c r="M108" s="589" t="s">
        <v>1873</v>
      </c>
      <c r="N108" s="590" t="s">
        <v>1745</v>
      </c>
      <c r="O108" s="591" t="s">
        <v>3074</v>
      </c>
    </row>
    <row r="109" ht="63.0" customHeight="1">
      <c r="A109" s="584" t="s">
        <v>1871</v>
      </c>
      <c r="B109" s="585" t="s">
        <v>1730</v>
      </c>
      <c r="C109" s="592" t="s">
        <v>2824</v>
      </c>
      <c r="D109" s="587">
        <v>4.0</v>
      </c>
      <c r="E109" s="587">
        <v>8.0</v>
      </c>
      <c r="F109" s="587">
        <v>5.0</v>
      </c>
      <c r="G109" s="588" t="s">
        <v>1663</v>
      </c>
      <c r="H109" s="587">
        <v>1.0</v>
      </c>
      <c r="I109" s="587">
        <v>3.0</v>
      </c>
      <c r="J109" s="587">
        <v>4.0</v>
      </c>
      <c r="K109" s="587">
        <v>3.0</v>
      </c>
      <c r="L109" s="589" t="s">
        <v>3075</v>
      </c>
      <c r="M109" s="589" t="s">
        <v>3076</v>
      </c>
      <c r="N109" s="590" t="s">
        <v>2838</v>
      </c>
      <c r="O109" s="591" t="s">
        <v>3077</v>
      </c>
    </row>
    <row r="110" ht="63.0" customHeight="1">
      <c r="A110" s="597"/>
      <c r="B110" s="598"/>
      <c r="C110" s="593"/>
      <c r="D110" s="599"/>
      <c r="E110" s="599"/>
      <c r="F110" s="599"/>
      <c r="G110" s="599"/>
      <c r="H110" s="599"/>
      <c r="I110" s="599"/>
      <c r="J110" s="599"/>
      <c r="K110" s="599"/>
      <c r="L110" s="600"/>
      <c r="M110" s="600"/>
      <c r="N110" s="601"/>
      <c r="O110" s="602"/>
    </row>
    <row r="111" ht="63.0" customHeight="1">
      <c r="A111" s="597"/>
      <c r="B111" s="598"/>
      <c r="C111" s="593"/>
      <c r="D111" s="599"/>
      <c r="E111" s="599"/>
      <c r="F111" s="599"/>
      <c r="G111" s="599"/>
      <c r="H111" s="599"/>
      <c r="I111" s="599"/>
      <c r="J111" s="599"/>
      <c r="K111" s="599"/>
      <c r="L111" s="600"/>
      <c r="M111" s="600"/>
      <c r="N111" s="601"/>
      <c r="O111" s="602"/>
    </row>
    <row r="112" ht="63.0" customHeight="1">
      <c r="A112" s="597"/>
      <c r="B112" s="598"/>
      <c r="C112" s="593"/>
      <c r="D112" s="599"/>
      <c r="E112" s="599"/>
      <c r="F112" s="599"/>
      <c r="G112" s="599"/>
      <c r="H112" s="599"/>
      <c r="I112" s="599"/>
      <c r="J112" s="599"/>
      <c r="K112" s="599"/>
      <c r="L112" s="600"/>
      <c r="M112" s="600"/>
      <c r="N112" s="601"/>
      <c r="O112" s="602"/>
    </row>
    <row r="113" ht="63.0" customHeight="1">
      <c r="A113" s="597"/>
      <c r="B113" s="598"/>
      <c r="C113" s="593"/>
      <c r="D113" s="599"/>
      <c r="E113" s="599"/>
      <c r="F113" s="599"/>
      <c r="G113" s="599"/>
      <c r="H113" s="599"/>
      <c r="I113" s="599"/>
      <c r="J113" s="599"/>
      <c r="K113" s="599"/>
      <c r="L113" s="600"/>
      <c r="M113" s="600"/>
      <c r="N113" s="601"/>
      <c r="O113" s="602"/>
    </row>
    <row r="114" ht="63.0" customHeight="1">
      <c r="A114" s="597"/>
      <c r="B114" s="598"/>
      <c r="C114" s="593"/>
      <c r="D114" s="599"/>
      <c r="E114" s="599"/>
      <c r="F114" s="599"/>
      <c r="G114" s="599"/>
      <c r="H114" s="599"/>
      <c r="I114" s="599"/>
      <c r="J114" s="599"/>
      <c r="K114" s="599"/>
      <c r="L114" s="600"/>
      <c r="M114" s="600"/>
      <c r="N114" s="601"/>
      <c r="O114" s="602"/>
    </row>
    <row r="115" ht="15.75" customHeight="1">
      <c r="A115" s="597"/>
      <c r="B115" s="598"/>
      <c r="C115" s="593"/>
      <c r="D115" s="599"/>
      <c r="E115" s="599"/>
      <c r="F115" s="599"/>
      <c r="G115" s="599"/>
      <c r="H115" s="599"/>
      <c r="I115" s="599"/>
      <c r="J115" s="599"/>
      <c r="K115" s="599"/>
      <c r="L115" s="600"/>
      <c r="M115" s="600"/>
      <c r="N115" s="601"/>
      <c r="O115" s="602"/>
    </row>
    <row r="116" ht="15.75" customHeight="1">
      <c r="A116" s="597"/>
      <c r="B116" s="598"/>
      <c r="C116" s="593"/>
      <c r="D116" s="599"/>
      <c r="E116" s="599"/>
      <c r="F116" s="599"/>
      <c r="G116" s="599"/>
      <c r="H116" s="599"/>
      <c r="I116" s="599"/>
      <c r="J116" s="599"/>
      <c r="K116" s="599"/>
      <c r="L116" s="600"/>
      <c r="M116" s="600"/>
      <c r="N116" s="601"/>
      <c r="O116" s="602"/>
    </row>
    <row r="117" ht="15.75" customHeight="1">
      <c r="A117" s="597"/>
      <c r="B117" s="598"/>
      <c r="C117" s="593"/>
      <c r="D117" s="599"/>
      <c r="E117" s="599"/>
      <c r="F117" s="599"/>
      <c r="G117" s="599"/>
      <c r="H117" s="599"/>
      <c r="I117" s="599"/>
      <c r="J117" s="599"/>
      <c r="K117" s="599"/>
      <c r="L117" s="600"/>
      <c r="M117" s="600"/>
      <c r="N117" s="601"/>
      <c r="O117" s="602"/>
    </row>
    <row r="118" ht="15.75" customHeight="1">
      <c r="A118" s="597"/>
      <c r="B118" s="598"/>
      <c r="C118" s="593"/>
      <c r="D118" s="599"/>
      <c r="E118" s="599"/>
      <c r="F118" s="599"/>
      <c r="G118" s="599"/>
      <c r="H118" s="599"/>
      <c r="I118" s="599"/>
      <c r="J118" s="599"/>
      <c r="K118" s="599"/>
      <c r="L118" s="600"/>
      <c r="M118" s="600"/>
      <c r="N118" s="601"/>
      <c r="O118" s="602"/>
    </row>
    <row r="119" ht="15.75" customHeight="1">
      <c r="A119" s="597"/>
      <c r="B119" s="598"/>
      <c r="C119" s="593"/>
      <c r="D119" s="599"/>
      <c r="E119" s="599"/>
      <c r="F119" s="599"/>
      <c r="G119" s="599"/>
      <c r="H119" s="599"/>
      <c r="I119" s="599"/>
      <c r="J119" s="599"/>
      <c r="K119" s="599"/>
      <c r="L119" s="600"/>
      <c r="M119" s="600"/>
      <c r="N119" s="601"/>
      <c r="O119" s="602"/>
    </row>
    <row r="120" ht="15.75" customHeight="1">
      <c r="A120" s="597"/>
      <c r="B120" s="598"/>
      <c r="C120" s="593"/>
      <c r="D120" s="599"/>
      <c r="E120" s="599"/>
      <c r="F120" s="599"/>
      <c r="G120" s="599"/>
      <c r="H120" s="599"/>
      <c r="I120" s="599"/>
      <c r="J120" s="599"/>
      <c r="K120" s="599"/>
      <c r="L120" s="600"/>
      <c r="M120" s="600"/>
      <c r="N120" s="601"/>
      <c r="O120" s="602"/>
    </row>
    <row r="121" ht="15.75" customHeight="1">
      <c r="A121" s="597"/>
      <c r="B121" s="598"/>
      <c r="C121" s="593"/>
      <c r="D121" s="599"/>
      <c r="E121" s="599"/>
      <c r="F121" s="599"/>
      <c r="G121" s="599"/>
      <c r="H121" s="599"/>
      <c r="I121" s="599"/>
      <c r="J121" s="599"/>
      <c r="K121" s="599"/>
      <c r="L121" s="600"/>
      <c r="M121" s="600"/>
      <c r="N121" s="601"/>
      <c r="O121" s="602"/>
    </row>
    <row r="122" ht="15.75" customHeight="1">
      <c r="A122" s="597"/>
      <c r="B122" s="598"/>
      <c r="C122" s="593"/>
      <c r="D122" s="599"/>
      <c r="E122" s="599"/>
      <c r="F122" s="599"/>
      <c r="G122" s="599"/>
      <c r="H122" s="599"/>
      <c r="I122" s="599"/>
      <c r="J122" s="599"/>
      <c r="K122" s="599"/>
      <c r="L122" s="600"/>
      <c r="M122" s="600"/>
      <c r="N122" s="601"/>
      <c r="O122" s="602"/>
    </row>
    <row r="123" ht="15.75" customHeight="1">
      <c r="A123" s="597"/>
      <c r="B123" s="598"/>
      <c r="C123" s="593"/>
      <c r="D123" s="599"/>
      <c r="E123" s="599"/>
      <c r="F123" s="599"/>
      <c r="G123" s="599"/>
      <c r="H123" s="599"/>
      <c r="I123" s="599"/>
      <c r="J123" s="599"/>
      <c r="K123" s="599"/>
      <c r="L123" s="600"/>
      <c r="M123" s="600"/>
      <c r="N123" s="601"/>
      <c r="O123" s="602"/>
    </row>
    <row r="124" ht="15.75" customHeight="1">
      <c r="A124" s="597"/>
      <c r="B124" s="598"/>
      <c r="C124" s="593"/>
      <c r="D124" s="599"/>
      <c r="E124" s="599"/>
      <c r="F124" s="599"/>
      <c r="G124" s="599"/>
      <c r="H124" s="599"/>
      <c r="I124" s="599"/>
      <c r="J124" s="599"/>
      <c r="K124" s="599"/>
      <c r="L124" s="600"/>
      <c r="M124" s="600"/>
      <c r="N124" s="601"/>
      <c r="O124" s="602"/>
    </row>
    <row r="125" ht="15.75" customHeight="1">
      <c r="A125" s="597"/>
      <c r="B125" s="598"/>
      <c r="C125" s="593"/>
      <c r="D125" s="599"/>
      <c r="E125" s="599"/>
      <c r="F125" s="599"/>
      <c r="G125" s="599"/>
      <c r="H125" s="599"/>
      <c r="I125" s="599"/>
      <c r="J125" s="599"/>
      <c r="K125" s="599"/>
      <c r="L125" s="600"/>
      <c r="M125" s="600"/>
      <c r="N125" s="601"/>
      <c r="O125" s="602"/>
    </row>
    <row r="126" ht="15.75" customHeight="1">
      <c r="A126" s="597"/>
      <c r="B126" s="598"/>
      <c r="C126" s="593"/>
      <c r="D126" s="599"/>
      <c r="E126" s="599"/>
      <c r="F126" s="599"/>
      <c r="G126" s="599"/>
      <c r="H126" s="599"/>
      <c r="I126" s="599"/>
      <c r="J126" s="599"/>
      <c r="K126" s="599"/>
      <c r="L126" s="600"/>
      <c r="M126" s="600"/>
      <c r="N126" s="601"/>
      <c r="O126" s="602"/>
    </row>
    <row r="127" ht="15.75" customHeight="1">
      <c r="A127" s="597"/>
      <c r="B127" s="598"/>
      <c r="C127" s="593"/>
      <c r="D127" s="599"/>
      <c r="E127" s="599"/>
      <c r="F127" s="599"/>
      <c r="G127" s="599"/>
      <c r="H127" s="599"/>
      <c r="I127" s="599"/>
      <c r="J127" s="599"/>
      <c r="K127" s="599"/>
      <c r="L127" s="600"/>
      <c r="M127" s="600"/>
      <c r="N127" s="601"/>
      <c r="O127" s="602"/>
    </row>
    <row r="128" ht="15.75" customHeight="1">
      <c r="A128" s="597"/>
      <c r="B128" s="598"/>
      <c r="C128" s="593"/>
      <c r="D128" s="599"/>
      <c r="E128" s="599"/>
      <c r="F128" s="599"/>
      <c r="G128" s="599"/>
      <c r="H128" s="599"/>
      <c r="I128" s="599"/>
      <c r="J128" s="599"/>
      <c r="K128" s="599"/>
      <c r="L128" s="600"/>
      <c r="M128" s="600"/>
      <c r="N128" s="601"/>
      <c r="O128" s="602"/>
    </row>
    <row r="129" ht="15.75" customHeight="1">
      <c r="A129" s="597"/>
      <c r="B129" s="598"/>
      <c r="C129" s="593"/>
      <c r="D129" s="599"/>
      <c r="E129" s="599"/>
      <c r="F129" s="599"/>
      <c r="G129" s="599"/>
      <c r="H129" s="599"/>
      <c r="I129" s="599"/>
      <c r="J129" s="599"/>
      <c r="K129" s="599"/>
      <c r="L129" s="600"/>
      <c r="M129" s="600"/>
      <c r="N129" s="601"/>
      <c r="O129" s="602"/>
    </row>
    <row r="130" ht="15.75" customHeight="1">
      <c r="A130" s="597"/>
      <c r="B130" s="598"/>
      <c r="C130" s="593"/>
      <c r="D130" s="599"/>
      <c r="E130" s="599"/>
      <c r="F130" s="599"/>
      <c r="G130" s="599"/>
      <c r="H130" s="599"/>
      <c r="I130" s="599"/>
      <c r="J130" s="599"/>
      <c r="K130" s="599"/>
      <c r="L130" s="600"/>
      <c r="M130" s="600"/>
      <c r="N130" s="601"/>
      <c r="O130" s="602"/>
    </row>
    <row r="131" ht="15.75" customHeight="1">
      <c r="A131" s="597"/>
      <c r="B131" s="598"/>
      <c r="C131" s="593"/>
      <c r="D131" s="599"/>
      <c r="E131" s="599"/>
      <c r="F131" s="599"/>
      <c r="G131" s="599"/>
      <c r="H131" s="599"/>
      <c r="I131" s="599"/>
      <c r="J131" s="599"/>
      <c r="K131" s="599"/>
      <c r="L131" s="600"/>
      <c r="M131" s="600"/>
      <c r="N131" s="601"/>
      <c r="O131" s="602"/>
    </row>
    <row r="132" ht="15.75" customHeight="1">
      <c r="A132" s="597"/>
      <c r="B132" s="598"/>
      <c r="C132" s="593"/>
      <c r="D132" s="599"/>
      <c r="E132" s="599"/>
      <c r="F132" s="599"/>
      <c r="G132" s="599"/>
      <c r="H132" s="599"/>
      <c r="I132" s="599"/>
      <c r="J132" s="599"/>
      <c r="K132" s="599"/>
      <c r="L132" s="600"/>
      <c r="M132" s="600"/>
      <c r="N132" s="601"/>
      <c r="O132" s="602"/>
    </row>
    <row r="133" ht="15.75" customHeight="1">
      <c r="A133" s="597"/>
      <c r="B133" s="598"/>
      <c r="C133" s="593"/>
      <c r="D133" s="599"/>
      <c r="E133" s="599"/>
      <c r="F133" s="599"/>
      <c r="G133" s="599"/>
      <c r="H133" s="599"/>
      <c r="I133" s="599"/>
      <c r="J133" s="599"/>
      <c r="K133" s="599"/>
      <c r="L133" s="600"/>
      <c r="M133" s="600"/>
      <c r="N133" s="601"/>
      <c r="O133" s="602"/>
    </row>
    <row r="134" ht="15.75" customHeight="1">
      <c r="A134" s="597"/>
      <c r="B134" s="598"/>
      <c r="C134" s="593"/>
      <c r="D134" s="599"/>
      <c r="E134" s="599"/>
      <c r="F134" s="599"/>
      <c r="G134" s="599"/>
      <c r="H134" s="599"/>
      <c r="I134" s="599"/>
      <c r="J134" s="599"/>
      <c r="K134" s="599"/>
      <c r="L134" s="600"/>
      <c r="M134" s="600"/>
      <c r="N134" s="601"/>
      <c r="O134" s="602"/>
    </row>
    <row r="135" ht="15.75" customHeight="1">
      <c r="A135" s="597"/>
      <c r="B135" s="598"/>
      <c r="C135" s="593"/>
      <c r="D135" s="599"/>
      <c r="E135" s="599"/>
      <c r="F135" s="599"/>
      <c r="G135" s="599"/>
      <c r="H135" s="599"/>
      <c r="I135" s="599"/>
      <c r="J135" s="599"/>
      <c r="K135" s="599"/>
      <c r="L135" s="600"/>
      <c r="M135" s="600"/>
      <c r="N135" s="601"/>
      <c r="O135" s="602"/>
    </row>
    <row r="136" ht="15.75" customHeight="1">
      <c r="A136" s="597"/>
      <c r="B136" s="598"/>
      <c r="C136" s="593"/>
      <c r="D136" s="599"/>
      <c r="E136" s="599"/>
      <c r="F136" s="599"/>
      <c r="G136" s="599"/>
      <c r="H136" s="599"/>
      <c r="I136" s="599"/>
      <c r="J136" s="599"/>
      <c r="K136" s="599"/>
      <c r="L136" s="600"/>
      <c r="M136" s="600"/>
      <c r="N136" s="601"/>
      <c r="O136" s="602"/>
    </row>
    <row r="137" ht="15.75" customHeight="1">
      <c r="A137" s="597"/>
      <c r="B137" s="598"/>
      <c r="C137" s="593"/>
      <c r="D137" s="599"/>
      <c r="E137" s="599"/>
      <c r="F137" s="599"/>
      <c r="G137" s="599"/>
      <c r="H137" s="599"/>
      <c r="I137" s="599"/>
      <c r="J137" s="599"/>
      <c r="K137" s="599"/>
      <c r="L137" s="600"/>
      <c r="M137" s="600"/>
      <c r="N137" s="601"/>
      <c r="O137" s="602"/>
    </row>
    <row r="138" ht="15.75" customHeight="1">
      <c r="A138" s="597"/>
      <c r="B138" s="598"/>
      <c r="C138" s="593"/>
      <c r="D138" s="599"/>
      <c r="E138" s="599"/>
      <c r="F138" s="599"/>
      <c r="G138" s="599"/>
      <c r="H138" s="599"/>
      <c r="I138" s="599"/>
      <c r="J138" s="599"/>
      <c r="K138" s="599"/>
      <c r="L138" s="600"/>
      <c r="M138" s="600"/>
      <c r="N138" s="601"/>
      <c r="O138" s="602"/>
    </row>
    <row r="139" ht="15.75" customHeight="1">
      <c r="A139" s="597"/>
      <c r="B139" s="598"/>
      <c r="C139" s="593"/>
      <c r="D139" s="599"/>
      <c r="E139" s="599"/>
      <c r="F139" s="599"/>
      <c r="G139" s="599"/>
      <c r="H139" s="599"/>
      <c r="I139" s="599"/>
      <c r="J139" s="599"/>
      <c r="K139" s="599"/>
      <c r="L139" s="600"/>
      <c r="M139" s="600"/>
      <c r="N139" s="601"/>
      <c r="O139" s="602"/>
    </row>
    <row r="140" ht="15.75" customHeight="1">
      <c r="A140" s="597"/>
      <c r="B140" s="598"/>
      <c r="C140" s="593"/>
      <c r="D140" s="599"/>
      <c r="E140" s="599"/>
      <c r="F140" s="599"/>
      <c r="G140" s="599"/>
      <c r="H140" s="599"/>
      <c r="I140" s="599"/>
      <c r="J140" s="599"/>
      <c r="K140" s="599"/>
      <c r="L140" s="600"/>
      <c r="M140" s="600"/>
      <c r="N140" s="601"/>
      <c r="O140" s="602"/>
    </row>
    <row r="141" ht="15.75" customHeight="1">
      <c r="A141" s="597"/>
      <c r="B141" s="598"/>
      <c r="C141" s="593"/>
      <c r="D141" s="599"/>
      <c r="E141" s="599"/>
      <c r="F141" s="599"/>
      <c r="G141" s="599"/>
      <c r="H141" s="599"/>
      <c r="I141" s="599"/>
      <c r="J141" s="599"/>
      <c r="K141" s="599"/>
      <c r="L141" s="600"/>
      <c r="M141" s="600"/>
      <c r="N141" s="601"/>
      <c r="O141" s="602"/>
    </row>
    <row r="142" ht="15.75" customHeight="1">
      <c r="A142" s="597"/>
      <c r="B142" s="598"/>
      <c r="C142" s="593"/>
      <c r="D142" s="599"/>
      <c r="E142" s="599"/>
      <c r="F142" s="599"/>
      <c r="G142" s="599"/>
      <c r="H142" s="599"/>
      <c r="I142" s="599"/>
      <c r="J142" s="599"/>
      <c r="K142" s="599"/>
      <c r="L142" s="600"/>
      <c r="M142" s="600"/>
      <c r="N142" s="601"/>
      <c r="O142" s="602"/>
    </row>
    <row r="143" ht="15.75" customHeight="1">
      <c r="A143" s="597"/>
      <c r="B143" s="598"/>
      <c r="C143" s="593"/>
      <c r="D143" s="599"/>
      <c r="E143" s="599"/>
      <c r="F143" s="599"/>
      <c r="G143" s="599"/>
      <c r="H143" s="599"/>
      <c r="I143" s="599"/>
      <c r="J143" s="599"/>
      <c r="K143" s="599"/>
      <c r="L143" s="600"/>
      <c r="M143" s="600"/>
      <c r="N143" s="601"/>
      <c r="O143" s="602"/>
    </row>
    <row r="144" ht="15.75" customHeight="1">
      <c r="A144" s="597"/>
      <c r="B144" s="598"/>
      <c r="C144" s="593"/>
      <c r="D144" s="599"/>
      <c r="E144" s="599"/>
      <c r="F144" s="599"/>
      <c r="G144" s="599"/>
      <c r="H144" s="599"/>
      <c r="I144" s="599"/>
      <c r="J144" s="599"/>
      <c r="K144" s="599"/>
      <c r="L144" s="600"/>
      <c r="M144" s="600"/>
      <c r="N144" s="601"/>
      <c r="O144" s="602"/>
    </row>
    <row r="145" ht="15.75" customHeight="1">
      <c r="A145" s="597"/>
      <c r="B145" s="598"/>
      <c r="C145" s="593"/>
      <c r="D145" s="599"/>
      <c r="E145" s="599"/>
      <c r="F145" s="599"/>
      <c r="G145" s="599"/>
      <c r="H145" s="599"/>
      <c r="I145" s="599"/>
      <c r="J145" s="599"/>
      <c r="K145" s="599"/>
      <c r="L145" s="600"/>
      <c r="M145" s="600"/>
      <c r="N145" s="601"/>
      <c r="O145" s="602"/>
    </row>
    <row r="146" ht="15.75" customHeight="1">
      <c r="A146" s="597"/>
      <c r="B146" s="598"/>
      <c r="C146" s="593"/>
      <c r="D146" s="599"/>
      <c r="E146" s="599"/>
      <c r="F146" s="599"/>
      <c r="G146" s="599"/>
      <c r="H146" s="599"/>
      <c r="I146" s="599"/>
      <c r="J146" s="599"/>
      <c r="K146" s="599"/>
      <c r="L146" s="600"/>
      <c r="M146" s="600"/>
      <c r="N146" s="601"/>
      <c r="O146" s="602"/>
    </row>
    <row r="147" ht="15.75" customHeight="1">
      <c r="A147" s="597"/>
      <c r="B147" s="598"/>
      <c r="C147" s="593"/>
      <c r="D147" s="599"/>
      <c r="E147" s="599"/>
      <c r="F147" s="599"/>
      <c r="G147" s="599"/>
      <c r="H147" s="599"/>
      <c r="I147" s="599"/>
      <c r="J147" s="599"/>
      <c r="K147" s="599"/>
      <c r="L147" s="600"/>
      <c r="M147" s="600"/>
      <c r="N147" s="601"/>
      <c r="O147" s="602"/>
    </row>
    <row r="148" ht="15.75" customHeight="1">
      <c r="A148" s="597"/>
      <c r="B148" s="598"/>
      <c r="C148" s="593"/>
      <c r="D148" s="599"/>
      <c r="E148" s="599"/>
      <c r="F148" s="599"/>
      <c r="G148" s="599"/>
      <c r="H148" s="599"/>
      <c r="I148" s="599"/>
      <c r="J148" s="599"/>
      <c r="K148" s="599"/>
      <c r="L148" s="600"/>
      <c r="M148" s="600"/>
      <c r="N148" s="601"/>
      <c r="O148" s="602"/>
    </row>
    <row r="149" ht="15.75" customHeight="1">
      <c r="A149" s="597"/>
      <c r="B149" s="598"/>
      <c r="C149" s="593"/>
      <c r="D149" s="599"/>
      <c r="E149" s="599"/>
      <c r="F149" s="599"/>
      <c r="G149" s="599"/>
      <c r="H149" s="599"/>
      <c r="I149" s="599"/>
      <c r="J149" s="599"/>
      <c r="K149" s="599"/>
      <c r="L149" s="600"/>
      <c r="M149" s="600"/>
      <c r="N149" s="601"/>
      <c r="O149" s="602"/>
    </row>
    <row r="150" ht="15.75" customHeight="1">
      <c r="A150" s="597"/>
      <c r="B150" s="598"/>
      <c r="C150" s="593"/>
      <c r="D150" s="599"/>
      <c r="E150" s="599"/>
      <c r="F150" s="599"/>
      <c r="G150" s="599"/>
      <c r="H150" s="599"/>
      <c r="I150" s="599"/>
      <c r="J150" s="599"/>
      <c r="K150" s="599"/>
      <c r="L150" s="600"/>
      <c r="M150" s="600"/>
      <c r="N150" s="601"/>
      <c r="O150" s="602"/>
    </row>
    <row r="151" ht="15.75" customHeight="1">
      <c r="A151" s="597"/>
      <c r="B151" s="598"/>
      <c r="C151" s="593"/>
      <c r="D151" s="599"/>
      <c r="E151" s="599"/>
      <c r="F151" s="599"/>
      <c r="G151" s="599"/>
      <c r="H151" s="599"/>
      <c r="I151" s="599"/>
      <c r="J151" s="599"/>
      <c r="K151" s="599"/>
      <c r="L151" s="600"/>
      <c r="M151" s="600"/>
      <c r="N151" s="601"/>
      <c r="O151" s="602"/>
    </row>
    <row r="152" ht="15.75" customHeight="1">
      <c r="A152" s="597"/>
      <c r="B152" s="598"/>
      <c r="C152" s="593"/>
      <c r="D152" s="599"/>
      <c r="E152" s="599"/>
      <c r="F152" s="599"/>
      <c r="G152" s="599"/>
      <c r="H152" s="599"/>
      <c r="I152" s="599"/>
      <c r="J152" s="599"/>
      <c r="K152" s="599"/>
      <c r="L152" s="600"/>
      <c r="M152" s="600"/>
      <c r="N152" s="601"/>
      <c r="O152" s="602"/>
    </row>
    <row r="153" ht="15.75" customHeight="1">
      <c r="A153" s="597"/>
      <c r="B153" s="598"/>
      <c r="C153" s="593"/>
      <c r="D153" s="599"/>
      <c r="E153" s="599"/>
      <c r="F153" s="599"/>
      <c r="G153" s="599"/>
      <c r="H153" s="599"/>
      <c r="I153" s="599"/>
      <c r="J153" s="599"/>
      <c r="K153" s="599"/>
      <c r="L153" s="600"/>
      <c r="M153" s="600"/>
      <c r="N153" s="601"/>
      <c r="O153" s="602"/>
    </row>
    <row r="154" ht="15.75" customHeight="1">
      <c r="A154" s="597"/>
      <c r="B154" s="598"/>
      <c r="C154" s="593"/>
      <c r="D154" s="599"/>
      <c r="E154" s="599"/>
      <c r="F154" s="599"/>
      <c r="G154" s="599"/>
      <c r="H154" s="599"/>
      <c r="I154" s="599"/>
      <c r="J154" s="599"/>
      <c r="K154" s="599"/>
      <c r="L154" s="600"/>
      <c r="M154" s="600"/>
      <c r="N154" s="601"/>
      <c r="O154" s="602"/>
    </row>
    <row r="155" ht="15.75" customHeight="1">
      <c r="A155" s="597"/>
      <c r="B155" s="598"/>
      <c r="C155" s="593"/>
      <c r="D155" s="599"/>
      <c r="E155" s="599"/>
      <c r="F155" s="599"/>
      <c r="G155" s="599"/>
      <c r="H155" s="599"/>
      <c r="I155" s="599"/>
      <c r="J155" s="599"/>
      <c r="K155" s="599"/>
      <c r="L155" s="600"/>
      <c r="M155" s="600"/>
      <c r="N155" s="601"/>
      <c r="O155" s="602"/>
    </row>
    <row r="156" ht="15.75" customHeight="1">
      <c r="A156" s="597"/>
      <c r="B156" s="598"/>
      <c r="C156" s="593"/>
      <c r="D156" s="599"/>
      <c r="E156" s="599"/>
      <c r="F156" s="599"/>
      <c r="G156" s="599"/>
      <c r="H156" s="599"/>
      <c r="I156" s="599"/>
      <c r="J156" s="599"/>
      <c r="K156" s="599"/>
      <c r="L156" s="600"/>
      <c r="M156" s="600"/>
      <c r="N156" s="601"/>
      <c r="O156" s="602"/>
    </row>
    <row r="157" ht="15.75" customHeight="1">
      <c r="A157" s="597"/>
      <c r="B157" s="598"/>
      <c r="C157" s="593"/>
      <c r="D157" s="599"/>
      <c r="E157" s="599"/>
      <c r="F157" s="599"/>
      <c r="G157" s="599"/>
      <c r="H157" s="599"/>
      <c r="I157" s="599"/>
      <c r="J157" s="599"/>
      <c r="K157" s="599"/>
      <c r="L157" s="600"/>
      <c r="M157" s="600"/>
      <c r="N157" s="601"/>
      <c r="O157" s="602"/>
    </row>
    <row r="158" ht="15.75" customHeight="1">
      <c r="A158" s="597"/>
      <c r="B158" s="598"/>
      <c r="C158" s="593"/>
      <c r="D158" s="599"/>
      <c r="E158" s="599"/>
      <c r="F158" s="599"/>
      <c r="G158" s="599"/>
      <c r="H158" s="599"/>
      <c r="I158" s="599"/>
      <c r="J158" s="599"/>
      <c r="K158" s="599"/>
      <c r="L158" s="600"/>
      <c r="M158" s="600"/>
      <c r="N158" s="601"/>
      <c r="O158" s="602"/>
    </row>
    <row r="159" ht="15.75" customHeight="1">
      <c r="A159" s="597"/>
      <c r="B159" s="598"/>
      <c r="C159" s="593"/>
      <c r="D159" s="599"/>
      <c r="E159" s="599"/>
      <c r="F159" s="599"/>
      <c r="G159" s="599"/>
      <c r="H159" s="599"/>
      <c r="I159" s="599"/>
      <c r="J159" s="599"/>
      <c r="K159" s="599"/>
      <c r="L159" s="600"/>
      <c r="M159" s="600"/>
      <c r="N159" s="601"/>
      <c r="O159" s="602"/>
    </row>
    <row r="160" ht="15.75" customHeight="1">
      <c r="A160" s="597"/>
      <c r="B160" s="598"/>
      <c r="C160" s="593"/>
      <c r="D160" s="599"/>
      <c r="E160" s="599"/>
      <c r="F160" s="599"/>
      <c r="G160" s="599"/>
      <c r="H160" s="599"/>
      <c r="I160" s="599"/>
      <c r="J160" s="599"/>
      <c r="K160" s="599"/>
      <c r="L160" s="600"/>
      <c r="M160" s="600"/>
      <c r="N160" s="601"/>
      <c r="O160" s="602"/>
    </row>
    <row r="161" ht="15.75" customHeight="1">
      <c r="A161" s="597"/>
      <c r="B161" s="598"/>
      <c r="C161" s="593"/>
      <c r="D161" s="599"/>
      <c r="E161" s="599"/>
      <c r="F161" s="599"/>
      <c r="G161" s="599"/>
      <c r="H161" s="599"/>
      <c r="I161" s="599"/>
      <c r="J161" s="599"/>
      <c r="K161" s="599"/>
      <c r="L161" s="600"/>
      <c r="M161" s="600"/>
      <c r="N161" s="601"/>
      <c r="O161" s="602"/>
    </row>
    <row r="162" ht="15.75" customHeight="1">
      <c r="A162" s="597"/>
      <c r="B162" s="598"/>
      <c r="C162" s="593"/>
      <c r="D162" s="599"/>
      <c r="E162" s="599"/>
      <c r="F162" s="599"/>
      <c r="G162" s="599"/>
      <c r="H162" s="599"/>
      <c r="I162" s="599"/>
      <c r="J162" s="599"/>
      <c r="K162" s="599"/>
      <c r="L162" s="600"/>
      <c r="M162" s="600"/>
      <c r="N162" s="601"/>
      <c r="O162" s="602"/>
    </row>
    <row r="163" ht="15.75" customHeight="1">
      <c r="A163" s="597"/>
      <c r="B163" s="598"/>
      <c r="C163" s="593"/>
      <c r="D163" s="599"/>
      <c r="E163" s="599"/>
      <c r="F163" s="599"/>
      <c r="G163" s="599"/>
      <c r="H163" s="599"/>
      <c r="I163" s="599"/>
      <c r="J163" s="599"/>
      <c r="K163" s="599"/>
      <c r="L163" s="600"/>
      <c r="M163" s="600"/>
      <c r="N163" s="601"/>
      <c r="O163" s="602"/>
    </row>
    <row r="164" ht="15.75" customHeight="1">
      <c r="A164" s="597"/>
      <c r="B164" s="598"/>
      <c r="C164" s="593"/>
      <c r="D164" s="599"/>
      <c r="E164" s="599"/>
      <c r="F164" s="599"/>
      <c r="G164" s="599"/>
      <c r="H164" s="599"/>
      <c r="I164" s="599"/>
      <c r="J164" s="599"/>
      <c r="K164" s="599"/>
      <c r="L164" s="600"/>
      <c r="M164" s="600"/>
      <c r="N164" s="601"/>
      <c r="O164" s="602"/>
    </row>
    <row r="165" ht="15.75" customHeight="1">
      <c r="A165" s="597"/>
      <c r="B165" s="598"/>
      <c r="C165" s="593"/>
      <c r="D165" s="599"/>
      <c r="E165" s="599"/>
      <c r="F165" s="599"/>
      <c r="G165" s="599"/>
      <c r="H165" s="599"/>
      <c r="I165" s="599"/>
      <c r="J165" s="599"/>
      <c r="K165" s="599"/>
      <c r="L165" s="600"/>
      <c r="M165" s="600"/>
      <c r="N165" s="601"/>
      <c r="O165" s="602"/>
    </row>
    <row r="166" ht="15.75" customHeight="1">
      <c r="A166" s="597"/>
      <c r="B166" s="598"/>
      <c r="C166" s="593"/>
      <c r="D166" s="599"/>
      <c r="E166" s="599"/>
      <c r="F166" s="599"/>
      <c r="G166" s="599"/>
      <c r="H166" s="599"/>
      <c r="I166" s="599"/>
      <c r="J166" s="599"/>
      <c r="K166" s="599"/>
      <c r="L166" s="600"/>
      <c r="M166" s="600"/>
      <c r="N166" s="601"/>
      <c r="O166" s="602"/>
    </row>
    <row r="167" ht="15.75" customHeight="1">
      <c r="A167" s="597"/>
      <c r="B167" s="598"/>
      <c r="C167" s="593"/>
      <c r="D167" s="599"/>
      <c r="E167" s="599"/>
      <c r="F167" s="599"/>
      <c r="G167" s="599"/>
      <c r="H167" s="599"/>
      <c r="I167" s="599"/>
      <c r="J167" s="599"/>
      <c r="K167" s="599"/>
      <c r="L167" s="600"/>
      <c r="M167" s="600"/>
      <c r="N167" s="601"/>
      <c r="O167" s="602"/>
    </row>
    <row r="168" ht="15.75" customHeight="1">
      <c r="A168" s="597"/>
      <c r="B168" s="598"/>
      <c r="C168" s="593"/>
      <c r="D168" s="599"/>
      <c r="E168" s="599"/>
      <c r="F168" s="599"/>
      <c r="G168" s="599"/>
      <c r="H168" s="599"/>
      <c r="I168" s="599"/>
      <c r="J168" s="599"/>
      <c r="K168" s="599"/>
      <c r="L168" s="600"/>
      <c r="M168" s="600"/>
      <c r="N168" s="601"/>
      <c r="O168" s="602"/>
    </row>
    <row r="169" ht="15.75" customHeight="1">
      <c r="A169" s="597"/>
      <c r="B169" s="598"/>
      <c r="C169" s="593"/>
      <c r="D169" s="599"/>
      <c r="E169" s="599"/>
      <c r="F169" s="599"/>
      <c r="G169" s="599"/>
      <c r="H169" s="599"/>
      <c r="I169" s="599"/>
      <c r="J169" s="599"/>
      <c r="K169" s="599"/>
      <c r="L169" s="600"/>
      <c r="M169" s="600"/>
      <c r="N169" s="601"/>
      <c r="O169" s="602"/>
    </row>
    <row r="170" ht="15.75" customHeight="1">
      <c r="A170" s="597"/>
      <c r="B170" s="598"/>
      <c r="C170" s="593"/>
      <c r="D170" s="599"/>
      <c r="E170" s="599"/>
      <c r="F170" s="599"/>
      <c r="G170" s="599"/>
      <c r="H170" s="599"/>
      <c r="I170" s="599"/>
      <c r="J170" s="599"/>
      <c r="K170" s="599"/>
      <c r="L170" s="600"/>
      <c r="M170" s="600"/>
      <c r="N170" s="601"/>
      <c r="O170" s="602"/>
    </row>
    <row r="171" ht="15.75" customHeight="1">
      <c r="A171" s="597"/>
      <c r="B171" s="598"/>
      <c r="C171" s="593"/>
      <c r="D171" s="599"/>
      <c r="E171" s="599"/>
      <c r="F171" s="599"/>
      <c r="G171" s="599"/>
      <c r="H171" s="599"/>
      <c r="I171" s="599"/>
      <c r="J171" s="599"/>
      <c r="K171" s="599"/>
      <c r="L171" s="600"/>
      <c r="M171" s="600"/>
      <c r="N171" s="601"/>
      <c r="O171" s="602"/>
    </row>
    <row r="172" ht="15.75" customHeight="1">
      <c r="A172" s="597"/>
      <c r="B172" s="598"/>
      <c r="C172" s="593"/>
      <c r="D172" s="599"/>
      <c r="E172" s="599"/>
      <c r="F172" s="599"/>
      <c r="G172" s="599"/>
      <c r="H172" s="599"/>
      <c r="I172" s="599"/>
      <c r="J172" s="599"/>
      <c r="K172" s="599"/>
      <c r="L172" s="600"/>
      <c r="M172" s="600"/>
      <c r="N172" s="601"/>
      <c r="O172" s="602"/>
    </row>
    <row r="173" ht="15.75" customHeight="1">
      <c r="A173" s="597"/>
      <c r="B173" s="598"/>
      <c r="C173" s="593"/>
      <c r="D173" s="599"/>
      <c r="E173" s="599"/>
      <c r="F173" s="599"/>
      <c r="G173" s="599"/>
      <c r="H173" s="599"/>
      <c r="I173" s="599"/>
      <c r="J173" s="599"/>
      <c r="K173" s="599"/>
      <c r="L173" s="600"/>
      <c r="M173" s="600"/>
      <c r="N173" s="601"/>
      <c r="O173" s="602"/>
    </row>
    <row r="174" ht="15.75" customHeight="1">
      <c r="A174" s="597"/>
      <c r="B174" s="598"/>
      <c r="C174" s="593"/>
      <c r="D174" s="599"/>
      <c r="E174" s="599"/>
      <c r="F174" s="599"/>
      <c r="G174" s="599"/>
      <c r="H174" s="599"/>
      <c r="I174" s="599"/>
      <c r="J174" s="599"/>
      <c r="K174" s="599"/>
      <c r="L174" s="600"/>
      <c r="M174" s="600"/>
      <c r="N174" s="601"/>
      <c r="O174" s="602"/>
    </row>
    <row r="175" ht="15.75" customHeight="1">
      <c r="A175" s="597"/>
      <c r="B175" s="598"/>
      <c r="C175" s="593"/>
      <c r="D175" s="599"/>
      <c r="E175" s="599"/>
      <c r="F175" s="599"/>
      <c r="G175" s="599"/>
      <c r="H175" s="599"/>
      <c r="I175" s="599"/>
      <c r="J175" s="599"/>
      <c r="K175" s="599"/>
      <c r="L175" s="600"/>
      <c r="M175" s="600"/>
      <c r="N175" s="601"/>
      <c r="O175" s="602"/>
    </row>
    <row r="176" ht="15.75" customHeight="1">
      <c r="A176" s="597"/>
      <c r="B176" s="598"/>
      <c r="C176" s="593"/>
      <c r="D176" s="599"/>
      <c r="E176" s="599"/>
      <c r="F176" s="599"/>
      <c r="G176" s="599"/>
      <c r="H176" s="599"/>
      <c r="I176" s="599"/>
      <c r="J176" s="599"/>
      <c r="K176" s="599"/>
      <c r="L176" s="600"/>
      <c r="M176" s="600"/>
      <c r="N176" s="601"/>
      <c r="O176" s="602"/>
    </row>
    <row r="177" ht="15.75" customHeight="1">
      <c r="A177" s="597"/>
      <c r="B177" s="598"/>
      <c r="C177" s="593"/>
      <c r="D177" s="599"/>
      <c r="E177" s="599"/>
      <c r="F177" s="599"/>
      <c r="G177" s="599"/>
      <c r="H177" s="599"/>
      <c r="I177" s="599"/>
      <c r="J177" s="599"/>
      <c r="K177" s="599"/>
      <c r="L177" s="600"/>
      <c r="M177" s="600"/>
      <c r="N177" s="601"/>
      <c r="O177" s="602"/>
    </row>
    <row r="178" ht="15.75" customHeight="1">
      <c r="A178" s="597"/>
      <c r="B178" s="598"/>
      <c r="C178" s="593"/>
      <c r="D178" s="599"/>
      <c r="E178" s="599"/>
      <c r="F178" s="599"/>
      <c r="G178" s="599"/>
      <c r="H178" s="599"/>
      <c r="I178" s="599"/>
      <c r="J178" s="599"/>
      <c r="K178" s="599"/>
      <c r="L178" s="600"/>
      <c r="M178" s="600"/>
      <c r="N178" s="601"/>
      <c r="O178" s="602"/>
    </row>
    <row r="179" ht="15.75" customHeight="1">
      <c r="A179" s="597"/>
      <c r="B179" s="598"/>
      <c r="C179" s="593"/>
      <c r="D179" s="599"/>
      <c r="E179" s="599"/>
      <c r="F179" s="599"/>
      <c r="G179" s="599"/>
      <c r="H179" s="599"/>
      <c r="I179" s="599"/>
      <c r="J179" s="599"/>
      <c r="K179" s="599"/>
      <c r="L179" s="600"/>
      <c r="M179" s="600"/>
      <c r="N179" s="601"/>
      <c r="O179" s="602"/>
    </row>
    <row r="180" ht="15.75" customHeight="1">
      <c r="A180" s="597"/>
      <c r="B180" s="598"/>
      <c r="C180" s="593"/>
      <c r="D180" s="599"/>
      <c r="E180" s="599"/>
      <c r="F180" s="599"/>
      <c r="G180" s="599"/>
      <c r="H180" s="599"/>
      <c r="I180" s="599"/>
      <c r="J180" s="599"/>
      <c r="K180" s="599"/>
      <c r="L180" s="600"/>
      <c r="M180" s="600"/>
      <c r="N180" s="601"/>
      <c r="O180" s="602"/>
    </row>
    <row r="181" ht="15.75" customHeight="1">
      <c r="A181" s="597"/>
      <c r="B181" s="598"/>
      <c r="C181" s="593"/>
      <c r="D181" s="599"/>
      <c r="E181" s="599"/>
      <c r="F181" s="599"/>
      <c r="G181" s="599"/>
      <c r="H181" s="599"/>
      <c r="I181" s="599"/>
      <c r="J181" s="599"/>
      <c r="K181" s="599"/>
      <c r="L181" s="600"/>
      <c r="M181" s="600"/>
      <c r="N181" s="601"/>
      <c r="O181" s="602"/>
    </row>
    <row r="182" ht="15.75" customHeight="1">
      <c r="A182" s="597"/>
      <c r="B182" s="598"/>
      <c r="C182" s="593"/>
      <c r="D182" s="599"/>
      <c r="E182" s="599"/>
      <c r="F182" s="599"/>
      <c r="G182" s="599"/>
      <c r="H182" s="599"/>
      <c r="I182" s="599"/>
      <c r="J182" s="599"/>
      <c r="K182" s="599"/>
      <c r="L182" s="600"/>
      <c r="M182" s="600"/>
      <c r="N182" s="601"/>
      <c r="O182" s="602"/>
    </row>
    <row r="183" ht="15.75" customHeight="1">
      <c r="A183" s="597"/>
      <c r="B183" s="598"/>
      <c r="C183" s="593"/>
      <c r="D183" s="599"/>
      <c r="E183" s="599"/>
      <c r="F183" s="599"/>
      <c r="G183" s="599"/>
      <c r="H183" s="599"/>
      <c r="I183" s="599"/>
      <c r="J183" s="599"/>
      <c r="K183" s="599"/>
      <c r="L183" s="600"/>
      <c r="M183" s="600"/>
      <c r="N183" s="601"/>
      <c r="O183" s="602"/>
    </row>
    <row r="184" ht="15.75" customHeight="1">
      <c r="A184" s="597"/>
      <c r="B184" s="598"/>
      <c r="C184" s="593"/>
      <c r="D184" s="599"/>
      <c r="E184" s="599"/>
      <c r="F184" s="599"/>
      <c r="G184" s="599"/>
      <c r="H184" s="599"/>
      <c r="I184" s="599"/>
      <c r="J184" s="599"/>
      <c r="K184" s="599"/>
      <c r="L184" s="600"/>
      <c r="M184" s="600"/>
      <c r="N184" s="601"/>
      <c r="O184" s="602"/>
    </row>
    <row r="185" ht="15.75" customHeight="1">
      <c r="A185" s="597"/>
      <c r="B185" s="598"/>
      <c r="C185" s="593"/>
      <c r="D185" s="599"/>
      <c r="E185" s="599"/>
      <c r="F185" s="599"/>
      <c r="G185" s="599"/>
      <c r="H185" s="599"/>
      <c r="I185" s="599"/>
      <c r="J185" s="599"/>
      <c r="K185" s="599"/>
      <c r="L185" s="600"/>
      <c r="M185" s="600"/>
      <c r="N185" s="601"/>
      <c r="O185" s="602"/>
    </row>
    <row r="186" ht="15.75" customHeight="1">
      <c r="A186" s="597"/>
      <c r="B186" s="598"/>
      <c r="C186" s="593"/>
      <c r="D186" s="599"/>
      <c r="E186" s="599"/>
      <c r="F186" s="599"/>
      <c r="G186" s="599"/>
      <c r="H186" s="599"/>
      <c r="I186" s="599"/>
      <c r="J186" s="599"/>
      <c r="K186" s="599"/>
      <c r="L186" s="600"/>
      <c r="M186" s="600"/>
      <c r="N186" s="601"/>
      <c r="O186" s="602"/>
    </row>
    <row r="187" ht="15.75" customHeight="1">
      <c r="A187" s="597"/>
      <c r="B187" s="598"/>
      <c r="C187" s="593"/>
      <c r="D187" s="599"/>
      <c r="E187" s="599"/>
      <c r="F187" s="599"/>
      <c r="G187" s="599"/>
      <c r="H187" s="599"/>
      <c r="I187" s="599"/>
      <c r="J187" s="599"/>
      <c r="K187" s="599"/>
      <c r="L187" s="600"/>
      <c r="M187" s="600"/>
      <c r="N187" s="601"/>
      <c r="O187" s="602"/>
    </row>
    <row r="188" ht="15.75" customHeight="1">
      <c r="A188" s="597"/>
      <c r="B188" s="598"/>
      <c r="C188" s="593"/>
      <c r="D188" s="599"/>
      <c r="E188" s="599"/>
      <c r="F188" s="599"/>
      <c r="G188" s="599"/>
      <c r="H188" s="599"/>
      <c r="I188" s="599"/>
      <c r="J188" s="599"/>
      <c r="K188" s="599"/>
      <c r="L188" s="600"/>
      <c r="M188" s="600"/>
      <c r="N188" s="601"/>
      <c r="O188" s="602"/>
    </row>
    <row r="189" ht="15.75" customHeight="1">
      <c r="A189" s="597"/>
      <c r="B189" s="598"/>
      <c r="C189" s="593"/>
      <c r="D189" s="599"/>
      <c r="E189" s="599"/>
      <c r="F189" s="599"/>
      <c r="G189" s="599"/>
      <c r="H189" s="599"/>
      <c r="I189" s="599"/>
      <c r="J189" s="599"/>
      <c r="K189" s="599"/>
      <c r="L189" s="600"/>
      <c r="M189" s="600"/>
      <c r="N189" s="601"/>
      <c r="O189" s="602"/>
    </row>
    <row r="190" ht="15.75" customHeight="1">
      <c r="A190" s="597"/>
      <c r="B190" s="598"/>
      <c r="C190" s="593"/>
      <c r="D190" s="599"/>
      <c r="E190" s="599"/>
      <c r="F190" s="599"/>
      <c r="G190" s="599"/>
      <c r="H190" s="599"/>
      <c r="I190" s="599"/>
      <c r="J190" s="599"/>
      <c r="K190" s="599"/>
      <c r="L190" s="600"/>
      <c r="M190" s="600"/>
      <c r="N190" s="601"/>
      <c r="O190" s="602"/>
    </row>
    <row r="191" ht="15.75" customHeight="1">
      <c r="A191" s="597"/>
      <c r="B191" s="598"/>
      <c r="C191" s="593"/>
      <c r="D191" s="599"/>
      <c r="E191" s="599"/>
      <c r="F191" s="599"/>
      <c r="G191" s="599"/>
      <c r="H191" s="599"/>
      <c r="I191" s="599"/>
      <c r="J191" s="599"/>
      <c r="K191" s="599"/>
      <c r="L191" s="600"/>
      <c r="M191" s="600"/>
      <c r="N191" s="601"/>
      <c r="O191" s="602"/>
    </row>
    <row r="192" ht="15.75" customHeight="1">
      <c r="A192" s="597"/>
      <c r="B192" s="598"/>
      <c r="C192" s="593"/>
      <c r="D192" s="599"/>
      <c r="E192" s="599"/>
      <c r="F192" s="599"/>
      <c r="G192" s="599"/>
      <c r="H192" s="599"/>
      <c r="I192" s="599"/>
      <c r="J192" s="599"/>
      <c r="K192" s="599"/>
      <c r="L192" s="600"/>
      <c r="M192" s="600"/>
      <c r="N192" s="601"/>
      <c r="O192" s="602"/>
    </row>
    <row r="193" ht="15.75" customHeight="1">
      <c r="A193" s="597"/>
      <c r="B193" s="598"/>
      <c r="C193" s="593"/>
      <c r="D193" s="599"/>
      <c r="E193" s="599"/>
      <c r="F193" s="599"/>
      <c r="G193" s="599"/>
      <c r="H193" s="599"/>
      <c r="I193" s="599"/>
      <c r="J193" s="599"/>
      <c r="K193" s="599"/>
      <c r="L193" s="600"/>
      <c r="M193" s="600"/>
      <c r="N193" s="601"/>
      <c r="O193" s="602"/>
    </row>
    <row r="194" ht="15.75" customHeight="1">
      <c r="A194" s="597"/>
      <c r="B194" s="598"/>
      <c r="C194" s="593"/>
      <c r="D194" s="599"/>
      <c r="E194" s="599"/>
      <c r="F194" s="599"/>
      <c r="G194" s="599"/>
      <c r="H194" s="599"/>
      <c r="I194" s="599"/>
      <c r="J194" s="599"/>
      <c r="K194" s="599"/>
      <c r="L194" s="600"/>
      <c r="M194" s="600"/>
      <c r="N194" s="601"/>
      <c r="O194" s="602"/>
    </row>
    <row r="195" ht="15.75" customHeight="1">
      <c r="A195" s="597"/>
      <c r="B195" s="598"/>
      <c r="C195" s="593"/>
      <c r="D195" s="599"/>
      <c r="E195" s="599"/>
      <c r="F195" s="599"/>
      <c r="G195" s="599"/>
      <c r="H195" s="599"/>
      <c r="I195" s="599"/>
      <c r="J195" s="599"/>
      <c r="K195" s="599"/>
      <c r="L195" s="600"/>
      <c r="M195" s="600"/>
      <c r="N195" s="601"/>
      <c r="O195" s="602"/>
    </row>
    <row r="196" ht="15.75" customHeight="1">
      <c r="A196" s="597"/>
      <c r="B196" s="598"/>
      <c r="C196" s="593"/>
      <c r="D196" s="599"/>
      <c r="E196" s="599"/>
      <c r="F196" s="599"/>
      <c r="G196" s="599"/>
      <c r="H196" s="599"/>
      <c r="I196" s="599"/>
      <c r="J196" s="599"/>
      <c r="K196" s="599"/>
      <c r="L196" s="600"/>
      <c r="M196" s="600"/>
      <c r="N196" s="601"/>
      <c r="O196" s="602"/>
    </row>
    <row r="197" ht="15.75" customHeight="1">
      <c r="A197" s="597"/>
      <c r="B197" s="598"/>
      <c r="C197" s="593"/>
      <c r="D197" s="599"/>
      <c r="E197" s="599"/>
      <c r="F197" s="599"/>
      <c r="G197" s="599"/>
      <c r="H197" s="599"/>
      <c r="I197" s="599"/>
      <c r="J197" s="599"/>
      <c r="K197" s="599"/>
      <c r="L197" s="600"/>
      <c r="M197" s="600"/>
      <c r="N197" s="601"/>
      <c r="O197" s="602"/>
    </row>
    <row r="198" ht="15.75" customHeight="1">
      <c r="A198" s="597"/>
      <c r="B198" s="598"/>
      <c r="C198" s="593"/>
      <c r="D198" s="599"/>
      <c r="E198" s="599"/>
      <c r="F198" s="599"/>
      <c r="G198" s="599"/>
      <c r="H198" s="599"/>
      <c r="I198" s="599"/>
      <c r="J198" s="599"/>
      <c r="K198" s="599"/>
      <c r="L198" s="600"/>
      <c r="M198" s="600"/>
      <c r="N198" s="601"/>
      <c r="O198" s="602"/>
    </row>
    <row r="199" ht="15.75" customHeight="1">
      <c r="A199" s="597"/>
      <c r="B199" s="598"/>
      <c r="C199" s="593"/>
      <c r="D199" s="599"/>
      <c r="E199" s="599"/>
      <c r="F199" s="599"/>
      <c r="G199" s="599"/>
      <c r="H199" s="599"/>
      <c r="I199" s="599"/>
      <c r="J199" s="599"/>
      <c r="K199" s="599"/>
      <c r="L199" s="600"/>
      <c r="M199" s="600"/>
      <c r="N199" s="601"/>
      <c r="O199" s="602"/>
    </row>
    <row r="200" ht="15.75" customHeight="1">
      <c r="A200" s="597"/>
      <c r="B200" s="598"/>
      <c r="C200" s="593"/>
      <c r="D200" s="599"/>
      <c r="E200" s="599"/>
      <c r="F200" s="599"/>
      <c r="G200" s="599"/>
      <c r="H200" s="599"/>
      <c r="I200" s="599"/>
      <c r="J200" s="599"/>
      <c r="K200" s="599"/>
      <c r="L200" s="600"/>
      <c r="M200" s="600"/>
      <c r="N200" s="601"/>
      <c r="O200" s="602"/>
    </row>
    <row r="201" ht="15.75" customHeight="1">
      <c r="A201" s="597"/>
      <c r="B201" s="598"/>
      <c r="C201" s="593"/>
      <c r="D201" s="599"/>
      <c r="E201" s="599"/>
      <c r="F201" s="599"/>
      <c r="G201" s="599"/>
      <c r="H201" s="599"/>
      <c r="I201" s="599"/>
      <c r="J201" s="599"/>
      <c r="K201" s="599"/>
      <c r="L201" s="600"/>
      <c r="M201" s="600"/>
      <c r="N201" s="601"/>
      <c r="O201" s="602"/>
    </row>
    <row r="202" ht="15.75" customHeight="1">
      <c r="A202" s="597"/>
      <c r="B202" s="598"/>
      <c r="C202" s="593"/>
      <c r="D202" s="599"/>
      <c r="E202" s="599"/>
      <c r="F202" s="599"/>
      <c r="G202" s="599"/>
      <c r="H202" s="599"/>
      <c r="I202" s="599"/>
      <c r="J202" s="599"/>
      <c r="K202" s="599"/>
      <c r="L202" s="600"/>
      <c r="M202" s="600"/>
      <c r="N202" s="601"/>
      <c r="O202" s="602"/>
    </row>
    <row r="203" ht="15.75" customHeight="1">
      <c r="A203" s="597"/>
      <c r="B203" s="598"/>
      <c r="C203" s="593"/>
      <c r="D203" s="599"/>
      <c r="E203" s="599"/>
      <c r="F203" s="599"/>
      <c r="G203" s="599"/>
      <c r="H203" s="599"/>
      <c r="I203" s="599"/>
      <c r="J203" s="599"/>
      <c r="K203" s="599"/>
      <c r="L203" s="600"/>
      <c r="M203" s="600"/>
      <c r="N203" s="601"/>
      <c r="O203" s="602"/>
    </row>
    <row r="204" ht="15.75" customHeight="1">
      <c r="A204" s="597"/>
      <c r="B204" s="598"/>
      <c r="C204" s="593"/>
      <c r="D204" s="599"/>
      <c r="E204" s="599"/>
      <c r="F204" s="599"/>
      <c r="G204" s="599"/>
      <c r="H204" s="599"/>
      <c r="I204" s="599"/>
      <c r="J204" s="599"/>
      <c r="K204" s="599"/>
      <c r="L204" s="600"/>
      <c r="M204" s="600"/>
      <c r="N204" s="601"/>
      <c r="O204" s="602"/>
    </row>
    <row r="205" ht="15.75" customHeight="1">
      <c r="A205" s="597"/>
      <c r="B205" s="598"/>
      <c r="C205" s="593"/>
      <c r="D205" s="599"/>
      <c r="E205" s="599"/>
      <c r="F205" s="599"/>
      <c r="G205" s="599"/>
      <c r="H205" s="599"/>
      <c r="I205" s="599"/>
      <c r="J205" s="599"/>
      <c r="K205" s="599"/>
      <c r="L205" s="600"/>
      <c r="M205" s="600"/>
      <c r="N205" s="601"/>
      <c r="O205" s="602"/>
    </row>
    <row r="206" ht="15.75" customHeight="1">
      <c r="A206" s="597"/>
      <c r="B206" s="598"/>
      <c r="C206" s="593"/>
      <c r="D206" s="599"/>
      <c r="E206" s="599"/>
      <c r="F206" s="599"/>
      <c r="G206" s="599"/>
      <c r="H206" s="599"/>
      <c r="I206" s="599"/>
      <c r="J206" s="599"/>
      <c r="K206" s="599"/>
      <c r="L206" s="600"/>
      <c r="M206" s="600"/>
      <c r="N206" s="601"/>
      <c r="O206" s="602"/>
    </row>
    <row r="207" ht="15.75" customHeight="1">
      <c r="A207" s="597"/>
      <c r="B207" s="598"/>
      <c r="C207" s="593"/>
      <c r="D207" s="599"/>
      <c r="E207" s="599"/>
      <c r="F207" s="599"/>
      <c r="G207" s="599"/>
      <c r="H207" s="599"/>
      <c r="I207" s="599"/>
      <c r="J207" s="599"/>
      <c r="K207" s="599"/>
      <c r="L207" s="600"/>
      <c r="M207" s="600"/>
      <c r="N207" s="601"/>
      <c r="O207" s="602"/>
    </row>
    <row r="208" ht="15.75" customHeight="1">
      <c r="A208" s="597"/>
      <c r="B208" s="598"/>
      <c r="C208" s="593"/>
      <c r="D208" s="599"/>
      <c r="E208" s="599"/>
      <c r="F208" s="599"/>
      <c r="G208" s="599"/>
      <c r="H208" s="599"/>
      <c r="I208" s="599"/>
      <c r="J208" s="599"/>
      <c r="K208" s="599"/>
      <c r="L208" s="600"/>
      <c r="M208" s="600"/>
      <c r="N208" s="601"/>
      <c r="O208" s="602"/>
    </row>
    <row r="209" ht="15.75" customHeight="1">
      <c r="A209" s="597"/>
      <c r="B209" s="598"/>
      <c r="C209" s="593"/>
      <c r="D209" s="599"/>
      <c r="E209" s="599"/>
      <c r="F209" s="599"/>
      <c r="G209" s="599"/>
      <c r="H209" s="599"/>
      <c r="I209" s="599"/>
      <c r="J209" s="599"/>
      <c r="K209" s="599"/>
      <c r="L209" s="600"/>
      <c r="M209" s="600"/>
      <c r="N209" s="601"/>
      <c r="O209" s="602"/>
    </row>
    <row r="210" ht="15.75" customHeight="1">
      <c r="A210" s="597"/>
      <c r="B210" s="598"/>
      <c r="C210" s="593"/>
      <c r="D210" s="599"/>
      <c r="E210" s="599"/>
      <c r="F210" s="599"/>
      <c r="G210" s="599"/>
      <c r="H210" s="599"/>
      <c r="I210" s="599"/>
      <c r="J210" s="599"/>
      <c r="K210" s="599"/>
      <c r="L210" s="600"/>
      <c r="M210" s="600"/>
      <c r="N210" s="601"/>
      <c r="O210" s="602"/>
    </row>
    <row r="211" ht="15.75" customHeight="1">
      <c r="A211" s="597"/>
      <c r="B211" s="598"/>
      <c r="C211" s="593"/>
      <c r="D211" s="599"/>
      <c r="E211" s="599"/>
      <c r="F211" s="599"/>
      <c r="G211" s="599"/>
      <c r="H211" s="599"/>
      <c r="I211" s="599"/>
      <c r="J211" s="599"/>
      <c r="K211" s="599"/>
      <c r="L211" s="600"/>
      <c r="M211" s="600"/>
      <c r="N211" s="601"/>
      <c r="O211" s="602"/>
    </row>
    <row r="212" ht="15.75" customHeight="1">
      <c r="A212" s="597"/>
      <c r="B212" s="598"/>
      <c r="C212" s="593"/>
      <c r="D212" s="599"/>
      <c r="E212" s="599"/>
      <c r="F212" s="599"/>
      <c r="G212" s="599"/>
      <c r="H212" s="599"/>
      <c r="I212" s="599"/>
      <c r="J212" s="599"/>
      <c r="K212" s="599"/>
      <c r="L212" s="600"/>
      <c r="M212" s="600"/>
      <c r="N212" s="601"/>
      <c r="O212" s="602"/>
    </row>
    <row r="213" ht="15.75" customHeight="1">
      <c r="A213" s="597"/>
      <c r="B213" s="598"/>
      <c r="C213" s="593"/>
      <c r="D213" s="599"/>
      <c r="E213" s="599"/>
      <c r="F213" s="599"/>
      <c r="G213" s="599"/>
      <c r="H213" s="599"/>
      <c r="I213" s="599"/>
      <c r="J213" s="599"/>
      <c r="K213" s="599"/>
      <c r="L213" s="600"/>
      <c r="M213" s="600"/>
      <c r="N213" s="601"/>
      <c r="O213" s="602"/>
    </row>
    <row r="214" ht="15.75" customHeight="1">
      <c r="A214" s="597"/>
      <c r="B214" s="598"/>
      <c r="C214" s="593"/>
      <c r="D214" s="599"/>
      <c r="E214" s="599"/>
      <c r="F214" s="599"/>
      <c r="G214" s="599"/>
      <c r="H214" s="599"/>
      <c r="I214" s="599"/>
      <c r="J214" s="599"/>
      <c r="K214" s="599"/>
      <c r="L214" s="600"/>
      <c r="M214" s="600"/>
      <c r="N214" s="601"/>
      <c r="O214" s="602"/>
    </row>
    <row r="215" ht="15.75" customHeight="1">
      <c r="A215" s="597"/>
      <c r="B215" s="598"/>
      <c r="C215" s="593"/>
      <c r="D215" s="599"/>
      <c r="E215" s="599"/>
      <c r="F215" s="599"/>
      <c r="G215" s="599"/>
      <c r="H215" s="599"/>
      <c r="I215" s="599"/>
      <c r="J215" s="599"/>
      <c r="K215" s="599"/>
      <c r="L215" s="600"/>
      <c r="M215" s="600"/>
      <c r="N215" s="601"/>
      <c r="O215" s="602"/>
    </row>
    <row r="216" ht="15.75" customHeight="1">
      <c r="A216" s="597"/>
      <c r="B216" s="598"/>
      <c r="C216" s="593"/>
      <c r="D216" s="599"/>
      <c r="E216" s="599"/>
      <c r="F216" s="599"/>
      <c r="G216" s="599"/>
      <c r="H216" s="599"/>
      <c r="I216" s="599"/>
      <c r="J216" s="599"/>
      <c r="K216" s="599"/>
      <c r="L216" s="600"/>
      <c r="M216" s="600"/>
      <c r="N216" s="601"/>
      <c r="O216" s="602"/>
    </row>
    <row r="217" ht="15.75" customHeight="1">
      <c r="A217" s="597"/>
      <c r="B217" s="598"/>
      <c r="C217" s="593"/>
      <c r="D217" s="599"/>
      <c r="E217" s="599"/>
      <c r="F217" s="599"/>
      <c r="G217" s="599"/>
      <c r="H217" s="599"/>
      <c r="I217" s="599"/>
      <c r="J217" s="599"/>
      <c r="K217" s="599"/>
      <c r="L217" s="600"/>
      <c r="M217" s="600"/>
      <c r="N217" s="601"/>
      <c r="O217" s="602"/>
    </row>
    <row r="218" ht="15.75" customHeight="1">
      <c r="A218" s="597"/>
      <c r="B218" s="598"/>
      <c r="C218" s="593"/>
      <c r="D218" s="599"/>
      <c r="E218" s="599"/>
      <c r="F218" s="599"/>
      <c r="G218" s="599"/>
      <c r="H218" s="599"/>
      <c r="I218" s="599"/>
      <c r="J218" s="599"/>
      <c r="K218" s="599"/>
      <c r="L218" s="600"/>
      <c r="M218" s="600"/>
      <c r="N218" s="601"/>
      <c r="O218" s="602"/>
    </row>
    <row r="219" ht="15.75" customHeight="1">
      <c r="A219" s="597"/>
      <c r="B219" s="598"/>
      <c r="C219" s="593"/>
      <c r="D219" s="599"/>
      <c r="E219" s="599"/>
      <c r="F219" s="599"/>
      <c r="G219" s="599"/>
      <c r="H219" s="599"/>
      <c r="I219" s="599"/>
      <c r="J219" s="599"/>
      <c r="K219" s="599"/>
      <c r="L219" s="600"/>
      <c r="M219" s="600"/>
      <c r="N219" s="601"/>
      <c r="O219" s="602"/>
    </row>
    <row r="220" ht="15.75" customHeight="1">
      <c r="A220" s="597"/>
      <c r="B220" s="598"/>
      <c r="C220" s="593"/>
      <c r="D220" s="599"/>
      <c r="E220" s="599"/>
      <c r="F220" s="599"/>
      <c r="G220" s="599"/>
      <c r="H220" s="599"/>
      <c r="I220" s="599"/>
      <c r="J220" s="599"/>
      <c r="K220" s="599"/>
      <c r="L220" s="600"/>
      <c r="M220" s="600"/>
      <c r="N220" s="601"/>
      <c r="O220" s="602"/>
    </row>
    <row r="221" ht="15.75" customHeight="1">
      <c r="A221" s="597"/>
      <c r="B221" s="598"/>
      <c r="C221" s="593"/>
      <c r="D221" s="599"/>
      <c r="E221" s="599"/>
      <c r="F221" s="599"/>
      <c r="G221" s="599"/>
      <c r="H221" s="599"/>
      <c r="I221" s="599"/>
      <c r="J221" s="599"/>
      <c r="K221" s="599"/>
      <c r="L221" s="600"/>
      <c r="M221" s="600"/>
      <c r="N221" s="601"/>
      <c r="O221" s="602"/>
    </row>
    <row r="222" ht="15.75" customHeight="1">
      <c r="A222" s="597"/>
      <c r="B222" s="598"/>
      <c r="C222" s="593"/>
      <c r="D222" s="599"/>
      <c r="E222" s="599"/>
      <c r="F222" s="599"/>
      <c r="G222" s="599"/>
      <c r="H222" s="599"/>
      <c r="I222" s="599"/>
      <c r="J222" s="599"/>
      <c r="K222" s="599"/>
      <c r="L222" s="600"/>
      <c r="M222" s="600"/>
      <c r="N222" s="601"/>
      <c r="O222" s="602"/>
    </row>
    <row r="223" ht="15.75" customHeight="1">
      <c r="A223" s="597"/>
      <c r="B223" s="598"/>
      <c r="C223" s="593"/>
      <c r="D223" s="599"/>
      <c r="E223" s="599"/>
      <c r="F223" s="599"/>
      <c r="G223" s="599"/>
      <c r="H223" s="599"/>
      <c r="I223" s="599"/>
      <c r="J223" s="599"/>
      <c r="K223" s="599"/>
      <c r="L223" s="600"/>
      <c r="M223" s="600"/>
      <c r="N223" s="601"/>
      <c r="O223" s="602"/>
    </row>
    <row r="224" ht="15.75" customHeight="1">
      <c r="A224" s="597"/>
      <c r="B224" s="598"/>
      <c r="C224" s="593"/>
      <c r="D224" s="599"/>
      <c r="E224" s="599"/>
      <c r="F224" s="599"/>
      <c r="G224" s="599"/>
      <c r="H224" s="599"/>
      <c r="I224" s="599"/>
      <c r="J224" s="599"/>
      <c r="K224" s="599"/>
      <c r="L224" s="600"/>
      <c r="M224" s="600"/>
      <c r="N224" s="601"/>
      <c r="O224" s="602"/>
    </row>
    <row r="225" ht="15.75" customHeight="1">
      <c r="A225" s="597"/>
      <c r="B225" s="598"/>
      <c r="C225" s="593"/>
      <c r="D225" s="599"/>
      <c r="E225" s="599"/>
      <c r="F225" s="599"/>
      <c r="G225" s="599"/>
      <c r="H225" s="599"/>
      <c r="I225" s="599"/>
      <c r="J225" s="599"/>
      <c r="K225" s="599"/>
      <c r="L225" s="600"/>
      <c r="M225" s="600"/>
      <c r="N225" s="601"/>
      <c r="O225" s="602"/>
    </row>
    <row r="226" ht="15.75" customHeight="1">
      <c r="A226" s="597"/>
      <c r="B226" s="598"/>
      <c r="C226" s="593"/>
      <c r="D226" s="599"/>
      <c r="E226" s="599"/>
      <c r="F226" s="599"/>
      <c r="G226" s="599"/>
      <c r="H226" s="599"/>
      <c r="I226" s="599"/>
      <c r="J226" s="599"/>
      <c r="K226" s="599"/>
      <c r="L226" s="600"/>
      <c r="M226" s="600"/>
      <c r="N226" s="601"/>
      <c r="O226" s="602"/>
    </row>
    <row r="227" ht="15.75" customHeight="1">
      <c r="A227" s="597"/>
      <c r="B227" s="598"/>
      <c r="C227" s="593"/>
      <c r="D227" s="599"/>
      <c r="E227" s="599"/>
      <c r="F227" s="599"/>
      <c r="G227" s="599"/>
      <c r="H227" s="599"/>
      <c r="I227" s="599"/>
      <c r="J227" s="599"/>
      <c r="K227" s="599"/>
      <c r="L227" s="600"/>
      <c r="M227" s="600"/>
      <c r="N227" s="601"/>
      <c r="O227" s="602"/>
    </row>
    <row r="228" ht="15.75" customHeight="1">
      <c r="A228" s="597"/>
      <c r="B228" s="598"/>
      <c r="C228" s="593"/>
      <c r="D228" s="599"/>
      <c r="E228" s="599"/>
      <c r="F228" s="599"/>
      <c r="G228" s="599"/>
      <c r="H228" s="599"/>
      <c r="I228" s="599"/>
      <c r="J228" s="599"/>
      <c r="K228" s="599"/>
      <c r="L228" s="600"/>
      <c r="M228" s="600"/>
      <c r="N228" s="601"/>
      <c r="O228" s="602"/>
    </row>
    <row r="229" ht="15.75" customHeight="1">
      <c r="A229" s="597"/>
      <c r="B229" s="598"/>
      <c r="C229" s="593"/>
      <c r="D229" s="599"/>
      <c r="E229" s="599"/>
      <c r="F229" s="599"/>
      <c r="G229" s="599"/>
      <c r="H229" s="599"/>
      <c r="I229" s="599"/>
      <c r="J229" s="599"/>
      <c r="K229" s="599"/>
      <c r="L229" s="600"/>
      <c r="M229" s="600"/>
      <c r="N229" s="601"/>
      <c r="O229" s="602"/>
    </row>
    <row r="230" ht="15.75" customHeight="1">
      <c r="A230" s="597"/>
      <c r="B230" s="598"/>
      <c r="C230" s="593"/>
      <c r="D230" s="599"/>
      <c r="E230" s="599"/>
      <c r="F230" s="599"/>
      <c r="G230" s="599"/>
      <c r="H230" s="599"/>
      <c r="I230" s="599"/>
      <c r="J230" s="599"/>
      <c r="K230" s="599"/>
      <c r="L230" s="600"/>
      <c r="M230" s="600"/>
      <c r="N230" s="601"/>
      <c r="O230" s="602"/>
    </row>
    <row r="231" ht="15.75" customHeight="1">
      <c r="A231" s="597"/>
      <c r="B231" s="598"/>
      <c r="C231" s="593"/>
      <c r="D231" s="599"/>
      <c r="E231" s="599"/>
      <c r="F231" s="599"/>
      <c r="G231" s="599"/>
      <c r="H231" s="599"/>
      <c r="I231" s="599"/>
      <c r="J231" s="599"/>
      <c r="K231" s="599"/>
      <c r="L231" s="600"/>
      <c r="M231" s="600"/>
      <c r="N231" s="601"/>
      <c r="O231" s="602"/>
    </row>
    <row r="232" ht="15.75" customHeight="1">
      <c r="A232" s="597"/>
      <c r="B232" s="598"/>
      <c r="C232" s="593"/>
      <c r="D232" s="599"/>
      <c r="E232" s="599"/>
      <c r="F232" s="599"/>
      <c r="G232" s="599"/>
      <c r="H232" s="599"/>
      <c r="I232" s="599"/>
      <c r="J232" s="599"/>
      <c r="K232" s="599"/>
      <c r="L232" s="600"/>
      <c r="M232" s="600"/>
      <c r="N232" s="601"/>
      <c r="O232" s="602"/>
    </row>
    <row r="233" ht="15.75" customHeight="1">
      <c r="A233" s="597"/>
      <c r="B233" s="598"/>
      <c r="C233" s="593"/>
      <c r="D233" s="599"/>
      <c r="E233" s="599"/>
      <c r="F233" s="599"/>
      <c r="G233" s="599"/>
      <c r="H233" s="599"/>
      <c r="I233" s="599"/>
      <c r="J233" s="599"/>
      <c r="K233" s="599"/>
      <c r="L233" s="600"/>
      <c r="M233" s="600"/>
      <c r="N233" s="601"/>
      <c r="O233" s="602"/>
    </row>
    <row r="234" ht="15.75" customHeight="1">
      <c r="A234" s="597"/>
      <c r="B234" s="598"/>
      <c r="C234" s="593"/>
      <c r="D234" s="599"/>
      <c r="E234" s="599"/>
      <c r="F234" s="599"/>
      <c r="G234" s="599"/>
      <c r="H234" s="599"/>
      <c r="I234" s="599"/>
      <c r="J234" s="599"/>
      <c r="K234" s="599"/>
      <c r="L234" s="600"/>
      <c r="M234" s="600"/>
      <c r="N234" s="601"/>
      <c r="O234" s="602"/>
    </row>
    <row r="235" ht="15.75" customHeight="1">
      <c r="A235" s="597"/>
      <c r="B235" s="598"/>
      <c r="C235" s="593"/>
      <c r="D235" s="599"/>
      <c r="E235" s="599"/>
      <c r="F235" s="599"/>
      <c r="G235" s="599"/>
      <c r="H235" s="599"/>
      <c r="I235" s="599"/>
      <c r="J235" s="599"/>
      <c r="K235" s="599"/>
      <c r="L235" s="600"/>
      <c r="M235" s="600"/>
      <c r="N235" s="601"/>
      <c r="O235" s="602"/>
    </row>
    <row r="236" ht="15.75" customHeight="1">
      <c r="A236" s="597"/>
      <c r="B236" s="598"/>
      <c r="C236" s="593"/>
      <c r="D236" s="599"/>
      <c r="E236" s="599"/>
      <c r="F236" s="599"/>
      <c r="G236" s="599"/>
      <c r="H236" s="599"/>
      <c r="I236" s="599"/>
      <c r="J236" s="599"/>
      <c r="K236" s="599"/>
      <c r="L236" s="600"/>
      <c r="M236" s="600"/>
      <c r="N236" s="601"/>
      <c r="O236" s="602"/>
    </row>
    <row r="237" ht="15.75" customHeight="1">
      <c r="A237" s="597"/>
      <c r="B237" s="598"/>
      <c r="C237" s="593"/>
      <c r="D237" s="599"/>
      <c r="E237" s="599"/>
      <c r="F237" s="599"/>
      <c r="G237" s="599"/>
      <c r="H237" s="599"/>
      <c r="I237" s="599"/>
      <c r="J237" s="599"/>
      <c r="K237" s="599"/>
      <c r="L237" s="600"/>
      <c r="M237" s="600"/>
      <c r="N237" s="601"/>
      <c r="O237" s="602"/>
    </row>
    <row r="238" ht="15.75" customHeight="1">
      <c r="A238" s="597"/>
      <c r="B238" s="598"/>
      <c r="C238" s="593"/>
      <c r="D238" s="599"/>
      <c r="E238" s="599"/>
      <c r="F238" s="599"/>
      <c r="G238" s="599"/>
      <c r="H238" s="599"/>
      <c r="I238" s="599"/>
      <c r="J238" s="599"/>
      <c r="K238" s="599"/>
      <c r="L238" s="600"/>
      <c r="M238" s="600"/>
      <c r="N238" s="601"/>
      <c r="O238" s="602"/>
    </row>
    <row r="239" ht="15.75" customHeight="1">
      <c r="A239" s="597"/>
      <c r="B239" s="598"/>
      <c r="C239" s="593"/>
      <c r="D239" s="599"/>
      <c r="E239" s="599"/>
      <c r="F239" s="599"/>
      <c r="G239" s="599"/>
      <c r="H239" s="599"/>
      <c r="I239" s="599"/>
      <c r="J239" s="599"/>
      <c r="K239" s="599"/>
      <c r="L239" s="600"/>
      <c r="M239" s="600"/>
      <c r="N239" s="601"/>
      <c r="O239" s="602"/>
    </row>
    <row r="240" ht="15.75" customHeight="1">
      <c r="A240" s="597"/>
      <c r="B240" s="598"/>
      <c r="C240" s="593"/>
      <c r="D240" s="599"/>
      <c r="E240" s="599"/>
      <c r="F240" s="599"/>
      <c r="G240" s="599"/>
      <c r="H240" s="599"/>
      <c r="I240" s="599"/>
      <c r="J240" s="599"/>
      <c r="K240" s="599"/>
      <c r="L240" s="600"/>
      <c r="M240" s="600"/>
      <c r="N240" s="601"/>
      <c r="O240" s="602"/>
    </row>
    <row r="241" ht="15.75" customHeight="1">
      <c r="A241" s="597"/>
      <c r="B241" s="598"/>
      <c r="C241" s="593"/>
      <c r="D241" s="599"/>
      <c r="E241" s="599"/>
      <c r="F241" s="599"/>
      <c r="G241" s="599"/>
      <c r="H241" s="599"/>
      <c r="I241" s="599"/>
      <c r="J241" s="599"/>
      <c r="K241" s="599"/>
      <c r="L241" s="600"/>
      <c r="M241" s="600"/>
      <c r="N241" s="601"/>
      <c r="O241" s="602"/>
    </row>
    <row r="242" ht="15.75" customHeight="1">
      <c r="A242" s="597"/>
      <c r="B242" s="598"/>
      <c r="C242" s="593"/>
      <c r="D242" s="599"/>
      <c r="E242" s="599"/>
      <c r="F242" s="599"/>
      <c r="G242" s="599"/>
      <c r="H242" s="599"/>
      <c r="I242" s="599"/>
      <c r="J242" s="599"/>
      <c r="K242" s="599"/>
      <c r="L242" s="600"/>
      <c r="M242" s="600"/>
      <c r="N242" s="601"/>
      <c r="O242" s="602"/>
    </row>
    <row r="243" ht="15.75" customHeight="1">
      <c r="A243" s="597"/>
      <c r="B243" s="598"/>
      <c r="C243" s="593"/>
      <c r="D243" s="599"/>
      <c r="E243" s="599"/>
      <c r="F243" s="599"/>
      <c r="G243" s="599"/>
      <c r="H243" s="599"/>
      <c r="I243" s="599"/>
      <c r="J243" s="599"/>
      <c r="K243" s="599"/>
      <c r="L243" s="600"/>
      <c r="M243" s="600"/>
      <c r="N243" s="601"/>
      <c r="O243" s="602"/>
    </row>
    <row r="244" ht="15.75" customHeight="1">
      <c r="A244" s="597"/>
      <c r="B244" s="598"/>
      <c r="C244" s="593"/>
      <c r="D244" s="599"/>
      <c r="E244" s="599"/>
      <c r="F244" s="599"/>
      <c r="G244" s="599"/>
      <c r="H244" s="599"/>
      <c r="I244" s="599"/>
      <c r="J244" s="599"/>
      <c r="K244" s="599"/>
      <c r="L244" s="600"/>
      <c r="M244" s="600"/>
      <c r="N244" s="601"/>
      <c r="O244" s="602"/>
    </row>
    <row r="245" ht="15.75" customHeight="1">
      <c r="A245" s="597"/>
      <c r="B245" s="598"/>
      <c r="C245" s="593"/>
      <c r="D245" s="599"/>
      <c r="E245" s="599"/>
      <c r="F245" s="599"/>
      <c r="G245" s="599"/>
      <c r="H245" s="599"/>
      <c r="I245" s="599"/>
      <c r="J245" s="599"/>
      <c r="K245" s="599"/>
      <c r="L245" s="600"/>
      <c r="M245" s="600"/>
      <c r="N245" s="601"/>
      <c r="O245" s="602"/>
    </row>
    <row r="246" ht="15.75" customHeight="1">
      <c r="A246" s="597"/>
      <c r="B246" s="598"/>
      <c r="C246" s="593"/>
      <c r="D246" s="599"/>
      <c r="E246" s="599"/>
      <c r="F246" s="599"/>
      <c r="G246" s="599"/>
      <c r="H246" s="599"/>
      <c r="I246" s="599"/>
      <c r="J246" s="599"/>
      <c r="K246" s="599"/>
      <c r="L246" s="600"/>
      <c r="M246" s="600"/>
      <c r="N246" s="601"/>
      <c r="O246" s="602"/>
    </row>
    <row r="247" ht="15.75" customHeight="1">
      <c r="A247" s="597"/>
      <c r="B247" s="598"/>
      <c r="C247" s="593"/>
      <c r="D247" s="599"/>
      <c r="E247" s="599"/>
      <c r="F247" s="599"/>
      <c r="G247" s="599"/>
      <c r="H247" s="599"/>
      <c r="I247" s="599"/>
      <c r="J247" s="599"/>
      <c r="K247" s="599"/>
      <c r="L247" s="600"/>
      <c r="M247" s="600"/>
      <c r="N247" s="601"/>
      <c r="O247" s="602"/>
    </row>
    <row r="248" ht="15.75" customHeight="1">
      <c r="A248" s="597"/>
      <c r="B248" s="598"/>
      <c r="C248" s="593"/>
      <c r="D248" s="599"/>
      <c r="E248" s="599"/>
      <c r="F248" s="599"/>
      <c r="G248" s="599"/>
      <c r="H248" s="599"/>
      <c r="I248" s="599"/>
      <c r="J248" s="599"/>
      <c r="K248" s="599"/>
      <c r="L248" s="600"/>
      <c r="M248" s="600"/>
      <c r="N248" s="601"/>
      <c r="O248" s="602"/>
    </row>
    <row r="249" ht="15.75" customHeight="1">
      <c r="A249" s="597"/>
      <c r="B249" s="598"/>
      <c r="C249" s="593"/>
      <c r="D249" s="599"/>
      <c r="E249" s="599"/>
      <c r="F249" s="599"/>
      <c r="G249" s="599"/>
      <c r="H249" s="599"/>
      <c r="I249" s="599"/>
      <c r="J249" s="599"/>
      <c r="K249" s="599"/>
      <c r="L249" s="600"/>
      <c r="M249" s="600"/>
      <c r="N249" s="601"/>
      <c r="O249" s="602"/>
    </row>
    <row r="250" ht="15.75" customHeight="1">
      <c r="A250" s="597"/>
      <c r="B250" s="598"/>
      <c r="C250" s="593"/>
      <c r="D250" s="599"/>
      <c r="E250" s="599"/>
      <c r="F250" s="599"/>
      <c r="G250" s="599"/>
      <c r="H250" s="599"/>
      <c r="I250" s="599"/>
      <c r="J250" s="599"/>
      <c r="K250" s="599"/>
      <c r="L250" s="600"/>
      <c r="M250" s="600"/>
      <c r="N250" s="601"/>
      <c r="O250" s="602"/>
    </row>
    <row r="251" ht="15.75" customHeight="1">
      <c r="A251" s="597"/>
      <c r="B251" s="598"/>
      <c r="C251" s="593"/>
      <c r="D251" s="599"/>
      <c r="E251" s="599"/>
      <c r="F251" s="599"/>
      <c r="G251" s="599"/>
      <c r="H251" s="599"/>
      <c r="I251" s="599"/>
      <c r="J251" s="599"/>
      <c r="K251" s="599"/>
      <c r="L251" s="600"/>
      <c r="M251" s="600"/>
      <c r="N251" s="601"/>
      <c r="O251" s="602"/>
    </row>
    <row r="252" ht="15.75" customHeight="1">
      <c r="A252" s="597"/>
      <c r="B252" s="598"/>
      <c r="C252" s="593"/>
      <c r="D252" s="599"/>
      <c r="E252" s="599"/>
      <c r="F252" s="599"/>
      <c r="G252" s="599"/>
      <c r="H252" s="599"/>
      <c r="I252" s="599"/>
      <c r="J252" s="599"/>
      <c r="K252" s="599"/>
      <c r="L252" s="600"/>
      <c r="M252" s="600"/>
      <c r="N252" s="601"/>
      <c r="O252" s="602"/>
    </row>
    <row r="253" ht="15.75" customHeight="1">
      <c r="A253" s="597"/>
      <c r="B253" s="598"/>
      <c r="C253" s="593"/>
      <c r="D253" s="599"/>
      <c r="E253" s="599"/>
      <c r="F253" s="599"/>
      <c r="G253" s="599"/>
      <c r="H253" s="599"/>
      <c r="I253" s="599"/>
      <c r="J253" s="599"/>
      <c r="K253" s="599"/>
      <c r="L253" s="600"/>
      <c r="M253" s="600"/>
      <c r="N253" s="601"/>
      <c r="O253" s="602"/>
    </row>
    <row r="254" ht="15.75" customHeight="1">
      <c r="A254" s="597"/>
      <c r="B254" s="598"/>
      <c r="C254" s="593"/>
      <c r="D254" s="599"/>
      <c r="E254" s="599"/>
      <c r="F254" s="599"/>
      <c r="G254" s="599"/>
      <c r="H254" s="599"/>
      <c r="I254" s="599"/>
      <c r="J254" s="599"/>
      <c r="K254" s="599"/>
      <c r="L254" s="600"/>
      <c r="M254" s="600"/>
      <c r="N254" s="601"/>
      <c r="O254" s="602"/>
    </row>
    <row r="255" ht="15.75" customHeight="1">
      <c r="A255" s="597"/>
      <c r="B255" s="598"/>
      <c r="C255" s="593"/>
      <c r="D255" s="599"/>
      <c r="E255" s="599"/>
      <c r="F255" s="599"/>
      <c r="G255" s="599"/>
      <c r="H255" s="599"/>
      <c r="I255" s="599"/>
      <c r="J255" s="599"/>
      <c r="K255" s="599"/>
      <c r="L255" s="600"/>
      <c r="M255" s="600"/>
      <c r="N255" s="601"/>
      <c r="O255" s="602"/>
    </row>
    <row r="256" ht="15.75" customHeight="1">
      <c r="A256" s="597"/>
      <c r="B256" s="598"/>
      <c r="C256" s="593"/>
      <c r="D256" s="599"/>
      <c r="E256" s="599"/>
      <c r="F256" s="599"/>
      <c r="G256" s="599"/>
      <c r="H256" s="599"/>
      <c r="I256" s="599"/>
      <c r="J256" s="599"/>
      <c r="K256" s="599"/>
      <c r="L256" s="600"/>
      <c r="M256" s="600"/>
      <c r="N256" s="601"/>
      <c r="O256" s="602"/>
    </row>
    <row r="257" ht="15.75" customHeight="1">
      <c r="A257" s="597"/>
      <c r="B257" s="598"/>
      <c r="C257" s="593"/>
      <c r="D257" s="599"/>
      <c r="E257" s="599"/>
      <c r="F257" s="599"/>
      <c r="G257" s="599"/>
      <c r="H257" s="599"/>
      <c r="I257" s="599"/>
      <c r="J257" s="599"/>
      <c r="K257" s="599"/>
      <c r="L257" s="600"/>
      <c r="M257" s="600"/>
      <c r="N257" s="601"/>
      <c r="O257" s="602"/>
    </row>
    <row r="258" ht="15.75" customHeight="1">
      <c r="A258" s="597"/>
      <c r="B258" s="598"/>
      <c r="C258" s="593"/>
      <c r="D258" s="599"/>
      <c r="E258" s="599"/>
      <c r="F258" s="599"/>
      <c r="G258" s="599"/>
      <c r="H258" s="599"/>
      <c r="I258" s="599"/>
      <c r="J258" s="599"/>
      <c r="K258" s="599"/>
      <c r="L258" s="600"/>
      <c r="M258" s="600"/>
      <c r="N258" s="601"/>
      <c r="O258" s="602"/>
    </row>
    <row r="259" ht="15.75" customHeight="1">
      <c r="A259" s="597"/>
      <c r="B259" s="598"/>
      <c r="C259" s="593"/>
      <c r="D259" s="599"/>
      <c r="E259" s="599"/>
      <c r="F259" s="599"/>
      <c r="G259" s="599"/>
      <c r="H259" s="599"/>
      <c r="I259" s="599"/>
      <c r="J259" s="599"/>
      <c r="K259" s="599"/>
      <c r="L259" s="600"/>
      <c r="M259" s="600"/>
      <c r="N259" s="601"/>
      <c r="O259" s="602"/>
    </row>
    <row r="260" ht="15.75" customHeight="1">
      <c r="A260" s="597"/>
      <c r="B260" s="598"/>
      <c r="C260" s="593"/>
      <c r="D260" s="599"/>
      <c r="E260" s="599"/>
      <c r="F260" s="599"/>
      <c r="G260" s="599"/>
      <c r="H260" s="599"/>
      <c r="I260" s="599"/>
      <c r="J260" s="599"/>
      <c r="K260" s="599"/>
      <c r="L260" s="600"/>
      <c r="M260" s="600"/>
      <c r="N260" s="601"/>
      <c r="O260" s="602"/>
    </row>
    <row r="261" ht="15.75" customHeight="1">
      <c r="A261" s="597"/>
      <c r="B261" s="598"/>
      <c r="C261" s="593"/>
      <c r="D261" s="599"/>
      <c r="E261" s="599"/>
      <c r="F261" s="599"/>
      <c r="G261" s="599"/>
      <c r="H261" s="599"/>
      <c r="I261" s="599"/>
      <c r="J261" s="599"/>
      <c r="K261" s="599"/>
      <c r="L261" s="600"/>
      <c r="M261" s="600"/>
      <c r="N261" s="601"/>
      <c r="O261" s="602"/>
    </row>
    <row r="262" ht="15.75" customHeight="1">
      <c r="A262" s="597"/>
      <c r="B262" s="598"/>
      <c r="C262" s="593"/>
      <c r="D262" s="599"/>
      <c r="E262" s="599"/>
      <c r="F262" s="599"/>
      <c r="G262" s="599"/>
      <c r="H262" s="599"/>
      <c r="I262" s="599"/>
      <c r="J262" s="599"/>
      <c r="K262" s="599"/>
      <c r="L262" s="600"/>
      <c r="M262" s="600"/>
      <c r="N262" s="601"/>
      <c r="O262" s="602"/>
    </row>
    <row r="263" ht="15.75" customHeight="1">
      <c r="A263" s="597"/>
      <c r="B263" s="598"/>
      <c r="C263" s="593"/>
      <c r="D263" s="599"/>
      <c r="E263" s="599"/>
      <c r="F263" s="599"/>
      <c r="G263" s="599"/>
      <c r="H263" s="599"/>
      <c r="I263" s="599"/>
      <c r="J263" s="599"/>
      <c r="K263" s="599"/>
      <c r="L263" s="600"/>
      <c r="M263" s="600"/>
      <c r="N263" s="601"/>
      <c r="O263" s="602"/>
    </row>
    <row r="264" ht="15.75" customHeight="1">
      <c r="A264" s="597"/>
      <c r="B264" s="598"/>
      <c r="C264" s="593"/>
      <c r="D264" s="599"/>
      <c r="E264" s="599"/>
      <c r="F264" s="599"/>
      <c r="G264" s="599"/>
      <c r="H264" s="599"/>
      <c r="I264" s="599"/>
      <c r="J264" s="599"/>
      <c r="K264" s="599"/>
      <c r="L264" s="600"/>
      <c r="M264" s="600"/>
      <c r="N264" s="601"/>
      <c r="O264" s="602"/>
    </row>
    <row r="265" ht="15.75" customHeight="1">
      <c r="A265" s="597"/>
      <c r="B265" s="598"/>
      <c r="C265" s="593"/>
      <c r="D265" s="599"/>
      <c r="E265" s="599"/>
      <c r="F265" s="599"/>
      <c r="G265" s="599"/>
      <c r="H265" s="599"/>
      <c r="I265" s="599"/>
      <c r="J265" s="599"/>
      <c r="K265" s="599"/>
      <c r="L265" s="600"/>
      <c r="M265" s="600"/>
      <c r="N265" s="601"/>
      <c r="O265" s="602"/>
    </row>
    <row r="266" ht="15.75" customHeight="1">
      <c r="A266" s="597"/>
      <c r="B266" s="598"/>
      <c r="C266" s="593"/>
      <c r="D266" s="599"/>
      <c r="E266" s="599"/>
      <c r="F266" s="599"/>
      <c r="G266" s="599"/>
      <c r="H266" s="599"/>
      <c r="I266" s="599"/>
      <c r="J266" s="599"/>
      <c r="K266" s="599"/>
      <c r="L266" s="600"/>
      <c r="M266" s="600"/>
      <c r="N266" s="601"/>
      <c r="O266" s="602"/>
    </row>
    <row r="267" ht="15.75" customHeight="1">
      <c r="A267" s="597"/>
      <c r="B267" s="598"/>
      <c r="C267" s="593"/>
      <c r="D267" s="599"/>
      <c r="E267" s="599"/>
      <c r="F267" s="599"/>
      <c r="G267" s="599"/>
      <c r="H267" s="599"/>
      <c r="I267" s="599"/>
      <c r="J267" s="599"/>
      <c r="K267" s="599"/>
      <c r="L267" s="600"/>
      <c r="M267" s="600"/>
      <c r="N267" s="601"/>
      <c r="O267" s="602"/>
    </row>
    <row r="268" ht="15.75" customHeight="1">
      <c r="A268" s="597"/>
      <c r="B268" s="598"/>
      <c r="C268" s="593"/>
      <c r="D268" s="599"/>
      <c r="E268" s="599"/>
      <c r="F268" s="599"/>
      <c r="G268" s="599"/>
      <c r="H268" s="599"/>
      <c r="I268" s="599"/>
      <c r="J268" s="599"/>
      <c r="K268" s="599"/>
      <c r="L268" s="600"/>
      <c r="M268" s="600"/>
      <c r="N268" s="601"/>
      <c r="O268" s="602"/>
    </row>
    <row r="269" ht="15.75" customHeight="1">
      <c r="A269" s="597"/>
      <c r="B269" s="598"/>
      <c r="C269" s="593"/>
      <c r="D269" s="599"/>
      <c r="E269" s="599"/>
      <c r="F269" s="599"/>
      <c r="G269" s="599"/>
      <c r="H269" s="599"/>
      <c r="I269" s="599"/>
      <c r="J269" s="599"/>
      <c r="K269" s="599"/>
      <c r="L269" s="600"/>
      <c r="M269" s="600"/>
      <c r="N269" s="601"/>
      <c r="O269" s="602"/>
    </row>
    <row r="270" ht="15.75" customHeight="1">
      <c r="A270" s="597"/>
      <c r="B270" s="598"/>
      <c r="C270" s="593"/>
      <c r="D270" s="599"/>
      <c r="E270" s="599"/>
      <c r="F270" s="599"/>
      <c r="G270" s="599"/>
      <c r="H270" s="599"/>
      <c r="I270" s="599"/>
      <c r="J270" s="599"/>
      <c r="K270" s="599"/>
      <c r="L270" s="600"/>
      <c r="M270" s="600"/>
      <c r="N270" s="601"/>
      <c r="O270" s="602"/>
    </row>
    <row r="271" ht="15.75" customHeight="1">
      <c r="A271" s="597"/>
      <c r="B271" s="598"/>
      <c r="C271" s="593"/>
      <c r="D271" s="599"/>
      <c r="E271" s="599"/>
      <c r="F271" s="599"/>
      <c r="G271" s="599"/>
      <c r="H271" s="599"/>
      <c r="I271" s="599"/>
      <c r="J271" s="599"/>
      <c r="K271" s="599"/>
      <c r="L271" s="600"/>
      <c r="M271" s="600"/>
      <c r="N271" s="601"/>
      <c r="O271" s="602"/>
    </row>
    <row r="272" ht="15.75" customHeight="1">
      <c r="A272" s="597"/>
      <c r="B272" s="598"/>
      <c r="C272" s="593"/>
      <c r="D272" s="599"/>
      <c r="E272" s="599"/>
      <c r="F272" s="599"/>
      <c r="G272" s="599"/>
      <c r="H272" s="599"/>
      <c r="I272" s="599"/>
      <c r="J272" s="599"/>
      <c r="K272" s="599"/>
      <c r="L272" s="600"/>
      <c r="M272" s="600"/>
      <c r="N272" s="601"/>
      <c r="O272" s="602"/>
    </row>
    <row r="273" ht="15.75" customHeight="1">
      <c r="A273" s="597"/>
      <c r="B273" s="598"/>
      <c r="C273" s="593"/>
      <c r="D273" s="599"/>
      <c r="E273" s="599"/>
      <c r="F273" s="599"/>
      <c r="G273" s="599"/>
      <c r="H273" s="599"/>
      <c r="I273" s="599"/>
      <c r="J273" s="599"/>
      <c r="K273" s="599"/>
      <c r="L273" s="600"/>
      <c r="M273" s="600"/>
      <c r="N273" s="601"/>
      <c r="O273" s="602"/>
    </row>
    <row r="274" ht="15.75" customHeight="1">
      <c r="A274" s="597"/>
      <c r="B274" s="598"/>
      <c r="C274" s="593"/>
      <c r="D274" s="599"/>
      <c r="E274" s="599"/>
      <c r="F274" s="599"/>
      <c r="G274" s="599"/>
      <c r="H274" s="599"/>
      <c r="I274" s="599"/>
      <c r="J274" s="599"/>
      <c r="K274" s="599"/>
      <c r="L274" s="600"/>
      <c r="M274" s="600"/>
      <c r="N274" s="601"/>
      <c r="O274" s="602"/>
    </row>
    <row r="275" ht="15.75" customHeight="1">
      <c r="A275" s="597"/>
      <c r="B275" s="598"/>
      <c r="C275" s="593"/>
      <c r="D275" s="599"/>
      <c r="E275" s="599"/>
      <c r="F275" s="599"/>
      <c r="G275" s="599"/>
      <c r="H275" s="599"/>
      <c r="I275" s="599"/>
      <c r="J275" s="599"/>
      <c r="K275" s="599"/>
      <c r="L275" s="600"/>
      <c r="M275" s="600"/>
      <c r="N275" s="601"/>
      <c r="O275" s="602"/>
    </row>
    <row r="276" ht="15.75" customHeight="1">
      <c r="A276" s="597"/>
      <c r="B276" s="598"/>
      <c r="C276" s="593"/>
      <c r="D276" s="599"/>
      <c r="E276" s="599"/>
      <c r="F276" s="599"/>
      <c r="G276" s="599"/>
      <c r="H276" s="599"/>
      <c r="I276" s="599"/>
      <c r="J276" s="599"/>
      <c r="K276" s="599"/>
      <c r="L276" s="600"/>
      <c r="M276" s="600"/>
      <c r="N276" s="601"/>
      <c r="O276" s="602"/>
    </row>
    <row r="277" ht="15.75" customHeight="1">
      <c r="A277" s="597"/>
      <c r="B277" s="598"/>
      <c r="C277" s="593"/>
      <c r="D277" s="599"/>
      <c r="E277" s="599"/>
      <c r="F277" s="599"/>
      <c r="G277" s="599"/>
      <c r="H277" s="599"/>
      <c r="I277" s="599"/>
      <c r="J277" s="599"/>
      <c r="K277" s="599"/>
      <c r="L277" s="600"/>
      <c r="M277" s="600"/>
      <c r="N277" s="601"/>
      <c r="O277" s="602"/>
    </row>
    <row r="278" ht="15.75" customHeight="1">
      <c r="A278" s="597"/>
      <c r="B278" s="598"/>
      <c r="C278" s="593"/>
      <c r="D278" s="599"/>
      <c r="E278" s="599"/>
      <c r="F278" s="599"/>
      <c r="G278" s="599"/>
      <c r="H278" s="599"/>
      <c r="I278" s="599"/>
      <c r="J278" s="599"/>
      <c r="K278" s="599"/>
      <c r="L278" s="600"/>
      <c r="M278" s="600"/>
      <c r="N278" s="601"/>
      <c r="O278" s="602"/>
    </row>
    <row r="279" ht="15.75" customHeight="1">
      <c r="A279" s="597"/>
      <c r="B279" s="598"/>
      <c r="C279" s="593"/>
      <c r="D279" s="599"/>
      <c r="E279" s="599"/>
      <c r="F279" s="599"/>
      <c r="G279" s="599"/>
      <c r="H279" s="599"/>
      <c r="I279" s="599"/>
      <c r="J279" s="599"/>
      <c r="K279" s="599"/>
      <c r="L279" s="600"/>
      <c r="M279" s="600"/>
      <c r="N279" s="601"/>
      <c r="O279" s="602"/>
    </row>
    <row r="280" ht="15.75" customHeight="1">
      <c r="A280" s="597"/>
      <c r="B280" s="598"/>
      <c r="C280" s="593"/>
      <c r="D280" s="599"/>
      <c r="E280" s="599"/>
      <c r="F280" s="599"/>
      <c r="G280" s="599"/>
      <c r="H280" s="599"/>
      <c r="I280" s="599"/>
      <c r="J280" s="599"/>
      <c r="K280" s="599"/>
      <c r="L280" s="600"/>
      <c r="M280" s="600"/>
      <c r="N280" s="601"/>
      <c r="O280" s="602"/>
    </row>
    <row r="281" ht="15.75" customHeight="1">
      <c r="A281" s="597"/>
      <c r="B281" s="598"/>
      <c r="C281" s="593"/>
      <c r="D281" s="599"/>
      <c r="E281" s="599"/>
      <c r="F281" s="599"/>
      <c r="G281" s="599"/>
      <c r="H281" s="599"/>
      <c r="I281" s="599"/>
      <c r="J281" s="599"/>
      <c r="K281" s="599"/>
      <c r="L281" s="600"/>
      <c r="M281" s="600"/>
      <c r="N281" s="601"/>
      <c r="O281" s="602"/>
    </row>
    <row r="282" ht="15.75" customHeight="1">
      <c r="A282" s="597"/>
      <c r="B282" s="598"/>
      <c r="C282" s="593"/>
      <c r="D282" s="599"/>
      <c r="E282" s="599"/>
      <c r="F282" s="599"/>
      <c r="G282" s="599"/>
      <c r="H282" s="599"/>
      <c r="I282" s="599"/>
      <c r="J282" s="599"/>
      <c r="K282" s="599"/>
      <c r="L282" s="600"/>
      <c r="M282" s="600"/>
      <c r="N282" s="601"/>
      <c r="O282" s="602"/>
    </row>
    <row r="283" ht="15.75" customHeight="1">
      <c r="A283" s="597"/>
      <c r="B283" s="598"/>
      <c r="C283" s="593"/>
      <c r="D283" s="599"/>
      <c r="E283" s="599"/>
      <c r="F283" s="599"/>
      <c r="G283" s="599"/>
      <c r="H283" s="599"/>
      <c r="I283" s="599"/>
      <c r="J283" s="599"/>
      <c r="K283" s="599"/>
      <c r="L283" s="600"/>
      <c r="M283" s="600"/>
      <c r="N283" s="601"/>
      <c r="O283" s="602"/>
    </row>
    <row r="284" ht="15.75" customHeight="1">
      <c r="A284" s="597"/>
      <c r="B284" s="598"/>
      <c r="C284" s="593"/>
      <c r="D284" s="599"/>
      <c r="E284" s="599"/>
      <c r="F284" s="599"/>
      <c r="G284" s="599"/>
      <c r="H284" s="599"/>
      <c r="I284" s="599"/>
      <c r="J284" s="599"/>
      <c r="K284" s="599"/>
      <c r="L284" s="600"/>
      <c r="M284" s="600"/>
      <c r="N284" s="601"/>
      <c r="O284" s="602"/>
    </row>
    <row r="285" ht="15.75" customHeight="1">
      <c r="A285" s="597"/>
      <c r="B285" s="598"/>
      <c r="C285" s="593"/>
      <c r="D285" s="599"/>
      <c r="E285" s="599"/>
      <c r="F285" s="599"/>
      <c r="G285" s="599"/>
      <c r="H285" s="599"/>
      <c r="I285" s="599"/>
      <c r="J285" s="599"/>
      <c r="K285" s="599"/>
      <c r="L285" s="600"/>
      <c r="M285" s="600"/>
      <c r="N285" s="601"/>
      <c r="O285" s="602"/>
    </row>
    <row r="286" ht="15.75" customHeight="1">
      <c r="A286" s="597"/>
      <c r="B286" s="598"/>
      <c r="C286" s="593"/>
      <c r="D286" s="599"/>
      <c r="E286" s="599"/>
      <c r="F286" s="599"/>
      <c r="G286" s="599"/>
      <c r="H286" s="599"/>
      <c r="I286" s="599"/>
      <c r="J286" s="599"/>
      <c r="K286" s="599"/>
      <c r="L286" s="600"/>
      <c r="M286" s="600"/>
      <c r="N286" s="601"/>
      <c r="O286" s="602"/>
    </row>
    <row r="287" ht="15.75" customHeight="1">
      <c r="A287" s="597"/>
      <c r="B287" s="598"/>
      <c r="C287" s="593"/>
      <c r="D287" s="599"/>
      <c r="E287" s="599"/>
      <c r="F287" s="599"/>
      <c r="G287" s="599"/>
      <c r="H287" s="599"/>
      <c r="I287" s="599"/>
      <c r="J287" s="599"/>
      <c r="K287" s="599"/>
      <c r="L287" s="600"/>
      <c r="M287" s="600"/>
      <c r="N287" s="601"/>
      <c r="O287" s="602"/>
    </row>
    <row r="288" ht="15.75" customHeight="1">
      <c r="A288" s="597"/>
      <c r="B288" s="598"/>
      <c r="C288" s="593"/>
      <c r="D288" s="599"/>
      <c r="E288" s="599"/>
      <c r="F288" s="599"/>
      <c r="G288" s="599"/>
      <c r="H288" s="599"/>
      <c r="I288" s="599"/>
      <c r="J288" s="599"/>
      <c r="K288" s="599"/>
      <c r="L288" s="600"/>
      <c r="M288" s="600"/>
      <c r="N288" s="601"/>
      <c r="O288" s="602"/>
    </row>
    <row r="289" ht="15.75" customHeight="1">
      <c r="A289" s="597"/>
      <c r="B289" s="598"/>
      <c r="C289" s="593"/>
      <c r="D289" s="599"/>
      <c r="E289" s="599"/>
      <c r="F289" s="599"/>
      <c r="G289" s="599"/>
      <c r="H289" s="599"/>
      <c r="I289" s="599"/>
      <c r="J289" s="599"/>
      <c r="K289" s="599"/>
      <c r="L289" s="600"/>
      <c r="M289" s="600"/>
      <c r="N289" s="601"/>
      <c r="O289" s="602"/>
    </row>
    <row r="290" ht="15.75" customHeight="1">
      <c r="A290" s="597"/>
      <c r="B290" s="598"/>
      <c r="C290" s="593"/>
      <c r="D290" s="599"/>
      <c r="E290" s="599"/>
      <c r="F290" s="599"/>
      <c r="G290" s="599"/>
      <c r="H290" s="599"/>
      <c r="I290" s="599"/>
      <c r="J290" s="599"/>
      <c r="K290" s="599"/>
      <c r="L290" s="600"/>
      <c r="M290" s="600"/>
      <c r="N290" s="601"/>
      <c r="O290" s="602"/>
    </row>
    <row r="291" ht="15.75" customHeight="1">
      <c r="A291" s="597"/>
      <c r="B291" s="598"/>
      <c r="C291" s="593"/>
      <c r="D291" s="599"/>
      <c r="E291" s="599"/>
      <c r="F291" s="599"/>
      <c r="G291" s="599"/>
      <c r="H291" s="599"/>
      <c r="I291" s="599"/>
      <c r="J291" s="599"/>
      <c r="K291" s="599"/>
      <c r="L291" s="600"/>
      <c r="M291" s="600"/>
      <c r="N291" s="601"/>
      <c r="O291" s="602"/>
    </row>
    <row r="292" ht="15.75" customHeight="1">
      <c r="A292" s="597"/>
      <c r="B292" s="598"/>
      <c r="C292" s="593"/>
      <c r="D292" s="599"/>
      <c r="E292" s="599"/>
      <c r="F292" s="599"/>
      <c r="G292" s="599"/>
      <c r="H292" s="599"/>
      <c r="I292" s="599"/>
      <c r="J292" s="599"/>
      <c r="K292" s="599"/>
      <c r="L292" s="600"/>
      <c r="M292" s="600"/>
      <c r="N292" s="601"/>
      <c r="O292" s="602"/>
    </row>
    <row r="293" ht="15.75" customHeight="1">
      <c r="A293" s="597"/>
      <c r="B293" s="598"/>
      <c r="C293" s="593"/>
      <c r="D293" s="599"/>
      <c r="E293" s="599"/>
      <c r="F293" s="599"/>
      <c r="G293" s="599"/>
      <c r="H293" s="599"/>
      <c r="I293" s="599"/>
      <c r="J293" s="599"/>
      <c r="K293" s="599"/>
      <c r="L293" s="600"/>
      <c r="M293" s="600"/>
      <c r="N293" s="601"/>
      <c r="O293" s="602"/>
    </row>
    <row r="294" ht="15.75" customHeight="1">
      <c r="A294" s="597"/>
      <c r="B294" s="598"/>
      <c r="C294" s="593"/>
      <c r="D294" s="599"/>
      <c r="E294" s="599"/>
      <c r="F294" s="599"/>
      <c r="G294" s="599"/>
      <c r="H294" s="599"/>
      <c r="I294" s="599"/>
      <c r="J294" s="599"/>
      <c r="K294" s="599"/>
      <c r="L294" s="600"/>
      <c r="M294" s="600"/>
      <c r="N294" s="601"/>
      <c r="O294" s="602"/>
    </row>
    <row r="295" ht="15.75" customHeight="1">
      <c r="A295" s="597"/>
      <c r="B295" s="598"/>
      <c r="C295" s="593"/>
      <c r="D295" s="599"/>
      <c r="E295" s="599"/>
      <c r="F295" s="599"/>
      <c r="G295" s="599"/>
      <c r="H295" s="599"/>
      <c r="I295" s="599"/>
      <c r="J295" s="599"/>
      <c r="K295" s="599"/>
      <c r="L295" s="600"/>
      <c r="M295" s="600"/>
      <c r="N295" s="601"/>
      <c r="O295" s="602"/>
    </row>
    <row r="296" ht="15.75" customHeight="1">
      <c r="A296" s="597"/>
      <c r="B296" s="598"/>
      <c r="C296" s="593"/>
      <c r="D296" s="599"/>
      <c r="E296" s="599"/>
      <c r="F296" s="599"/>
      <c r="G296" s="599"/>
      <c r="H296" s="599"/>
      <c r="I296" s="599"/>
      <c r="J296" s="599"/>
      <c r="K296" s="599"/>
      <c r="L296" s="600"/>
      <c r="M296" s="600"/>
      <c r="N296" s="601"/>
      <c r="O296" s="602"/>
    </row>
    <row r="297" ht="15.75" customHeight="1">
      <c r="A297" s="597"/>
      <c r="B297" s="598"/>
      <c r="C297" s="593"/>
      <c r="D297" s="599"/>
      <c r="E297" s="599"/>
      <c r="F297" s="599"/>
      <c r="G297" s="599"/>
      <c r="H297" s="599"/>
      <c r="I297" s="599"/>
      <c r="J297" s="599"/>
      <c r="K297" s="599"/>
      <c r="L297" s="600"/>
      <c r="M297" s="600"/>
      <c r="N297" s="601"/>
      <c r="O297" s="602"/>
    </row>
    <row r="298" ht="15.75" customHeight="1">
      <c r="A298" s="597"/>
      <c r="B298" s="598"/>
      <c r="C298" s="593"/>
      <c r="D298" s="599"/>
      <c r="E298" s="599"/>
      <c r="F298" s="599"/>
      <c r="G298" s="599"/>
      <c r="H298" s="599"/>
      <c r="I298" s="599"/>
      <c r="J298" s="599"/>
      <c r="K298" s="599"/>
      <c r="L298" s="600"/>
      <c r="M298" s="600"/>
      <c r="N298" s="601"/>
      <c r="O298" s="602"/>
    </row>
    <row r="299" ht="15.75" customHeight="1">
      <c r="A299" s="597"/>
      <c r="B299" s="598"/>
      <c r="C299" s="593"/>
      <c r="D299" s="599"/>
      <c r="E299" s="599"/>
      <c r="F299" s="599"/>
      <c r="G299" s="599"/>
      <c r="H299" s="599"/>
      <c r="I299" s="599"/>
      <c r="J299" s="599"/>
      <c r="K299" s="599"/>
      <c r="L299" s="600"/>
      <c r="M299" s="600"/>
      <c r="N299" s="601"/>
      <c r="O299" s="602"/>
    </row>
    <row r="300" ht="15.75" customHeight="1">
      <c r="A300" s="597"/>
      <c r="B300" s="598"/>
      <c r="C300" s="593"/>
      <c r="D300" s="599"/>
      <c r="E300" s="599"/>
      <c r="F300" s="599"/>
      <c r="G300" s="599"/>
      <c r="H300" s="599"/>
      <c r="I300" s="599"/>
      <c r="J300" s="599"/>
      <c r="K300" s="599"/>
      <c r="L300" s="600"/>
      <c r="M300" s="600"/>
      <c r="N300" s="601"/>
      <c r="O300" s="602"/>
    </row>
    <row r="301" ht="15.75" customHeight="1">
      <c r="A301" s="597"/>
      <c r="B301" s="598"/>
      <c r="C301" s="593"/>
      <c r="D301" s="599"/>
      <c r="E301" s="599"/>
      <c r="F301" s="599"/>
      <c r="G301" s="599"/>
      <c r="H301" s="599"/>
      <c r="I301" s="599"/>
      <c r="J301" s="599"/>
      <c r="K301" s="599"/>
      <c r="L301" s="600"/>
      <c r="M301" s="600"/>
      <c r="N301" s="601"/>
      <c r="O301" s="602"/>
    </row>
    <row r="302" ht="15.75" customHeight="1">
      <c r="A302" s="597"/>
      <c r="B302" s="598"/>
      <c r="C302" s="593"/>
      <c r="D302" s="599"/>
      <c r="E302" s="599"/>
      <c r="F302" s="599"/>
      <c r="G302" s="599"/>
      <c r="H302" s="599"/>
      <c r="I302" s="599"/>
      <c r="J302" s="599"/>
      <c r="K302" s="599"/>
      <c r="L302" s="600"/>
      <c r="M302" s="600"/>
      <c r="N302" s="601"/>
      <c r="O302" s="602"/>
    </row>
    <row r="303" ht="15.75" customHeight="1">
      <c r="A303" s="597"/>
      <c r="B303" s="598"/>
      <c r="C303" s="593"/>
      <c r="D303" s="599"/>
      <c r="E303" s="599"/>
      <c r="F303" s="599"/>
      <c r="G303" s="599"/>
      <c r="H303" s="599"/>
      <c r="I303" s="599"/>
      <c r="J303" s="599"/>
      <c r="K303" s="599"/>
      <c r="L303" s="600"/>
      <c r="M303" s="600"/>
      <c r="N303" s="601"/>
      <c r="O303" s="602"/>
    </row>
    <row r="304" ht="15.75" customHeight="1">
      <c r="A304" s="597"/>
      <c r="B304" s="598"/>
      <c r="C304" s="593"/>
      <c r="D304" s="599"/>
      <c r="E304" s="599"/>
      <c r="F304" s="599"/>
      <c r="G304" s="599"/>
      <c r="H304" s="599"/>
      <c r="I304" s="599"/>
      <c r="J304" s="599"/>
      <c r="K304" s="599"/>
      <c r="L304" s="600"/>
      <c r="M304" s="600"/>
      <c r="N304" s="601"/>
      <c r="O304" s="602"/>
    </row>
    <row r="305" ht="15.75" customHeight="1">
      <c r="A305" s="597"/>
      <c r="B305" s="598"/>
      <c r="C305" s="593"/>
      <c r="D305" s="599"/>
      <c r="E305" s="599"/>
      <c r="F305" s="599"/>
      <c r="G305" s="599"/>
      <c r="H305" s="599"/>
      <c r="I305" s="599"/>
      <c r="J305" s="599"/>
      <c r="K305" s="599"/>
      <c r="L305" s="600"/>
      <c r="M305" s="600"/>
      <c r="N305" s="601"/>
      <c r="O305" s="602"/>
    </row>
    <row r="306" ht="15.75" customHeight="1">
      <c r="A306" s="597"/>
      <c r="B306" s="598"/>
      <c r="C306" s="593"/>
      <c r="D306" s="599"/>
      <c r="E306" s="599"/>
      <c r="F306" s="599"/>
      <c r="G306" s="599"/>
      <c r="H306" s="599"/>
      <c r="I306" s="599"/>
      <c r="J306" s="599"/>
      <c r="K306" s="599"/>
      <c r="L306" s="600"/>
      <c r="M306" s="600"/>
      <c r="N306" s="601"/>
      <c r="O306" s="602"/>
    </row>
    <row r="307" ht="15.75" customHeight="1">
      <c r="A307" s="597"/>
      <c r="B307" s="598"/>
      <c r="C307" s="593"/>
      <c r="D307" s="599"/>
      <c r="E307" s="599"/>
      <c r="F307" s="599"/>
      <c r="G307" s="599"/>
      <c r="H307" s="599"/>
      <c r="I307" s="599"/>
      <c r="J307" s="599"/>
      <c r="K307" s="599"/>
      <c r="L307" s="600"/>
      <c r="M307" s="600"/>
      <c r="N307" s="601"/>
      <c r="O307" s="602"/>
    </row>
    <row r="308" ht="15.75" customHeight="1">
      <c r="A308" s="597"/>
      <c r="B308" s="598"/>
      <c r="C308" s="593"/>
      <c r="D308" s="599"/>
      <c r="E308" s="599"/>
      <c r="F308" s="599"/>
      <c r="G308" s="599"/>
      <c r="H308" s="599"/>
      <c r="I308" s="599"/>
      <c r="J308" s="599"/>
      <c r="K308" s="599"/>
      <c r="L308" s="600"/>
      <c r="M308" s="600"/>
      <c r="N308" s="601"/>
      <c r="O308" s="602"/>
    </row>
    <row r="309" ht="15.75" customHeight="1">
      <c r="A309" s="597"/>
      <c r="B309" s="598"/>
      <c r="C309" s="593"/>
      <c r="D309" s="599"/>
      <c r="E309" s="599"/>
      <c r="F309" s="599"/>
      <c r="G309" s="599"/>
      <c r="H309" s="599"/>
      <c r="I309" s="599"/>
      <c r="J309" s="599"/>
      <c r="K309" s="599"/>
      <c r="L309" s="600"/>
      <c r="M309" s="600"/>
      <c r="N309" s="601"/>
      <c r="O309" s="602"/>
    </row>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O$106"/>
  <conditionalFormatting sqref="F1:F1000">
    <cfRule type="colorScale" priority="1">
      <colorScale>
        <cfvo type="min"/>
        <cfvo type="percentile" val="50"/>
        <cfvo type="max"/>
        <color rgb="FFF8696B"/>
        <color rgb="FFFFEB84"/>
        <color rgb="FF63BE7B"/>
      </colorScale>
    </cfRule>
  </conditionalFormatting>
  <conditionalFormatting sqref="D1:D1000">
    <cfRule type="colorScale" priority="2">
      <colorScale>
        <cfvo type="min"/>
        <cfvo type="percentile" val="50"/>
        <cfvo type="max"/>
        <color rgb="FFF8696B"/>
        <color rgb="FFFFEB84"/>
        <color rgb="FF63BE7B"/>
      </colorScale>
    </cfRule>
  </conditionalFormatting>
  <conditionalFormatting sqref="E1:E1000">
    <cfRule type="colorScale" priority="3">
      <colorScale>
        <cfvo type="min"/>
        <cfvo type="percentile" val="50"/>
        <cfvo type="max"/>
        <color rgb="FFF8696B"/>
        <color rgb="FFFFEB84"/>
        <color rgb="FF63BE7B"/>
      </colorScale>
    </cfRule>
  </conditionalFormatting>
  <conditionalFormatting sqref="H1:K1000">
    <cfRule type="colorScale" priority="4">
      <colorScale>
        <cfvo type="min"/>
        <cfvo type="percentile" val="50"/>
        <cfvo type="max"/>
        <color rgb="FFF8696B"/>
        <color rgb="FFFFEB84"/>
        <color rgb="FF63BE7B"/>
      </colorScale>
    </cfRule>
  </conditionalFormatting>
  <printOptions/>
  <pageMargins bottom="0.787401575" footer="0.0" header="0.0" left="0.7" right="0.7" top="0.787401575"/>
  <pageSetup fitToHeight="0" paperSize="9" orientation="landscape"/>
  <drawing r:id="rId1"/>
</worksheet>
</file>